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sheets/sheet24.xml" ContentType="application/vnd.openxmlformats-officedocument.spreadsheetml.worksheet+xml"/>
  <Override PartName="/xl/tables/table16.xml" ContentType="application/vnd.openxmlformats-officedocument.spreadsheetml.table+xml"/>
  <Override PartName="/xl/worksheets/sheet25.xml" ContentType="application/vnd.openxmlformats-officedocument.spreadsheetml.worksheet+xml"/>
  <Override PartName="/xl/tables/table1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操作パネル" sheetId="2" state="visible" r:id="rId2"/>
    <sheet name="Dashboard" sheetId="3" state="visible" r:id="rId3"/>
    <sheet name="Material_Detail" sheetId="4" state="visible" r:id="rId4"/>
    <sheet name="PO_Draft_Chemical" sheetId="5" state="visible" r:id="rId5"/>
    <sheet name="PO_Draft_Hazardous" sheetId="6" state="visible" r:id="rId6"/>
    <sheet name="PO_Draft_Substrate" sheetId="7" state="visible" r:id="rId7"/>
    <sheet name="T_Shipments" sheetId="8" state="visible" r:id="rId8"/>
    <sheet name="T_PlannedOrders" sheetId="9" state="visible" r:id="rId9"/>
    <sheet name="T_OpeningStock" sheetId="10" state="visible" r:id="rId10"/>
    <sheet name="T_StockCount" sheetId="11" state="visible" r:id="rId11"/>
    <sheet name="T_SelfStock" sheetId="12" state="visible" r:id="rId12"/>
    <sheet name="T_TTAFStock" sheetId="13" state="visible" r:id="rId13"/>
    <sheet name="M_RawMaterials" sheetId="14" state="visible" r:id="rId14"/>
    <sheet name="M_BOM" sheetId="15" state="visible" r:id="rId15"/>
    <sheet name="PP_Grid" sheetId="16" state="visible" r:id="rId16"/>
    <sheet name="Cal_Weeks" sheetId="17" state="hidden" r:id="rId17"/>
    <sheet name="M_Intermediates" sheetId="18" state="hidden" r:id="rId18"/>
    <sheet name="M_ProductMap" sheetId="19" state="hidden" r:id="rId19"/>
    <sheet name="Grid_Requirement" sheetId="20" state="hidden" r:id="rId20"/>
    <sheet name="Grid_Incoming" sheetId="21" state="hidden" r:id="rId21"/>
    <sheet name="Grid_Stock" sheetId="22" state="hidden" r:id="rId22"/>
    <sheet name="Grid_TheoreticalStock" sheetId="23" state="hidden" r:id="rId23"/>
    <sheet name="T_SelfStock_Log" sheetId="24" state="hidden" r:id="rId24"/>
    <sheet name="T_TTAFStock_Log" sheetId="25" state="hidden" r:id="rId2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i val="1"/>
      <color rgb="00808080"/>
      <sz val="9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A9A9A9"/>
      </left>
      <right style="thin">
        <color rgb="00A9A9A9"/>
      </right>
      <top style="thin">
        <color rgb="00A9A9A9"/>
      </top>
      <bottom style="thin">
        <color rgb="00A9A9A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10" fillId="0" borderId="0" pivotButton="0" quotePrefix="0" xfId="0"/>
    <xf numFmtId="0" fontId="9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3" borderId="0" pivotButton="0" quotePrefix="0" xfId="0"/>
    <xf numFmtId="0" fontId="0" fillId="7" borderId="2" applyAlignment="1" pivotButton="0" quotePrefix="0" xfId="0">
      <alignment horizontal="center"/>
    </xf>
    <xf numFmtId="0" fontId="1" fillId="7" borderId="2" pivotButton="0" quotePrefix="0" xfId="0"/>
    <xf numFmtId="0" fontId="0" fillId="7" borderId="2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7" fillId="5" borderId="1" pivotButton="0" quotePrefix="0" xfId="0"/>
    <xf numFmtId="0" fontId="0" fillId="0" borderId="1" pivotButton="0" quotePrefix="0" xfId="0"/>
    <xf numFmtId="0" fontId="1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2" borderId="0" pivotButton="0" quotePrefix="0" xfId="0"/>
    <xf numFmtId="165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17" authorId="0" shapeId="0">
      <text>
        <t>MOQ(最小発注量)を入力してください（手書きでOK）</t>
      </text>
    </comment>
    <comment ref="C43" authorId="0" shapeId="0">
      <text>
        <t>MOQ(最小発注量)を入力してください（手書きでOK）</t>
      </text>
    </comment>
    <comment ref="C55" authorId="0" shapeId="0">
      <text>
        <t>MOQ(最小発注量)を入力してください（手書きでOK）</t>
      </text>
    </comment>
    <comment ref="C65" authorId="0" shapeId="0">
      <text>
        <t>MOQ(最小発注量)を入力してください（手書きでOK）</t>
      </text>
    </comment>
    <comment ref="C83" authorId="0" shapeId="0">
      <text>
        <t>MOQ(最小発注量)を入力してください（手書きでOK）</t>
      </text>
    </comment>
    <comment ref="C93" authorId="0" shapeId="0">
      <text>
        <t>MOQ(最小発注量)を入力してください（手書きでOK）</t>
      </text>
    </comment>
    <comment ref="C103" authorId="0" shapeId="0">
      <text>
        <t>MOQ(最小発注量)を入力してください（手書きでOK）</t>
      </text>
    </comment>
    <comment ref="C113" authorId="0" shapeId="0">
      <text>
        <t>MOQ(最小発注量)を入力してください（手書きでOK）</t>
      </text>
    </comment>
    <comment ref="C135" authorId="0" shapeId="0">
      <text>
        <t>MOQ(最小発注量)を入力してください（手書きでOK）</t>
      </text>
    </comment>
    <comment ref="C145" authorId="0" shapeId="0">
      <text>
        <t>MOQ(最小発注量)を入力してください（手書きでOK）</t>
      </text>
    </comment>
    <comment ref="C159" authorId="0" shapeId="0">
      <text>
        <t>MOQ(最小発注量)を入力してください（手書きでOK）</t>
      </text>
    </comment>
    <comment ref="C169" authorId="0" shapeId="0">
      <text>
        <t>MOQ(最小発注量)を入力してください（手書きでOK）</t>
      </text>
    </comment>
    <comment ref="C179" authorId="0" shapeId="0">
      <text>
        <t>MOQ(最小発注量)を入力してください（手書きでOK）</t>
      </text>
    </comment>
    <comment ref="C189" authorId="0" shapeId="0">
      <text>
        <t>MOQ(最小発注量)を入力してください（手書きでOK）</t>
      </text>
    </comment>
    <comment ref="C211" authorId="0" shapeId="0">
      <text>
        <t>MOQ(最小発注量)を入力してください（手書きでOK）</t>
      </text>
    </comment>
    <comment ref="C223" authorId="0" shapeId="0">
      <text>
        <t>MOQ(最小発注量)を入力してください（手書きでOK）</t>
      </text>
    </comment>
    <comment ref="C247" authorId="0" shapeId="0">
      <text>
        <t>MOQ(最小発注量)を入力してください（手書きでOK）</t>
      </text>
    </comment>
    <comment ref="C277" authorId="0" shapeId="0">
      <text>
        <t>MOQ(最小発注量)を入力してください（手書きでOK）</t>
      </text>
    </comment>
    <comment ref="C293" authorId="0" shapeId="0">
      <text>
        <t>MOQ(最小発注量)を入力してください（手書きでOK）</t>
      </text>
    </comment>
    <comment ref="C323" authorId="0" shapeId="0">
      <text>
        <t>MOQ(最小発注量)を入力してください（手書きでOK）</t>
      </text>
    </comment>
    <comment ref="C351" authorId="0" shapeId="0">
      <text>
        <t>MOQ(最小発注量)を入力してください（手書きでOK）</t>
      </text>
    </comment>
    <comment ref="C367" authorId="0" shapeId="0">
      <text>
        <t>MOQ(最小発注量)を入力してください（手書きでOK）</t>
      </text>
    </comment>
    <comment ref="C383" authorId="0" shapeId="0">
      <text>
        <t>MOQ(最小発注量)を入力してください（手書きでOK）</t>
      </text>
    </comment>
    <comment ref="C479" authorId="0" shapeId="0">
      <text>
        <t>MOQ(最小発注量)を入力してください（手書きでOK）</t>
      </text>
    </comment>
    <comment ref="C493" authorId="0" shapeId="0">
      <text>
        <t>MOQ(最小発注量)を入力してください（手書きでOK）</t>
      </text>
    </comment>
    <comment ref="C575" authorId="0" shapeId="0">
      <text>
        <t>MOQ(最小発注量)を入力してください（手書きでOK）</t>
      </text>
    </comment>
    <comment ref="C619" authorId="0" shapeId="0">
      <text>
        <t>MOQ(最小発注量)を入力してください（手書きでOK）</t>
      </text>
    </comment>
    <comment ref="C641" authorId="0" shapeId="0">
      <text>
        <t>MOQ(最小発注量)を入力してください（手書きでOK）</t>
      </text>
    </comment>
    <comment ref="C783" authorId="0" shapeId="0">
      <text>
        <t>MOQ(最小発注量)を入力してください（手書きでOK）</t>
      </text>
    </comment>
    <comment ref="C821" authorId="0" shapeId="0">
      <text>
        <t>MOQ(最小発注量)を入力してください（手書きでOK）</t>
      </text>
    </comment>
    <comment ref="C831" authorId="0" shapeId="0">
      <text>
        <t>MOQ(最小発注量)を入力してください（手書きでOK）</t>
      </text>
    </comment>
    <comment ref="C877" authorId="0" shapeId="0">
      <text>
        <t>MOQ(最小発注量)を入力してください（手書きでOK）</t>
      </text>
    </comment>
    <comment ref="C925" authorId="0" shapeId="0">
      <text>
        <t>MOQ(最小発注量)を入力してください（手書きでOK）</t>
      </text>
    </comment>
    <comment ref="C941" authorId="0" shapeId="0">
      <text>
        <t>MOQ(最小発注量)を入力してください（手書きでOK）</t>
      </text>
    </comment>
    <comment ref="C953" authorId="0" shapeId="0">
      <text>
        <t>MOQ(最小発注量)を入力してください（手書きでOK）</t>
      </text>
    </comment>
    <comment ref="C1021" authorId="0" shapeId="0">
      <text>
        <t>MOQ(最小発注量)を入力してください（手書きでOK）</t>
      </text>
    </comment>
    <comment ref="C1033" authorId="0" shapeId="0">
      <text>
        <t>MOQ(最小発注量)を入力してください（手書きでOK）</t>
      </text>
    </comment>
    <comment ref="C1045" authorId="0" shapeId="0">
      <text>
        <t>MOQ(最小発注量)を入力してください（手書きでOK）</t>
      </text>
    </comment>
    <comment ref="C1063" authorId="0" shapeId="0">
      <text>
        <t>MOQ(最小発注量)を入力してください（手書きでOK）</t>
      </text>
    </comment>
    <comment ref="C1075" authorId="0" shapeId="0">
      <text>
        <t>MOQ(最小発注量)を入力してください（手書きでOK）</t>
      </text>
    </comment>
    <comment ref="C1109" authorId="0" shapeId="0">
      <text>
        <t>MOQ(最小発注量)を入力してください（手書きでOK）</t>
      </text>
    </comment>
    <comment ref="C1125" authorId="0" shapeId="0">
      <text>
        <t>MOQ(最小発注量)を入力してください（手書きでOK）</t>
      </text>
    </comment>
    <comment ref="C1155" authorId="0" shapeId="0">
      <text>
        <t>MOQ(最小発注量)を入力してください（手書きでOK）</t>
      </text>
    </comment>
    <comment ref="C1165" authorId="0" shapeId="0">
      <text>
        <t>MOQ(最小発注量)を入力してください（手書きでOK）</t>
      </text>
    </comment>
    <comment ref="C1175" authorId="0" shapeId="0">
      <text>
        <t>MOQ(最小発注量)を入力してください（手書きでOK）</t>
      </text>
    </comment>
    <comment ref="C1185" authorId="0" shapeId="0">
      <text>
        <t>MOQ(最小発注量)を入力してください（手書きでOK）</t>
      </text>
    </comment>
    <comment ref="C1199" authorId="0" shapeId="0">
      <text>
        <t>MOQ(最小発注量)を入力してください（手書きでOK）</t>
      </text>
    </comment>
    <comment ref="C1213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olutionNames" displayName="T_SolutionNames" ref="E4:F11" headerRowCount="1">
  <autoFilter ref="E4:F11"/>
  <tableColumns count="2">
    <tableColumn id="5" name="略称（Pgm Plan表記）"/>
    <tableColumn id="6" name="正式名（システム内部名）"/>
  </tableColumns>
  <tableStyleInfo name="TableStyleMedium9" showRowStripes="1"/>
</table>
</file>

<file path=xl/tables/table2.xml><?xml version="1.0" encoding="utf-8"?>
<table xmlns="http://schemas.openxmlformats.org/spreadsheetml/2006/main" id="2" name="T_Shipments" displayName="T_Shipments" ref="A1:I2" headerRowCount="1">
  <autoFilter ref="A1:I2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3.xml><?xml version="1.0" encoding="utf-8"?>
<table xmlns="http://schemas.openxmlformats.org/spreadsheetml/2006/main" id="3" name="T_PlannedOrders" displayName="T_PlannedOrders" ref="A1:G2" headerRowCount="1">
  <autoFilter ref="A1:G2"/>
  <tableColumns count="7">
    <tableColumn id="1" name="Part Name"/>
    <tableColumn id="2" name="Qty"/>
    <tableColumn id="3" name="Target_Delivery_Date"/>
    <tableColumn id="4" name="WeekIndex"/>
    <tableColumn id="5" name="Order_Month"/>
    <tableColumn id="6" name="IsReconciled"/>
    <tableColumn id="7" name="EffectiveQty"/>
  </tableColumns>
  <tableStyleInfo name="TableStyleMedium9" showRowStripes="1"/>
</table>
</file>

<file path=xl/tables/table4.xml><?xml version="1.0" encoding="utf-8"?>
<table xmlns="http://schemas.openxmlformats.org/spreadsheetml/2006/main" id="4" name="T_OpeningStock" displayName="T_OpeningStock" ref="A1:C57" headerRowCount="1">
  <autoFilter ref="A1:C57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5.xml><?xml version="1.0" encoding="utf-8"?>
<table xmlns="http://schemas.openxmlformats.org/spreadsheetml/2006/main" id="5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6.xml><?xml version="1.0" encoding="utf-8"?>
<table xmlns="http://schemas.openxmlformats.org/spreadsheetml/2006/main" id="6" name="M_RawMaterials" displayName="M_RawMaterials" ref="A1:J57" headerRowCount="1">
  <autoFilter ref="A1:J57"/>
  <tableColumns count="10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  <tableColumn id="10" name="固定週次消費量_要入力"/>
  </tableColumns>
  <tableStyleInfo name="TableStyleMedium9" showRowStripes="1"/>
</table>
</file>

<file path=xl/tables/table7.xml><?xml version="1.0" encoding="utf-8"?>
<table xmlns="http://schemas.openxmlformats.org/spreadsheetml/2006/main" id="7" name="M_BOM" displayName="M_BOM" ref="A1:D540" headerRowCount="1">
  <autoFilter ref="A1:D540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8.xml><?xml version="1.0" encoding="utf-8"?>
<table xmlns="http://schemas.openxmlformats.org/spreadsheetml/2006/main" id="8" name="PP_Grid" displayName="PP_Grid" ref="A1:DA138" headerRowCount="1">
  <autoFilter ref="A1:DA138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9.xml><?xml version="1.0" encoding="utf-8"?>
<table xmlns="http://schemas.openxmlformats.org/spreadsheetml/2006/main" id="9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10.xml><?xml version="1.0" encoding="utf-8"?>
<table xmlns="http://schemas.openxmlformats.org/spreadsheetml/2006/main" id="10" name="M_Intermediates" displayName="M_Intermediates" ref="A1:D138" headerRowCount="1">
  <autoFilter ref="A1:D138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1.xml><?xml version="1.0" encoding="utf-8"?>
<table xmlns="http://schemas.openxmlformats.org/spreadsheetml/2006/main" id="11" name="M_ProductMap" displayName="M_ProductMap" ref="A1:B166" headerRowCount="1">
  <autoFilter ref="A1:B166"/>
  <tableColumns count="2">
    <tableColumn id="1" name="Intermediate"/>
    <tableColumn id="2" name="Product_Code"/>
  </tableColumns>
  <tableStyleInfo name="TableStyleMedium9" showRowStripes="1"/>
</table>
</file>

<file path=xl/tables/table12.xml><?xml version="1.0" encoding="utf-8"?>
<table xmlns="http://schemas.openxmlformats.org/spreadsheetml/2006/main" id="12" name="Grid_Requirement" displayName="Grid_Requirement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Incoming" displayName="Grid_Incoming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Grid_Stock" displayName="Grid_Stock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5.xml><?xml version="1.0" encoding="utf-8"?>
<table xmlns="http://schemas.openxmlformats.org/spreadsheetml/2006/main" id="15" name="Grid_TheoreticalStock" displayName="Grid_TheoreticalStock" ref="A1:DA57" headerRowCount="1">
  <autoFilter ref="A1:DA57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6.xml><?xml version="1.0" encoding="utf-8"?>
<table xmlns="http://schemas.openxmlformats.org/spreadsheetml/2006/main" id="16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7.xml><?xml version="1.0" encoding="utf-8"?>
<table xmlns="http://schemas.openxmlformats.org/spreadsheetml/2006/main" id="17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5805;&#20316;&#12497;&#12493;&#12523;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Material_Detail'!A1" TargetMode="External" Id="rId3" /><Relationship Type="http://schemas.openxmlformats.org/officeDocument/2006/relationships/hyperlink" Target="#'PO_Draft_Chemical'!A1" TargetMode="External" Id="rId4" /><Relationship Type="http://schemas.openxmlformats.org/officeDocument/2006/relationships/hyperlink" Target="#'PO_Draft_Hazardous'!A1" TargetMode="External" Id="rId5" /><Relationship Type="http://schemas.openxmlformats.org/officeDocument/2006/relationships/hyperlink" Target="#'PO_Draft_Substrate'!A1" TargetMode="External" Id="rId6" /><Relationship Type="http://schemas.openxmlformats.org/officeDocument/2006/relationships/hyperlink" Target="#'T_Shipments'!A1" TargetMode="External" Id="rId7" /><Relationship Type="http://schemas.openxmlformats.org/officeDocument/2006/relationships/hyperlink" Target="#'T_PlannedOrders'!A1" TargetMode="External" Id="rId8" /><Relationship Type="http://schemas.openxmlformats.org/officeDocument/2006/relationships/hyperlink" Target="#'T_OpeningStock'!A1" TargetMode="External" Id="rId9" /><Relationship Type="http://schemas.openxmlformats.org/officeDocument/2006/relationships/hyperlink" Target="#'T_StockCount'!A1" TargetMode="External" Id="rId10" /><Relationship Type="http://schemas.openxmlformats.org/officeDocument/2006/relationships/hyperlink" Target="#'T_SelfStock'!A1" TargetMode="External" Id="rId11" /><Relationship Type="http://schemas.openxmlformats.org/officeDocument/2006/relationships/hyperlink" Target="#'T_TTAFStock'!A1" TargetMode="External" Id="rId1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操作パネル - 月次の運用手順順に並んだマクロボタンの設置場所</t>
        </is>
      </c>
    </row>
    <row r="4">
      <c r="A4" s="3" t="inlineStr">
        <is>
          <t>▶ Dashboard - 原材料×週の在庫（2年分・横軸で見渡せるメイン画面。まずここ）</t>
        </is>
      </c>
    </row>
    <row r="5">
      <c r="A5" s="3" t="inlineStr">
        <is>
          <t>▶ Material_Detail - 材料ごとの使用状況（どの材料が何に使われているか）</t>
        </is>
      </c>
    </row>
    <row r="6">
      <c r="A6" s="3" t="inlineStr">
        <is>
          <t>▶ PO_Draft_Chemical - 発注書ドラフト（Chemical）</t>
        </is>
      </c>
    </row>
    <row r="7">
      <c r="A7" s="3" t="inlineStr">
        <is>
          <t>▶ PO_Draft_Hazardous - 発注書ドラフト（Hazardous Chemical）</t>
        </is>
      </c>
    </row>
    <row r="8">
      <c r="A8" s="3" t="inlineStr">
        <is>
          <t>▶ PO_Draft_Substrate - 発注書ドラフト（Substrate）</t>
        </is>
      </c>
    </row>
    <row r="9">
      <c r="A9" s="3" t="inlineStr">
        <is>
          <t>▶ T_Shipments - 発注・着荷の入力（TTAF供給材料はTTAF倉庫への到着実績を表す）</t>
        </is>
      </c>
    </row>
    <row r="10">
      <c r="A10" s="3" t="inlineStr">
        <is>
          <t>▶ T_PlannedOrders - 計画中の発注の入力（PO Noが出る前の予定分。Material_DetailのOrder行に反映）</t>
        </is>
      </c>
    </row>
    <row r="11">
      <c r="A11" s="3" t="inlineStr">
        <is>
          <t>▶ T_OpeningStock - 期首在庫の入力</t>
        </is>
      </c>
    </row>
    <row r="12">
      <c r="A12" s="3" t="inlineStr">
        <is>
          <t>▶ T_StockCount - 棚卸実績の入力</t>
        </is>
      </c>
    </row>
    <row r="13">
      <c r="A13" s="3" t="inlineStr">
        <is>
          <t>▶ T_SelfStock - 自社倉庫の在庫実績（材料×週。RefreshSelfStockで自動更新）</t>
        </is>
      </c>
    </row>
    <row r="14">
      <c r="A14" s="3" t="inlineStr">
        <is>
          <t>▶ T_TTAFStock - TTAF倉庫の在庫実績（材料×週。RefreshTTAFStockで自動更新）</t>
        </is>
      </c>
    </row>
    <row r="16">
      <c r="A16" t="inlineStr"/>
    </row>
    <row r="17">
      <c r="A17" t="inlineStr">
        <is>
          <t>このブックはPower BI等に読み込ませる中間テーブルではなく、これ自体が完成品です。</t>
        </is>
      </c>
    </row>
    <row r="18">
      <c r="A18" t="inlineStr">
        <is>
          <t>Dashboard と PO_Draft_* が最終的な閲覧・発注画面、それ以外は計算の土台です。</t>
        </is>
      </c>
    </row>
    <row r="19">
      <c r="A19" t="inlineStr"/>
    </row>
    <row r="20">
      <c r="A20" t="inlineStr">
        <is>
          <t>【週番号のルール】すべてExcelの数式で計算（Cal_WeeksのB1=AnchorYearを変えると全体が再計算）</t>
        </is>
      </c>
    </row>
    <row r="21">
      <c r="A21" t="inlineStr">
        <is>
          <t xml:space="preserve">  Week1=1月1日を含む月〜日の週。年が変わると再び1にリセットされます（2026-W52の次は2027-W01）。</t>
        </is>
      </c>
    </row>
    <row r="22">
      <c r="A22" t="inlineStr">
        <is>
          <t xml:space="preserve">  各シートの週見出しは3段: 1段目=月-年(Aug-26等) / 2段目=その週月曜の日付 / 3段目=週No。</t>
        </is>
      </c>
    </row>
    <row r="23">
      <c r="A23" t="inlineStr"/>
    </row>
    <row r="24">
      <c r="A24" t="inlineStr">
        <is>
          <t>【普段見るシート】</t>
        </is>
      </c>
    </row>
    <row r="25">
      <c r="A25" t="inlineStr">
        <is>
          <t xml:space="preserve">  Dashboard           : 原材料×週の在庫を2年分、横軸で見渡せるメイン画面（まずここ）。</t>
        </is>
      </c>
    </row>
    <row r="26">
      <c r="A26" t="inlineStr">
        <is>
          <t xml:space="preserve">                        自社在庫(実績)・TTAF在庫(実績)・実績週の列で内訳も確認できます。</t>
        </is>
      </c>
    </row>
    <row r="27">
      <c r="A27" t="inlineStr">
        <is>
          <t xml:space="preserve">                        基準在庫(下限/上限)を入力すると、各週のセルが赤(下限未満)/</t>
        </is>
      </c>
    </row>
    <row r="28">
      <c r="A28" t="inlineStr">
        <is>
          <t xml:space="preserve">                        緑(範囲内)/青(上限超)に自動で色分けされます。</t>
        </is>
      </c>
    </row>
    <row r="29">
      <c r="A29" t="inlineStr">
        <is>
          <t xml:space="preserve">                        C1に'W23'のように入力すると（現在年の週Noとして検索）、</t>
        </is>
      </c>
    </row>
    <row r="30">
      <c r="A30" t="inlineStr">
        <is>
          <t xml:space="preserve">                        該当する週の列が太枠でハイライトされます。VBA(JumpToSelectedWeek、</t>
        </is>
      </c>
    </row>
    <row r="31">
      <c r="A31" t="inlineStr">
        <is>
          <t xml:space="preserve">                        要ボタン設定・詳細はdocs/SOH_System_Guide.md)を導入していれば、</t>
        </is>
      </c>
    </row>
    <row r="32">
      <c r="A32" t="inlineStr">
        <is>
          <t xml:space="preserve">                        実績週のすぐ右にその週の列が来るよう自動でスクロールもされます。</t>
        </is>
      </c>
    </row>
    <row r="33">
      <c r="A33" t="inlineStr">
        <is>
          <t xml:space="preserve">  Material_Detail     : 材料ごとに「どの中間体が・何バッチ・いくら使うか」をブロック表示（トレーサビリティ）。</t>
        </is>
      </c>
    </row>
    <row r="34">
      <c r="A34" t="inlineStr">
        <is>
          <t xml:space="preserve">                        Dashboardと同様にC1に'W23'のように入力すると該当週が求まり、</t>
        </is>
      </c>
    </row>
    <row r="35">
      <c r="A35" t="inlineStr">
        <is>
          <t xml:space="preserve">                        VBA導入時はその週列のすぐ右に自動でスクロールします。</t>
        </is>
      </c>
    </row>
    <row r="36">
      <c r="A36" t="inlineStr">
        <is>
          <t xml:space="preserve">                        材料名の右のC列にMOQ(最小発注量)を手入力できます。</t>
        </is>
      </c>
    </row>
    <row r="37">
      <c r="A37" t="inlineStr">
        <is>
          <t xml:space="preserve">                        合計使用量の下にTTAF在庫実績・自社在庫実績・Order(発注予定)・</t>
        </is>
      </c>
    </row>
    <row r="38">
      <c r="A38" t="inlineStr">
        <is>
          <t xml:space="preserve">                        合計在庫(週末時点)の週次推移も表示されます。</t>
        </is>
      </c>
    </row>
    <row r="39">
      <c r="A39" t="inlineStr">
        <is>
          <t xml:space="preserve">                        HideInactiveIntermediatesマクロ(要ボタン設定)で、指定期間ずっと生産予定の無い</t>
        </is>
      </c>
    </row>
    <row r="40">
      <c r="A40" t="inlineStr">
        <is>
          <t xml:space="preserve">                        中間体の行を折りたためます（在庫関連の行は常に表示されたままです）。</t>
        </is>
      </c>
    </row>
    <row r="41">
      <c r="A41" t="inlineStr">
        <is>
          <t xml:space="preserve">  PO_Draft_*          : 要発注分を注文書ひな形に自動転記</t>
        </is>
      </c>
    </row>
    <row r="42">
      <c r="A42" t="inlineStr">
        <is>
          <t xml:space="preserve">  T_Shipments         : 発注・着荷の入力。TTAF供給材料については「TTAF倉庫への到着実績」を</t>
        </is>
      </c>
    </row>
    <row r="43">
      <c r="A43" t="inlineStr">
        <is>
          <t xml:space="preserve">                        表します(TTAFは仕入先であり倉庫でもあるため)。TTAF以外の材料は</t>
        </is>
      </c>
    </row>
    <row r="44">
      <c r="A44" t="inlineStr">
        <is>
          <t xml:space="preserve">                        従来通り弊社への入庫実績です。RefreshShipmentsでCSA Reportの</t>
        </is>
      </c>
    </row>
    <row r="45">
      <c r="A45" t="inlineStr">
        <is>
          <t xml:space="preserve">                        Shipping Scheduleから一括更新できます（手入力も可）。</t>
        </is>
      </c>
    </row>
    <row r="46">
      <c r="A46" t="inlineStr">
        <is>
          <t xml:space="preserve">  T_PlannedOrders     : PO Noがまだ出ていない「計画中の発注」の入力（材料名・数量・納品予定日・</t>
        </is>
      </c>
    </row>
    <row r="47">
      <c r="A47" t="inlineStr">
        <is>
          <t xml:space="preserve">                        発注月）。Material_Detailの「Order」行に反映されます。同じ材料・発注月の</t>
        </is>
      </c>
    </row>
    <row r="48">
      <c r="A48" t="inlineStr">
        <is>
          <t xml:space="preserve">                        実データがT_Shipments(RefreshShipmentsで毎週更新)に現れたら</t>
        </is>
      </c>
    </row>
    <row r="49">
      <c r="A49" t="inlineStr">
        <is>
          <t xml:space="preserve">                        自動的に消え（二重計上防止）、手動削除は不要です。</t>
        </is>
      </c>
    </row>
    <row r="50">
      <c r="A50" t="inlineStr">
        <is>
          <t xml:space="preserve">  T_OpeningStock/T_StockCount : 入力用</t>
        </is>
      </c>
    </row>
    <row r="51">
      <c r="A51" t="inlineStr">
        <is>
          <t xml:space="preserve">  T_SelfStock/T_TTAFStock : 材料×週のグリッドで自社/TTAF在庫実績を表示（出力・閲覧用）。</t>
        </is>
      </c>
    </row>
    <row r="52">
      <c r="A52" t="inlineStr">
        <is>
          <t xml:space="preserve">                        RefreshSelfStock/RefreshTTAFStockで更新されます。手入力はしないでください</t>
        </is>
      </c>
    </row>
    <row r="53">
      <c r="A53" t="inlineStr">
        <is>
          <t xml:space="preserve">                        （生データは非表示のT_SelfStock_Log/T_TTAFStock_Logに安全に保存されています）。</t>
        </is>
      </c>
    </row>
    <row r="54">
      <c r="A54" t="inlineStr"/>
    </row>
    <row r="55">
      <c r="A55" t="inlineStr">
        <is>
          <t xml:space="preserve">  M_RawMaterials・M_BOM・PP_Grid・Grid_Stock・その他非表示シートは内部計算用です。通常は開く必要はありません。</t>
        </is>
      </c>
    </row>
    <row r="56">
      <c r="A56" t="inlineStr"/>
    </row>
    <row r="57">
      <c r="A57" t="inlineStr">
        <is>
          <t>【重要】原単位・バッチ数・自社/TTAF在庫・発注実績はPythonを使わず、Excel(VBA)マクロだけで更新できます。</t>
        </is>
      </c>
    </row>
    <row r="58">
      <c r="A58" t="inlineStr">
        <is>
          <t xml:space="preserve">  macros/フォルダのRefreshData_*.bas(7ファイル)を導入し、RefreshWeeklyBatches / RefreshBOM / RefreshSelfStock /</t>
        </is>
      </c>
    </row>
    <row r="59">
      <c r="A59" t="inlineStr">
        <is>
          <t xml:space="preserve">  RefreshTTAFStock / RefreshShipments を実行してください（対象ファイルを選ぶだけです。</t>
        </is>
      </c>
    </row>
    <row r="60">
      <c r="A60" t="inlineStr">
        <is>
          <t xml:space="preserve">  詳細はdocs/SOH_System_Guide.md、未検証のため要動作確認）。</t>
        </is>
      </c>
    </row>
    <row r="61">
      <c r="A61" t="inlineStr">
        <is>
          <t xml:space="preserve">  T_Shipments・T_OpeningStock・T_StockCount・T_PlannedOrders等の入力内容は上書きされません</t>
        </is>
      </c>
    </row>
    <row r="62">
      <c r="A62" t="inlineStr">
        <is>
          <t xml:space="preserve">  （T_ShipmentsはRefreshShipmentsを実行した場合のみ更新されます）。</t>
        </is>
      </c>
    </row>
    <row r="63">
      <c r="A63" t="inlineStr">
        <is>
          <t xml:space="preserve">  Material_Detailの中間体の行を隠す/戻すHideInactiveIntermediates / ShowAllIntermediatesは、</t>
        </is>
      </c>
    </row>
    <row r="64">
      <c r="A64" t="inlineStr">
        <is>
          <t xml:space="preserve">  ボタンへの割り当てが必要な一度だけの手動設定です（詳細はdocs/SOH_System_Guide.md）。</t>
        </is>
      </c>
    </row>
    <row r="65">
      <c r="A65" t="inlineStr"/>
    </row>
    <row r="66">
      <c r="A66" t="inlineStr">
        <is>
          <t>【毎月の運用】</t>
        </is>
      </c>
    </row>
    <row r="67">
      <c r="A67" t="inlineStr">
        <is>
          <t xml:space="preserve">  1. 「Powder &amp; Slurry &amp; Pgm Plan」の新しい月版でRefreshWeeklyBatchesを実行</t>
        </is>
      </c>
    </row>
    <row r="68">
      <c r="A68" t="inlineStr">
        <is>
          <t xml:space="preserve">  2. 「Usage from Production Engineering」が更新されていればRefreshBOMを実行</t>
        </is>
      </c>
    </row>
    <row r="69">
      <c r="A69" t="inlineStr">
        <is>
          <t xml:space="preserve">  3. 自社倉庫の現物確認を毎週月曜の朝に実施したらRefreshSelfStockを実行</t>
        </is>
      </c>
    </row>
    <row r="70">
      <c r="A70" t="inlineStr">
        <is>
          <t xml:space="preserve">  4. CSA Reportが毎週月曜に届いたらRefreshTTAFStockとRefreshShipmentsを実行</t>
        </is>
      </c>
    </row>
    <row r="71">
      <c r="A71" t="inlineStr">
        <is>
          <t xml:space="preserve">  5. 新しく発注したらT_PlannedOrdersに追記（材料名・数量・納品予定日・発注月）</t>
        </is>
      </c>
    </row>
    <row r="72">
      <c r="A72" t="inlineStr">
        <is>
          <t xml:space="preserve">  6. 棚卸を実施したらT_StockCountに実測値を追記（Date列に実施日を入力。WeekIndex列は自動計算）</t>
        </is>
      </c>
    </row>
    <row r="73">
      <c r="A73" t="inlineStr">
        <is>
          <t xml:space="preserve">  7. Dashboardで赤色(基準在庫の下限未満)の週を確認し、PO_Draft_*から注文書を出力</t>
        </is>
      </c>
    </row>
    <row r="74">
      <c r="A74" t="inlineStr">
        <is>
          <t xml:space="preserve">  8. 月初は、前月最終週と当月頭のDashboardを見比べて在庫差異を確認（Plan Increase and Decrease /</t>
        </is>
      </c>
    </row>
    <row r="75">
      <c r="A75" t="inlineStr">
        <is>
          <t xml:space="preserve">     Inventory Releasesの報告フォーマットに転記）</t>
        </is>
      </c>
    </row>
    <row r="76">
      <c r="A76" t="inlineStr"/>
    </row>
    <row r="77">
      <c r="A77" t="inlineStr">
        <is>
          <t>【前提・要確認事項】詳細はdocs/SOH_System_Guide.mdを参照</t>
        </is>
      </c>
    </row>
    <row r="78">
      <c r="A78" t="inlineStr">
        <is>
          <t xml:space="preserve">  - M_RawMaterials の基準在庫(下限/上限)とLeadTime_Weeksは仮値(0)です。実際の水準に置き換えてください</t>
        </is>
      </c>
    </row>
    <row r="79">
      <c r="A79" t="inlineStr">
        <is>
          <t xml:space="preserve">    （Dashboardの週次セルの赤/緑/青の色分けに使われます）。</t>
        </is>
      </c>
    </row>
    <row r="80">
      <c r="A80" t="inlineStr">
        <is>
          <t xml:space="preserve">  - Categoryの割り当て(Chemical/Hazardous Chemical/Substrate)は入手データから機械的に推定した部分があります。要レビュー。</t>
        </is>
      </c>
    </row>
    <row r="81">
      <c r="A81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70" customWidth="1" min="3" max="3"/>
    <col width="22" customWidth="1" min="5" max="5"/>
    <col width="22" customWidth="1" min="6" max="6"/>
  </cols>
  <sheetData>
    <row r="1">
      <c r="A1" s="1" t="inlineStr">
        <is>
          <t>操作パネル（ボタンの設置場所）</t>
        </is>
      </c>
    </row>
    <row r="2" ht="45" customHeight="1">
      <c r="A2" s="4" t="inlineStr">
        <is>
          <t>Alt+F8のマクロ一覧は常にアルファベット順になるため、このシートに月次の運用手順の順でボタンを配置します。ボタンの作成・マクロの割り当ては貴社のExcelで一度だけ手動で行ってください（下記の番号・マクロ名の行に重ねて図形を描き、「マクロの登録」で対応するマクロ名を選ぶだけです）。詳しい手順はdocs/SOH_System_Guide.mdを参照してください。</t>
        </is>
      </c>
    </row>
    <row r="3">
      <c r="E3" s="5" t="inlineStr">
        <is>
          <t>Solution名リスト（RefreshWeeklyBatchesの行判定に使用）</t>
        </is>
      </c>
    </row>
    <row r="4">
      <c r="A4" s="6" t="inlineStr">
        <is>
          <t>【毎月・毎週の定型作業】上から順に実行</t>
        </is>
      </c>
      <c r="B4" s="6" t="n"/>
      <c r="C4" s="6" t="n"/>
      <c r="E4" s="6" t="inlineStr">
        <is>
          <t>略称（Pgm Plan表記）</t>
        </is>
      </c>
      <c r="F4" s="6" t="inlineStr">
        <is>
          <t>正式名（システム内部名）</t>
        </is>
      </c>
    </row>
    <row r="5">
      <c r="A5" s="7" t="n">
        <v>1</v>
      </c>
      <c r="B5" s="8" t="inlineStr">
        <is>
          <t>RefreshWeeklyBatches</t>
        </is>
      </c>
      <c r="C5" s="9" t="inlineStr">
        <is>
          <t>「Powder &amp; Slurry &amp; Pgm Plan」の新しい月版が出たら実行</t>
        </is>
      </c>
      <c r="E5" t="inlineStr">
        <is>
          <t>20P</t>
        </is>
      </c>
      <c r="F5" t="inlineStr">
        <is>
          <t>SOL-20P</t>
        </is>
      </c>
    </row>
    <row r="6">
      <c r="A6" s="7" t="n">
        <v>2</v>
      </c>
      <c r="B6" s="8" t="inlineStr">
        <is>
          <t>RefreshBOM</t>
        </is>
      </c>
      <c r="C6" s="9" t="inlineStr">
        <is>
          <t>「Usage from Production Engineering」が更新されたら実行</t>
        </is>
      </c>
      <c r="E6" t="inlineStr">
        <is>
          <t>10H</t>
        </is>
      </c>
      <c r="F6" t="inlineStr">
        <is>
          <t>SOL-10H</t>
        </is>
      </c>
    </row>
    <row r="7">
      <c r="A7" s="7" t="n">
        <v>3</v>
      </c>
      <c r="B7" s="8" t="inlineStr">
        <is>
          <t>RefreshSelfStock</t>
        </is>
      </c>
      <c r="C7" s="9" t="inlineStr">
        <is>
          <t>自社倉庫の現物確認（daily check）を毎週月曜の朝に実施したら実行</t>
        </is>
      </c>
      <c r="E7" t="inlineStr">
        <is>
          <t>10H VW</t>
        </is>
      </c>
      <c r="F7" t="inlineStr">
        <is>
          <t>SOL-10H VW</t>
        </is>
      </c>
    </row>
    <row r="8">
      <c r="A8" s="7" t="n">
        <v>4</v>
      </c>
      <c r="B8" s="8" t="inlineStr">
        <is>
          <t>RefreshTTAFStock</t>
        </is>
      </c>
      <c r="C8" s="9" t="inlineStr">
        <is>
          <t>CSA Reportが毎週月曜に届いたら実行（TTAF在庫）</t>
        </is>
      </c>
      <c r="E8" t="inlineStr">
        <is>
          <t>250D</t>
        </is>
      </c>
      <c r="F8" t="inlineStr">
        <is>
          <t>SOL-250D</t>
        </is>
      </c>
    </row>
    <row r="9">
      <c r="A9" s="7" t="n">
        <v>5</v>
      </c>
      <c r="B9" s="8" t="inlineStr">
        <is>
          <t>RefreshShipments</t>
        </is>
      </c>
      <c r="C9" s="9" t="inlineStr">
        <is>
          <t>CSA Reportが毎週月曜に届いたら実行（発注・着荷）</t>
        </is>
      </c>
      <c r="E9" t="inlineStr">
        <is>
          <t>85D</t>
        </is>
      </c>
      <c r="F9" t="inlineStr">
        <is>
          <t>SOL-85D</t>
        </is>
      </c>
    </row>
    <row r="10">
      <c r="E10" t="inlineStr">
        <is>
          <t>SCH</t>
        </is>
      </c>
      <c r="F10" t="inlineStr">
        <is>
          <t>SOL-SCH</t>
        </is>
      </c>
    </row>
    <row r="11">
      <c r="A11" s="6" t="inlineStr">
        <is>
          <t>【任意】Material_Detailの表示調整</t>
        </is>
      </c>
      <c r="B11" s="6" t="n"/>
      <c r="C11" s="6" t="n"/>
      <c r="E11" t="inlineStr">
        <is>
          <t>SH</t>
        </is>
      </c>
      <c r="F11" t="inlineStr">
        <is>
          <t>SOL-SH</t>
        </is>
      </c>
    </row>
    <row r="12">
      <c r="A12" s="7" t="n">
        <v>6</v>
      </c>
      <c r="B12" s="8" t="inlineStr">
        <is>
          <t>HideInactiveIntermediates</t>
        </is>
      </c>
      <c r="C12" s="9" t="inlineStr">
        <is>
          <t>しばらく生産予定の無い中間体の行を折りたたむ</t>
        </is>
      </c>
    </row>
    <row r="13">
      <c r="A13" s="7" t="n">
        <v>7</v>
      </c>
      <c r="B13" s="8" t="inlineStr">
        <is>
          <t>ShowAllIntermediates</t>
        </is>
      </c>
      <c r="C13" s="9" t="inlineStr">
        <is>
          <t>折りたたんだ行をすべて再表示する</t>
        </is>
      </c>
    </row>
    <row r="15">
      <c r="A15" s="6" t="inlineStr">
        <is>
          <t>【まれに使う】材料・中間体の追加/削除（取り消せません。事前にバックアップ推奨）</t>
        </is>
      </c>
      <c r="B15" s="6" t="n"/>
      <c r="C15" s="6" t="n"/>
    </row>
    <row r="16">
      <c r="A16" s="7" t="n">
        <v>8</v>
      </c>
      <c r="B16" s="8" t="inlineStr">
        <is>
          <t>AddMaterial</t>
        </is>
      </c>
      <c r="C16" s="9" t="inlineStr">
        <is>
          <t>新しい材料(TTAF供給品)をシステムに追加する</t>
        </is>
      </c>
    </row>
    <row r="17">
      <c r="A17" s="7" t="n">
        <v>9</v>
      </c>
      <c r="B17" s="8" t="inlineStr">
        <is>
          <t>RemoveMaterial</t>
        </is>
      </c>
      <c r="C17" s="9" t="inlineStr">
        <is>
          <t>使わなくなった材料をシステムから削除する</t>
        </is>
      </c>
    </row>
    <row r="18">
      <c r="A18" s="7" t="n">
        <v>10</v>
      </c>
      <c r="B18" s="8" t="inlineStr">
        <is>
          <t>RemoveIntermediate</t>
        </is>
      </c>
      <c r="C18" s="9" t="inlineStr">
        <is>
          <t>生産中止になった中間体をシステムから削除する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J118"/>
  <sheetViews>
    <sheetView workbookViewId="0">
      <pane xSplit="10" ySplit="6" topLeftCell="K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0" customWidth="1" min="9" max="9"/>
    <col width="12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>
        <f>'Cal_Weeks'!G4</f>
        <v/>
      </c>
      <c r="L3" s="13">
        <f>IF(TEXT('Cal_Weeks'!B5,"mmm-yy")&lt;&gt;TEXT('Cal_Weeks'!B4,"mmm-yy"),'Cal_Weeks'!G5,"")</f>
        <v/>
      </c>
      <c r="M3" s="13">
        <f>IF(TEXT('Cal_Weeks'!B6,"mmm-yy")&lt;&gt;TEXT('Cal_Weeks'!B5,"mmm-yy"),'Cal_Weeks'!G6,"")</f>
        <v/>
      </c>
      <c r="N3" s="13">
        <f>IF(TEXT('Cal_Weeks'!B7,"mmm-yy")&lt;&gt;TEXT('Cal_Weeks'!B6,"mmm-yy"),'Cal_Weeks'!G7,"")</f>
        <v/>
      </c>
      <c r="O3" s="13">
        <f>IF(TEXT('Cal_Weeks'!B8,"mmm-yy")&lt;&gt;TEXT('Cal_Weeks'!B7,"mmm-yy"),'Cal_Weeks'!G8,"")</f>
        <v/>
      </c>
      <c r="P3" s="13">
        <f>IF(TEXT('Cal_Weeks'!B9,"mmm-yy")&lt;&gt;TEXT('Cal_Weeks'!B8,"mmm-yy"),'Cal_Weeks'!G9,"")</f>
        <v/>
      </c>
      <c r="Q3" s="13">
        <f>IF(TEXT('Cal_Weeks'!B10,"mmm-yy")&lt;&gt;TEXT('Cal_Weeks'!B9,"mmm-yy"),'Cal_Weeks'!G10,"")</f>
        <v/>
      </c>
      <c r="R3" s="13">
        <f>IF(TEXT('Cal_Weeks'!B11,"mmm-yy")&lt;&gt;TEXT('Cal_Weeks'!B10,"mmm-yy"),'Cal_Weeks'!G11,"")</f>
        <v/>
      </c>
      <c r="S3" s="13">
        <f>IF(TEXT('Cal_Weeks'!B12,"mmm-yy")&lt;&gt;TEXT('Cal_Weeks'!B11,"mmm-yy"),'Cal_Weeks'!G12,"")</f>
        <v/>
      </c>
      <c r="T3" s="13">
        <f>IF(TEXT('Cal_Weeks'!B13,"mmm-yy")&lt;&gt;TEXT('Cal_Weeks'!B12,"mmm-yy"),'Cal_Weeks'!G13,"")</f>
        <v/>
      </c>
      <c r="U3" s="13">
        <f>IF(TEXT('Cal_Weeks'!B14,"mmm-yy")&lt;&gt;TEXT('Cal_Weeks'!B13,"mmm-yy"),'Cal_Weeks'!G14,"")</f>
        <v/>
      </c>
      <c r="V3" s="13">
        <f>IF(TEXT('Cal_Weeks'!B15,"mmm-yy")&lt;&gt;TEXT('Cal_Weeks'!B14,"mmm-yy"),'Cal_Weeks'!G15,"")</f>
        <v/>
      </c>
      <c r="W3" s="13">
        <f>IF(TEXT('Cal_Weeks'!B16,"mmm-yy")&lt;&gt;TEXT('Cal_Weeks'!B15,"mmm-yy"),'Cal_Weeks'!G16,"")</f>
        <v/>
      </c>
      <c r="X3" s="13">
        <f>IF(TEXT('Cal_Weeks'!B17,"mmm-yy")&lt;&gt;TEXT('Cal_Weeks'!B16,"mmm-yy"),'Cal_Weeks'!G17,"")</f>
        <v/>
      </c>
      <c r="Y3" s="13">
        <f>IF(TEXT('Cal_Weeks'!B18,"mmm-yy")&lt;&gt;TEXT('Cal_Weeks'!B17,"mmm-yy"),'Cal_Weeks'!G18,"")</f>
        <v/>
      </c>
      <c r="Z3" s="13">
        <f>IF(TEXT('Cal_Weeks'!B19,"mmm-yy")&lt;&gt;TEXT('Cal_Weeks'!B18,"mmm-yy"),'Cal_Weeks'!G19,"")</f>
        <v/>
      </c>
      <c r="AA3" s="13">
        <f>IF(TEXT('Cal_Weeks'!B20,"mmm-yy")&lt;&gt;TEXT('Cal_Weeks'!B19,"mmm-yy"),'Cal_Weeks'!G20,"")</f>
        <v/>
      </c>
      <c r="AB3" s="13">
        <f>IF(TEXT('Cal_Weeks'!B21,"mmm-yy")&lt;&gt;TEXT('Cal_Weeks'!B20,"mmm-yy"),'Cal_Weeks'!G21,"")</f>
        <v/>
      </c>
      <c r="AC3" s="13">
        <f>IF(TEXT('Cal_Weeks'!B22,"mmm-yy")&lt;&gt;TEXT('Cal_Weeks'!B21,"mmm-yy"),'Cal_Weeks'!G22,"")</f>
        <v/>
      </c>
      <c r="AD3" s="13">
        <f>IF(TEXT('Cal_Weeks'!B23,"mmm-yy")&lt;&gt;TEXT('Cal_Weeks'!B22,"mmm-yy"),'Cal_Weeks'!G23,"")</f>
        <v/>
      </c>
      <c r="AE3" s="13">
        <f>IF(TEXT('Cal_Weeks'!B24,"mmm-yy")&lt;&gt;TEXT('Cal_Weeks'!B23,"mmm-yy"),'Cal_Weeks'!G24,"")</f>
        <v/>
      </c>
      <c r="AF3" s="13">
        <f>IF(TEXT('Cal_Weeks'!B25,"mmm-yy")&lt;&gt;TEXT('Cal_Weeks'!B24,"mmm-yy"),'Cal_Weeks'!G25,"")</f>
        <v/>
      </c>
      <c r="AG3" s="13">
        <f>IF(TEXT('Cal_Weeks'!B26,"mmm-yy")&lt;&gt;TEXT('Cal_Weeks'!B25,"mmm-yy"),'Cal_Weeks'!G26,"")</f>
        <v/>
      </c>
      <c r="AH3" s="13">
        <f>IF(TEXT('Cal_Weeks'!B27,"mmm-yy")&lt;&gt;TEXT('Cal_Weeks'!B26,"mmm-yy"),'Cal_Weeks'!G27,"")</f>
        <v/>
      </c>
      <c r="AI3" s="13">
        <f>IF(TEXT('Cal_Weeks'!B28,"mmm-yy")&lt;&gt;TEXT('Cal_Weeks'!B27,"mmm-yy"),'Cal_Weeks'!G28,"")</f>
        <v/>
      </c>
      <c r="AJ3" s="13">
        <f>IF(TEXT('Cal_Weeks'!B29,"mmm-yy")&lt;&gt;TEXT('Cal_Weeks'!B28,"mmm-yy"),'Cal_Weeks'!G29,"")</f>
        <v/>
      </c>
      <c r="AK3" s="13">
        <f>IF(TEXT('Cal_Weeks'!B30,"mmm-yy")&lt;&gt;TEXT('Cal_Weeks'!B29,"mmm-yy"),'Cal_Weeks'!G30,"")</f>
        <v/>
      </c>
      <c r="AL3" s="13">
        <f>IF(TEXT('Cal_Weeks'!B31,"mmm-yy")&lt;&gt;TEXT('Cal_Weeks'!B30,"mmm-yy"),'Cal_Weeks'!G31,"")</f>
        <v/>
      </c>
      <c r="AM3" s="13">
        <f>IF(TEXT('Cal_Weeks'!B32,"mmm-yy")&lt;&gt;TEXT('Cal_Weeks'!B31,"mmm-yy"),'Cal_Weeks'!G32,"")</f>
        <v/>
      </c>
      <c r="AN3" s="13">
        <f>IF(TEXT('Cal_Weeks'!B33,"mmm-yy")&lt;&gt;TEXT('Cal_Weeks'!B32,"mmm-yy"),'Cal_Weeks'!G33,"")</f>
        <v/>
      </c>
      <c r="AO3" s="13">
        <f>IF(TEXT('Cal_Weeks'!B34,"mmm-yy")&lt;&gt;TEXT('Cal_Weeks'!B33,"mmm-yy"),'Cal_Weeks'!G34,"")</f>
        <v/>
      </c>
      <c r="AP3" s="13">
        <f>IF(TEXT('Cal_Weeks'!B35,"mmm-yy")&lt;&gt;TEXT('Cal_Weeks'!B34,"mmm-yy"),'Cal_Weeks'!G35,"")</f>
        <v/>
      </c>
      <c r="AQ3" s="13">
        <f>IF(TEXT('Cal_Weeks'!B36,"mmm-yy")&lt;&gt;TEXT('Cal_Weeks'!B35,"mmm-yy"),'Cal_Weeks'!G36,"")</f>
        <v/>
      </c>
      <c r="AR3" s="13">
        <f>IF(TEXT('Cal_Weeks'!B37,"mmm-yy")&lt;&gt;TEXT('Cal_Weeks'!B36,"mmm-yy"),'Cal_Weeks'!G37,"")</f>
        <v/>
      </c>
      <c r="AS3" s="13">
        <f>IF(TEXT('Cal_Weeks'!B38,"mmm-yy")&lt;&gt;TEXT('Cal_Weeks'!B37,"mmm-yy"),'Cal_Weeks'!G38,"")</f>
        <v/>
      </c>
      <c r="AT3" s="13">
        <f>IF(TEXT('Cal_Weeks'!B39,"mmm-yy")&lt;&gt;TEXT('Cal_Weeks'!B38,"mmm-yy"),'Cal_Weeks'!G39,"")</f>
        <v/>
      </c>
      <c r="AU3" s="13">
        <f>IF(TEXT('Cal_Weeks'!B40,"mmm-yy")&lt;&gt;TEXT('Cal_Weeks'!B39,"mmm-yy"),'Cal_Weeks'!G40,"")</f>
        <v/>
      </c>
      <c r="AV3" s="13">
        <f>IF(TEXT('Cal_Weeks'!B41,"mmm-yy")&lt;&gt;TEXT('Cal_Weeks'!B40,"mmm-yy"),'Cal_Weeks'!G41,"")</f>
        <v/>
      </c>
      <c r="AW3" s="13">
        <f>IF(TEXT('Cal_Weeks'!B42,"mmm-yy")&lt;&gt;TEXT('Cal_Weeks'!B41,"mmm-yy"),'Cal_Weeks'!G42,"")</f>
        <v/>
      </c>
      <c r="AX3" s="13">
        <f>IF(TEXT('Cal_Weeks'!B43,"mmm-yy")&lt;&gt;TEXT('Cal_Weeks'!B42,"mmm-yy"),'Cal_Weeks'!G43,"")</f>
        <v/>
      </c>
      <c r="AY3" s="13">
        <f>IF(TEXT('Cal_Weeks'!B44,"mmm-yy")&lt;&gt;TEXT('Cal_Weeks'!B43,"mmm-yy"),'Cal_Weeks'!G44,"")</f>
        <v/>
      </c>
      <c r="AZ3" s="13">
        <f>IF(TEXT('Cal_Weeks'!B45,"mmm-yy")&lt;&gt;TEXT('Cal_Weeks'!B44,"mmm-yy"),'Cal_Weeks'!G45,"")</f>
        <v/>
      </c>
      <c r="BA3" s="13">
        <f>IF(TEXT('Cal_Weeks'!B46,"mmm-yy")&lt;&gt;TEXT('Cal_Weeks'!B45,"mmm-yy"),'Cal_Weeks'!G46,"")</f>
        <v/>
      </c>
      <c r="BB3" s="13">
        <f>IF(TEXT('Cal_Weeks'!B47,"mmm-yy")&lt;&gt;TEXT('Cal_Weeks'!B46,"mmm-yy"),'Cal_Weeks'!G47,"")</f>
        <v/>
      </c>
      <c r="BC3" s="13">
        <f>IF(TEXT('Cal_Weeks'!B48,"mmm-yy")&lt;&gt;TEXT('Cal_Weeks'!B47,"mmm-yy"),'Cal_Weeks'!G48,"")</f>
        <v/>
      </c>
      <c r="BD3" s="13">
        <f>IF(TEXT('Cal_Weeks'!B49,"mmm-yy")&lt;&gt;TEXT('Cal_Weeks'!B48,"mmm-yy"),'Cal_Weeks'!G49,"")</f>
        <v/>
      </c>
      <c r="BE3" s="13">
        <f>IF(TEXT('Cal_Weeks'!B50,"mmm-yy")&lt;&gt;TEXT('Cal_Weeks'!B49,"mmm-yy"),'Cal_Weeks'!G50,"")</f>
        <v/>
      </c>
      <c r="BF3" s="13">
        <f>IF(TEXT('Cal_Weeks'!B51,"mmm-yy")&lt;&gt;TEXT('Cal_Weeks'!B50,"mmm-yy"),'Cal_Weeks'!G51,"")</f>
        <v/>
      </c>
      <c r="BG3" s="13">
        <f>IF(TEXT('Cal_Weeks'!B52,"mmm-yy")&lt;&gt;TEXT('Cal_Weeks'!B51,"mmm-yy"),'Cal_Weeks'!G52,"")</f>
        <v/>
      </c>
      <c r="BH3" s="13">
        <f>IF(TEXT('Cal_Weeks'!B53,"mmm-yy")&lt;&gt;TEXT('Cal_Weeks'!B52,"mmm-yy"),'Cal_Weeks'!G53,"")</f>
        <v/>
      </c>
      <c r="BI3" s="13">
        <f>IF(TEXT('Cal_Weeks'!B54,"mmm-yy")&lt;&gt;TEXT('Cal_Weeks'!B53,"mmm-yy"),'Cal_Weeks'!G54,"")</f>
        <v/>
      </c>
      <c r="BJ3" s="13">
        <f>IF(TEXT('Cal_Weeks'!B55,"mmm-yy")&lt;&gt;TEXT('Cal_Weeks'!B54,"mmm-yy"),'Cal_Weeks'!G55,"")</f>
        <v/>
      </c>
      <c r="BK3" s="13">
        <f>IF(TEXT('Cal_Weeks'!B56,"mmm-yy")&lt;&gt;TEXT('Cal_Weeks'!B55,"mmm-yy"),'Cal_Weeks'!G56,"")</f>
        <v/>
      </c>
      <c r="BL3" s="13">
        <f>IF(TEXT('Cal_Weeks'!B57,"mmm-yy")&lt;&gt;TEXT('Cal_Weeks'!B56,"mmm-yy"),'Cal_Weeks'!G57,"")</f>
        <v/>
      </c>
      <c r="BM3" s="13">
        <f>IF(TEXT('Cal_Weeks'!B58,"mmm-yy")&lt;&gt;TEXT('Cal_Weeks'!B57,"mmm-yy"),'Cal_Weeks'!G58,"")</f>
        <v/>
      </c>
      <c r="BN3" s="13">
        <f>IF(TEXT('Cal_Weeks'!B59,"mmm-yy")&lt;&gt;TEXT('Cal_Weeks'!B58,"mmm-yy"),'Cal_Weeks'!G59,"")</f>
        <v/>
      </c>
      <c r="BO3" s="13">
        <f>IF(TEXT('Cal_Weeks'!B60,"mmm-yy")&lt;&gt;TEXT('Cal_Weeks'!B59,"mmm-yy"),'Cal_Weeks'!G60,"")</f>
        <v/>
      </c>
      <c r="BP3" s="13">
        <f>IF(TEXT('Cal_Weeks'!B61,"mmm-yy")&lt;&gt;TEXT('Cal_Weeks'!B60,"mmm-yy"),'Cal_Weeks'!G61,"")</f>
        <v/>
      </c>
      <c r="BQ3" s="13">
        <f>IF(TEXT('Cal_Weeks'!B62,"mmm-yy")&lt;&gt;TEXT('Cal_Weeks'!B61,"mmm-yy"),'Cal_Weeks'!G62,"")</f>
        <v/>
      </c>
      <c r="BR3" s="13">
        <f>IF(TEXT('Cal_Weeks'!B63,"mmm-yy")&lt;&gt;TEXT('Cal_Weeks'!B62,"mmm-yy"),'Cal_Weeks'!G63,"")</f>
        <v/>
      </c>
      <c r="BS3" s="13">
        <f>IF(TEXT('Cal_Weeks'!B64,"mmm-yy")&lt;&gt;TEXT('Cal_Weeks'!B63,"mmm-yy"),'Cal_Weeks'!G64,"")</f>
        <v/>
      </c>
      <c r="BT3" s="13">
        <f>IF(TEXT('Cal_Weeks'!B65,"mmm-yy")&lt;&gt;TEXT('Cal_Weeks'!B64,"mmm-yy"),'Cal_Weeks'!G65,"")</f>
        <v/>
      </c>
      <c r="BU3" s="13">
        <f>IF(TEXT('Cal_Weeks'!B66,"mmm-yy")&lt;&gt;TEXT('Cal_Weeks'!B65,"mmm-yy"),'Cal_Weeks'!G66,"")</f>
        <v/>
      </c>
      <c r="BV3" s="13">
        <f>IF(TEXT('Cal_Weeks'!B67,"mmm-yy")&lt;&gt;TEXT('Cal_Weeks'!B66,"mmm-yy"),'Cal_Weeks'!G67,"")</f>
        <v/>
      </c>
      <c r="BW3" s="13">
        <f>IF(TEXT('Cal_Weeks'!B68,"mmm-yy")&lt;&gt;TEXT('Cal_Weeks'!B67,"mmm-yy"),'Cal_Weeks'!G68,"")</f>
        <v/>
      </c>
      <c r="BX3" s="13">
        <f>IF(TEXT('Cal_Weeks'!B69,"mmm-yy")&lt;&gt;TEXT('Cal_Weeks'!B68,"mmm-yy"),'Cal_Weeks'!G69,"")</f>
        <v/>
      </c>
      <c r="BY3" s="13">
        <f>IF(TEXT('Cal_Weeks'!B70,"mmm-yy")&lt;&gt;TEXT('Cal_Weeks'!B69,"mmm-yy"),'Cal_Weeks'!G70,"")</f>
        <v/>
      </c>
      <c r="BZ3" s="13">
        <f>IF(TEXT('Cal_Weeks'!B71,"mmm-yy")&lt;&gt;TEXT('Cal_Weeks'!B70,"mmm-yy"),'Cal_Weeks'!G71,"")</f>
        <v/>
      </c>
      <c r="CA3" s="13">
        <f>IF(TEXT('Cal_Weeks'!B72,"mmm-yy")&lt;&gt;TEXT('Cal_Weeks'!B71,"mmm-yy"),'Cal_Weeks'!G72,"")</f>
        <v/>
      </c>
      <c r="CB3" s="13">
        <f>IF(TEXT('Cal_Weeks'!B73,"mmm-yy")&lt;&gt;TEXT('Cal_Weeks'!B72,"mmm-yy"),'Cal_Weeks'!G73,"")</f>
        <v/>
      </c>
      <c r="CC3" s="13">
        <f>IF(TEXT('Cal_Weeks'!B74,"mmm-yy")&lt;&gt;TEXT('Cal_Weeks'!B73,"mmm-yy"),'Cal_Weeks'!G74,"")</f>
        <v/>
      </c>
      <c r="CD3" s="13">
        <f>IF(TEXT('Cal_Weeks'!B75,"mmm-yy")&lt;&gt;TEXT('Cal_Weeks'!B74,"mmm-yy"),'Cal_Weeks'!G75,"")</f>
        <v/>
      </c>
      <c r="CE3" s="13">
        <f>IF(TEXT('Cal_Weeks'!B76,"mmm-yy")&lt;&gt;TEXT('Cal_Weeks'!B75,"mmm-yy"),'Cal_Weeks'!G76,"")</f>
        <v/>
      </c>
      <c r="CF3" s="13">
        <f>IF(TEXT('Cal_Weeks'!B77,"mmm-yy")&lt;&gt;TEXT('Cal_Weeks'!B76,"mmm-yy"),'Cal_Weeks'!G77,"")</f>
        <v/>
      </c>
      <c r="CG3" s="13">
        <f>IF(TEXT('Cal_Weeks'!B78,"mmm-yy")&lt;&gt;TEXT('Cal_Weeks'!B77,"mmm-yy"),'Cal_Weeks'!G78,"")</f>
        <v/>
      </c>
      <c r="CH3" s="13">
        <f>IF(TEXT('Cal_Weeks'!B79,"mmm-yy")&lt;&gt;TEXT('Cal_Weeks'!B78,"mmm-yy"),'Cal_Weeks'!G79,"")</f>
        <v/>
      </c>
      <c r="CI3" s="13">
        <f>IF(TEXT('Cal_Weeks'!B80,"mmm-yy")&lt;&gt;TEXT('Cal_Weeks'!B79,"mmm-yy"),'Cal_Weeks'!G80,"")</f>
        <v/>
      </c>
      <c r="CJ3" s="13">
        <f>IF(TEXT('Cal_Weeks'!B81,"mmm-yy")&lt;&gt;TEXT('Cal_Weeks'!B80,"mmm-yy"),'Cal_Weeks'!G81,"")</f>
        <v/>
      </c>
      <c r="CK3" s="13">
        <f>IF(TEXT('Cal_Weeks'!B82,"mmm-yy")&lt;&gt;TEXT('Cal_Weeks'!B81,"mmm-yy"),'Cal_Weeks'!G82,"")</f>
        <v/>
      </c>
      <c r="CL3" s="13">
        <f>IF(TEXT('Cal_Weeks'!B83,"mmm-yy")&lt;&gt;TEXT('Cal_Weeks'!B82,"mmm-yy"),'Cal_Weeks'!G83,"")</f>
        <v/>
      </c>
      <c r="CM3" s="13">
        <f>IF(TEXT('Cal_Weeks'!B84,"mmm-yy")&lt;&gt;TEXT('Cal_Weeks'!B83,"mmm-yy"),'Cal_Weeks'!G84,"")</f>
        <v/>
      </c>
      <c r="CN3" s="13">
        <f>IF(TEXT('Cal_Weeks'!B85,"mmm-yy")&lt;&gt;TEXT('Cal_Weeks'!B84,"mmm-yy"),'Cal_Weeks'!G85,"")</f>
        <v/>
      </c>
      <c r="CO3" s="13">
        <f>IF(TEXT('Cal_Weeks'!B86,"mmm-yy")&lt;&gt;TEXT('Cal_Weeks'!B85,"mmm-yy"),'Cal_Weeks'!G86,"")</f>
        <v/>
      </c>
      <c r="CP3" s="13">
        <f>IF(TEXT('Cal_Weeks'!B87,"mmm-yy")&lt;&gt;TEXT('Cal_Weeks'!B86,"mmm-yy"),'Cal_Weeks'!G87,"")</f>
        <v/>
      </c>
      <c r="CQ3" s="13">
        <f>IF(TEXT('Cal_Weeks'!B88,"mmm-yy")&lt;&gt;TEXT('Cal_Weeks'!B87,"mmm-yy"),'Cal_Weeks'!G88,"")</f>
        <v/>
      </c>
      <c r="CR3" s="13">
        <f>IF(TEXT('Cal_Weeks'!B89,"mmm-yy")&lt;&gt;TEXT('Cal_Weeks'!B88,"mmm-yy"),'Cal_Weeks'!G89,"")</f>
        <v/>
      </c>
      <c r="CS3" s="13">
        <f>IF(TEXT('Cal_Weeks'!B90,"mmm-yy")&lt;&gt;TEXT('Cal_Weeks'!B89,"mmm-yy"),'Cal_Weeks'!G90,"")</f>
        <v/>
      </c>
      <c r="CT3" s="13">
        <f>IF(TEXT('Cal_Weeks'!B91,"mmm-yy")&lt;&gt;TEXT('Cal_Weeks'!B90,"mmm-yy"),'Cal_Weeks'!G91,"")</f>
        <v/>
      </c>
      <c r="CU3" s="13">
        <f>IF(TEXT('Cal_Weeks'!B92,"mmm-yy")&lt;&gt;TEXT('Cal_Weeks'!B91,"mmm-yy"),'Cal_Weeks'!G92,"")</f>
        <v/>
      </c>
      <c r="CV3" s="13">
        <f>IF(TEXT('Cal_Weeks'!B93,"mmm-yy")&lt;&gt;TEXT('Cal_Weeks'!B92,"mmm-yy"),'Cal_Weeks'!G93,"")</f>
        <v/>
      </c>
      <c r="CW3" s="13">
        <f>IF(TEXT('Cal_Weeks'!B94,"mmm-yy")&lt;&gt;TEXT('Cal_Weeks'!B93,"mmm-yy"),'Cal_Weeks'!G94,"")</f>
        <v/>
      </c>
      <c r="CX3" s="13">
        <f>IF(TEXT('Cal_Weeks'!B95,"mmm-yy")&lt;&gt;TEXT('Cal_Weeks'!B94,"mmm-yy"),'Cal_Weeks'!G95,"")</f>
        <v/>
      </c>
      <c r="CY3" s="13">
        <f>IF(TEXT('Cal_Weeks'!B96,"mmm-yy")&lt;&gt;TEXT('Cal_Weeks'!B95,"mmm-yy"),'Cal_Weeks'!G96,"")</f>
        <v/>
      </c>
      <c r="CZ3" s="13">
        <f>IF(TEXT('Cal_Weeks'!B97,"mmm-yy")&lt;&gt;TEXT('Cal_Weeks'!B96,"mmm-yy"),'Cal_Weeks'!G97,"")</f>
        <v/>
      </c>
      <c r="DA3" s="13">
        <f>IF(TEXT('Cal_Weeks'!B98,"mmm-yy")&lt;&gt;TEXT('Cal_Weeks'!B97,"mmm-yy"),'Cal_Weeks'!G98,"")</f>
        <v/>
      </c>
      <c r="DB3" s="13">
        <f>IF(TEXT('Cal_Weeks'!B99,"mmm-yy")&lt;&gt;TEXT('Cal_Weeks'!B98,"mmm-yy"),'Cal_Weeks'!G99,"")</f>
        <v/>
      </c>
      <c r="DC3" s="13">
        <f>IF(TEXT('Cal_Weeks'!B100,"mmm-yy")&lt;&gt;TEXT('Cal_Weeks'!B99,"mmm-yy"),'Cal_Weeks'!G100,"")</f>
        <v/>
      </c>
      <c r="DD3" s="13">
        <f>IF(TEXT('Cal_Weeks'!B101,"mmm-yy")&lt;&gt;TEXT('Cal_Weeks'!B100,"mmm-yy"),'Cal_Weeks'!G101,"")</f>
        <v/>
      </c>
      <c r="DE3" s="13">
        <f>IF(TEXT('Cal_Weeks'!B102,"mmm-yy")&lt;&gt;TEXT('Cal_Weeks'!B101,"mmm-yy"),'Cal_Weeks'!G102,"")</f>
        <v/>
      </c>
      <c r="DF3" s="13">
        <f>IF(TEXT('Cal_Weeks'!B103,"mmm-yy")&lt;&gt;TEXT('Cal_Weeks'!B102,"mmm-yy"),'Cal_Weeks'!G103,"")</f>
        <v/>
      </c>
      <c r="DG3" s="13">
        <f>IF(TEXT('Cal_Weeks'!B104,"mmm-yy")&lt;&gt;TEXT('Cal_Weeks'!B103,"mmm-yy"),'Cal_Weeks'!G104,"")</f>
        <v/>
      </c>
      <c r="DH3" s="13">
        <f>IF(TEXT('Cal_Weeks'!B105,"mmm-yy")&lt;&gt;TEXT('Cal_Weeks'!B104,"mmm-yy"),'Cal_Weeks'!G105,"")</f>
        <v/>
      </c>
      <c r="DI3" s="13">
        <f>IF(TEXT('Cal_Weeks'!B106,"mmm-yy")&lt;&gt;TEXT('Cal_Weeks'!B105,"mmm-yy"),'Cal_Weeks'!G106,"")</f>
        <v/>
      </c>
      <c r="DJ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5">
        <f>'Cal_Weeks'!B4</f>
        <v/>
      </c>
      <c r="L4" s="15">
        <f>'Cal_Weeks'!B5</f>
        <v/>
      </c>
      <c r="M4" s="15">
        <f>'Cal_Weeks'!B6</f>
        <v/>
      </c>
      <c r="N4" s="15">
        <f>'Cal_Weeks'!B7</f>
        <v/>
      </c>
      <c r="O4" s="15">
        <f>'Cal_Weeks'!B8</f>
        <v/>
      </c>
      <c r="P4" s="15">
        <f>'Cal_Weeks'!B9</f>
        <v/>
      </c>
      <c r="Q4" s="15">
        <f>'Cal_Weeks'!B10</f>
        <v/>
      </c>
      <c r="R4" s="15">
        <f>'Cal_Weeks'!B11</f>
        <v/>
      </c>
      <c r="S4" s="15">
        <f>'Cal_Weeks'!B12</f>
        <v/>
      </c>
      <c r="T4" s="15">
        <f>'Cal_Weeks'!B13</f>
        <v/>
      </c>
      <c r="U4" s="15">
        <f>'Cal_Weeks'!B14</f>
        <v/>
      </c>
      <c r="V4" s="15">
        <f>'Cal_Weeks'!B15</f>
        <v/>
      </c>
      <c r="W4" s="15">
        <f>'Cal_Weeks'!B16</f>
        <v/>
      </c>
      <c r="X4" s="15">
        <f>'Cal_Weeks'!B17</f>
        <v/>
      </c>
      <c r="Y4" s="15">
        <f>'Cal_Weeks'!B18</f>
        <v/>
      </c>
      <c r="Z4" s="15">
        <f>'Cal_Weeks'!B19</f>
        <v/>
      </c>
      <c r="AA4" s="15">
        <f>'Cal_Weeks'!B20</f>
        <v/>
      </c>
      <c r="AB4" s="15">
        <f>'Cal_Weeks'!B21</f>
        <v/>
      </c>
      <c r="AC4" s="15">
        <f>'Cal_Weeks'!B22</f>
        <v/>
      </c>
      <c r="AD4" s="15">
        <f>'Cal_Weeks'!B23</f>
        <v/>
      </c>
      <c r="AE4" s="15">
        <f>'Cal_Weeks'!B24</f>
        <v/>
      </c>
      <c r="AF4" s="15">
        <f>'Cal_Weeks'!B25</f>
        <v/>
      </c>
      <c r="AG4" s="15">
        <f>'Cal_Weeks'!B26</f>
        <v/>
      </c>
      <c r="AH4" s="15">
        <f>'Cal_Weeks'!B27</f>
        <v/>
      </c>
      <c r="AI4" s="15">
        <f>'Cal_Weeks'!B28</f>
        <v/>
      </c>
      <c r="AJ4" s="15">
        <f>'Cal_Weeks'!B29</f>
        <v/>
      </c>
      <c r="AK4" s="15">
        <f>'Cal_Weeks'!B30</f>
        <v/>
      </c>
      <c r="AL4" s="15">
        <f>'Cal_Weeks'!B31</f>
        <v/>
      </c>
      <c r="AM4" s="15">
        <f>'Cal_Weeks'!B32</f>
        <v/>
      </c>
      <c r="AN4" s="15">
        <f>'Cal_Weeks'!B33</f>
        <v/>
      </c>
      <c r="AO4" s="15">
        <f>'Cal_Weeks'!B34</f>
        <v/>
      </c>
      <c r="AP4" s="15">
        <f>'Cal_Weeks'!B35</f>
        <v/>
      </c>
      <c r="AQ4" s="15">
        <f>'Cal_Weeks'!B36</f>
        <v/>
      </c>
      <c r="AR4" s="15">
        <f>'Cal_Weeks'!B37</f>
        <v/>
      </c>
      <c r="AS4" s="15">
        <f>'Cal_Weeks'!B38</f>
        <v/>
      </c>
      <c r="AT4" s="15">
        <f>'Cal_Weeks'!B39</f>
        <v/>
      </c>
      <c r="AU4" s="15">
        <f>'Cal_Weeks'!B40</f>
        <v/>
      </c>
      <c r="AV4" s="15">
        <f>'Cal_Weeks'!B41</f>
        <v/>
      </c>
      <c r="AW4" s="15">
        <f>'Cal_Weeks'!B42</f>
        <v/>
      </c>
      <c r="AX4" s="15">
        <f>'Cal_Weeks'!B43</f>
        <v/>
      </c>
      <c r="AY4" s="15">
        <f>'Cal_Weeks'!B44</f>
        <v/>
      </c>
      <c r="AZ4" s="15">
        <f>'Cal_Weeks'!B45</f>
        <v/>
      </c>
      <c r="BA4" s="15">
        <f>'Cal_Weeks'!B46</f>
        <v/>
      </c>
      <c r="BB4" s="15">
        <f>'Cal_Weeks'!B47</f>
        <v/>
      </c>
      <c r="BC4" s="15">
        <f>'Cal_Weeks'!B48</f>
        <v/>
      </c>
      <c r="BD4" s="15">
        <f>'Cal_Weeks'!B49</f>
        <v/>
      </c>
      <c r="BE4" s="15">
        <f>'Cal_Weeks'!B50</f>
        <v/>
      </c>
      <c r="BF4" s="15">
        <f>'Cal_Weeks'!B51</f>
        <v/>
      </c>
      <c r="BG4" s="15">
        <f>'Cal_Weeks'!B52</f>
        <v/>
      </c>
      <c r="BH4" s="15">
        <f>'Cal_Weeks'!B53</f>
        <v/>
      </c>
      <c r="BI4" s="15">
        <f>'Cal_Weeks'!B54</f>
        <v/>
      </c>
      <c r="BJ4" s="15">
        <f>'Cal_Weeks'!B55</f>
        <v/>
      </c>
      <c r="BK4" s="15">
        <f>'Cal_Weeks'!B56</f>
        <v/>
      </c>
      <c r="BL4" s="15">
        <f>'Cal_Weeks'!B57</f>
        <v/>
      </c>
      <c r="BM4" s="15">
        <f>'Cal_Weeks'!B58</f>
        <v/>
      </c>
      <c r="BN4" s="15">
        <f>'Cal_Weeks'!B59</f>
        <v/>
      </c>
      <c r="BO4" s="15">
        <f>'Cal_Weeks'!B60</f>
        <v/>
      </c>
      <c r="BP4" s="15">
        <f>'Cal_Weeks'!B61</f>
        <v/>
      </c>
      <c r="BQ4" s="15">
        <f>'Cal_Weeks'!B62</f>
        <v/>
      </c>
      <c r="BR4" s="15">
        <f>'Cal_Weeks'!B63</f>
        <v/>
      </c>
      <c r="BS4" s="15">
        <f>'Cal_Weeks'!B64</f>
        <v/>
      </c>
      <c r="BT4" s="15">
        <f>'Cal_Weeks'!B65</f>
        <v/>
      </c>
      <c r="BU4" s="15">
        <f>'Cal_Weeks'!B66</f>
        <v/>
      </c>
      <c r="BV4" s="15">
        <f>'Cal_Weeks'!B67</f>
        <v/>
      </c>
      <c r="BW4" s="15">
        <f>'Cal_Weeks'!B68</f>
        <v/>
      </c>
      <c r="BX4" s="15">
        <f>'Cal_Weeks'!B69</f>
        <v/>
      </c>
      <c r="BY4" s="15">
        <f>'Cal_Weeks'!B70</f>
        <v/>
      </c>
      <c r="BZ4" s="15">
        <f>'Cal_Weeks'!B71</f>
        <v/>
      </c>
      <c r="CA4" s="15">
        <f>'Cal_Weeks'!B72</f>
        <v/>
      </c>
      <c r="CB4" s="15">
        <f>'Cal_Weeks'!B73</f>
        <v/>
      </c>
      <c r="CC4" s="15">
        <f>'Cal_Weeks'!B74</f>
        <v/>
      </c>
      <c r="CD4" s="15">
        <f>'Cal_Weeks'!B75</f>
        <v/>
      </c>
      <c r="CE4" s="15">
        <f>'Cal_Weeks'!B76</f>
        <v/>
      </c>
      <c r="CF4" s="15">
        <f>'Cal_Weeks'!B77</f>
        <v/>
      </c>
      <c r="CG4" s="15">
        <f>'Cal_Weeks'!B78</f>
        <v/>
      </c>
      <c r="CH4" s="15">
        <f>'Cal_Weeks'!B79</f>
        <v/>
      </c>
      <c r="CI4" s="15">
        <f>'Cal_Weeks'!B80</f>
        <v/>
      </c>
      <c r="CJ4" s="15">
        <f>'Cal_Weeks'!B81</f>
        <v/>
      </c>
      <c r="CK4" s="15">
        <f>'Cal_Weeks'!B82</f>
        <v/>
      </c>
      <c r="CL4" s="15">
        <f>'Cal_Weeks'!B83</f>
        <v/>
      </c>
      <c r="CM4" s="15">
        <f>'Cal_Weeks'!B84</f>
        <v/>
      </c>
      <c r="CN4" s="15">
        <f>'Cal_Weeks'!B85</f>
        <v/>
      </c>
      <c r="CO4" s="15">
        <f>'Cal_Weeks'!B86</f>
        <v/>
      </c>
      <c r="CP4" s="15">
        <f>'Cal_Weeks'!B87</f>
        <v/>
      </c>
      <c r="CQ4" s="15">
        <f>'Cal_Weeks'!B88</f>
        <v/>
      </c>
      <c r="CR4" s="15">
        <f>'Cal_Weeks'!B89</f>
        <v/>
      </c>
      <c r="CS4" s="15">
        <f>'Cal_Weeks'!B90</f>
        <v/>
      </c>
      <c r="CT4" s="15">
        <f>'Cal_Weeks'!B91</f>
        <v/>
      </c>
      <c r="CU4" s="15">
        <f>'Cal_Weeks'!B92</f>
        <v/>
      </c>
      <c r="CV4" s="15">
        <f>'Cal_Weeks'!B93</f>
        <v/>
      </c>
      <c r="CW4" s="15">
        <f>'Cal_Weeks'!B94</f>
        <v/>
      </c>
      <c r="CX4" s="15">
        <f>'Cal_Weeks'!B95</f>
        <v/>
      </c>
      <c r="CY4" s="15">
        <f>'Cal_Weeks'!B96</f>
        <v/>
      </c>
      <c r="CZ4" s="15">
        <f>'Cal_Weeks'!B97</f>
        <v/>
      </c>
      <c r="DA4" s="15">
        <f>'Cal_Weeks'!B98</f>
        <v/>
      </c>
      <c r="DB4" s="15">
        <f>'Cal_Weeks'!B99</f>
        <v/>
      </c>
      <c r="DC4" s="15">
        <f>'Cal_Weeks'!B100</f>
        <v/>
      </c>
      <c r="DD4" s="15">
        <f>'Cal_Weeks'!B101</f>
        <v/>
      </c>
      <c r="DE4" s="15">
        <f>'Cal_Weeks'!B102</f>
        <v/>
      </c>
      <c r="DF4" s="15">
        <f>'Cal_Weeks'!B103</f>
        <v/>
      </c>
      <c r="DG4" s="15">
        <f>'Cal_Weeks'!B104</f>
        <v/>
      </c>
      <c r="DH4" s="15">
        <f>'Cal_Weeks'!B105</f>
        <v/>
      </c>
      <c r="DI4" s="15">
        <f>'Cal_Weeks'!B106</f>
        <v/>
      </c>
      <c r="DJ4" s="15">
        <f>'Cal_Weeks'!B107</f>
        <v/>
      </c>
    </row>
    <row r="5">
      <c r="A5" s="14" t="n"/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'Cal_Weeks'!D4</f>
        <v/>
      </c>
      <c r="L5" s="14">
        <f>'Cal_Weeks'!D5</f>
        <v/>
      </c>
      <c r="M5" s="14">
        <f>'Cal_Weeks'!D6</f>
        <v/>
      </c>
      <c r="N5" s="14">
        <f>'Cal_Weeks'!D7</f>
        <v/>
      </c>
      <c r="O5" s="14">
        <f>'Cal_Weeks'!D8</f>
        <v/>
      </c>
      <c r="P5" s="14">
        <f>'Cal_Weeks'!D9</f>
        <v/>
      </c>
      <c r="Q5" s="14">
        <f>'Cal_Weeks'!D10</f>
        <v/>
      </c>
      <c r="R5" s="14">
        <f>'Cal_Weeks'!D11</f>
        <v/>
      </c>
      <c r="S5" s="14">
        <f>'Cal_Weeks'!D12</f>
        <v/>
      </c>
      <c r="T5" s="14">
        <f>'Cal_Weeks'!D13</f>
        <v/>
      </c>
      <c r="U5" s="14">
        <f>'Cal_Weeks'!D14</f>
        <v/>
      </c>
      <c r="V5" s="14">
        <f>'Cal_Weeks'!D15</f>
        <v/>
      </c>
      <c r="W5" s="14">
        <f>'Cal_Weeks'!D16</f>
        <v/>
      </c>
      <c r="X5" s="14">
        <f>'Cal_Weeks'!D17</f>
        <v/>
      </c>
      <c r="Y5" s="14">
        <f>'Cal_Weeks'!D18</f>
        <v/>
      </c>
      <c r="Z5" s="14">
        <f>'Cal_Weeks'!D19</f>
        <v/>
      </c>
      <c r="AA5" s="14">
        <f>'Cal_Weeks'!D20</f>
        <v/>
      </c>
      <c r="AB5" s="14">
        <f>'Cal_Weeks'!D21</f>
        <v/>
      </c>
      <c r="AC5" s="14">
        <f>'Cal_Weeks'!D22</f>
        <v/>
      </c>
      <c r="AD5" s="14">
        <f>'Cal_Weeks'!D23</f>
        <v/>
      </c>
      <c r="AE5" s="14">
        <f>'Cal_Weeks'!D24</f>
        <v/>
      </c>
      <c r="AF5" s="14">
        <f>'Cal_Weeks'!D25</f>
        <v/>
      </c>
      <c r="AG5" s="14">
        <f>'Cal_Weeks'!D26</f>
        <v/>
      </c>
      <c r="AH5" s="14">
        <f>'Cal_Weeks'!D27</f>
        <v/>
      </c>
      <c r="AI5" s="14">
        <f>'Cal_Weeks'!D28</f>
        <v/>
      </c>
      <c r="AJ5" s="14">
        <f>'Cal_Weeks'!D29</f>
        <v/>
      </c>
      <c r="AK5" s="14">
        <f>'Cal_Weeks'!D30</f>
        <v/>
      </c>
      <c r="AL5" s="14">
        <f>'Cal_Weeks'!D31</f>
        <v/>
      </c>
      <c r="AM5" s="14">
        <f>'Cal_Weeks'!D32</f>
        <v/>
      </c>
      <c r="AN5" s="14">
        <f>'Cal_Weeks'!D33</f>
        <v/>
      </c>
      <c r="AO5" s="14">
        <f>'Cal_Weeks'!D34</f>
        <v/>
      </c>
      <c r="AP5" s="14">
        <f>'Cal_Weeks'!D35</f>
        <v/>
      </c>
      <c r="AQ5" s="14">
        <f>'Cal_Weeks'!D36</f>
        <v/>
      </c>
      <c r="AR5" s="14">
        <f>'Cal_Weeks'!D37</f>
        <v/>
      </c>
      <c r="AS5" s="14">
        <f>'Cal_Weeks'!D38</f>
        <v/>
      </c>
      <c r="AT5" s="14">
        <f>'Cal_Weeks'!D39</f>
        <v/>
      </c>
      <c r="AU5" s="14">
        <f>'Cal_Weeks'!D40</f>
        <v/>
      </c>
      <c r="AV5" s="14">
        <f>'Cal_Weeks'!D41</f>
        <v/>
      </c>
      <c r="AW5" s="14">
        <f>'Cal_Weeks'!D42</f>
        <v/>
      </c>
      <c r="AX5" s="14">
        <f>'Cal_Weeks'!D43</f>
        <v/>
      </c>
      <c r="AY5" s="14">
        <f>'Cal_Weeks'!D44</f>
        <v/>
      </c>
      <c r="AZ5" s="14">
        <f>'Cal_Weeks'!D45</f>
        <v/>
      </c>
      <c r="BA5" s="14">
        <f>'Cal_Weeks'!D46</f>
        <v/>
      </c>
      <c r="BB5" s="14">
        <f>'Cal_Weeks'!D47</f>
        <v/>
      </c>
      <c r="BC5" s="14">
        <f>'Cal_Weeks'!D48</f>
        <v/>
      </c>
      <c r="BD5" s="14">
        <f>'Cal_Weeks'!D49</f>
        <v/>
      </c>
      <c r="BE5" s="14">
        <f>'Cal_Weeks'!D50</f>
        <v/>
      </c>
      <c r="BF5" s="14">
        <f>'Cal_Weeks'!D51</f>
        <v/>
      </c>
      <c r="BG5" s="14">
        <f>'Cal_Weeks'!D52</f>
        <v/>
      </c>
      <c r="BH5" s="14">
        <f>'Cal_Weeks'!D53</f>
        <v/>
      </c>
      <c r="BI5" s="14">
        <f>'Cal_Weeks'!D54</f>
        <v/>
      </c>
      <c r="BJ5" s="14">
        <f>'Cal_Weeks'!D55</f>
        <v/>
      </c>
      <c r="BK5" s="14">
        <f>'Cal_Weeks'!D56</f>
        <v/>
      </c>
      <c r="BL5" s="14">
        <f>'Cal_Weeks'!D57</f>
        <v/>
      </c>
      <c r="BM5" s="14">
        <f>'Cal_Weeks'!D58</f>
        <v/>
      </c>
      <c r="BN5" s="14">
        <f>'Cal_Weeks'!D59</f>
        <v/>
      </c>
      <c r="BO5" s="14">
        <f>'Cal_Weeks'!D60</f>
        <v/>
      </c>
      <c r="BP5" s="14">
        <f>'Cal_Weeks'!D61</f>
        <v/>
      </c>
      <c r="BQ5" s="14">
        <f>'Cal_Weeks'!D62</f>
        <v/>
      </c>
      <c r="BR5" s="14">
        <f>'Cal_Weeks'!D63</f>
        <v/>
      </c>
      <c r="BS5" s="14">
        <f>'Cal_Weeks'!D64</f>
        <v/>
      </c>
      <c r="BT5" s="14">
        <f>'Cal_Weeks'!D65</f>
        <v/>
      </c>
      <c r="BU5" s="14">
        <f>'Cal_Weeks'!D66</f>
        <v/>
      </c>
      <c r="BV5" s="14">
        <f>'Cal_Weeks'!D67</f>
        <v/>
      </c>
      <c r="BW5" s="14">
        <f>'Cal_Weeks'!D68</f>
        <v/>
      </c>
      <c r="BX5" s="14">
        <f>'Cal_Weeks'!D69</f>
        <v/>
      </c>
      <c r="BY5" s="14">
        <f>'Cal_Weeks'!D70</f>
        <v/>
      </c>
      <c r="BZ5" s="14">
        <f>'Cal_Weeks'!D71</f>
        <v/>
      </c>
      <c r="CA5" s="14">
        <f>'Cal_Weeks'!D72</f>
        <v/>
      </c>
      <c r="CB5" s="14">
        <f>'Cal_Weeks'!D73</f>
        <v/>
      </c>
      <c r="CC5" s="14">
        <f>'Cal_Weeks'!D74</f>
        <v/>
      </c>
      <c r="CD5" s="14">
        <f>'Cal_Weeks'!D75</f>
        <v/>
      </c>
      <c r="CE5" s="14">
        <f>'Cal_Weeks'!D76</f>
        <v/>
      </c>
      <c r="CF5" s="14">
        <f>'Cal_Weeks'!D77</f>
        <v/>
      </c>
      <c r="CG5" s="14">
        <f>'Cal_Weeks'!D78</f>
        <v/>
      </c>
      <c r="CH5" s="14">
        <f>'Cal_Weeks'!D79</f>
        <v/>
      </c>
      <c r="CI5" s="14">
        <f>'Cal_Weeks'!D80</f>
        <v/>
      </c>
      <c r="CJ5" s="14">
        <f>'Cal_Weeks'!D81</f>
        <v/>
      </c>
      <c r="CK5" s="14">
        <f>'Cal_Weeks'!D82</f>
        <v/>
      </c>
      <c r="CL5" s="14">
        <f>'Cal_Weeks'!D83</f>
        <v/>
      </c>
      <c r="CM5" s="14">
        <f>'Cal_Weeks'!D84</f>
        <v/>
      </c>
      <c r="CN5" s="14">
        <f>'Cal_Weeks'!D85</f>
        <v/>
      </c>
      <c r="CO5" s="14">
        <f>'Cal_Weeks'!D86</f>
        <v/>
      </c>
      <c r="CP5" s="14">
        <f>'Cal_Weeks'!D87</f>
        <v/>
      </c>
      <c r="CQ5" s="14">
        <f>'Cal_Weeks'!D88</f>
        <v/>
      </c>
      <c r="CR5" s="14">
        <f>'Cal_Weeks'!D89</f>
        <v/>
      </c>
      <c r="CS5" s="14">
        <f>'Cal_Weeks'!D90</f>
        <v/>
      </c>
      <c r="CT5" s="14">
        <f>'Cal_Weeks'!D91</f>
        <v/>
      </c>
      <c r="CU5" s="14">
        <f>'Cal_Weeks'!D92</f>
        <v/>
      </c>
      <c r="CV5" s="14">
        <f>'Cal_Weeks'!D93</f>
        <v/>
      </c>
      <c r="CW5" s="14">
        <f>'Cal_Weeks'!D94</f>
        <v/>
      </c>
      <c r="CX5" s="14">
        <f>'Cal_Weeks'!D95</f>
        <v/>
      </c>
      <c r="CY5" s="14">
        <f>'Cal_Weeks'!D96</f>
        <v/>
      </c>
      <c r="CZ5" s="14">
        <f>'Cal_Weeks'!D97</f>
        <v/>
      </c>
      <c r="DA5" s="14">
        <f>'Cal_Weeks'!D98</f>
        <v/>
      </c>
      <c r="DB5" s="14">
        <f>'Cal_Weeks'!D99</f>
        <v/>
      </c>
      <c r="DC5" s="14">
        <f>'Cal_Weeks'!D100</f>
        <v/>
      </c>
      <c r="DD5" s="14">
        <f>'Cal_Weeks'!D101</f>
        <v/>
      </c>
      <c r="DE5" s="14">
        <f>'Cal_Weeks'!D102</f>
        <v/>
      </c>
      <c r="DF5" s="14">
        <f>'Cal_Weeks'!D103</f>
        <v/>
      </c>
      <c r="DG5" s="14">
        <f>'Cal_Weeks'!D104</f>
        <v/>
      </c>
      <c r="DH5" s="14">
        <f>'Cal_Weeks'!D105</f>
        <v/>
      </c>
      <c r="DI5" s="14">
        <f>'Cal_Weeks'!D106</f>
        <v/>
      </c>
      <c r="DJ5" s="14">
        <f>'Cal_Weeks'!D107</f>
        <v/>
      </c>
    </row>
    <row r="6">
      <c r="A6" s="16" t="inlineStr">
        <is>
          <t>Part Name</t>
        </is>
      </c>
      <c r="B6" s="16" t="inlineStr">
        <is>
          <t>Description</t>
        </is>
      </c>
      <c r="C6" s="16" t="inlineStr">
        <is>
          <t>Category</t>
        </is>
      </c>
      <c r="D6" s="16" t="inlineStr">
        <is>
          <t>基準在庫_下限</t>
        </is>
      </c>
      <c r="E6" s="16" t="inlineStr">
        <is>
          <t>基準在庫_上限</t>
        </is>
      </c>
      <c r="F6" s="16" t="inlineStr">
        <is>
          <t>自社在庫(実績)</t>
        </is>
      </c>
      <c r="G6" s="16" t="inlineStr">
        <is>
          <t>TTAF在庫(実績)</t>
        </is>
      </c>
      <c r="H6" s="16" t="inlineStr">
        <is>
          <t>実績週</t>
        </is>
      </c>
      <c r="I6" s="16" t="inlineStr">
        <is>
          <t>行種別</t>
        </is>
      </c>
      <c r="J6" s="16" t="inlineStr">
        <is>
          <t>乖離(kg)</t>
        </is>
      </c>
      <c r="K6" s="16">
        <f>'Cal_Weeks'!E4</f>
        <v/>
      </c>
      <c r="L6" s="16">
        <f>'Cal_Weeks'!E5</f>
        <v/>
      </c>
      <c r="M6" s="16">
        <f>'Cal_Weeks'!E6</f>
        <v/>
      </c>
      <c r="N6" s="16">
        <f>'Cal_Weeks'!E7</f>
        <v/>
      </c>
      <c r="O6" s="16">
        <f>'Cal_Weeks'!E8</f>
        <v/>
      </c>
      <c r="P6" s="16">
        <f>'Cal_Weeks'!E9</f>
        <v/>
      </c>
      <c r="Q6" s="16">
        <f>'Cal_Weeks'!E10</f>
        <v/>
      </c>
      <c r="R6" s="16">
        <f>'Cal_Weeks'!E11</f>
        <v/>
      </c>
      <c r="S6" s="16">
        <f>'Cal_Weeks'!E12</f>
        <v/>
      </c>
      <c r="T6" s="16">
        <f>'Cal_Weeks'!E13</f>
        <v/>
      </c>
      <c r="U6" s="16">
        <f>'Cal_Weeks'!E14</f>
        <v/>
      </c>
      <c r="V6" s="16">
        <f>'Cal_Weeks'!E15</f>
        <v/>
      </c>
      <c r="W6" s="16">
        <f>'Cal_Weeks'!E16</f>
        <v/>
      </c>
      <c r="X6" s="16">
        <f>'Cal_Weeks'!E17</f>
        <v/>
      </c>
      <c r="Y6" s="16">
        <f>'Cal_Weeks'!E18</f>
        <v/>
      </c>
      <c r="Z6" s="16">
        <f>'Cal_Weeks'!E19</f>
        <v/>
      </c>
      <c r="AA6" s="16">
        <f>'Cal_Weeks'!E20</f>
        <v/>
      </c>
      <c r="AB6" s="16">
        <f>'Cal_Weeks'!E21</f>
        <v/>
      </c>
      <c r="AC6" s="16">
        <f>'Cal_Weeks'!E22</f>
        <v/>
      </c>
      <c r="AD6" s="16">
        <f>'Cal_Weeks'!E23</f>
        <v/>
      </c>
      <c r="AE6" s="16">
        <f>'Cal_Weeks'!E24</f>
        <v/>
      </c>
      <c r="AF6" s="16">
        <f>'Cal_Weeks'!E25</f>
        <v/>
      </c>
      <c r="AG6" s="16">
        <f>'Cal_Weeks'!E26</f>
        <v/>
      </c>
      <c r="AH6" s="16">
        <f>'Cal_Weeks'!E27</f>
        <v/>
      </c>
      <c r="AI6" s="16">
        <f>'Cal_Weeks'!E28</f>
        <v/>
      </c>
      <c r="AJ6" s="16">
        <f>'Cal_Weeks'!E29</f>
        <v/>
      </c>
      <c r="AK6" s="16">
        <f>'Cal_Weeks'!E30</f>
        <v/>
      </c>
      <c r="AL6" s="16">
        <f>'Cal_Weeks'!E31</f>
        <v/>
      </c>
      <c r="AM6" s="16">
        <f>'Cal_Weeks'!E32</f>
        <v/>
      </c>
      <c r="AN6" s="16">
        <f>'Cal_Weeks'!E33</f>
        <v/>
      </c>
      <c r="AO6" s="16">
        <f>'Cal_Weeks'!E34</f>
        <v/>
      </c>
      <c r="AP6" s="16">
        <f>'Cal_Weeks'!E35</f>
        <v/>
      </c>
      <c r="AQ6" s="16">
        <f>'Cal_Weeks'!E36</f>
        <v/>
      </c>
      <c r="AR6" s="16">
        <f>'Cal_Weeks'!E37</f>
        <v/>
      </c>
      <c r="AS6" s="16">
        <f>'Cal_Weeks'!E38</f>
        <v/>
      </c>
      <c r="AT6" s="16">
        <f>'Cal_Weeks'!E39</f>
        <v/>
      </c>
      <c r="AU6" s="16">
        <f>'Cal_Weeks'!E40</f>
        <v/>
      </c>
      <c r="AV6" s="16">
        <f>'Cal_Weeks'!E41</f>
        <v/>
      </c>
      <c r="AW6" s="16">
        <f>'Cal_Weeks'!E42</f>
        <v/>
      </c>
      <c r="AX6" s="16">
        <f>'Cal_Weeks'!E43</f>
        <v/>
      </c>
      <c r="AY6" s="16">
        <f>'Cal_Weeks'!E44</f>
        <v/>
      </c>
      <c r="AZ6" s="16">
        <f>'Cal_Weeks'!E45</f>
        <v/>
      </c>
      <c r="BA6" s="16">
        <f>'Cal_Weeks'!E46</f>
        <v/>
      </c>
      <c r="BB6" s="16">
        <f>'Cal_Weeks'!E47</f>
        <v/>
      </c>
      <c r="BC6" s="16">
        <f>'Cal_Weeks'!E48</f>
        <v/>
      </c>
      <c r="BD6" s="16">
        <f>'Cal_Weeks'!E49</f>
        <v/>
      </c>
      <c r="BE6" s="16">
        <f>'Cal_Weeks'!E50</f>
        <v/>
      </c>
      <c r="BF6" s="16">
        <f>'Cal_Weeks'!E51</f>
        <v/>
      </c>
      <c r="BG6" s="16">
        <f>'Cal_Weeks'!E52</f>
        <v/>
      </c>
      <c r="BH6" s="16">
        <f>'Cal_Weeks'!E53</f>
        <v/>
      </c>
      <c r="BI6" s="16">
        <f>'Cal_Weeks'!E54</f>
        <v/>
      </c>
      <c r="BJ6" s="16">
        <f>'Cal_Weeks'!E55</f>
        <v/>
      </c>
      <c r="BK6" s="16">
        <f>'Cal_Weeks'!E56</f>
        <v/>
      </c>
      <c r="BL6" s="16">
        <f>'Cal_Weeks'!E57</f>
        <v/>
      </c>
      <c r="BM6" s="16">
        <f>'Cal_Weeks'!E58</f>
        <v/>
      </c>
      <c r="BN6" s="16">
        <f>'Cal_Weeks'!E59</f>
        <v/>
      </c>
      <c r="BO6" s="16">
        <f>'Cal_Weeks'!E60</f>
        <v/>
      </c>
      <c r="BP6" s="16">
        <f>'Cal_Weeks'!E61</f>
        <v/>
      </c>
      <c r="BQ6" s="16">
        <f>'Cal_Weeks'!E62</f>
        <v/>
      </c>
      <c r="BR6" s="16">
        <f>'Cal_Weeks'!E63</f>
        <v/>
      </c>
      <c r="BS6" s="16">
        <f>'Cal_Weeks'!E64</f>
        <v/>
      </c>
      <c r="BT6" s="16">
        <f>'Cal_Weeks'!E65</f>
        <v/>
      </c>
      <c r="BU6" s="16">
        <f>'Cal_Weeks'!E66</f>
        <v/>
      </c>
      <c r="BV6" s="16">
        <f>'Cal_Weeks'!E67</f>
        <v/>
      </c>
      <c r="BW6" s="16">
        <f>'Cal_Weeks'!E68</f>
        <v/>
      </c>
      <c r="BX6" s="16">
        <f>'Cal_Weeks'!E69</f>
        <v/>
      </c>
      <c r="BY6" s="16">
        <f>'Cal_Weeks'!E70</f>
        <v/>
      </c>
      <c r="BZ6" s="16">
        <f>'Cal_Weeks'!E71</f>
        <v/>
      </c>
      <c r="CA6" s="16">
        <f>'Cal_Weeks'!E72</f>
        <v/>
      </c>
      <c r="CB6" s="16">
        <f>'Cal_Weeks'!E73</f>
        <v/>
      </c>
      <c r="CC6" s="16">
        <f>'Cal_Weeks'!E74</f>
        <v/>
      </c>
      <c r="CD6" s="16">
        <f>'Cal_Weeks'!E75</f>
        <v/>
      </c>
      <c r="CE6" s="16">
        <f>'Cal_Weeks'!E76</f>
        <v/>
      </c>
      <c r="CF6" s="16">
        <f>'Cal_Weeks'!E77</f>
        <v/>
      </c>
      <c r="CG6" s="16">
        <f>'Cal_Weeks'!E78</f>
        <v/>
      </c>
      <c r="CH6" s="16">
        <f>'Cal_Weeks'!E79</f>
        <v/>
      </c>
      <c r="CI6" s="16">
        <f>'Cal_Weeks'!E80</f>
        <v/>
      </c>
      <c r="CJ6" s="16">
        <f>'Cal_Weeks'!E81</f>
        <v/>
      </c>
      <c r="CK6" s="16">
        <f>'Cal_Weeks'!E82</f>
        <v/>
      </c>
      <c r="CL6" s="16">
        <f>'Cal_Weeks'!E83</f>
        <v/>
      </c>
      <c r="CM6" s="16">
        <f>'Cal_Weeks'!E84</f>
        <v/>
      </c>
      <c r="CN6" s="16">
        <f>'Cal_Weeks'!E85</f>
        <v/>
      </c>
      <c r="CO6" s="16">
        <f>'Cal_Weeks'!E86</f>
        <v/>
      </c>
      <c r="CP6" s="16">
        <f>'Cal_Weeks'!E87</f>
        <v/>
      </c>
      <c r="CQ6" s="16">
        <f>'Cal_Weeks'!E88</f>
        <v/>
      </c>
      <c r="CR6" s="16">
        <f>'Cal_Weeks'!E89</f>
        <v/>
      </c>
      <c r="CS6" s="16">
        <f>'Cal_Weeks'!E90</f>
        <v/>
      </c>
      <c r="CT6" s="16">
        <f>'Cal_Weeks'!E91</f>
        <v/>
      </c>
      <c r="CU6" s="16">
        <f>'Cal_Weeks'!E92</f>
        <v/>
      </c>
      <c r="CV6" s="16">
        <f>'Cal_Weeks'!E93</f>
        <v/>
      </c>
      <c r="CW6" s="16">
        <f>'Cal_Weeks'!E94</f>
        <v/>
      </c>
      <c r="CX6" s="16">
        <f>'Cal_Weeks'!E95</f>
        <v/>
      </c>
      <c r="CY6" s="16">
        <f>'Cal_Weeks'!E96</f>
        <v/>
      </c>
      <c r="CZ6" s="16">
        <f>'Cal_Weeks'!E97</f>
        <v/>
      </c>
      <c r="DA6" s="16">
        <f>'Cal_Weeks'!E98</f>
        <v/>
      </c>
      <c r="DB6" s="16">
        <f>'Cal_Weeks'!E99</f>
        <v/>
      </c>
      <c r="DC6" s="16">
        <f>'Cal_Weeks'!E100</f>
        <v/>
      </c>
      <c r="DD6" s="16">
        <f>'Cal_Weeks'!E101</f>
        <v/>
      </c>
      <c r="DE6" s="16">
        <f>'Cal_Weeks'!E102</f>
        <v/>
      </c>
      <c r="DF6" s="16">
        <f>'Cal_Weeks'!E103</f>
        <v/>
      </c>
      <c r="DG6" s="16">
        <f>'Cal_Weeks'!E104</f>
        <v/>
      </c>
      <c r="DH6" s="16">
        <f>'Cal_Weeks'!E105</f>
        <v/>
      </c>
      <c r="DI6" s="16">
        <f>'Cal_Weeks'!E106</f>
        <v/>
      </c>
      <c r="DJ6" s="16">
        <f>'Cal_Weeks'!E107</f>
        <v/>
      </c>
    </row>
    <row r="7">
      <c r="A7" s="17" t="inlineStr">
        <is>
          <t>7EP</t>
        </is>
      </c>
      <c r="B7" s="17">
        <f>IFERROR(INDEX(M_RawMaterials[Description],MATCH($A7,M_RawMaterials[Part Name],0)),"")</f>
        <v/>
      </c>
      <c r="C7" s="17">
        <f>IFERROR(INDEX(M_RawMaterials[Category],MATCH($A7,M_RawMaterials[Part Name],0)),"")</f>
        <v/>
      </c>
      <c r="D7" s="17">
        <f>IFERROR(INDEX(M_RawMaterials[基準在庫下限_要入力],MATCH($A7,M_RawMaterials[Part Name],0)),0)</f>
        <v/>
      </c>
      <c r="E7" s="17">
        <f>IFERROR(INDEX(M_RawMaterials[基準在庫上限_要入力],MATCH($A7,M_RawMaterials[Part Name],0)),0)</f>
        <v/>
      </c>
      <c r="F7" s="17">
        <f>IFERROR(LOOKUP(2,1/('T_SelfStock'!$B$6:$DA$6&lt;&gt;""),'T_SelfStock'!$B$6:$DA$6),"")</f>
        <v/>
      </c>
      <c r="G7" s="17">
        <f>IFERROR(LOOKUP(2,1/('T_TTAFStock'!$B$6:$DA$6&lt;&gt;""),'T_TTAFStock'!$B$6:$DA$6),"")</f>
        <v/>
      </c>
      <c r="H7" s="17">
        <f>IFERROR(LOOKUP(2,1/('T_SelfStock'!$B$6:$DA$6&lt;&gt;""),'T_SelfStock'!$B$5:$DA$5),"")</f>
        <v/>
      </c>
      <c r="I7" s="18" t="inlineStr">
        <is>
          <t>理論在庫</t>
        </is>
      </c>
      <c r="J7" s="17">
        <f>'Grid_Stock'!DA2-'Grid_TheoreticalStock'!DA2</f>
        <v/>
      </c>
      <c r="K7" s="18">
        <f>'Grid_TheoreticalStock'!B2</f>
        <v/>
      </c>
      <c r="L7" s="18">
        <f>'Grid_TheoreticalStock'!C2</f>
        <v/>
      </c>
      <c r="M7" s="18">
        <f>'Grid_TheoreticalStock'!D2</f>
        <v/>
      </c>
      <c r="N7" s="18">
        <f>'Grid_TheoreticalStock'!E2</f>
        <v/>
      </c>
      <c r="O7" s="18">
        <f>'Grid_TheoreticalStock'!F2</f>
        <v/>
      </c>
      <c r="P7" s="18">
        <f>'Grid_TheoreticalStock'!G2</f>
        <v/>
      </c>
      <c r="Q7" s="18">
        <f>'Grid_TheoreticalStock'!H2</f>
        <v/>
      </c>
      <c r="R7" s="18">
        <f>'Grid_TheoreticalStock'!I2</f>
        <v/>
      </c>
      <c r="S7" s="18">
        <f>'Grid_TheoreticalStock'!J2</f>
        <v/>
      </c>
      <c r="T7" s="18">
        <f>'Grid_TheoreticalStock'!K2</f>
        <v/>
      </c>
      <c r="U7" s="18">
        <f>'Grid_TheoreticalStock'!L2</f>
        <v/>
      </c>
      <c r="V7" s="18">
        <f>'Grid_TheoreticalStock'!M2</f>
        <v/>
      </c>
      <c r="W7" s="18">
        <f>'Grid_TheoreticalStock'!N2</f>
        <v/>
      </c>
      <c r="X7" s="18">
        <f>'Grid_TheoreticalStock'!O2</f>
        <v/>
      </c>
      <c r="Y7" s="18">
        <f>'Grid_TheoreticalStock'!P2</f>
        <v/>
      </c>
      <c r="Z7" s="18">
        <f>'Grid_TheoreticalStock'!Q2</f>
        <v/>
      </c>
      <c r="AA7" s="18">
        <f>'Grid_TheoreticalStock'!R2</f>
        <v/>
      </c>
      <c r="AB7" s="18">
        <f>'Grid_TheoreticalStock'!S2</f>
        <v/>
      </c>
      <c r="AC7" s="18">
        <f>'Grid_TheoreticalStock'!T2</f>
        <v/>
      </c>
      <c r="AD7" s="18">
        <f>'Grid_TheoreticalStock'!U2</f>
        <v/>
      </c>
      <c r="AE7" s="18">
        <f>'Grid_TheoreticalStock'!V2</f>
        <v/>
      </c>
      <c r="AF7" s="18">
        <f>'Grid_TheoreticalStock'!W2</f>
        <v/>
      </c>
      <c r="AG7" s="18">
        <f>'Grid_TheoreticalStock'!X2</f>
        <v/>
      </c>
      <c r="AH7" s="18">
        <f>'Grid_TheoreticalStock'!Y2</f>
        <v/>
      </c>
      <c r="AI7" s="18">
        <f>'Grid_TheoreticalStock'!Z2</f>
        <v/>
      </c>
      <c r="AJ7" s="18">
        <f>'Grid_TheoreticalStock'!AA2</f>
        <v/>
      </c>
      <c r="AK7" s="18">
        <f>'Grid_TheoreticalStock'!AB2</f>
        <v/>
      </c>
      <c r="AL7" s="18">
        <f>'Grid_TheoreticalStock'!AC2</f>
        <v/>
      </c>
      <c r="AM7" s="18">
        <f>'Grid_TheoreticalStock'!AD2</f>
        <v/>
      </c>
      <c r="AN7" s="18">
        <f>'Grid_TheoreticalStock'!AE2</f>
        <v/>
      </c>
      <c r="AO7" s="18">
        <f>'Grid_TheoreticalStock'!AF2</f>
        <v/>
      </c>
      <c r="AP7" s="18">
        <f>'Grid_TheoreticalStock'!AG2</f>
        <v/>
      </c>
      <c r="AQ7" s="18">
        <f>'Grid_TheoreticalStock'!AH2</f>
        <v/>
      </c>
      <c r="AR7" s="18">
        <f>'Grid_TheoreticalStock'!AI2</f>
        <v/>
      </c>
      <c r="AS7" s="18">
        <f>'Grid_TheoreticalStock'!AJ2</f>
        <v/>
      </c>
      <c r="AT7" s="18">
        <f>'Grid_TheoreticalStock'!AK2</f>
        <v/>
      </c>
      <c r="AU7" s="18">
        <f>'Grid_TheoreticalStock'!AL2</f>
        <v/>
      </c>
      <c r="AV7" s="18">
        <f>'Grid_TheoreticalStock'!AM2</f>
        <v/>
      </c>
      <c r="AW7" s="18">
        <f>'Grid_TheoreticalStock'!AN2</f>
        <v/>
      </c>
      <c r="AX7" s="18">
        <f>'Grid_TheoreticalStock'!AO2</f>
        <v/>
      </c>
      <c r="AY7" s="18">
        <f>'Grid_TheoreticalStock'!AP2</f>
        <v/>
      </c>
      <c r="AZ7" s="18">
        <f>'Grid_TheoreticalStock'!AQ2</f>
        <v/>
      </c>
      <c r="BA7" s="18">
        <f>'Grid_TheoreticalStock'!AR2</f>
        <v/>
      </c>
      <c r="BB7" s="18">
        <f>'Grid_TheoreticalStock'!AS2</f>
        <v/>
      </c>
      <c r="BC7" s="18">
        <f>'Grid_TheoreticalStock'!AT2</f>
        <v/>
      </c>
      <c r="BD7" s="18">
        <f>'Grid_TheoreticalStock'!AU2</f>
        <v/>
      </c>
      <c r="BE7" s="18">
        <f>'Grid_TheoreticalStock'!AV2</f>
        <v/>
      </c>
      <c r="BF7" s="18">
        <f>'Grid_TheoreticalStock'!AW2</f>
        <v/>
      </c>
      <c r="BG7" s="18">
        <f>'Grid_TheoreticalStock'!AX2</f>
        <v/>
      </c>
      <c r="BH7" s="18">
        <f>'Grid_TheoreticalStock'!AY2</f>
        <v/>
      </c>
      <c r="BI7" s="18">
        <f>'Grid_TheoreticalStock'!AZ2</f>
        <v/>
      </c>
      <c r="BJ7" s="18">
        <f>'Grid_TheoreticalStock'!BA2</f>
        <v/>
      </c>
      <c r="BK7" s="18">
        <f>'Grid_TheoreticalStock'!BB2</f>
        <v/>
      </c>
      <c r="BL7" s="18">
        <f>'Grid_TheoreticalStock'!BC2</f>
        <v/>
      </c>
      <c r="BM7" s="18">
        <f>'Grid_TheoreticalStock'!BD2</f>
        <v/>
      </c>
      <c r="BN7" s="18">
        <f>'Grid_TheoreticalStock'!BE2</f>
        <v/>
      </c>
      <c r="BO7" s="18">
        <f>'Grid_TheoreticalStock'!BF2</f>
        <v/>
      </c>
      <c r="BP7" s="18">
        <f>'Grid_TheoreticalStock'!BG2</f>
        <v/>
      </c>
      <c r="BQ7" s="18">
        <f>'Grid_TheoreticalStock'!BH2</f>
        <v/>
      </c>
      <c r="BR7" s="18">
        <f>'Grid_TheoreticalStock'!BI2</f>
        <v/>
      </c>
      <c r="BS7" s="18">
        <f>'Grid_TheoreticalStock'!BJ2</f>
        <v/>
      </c>
      <c r="BT7" s="18">
        <f>'Grid_TheoreticalStock'!BK2</f>
        <v/>
      </c>
      <c r="BU7" s="18">
        <f>'Grid_TheoreticalStock'!BL2</f>
        <v/>
      </c>
      <c r="BV7" s="18">
        <f>'Grid_TheoreticalStock'!BM2</f>
        <v/>
      </c>
      <c r="BW7" s="18">
        <f>'Grid_TheoreticalStock'!BN2</f>
        <v/>
      </c>
      <c r="BX7" s="18">
        <f>'Grid_TheoreticalStock'!BO2</f>
        <v/>
      </c>
      <c r="BY7" s="18">
        <f>'Grid_TheoreticalStock'!BP2</f>
        <v/>
      </c>
      <c r="BZ7" s="18">
        <f>'Grid_TheoreticalStock'!BQ2</f>
        <v/>
      </c>
      <c r="CA7" s="18">
        <f>'Grid_TheoreticalStock'!BR2</f>
        <v/>
      </c>
      <c r="CB7" s="18">
        <f>'Grid_TheoreticalStock'!BS2</f>
        <v/>
      </c>
      <c r="CC7" s="18">
        <f>'Grid_TheoreticalStock'!BT2</f>
        <v/>
      </c>
      <c r="CD7" s="18">
        <f>'Grid_TheoreticalStock'!BU2</f>
        <v/>
      </c>
      <c r="CE7" s="18">
        <f>'Grid_TheoreticalStock'!BV2</f>
        <v/>
      </c>
      <c r="CF7" s="18">
        <f>'Grid_TheoreticalStock'!BW2</f>
        <v/>
      </c>
      <c r="CG7" s="18">
        <f>'Grid_TheoreticalStock'!BX2</f>
        <v/>
      </c>
      <c r="CH7" s="18">
        <f>'Grid_TheoreticalStock'!BY2</f>
        <v/>
      </c>
      <c r="CI7" s="18">
        <f>'Grid_TheoreticalStock'!BZ2</f>
        <v/>
      </c>
      <c r="CJ7" s="18">
        <f>'Grid_TheoreticalStock'!CA2</f>
        <v/>
      </c>
      <c r="CK7" s="18">
        <f>'Grid_TheoreticalStock'!CB2</f>
        <v/>
      </c>
      <c r="CL7" s="18">
        <f>'Grid_TheoreticalStock'!CC2</f>
        <v/>
      </c>
      <c r="CM7" s="18">
        <f>'Grid_TheoreticalStock'!CD2</f>
        <v/>
      </c>
      <c r="CN7" s="18">
        <f>'Grid_TheoreticalStock'!CE2</f>
        <v/>
      </c>
      <c r="CO7" s="18">
        <f>'Grid_TheoreticalStock'!CF2</f>
        <v/>
      </c>
      <c r="CP7" s="18">
        <f>'Grid_TheoreticalStock'!CG2</f>
        <v/>
      </c>
      <c r="CQ7" s="18">
        <f>'Grid_TheoreticalStock'!CH2</f>
        <v/>
      </c>
      <c r="CR7" s="18">
        <f>'Grid_TheoreticalStock'!CI2</f>
        <v/>
      </c>
      <c r="CS7" s="18">
        <f>'Grid_TheoreticalStock'!CJ2</f>
        <v/>
      </c>
      <c r="CT7" s="18">
        <f>'Grid_TheoreticalStock'!CK2</f>
        <v/>
      </c>
      <c r="CU7" s="18">
        <f>'Grid_TheoreticalStock'!CL2</f>
        <v/>
      </c>
      <c r="CV7" s="18">
        <f>'Grid_TheoreticalStock'!CM2</f>
        <v/>
      </c>
      <c r="CW7" s="18">
        <f>'Grid_TheoreticalStock'!CN2</f>
        <v/>
      </c>
      <c r="CX7" s="18">
        <f>'Grid_TheoreticalStock'!CO2</f>
        <v/>
      </c>
      <c r="CY7" s="18">
        <f>'Grid_TheoreticalStock'!CP2</f>
        <v/>
      </c>
      <c r="CZ7" s="18">
        <f>'Grid_TheoreticalStock'!CQ2</f>
        <v/>
      </c>
      <c r="DA7" s="18">
        <f>'Grid_TheoreticalStock'!CR2</f>
        <v/>
      </c>
      <c r="DB7" s="18">
        <f>'Grid_TheoreticalStock'!CS2</f>
        <v/>
      </c>
      <c r="DC7" s="18">
        <f>'Grid_TheoreticalStock'!CT2</f>
        <v/>
      </c>
      <c r="DD7" s="18">
        <f>'Grid_TheoreticalStock'!CU2</f>
        <v/>
      </c>
      <c r="DE7" s="18">
        <f>'Grid_TheoreticalStock'!CV2</f>
        <v/>
      </c>
      <c r="DF7" s="18">
        <f>'Grid_TheoreticalStock'!CW2</f>
        <v/>
      </c>
      <c r="DG7" s="18">
        <f>'Grid_TheoreticalStock'!CX2</f>
        <v/>
      </c>
      <c r="DH7" s="18">
        <f>'Grid_TheoreticalStock'!CY2</f>
        <v/>
      </c>
      <c r="DI7" s="18">
        <f>'Grid_TheoreticalStock'!CZ2</f>
        <v/>
      </c>
      <c r="DJ7" s="18">
        <f>'Grid_TheoreticalStock'!DA2</f>
        <v/>
      </c>
    </row>
    <row r="8">
      <c r="A8" s="19" t="inlineStr">
        <is>
          <t>7EP</t>
        </is>
      </c>
      <c r="B8" s="19">
        <f>IFERROR(INDEX(M_RawMaterials[Description],MATCH($A8,M_RawMaterials[Part Name],0)),"")</f>
        <v/>
      </c>
      <c r="C8" s="19">
        <f>IFERROR(INDEX(M_RawMaterials[Category],MATCH($A8,M_RawMaterials[Part Name],0)),"")</f>
        <v/>
      </c>
      <c r="D8" s="19">
        <f>IFERROR(INDEX(M_RawMaterials[基準在庫下限_要入力],MATCH($A8,M_RawMaterials[Part Name],0)),0)</f>
        <v/>
      </c>
      <c r="E8" s="19">
        <f>IFERROR(INDEX(M_RawMaterials[基準在庫上限_要入力],MATCH($A8,M_RawMaterials[Part Name],0)),0)</f>
        <v/>
      </c>
      <c r="F8" s="19">
        <f>IFERROR(LOOKUP(2,1/('T_SelfStock'!$B$6:$DA$6&lt;&gt;""),'T_SelfStock'!$B$6:$DA$6),"")</f>
        <v/>
      </c>
      <c r="G8" s="19">
        <f>IFERROR(LOOKUP(2,1/('T_TTAFStock'!$B$6:$DA$6&lt;&gt;""),'T_TTAFStock'!$B$6:$DA$6),"")</f>
        <v/>
      </c>
      <c r="H8" s="19">
        <f>IFERROR(LOOKUP(2,1/('T_SelfStock'!$B$6:$DA$6&lt;&gt;""),'T_SelfStock'!$B$5:$DA$5),"")</f>
        <v/>
      </c>
      <c r="I8" s="20" t="inlineStr">
        <is>
          <t>実在庫</t>
        </is>
      </c>
      <c r="J8" s="19">
        <f>'Grid_Stock'!DA2-'Grid_TheoreticalStock'!DA2</f>
        <v/>
      </c>
      <c r="K8" s="19">
        <f>'Grid_Stock'!B2</f>
        <v/>
      </c>
      <c r="L8" s="19">
        <f>'Grid_Stock'!C2</f>
        <v/>
      </c>
      <c r="M8" s="19">
        <f>'Grid_Stock'!D2</f>
        <v/>
      </c>
      <c r="N8" s="19">
        <f>'Grid_Stock'!E2</f>
        <v/>
      </c>
      <c r="O8" s="19">
        <f>'Grid_Stock'!F2</f>
        <v/>
      </c>
      <c r="P8" s="19">
        <f>'Grid_Stock'!G2</f>
        <v/>
      </c>
      <c r="Q8" s="19">
        <f>'Grid_Stock'!H2</f>
        <v/>
      </c>
      <c r="R8" s="19">
        <f>'Grid_Stock'!I2</f>
        <v/>
      </c>
      <c r="S8" s="19">
        <f>'Grid_Stock'!J2</f>
        <v/>
      </c>
      <c r="T8" s="19">
        <f>'Grid_Stock'!K2</f>
        <v/>
      </c>
      <c r="U8" s="19">
        <f>'Grid_Stock'!L2</f>
        <v/>
      </c>
      <c r="V8" s="19">
        <f>'Grid_Stock'!M2</f>
        <v/>
      </c>
      <c r="W8" s="19">
        <f>'Grid_Stock'!N2</f>
        <v/>
      </c>
      <c r="X8" s="19">
        <f>'Grid_Stock'!O2</f>
        <v/>
      </c>
      <c r="Y8" s="19">
        <f>'Grid_Stock'!P2</f>
        <v/>
      </c>
      <c r="Z8" s="19">
        <f>'Grid_Stock'!Q2</f>
        <v/>
      </c>
      <c r="AA8" s="19">
        <f>'Grid_Stock'!R2</f>
        <v/>
      </c>
      <c r="AB8" s="19">
        <f>'Grid_Stock'!S2</f>
        <v/>
      </c>
      <c r="AC8" s="19">
        <f>'Grid_Stock'!T2</f>
        <v/>
      </c>
      <c r="AD8" s="19">
        <f>'Grid_Stock'!U2</f>
        <v/>
      </c>
      <c r="AE8" s="19">
        <f>'Grid_Stock'!V2</f>
        <v/>
      </c>
      <c r="AF8" s="19">
        <f>'Grid_Stock'!W2</f>
        <v/>
      </c>
      <c r="AG8" s="19">
        <f>'Grid_Stock'!X2</f>
        <v/>
      </c>
      <c r="AH8" s="19">
        <f>'Grid_Stock'!Y2</f>
        <v/>
      </c>
      <c r="AI8" s="19">
        <f>'Grid_Stock'!Z2</f>
        <v/>
      </c>
      <c r="AJ8" s="19">
        <f>'Grid_Stock'!AA2</f>
        <v/>
      </c>
      <c r="AK8" s="19">
        <f>'Grid_Stock'!AB2</f>
        <v/>
      </c>
      <c r="AL8" s="19">
        <f>'Grid_Stock'!AC2</f>
        <v/>
      </c>
      <c r="AM8" s="19">
        <f>'Grid_Stock'!AD2</f>
        <v/>
      </c>
      <c r="AN8" s="19">
        <f>'Grid_Stock'!AE2</f>
        <v/>
      </c>
      <c r="AO8" s="19">
        <f>'Grid_Stock'!AF2</f>
        <v/>
      </c>
      <c r="AP8" s="19">
        <f>'Grid_Stock'!AG2</f>
        <v/>
      </c>
      <c r="AQ8" s="19">
        <f>'Grid_Stock'!AH2</f>
        <v/>
      </c>
      <c r="AR8" s="19">
        <f>'Grid_Stock'!AI2</f>
        <v/>
      </c>
      <c r="AS8" s="19">
        <f>'Grid_Stock'!AJ2</f>
        <v/>
      </c>
      <c r="AT8" s="19">
        <f>'Grid_Stock'!AK2</f>
        <v/>
      </c>
      <c r="AU8" s="19">
        <f>'Grid_Stock'!AL2</f>
        <v/>
      </c>
      <c r="AV8" s="19">
        <f>'Grid_Stock'!AM2</f>
        <v/>
      </c>
      <c r="AW8" s="19">
        <f>'Grid_Stock'!AN2</f>
        <v/>
      </c>
      <c r="AX8" s="19">
        <f>'Grid_Stock'!AO2</f>
        <v/>
      </c>
      <c r="AY8" s="19">
        <f>'Grid_Stock'!AP2</f>
        <v/>
      </c>
      <c r="AZ8" s="19">
        <f>'Grid_Stock'!AQ2</f>
        <v/>
      </c>
      <c r="BA8" s="19">
        <f>'Grid_Stock'!AR2</f>
        <v/>
      </c>
      <c r="BB8" s="19">
        <f>'Grid_Stock'!AS2</f>
        <v/>
      </c>
      <c r="BC8" s="19">
        <f>'Grid_Stock'!AT2</f>
        <v/>
      </c>
      <c r="BD8" s="19">
        <f>'Grid_Stock'!AU2</f>
        <v/>
      </c>
      <c r="BE8" s="19">
        <f>'Grid_Stock'!AV2</f>
        <v/>
      </c>
      <c r="BF8" s="19">
        <f>'Grid_Stock'!AW2</f>
        <v/>
      </c>
      <c r="BG8" s="19">
        <f>'Grid_Stock'!AX2</f>
        <v/>
      </c>
      <c r="BH8" s="19">
        <f>'Grid_Stock'!AY2</f>
        <v/>
      </c>
      <c r="BI8" s="19">
        <f>'Grid_Stock'!AZ2</f>
        <v/>
      </c>
      <c r="BJ8" s="19">
        <f>'Grid_Stock'!BA2</f>
        <v/>
      </c>
      <c r="BK8" s="19">
        <f>'Grid_Stock'!BB2</f>
        <v/>
      </c>
      <c r="BL8" s="19">
        <f>'Grid_Stock'!BC2</f>
        <v/>
      </c>
      <c r="BM8" s="19">
        <f>'Grid_Stock'!BD2</f>
        <v/>
      </c>
      <c r="BN8" s="19">
        <f>'Grid_Stock'!BE2</f>
        <v/>
      </c>
      <c r="BO8" s="19">
        <f>'Grid_Stock'!BF2</f>
        <v/>
      </c>
      <c r="BP8" s="19">
        <f>'Grid_Stock'!BG2</f>
        <v/>
      </c>
      <c r="BQ8" s="19">
        <f>'Grid_Stock'!BH2</f>
        <v/>
      </c>
      <c r="BR8" s="19">
        <f>'Grid_Stock'!BI2</f>
        <v/>
      </c>
      <c r="BS8" s="19">
        <f>'Grid_Stock'!BJ2</f>
        <v/>
      </c>
      <c r="BT8" s="19">
        <f>'Grid_Stock'!BK2</f>
        <v/>
      </c>
      <c r="BU8" s="19">
        <f>'Grid_Stock'!BL2</f>
        <v/>
      </c>
      <c r="BV8" s="19">
        <f>'Grid_Stock'!BM2</f>
        <v/>
      </c>
      <c r="BW8" s="19">
        <f>'Grid_Stock'!BN2</f>
        <v/>
      </c>
      <c r="BX8" s="19">
        <f>'Grid_Stock'!BO2</f>
        <v/>
      </c>
      <c r="BY8" s="19">
        <f>'Grid_Stock'!BP2</f>
        <v/>
      </c>
      <c r="BZ8" s="19">
        <f>'Grid_Stock'!BQ2</f>
        <v/>
      </c>
      <c r="CA8" s="19">
        <f>'Grid_Stock'!BR2</f>
        <v/>
      </c>
      <c r="CB8" s="19">
        <f>'Grid_Stock'!BS2</f>
        <v/>
      </c>
      <c r="CC8" s="19">
        <f>'Grid_Stock'!BT2</f>
        <v/>
      </c>
      <c r="CD8" s="19">
        <f>'Grid_Stock'!BU2</f>
        <v/>
      </c>
      <c r="CE8" s="19">
        <f>'Grid_Stock'!BV2</f>
        <v/>
      </c>
      <c r="CF8" s="19">
        <f>'Grid_Stock'!BW2</f>
        <v/>
      </c>
      <c r="CG8" s="19">
        <f>'Grid_Stock'!BX2</f>
        <v/>
      </c>
      <c r="CH8" s="19">
        <f>'Grid_Stock'!BY2</f>
        <v/>
      </c>
      <c r="CI8" s="19">
        <f>'Grid_Stock'!BZ2</f>
        <v/>
      </c>
      <c r="CJ8" s="19">
        <f>'Grid_Stock'!CA2</f>
        <v/>
      </c>
      <c r="CK8" s="19">
        <f>'Grid_Stock'!CB2</f>
        <v/>
      </c>
      <c r="CL8" s="19">
        <f>'Grid_Stock'!CC2</f>
        <v/>
      </c>
      <c r="CM8" s="19">
        <f>'Grid_Stock'!CD2</f>
        <v/>
      </c>
      <c r="CN8" s="19">
        <f>'Grid_Stock'!CE2</f>
        <v/>
      </c>
      <c r="CO8" s="19">
        <f>'Grid_Stock'!CF2</f>
        <v/>
      </c>
      <c r="CP8" s="19">
        <f>'Grid_Stock'!CG2</f>
        <v/>
      </c>
      <c r="CQ8" s="19">
        <f>'Grid_Stock'!CH2</f>
        <v/>
      </c>
      <c r="CR8" s="19">
        <f>'Grid_Stock'!CI2</f>
        <v/>
      </c>
      <c r="CS8" s="19">
        <f>'Grid_Stock'!CJ2</f>
        <v/>
      </c>
      <c r="CT8" s="19">
        <f>'Grid_Stock'!CK2</f>
        <v/>
      </c>
      <c r="CU8" s="19">
        <f>'Grid_Stock'!CL2</f>
        <v/>
      </c>
      <c r="CV8" s="19">
        <f>'Grid_Stock'!CM2</f>
        <v/>
      </c>
      <c r="CW8" s="19">
        <f>'Grid_Stock'!CN2</f>
        <v/>
      </c>
      <c r="CX8" s="19">
        <f>'Grid_Stock'!CO2</f>
        <v/>
      </c>
      <c r="CY8" s="19">
        <f>'Grid_Stock'!CP2</f>
        <v/>
      </c>
      <c r="CZ8" s="19">
        <f>'Grid_Stock'!CQ2</f>
        <v/>
      </c>
      <c r="DA8" s="19">
        <f>'Grid_Stock'!CR2</f>
        <v/>
      </c>
      <c r="DB8" s="19">
        <f>'Grid_Stock'!CS2</f>
        <v/>
      </c>
      <c r="DC8" s="19">
        <f>'Grid_Stock'!CT2</f>
        <v/>
      </c>
      <c r="DD8" s="19">
        <f>'Grid_Stock'!CU2</f>
        <v/>
      </c>
      <c r="DE8" s="19">
        <f>'Grid_Stock'!CV2</f>
        <v/>
      </c>
      <c r="DF8" s="19">
        <f>'Grid_Stock'!CW2</f>
        <v/>
      </c>
      <c r="DG8" s="19">
        <f>'Grid_Stock'!CX2</f>
        <v/>
      </c>
      <c r="DH8" s="19">
        <f>'Grid_Stock'!CY2</f>
        <v/>
      </c>
      <c r="DI8" s="19">
        <f>'Grid_Stock'!CZ2</f>
        <v/>
      </c>
      <c r="DJ8" s="19">
        <f>'Grid_Stock'!DA2</f>
        <v/>
      </c>
    </row>
    <row r="9">
      <c r="A9" s="17" t="inlineStr">
        <is>
          <t>1EK</t>
        </is>
      </c>
      <c r="B9" s="17">
        <f>IFERROR(INDEX(M_RawMaterials[Description],MATCH($A9,M_RawMaterials[Part Name],0)),"")</f>
        <v/>
      </c>
      <c r="C9" s="17">
        <f>IFERROR(INDEX(M_RawMaterials[Category],MATCH($A9,M_RawMaterials[Part Name],0)),"")</f>
        <v/>
      </c>
      <c r="D9" s="17">
        <f>IFERROR(INDEX(M_RawMaterials[基準在庫下限_要入力],MATCH($A9,M_RawMaterials[Part Name],0)),0)</f>
        <v/>
      </c>
      <c r="E9" s="17">
        <f>IFERROR(INDEX(M_RawMaterials[基準在庫上限_要入力],MATCH($A9,M_RawMaterials[Part Name],0)),0)</f>
        <v/>
      </c>
      <c r="F9" s="17">
        <f>IFERROR(LOOKUP(2,1/('T_SelfStock'!$B$7:$DA$7&lt;&gt;""),'T_SelfStock'!$B$7:$DA$7),"")</f>
        <v/>
      </c>
      <c r="G9" s="17">
        <f>IFERROR(LOOKUP(2,1/('T_TTAFStock'!$B$7:$DA$7&lt;&gt;""),'T_TTAFStock'!$B$7:$DA$7),"")</f>
        <v/>
      </c>
      <c r="H9" s="17">
        <f>IFERROR(LOOKUP(2,1/('T_SelfStock'!$B$7:$DA$7&lt;&gt;""),'T_SelfStock'!$B$5:$DA$5),"")</f>
        <v/>
      </c>
      <c r="I9" s="18" t="inlineStr">
        <is>
          <t>理論在庫</t>
        </is>
      </c>
      <c r="J9" s="17">
        <f>'Grid_Stock'!DA3-'Grid_TheoreticalStock'!DA3</f>
        <v/>
      </c>
      <c r="K9" s="18">
        <f>'Grid_TheoreticalStock'!B3</f>
        <v/>
      </c>
      <c r="L9" s="18">
        <f>'Grid_TheoreticalStock'!C3</f>
        <v/>
      </c>
      <c r="M9" s="18">
        <f>'Grid_TheoreticalStock'!D3</f>
        <v/>
      </c>
      <c r="N9" s="18">
        <f>'Grid_TheoreticalStock'!E3</f>
        <v/>
      </c>
      <c r="O9" s="18">
        <f>'Grid_TheoreticalStock'!F3</f>
        <v/>
      </c>
      <c r="P9" s="18">
        <f>'Grid_TheoreticalStock'!G3</f>
        <v/>
      </c>
      <c r="Q9" s="18">
        <f>'Grid_TheoreticalStock'!H3</f>
        <v/>
      </c>
      <c r="R9" s="18">
        <f>'Grid_TheoreticalStock'!I3</f>
        <v/>
      </c>
      <c r="S9" s="18">
        <f>'Grid_TheoreticalStock'!J3</f>
        <v/>
      </c>
      <c r="T9" s="18">
        <f>'Grid_TheoreticalStock'!K3</f>
        <v/>
      </c>
      <c r="U9" s="18">
        <f>'Grid_TheoreticalStock'!L3</f>
        <v/>
      </c>
      <c r="V9" s="18">
        <f>'Grid_TheoreticalStock'!M3</f>
        <v/>
      </c>
      <c r="W9" s="18">
        <f>'Grid_TheoreticalStock'!N3</f>
        <v/>
      </c>
      <c r="X9" s="18">
        <f>'Grid_TheoreticalStock'!O3</f>
        <v/>
      </c>
      <c r="Y9" s="18">
        <f>'Grid_TheoreticalStock'!P3</f>
        <v/>
      </c>
      <c r="Z9" s="18">
        <f>'Grid_TheoreticalStock'!Q3</f>
        <v/>
      </c>
      <c r="AA9" s="18">
        <f>'Grid_TheoreticalStock'!R3</f>
        <v/>
      </c>
      <c r="AB9" s="18">
        <f>'Grid_TheoreticalStock'!S3</f>
        <v/>
      </c>
      <c r="AC9" s="18">
        <f>'Grid_TheoreticalStock'!T3</f>
        <v/>
      </c>
      <c r="AD9" s="18">
        <f>'Grid_TheoreticalStock'!U3</f>
        <v/>
      </c>
      <c r="AE9" s="18">
        <f>'Grid_TheoreticalStock'!V3</f>
        <v/>
      </c>
      <c r="AF9" s="18">
        <f>'Grid_TheoreticalStock'!W3</f>
        <v/>
      </c>
      <c r="AG9" s="18">
        <f>'Grid_TheoreticalStock'!X3</f>
        <v/>
      </c>
      <c r="AH9" s="18">
        <f>'Grid_TheoreticalStock'!Y3</f>
        <v/>
      </c>
      <c r="AI9" s="18">
        <f>'Grid_TheoreticalStock'!Z3</f>
        <v/>
      </c>
      <c r="AJ9" s="18">
        <f>'Grid_TheoreticalStock'!AA3</f>
        <v/>
      </c>
      <c r="AK9" s="18">
        <f>'Grid_TheoreticalStock'!AB3</f>
        <v/>
      </c>
      <c r="AL9" s="18">
        <f>'Grid_TheoreticalStock'!AC3</f>
        <v/>
      </c>
      <c r="AM9" s="18">
        <f>'Grid_TheoreticalStock'!AD3</f>
        <v/>
      </c>
      <c r="AN9" s="18">
        <f>'Grid_TheoreticalStock'!AE3</f>
        <v/>
      </c>
      <c r="AO9" s="18">
        <f>'Grid_TheoreticalStock'!AF3</f>
        <v/>
      </c>
      <c r="AP9" s="18">
        <f>'Grid_TheoreticalStock'!AG3</f>
        <v/>
      </c>
      <c r="AQ9" s="18">
        <f>'Grid_TheoreticalStock'!AH3</f>
        <v/>
      </c>
      <c r="AR9" s="18">
        <f>'Grid_TheoreticalStock'!AI3</f>
        <v/>
      </c>
      <c r="AS9" s="18">
        <f>'Grid_TheoreticalStock'!AJ3</f>
        <v/>
      </c>
      <c r="AT9" s="18">
        <f>'Grid_TheoreticalStock'!AK3</f>
        <v/>
      </c>
      <c r="AU9" s="18">
        <f>'Grid_TheoreticalStock'!AL3</f>
        <v/>
      </c>
      <c r="AV9" s="18">
        <f>'Grid_TheoreticalStock'!AM3</f>
        <v/>
      </c>
      <c r="AW9" s="18">
        <f>'Grid_TheoreticalStock'!AN3</f>
        <v/>
      </c>
      <c r="AX9" s="18">
        <f>'Grid_TheoreticalStock'!AO3</f>
        <v/>
      </c>
      <c r="AY9" s="18">
        <f>'Grid_TheoreticalStock'!AP3</f>
        <v/>
      </c>
      <c r="AZ9" s="18">
        <f>'Grid_TheoreticalStock'!AQ3</f>
        <v/>
      </c>
      <c r="BA9" s="18">
        <f>'Grid_TheoreticalStock'!AR3</f>
        <v/>
      </c>
      <c r="BB9" s="18">
        <f>'Grid_TheoreticalStock'!AS3</f>
        <v/>
      </c>
      <c r="BC9" s="18">
        <f>'Grid_TheoreticalStock'!AT3</f>
        <v/>
      </c>
      <c r="BD9" s="18">
        <f>'Grid_TheoreticalStock'!AU3</f>
        <v/>
      </c>
      <c r="BE9" s="18">
        <f>'Grid_TheoreticalStock'!AV3</f>
        <v/>
      </c>
      <c r="BF9" s="18">
        <f>'Grid_TheoreticalStock'!AW3</f>
        <v/>
      </c>
      <c r="BG9" s="18">
        <f>'Grid_TheoreticalStock'!AX3</f>
        <v/>
      </c>
      <c r="BH9" s="18">
        <f>'Grid_TheoreticalStock'!AY3</f>
        <v/>
      </c>
      <c r="BI9" s="18">
        <f>'Grid_TheoreticalStock'!AZ3</f>
        <v/>
      </c>
      <c r="BJ9" s="18">
        <f>'Grid_TheoreticalStock'!BA3</f>
        <v/>
      </c>
      <c r="BK9" s="18">
        <f>'Grid_TheoreticalStock'!BB3</f>
        <v/>
      </c>
      <c r="BL9" s="18">
        <f>'Grid_TheoreticalStock'!BC3</f>
        <v/>
      </c>
      <c r="BM9" s="18">
        <f>'Grid_TheoreticalStock'!BD3</f>
        <v/>
      </c>
      <c r="BN9" s="18">
        <f>'Grid_TheoreticalStock'!BE3</f>
        <v/>
      </c>
      <c r="BO9" s="18">
        <f>'Grid_TheoreticalStock'!BF3</f>
        <v/>
      </c>
      <c r="BP9" s="18">
        <f>'Grid_TheoreticalStock'!BG3</f>
        <v/>
      </c>
      <c r="BQ9" s="18">
        <f>'Grid_TheoreticalStock'!BH3</f>
        <v/>
      </c>
      <c r="BR9" s="18">
        <f>'Grid_TheoreticalStock'!BI3</f>
        <v/>
      </c>
      <c r="BS9" s="18">
        <f>'Grid_TheoreticalStock'!BJ3</f>
        <v/>
      </c>
      <c r="BT9" s="18">
        <f>'Grid_TheoreticalStock'!BK3</f>
        <v/>
      </c>
      <c r="BU9" s="18">
        <f>'Grid_TheoreticalStock'!BL3</f>
        <v/>
      </c>
      <c r="BV9" s="18">
        <f>'Grid_TheoreticalStock'!BM3</f>
        <v/>
      </c>
      <c r="BW9" s="18">
        <f>'Grid_TheoreticalStock'!BN3</f>
        <v/>
      </c>
      <c r="BX9" s="18">
        <f>'Grid_TheoreticalStock'!BO3</f>
        <v/>
      </c>
      <c r="BY9" s="18">
        <f>'Grid_TheoreticalStock'!BP3</f>
        <v/>
      </c>
      <c r="BZ9" s="18">
        <f>'Grid_TheoreticalStock'!BQ3</f>
        <v/>
      </c>
      <c r="CA9" s="18">
        <f>'Grid_TheoreticalStock'!BR3</f>
        <v/>
      </c>
      <c r="CB9" s="18">
        <f>'Grid_TheoreticalStock'!BS3</f>
        <v/>
      </c>
      <c r="CC9" s="18">
        <f>'Grid_TheoreticalStock'!BT3</f>
        <v/>
      </c>
      <c r="CD9" s="18">
        <f>'Grid_TheoreticalStock'!BU3</f>
        <v/>
      </c>
      <c r="CE9" s="18">
        <f>'Grid_TheoreticalStock'!BV3</f>
        <v/>
      </c>
      <c r="CF9" s="18">
        <f>'Grid_TheoreticalStock'!BW3</f>
        <v/>
      </c>
      <c r="CG9" s="18">
        <f>'Grid_TheoreticalStock'!BX3</f>
        <v/>
      </c>
      <c r="CH9" s="18">
        <f>'Grid_TheoreticalStock'!BY3</f>
        <v/>
      </c>
      <c r="CI9" s="18">
        <f>'Grid_TheoreticalStock'!BZ3</f>
        <v/>
      </c>
      <c r="CJ9" s="18">
        <f>'Grid_TheoreticalStock'!CA3</f>
        <v/>
      </c>
      <c r="CK9" s="18">
        <f>'Grid_TheoreticalStock'!CB3</f>
        <v/>
      </c>
      <c r="CL9" s="18">
        <f>'Grid_TheoreticalStock'!CC3</f>
        <v/>
      </c>
      <c r="CM9" s="18">
        <f>'Grid_TheoreticalStock'!CD3</f>
        <v/>
      </c>
      <c r="CN9" s="18">
        <f>'Grid_TheoreticalStock'!CE3</f>
        <v/>
      </c>
      <c r="CO9" s="18">
        <f>'Grid_TheoreticalStock'!CF3</f>
        <v/>
      </c>
      <c r="CP9" s="18">
        <f>'Grid_TheoreticalStock'!CG3</f>
        <v/>
      </c>
      <c r="CQ9" s="18">
        <f>'Grid_TheoreticalStock'!CH3</f>
        <v/>
      </c>
      <c r="CR9" s="18">
        <f>'Grid_TheoreticalStock'!CI3</f>
        <v/>
      </c>
      <c r="CS9" s="18">
        <f>'Grid_TheoreticalStock'!CJ3</f>
        <v/>
      </c>
      <c r="CT9" s="18">
        <f>'Grid_TheoreticalStock'!CK3</f>
        <v/>
      </c>
      <c r="CU9" s="18">
        <f>'Grid_TheoreticalStock'!CL3</f>
        <v/>
      </c>
      <c r="CV9" s="18">
        <f>'Grid_TheoreticalStock'!CM3</f>
        <v/>
      </c>
      <c r="CW9" s="18">
        <f>'Grid_TheoreticalStock'!CN3</f>
        <v/>
      </c>
      <c r="CX9" s="18">
        <f>'Grid_TheoreticalStock'!CO3</f>
        <v/>
      </c>
      <c r="CY9" s="18">
        <f>'Grid_TheoreticalStock'!CP3</f>
        <v/>
      </c>
      <c r="CZ9" s="18">
        <f>'Grid_TheoreticalStock'!CQ3</f>
        <v/>
      </c>
      <c r="DA9" s="18">
        <f>'Grid_TheoreticalStock'!CR3</f>
        <v/>
      </c>
      <c r="DB9" s="18">
        <f>'Grid_TheoreticalStock'!CS3</f>
        <v/>
      </c>
      <c r="DC9" s="18">
        <f>'Grid_TheoreticalStock'!CT3</f>
        <v/>
      </c>
      <c r="DD9" s="18">
        <f>'Grid_TheoreticalStock'!CU3</f>
        <v/>
      </c>
      <c r="DE9" s="18">
        <f>'Grid_TheoreticalStock'!CV3</f>
        <v/>
      </c>
      <c r="DF9" s="18">
        <f>'Grid_TheoreticalStock'!CW3</f>
        <v/>
      </c>
      <c r="DG9" s="18">
        <f>'Grid_TheoreticalStock'!CX3</f>
        <v/>
      </c>
      <c r="DH9" s="18">
        <f>'Grid_TheoreticalStock'!CY3</f>
        <v/>
      </c>
      <c r="DI9" s="18">
        <f>'Grid_TheoreticalStock'!CZ3</f>
        <v/>
      </c>
      <c r="DJ9" s="18">
        <f>'Grid_TheoreticalStock'!DA3</f>
        <v/>
      </c>
    </row>
    <row r="10">
      <c r="A10" s="19" t="inlineStr">
        <is>
          <t>1EK</t>
        </is>
      </c>
      <c r="B10" s="19">
        <f>IFERROR(INDEX(M_RawMaterials[Description],MATCH($A10,M_RawMaterials[Part Name],0)),"")</f>
        <v/>
      </c>
      <c r="C10" s="19">
        <f>IFERROR(INDEX(M_RawMaterials[Category],MATCH($A10,M_RawMaterials[Part Name],0)),"")</f>
        <v/>
      </c>
      <c r="D10" s="19">
        <f>IFERROR(INDEX(M_RawMaterials[基準在庫下限_要入力],MATCH($A10,M_RawMaterials[Part Name],0)),0)</f>
        <v/>
      </c>
      <c r="E10" s="19">
        <f>IFERROR(INDEX(M_RawMaterials[基準在庫上限_要入力],MATCH($A10,M_RawMaterials[Part Name],0)),0)</f>
        <v/>
      </c>
      <c r="F10" s="19">
        <f>IFERROR(LOOKUP(2,1/('T_SelfStock'!$B$7:$DA$7&lt;&gt;""),'T_SelfStock'!$B$7:$DA$7),"")</f>
        <v/>
      </c>
      <c r="G10" s="19">
        <f>IFERROR(LOOKUP(2,1/('T_TTAFStock'!$B$7:$DA$7&lt;&gt;""),'T_TTAFStock'!$B$7:$DA$7),"")</f>
        <v/>
      </c>
      <c r="H10" s="19">
        <f>IFERROR(LOOKUP(2,1/('T_SelfStock'!$B$7:$DA$7&lt;&gt;""),'T_SelfStock'!$B$5:$DA$5),"")</f>
        <v/>
      </c>
      <c r="I10" s="20" t="inlineStr">
        <is>
          <t>実在庫</t>
        </is>
      </c>
      <c r="J10" s="19">
        <f>'Grid_Stock'!DA3-'Grid_TheoreticalStock'!DA3</f>
        <v/>
      </c>
      <c r="K10" s="19">
        <f>'Grid_Stock'!B3</f>
        <v/>
      </c>
      <c r="L10" s="19">
        <f>'Grid_Stock'!C3</f>
        <v/>
      </c>
      <c r="M10" s="19">
        <f>'Grid_Stock'!D3</f>
        <v/>
      </c>
      <c r="N10" s="19">
        <f>'Grid_Stock'!E3</f>
        <v/>
      </c>
      <c r="O10" s="19">
        <f>'Grid_Stock'!F3</f>
        <v/>
      </c>
      <c r="P10" s="19">
        <f>'Grid_Stock'!G3</f>
        <v/>
      </c>
      <c r="Q10" s="19">
        <f>'Grid_Stock'!H3</f>
        <v/>
      </c>
      <c r="R10" s="19">
        <f>'Grid_Stock'!I3</f>
        <v/>
      </c>
      <c r="S10" s="19">
        <f>'Grid_Stock'!J3</f>
        <v/>
      </c>
      <c r="T10" s="19">
        <f>'Grid_Stock'!K3</f>
        <v/>
      </c>
      <c r="U10" s="19">
        <f>'Grid_Stock'!L3</f>
        <v/>
      </c>
      <c r="V10" s="19">
        <f>'Grid_Stock'!M3</f>
        <v/>
      </c>
      <c r="W10" s="19">
        <f>'Grid_Stock'!N3</f>
        <v/>
      </c>
      <c r="X10" s="19">
        <f>'Grid_Stock'!O3</f>
        <v/>
      </c>
      <c r="Y10" s="19">
        <f>'Grid_Stock'!P3</f>
        <v/>
      </c>
      <c r="Z10" s="19">
        <f>'Grid_Stock'!Q3</f>
        <v/>
      </c>
      <c r="AA10" s="19">
        <f>'Grid_Stock'!R3</f>
        <v/>
      </c>
      <c r="AB10" s="19">
        <f>'Grid_Stock'!S3</f>
        <v/>
      </c>
      <c r="AC10" s="19">
        <f>'Grid_Stock'!T3</f>
        <v/>
      </c>
      <c r="AD10" s="19">
        <f>'Grid_Stock'!U3</f>
        <v/>
      </c>
      <c r="AE10" s="19">
        <f>'Grid_Stock'!V3</f>
        <v/>
      </c>
      <c r="AF10" s="19">
        <f>'Grid_Stock'!W3</f>
        <v/>
      </c>
      <c r="AG10" s="19">
        <f>'Grid_Stock'!X3</f>
        <v/>
      </c>
      <c r="AH10" s="19">
        <f>'Grid_Stock'!Y3</f>
        <v/>
      </c>
      <c r="AI10" s="19">
        <f>'Grid_Stock'!Z3</f>
        <v/>
      </c>
      <c r="AJ10" s="19">
        <f>'Grid_Stock'!AA3</f>
        <v/>
      </c>
      <c r="AK10" s="19">
        <f>'Grid_Stock'!AB3</f>
        <v/>
      </c>
      <c r="AL10" s="19">
        <f>'Grid_Stock'!AC3</f>
        <v/>
      </c>
      <c r="AM10" s="19">
        <f>'Grid_Stock'!AD3</f>
        <v/>
      </c>
      <c r="AN10" s="19">
        <f>'Grid_Stock'!AE3</f>
        <v/>
      </c>
      <c r="AO10" s="19">
        <f>'Grid_Stock'!AF3</f>
        <v/>
      </c>
      <c r="AP10" s="19">
        <f>'Grid_Stock'!AG3</f>
        <v/>
      </c>
      <c r="AQ10" s="19">
        <f>'Grid_Stock'!AH3</f>
        <v/>
      </c>
      <c r="AR10" s="19">
        <f>'Grid_Stock'!AI3</f>
        <v/>
      </c>
      <c r="AS10" s="19">
        <f>'Grid_Stock'!AJ3</f>
        <v/>
      </c>
      <c r="AT10" s="19">
        <f>'Grid_Stock'!AK3</f>
        <v/>
      </c>
      <c r="AU10" s="19">
        <f>'Grid_Stock'!AL3</f>
        <v/>
      </c>
      <c r="AV10" s="19">
        <f>'Grid_Stock'!AM3</f>
        <v/>
      </c>
      <c r="AW10" s="19">
        <f>'Grid_Stock'!AN3</f>
        <v/>
      </c>
      <c r="AX10" s="19">
        <f>'Grid_Stock'!AO3</f>
        <v/>
      </c>
      <c r="AY10" s="19">
        <f>'Grid_Stock'!AP3</f>
        <v/>
      </c>
      <c r="AZ10" s="19">
        <f>'Grid_Stock'!AQ3</f>
        <v/>
      </c>
      <c r="BA10" s="19">
        <f>'Grid_Stock'!AR3</f>
        <v/>
      </c>
      <c r="BB10" s="19">
        <f>'Grid_Stock'!AS3</f>
        <v/>
      </c>
      <c r="BC10" s="19">
        <f>'Grid_Stock'!AT3</f>
        <v/>
      </c>
      <c r="BD10" s="19">
        <f>'Grid_Stock'!AU3</f>
        <v/>
      </c>
      <c r="BE10" s="19">
        <f>'Grid_Stock'!AV3</f>
        <v/>
      </c>
      <c r="BF10" s="19">
        <f>'Grid_Stock'!AW3</f>
        <v/>
      </c>
      <c r="BG10" s="19">
        <f>'Grid_Stock'!AX3</f>
        <v/>
      </c>
      <c r="BH10" s="19">
        <f>'Grid_Stock'!AY3</f>
        <v/>
      </c>
      <c r="BI10" s="19">
        <f>'Grid_Stock'!AZ3</f>
        <v/>
      </c>
      <c r="BJ10" s="19">
        <f>'Grid_Stock'!BA3</f>
        <v/>
      </c>
      <c r="BK10" s="19">
        <f>'Grid_Stock'!BB3</f>
        <v/>
      </c>
      <c r="BL10" s="19">
        <f>'Grid_Stock'!BC3</f>
        <v/>
      </c>
      <c r="BM10" s="19">
        <f>'Grid_Stock'!BD3</f>
        <v/>
      </c>
      <c r="BN10" s="19">
        <f>'Grid_Stock'!BE3</f>
        <v/>
      </c>
      <c r="BO10" s="19">
        <f>'Grid_Stock'!BF3</f>
        <v/>
      </c>
      <c r="BP10" s="19">
        <f>'Grid_Stock'!BG3</f>
        <v/>
      </c>
      <c r="BQ10" s="19">
        <f>'Grid_Stock'!BH3</f>
        <v/>
      </c>
      <c r="BR10" s="19">
        <f>'Grid_Stock'!BI3</f>
        <v/>
      </c>
      <c r="BS10" s="19">
        <f>'Grid_Stock'!BJ3</f>
        <v/>
      </c>
      <c r="BT10" s="19">
        <f>'Grid_Stock'!BK3</f>
        <v/>
      </c>
      <c r="BU10" s="19">
        <f>'Grid_Stock'!BL3</f>
        <v/>
      </c>
      <c r="BV10" s="19">
        <f>'Grid_Stock'!BM3</f>
        <v/>
      </c>
      <c r="BW10" s="19">
        <f>'Grid_Stock'!BN3</f>
        <v/>
      </c>
      <c r="BX10" s="19">
        <f>'Grid_Stock'!BO3</f>
        <v/>
      </c>
      <c r="BY10" s="19">
        <f>'Grid_Stock'!BP3</f>
        <v/>
      </c>
      <c r="BZ10" s="19">
        <f>'Grid_Stock'!BQ3</f>
        <v/>
      </c>
      <c r="CA10" s="19">
        <f>'Grid_Stock'!BR3</f>
        <v/>
      </c>
      <c r="CB10" s="19">
        <f>'Grid_Stock'!BS3</f>
        <v/>
      </c>
      <c r="CC10" s="19">
        <f>'Grid_Stock'!BT3</f>
        <v/>
      </c>
      <c r="CD10" s="19">
        <f>'Grid_Stock'!BU3</f>
        <v/>
      </c>
      <c r="CE10" s="19">
        <f>'Grid_Stock'!BV3</f>
        <v/>
      </c>
      <c r="CF10" s="19">
        <f>'Grid_Stock'!BW3</f>
        <v/>
      </c>
      <c r="CG10" s="19">
        <f>'Grid_Stock'!BX3</f>
        <v/>
      </c>
      <c r="CH10" s="19">
        <f>'Grid_Stock'!BY3</f>
        <v/>
      </c>
      <c r="CI10" s="19">
        <f>'Grid_Stock'!BZ3</f>
        <v/>
      </c>
      <c r="CJ10" s="19">
        <f>'Grid_Stock'!CA3</f>
        <v/>
      </c>
      <c r="CK10" s="19">
        <f>'Grid_Stock'!CB3</f>
        <v/>
      </c>
      <c r="CL10" s="19">
        <f>'Grid_Stock'!CC3</f>
        <v/>
      </c>
      <c r="CM10" s="19">
        <f>'Grid_Stock'!CD3</f>
        <v/>
      </c>
      <c r="CN10" s="19">
        <f>'Grid_Stock'!CE3</f>
        <v/>
      </c>
      <c r="CO10" s="19">
        <f>'Grid_Stock'!CF3</f>
        <v/>
      </c>
      <c r="CP10" s="19">
        <f>'Grid_Stock'!CG3</f>
        <v/>
      </c>
      <c r="CQ10" s="19">
        <f>'Grid_Stock'!CH3</f>
        <v/>
      </c>
      <c r="CR10" s="19">
        <f>'Grid_Stock'!CI3</f>
        <v/>
      </c>
      <c r="CS10" s="19">
        <f>'Grid_Stock'!CJ3</f>
        <v/>
      </c>
      <c r="CT10" s="19">
        <f>'Grid_Stock'!CK3</f>
        <v/>
      </c>
      <c r="CU10" s="19">
        <f>'Grid_Stock'!CL3</f>
        <v/>
      </c>
      <c r="CV10" s="19">
        <f>'Grid_Stock'!CM3</f>
        <v/>
      </c>
      <c r="CW10" s="19">
        <f>'Grid_Stock'!CN3</f>
        <v/>
      </c>
      <c r="CX10" s="19">
        <f>'Grid_Stock'!CO3</f>
        <v/>
      </c>
      <c r="CY10" s="19">
        <f>'Grid_Stock'!CP3</f>
        <v/>
      </c>
      <c r="CZ10" s="19">
        <f>'Grid_Stock'!CQ3</f>
        <v/>
      </c>
      <c r="DA10" s="19">
        <f>'Grid_Stock'!CR3</f>
        <v/>
      </c>
      <c r="DB10" s="19">
        <f>'Grid_Stock'!CS3</f>
        <v/>
      </c>
      <c r="DC10" s="19">
        <f>'Grid_Stock'!CT3</f>
        <v/>
      </c>
      <c r="DD10" s="19">
        <f>'Grid_Stock'!CU3</f>
        <v/>
      </c>
      <c r="DE10" s="19">
        <f>'Grid_Stock'!CV3</f>
        <v/>
      </c>
      <c r="DF10" s="19">
        <f>'Grid_Stock'!CW3</f>
        <v/>
      </c>
      <c r="DG10" s="19">
        <f>'Grid_Stock'!CX3</f>
        <v/>
      </c>
      <c r="DH10" s="19">
        <f>'Grid_Stock'!CY3</f>
        <v/>
      </c>
      <c r="DI10" s="19">
        <f>'Grid_Stock'!CZ3</f>
        <v/>
      </c>
      <c r="DJ10" s="19">
        <f>'Grid_Stock'!DA3</f>
        <v/>
      </c>
    </row>
    <row r="11">
      <c r="A11" s="17" t="inlineStr">
        <is>
          <t>4HL</t>
        </is>
      </c>
      <c r="B11" s="17">
        <f>IFERROR(INDEX(M_RawMaterials[Description],MATCH($A11,M_RawMaterials[Part Name],0)),"")</f>
        <v/>
      </c>
      <c r="C11" s="17">
        <f>IFERROR(INDEX(M_RawMaterials[Category],MATCH($A11,M_RawMaterials[Part Name],0)),"")</f>
        <v/>
      </c>
      <c r="D11" s="17">
        <f>IFERROR(INDEX(M_RawMaterials[基準在庫下限_要入力],MATCH($A11,M_RawMaterials[Part Name],0)),0)</f>
        <v/>
      </c>
      <c r="E11" s="17">
        <f>IFERROR(INDEX(M_RawMaterials[基準在庫上限_要入力],MATCH($A11,M_RawMaterials[Part Name],0)),0)</f>
        <v/>
      </c>
      <c r="F11" s="17">
        <f>IFERROR(LOOKUP(2,1/('T_SelfStock'!$B$8:$DA$8&lt;&gt;""),'T_SelfStock'!$B$8:$DA$8),"")</f>
        <v/>
      </c>
      <c r="G11" s="17">
        <f>IFERROR(LOOKUP(2,1/('T_TTAFStock'!$B$8:$DA$8&lt;&gt;""),'T_TTAFStock'!$B$8:$DA$8),"")</f>
        <v/>
      </c>
      <c r="H11" s="17">
        <f>IFERROR(LOOKUP(2,1/('T_SelfStock'!$B$8:$DA$8&lt;&gt;""),'T_SelfStock'!$B$5:$DA$5),"")</f>
        <v/>
      </c>
      <c r="I11" s="18" t="inlineStr">
        <is>
          <t>理論在庫</t>
        </is>
      </c>
      <c r="J11" s="17">
        <f>'Grid_Stock'!DA4-'Grid_TheoreticalStock'!DA4</f>
        <v/>
      </c>
      <c r="K11" s="18">
        <f>'Grid_TheoreticalStock'!B4</f>
        <v/>
      </c>
      <c r="L11" s="18">
        <f>'Grid_TheoreticalStock'!C4</f>
        <v/>
      </c>
      <c r="M11" s="18">
        <f>'Grid_TheoreticalStock'!D4</f>
        <v/>
      </c>
      <c r="N11" s="18">
        <f>'Grid_TheoreticalStock'!E4</f>
        <v/>
      </c>
      <c r="O11" s="18">
        <f>'Grid_TheoreticalStock'!F4</f>
        <v/>
      </c>
      <c r="P11" s="18">
        <f>'Grid_TheoreticalStock'!G4</f>
        <v/>
      </c>
      <c r="Q11" s="18">
        <f>'Grid_TheoreticalStock'!H4</f>
        <v/>
      </c>
      <c r="R11" s="18">
        <f>'Grid_TheoreticalStock'!I4</f>
        <v/>
      </c>
      <c r="S11" s="18">
        <f>'Grid_TheoreticalStock'!J4</f>
        <v/>
      </c>
      <c r="T11" s="18">
        <f>'Grid_TheoreticalStock'!K4</f>
        <v/>
      </c>
      <c r="U11" s="18">
        <f>'Grid_TheoreticalStock'!L4</f>
        <v/>
      </c>
      <c r="V11" s="18">
        <f>'Grid_TheoreticalStock'!M4</f>
        <v/>
      </c>
      <c r="W11" s="18">
        <f>'Grid_TheoreticalStock'!N4</f>
        <v/>
      </c>
      <c r="X11" s="18">
        <f>'Grid_TheoreticalStock'!O4</f>
        <v/>
      </c>
      <c r="Y11" s="18">
        <f>'Grid_TheoreticalStock'!P4</f>
        <v/>
      </c>
      <c r="Z11" s="18">
        <f>'Grid_TheoreticalStock'!Q4</f>
        <v/>
      </c>
      <c r="AA11" s="18">
        <f>'Grid_TheoreticalStock'!R4</f>
        <v/>
      </c>
      <c r="AB11" s="18">
        <f>'Grid_TheoreticalStock'!S4</f>
        <v/>
      </c>
      <c r="AC11" s="18">
        <f>'Grid_TheoreticalStock'!T4</f>
        <v/>
      </c>
      <c r="AD11" s="18">
        <f>'Grid_TheoreticalStock'!U4</f>
        <v/>
      </c>
      <c r="AE11" s="18">
        <f>'Grid_TheoreticalStock'!V4</f>
        <v/>
      </c>
      <c r="AF11" s="18">
        <f>'Grid_TheoreticalStock'!W4</f>
        <v/>
      </c>
      <c r="AG11" s="18">
        <f>'Grid_TheoreticalStock'!X4</f>
        <v/>
      </c>
      <c r="AH11" s="18">
        <f>'Grid_TheoreticalStock'!Y4</f>
        <v/>
      </c>
      <c r="AI11" s="18">
        <f>'Grid_TheoreticalStock'!Z4</f>
        <v/>
      </c>
      <c r="AJ11" s="18">
        <f>'Grid_TheoreticalStock'!AA4</f>
        <v/>
      </c>
      <c r="AK11" s="18">
        <f>'Grid_TheoreticalStock'!AB4</f>
        <v/>
      </c>
      <c r="AL11" s="18">
        <f>'Grid_TheoreticalStock'!AC4</f>
        <v/>
      </c>
      <c r="AM11" s="18">
        <f>'Grid_TheoreticalStock'!AD4</f>
        <v/>
      </c>
      <c r="AN11" s="18">
        <f>'Grid_TheoreticalStock'!AE4</f>
        <v/>
      </c>
      <c r="AO11" s="18">
        <f>'Grid_TheoreticalStock'!AF4</f>
        <v/>
      </c>
      <c r="AP11" s="18">
        <f>'Grid_TheoreticalStock'!AG4</f>
        <v/>
      </c>
      <c r="AQ11" s="18">
        <f>'Grid_TheoreticalStock'!AH4</f>
        <v/>
      </c>
      <c r="AR11" s="18">
        <f>'Grid_TheoreticalStock'!AI4</f>
        <v/>
      </c>
      <c r="AS11" s="18">
        <f>'Grid_TheoreticalStock'!AJ4</f>
        <v/>
      </c>
      <c r="AT11" s="18">
        <f>'Grid_TheoreticalStock'!AK4</f>
        <v/>
      </c>
      <c r="AU11" s="18">
        <f>'Grid_TheoreticalStock'!AL4</f>
        <v/>
      </c>
      <c r="AV11" s="18">
        <f>'Grid_TheoreticalStock'!AM4</f>
        <v/>
      </c>
      <c r="AW11" s="18">
        <f>'Grid_TheoreticalStock'!AN4</f>
        <v/>
      </c>
      <c r="AX11" s="18">
        <f>'Grid_TheoreticalStock'!AO4</f>
        <v/>
      </c>
      <c r="AY11" s="18">
        <f>'Grid_TheoreticalStock'!AP4</f>
        <v/>
      </c>
      <c r="AZ11" s="18">
        <f>'Grid_TheoreticalStock'!AQ4</f>
        <v/>
      </c>
      <c r="BA11" s="18">
        <f>'Grid_TheoreticalStock'!AR4</f>
        <v/>
      </c>
      <c r="BB11" s="18">
        <f>'Grid_TheoreticalStock'!AS4</f>
        <v/>
      </c>
      <c r="BC11" s="18">
        <f>'Grid_TheoreticalStock'!AT4</f>
        <v/>
      </c>
      <c r="BD11" s="18">
        <f>'Grid_TheoreticalStock'!AU4</f>
        <v/>
      </c>
      <c r="BE11" s="18">
        <f>'Grid_TheoreticalStock'!AV4</f>
        <v/>
      </c>
      <c r="BF11" s="18">
        <f>'Grid_TheoreticalStock'!AW4</f>
        <v/>
      </c>
      <c r="BG11" s="18">
        <f>'Grid_TheoreticalStock'!AX4</f>
        <v/>
      </c>
      <c r="BH11" s="18">
        <f>'Grid_TheoreticalStock'!AY4</f>
        <v/>
      </c>
      <c r="BI11" s="18">
        <f>'Grid_TheoreticalStock'!AZ4</f>
        <v/>
      </c>
      <c r="BJ11" s="18">
        <f>'Grid_TheoreticalStock'!BA4</f>
        <v/>
      </c>
      <c r="BK11" s="18">
        <f>'Grid_TheoreticalStock'!BB4</f>
        <v/>
      </c>
      <c r="BL11" s="18">
        <f>'Grid_TheoreticalStock'!BC4</f>
        <v/>
      </c>
      <c r="BM11" s="18">
        <f>'Grid_TheoreticalStock'!BD4</f>
        <v/>
      </c>
      <c r="BN11" s="18">
        <f>'Grid_TheoreticalStock'!BE4</f>
        <v/>
      </c>
      <c r="BO11" s="18">
        <f>'Grid_TheoreticalStock'!BF4</f>
        <v/>
      </c>
      <c r="BP11" s="18">
        <f>'Grid_TheoreticalStock'!BG4</f>
        <v/>
      </c>
      <c r="BQ11" s="18">
        <f>'Grid_TheoreticalStock'!BH4</f>
        <v/>
      </c>
      <c r="BR11" s="18">
        <f>'Grid_TheoreticalStock'!BI4</f>
        <v/>
      </c>
      <c r="BS11" s="18">
        <f>'Grid_TheoreticalStock'!BJ4</f>
        <v/>
      </c>
      <c r="BT11" s="18">
        <f>'Grid_TheoreticalStock'!BK4</f>
        <v/>
      </c>
      <c r="BU11" s="18">
        <f>'Grid_TheoreticalStock'!BL4</f>
        <v/>
      </c>
      <c r="BV11" s="18">
        <f>'Grid_TheoreticalStock'!BM4</f>
        <v/>
      </c>
      <c r="BW11" s="18">
        <f>'Grid_TheoreticalStock'!BN4</f>
        <v/>
      </c>
      <c r="BX11" s="18">
        <f>'Grid_TheoreticalStock'!BO4</f>
        <v/>
      </c>
      <c r="BY11" s="18">
        <f>'Grid_TheoreticalStock'!BP4</f>
        <v/>
      </c>
      <c r="BZ11" s="18">
        <f>'Grid_TheoreticalStock'!BQ4</f>
        <v/>
      </c>
      <c r="CA11" s="18">
        <f>'Grid_TheoreticalStock'!BR4</f>
        <v/>
      </c>
      <c r="CB11" s="18">
        <f>'Grid_TheoreticalStock'!BS4</f>
        <v/>
      </c>
      <c r="CC11" s="18">
        <f>'Grid_TheoreticalStock'!BT4</f>
        <v/>
      </c>
      <c r="CD11" s="18">
        <f>'Grid_TheoreticalStock'!BU4</f>
        <v/>
      </c>
      <c r="CE11" s="18">
        <f>'Grid_TheoreticalStock'!BV4</f>
        <v/>
      </c>
      <c r="CF11" s="18">
        <f>'Grid_TheoreticalStock'!BW4</f>
        <v/>
      </c>
      <c r="CG11" s="18">
        <f>'Grid_TheoreticalStock'!BX4</f>
        <v/>
      </c>
      <c r="CH11" s="18">
        <f>'Grid_TheoreticalStock'!BY4</f>
        <v/>
      </c>
      <c r="CI11" s="18">
        <f>'Grid_TheoreticalStock'!BZ4</f>
        <v/>
      </c>
      <c r="CJ11" s="18">
        <f>'Grid_TheoreticalStock'!CA4</f>
        <v/>
      </c>
      <c r="CK11" s="18">
        <f>'Grid_TheoreticalStock'!CB4</f>
        <v/>
      </c>
      <c r="CL11" s="18">
        <f>'Grid_TheoreticalStock'!CC4</f>
        <v/>
      </c>
      <c r="CM11" s="18">
        <f>'Grid_TheoreticalStock'!CD4</f>
        <v/>
      </c>
      <c r="CN11" s="18">
        <f>'Grid_TheoreticalStock'!CE4</f>
        <v/>
      </c>
      <c r="CO11" s="18">
        <f>'Grid_TheoreticalStock'!CF4</f>
        <v/>
      </c>
      <c r="CP11" s="18">
        <f>'Grid_TheoreticalStock'!CG4</f>
        <v/>
      </c>
      <c r="CQ11" s="18">
        <f>'Grid_TheoreticalStock'!CH4</f>
        <v/>
      </c>
      <c r="CR11" s="18">
        <f>'Grid_TheoreticalStock'!CI4</f>
        <v/>
      </c>
      <c r="CS11" s="18">
        <f>'Grid_TheoreticalStock'!CJ4</f>
        <v/>
      </c>
      <c r="CT11" s="18">
        <f>'Grid_TheoreticalStock'!CK4</f>
        <v/>
      </c>
      <c r="CU11" s="18">
        <f>'Grid_TheoreticalStock'!CL4</f>
        <v/>
      </c>
      <c r="CV11" s="18">
        <f>'Grid_TheoreticalStock'!CM4</f>
        <v/>
      </c>
      <c r="CW11" s="18">
        <f>'Grid_TheoreticalStock'!CN4</f>
        <v/>
      </c>
      <c r="CX11" s="18">
        <f>'Grid_TheoreticalStock'!CO4</f>
        <v/>
      </c>
      <c r="CY11" s="18">
        <f>'Grid_TheoreticalStock'!CP4</f>
        <v/>
      </c>
      <c r="CZ11" s="18">
        <f>'Grid_TheoreticalStock'!CQ4</f>
        <v/>
      </c>
      <c r="DA11" s="18">
        <f>'Grid_TheoreticalStock'!CR4</f>
        <v/>
      </c>
      <c r="DB11" s="18">
        <f>'Grid_TheoreticalStock'!CS4</f>
        <v/>
      </c>
      <c r="DC11" s="18">
        <f>'Grid_TheoreticalStock'!CT4</f>
        <v/>
      </c>
      <c r="DD11" s="18">
        <f>'Grid_TheoreticalStock'!CU4</f>
        <v/>
      </c>
      <c r="DE11" s="18">
        <f>'Grid_TheoreticalStock'!CV4</f>
        <v/>
      </c>
      <c r="DF11" s="18">
        <f>'Grid_TheoreticalStock'!CW4</f>
        <v/>
      </c>
      <c r="DG11" s="18">
        <f>'Grid_TheoreticalStock'!CX4</f>
        <v/>
      </c>
      <c r="DH11" s="18">
        <f>'Grid_TheoreticalStock'!CY4</f>
        <v/>
      </c>
      <c r="DI11" s="18">
        <f>'Grid_TheoreticalStock'!CZ4</f>
        <v/>
      </c>
      <c r="DJ11" s="18">
        <f>'Grid_TheoreticalStock'!DA4</f>
        <v/>
      </c>
    </row>
    <row r="12">
      <c r="A12" s="19" t="inlineStr">
        <is>
          <t>4HL</t>
        </is>
      </c>
      <c r="B12" s="19">
        <f>IFERROR(INDEX(M_RawMaterials[Description],MATCH($A12,M_RawMaterials[Part Name],0)),"")</f>
        <v/>
      </c>
      <c r="C12" s="19">
        <f>IFERROR(INDEX(M_RawMaterials[Category],MATCH($A12,M_RawMaterials[Part Name],0)),"")</f>
        <v/>
      </c>
      <c r="D12" s="19">
        <f>IFERROR(INDEX(M_RawMaterials[基準在庫下限_要入力],MATCH($A12,M_RawMaterials[Part Name],0)),0)</f>
        <v/>
      </c>
      <c r="E12" s="19">
        <f>IFERROR(INDEX(M_RawMaterials[基準在庫上限_要入力],MATCH($A12,M_RawMaterials[Part Name],0)),0)</f>
        <v/>
      </c>
      <c r="F12" s="19">
        <f>IFERROR(LOOKUP(2,1/('T_SelfStock'!$B$8:$DA$8&lt;&gt;""),'T_SelfStock'!$B$8:$DA$8),"")</f>
        <v/>
      </c>
      <c r="G12" s="19">
        <f>IFERROR(LOOKUP(2,1/('T_TTAFStock'!$B$8:$DA$8&lt;&gt;""),'T_TTAFStock'!$B$8:$DA$8),"")</f>
        <v/>
      </c>
      <c r="H12" s="19">
        <f>IFERROR(LOOKUP(2,1/('T_SelfStock'!$B$8:$DA$8&lt;&gt;""),'T_SelfStock'!$B$5:$DA$5),"")</f>
        <v/>
      </c>
      <c r="I12" s="20" t="inlineStr">
        <is>
          <t>実在庫</t>
        </is>
      </c>
      <c r="J12" s="19">
        <f>'Grid_Stock'!DA4-'Grid_TheoreticalStock'!DA4</f>
        <v/>
      </c>
      <c r="K12" s="19">
        <f>'Grid_Stock'!B4</f>
        <v/>
      </c>
      <c r="L12" s="19">
        <f>'Grid_Stock'!C4</f>
        <v/>
      </c>
      <c r="M12" s="19">
        <f>'Grid_Stock'!D4</f>
        <v/>
      </c>
      <c r="N12" s="19">
        <f>'Grid_Stock'!E4</f>
        <v/>
      </c>
      <c r="O12" s="19">
        <f>'Grid_Stock'!F4</f>
        <v/>
      </c>
      <c r="P12" s="19">
        <f>'Grid_Stock'!G4</f>
        <v/>
      </c>
      <c r="Q12" s="19">
        <f>'Grid_Stock'!H4</f>
        <v/>
      </c>
      <c r="R12" s="19">
        <f>'Grid_Stock'!I4</f>
        <v/>
      </c>
      <c r="S12" s="19">
        <f>'Grid_Stock'!J4</f>
        <v/>
      </c>
      <c r="T12" s="19">
        <f>'Grid_Stock'!K4</f>
        <v/>
      </c>
      <c r="U12" s="19">
        <f>'Grid_Stock'!L4</f>
        <v/>
      </c>
      <c r="V12" s="19">
        <f>'Grid_Stock'!M4</f>
        <v/>
      </c>
      <c r="W12" s="19">
        <f>'Grid_Stock'!N4</f>
        <v/>
      </c>
      <c r="X12" s="19">
        <f>'Grid_Stock'!O4</f>
        <v/>
      </c>
      <c r="Y12" s="19">
        <f>'Grid_Stock'!P4</f>
        <v/>
      </c>
      <c r="Z12" s="19">
        <f>'Grid_Stock'!Q4</f>
        <v/>
      </c>
      <c r="AA12" s="19">
        <f>'Grid_Stock'!R4</f>
        <v/>
      </c>
      <c r="AB12" s="19">
        <f>'Grid_Stock'!S4</f>
        <v/>
      </c>
      <c r="AC12" s="19">
        <f>'Grid_Stock'!T4</f>
        <v/>
      </c>
      <c r="AD12" s="19">
        <f>'Grid_Stock'!U4</f>
        <v/>
      </c>
      <c r="AE12" s="19">
        <f>'Grid_Stock'!V4</f>
        <v/>
      </c>
      <c r="AF12" s="19">
        <f>'Grid_Stock'!W4</f>
        <v/>
      </c>
      <c r="AG12" s="19">
        <f>'Grid_Stock'!X4</f>
        <v/>
      </c>
      <c r="AH12" s="19">
        <f>'Grid_Stock'!Y4</f>
        <v/>
      </c>
      <c r="AI12" s="19">
        <f>'Grid_Stock'!Z4</f>
        <v/>
      </c>
      <c r="AJ12" s="19">
        <f>'Grid_Stock'!AA4</f>
        <v/>
      </c>
      <c r="AK12" s="19">
        <f>'Grid_Stock'!AB4</f>
        <v/>
      </c>
      <c r="AL12" s="19">
        <f>'Grid_Stock'!AC4</f>
        <v/>
      </c>
      <c r="AM12" s="19">
        <f>'Grid_Stock'!AD4</f>
        <v/>
      </c>
      <c r="AN12" s="19">
        <f>'Grid_Stock'!AE4</f>
        <v/>
      </c>
      <c r="AO12" s="19">
        <f>'Grid_Stock'!AF4</f>
        <v/>
      </c>
      <c r="AP12" s="19">
        <f>'Grid_Stock'!AG4</f>
        <v/>
      </c>
      <c r="AQ12" s="19">
        <f>'Grid_Stock'!AH4</f>
        <v/>
      </c>
      <c r="AR12" s="19">
        <f>'Grid_Stock'!AI4</f>
        <v/>
      </c>
      <c r="AS12" s="19">
        <f>'Grid_Stock'!AJ4</f>
        <v/>
      </c>
      <c r="AT12" s="19">
        <f>'Grid_Stock'!AK4</f>
        <v/>
      </c>
      <c r="AU12" s="19">
        <f>'Grid_Stock'!AL4</f>
        <v/>
      </c>
      <c r="AV12" s="19">
        <f>'Grid_Stock'!AM4</f>
        <v/>
      </c>
      <c r="AW12" s="19">
        <f>'Grid_Stock'!AN4</f>
        <v/>
      </c>
      <c r="AX12" s="19">
        <f>'Grid_Stock'!AO4</f>
        <v/>
      </c>
      <c r="AY12" s="19">
        <f>'Grid_Stock'!AP4</f>
        <v/>
      </c>
      <c r="AZ12" s="19">
        <f>'Grid_Stock'!AQ4</f>
        <v/>
      </c>
      <c r="BA12" s="19">
        <f>'Grid_Stock'!AR4</f>
        <v/>
      </c>
      <c r="BB12" s="19">
        <f>'Grid_Stock'!AS4</f>
        <v/>
      </c>
      <c r="BC12" s="19">
        <f>'Grid_Stock'!AT4</f>
        <v/>
      </c>
      <c r="BD12" s="19">
        <f>'Grid_Stock'!AU4</f>
        <v/>
      </c>
      <c r="BE12" s="19">
        <f>'Grid_Stock'!AV4</f>
        <v/>
      </c>
      <c r="BF12" s="19">
        <f>'Grid_Stock'!AW4</f>
        <v/>
      </c>
      <c r="BG12" s="19">
        <f>'Grid_Stock'!AX4</f>
        <v/>
      </c>
      <c r="BH12" s="19">
        <f>'Grid_Stock'!AY4</f>
        <v/>
      </c>
      <c r="BI12" s="19">
        <f>'Grid_Stock'!AZ4</f>
        <v/>
      </c>
      <c r="BJ12" s="19">
        <f>'Grid_Stock'!BA4</f>
        <v/>
      </c>
      <c r="BK12" s="19">
        <f>'Grid_Stock'!BB4</f>
        <v/>
      </c>
      <c r="BL12" s="19">
        <f>'Grid_Stock'!BC4</f>
        <v/>
      </c>
      <c r="BM12" s="19">
        <f>'Grid_Stock'!BD4</f>
        <v/>
      </c>
      <c r="BN12" s="19">
        <f>'Grid_Stock'!BE4</f>
        <v/>
      </c>
      <c r="BO12" s="19">
        <f>'Grid_Stock'!BF4</f>
        <v/>
      </c>
      <c r="BP12" s="19">
        <f>'Grid_Stock'!BG4</f>
        <v/>
      </c>
      <c r="BQ12" s="19">
        <f>'Grid_Stock'!BH4</f>
        <v/>
      </c>
      <c r="BR12" s="19">
        <f>'Grid_Stock'!BI4</f>
        <v/>
      </c>
      <c r="BS12" s="19">
        <f>'Grid_Stock'!BJ4</f>
        <v/>
      </c>
      <c r="BT12" s="19">
        <f>'Grid_Stock'!BK4</f>
        <v/>
      </c>
      <c r="BU12" s="19">
        <f>'Grid_Stock'!BL4</f>
        <v/>
      </c>
      <c r="BV12" s="19">
        <f>'Grid_Stock'!BM4</f>
        <v/>
      </c>
      <c r="BW12" s="19">
        <f>'Grid_Stock'!BN4</f>
        <v/>
      </c>
      <c r="BX12" s="19">
        <f>'Grid_Stock'!BO4</f>
        <v/>
      </c>
      <c r="BY12" s="19">
        <f>'Grid_Stock'!BP4</f>
        <v/>
      </c>
      <c r="BZ12" s="19">
        <f>'Grid_Stock'!BQ4</f>
        <v/>
      </c>
      <c r="CA12" s="19">
        <f>'Grid_Stock'!BR4</f>
        <v/>
      </c>
      <c r="CB12" s="19">
        <f>'Grid_Stock'!BS4</f>
        <v/>
      </c>
      <c r="CC12" s="19">
        <f>'Grid_Stock'!BT4</f>
        <v/>
      </c>
      <c r="CD12" s="19">
        <f>'Grid_Stock'!BU4</f>
        <v/>
      </c>
      <c r="CE12" s="19">
        <f>'Grid_Stock'!BV4</f>
        <v/>
      </c>
      <c r="CF12" s="19">
        <f>'Grid_Stock'!BW4</f>
        <v/>
      </c>
      <c r="CG12" s="19">
        <f>'Grid_Stock'!BX4</f>
        <v/>
      </c>
      <c r="CH12" s="19">
        <f>'Grid_Stock'!BY4</f>
        <v/>
      </c>
      <c r="CI12" s="19">
        <f>'Grid_Stock'!BZ4</f>
        <v/>
      </c>
      <c r="CJ12" s="19">
        <f>'Grid_Stock'!CA4</f>
        <v/>
      </c>
      <c r="CK12" s="19">
        <f>'Grid_Stock'!CB4</f>
        <v/>
      </c>
      <c r="CL12" s="19">
        <f>'Grid_Stock'!CC4</f>
        <v/>
      </c>
      <c r="CM12" s="19">
        <f>'Grid_Stock'!CD4</f>
        <v/>
      </c>
      <c r="CN12" s="19">
        <f>'Grid_Stock'!CE4</f>
        <v/>
      </c>
      <c r="CO12" s="19">
        <f>'Grid_Stock'!CF4</f>
        <v/>
      </c>
      <c r="CP12" s="19">
        <f>'Grid_Stock'!CG4</f>
        <v/>
      </c>
      <c r="CQ12" s="19">
        <f>'Grid_Stock'!CH4</f>
        <v/>
      </c>
      <c r="CR12" s="19">
        <f>'Grid_Stock'!CI4</f>
        <v/>
      </c>
      <c r="CS12" s="19">
        <f>'Grid_Stock'!CJ4</f>
        <v/>
      </c>
      <c r="CT12" s="19">
        <f>'Grid_Stock'!CK4</f>
        <v/>
      </c>
      <c r="CU12" s="19">
        <f>'Grid_Stock'!CL4</f>
        <v/>
      </c>
      <c r="CV12" s="19">
        <f>'Grid_Stock'!CM4</f>
        <v/>
      </c>
      <c r="CW12" s="19">
        <f>'Grid_Stock'!CN4</f>
        <v/>
      </c>
      <c r="CX12" s="19">
        <f>'Grid_Stock'!CO4</f>
        <v/>
      </c>
      <c r="CY12" s="19">
        <f>'Grid_Stock'!CP4</f>
        <v/>
      </c>
      <c r="CZ12" s="19">
        <f>'Grid_Stock'!CQ4</f>
        <v/>
      </c>
      <c r="DA12" s="19">
        <f>'Grid_Stock'!CR4</f>
        <v/>
      </c>
      <c r="DB12" s="19">
        <f>'Grid_Stock'!CS4</f>
        <v/>
      </c>
      <c r="DC12" s="19">
        <f>'Grid_Stock'!CT4</f>
        <v/>
      </c>
      <c r="DD12" s="19">
        <f>'Grid_Stock'!CU4</f>
        <v/>
      </c>
      <c r="DE12" s="19">
        <f>'Grid_Stock'!CV4</f>
        <v/>
      </c>
      <c r="DF12" s="19">
        <f>'Grid_Stock'!CW4</f>
        <v/>
      </c>
      <c r="DG12" s="19">
        <f>'Grid_Stock'!CX4</f>
        <v/>
      </c>
      <c r="DH12" s="19">
        <f>'Grid_Stock'!CY4</f>
        <v/>
      </c>
      <c r="DI12" s="19">
        <f>'Grid_Stock'!CZ4</f>
        <v/>
      </c>
      <c r="DJ12" s="19">
        <f>'Grid_Stock'!DA4</f>
        <v/>
      </c>
    </row>
    <row r="13">
      <c r="A13" s="17" t="inlineStr">
        <is>
          <t>9RN</t>
        </is>
      </c>
      <c r="B13" s="17">
        <f>IFERROR(INDEX(M_RawMaterials[Description],MATCH($A13,M_RawMaterials[Part Name],0)),"")</f>
        <v/>
      </c>
      <c r="C13" s="17">
        <f>IFERROR(INDEX(M_RawMaterials[Category],MATCH($A13,M_RawMaterials[Part Name],0)),"")</f>
        <v/>
      </c>
      <c r="D13" s="17">
        <f>IFERROR(INDEX(M_RawMaterials[基準在庫下限_要入力],MATCH($A13,M_RawMaterials[Part Name],0)),0)</f>
        <v/>
      </c>
      <c r="E13" s="17">
        <f>IFERROR(INDEX(M_RawMaterials[基準在庫上限_要入力],MATCH($A13,M_RawMaterials[Part Name],0)),0)</f>
        <v/>
      </c>
      <c r="F13" s="17">
        <f>IFERROR(LOOKUP(2,1/('T_SelfStock'!$B$9:$DA$9&lt;&gt;""),'T_SelfStock'!$B$9:$DA$9),"")</f>
        <v/>
      </c>
      <c r="G13" s="17">
        <f>IFERROR(LOOKUP(2,1/('T_TTAFStock'!$B$9:$DA$9&lt;&gt;""),'T_TTAFStock'!$B$9:$DA$9),"")</f>
        <v/>
      </c>
      <c r="H13" s="17">
        <f>IFERROR(LOOKUP(2,1/('T_SelfStock'!$B$9:$DA$9&lt;&gt;""),'T_SelfStock'!$B$5:$DA$5),"")</f>
        <v/>
      </c>
      <c r="I13" s="18" t="inlineStr">
        <is>
          <t>理論在庫</t>
        </is>
      </c>
      <c r="J13" s="17">
        <f>'Grid_Stock'!DA5-'Grid_TheoreticalStock'!DA5</f>
        <v/>
      </c>
      <c r="K13" s="18">
        <f>'Grid_TheoreticalStock'!B5</f>
        <v/>
      </c>
      <c r="L13" s="18">
        <f>'Grid_TheoreticalStock'!C5</f>
        <v/>
      </c>
      <c r="M13" s="18">
        <f>'Grid_TheoreticalStock'!D5</f>
        <v/>
      </c>
      <c r="N13" s="18">
        <f>'Grid_TheoreticalStock'!E5</f>
        <v/>
      </c>
      <c r="O13" s="18">
        <f>'Grid_TheoreticalStock'!F5</f>
        <v/>
      </c>
      <c r="P13" s="18">
        <f>'Grid_TheoreticalStock'!G5</f>
        <v/>
      </c>
      <c r="Q13" s="18">
        <f>'Grid_TheoreticalStock'!H5</f>
        <v/>
      </c>
      <c r="R13" s="18">
        <f>'Grid_TheoreticalStock'!I5</f>
        <v/>
      </c>
      <c r="S13" s="18">
        <f>'Grid_TheoreticalStock'!J5</f>
        <v/>
      </c>
      <c r="T13" s="18">
        <f>'Grid_TheoreticalStock'!K5</f>
        <v/>
      </c>
      <c r="U13" s="18">
        <f>'Grid_TheoreticalStock'!L5</f>
        <v/>
      </c>
      <c r="V13" s="18">
        <f>'Grid_TheoreticalStock'!M5</f>
        <v/>
      </c>
      <c r="W13" s="18">
        <f>'Grid_TheoreticalStock'!N5</f>
        <v/>
      </c>
      <c r="X13" s="18">
        <f>'Grid_TheoreticalStock'!O5</f>
        <v/>
      </c>
      <c r="Y13" s="18">
        <f>'Grid_TheoreticalStock'!P5</f>
        <v/>
      </c>
      <c r="Z13" s="18">
        <f>'Grid_TheoreticalStock'!Q5</f>
        <v/>
      </c>
      <c r="AA13" s="18">
        <f>'Grid_TheoreticalStock'!R5</f>
        <v/>
      </c>
      <c r="AB13" s="18">
        <f>'Grid_TheoreticalStock'!S5</f>
        <v/>
      </c>
      <c r="AC13" s="18">
        <f>'Grid_TheoreticalStock'!T5</f>
        <v/>
      </c>
      <c r="AD13" s="18">
        <f>'Grid_TheoreticalStock'!U5</f>
        <v/>
      </c>
      <c r="AE13" s="18">
        <f>'Grid_TheoreticalStock'!V5</f>
        <v/>
      </c>
      <c r="AF13" s="18">
        <f>'Grid_TheoreticalStock'!W5</f>
        <v/>
      </c>
      <c r="AG13" s="18">
        <f>'Grid_TheoreticalStock'!X5</f>
        <v/>
      </c>
      <c r="AH13" s="18">
        <f>'Grid_TheoreticalStock'!Y5</f>
        <v/>
      </c>
      <c r="AI13" s="18">
        <f>'Grid_TheoreticalStock'!Z5</f>
        <v/>
      </c>
      <c r="AJ13" s="18">
        <f>'Grid_TheoreticalStock'!AA5</f>
        <v/>
      </c>
      <c r="AK13" s="18">
        <f>'Grid_TheoreticalStock'!AB5</f>
        <v/>
      </c>
      <c r="AL13" s="18">
        <f>'Grid_TheoreticalStock'!AC5</f>
        <v/>
      </c>
      <c r="AM13" s="18">
        <f>'Grid_TheoreticalStock'!AD5</f>
        <v/>
      </c>
      <c r="AN13" s="18">
        <f>'Grid_TheoreticalStock'!AE5</f>
        <v/>
      </c>
      <c r="AO13" s="18">
        <f>'Grid_TheoreticalStock'!AF5</f>
        <v/>
      </c>
      <c r="AP13" s="18">
        <f>'Grid_TheoreticalStock'!AG5</f>
        <v/>
      </c>
      <c r="AQ13" s="18">
        <f>'Grid_TheoreticalStock'!AH5</f>
        <v/>
      </c>
      <c r="AR13" s="18">
        <f>'Grid_TheoreticalStock'!AI5</f>
        <v/>
      </c>
      <c r="AS13" s="18">
        <f>'Grid_TheoreticalStock'!AJ5</f>
        <v/>
      </c>
      <c r="AT13" s="18">
        <f>'Grid_TheoreticalStock'!AK5</f>
        <v/>
      </c>
      <c r="AU13" s="18">
        <f>'Grid_TheoreticalStock'!AL5</f>
        <v/>
      </c>
      <c r="AV13" s="18">
        <f>'Grid_TheoreticalStock'!AM5</f>
        <v/>
      </c>
      <c r="AW13" s="18">
        <f>'Grid_TheoreticalStock'!AN5</f>
        <v/>
      </c>
      <c r="AX13" s="18">
        <f>'Grid_TheoreticalStock'!AO5</f>
        <v/>
      </c>
      <c r="AY13" s="18">
        <f>'Grid_TheoreticalStock'!AP5</f>
        <v/>
      </c>
      <c r="AZ13" s="18">
        <f>'Grid_TheoreticalStock'!AQ5</f>
        <v/>
      </c>
      <c r="BA13" s="18">
        <f>'Grid_TheoreticalStock'!AR5</f>
        <v/>
      </c>
      <c r="BB13" s="18">
        <f>'Grid_TheoreticalStock'!AS5</f>
        <v/>
      </c>
      <c r="BC13" s="18">
        <f>'Grid_TheoreticalStock'!AT5</f>
        <v/>
      </c>
      <c r="BD13" s="18">
        <f>'Grid_TheoreticalStock'!AU5</f>
        <v/>
      </c>
      <c r="BE13" s="18">
        <f>'Grid_TheoreticalStock'!AV5</f>
        <v/>
      </c>
      <c r="BF13" s="18">
        <f>'Grid_TheoreticalStock'!AW5</f>
        <v/>
      </c>
      <c r="BG13" s="18">
        <f>'Grid_TheoreticalStock'!AX5</f>
        <v/>
      </c>
      <c r="BH13" s="18">
        <f>'Grid_TheoreticalStock'!AY5</f>
        <v/>
      </c>
      <c r="BI13" s="18">
        <f>'Grid_TheoreticalStock'!AZ5</f>
        <v/>
      </c>
      <c r="BJ13" s="18">
        <f>'Grid_TheoreticalStock'!BA5</f>
        <v/>
      </c>
      <c r="BK13" s="18">
        <f>'Grid_TheoreticalStock'!BB5</f>
        <v/>
      </c>
      <c r="BL13" s="18">
        <f>'Grid_TheoreticalStock'!BC5</f>
        <v/>
      </c>
      <c r="BM13" s="18">
        <f>'Grid_TheoreticalStock'!BD5</f>
        <v/>
      </c>
      <c r="BN13" s="18">
        <f>'Grid_TheoreticalStock'!BE5</f>
        <v/>
      </c>
      <c r="BO13" s="18">
        <f>'Grid_TheoreticalStock'!BF5</f>
        <v/>
      </c>
      <c r="BP13" s="18">
        <f>'Grid_TheoreticalStock'!BG5</f>
        <v/>
      </c>
      <c r="BQ13" s="18">
        <f>'Grid_TheoreticalStock'!BH5</f>
        <v/>
      </c>
      <c r="BR13" s="18">
        <f>'Grid_TheoreticalStock'!BI5</f>
        <v/>
      </c>
      <c r="BS13" s="18">
        <f>'Grid_TheoreticalStock'!BJ5</f>
        <v/>
      </c>
      <c r="BT13" s="18">
        <f>'Grid_TheoreticalStock'!BK5</f>
        <v/>
      </c>
      <c r="BU13" s="18">
        <f>'Grid_TheoreticalStock'!BL5</f>
        <v/>
      </c>
      <c r="BV13" s="18">
        <f>'Grid_TheoreticalStock'!BM5</f>
        <v/>
      </c>
      <c r="BW13" s="18">
        <f>'Grid_TheoreticalStock'!BN5</f>
        <v/>
      </c>
      <c r="BX13" s="18">
        <f>'Grid_TheoreticalStock'!BO5</f>
        <v/>
      </c>
      <c r="BY13" s="18">
        <f>'Grid_TheoreticalStock'!BP5</f>
        <v/>
      </c>
      <c r="BZ13" s="18">
        <f>'Grid_TheoreticalStock'!BQ5</f>
        <v/>
      </c>
      <c r="CA13" s="18">
        <f>'Grid_TheoreticalStock'!BR5</f>
        <v/>
      </c>
      <c r="CB13" s="18">
        <f>'Grid_TheoreticalStock'!BS5</f>
        <v/>
      </c>
      <c r="CC13" s="18">
        <f>'Grid_TheoreticalStock'!BT5</f>
        <v/>
      </c>
      <c r="CD13" s="18">
        <f>'Grid_TheoreticalStock'!BU5</f>
        <v/>
      </c>
      <c r="CE13" s="18">
        <f>'Grid_TheoreticalStock'!BV5</f>
        <v/>
      </c>
      <c r="CF13" s="18">
        <f>'Grid_TheoreticalStock'!BW5</f>
        <v/>
      </c>
      <c r="CG13" s="18">
        <f>'Grid_TheoreticalStock'!BX5</f>
        <v/>
      </c>
      <c r="CH13" s="18">
        <f>'Grid_TheoreticalStock'!BY5</f>
        <v/>
      </c>
      <c r="CI13" s="18">
        <f>'Grid_TheoreticalStock'!BZ5</f>
        <v/>
      </c>
      <c r="CJ13" s="18">
        <f>'Grid_TheoreticalStock'!CA5</f>
        <v/>
      </c>
      <c r="CK13" s="18">
        <f>'Grid_TheoreticalStock'!CB5</f>
        <v/>
      </c>
      <c r="CL13" s="18">
        <f>'Grid_TheoreticalStock'!CC5</f>
        <v/>
      </c>
      <c r="CM13" s="18">
        <f>'Grid_TheoreticalStock'!CD5</f>
        <v/>
      </c>
      <c r="CN13" s="18">
        <f>'Grid_TheoreticalStock'!CE5</f>
        <v/>
      </c>
      <c r="CO13" s="18">
        <f>'Grid_TheoreticalStock'!CF5</f>
        <v/>
      </c>
      <c r="CP13" s="18">
        <f>'Grid_TheoreticalStock'!CG5</f>
        <v/>
      </c>
      <c r="CQ13" s="18">
        <f>'Grid_TheoreticalStock'!CH5</f>
        <v/>
      </c>
      <c r="CR13" s="18">
        <f>'Grid_TheoreticalStock'!CI5</f>
        <v/>
      </c>
      <c r="CS13" s="18">
        <f>'Grid_TheoreticalStock'!CJ5</f>
        <v/>
      </c>
      <c r="CT13" s="18">
        <f>'Grid_TheoreticalStock'!CK5</f>
        <v/>
      </c>
      <c r="CU13" s="18">
        <f>'Grid_TheoreticalStock'!CL5</f>
        <v/>
      </c>
      <c r="CV13" s="18">
        <f>'Grid_TheoreticalStock'!CM5</f>
        <v/>
      </c>
      <c r="CW13" s="18">
        <f>'Grid_TheoreticalStock'!CN5</f>
        <v/>
      </c>
      <c r="CX13" s="18">
        <f>'Grid_TheoreticalStock'!CO5</f>
        <v/>
      </c>
      <c r="CY13" s="18">
        <f>'Grid_TheoreticalStock'!CP5</f>
        <v/>
      </c>
      <c r="CZ13" s="18">
        <f>'Grid_TheoreticalStock'!CQ5</f>
        <v/>
      </c>
      <c r="DA13" s="18">
        <f>'Grid_TheoreticalStock'!CR5</f>
        <v/>
      </c>
      <c r="DB13" s="18">
        <f>'Grid_TheoreticalStock'!CS5</f>
        <v/>
      </c>
      <c r="DC13" s="18">
        <f>'Grid_TheoreticalStock'!CT5</f>
        <v/>
      </c>
      <c r="DD13" s="18">
        <f>'Grid_TheoreticalStock'!CU5</f>
        <v/>
      </c>
      <c r="DE13" s="18">
        <f>'Grid_TheoreticalStock'!CV5</f>
        <v/>
      </c>
      <c r="DF13" s="18">
        <f>'Grid_TheoreticalStock'!CW5</f>
        <v/>
      </c>
      <c r="DG13" s="18">
        <f>'Grid_TheoreticalStock'!CX5</f>
        <v/>
      </c>
      <c r="DH13" s="18">
        <f>'Grid_TheoreticalStock'!CY5</f>
        <v/>
      </c>
      <c r="DI13" s="18">
        <f>'Grid_TheoreticalStock'!CZ5</f>
        <v/>
      </c>
      <c r="DJ13" s="18">
        <f>'Grid_TheoreticalStock'!DA5</f>
        <v/>
      </c>
    </row>
    <row r="14">
      <c r="A14" s="19" t="inlineStr">
        <is>
          <t>9RN</t>
        </is>
      </c>
      <c r="B14" s="19">
        <f>IFERROR(INDEX(M_RawMaterials[Description],MATCH($A14,M_RawMaterials[Part Name],0)),"")</f>
        <v/>
      </c>
      <c r="C14" s="19">
        <f>IFERROR(INDEX(M_RawMaterials[Category],MATCH($A14,M_RawMaterials[Part Name],0)),"")</f>
        <v/>
      </c>
      <c r="D14" s="19">
        <f>IFERROR(INDEX(M_RawMaterials[基準在庫下限_要入力],MATCH($A14,M_RawMaterials[Part Name],0)),0)</f>
        <v/>
      </c>
      <c r="E14" s="19">
        <f>IFERROR(INDEX(M_RawMaterials[基準在庫上限_要入力],MATCH($A14,M_RawMaterials[Part Name],0)),0)</f>
        <v/>
      </c>
      <c r="F14" s="19">
        <f>IFERROR(LOOKUP(2,1/('T_SelfStock'!$B$9:$DA$9&lt;&gt;""),'T_SelfStock'!$B$9:$DA$9),"")</f>
        <v/>
      </c>
      <c r="G14" s="19">
        <f>IFERROR(LOOKUP(2,1/('T_TTAFStock'!$B$9:$DA$9&lt;&gt;""),'T_TTAFStock'!$B$9:$DA$9),"")</f>
        <v/>
      </c>
      <c r="H14" s="19">
        <f>IFERROR(LOOKUP(2,1/('T_SelfStock'!$B$9:$DA$9&lt;&gt;""),'T_SelfStock'!$B$5:$DA$5),"")</f>
        <v/>
      </c>
      <c r="I14" s="20" t="inlineStr">
        <is>
          <t>実在庫</t>
        </is>
      </c>
      <c r="J14" s="19">
        <f>'Grid_Stock'!DA5-'Grid_TheoreticalStock'!DA5</f>
        <v/>
      </c>
      <c r="K14" s="19">
        <f>'Grid_Stock'!B5</f>
        <v/>
      </c>
      <c r="L14" s="19">
        <f>'Grid_Stock'!C5</f>
        <v/>
      </c>
      <c r="M14" s="19">
        <f>'Grid_Stock'!D5</f>
        <v/>
      </c>
      <c r="N14" s="19">
        <f>'Grid_Stock'!E5</f>
        <v/>
      </c>
      <c r="O14" s="19">
        <f>'Grid_Stock'!F5</f>
        <v/>
      </c>
      <c r="P14" s="19">
        <f>'Grid_Stock'!G5</f>
        <v/>
      </c>
      <c r="Q14" s="19">
        <f>'Grid_Stock'!H5</f>
        <v/>
      </c>
      <c r="R14" s="19">
        <f>'Grid_Stock'!I5</f>
        <v/>
      </c>
      <c r="S14" s="19">
        <f>'Grid_Stock'!J5</f>
        <v/>
      </c>
      <c r="T14" s="19">
        <f>'Grid_Stock'!K5</f>
        <v/>
      </c>
      <c r="U14" s="19">
        <f>'Grid_Stock'!L5</f>
        <v/>
      </c>
      <c r="V14" s="19">
        <f>'Grid_Stock'!M5</f>
        <v/>
      </c>
      <c r="W14" s="19">
        <f>'Grid_Stock'!N5</f>
        <v/>
      </c>
      <c r="X14" s="19">
        <f>'Grid_Stock'!O5</f>
        <v/>
      </c>
      <c r="Y14" s="19">
        <f>'Grid_Stock'!P5</f>
        <v/>
      </c>
      <c r="Z14" s="19">
        <f>'Grid_Stock'!Q5</f>
        <v/>
      </c>
      <c r="AA14" s="19">
        <f>'Grid_Stock'!R5</f>
        <v/>
      </c>
      <c r="AB14" s="19">
        <f>'Grid_Stock'!S5</f>
        <v/>
      </c>
      <c r="AC14" s="19">
        <f>'Grid_Stock'!T5</f>
        <v/>
      </c>
      <c r="AD14" s="19">
        <f>'Grid_Stock'!U5</f>
        <v/>
      </c>
      <c r="AE14" s="19">
        <f>'Grid_Stock'!V5</f>
        <v/>
      </c>
      <c r="AF14" s="19">
        <f>'Grid_Stock'!W5</f>
        <v/>
      </c>
      <c r="AG14" s="19">
        <f>'Grid_Stock'!X5</f>
        <v/>
      </c>
      <c r="AH14" s="19">
        <f>'Grid_Stock'!Y5</f>
        <v/>
      </c>
      <c r="AI14" s="19">
        <f>'Grid_Stock'!Z5</f>
        <v/>
      </c>
      <c r="AJ14" s="19">
        <f>'Grid_Stock'!AA5</f>
        <v/>
      </c>
      <c r="AK14" s="19">
        <f>'Grid_Stock'!AB5</f>
        <v/>
      </c>
      <c r="AL14" s="19">
        <f>'Grid_Stock'!AC5</f>
        <v/>
      </c>
      <c r="AM14" s="19">
        <f>'Grid_Stock'!AD5</f>
        <v/>
      </c>
      <c r="AN14" s="19">
        <f>'Grid_Stock'!AE5</f>
        <v/>
      </c>
      <c r="AO14" s="19">
        <f>'Grid_Stock'!AF5</f>
        <v/>
      </c>
      <c r="AP14" s="19">
        <f>'Grid_Stock'!AG5</f>
        <v/>
      </c>
      <c r="AQ14" s="19">
        <f>'Grid_Stock'!AH5</f>
        <v/>
      </c>
      <c r="AR14" s="19">
        <f>'Grid_Stock'!AI5</f>
        <v/>
      </c>
      <c r="AS14" s="19">
        <f>'Grid_Stock'!AJ5</f>
        <v/>
      </c>
      <c r="AT14" s="19">
        <f>'Grid_Stock'!AK5</f>
        <v/>
      </c>
      <c r="AU14" s="19">
        <f>'Grid_Stock'!AL5</f>
        <v/>
      </c>
      <c r="AV14" s="19">
        <f>'Grid_Stock'!AM5</f>
        <v/>
      </c>
      <c r="AW14" s="19">
        <f>'Grid_Stock'!AN5</f>
        <v/>
      </c>
      <c r="AX14" s="19">
        <f>'Grid_Stock'!AO5</f>
        <v/>
      </c>
      <c r="AY14" s="19">
        <f>'Grid_Stock'!AP5</f>
        <v/>
      </c>
      <c r="AZ14" s="19">
        <f>'Grid_Stock'!AQ5</f>
        <v/>
      </c>
      <c r="BA14" s="19">
        <f>'Grid_Stock'!AR5</f>
        <v/>
      </c>
      <c r="BB14" s="19">
        <f>'Grid_Stock'!AS5</f>
        <v/>
      </c>
      <c r="BC14" s="19">
        <f>'Grid_Stock'!AT5</f>
        <v/>
      </c>
      <c r="BD14" s="19">
        <f>'Grid_Stock'!AU5</f>
        <v/>
      </c>
      <c r="BE14" s="19">
        <f>'Grid_Stock'!AV5</f>
        <v/>
      </c>
      <c r="BF14" s="19">
        <f>'Grid_Stock'!AW5</f>
        <v/>
      </c>
      <c r="BG14" s="19">
        <f>'Grid_Stock'!AX5</f>
        <v/>
      </c>
      <c r="BH14" s="19">
        <f>'Grid_Stock'!AY5</f>
        <v/>
      </c>
      <c r="BI14" s="19">
        <f>'Grid_Stock'!AZ5</f>
        <v/>
      </c>
      <c r="BJ14" s="19">
        <f>'Grid_Stock'!BA5</f>
        <v/>
      </c>
      <c r="BK14" s="19">
        <f>'Grid_Stock'!BB5</f>
        <v/>
      </c>
      <c r="BL14" s="19">
        <f>'Grid_Stock'!BC5</f>
        <v/>
      </c>
      <c r="BM14" s="19">
        <f>'Grid_Stock'!BD5</f>
        <v/>
      </c>
      <c r="BN14" s="19">
        <f>'Grid_Stock'!BE5</f>
        <v/>
      </c>
      <c r="BO14" s="19">
        <f>'Grid_Stock'!BF5</f>
        <v/>
      </c>
      <c r="BP14" s="19">
        <f>'Grid_Stock'!BG5</f>
        <v/>
      </c>
      <c r="BQ14" s="19">
        <f>'Grid_Stock'!BH5</f>
        <v/>
      </c>
      <c r="BR14" s="19">
        <f>'Grid_Stock'!BI5</f>
        <v/>
      </c>
      <c r="BS14" s="19">
        <f>'Grid_Stock'!BJ5</f>
        <v/>
      </c>
      <c r="BT14" s="19">
        <f>'Grid_Stock'!BK5</f>
        <v/>
      </c>
      <c r="BU14" s="19">
        <f>'Grid_Stock'!BL5</f>
        <v/>
      </c>
      <c r="BV14" s="19">
        <f>'Grid_Stock'!BM5</f>
        <v/>
      </c>
      <c r="BW14" s="19">
        <f>'Grid_Stock'!BN5</f>
        <v/>
      </c>
      <c r="BX14" s="19">
        <f>'Grid_Stock'!BO5</f>
        <v/>
      </c>
      <c r="BY14" s="19">
        <f>'Grid_Stock'!BP5</f>
        <v/>
      </c>
      <c r="BZ14" s="19">
        <f>'Grid_Stock'!BQ5</f>
        <v/>
      </c>
      <c r="CA14" s="19">
        <f>'Grid_Stock'!BR5</f>
        <v/>
      </c>
      <c r="CB14" s="19">
        <f>'Grid_Stock'!BS5</f>
        <v/>
      </c>
      <c r="CC14" s="19">
        <f>'Grid_Stock'!BT5</f>
        <v/>
      </c>
      <c r="CD14" s="19">
        <f>'Grid_Stock'!BU5</f>
        <v/>
      </c>
      <c r="CE14" s="19">
        <f>'Grid_Stock'!BV5</f>
        <v/>
      </c>
      <c r="CF14" s="19">
        <f>'Grid_Stock'!BW5</f>
        <v/>
      </c>
      <c r="CG14" s="19">
        <f>'Grid_Stock'!BX5</f>
        <v/>
      </c>
      <c r="CH14" s="19">
        <f>'Grid_Stock'!BY5</f>
        <v/>
      </c>
      <c r="CI14" s="19">
        <f>'Grid_Stock'!BZ5</f>
        <v/>
      </c>
      <c r="CJ14" s="19">
        <f>'Grid_Stock'!CA5</f>
        <v/>
      </c>
      <c r="CK14" s="19">
        <f>'Grid_Stock'!CB5</f>
        <v/>
      </c>
      <c r="CL14" s="19">
        <f>'Grid_Stock'!CC5</f>
        <v/>
      </c>
      <c r="CM14" s="19">
        <f>'Grid_Stock'!CD5</f>
        <v/>
      </c>
      <c r="CN14" s="19">
        <f>'Grid_Stock'!CE5</f>
        <v/>
      </c>
      <c r="CO14" s="19">
        <f>'Grid_Stock'!CF5</f>
        <v/>
      </c>
      <c r="CP14" s="19">
        <f>'Grid_Stock'!CG5</f>
        <v/>
      </c>
      <c r="CQ14" s="19">
        <f>'Grid_Stock'!CH5</f>
        <v/>
      </c>
      <c r="CR14" s="19">
        <f>'Grid_Stock'!CI5</f>
        <v/>
      </c>
      <c r="CS14" s="19">
        <f>'Grid_Stock'!CJ5</f>
        <v/>
      </c>
      <c r="CT14" s="19">
        <f>'Grid_Stock'!CK5</f>
        <v/>
      </c>
      <c r="CU14" s="19">
        <f>'Grid_Stock'!CL5</f>
        <v/>
      </c>
      <c r="CV14" s="19">
        <f>'Grid_Stock'!CM5</f>
        <v/>
      </c>
      <c r="CW14" s="19">
        <f>'Grid_Stock'!CN5</f>
        <v/>
      </c>
      <c r="CX14" s="19">
        <f>'Grid_Stock'!CO5</f>
        <v/>
      </c>
      <c r="CY14" s="19">
        <f>'Grid_Stock'!CP5</f>
        <v/>
      </c>
      <c r="CZ14" s="19">
        <f>'Grid_Stock'!CQ5</f>
        <v/>
      </c>
      <c r="DA14" s="19">
        <f>'Grid_Stock'!CR5</f>
        <v/>
      </c>
      <c r="DB14" s="19">
        <f>'Grid_Stock'!CS5</f>
        <v/>
      </c>
      <c r="DC14" s="19">
        <f>'Grid_Stock'!CT5</f>
        <v/>
      </c>
      <c r="DD14" s="19">
        <f>'Grid_Stock'!CU5</f>
        <v/>
      </c>
      <c r="DE14" s="19">
        <f>'Grid_Stock'!CV5</f>
        <v/>
      </c>
      <c r="DF14" s="19">
        <f>'Grid_Stock'!CW5</f>
        <v/>
      </c>
      <c r="DG14" s="19">
        <f>'Grid_Stock'!CX5</f>
        <v/>
      </c>
      <c r="DH14" s="19">
        <f>'Grid_Stock'!CY5</f>
        <v/>
      </c>
      <c r="DI14" s="19">
        <f>'Grid_Stock'!CZ5</f>
        <v/>
      </c>
      <c r="DJ14" s="19">
        <f>'Grid_Stock'!DA5</f>
        <v/>
      </c>
    </row>
    <row r="15">
      <c r="A15" s="17" t="inlineStr">
        <is>
          <t>7CL</t>
        </is>
      </c>
      <c r="B15" s="17">
        <f>IFERROR(INDEX(M_RawMaterials[Description],MATCH($A15,M_RawMaterials[Part Name],0)),"")</f>
        <v/>
      </c>
      <c r="C15" s="17">
        <f>IFERROR(INDEX(M_RawMaterials[Category],MATCH($A15,M_RawMaterials[Part Name],0)),"")</f>
        <v/>
      </c>
      <c r="D15" s="17">
        <f>IFERROR(INDEX(M_RawMaterials[基準在庫下限_要入力],MATCH($A15,M_RawMaterials[Part Name],0)),0)</f>
        <v/>
      </c>
      <c r="E15" s="17">
        <f>IFERROR(INDEX(M_RawMaterials[基準在庫上限_要入力],MATCH($A15,M_RawMaterials[Part Name],0)),0)</f>
        <v/>
      </c>
      <c r="F15" s="17">
        <f>IFERROR(LOOKUP(2,1/('T_SelfStock'!$B$10:$DA$10&lt;&gt;""),'T_SelfStock'!$B$10:$DA$10),"")</f>
        <v/>
      </c>
      <c r="G15" s="17">
        <f>IFERROR(LOOKUP(2,1/('T_TTAFStock'!$B$10:$DA$10&lt;&gt;""),'T_TTAFStock'!$B$10:$DA$10),"")</f>
        <v/>
      </c>
      <c r="H15" s="17">
        <f>IFERROR(LOOKUP(2,1/('T_SelfStock'!$B$10:$DA$10&lt;&gt;""),'T_SelfStock'!$B$5:$DA$5),"")</f>
        <v/>
      </c>
      <c r="I15" s="18" t="inlineStr">
        <is>
          <t>理論在庫</t>
        </is>
      </c>
      <c r="J15" s="17">
        <f>'Grid_Stock'!DA6-'Grid_TheoreticalStock'!DA6</f>
        <v/>
      </c>
      <c r="K15" s="18">
        <f>'Grid_TheoreticalStock'!B6</f>
        <v/>
      </c>
      <c r="L15" s="18">
        <f>'Grid_TheoreticalStock'!C6</f>
        <v/>
      </c>
      <c r="M15" s="18">
        <f>'Grid_TheoreticalStock'!D6</f>
        <v/>
      </c>
      <c r="N15" s="18">
        <f>'Grid_TheoreticalStock'!E6</f>
        <v/>
      </c>
      <c r="O15" s="18">
        <f>'Grid_TheoreticalStock'!F6</f>
        <v/>
      </c>
      <c r="P15" s="18">
        <f>'Grid_TheoreticalStock'!G6</f>
        <v/>
      </c>
      <c r="Q15" s="18">
        <f>'Grid_TheoreticalStock'!H6</f>
        <v/>
      </c>
      <c r="R15" s="18">
        <f>'Grid_TheoreticalStock'!I6</f>
        <v/>
      </c>
      <c r="S15" s="18">
        <f>'Grid_TheoreticalStock'!J6</f>
        <v/>
      </c>
      <c r="T15" s="18">
        <f>'Grid_TheoreticalStock'!K6</f>
        <v/>
      </c>
      <c r="U15" s="18">
        <f>'Grid_TheoreticalStock'!L6</f>
        <v/>
      </c>
      <c r="V15" s="18">
        <f>'Grid_TheoreticalStock'!M6</f>
        <v/>
      </c>
      <c r="W15" s="18">
        <f>'Grid_TheoreticalStock'!N6</f>
        <v/>
      </c>
      <c r="X15" s="18">
        <f>'Grid_TheoreticalStock'!O6</f>
        <v/>
      </c>
      <c r="Y15" s="18">
        <f>'Grid_TheoreticalStock'!P6</f>
        <v/>
      </c>
      <c r="Z15" s="18">
        <f>'Grid_TheoreticalStock'!Q6</f>
        <v/>
      </c>
      <c r="AA15" s="18">
        <f>'Grid_TheoreticalStock'!R6</f>
        <v/>
      </c>
      <c r="AB15" s="18">
        <f>'Grid_TheoreticalStock'!S6</f>
        <v/>
      </c>
      <c r="AC15" s="18">
        <f>'Grid_TheoreticalStock'!T6</f>
        <v/>
      </c>
      <c r="AD15" s="18">
        <f>'Grid_TheoreticalStock'!U6</f>
        <v/>
      </c>
      <c r="AE15" s="18">
        <f>'Grid_TheoreticalStock'!V6</f>
        <v/>
      </c>
      <c r="AF15" s="18">
        <f>'Grid_TheoreticalStock'!W6</f>
        <v/>
      </c>
      <c r="AG15" s="18">
        <f>'Grid_TheoreticalStock'!X6</f>
        <v/>
      </c>
      <c r="AH15" s="18">
        <f>'Grid_TheoreticalStock'!Y6</f>
        <v/>
      </c>
      <c r="AI15" s="18">
        <f>'Grid_TheoreticalStock'!Z6</f>
        <v/>
      </c>
      <c r="AJ15" s="18">
        <f>'Grid_TheoreticalStock'!AA6</f>
        <v/>
      </c>
      <c r="AK15" s="18">
        <f>'Grid_TheoreticalStock'!AB6</f>
        <v/>
      </c>
      <c r="AL15" s="18">
        <f>'Grid_TheoreticalStock'!AC6</f>
        <v/>
      </c>
      <c r="AM15" s="18">
        <f>'Grid_TheoreticalStock'!AD6</f>
        <v/>
      </c>
      <c r="AN15" s="18">
        <f>'Grid_TheoreticalStock'!AE6</f>
        <v/>
      </c>
      <c r="AO15" s="18">
        <f>'Grid_TheoreticalStock'!AF6</f>
        <v/>
      </c>
      <c r="AP15" s="18">
        <f>'Grid_TheoreticalStock'!AG6</f>
        <v/>
      </c>
      <c r="AQ15" s="18">
        <f>'Grid_TheoreticalStock'!AH6</f>
        <v/>
      </c>
      <c r="AR15" s="18">
        <f>'Grid_TheoreticalStock'!AI6</f>
        <v/>
      </c>
      <c r="AS15" s="18">
        <f>'Grid_TheoreticalStock'!AJ6</f>
        <v/>
      </c>
      <c r="AT15" s="18">
        <f>'Grid_TheoreticalStock'!AK6</f>
        <v/>
      </c>
      <c r="AU15" s="18">
        <f>'Grid_TheoreticalStock'!AL6</f>
        <v/>
      </c>
      <c r="AV15" s="18">
        <f>'Grid_TheoreticalStock'!AM6</f>
        <v/>
      </c>
      <c r="AW15" s="18">
        <f>'Grid_TheoreticalStock'!AN6</f>
        <v/>
      </c>
      <c r="AX15" s="18">
        <f>'Grid_TheoreticalStock'!AO6</f>
        <v/>
      </c>
      <c r="AY15" s="18">
        <f>'Grid_TheoreticalStock'!AP6</f>
        <v/>
      </c>
      <c r="AZ15" s="18">
        <f>'Grid_TheoreticalStock'!AQ6</f>
        <v/>
      </c>
      <c r="BA15" s="18">
        <f>'Grid_TheoreticalStock'!AR6</f>
        <v/>
      </c>
      <c r="BB15" s="18">
        <f>'Grid_TheoreticalStock'!AS6</f>
        <v/>
      </c>
      <c r="BC15" s="18">
        <f>'Grid_TheoreticalStock'!AT6</f>
        <v/>
      </c>
      <c r="BD15" s="18">
        <f>'Grid_TheoreticalStock'!AU6</f>
        <v/>
      </c>
      <c r="BE15" s="18">
        <f>'Grid_TheoreticalStock'!AV6</f>
        <v/>
      </c>
      <c r="BF15" s="18">
        <f>'Grid_TheoreticalStock'!AW6</f>
        <v/>
      </c>
      <c r="BG15" s="18">
        <f>'Grid_TheoreticalStock'!AX6</f>
        <v/>
      </c>
      <c r="BH15" s="18">
        <f>'Grid_TheoreticalStock'!AY6</f>
        <v/>
      </c>
      <c r="BI15" s="18">
        <f>'Grid_TheoreticalStock'!AZ6</f>
        <v/>
      </c>
      <c r="BJ15" s="18">
        <f>'Grid_TheoreticalStock'!BA6</f>
        <v/>
      </c>
      <c r="BK15" s="18">
        <f>'Grid_TheoreticalStock'!BB6</f>
        <v/>
      </c>
      <c r="BL15" s="18">
        <f>'Grid_TheoreticalStock'!BC6</f>
        <v/>
      </c>
      <c r="BM15" s="18">
        <f>'Grid_TheoreticalStock'!BD6</f>
        <v/>
      </c>
      <c r="BN15" s="18">
        <f>'Grid_TheoreticalStock'!BE6</f>
        <v/>
      </c>
      <c r="BO15" s="18">
        <f>'Grid_TheoreticalStock'!BF6</f>
        <v/>
      </c>
      <c r="BP15" s="18">
        <f>'Grid_TheoreticalStock'!BG6</f>
        <v/>
      </c>
      <c r="BQ15" s="18">
        <f>'Grid_TheoreticalStock'!BH6</f>
        <v/>
      </c>
      <c r="BR15" s="18">
        <f>'Grid_TheoreticalStock'!BI6</f>
        <v/>
      </c>
      <c r="BS15" s="18">
        <f>'Grid_TheoreticalStock'!BJ6</f>
        <v/>
      </c>
      <c r="BT15" s="18">
        <f>'Grid_TheoreticalStock'!BK6</f>
        <v/>
      </c>
      <c r="BU15" s="18">
        <f>'Grid_TheoreticalStock'!BL6</f>
        <v/>
      </c>
      <c r="BV15" s="18">
        <f>'Grid_TheoreticalStock'!BM6</f>
        <v/>
      </c>
      <c r="BW15" s="18">
        <f>'Grid_TheoreticalStock'!BN6</f>
        <v/>
      </c>
      <c r="BX15" s="18">
        <f>'Grid_TheoreticalStock'!BO6</f>
        <v/>
      </c>
      <c r="BY15" s="18">
        <f>'Grid_TheoreticalStock'!BP6</f>
        <v/>
      </c>
      <c r="BZ15" s="18">
        <f>'Grid_TheoreticalStock'!BQ6</f>
        <v/>
      </c>
      <c r="CA15" s="18">
        <f>'Grid_TheoreticalStock'!BR6</f>
        <v/>
      </c>
      <c r="CB15" s="18">
        <f>'Grid_TheoreticalStock'!BS6</f>
        <v/>
      </c>
      <c r="CC15" s="18">
        <f>'Grid_TheoreticalStock'!BT6</f>
        <v/>
      </c>
      <c r="CD15" s="18">
        <f>'Grid_TheoreticalStock'!BU6</f>
        <v/>
      </c>
      <c r="CE15" s="18">
        <f>'Grid_TheoreticalStock'!BV6</f>
        <v/>
      </c>
      <c r="CF15" s="18">
        <f>'Grid_TheoreticalStock'!BW6</f>
        <v/>
      </c>
      <c r="CG15" s="18">
        <f>'Grid_TheoreticalStock'!BX6</f>
        <v/>
      </c>
      <c r="CH15" s="18">
        <f>'Grid_TheoreticalStock'!BY6</f>
        <v/>
      </c>
      <c r="CI15" s="18">
        <f>'Grid_TheoreticalStock'!BZ6</f>
        <v/>
      </c>
      <c r="CJ15" s="18">
        <f>'Grid_TheoreticalStock'!CA6</f>
        <v/>
      </c>
      <c r="CK15" s="18">
        <f>'Grid_TheoreticalStock'!CB6</f>
        <v/>
      </c>
      <c r="CL15" s="18">
        <f>'Grid_TheoreticalStock'!CC6</f>
        <v/>
      </c>
      <c r="CM15" s="18">
        <f>'Grid_TheoreticalStock'!CD6</f>
        <v/>
      </c>
      <c r="CN15" s="18">
        <f>'Grid_TheoreticalStock'!CE6</f>
        <v/>
      </c>
      <c r="CO15" s="18">
        <f>'Grid_TheoreticalStock'!CF6</f>
        <v/>
      </c>
      <c r="CP15" s="18">
        <f>'Grid_TheoreticalStock'!CG6</f>
        <v/>
      </c>
      <c r="CQ15" s="18">
        <f>'Grid_TheoreticalStock'!CH6</f>
        <v/>
      </c>
      <c r="CR15" s="18">
        <f>'Grid_TheoreticalStock'!CI6</f>
        <v/>
      </c>
      <c r="CS15" s="18">
        <f>'Grid_TheoreticalStock'!CJ6</f>
        <v/>
      </c>
      <c r="CT15" s="18">
        <f>'Grid_TheoreticalStock'!CK6</f>
        <v/>
      </c>
      <c r="CU15" s="18">
        <f>'Grid_TheoreticalStock'!CL6</f>
        <v/>
      </c>
      <c r="CV15" s="18">
        <f>'Grid_TheoreticalStock'!CM6</f>
        <v/>
      </c>
      <c r="CW15" s="18">
        <f>'Grid_TheoreticalStock'!CN6</f>
        <v/>
      </c>
      <c r="CX15" s="18">
        <f>'Grid_TheoreticalStock'!CO6</f>
        <v/>
      </c>
      <c r="CY15" s="18">
        <f>'Grid_TheoreticalStock'!CP6</f>
        <v/>
      </c>
      <c r="CZ15" s="18">
        <f>'Grid_TheoreticalStock'!CQ6</f>
        <v/>
      </c>
      <c r="DA15" s="18">
        <f>'Grid_TheoreticalStock'!CR6</f>
        <v/>
      </c>
      <c r="DB15" s="18">
        <f>'Grid_TheoreticalStock'!CS6</f>
        <v/>
      </c>
      <c r="DC15" s="18">
        <f>'Grid_TheoreticalStock'!CT6</f>
        <v/>
      </c>
      <c r="DD15" s="18">
        <f>'Grid_TheoreticalStock'!CU6</f>
        <v/>
      </c>
      <c r="DE15" s="18">
        <f>'Grid_TheoreticalStock'!CV6</f>
        <v/>
      </c>
      <c r="DF15" s="18">
        <f>'Grid_TheoreticalStock'!CW6</f>
        <v/>
      </c>
      <c r="DG15" s="18">
        <f>'Grid_TheoreticalStock'!CX6</f>
        <v/>
      </c>
      <c r="DH15" s="18">
        <f>'Grid_TheoreticalStock'!CY6</f>
        <v/>
      </c>
      <c r="DI15" s="18">
        <f>'Grid_TheoreticalStock'!CZ6</f>
        <v/>
      </c>
      <c r="DJ15" s="18">
        <f>'Grid_TheoreticalStock'!DA6</f>
        <v/>
      </c>
    </row>
    <row r="16">
      <c r="A16" s="19" t="inlineStr">
        <is>
          <t>7CL</t>
        </is>
      </c>
      <c r="B16" s="19">
        <f>IFERROR(INDEX(M_RawMaterials[Description],MATCH($A16,M_RawMaterials[Part Name],0)),"")</f>
        <v/>
      </c>
      <c r="C16" s="19">
        <f>IFERROR(INDEX(M_RawMaterials[Category],MATCH($A16,M_RawMaterials[Part Name],0)),"")</f>
        <v/>
      </c>
      <c r="D16" s="19">
        <f>IFERROR(INDEX(M_RawMaterials[基準在庫下限_要入力],MATCH($A16,M_RawMaterials[Part Name],0)),0)</f>
        <v/>
      </c>
      <c r="E16" s="19">
        <f>IFERROR(INDEX(M_RawMaterials[基準在庫上限_要入力],MATCH($A16,M_RawMaterials[Part Name],0)),0)</f>
        <v/>
      </c>
      <c r="F16" s="19">
        <f>IFERROR(LOOKUP(2,1/('T_SelfStock'!$B$10:$DA$10&lt;&gt;""),'T_SelfStock'!$B$10:$DA$10),"")</f>
        <v/>
      </c>
      <c r="G16" s="19">
        <f>IFERROR(LOOKUP(2,1/('T_TTAFStock'!$B$10:$DA$10&lt;&gt;""),'T_TTAFStock'!$B$10:$DA$10),"")</f>
        <v/>
      </c>
      <c r="H16" s="19">
        <f>IFERROR(LOOKUP(2,1/('T_SelfStock'!$B$10:$DA$10&lt;&gt;""),'T_SelfStock'!$B$5:$DA$5),"")</f>
        <v/>
      </c>
      <c r="I16" s="20" t="inlineStr">
        <is>
          <t>実在庫</t>
        </is>
      </c>
      <c r="J16" s="19">
        <f>'Grid_Stock'!DA6-'Grid_TheoreticalStock'!DA6</f>
        <v/>
      </c>
      <c r="K16" s="19">
        <f>'Grid_Stock'!B6</f>
        <v/>
      </c>
      <c r="L16" s="19">
        <f>'Grid_Stock'!C6</f>
        <v/>
      </c>
      <c r="M16" s="19">
        <f>'Grid_Stock'!D6</f>
        <v/>
      </c>
      <c r="N16" s="19">
        <f>'Grid_Stock'!E6</f>
        <v/>
      </c>
      <c r="O16" s="19">
        <f>'Grid_Stock'!F6</f>
        <v/>
      </c>
      <c r="P16" s="19">
        <f>'Grid_Stock'!G6</f>
        <v/>
      </c>
      <c r="Q16" s="19">
        <f>'Grid_Stock'!H6</f>
        <v/>
      </c>
      <c r="R16" s="19">
        <f>'Grid_Stock'!I6</f>
        <v/>
      </c>
      <c r="S16" s="19">
        <f>'Grid_Stock'!J6</f>
        <v/>
      </c>
      <c r="T16" s="19">
        <f>'Grid_Stock'!K6</f>
        <v/>
      </c>
      <c r="U16" s="19">
        <f>'Grid_Stock'!L6</f>
        <v/>
      </c>
      <c r="V16" s="19">
        <f>'Grid_Stock'!M6</f>
        <v/>
      </c>
      <c r="W16" s="19">
        <f>'Grid_Stock'!N6</f>
        <v/>
      </c>
      <c r="X16" s="19">
        <f>'Grid_Stock'!O6</f>
        <v/>
      </c>
      <c r="Y16" s="19">
        <f>'Grid_Stock'!P6</f>
        <v/>
      </c>
      <c r="Z16" s="19">
        <f>'Grid_Stock'!Q6</f>
        <v/>
      </c>
      <c r="AA16" s="19">
        <f>'Grid_Stock'!R6</f>
        <v/>
      </c>
      <c r="AB16" s="19">
        <f>'Grid_Stock'!S6</f>
        <v/>
      </c>
      <c r="AC16" s="19">
        <f>'Grid_Stock'!T6</f>
        <v/>
      </c>
      <c r="AD16" s="19">
        <f>'Grid_Stock'!U6</f>
        <v/>
      </c>
      <c r="AE16" s="19">
        <f>'Grid_Stock'!V6</f>
        <v/>
      </c>
      <c r="AF16" s="19">
        <f>'Grid_Stock'!W6</f>
        <v/>
      </c>
      <c r="AG16" s="19">
        <f>'Grid_Stock'!X6</f>
        <v/>
      </c>
      <c r="AH16" s="19">
        <f>'Grid_Stock'!Y6</f>
        <v/>
      </c>
      <c r="AI16" s="19">
        <f>'Grid_Stock'!Z6</f>
        <v/>
      </c>
      <c r="AJ16" s="19">
        <f>'Grid_Stock'!AA6</f>
        <v/>
      </c>
      <c r="AK16" s="19">
        <f>'Grid_Stock'!AB6</f>
        <v/>
      </c>
      <c r="AL16" s="19">
        <f>'Grid_Stock'!AC6</f>
        <v/>
      </c>
      <c r="AM16" s="19">
        <f>'Grid_Stock'!AD6</f>
        <v/>
      </c>
      <c r="AN16" s="19">
        <f>'Grid_Stock'!AE6</f>
        <v/>
      </c>
      <c r="AO16" s="19">
        <f>'Grid_Stock'!AF6</f>
        <v/>
      </c>
      <c r="AP16" s="19">
        <f>'Grid_Stock'!AG6</f>
        <v/>
      </c>
      <c r="AQ16" s="19">
        <f>'Grid_Stock'!AH6</f>
        <v/>
      </c>
      <c r="AR16" s="19">
        <f>'Grid_Stock'!AI6</f>
        <v/>
      </c>
      <c r="AS16" s="19">
        <f>'Grid_Stock'!AJ6</f>
        <v/>
      </c>
      <c r="AT16" s="19">
        <f>'Grid_Stock'!AK6</f>
        <v/>
      </c>
      <c r="AU16" s="19">
        <f>'Grid_Stock'!AL6</f>
        <v/>
      </c>
      <c r="AV16" s="19">
        <f>'Grid_Stock'!AM6</f>
        <v/>
      </c>
      <c r="AW16" s="19">
        <f>'Grid_Stock'!AN6</f>
        <v/>
      </c>
      <c r="AX16" s="19">
        <f>'Grid_Stock'!AO6</f>
        <v/>
      </c>
      <c r="AY16" s="19">
        <f>'Grid_Stock'!AP6</f>
        <v/>
      </c>
      <c r="AZ16" s="19">
        <f>'Grid_Stock'!AQ6</f>
        <v/>
      </c>
      <c r="BA16" s="19">
        <f>'Grid_Stock'!AR6</f>
        <v/>
      </c>
      <c r="BB16" s="19">
        <f>'Grid_Stock'!AS6</f>
        <v/>
      </c>
      <c r="BC16" s="19">
        <f>'Grid_Stock'!AT6</f>
        <v/>
      </c>
      <c r="BD16" s="19">
        <f>'Grid_Stock'!AU6</f>
        <v/>
      </c>
      <c r="BE16" s="19">
        <f>'Grid_Stock'!AV6</f>
        <v/>
      </c>
      <c r="BF16" s="19">
        <f>'Grid_Stock'!AW6</f>
        <v/>
      </c>
      <c r="BG16" s="19">
        <f>'Grid_Stock'!AX6</f>
        <v/>
      </c>
      <c r="BH16" s="19">
        <f>'Grid_Stock'!AY6</f>
        <v/>
      </c>
      <c r="BI16" s="19">
        <f>'Grid_Stock'!AZ6</f>
        <v/>
      </c>
      <c r="BJ16" s="19">
        <f>'Grid_Stock'!BA6</f>
        <v/>
      </c>
      <c r="BK16" s="19">
        <f>'Grid_Stock'!BB6</f>
        <v/>
      </c>
      <c r="BL16" s="19">
        <f>'Grid_Stock'!BC6</f>
        <v/>
      </c>
      <c r="BM16" s="19">
        <f>'Grid_Stock'!BD6</f>
        <v/>
      </c>
      <c r="BN16" s="19">
        <f>'Grid_Stock'!BE6</f>
        <v/>
      </c>
      <c r="BO16" s="19">
        <f>'Grid_Stock'!BF6</f>
        <v/>
      </c>
      <c r="BP16" s="19">
        <f>'Grid_Stock'!BG6</f>
        <v/>
      </c>
      <c r="BQ16" s="19">
        <f>'Grid_Stock'!BH6</f>
        <v/>
      </c>
      <c r="BR16" s="19">
        <f>'Grid_Stock'!BI6</f>
        <v/>
      </c>
      <c r="BS16" s="19">
        <f>'Grid_Stock'!BJ6</f>
        <v/>
      </c>
      <c r="BT16" s="19">
        <f>'Grid_Stock'!BK6</f>
        <v/>
      </c>
      <c r="BU16" s="19">
        <f>'Grid_Stock'!BL6</f>
        <v/>
      </c>
      <c r="BV16" s="19">
        <f>'Grid_Stock'!BM6</f>
        <v/>
      </c>
      <c r="BW16" s="19">
        <f>'Grid_Stock'!BN6</f>
        <v/>
      </c>
      <c r="BX16" s="19">
        <f>'Grid_Stock'!BO6</f>
        <v/>
      </c>
      <c r="BY16" s="19">
        <f>'Grid_Stock'!BP6</f>
        <v/>
      </c>
      <c r="BZ16" s="19">
        <f>'Grid_Stock'!BQ6</f>
        <v/>
      </c>
      <c r="CA16" s="19">
        <f>'Grid_Stock'!BR6</f>
        <v/>
      </c>
      <c r="CB16" s="19">
        <f>'Grid_Stock'!BS6</f>
        <v/>
      </c>
      <c r="CC16" s="19">
        <f>'Grid_Stock'!BT6</f>
        <v/>
      </c>
      <c r="CD16" s="19">
        <f>'Grid_Stock'!BU6</f>
        <v/>
      </c>
      <c r="CE16" s="19">
        <f>'Grid_Stock'!BV6</f>
        <v/>
      </c>
      <c r="CF16" s="19">
        <f>'Grid_Stock'!BW6</f>
        <v/>
      </c>
      <c r="CG16" s="19">
        <f>'Grid_Stock'!BX6</f>
        <v/>
      </c>
      <c r="CH16" s="19">
        <f>'Grid_Stock'!BY6</f>
        <v/>
      </c>
      <c r="CI16" s="19">
        <f>'Grid_Stock'!BZ6</f>
        <v/>
      </c>
      <c r="CJ16" s="19">
        <f>'Grid_Stock'!CA6</f>
        <v/>
      </c>
      <c r="CK16" s="19">
        <f>'Grid_Stock'!CB6</f>
        <v/>
      </c>
      <c r="CL16" s="19">
        <f>'Grid_Stock'!CC6</f>
        <v/>
      </c>
      <c r="CM16" s="19">
        <f>'Grid_Stock'!CD6</f>
        <v/>
      </c>
      <c r="CN16" s="19">
        <f>'Grid_Stock'!CE6</f>
        <v/>
      </c>
      <c r="CO16" s="19">
        <f>'Grid_Stock'!CF6</f>
        <v/>
      </c>
      <c r="CP16" s="19">
        <f>'Grid_Stock'!CG6</f>
        <v/>
      </c>
      <c r="CQ16" s="19">
        <f>'Grid_Stock'!CH6</f>
        <v/>
      </c>
      <c r="CR16" s="19">
        <f>'Grid_Stock'!CI6</f>
        <v/>
      </c>
      <c r="CS16" s="19">
        <f>'Grid_Stock'!CJ6</f>
        <v/>
      </c>
      <c r="CT16" s="19">
        <f>'Grid_Stock'!CK6</f>
        <v/>
      </c>
      <c r="CU16" s="19">
        <f>'Grid_Stock'!CL6</f>
        <v/>
      </c>
      <c r="CV16" s="19">
        <f>'Grid_Stock'!CM6</f>
        <v/>
      </c>
      <c r="CW16" s="19">
        <f>'Grid_Stock'!CN6</f>
        <v/>
      </c>
      <c r="CX16" s="19">
        <f>'Grid_Stock'!CO6</f>
        <v/>
      </c>
      <c r="CY16" s="19">
        <f>'Grid_Stock'!CP6</f>
        <v/>
      </c>
      <c r="CZ16" s="19">
        <f>'Grid_Stock'!CQ6</f>
        <v/>
      </c>
      <c r="DA16" s="19">
        <f>'Grid_Stock'!CR6</f>
        <v/>
      </c>
      <c r="DB16" s="19">
        <f>'Grid_Stock'!CS6</f>
        <v/>
      </c>
      <c r="DC16" s="19">
        <f>'Grid_Stock'!CT6</f>
        <v/>
      </c>
      <c r="DD16" s="19">
        <f>'Grid_Stock'!CU6</f>
        <v/>
      </c>
      <c r="DE16" s="19">
        <f>'Grid_Stock'!CV6</f>
        <v/>
      </c>
      <c r="DF16" s="19">
        <f>'Grid_Stock'!CW6</f>
        <v/>
      </c>
      <c r="DG16" s="19">
        <f>'Grid_Stock'!CX6</f>
        <v/>
      </c>
      <c r="DH16" s="19">
        <f>'Grid_Stock'!CY6</f>
        <v/>
      </c>
      <c r="DI16" s="19">
        <f>'Grid_Stock'!CZ6</f>
        <v/>
      </c>
      <c r="DJ16" s="19">
        <f>'Grid_Stock'!DA6</f>
        <v/>
      </c>
    </row>
    <row r="17">
      <c r="A17" s="17" t="inlineStr">
        <is>
          <t>OJN</t>
        </is>
      </c>
      <c r="B17" s="17">
        <f>IFERROR(INDEX(M_RawMaterials[Description],MATCH($A17,M_RawMaterials[Part Name],0)),"")</f>
        <v/>
      </c>
      <c r="C17" s="17">
        <f>IFERROR(INDEX(M_RawMaterials[Category],MATCH($A17,M_RawMaterials[Part Name],0)),"")</f>
        <v/>
      </c>
      <c r="D17" s="17">
        <f>IFERROR(INDEX(M_RawMaterials[基準在庫下限_要入力],MATCH($A17,M_RawMaterials[Part Name],0)),0)</f>
        <v/>
      </c>
      <c r="E17" s="17">
        <f>IFERROR(INDEX(M_RawMaterials[基準在庫上限_要入力],MATCH($A17,M_RawMaterials[Part Name],0)),0)</f>
        <v/>
      </c>
      <c r="F17" s="17">
        <f>IFERROR(LOOKUP(2,1/('T_SelfStock'!$B$11:$DA$11&lt;&gt;""),'T_SelfStock'!$B$11:$DA$11),"")</f>
        <v/>
      </c>
      <c r="G17" s="17">
        <f>IFERROR(LOOKUP(2,1/('T_TTAFStock'!$B$11:$DA$11&lt;&gt;""),'T_TTAFStock'!$B$11:$DA$11),"")</f>
        <v/>
      </c>
      <c r="H17" s="17">
        <f>IFERROR(LOOKUP(2,1/('T_SelfStock'!$B$11:$DA$11&lt;&gt;""),'T_SelfStock'!$B$5:$DA$5),"")</f>
        <v/>
      </c>
      <c r="I17" s="18" t="inlineStr">
        <is>
          <t>理論在庫</t>
        </is>
      </c>
      <c r="J17" s="17">
        <f>'Grid_Stock'!DA7-'Grid_TheoreticalStock'!DA7</f>
        <v/>
      </c>
      <c r="K17" s="18">
        <f>'Grid_TheoreticalStock'!B7</f>
        <v/>
      </c>
      <c r="L17" s="18">
        <f>'Grid_TheoreticalStock'!C7</f>
        <v/>
      </c>
      <c r="M17" s="18">
        <f>'Grid_TheoreticalStock'!D7</f>
        <v/>
      </c>
      <c r="N17" s="18">
        <f>'Grid_TheoreticalStock'!E7</f>
        <v/>
      </c>
      <c r="O17" s="18">
        <f>'Grid_TheoreticalStock'!F7</f>
        <v/>
      </c>
      <c r="P17" s="18">
        <f>'Grid_TheoreticalStock'!G7</f>
        <v/>
      </c>
      <c r="Q17" s="18">
        <f>'Grid_TheoreticalStock'!H7</f>
        <v/>
      </c>
      <c r="R17" s="18">
        <f>'Grid_TheoreticalStock'!I7</f>
        <v/>
      </c>
      <c r="S17" s="18">
        <f>'Grid_TheoreticalStock'!J7</f>
        <v/>
      </c>
      <c r="T17" s="18">
        <f>'Grid_TheoreticalStock'!K7</f>
        <v/>
      </c>
      <c r="U17" s="18">
        <f>'Grid_TheoreticalStock'!L7</f>
        <v/>
      </c>
      <c r="V17" s="18">
        <f>'Grid_TheoreticalStock'!M7</f>
        <v/>
      </c>
      <c r="W17" s="18">
        <f>'Grid_TheoreticalStock'!N7</f>
        <v/>
      </c>
      <c r="X17" s="18">
        <f>'Grid_TheoreticalStock'!O7</f>
        <v/>
      </c>
      <c r="Y17" s="18">
        <f>'Grid_TheoreticalStock'!P7</f>
        <v/>
      </c>
      <c r="Z17" s="18">
        <f>'Grid_TheoreticalStock'!Q7</f>
        <v/>
      </c>
      <c r="AA17" s="18">
        <f>'Grid_TheoreticalStock'!R7</f>
        <v/>
      </c>
      <c r="AB17" s="18">
        <f>'Grid_TheoreticalStock'!S7</f>
        <v/>
      </c>
      <c r="AC17" s="18">
        <f>'Grid_TheoreticalStock'!T7</f>
        <v/>
      </c>
      <c r="AD17" s="18">
        <f>'Grid_TheoreticalStock'!U7</f>
        <v/>
      </c>
      <c r="AE17" s="18">
        <f>'Grid_TheoreticalStock'!V7</f>
        <v/>
      </c>
      <c r="AF17" s="18">
        <f>'Grid_TheoreticalStock'!W7</f>
        <v/>
      </c>
      <c r="AG17" s="18">
        <f>'Grid_TheoreticalStock'!X7</f>
        <v/>
      </c>
      <c r="AH17" s="18">
        <f>'Grid_TheoreticalStock'!Y7</f>
        <v/>
      </c>
      <c r="AI17" s="18">
        <f>'Grid_TheoreticalStock'!Z7</f>
        <v/>
      </c>
      <c r="AJ17" s="18">
        <f>'Grid_TheoreticalStock'!AA7</f>
        <v/>
      </c>
      <c r="AK17" s="18">
        <f>'Grid_TheoreticalStock'!AB7</f>
        <v/>
      </c>
      <c r="AL17" s="18">
        <f>'Grid_TheoreticalStock'!AC7</f>
        <v/>
      </c>
      <c r="AM17" s="18">
        <f>'Grid_TheoreticalStock'!AD7</f>
        <v/>
      </c>
      <c r="AN17" s="18">
        <f>'Grid_TheoreticalStock'!AE7</f>
        <v/>
      </c>
      <c r="AO17" s="18">
        <f>'Grid_TheoreticalStock'!AF7</f>
        <v/>
      </c>
      <c r="AP17" s="18">
        <f>'Grid_TheoreticalStock'!AG7</f>
        <v/>
      </c>
      <c r="AQ17" s="18">
        <f>'Grid_TheoreticalStock'!AH7</f>
        <v/>
      </c>
      <c r="AR17" s="18">
        <f>'Grid_TheoreticalStock'!AI7</f>
        <v/>
      </c>
      <c r="AS17" s="18">
        <f>'Grid_TheoreticalStock'!AJ7</f>
        <v/>
      </c>
      <c r="AT17" s="18">
        <f>'Grid_TheoreticalStock'!AK7</f>
        <v/>
      </c>
      <c r="AU17" s="18">
        <f>'Grid_TheoreticalStock'!AL7</f>
        <v/>
      </c>
      <c r="AV17" s="18">
        <f>'Grid_TheoreticalStock'!AM7</f>
        <v/>
      </c>
      <c r="AW17" s="18">
        <f>'Grid_TheoreticalStock'!AN7</f>
        <v/>
      </c>
      <c r="AX17" s="18">
        <f>'Grid_TheoreticalStock'!AO7</f>
        <v/>
      </c>
      <c r="AY17" s="18">
        <f>'Grid_TheoreticalStock'!AP7</f>
        <v/>
      </c>
      <c r="AZ17" s="18">
        <f>'Grid_TheoreticalStock'!AQ7</f>
        <v/>
      </c>
      <c r="BA17" s="18">
        <f>'Grid_TheoreticalStock'!AR7</f>
        <v/>
      </c>
      <c r="BB17" s="18">
        <f>'Grid_TheoreticalStock'!AS7</f>
        <v/>
      </c>
      <c r="BC17" s="18">
        <f>'Grid_TheoreticalStock'!AT7</f>
        <v/>
      </c>
      <c r="BD17" s="18">
        <f>'Grid_TheoreticalStock'!AU7</f>
        <v/>
      </c>
      <c r="BE17" s="18">
        <f>'Grid_TheoreticalStock'!AV7</f>
        <v/>
      </c>
      <c r="BF17" s="18">
        <f>'Grid_TheoreticalStock'!AW7</f>
        <v/>
      </c>
      <c r="BG17" s="18">
        <f>'Grid_TheoreticalStock'!AX7</f>
        <v/>
      </c>
      <c r="BH17" s="18">
        <f>'Grid_TheoreticalStock'!AY7</f>
        <v/>
      </c>
      <c r="BI17" s="18">
        <f>'Grid_TheoreticalStock'!AZ7</f>
        <v/>
      </c>
      <c r="BJ17" s="18">
        <f>'Grid_TheoreticalStock'!BA7</f>
        <v/>
      </c>
      <c r="BK17" s="18">
        <f>'Grid_TheoreticalStock'!BB7</f>
        <v/>
      </c>
      <c r="BL17" s="18">
        <f>'Grid_TheoreticalStock'!BC7</f>
        <v/>
      </c>
      <c r="BM17" s="18">
        <f>'Grid_TheoreticalStock'!BD7</f>
        <v/>
      </c>
      <c r="BN17" s="18">
        <f>'Grid_TheoreticalStock'!BE7</f>
        <v/>
      </c>
      <c r="BO17" s="18">
        <f>'Grid_TheoreticalStock'!BF7</f>
        <v/>
      </c>
      <c r="BP17" s="18">
        <f>'Grid_TheoreticalStock'!BG7</f>
        <v/>
      </c>
      <c r="BQ17" s="18">
        <f>'Grid_TheoreticalStock'!BH7</f>
        <v/>
      </c>
      <c r="BR17" s="18">
        <f>'Grid_TheoreticalStock'!BI7</f>
        <v/>
      </c>
      <c r="BS17" s="18">
        <f>'Grid_TheoreticalStock'!BJ7</f>
        <v/>
      </c>
      <c r="BT17" s="18">
        <f>'Grid_TheoreticalStock'!BK7</f>
        <v/>
      </c>
      <c r="BU17" s="18">
        <f>'Grid_TheoreticalStock'!BL7</f>
        <v/>
      </c>
      <c r="BV17" s="18">
        <f>'Grid_TheoreticalStock'!BM7</f>
        <v/>
      </c>
      <c r="BW17" s="18">
        <f>'Grid_TheoreticalStock'!BN7</f>
        <v/>
      </c>
      <c r="BX17" s="18">
        <f>'Grid_TheoreticalStock'!BO7</f>
        <v/>
      </c>
      <c r="BY17" s="18">
        <f>'Grid_TheoreticalStock'!BP7</f>
        <v/>
      </c>
      <c r="BZ17" s="18">
        <f>'Grid_TheoreticalStock'!BQ7</f>
        <v/>
      </c>
      <c r="CA17" s="18">
        <f>'Grid_TheoreticalStock'!BR7</f>
        <v/>
      </c>
      <c r="CB17" s="18">
        <f>'Grid_TheoreticalStock'!BS7</f>
        <v/>
      </c>
      <c r="CC17" s="18">
        <f>'Grid_TheoreticalStock'!BT7</f>
        <v/>
      </c>
      <c r="CD17" s="18">
        <f>'Grid_TheoreticalStock'!BU7</f>
        <v/>
      </c>
      <c r="CE17" s="18">
        <f>'Grid_TheoreticalStock'!BV7</f>
        <v/>
      </c>
      <c r="CF17" s="18">
        <f>'Grid_TheoreticalStock'!BW7</f>
        <v/>
      </c>
      <c r="CG17" s="18">
        <f>'Grid_TheoreticalStock'!BX7</f>
        <v/>
      </c>
      <c r="CH17" s="18">
        <f>'Grid_TheoreticalStock'!BY7</f>
        <v/>
      </c>
      <c r="CI17" s="18">
        <f>'Grid_TheoreticalStock'!BZ7</f>
        <v/>
      </c>
      <c r="CJ17" s="18">
        <f>'Grid_TheoreticalStock'!CA7</f>
        <v/>
      </c>
      <c r="CK17" s="18">
        <f>'Grid_TheoreticalStock'!CB7</f>
        <v/>
      </c>
      <c r="CL17" s="18">
        <f>'Grid_TheoreticalStock'!CC7</f>
        <v/>
      </c>
      <c r="CM17" s="18">
        <f>'Grid_TheoreticalStock'!CD7</f>
        <v/>
      </c>
      <c r="CN17" s="18">
        <f>'Grid_TheoreticalStock'!CE7</f>
        <v/>
      </c>
      <c r="CO17" s="18">
        <f>'Grid_TheoreticalStock'!CF7</f>
        <v/>
      </c>
      <c r="CP17" s="18">
        <f>'Grid_TheoreticalStock'!CG7</f>
        <v/>
      </c>
      <c r="CQ17" s="18">
        <f>'Grid_TheoreticalStock'!CH7</f>
        <v/>
      </c>
      <c r="CR17" s="18">
        <f>'Grid_TheoreticalStock'!CI7</f>
        <v/>
      </c>
      <c r="CS17" s="18">
        <f>'Grid_TheoreticalStock'!CJ7</f>
        <v/>
      </c>
      <c r="CT17" s="18">
        <f>'Grid_TheoreticalStock'!CK7</f>
        <v/>
      </c>
      <c r="CU17" s="18">
        <f>'Grid_TheoreticalStock'!CL7</f>
        <v/>
      </c>
      <c r="CV17" s="18">
        <f>'Grid_TheoreticalStock'!CM7</f>
        <v/>
      </c>
      <c r="CW17" s="18">
        <f>'Grid_TheoreticalStock'!CN7</f>
        <v/>
      </c>
      <c r="CX17" s="18">
        <f>'Grid_TheoreticalStock'!CO7</f>
        <v/>
      </c>
      <c r="CY17" s="18">
        <f>'Grid_TheoreticalStock'!CP7</f>
        <v/>
      </c>
      <c r="CZ17" s="18">
        <f>'Grid_TheoreticalStock'!CQ7</f>
        <v/>
      </c>
      <c r="DA17" s="18">
        <f>'Grid_TheoreticalStock'!CR7</f>
        <v/>
      </c>
      <c r="DB17" s="18">
        <f>'Grid_TheoreticalStock'!CS7</f>
        <v/>
      </c>
      <c r="DC17" s="18">
        <f>'Grid_TheoreticalStock'!CT7</f>
        <v/>
      </c>
      <c r="DD17" s="18">
        <f>'Grid_TheoreticalStock'!CU7</f>
        <v/>
      </c>
      <c r="DE17" s="18">
        <f>'Grid_TheoreticalStock'!CV7</f>
        <v/>
      </c>
      <c r="DF17" s="18">
        <f>'Grid_TheoreticalStock'!CW7</f>
        <v/>
      </c>
      <c r="DG17" s="18">
        <f>'Grid_TheoreticalStock'!CX7</f>
        <v/>
      </c>
      <c r="DH17" s="18">
        <f>'Grid_TheoreticalStock'!CY7</f>
        <v/>
      </c>
      <c r="DI17" s="18">
        <f>'Grid_TheoreticalStock'!CZ7</f>
        <v/>
      </c>
      <c r="DJ17" s="18">
        <f>'Grid_TheoreticalStock'!DA7</f>
        <v/>
      </c>
    </row>
    <row r="18">
      <c r="A18" s="19" t="inlineStr">
        <is>
          <t>OJN</t>
        </is>
      </c>
      <c r="B18" s="19">
        <f>IFERROR(INDEX(M_RawMaterials[Description],MATCH($A18,M_RawMaterials[Part Name],0)),"")</f>
        <v/>
      </c>
      <c r="C18" s="19">
        <f>IFERROR(INDEX(M_RawMaterials[Category],MATCH($A18,M_RawMaterials[Part Name],0)),"")</f>
        <v/>
      </c>
      <c r="D18" s="19">
        <f>IFERROR(INDEX(M_RawMaterials[基準在庫下限_要入力],MATCH($A18,M_RawMaterials[Part Name],0)),0)</f>
        <v/>
      </c>
      <c r="E18" s="19">
        <f>IFERROR(INDEX(M_RawMaterials[基準在庫上限_要入力],MATCH($A18,M_RawMaterials[Part Name],0)),0)</f>
        <v/>
      </c>
      <c r="F18" s="19">
        <f>IFERROR(LOOKUP(2,1/('T_SelfStock'!$B$11:$DA$11&lt;&gt;""),'T_SelfStock'!$B$11:$DA$11),"")</f>
        <v/>
      </c>
      <c r="G18" s="19">
        <f>IFERROR(LOOKUP(2,1/('T_TTAFStock'!$B$11:$DA$11&lt;&gt;""),'T_TTAFStock'!$B$11:$DA$11),"")</f>
        <v/>
      </c>
      <c r="H18" s="19">
        <f>IFERROR(LOOKUP(2,1/('T_SelfStock'!$B$11:$DA$11&lt;&gt;""),'T_SelfStock'!$B$5:$DA$5),"")</f>
        <v/>
      </c>
      <c r="I18" s="20" t="inlineStr">
        <is>
          <t>実在庫</t>
        </is>
      </c>
      <c r="J18" s="19">
        <f>'Grid_Stock'!DA7-'Grid_TheoreticalStock'!DA7</f>
        <v/>
      </c>
      <c r="K18" s="19">
        <f>'Grid_Stock'!B7</f>
        <v/>
      </c>
      <c r="L18" s="19">
        <f>'Grid_Stock'!C7</f>
        <v/>
      </c>
      <c r="M18" s="19">
        <f>'Grid_Stock'!D7</f>
        <v/>
      </c>
      <c r="N18" s="19">
        <f>'Grid_Stock'!E7</f>
        <v/>
      </c>
      <c r="O18" s="19">
        <f>'Grid_Stock'!F7</f>
        <v/>
      </c>
      <c r="P18" s="19">
        <f>'Grid_Stock'!G7</f>
        <v/>
      </c>
      <c r="Q18" s="19">
        <f>'Grid_Stock'!H7</f>
        <v/>
      </c>
      <c r="R18" s="19">
        <f>'Grid_Stock'!I7</f>
        <v/>
      </c>
      <c r="S18" s="19">
        <f>'Grid_Stock'!J7</f>
        <v/>
      </c>
      <c r="T18" s="19">
        <f>'Grid_Stock'!K7</f>
        <v/>
      </c>
      <c r="U18" s="19">
        <f>'Grid_Stock'!L7</f>
        <v/>
      </c>
      <c r="V18" s="19">
        <f>'Grid_Stock'!M7</f>
        <v/>
      </c>
      <c r="W18" s="19">
        <f>'Grid_Stock'!N7</f>
        <v/>
      </c>
      <c r="X18" s="19">
        <f>'Grid_Stock'!O7</f>
        <v/>
      </c>
      <c r="Y18" s="19">
        <f>'Grid_Stock'!P7</f>
        <v/>
      </c>
      <c r="Z18" s="19">
        <f>'Grid_Stock'!Q7</f>
        <v/>
      </c>
      <c r="AA18" s="19">
        <f>'Grid_Stock'!R7</f>
        <v/>
      </c>
      <c r="AB18" s="19">
        <f>'Grid_Stock'!S7</f>
        <v/>
      </c>
      <c r="AC18" s="19">
        <f>'Grid_Stock'!T7</f>
        <v/>
      </c>
      <c r="AD18" s="19">
        <f>'Grid_Stock'!U7</f>
        <v/>
      </c>
      <c r="AE18" s="19">
        <f>'Grid_Stock'!V7</f>
        <v/>
      </c>
      <c r="AF18" s="19">
        <f>'Grid_Stock'!W7</f>
        <v/>
      </c>
      <c r="AG18" s="19">
        <f>'Grid_Stock'!X7</f>
        <v/>
      </c>
      <c r="AH18" s="19">
        <f>'Grid_Stock'!Y7</f>
        <v/>
      </c>
      <c r="AI18" s="19">
        <f>'Grid_Stock'!Z7</f>
        <v/>
      </c>
      <c r="AJ18" s="19">
        <f>'Grid_Stock'!AA7</f>
        <v/>
      </c>
      <c r="AK18" s="19">
        <f>'Grid_Stock'!AB7</f>
        <v/>
      </c>
      <c r="AL18" s="19">
        <f>'Grid_Stock'!AC7</f>
        <v/>
      </c>
      <c r="AM18" s="19">
        <f>'Grid_Stock'!AD7</f>
        <v/>
      </c>
      <c r="AN18" s="19">
        <f>'Grid_Stock'!AE7</f>
        <v/>
      </c>
      <c r="AO18" s="19">
        <f>'Grid_Stock'!AF7</f>
        <v/>
      </c>
      <c r="AP18" s="19">
        <f>'Grid_Stock'!AG7</f>
        <v/>
      </c>
      <c r="AQ18" s="19">
        <f>'Grid_Stock'!AH7</f>
        <v/>
      </c>
      <c r="AR18" s="19">
        <f>'Grid_Stock'!AI7</f>
        <v/>
      </c>
      <c r="AS18" s="19">
        <f>'Grid_Stock'!AJ7</f>
        <v/>
      </c>
      <c r="AT18" s="19">
        <f>'Grid_Stock'!AK7</f>
        <v/>
      </c>
      <c r="AU18" s="19">
        <f>'Grid_Stock'!AL7</f>
        <v/>
      </c>
      <c r="AV18" s="19">
        <f>'Grid_Stock'!AM7</f>
        <v/>
      </c>
      <c r="AW18" s="19">
        <f>'Grid_Stock'!AN7</f>
        <v/>
      </c>
      <c r="AX18" s="19">
        <f>'Grid_Stock'!AO7</f>
        <v/>
      </c>
      <c r="AY18" s="19">
        <f>'Grid_Stock'!AP7</f>
        <v/>
      </c>
      <c r="AZ18" s="19">
        <f>'Grid_Stock'!AQ7</f>
        <v/>
      </c>
      <c r="BA18" s="19">
        <f>'Grid_Stock'!AR7</f>
        <v/>
      </c>
      <c r="BB18" s="19">
        <f>'Grid_Stock'!AS7</f>
        <v/>
      </c>
      <c r="BC18" s="19">
        <f>'Grid_Stock'!AT7</f>
        <v/>
      </c>
      <c r="BD18" s="19">
        <f>'Grid_Stock'!AU7</f>
        <v/>
      </c>
      <c r="BE18" s="19">
        <f>'Grid_Stock'!AV7</f>
        <v/>
      </c>
      <c r="BF18" s="19">
        <f>'Grid_Stock'!AW7</f>
        <v/>
      </c>
      <c r="BG18" s="19">
        <f>'Grid_Stock'!AX7</f>
        <v/>
      </c>
      <c r="BH18" s="19">
        <f>'Grid_Stock'!AY7</f>
        <v/>
      </c>
      <c r="BI18" s="19">
        <f>'Grid_Stock'!AZ7</f>
        <v/>
      </c>
      <c r="BJ18" s="19">
        <f>'Grid_Stock'!BA7</f>
        <v/>
      </c>
      <c r="BK18" s="19">
        <f>'Grid_Stock'!BB7</f>
        <v/>
      </c>
      <c r="BL18" s="19">
        <f>'Grid_Stock'!BC7</f>
        <v/>
      </c>
      <c r="BM18" s="19">
        <f>'Grid_Stock'!BD7</f>
        <v/>
      </c>
      <c r="BN18" s="19">
        <f>'Grid_Stock'!BE7</f>
        <v/>
      </c>
      <c r="BO18" s="19">
        <f>'Grid_Stock'!BF7</f>
        <v/>
      </c>
      <c r="BP18" s="19">
        <f>'Grid_Stock'!BG7</f>
        <v/>
      </c>
      <c r="BQ18" s="19">
        <f>'Grid_Stock'!BH7</f>
        <v/>
      </c>
      <c r="BR18" s="19">
        <f>'Grid_Stock'!BI7</f>
        <v/>
      </c>
      <c r="BS18" s="19">
        <f>'Grid_Stock'!BJ7</f>
        <v/>
      </c>
      <c r="BT18" s="19">
        <f>'Grid_Stock'!BK7</f>
        <v/>
      </c>
      <c r="BU18" s="19">
        <f>'Grid_Stock'!BL7</f>
        <v/>
      </c>
      <c r="BV18" s="19">
        <f>'Grid_Stock'!BM7</f>
        <v/>
      </c>
      <c r="BW18" s="19">
        <f>'Grid_Stock'!BN7</f>
        <v/>
      </c>
      <c r="BX18" s="19">
        <f>'Grid_Stock'!BO7</f>
        <v/>
      </c>
      <c r="BY18" s="19">
        <f>'Grid_Stock'!BP7</f>
        <v/>
      </c>
      <c r="BZ18" s="19">
        <f>'Grid_Stock'!BQ7</f>
        <v/>
      </c>
      <c r="CA18" s="19">
        <f>'Grid_Stock'!BR7</f>
        <v/>
      </c>
      <c r="CB18" s="19">
        <f>'Grid_Stock'!BS7</f>
        <v/>
      </c>
      <c r="CC18" s="19">
        <f>'Grid_Stock'!BT7</f>
        <v/>
      </c>
      <c r="CD18" s="19">
        <f>'Grid_Stock'!BU7</f>
        <v/>
      </c>
      <c r="CE18" s="19">
        <f>'Grid_Stock'!BV7</f>
        <v/>
      </c>
      <c r="CF18" s="19">
        <f>'Grid_Stock'!BW7</f>
        <v/>
      </c>
      <c r="CG18" s="19">
        <f>'Grid_Stock'!BX7</f>
        <v/>
      </c>
      <c r="CH18" s="19">
        <f>'Grid_Stock'!BY7</f>
        <v/>
      </c>
      <c r="CI18" s="19">
        <f>'Grid_Stock'!BZ7</f>
        <v/>
      </c>
      <c r="CJ18" s="19">
        <f>'Grid_Stock'!CA7</f>
        <v/>
      </c>
      <c r="CK18" s="19">
        <f>'Grid_Stock'!CB7</f>
        <v/>
      </c>
      <c r="CL18" s="19">
        <f>'Grid_Stock'!CC7</f>
        <v/>
      </c>
      <c r="CM18" s="19">
        <f>'Grid_Stock'!CD7</f>
        <v/>
      </c>
      <c r="CN18" s="19">
        <f>'Grid_Stock'!CE7</f>
        <v/>
      </c>
      <c r="CO18" s="19">
        <f>'Grid_Stock'!CF7</f>
        <v/>
      </c>
      <c r="CP18" s="19">
        <f>'Grid_Stock'!CG7</f>
        <v/>
      </c>
      <c r="CQ18" s="19">
        <f>'Grid_Stock'!CH7</f>
        <v/>
      </c>
      <c r="CR18" s="19">
        <f>'Grid_Stock'!CI7</f>
        <v/>
      </c>
      <c r="CS18" s="19">
        <f>'Grid_Stock'!CJ7</f>
        <v/>
      </c>
      <c r="CT18" s="19">
        <f>'Grid_Stock'!CK7</f>
        <v/>
      </c>
      <c r="CU18" s="19">
        <f>'Grid_Stock'!CL7</f>
        <v/>
      </c>
      <c r="CV18" s="19">
        <f>'Grid_Stock'!CM7</f>
        <v/>
      </c>
      <c r="CW18" s="19">
        <f>'Grid_Stock'!CN7</f>
        <v/>
      </c>
      <c r="CX18" s="19">
        <f>'Grid_Stock'!CO7</f>
        <v/>
      </c>
      <c r="CY18" s="19">
        <f>'Grid_Stock'!CP7</f>
        <v/>
      </c>
      <c r="CZ18" s="19">
        <f>'Grid_Stock'!CQ7</f>
        <v/>
      </c>
      <c r="DA18" s="19">
        <f>'Grid_Stock'!CR7</f>
        <v/>
      </c>
      <c r="DB18" s="19">
        <f>'Grid_Stock'!CS7</f>
        <v/>
      </c>
      <c r="DC18" s="19">
        <f>'Grid_Stock'!CT7</f>
        <v/>
      </c>
      <c r="DD18" s="19">
        <f>'Grid_Stock'!CU7</f>
        <v/>
      </c>
      <c r="DE18" s="19">
        <f>'Grid_Stock'!CV7</f>
        <v/>
      </c>
      <c r="DF18" s="19">
        <f>'Grid_Stock'!CW7</f>
        <v/>
      </c>
      <c r="DG18" s="19">
        <f>'Grid_Stock'!CX7</f>
        <v/>
      </c>
      <c r="DH18" s="19">
        <f>'Grid_Stock'!CY7</f>
        <v/>
      </c>
      <c r="DI18" s="19">
        <f>'Grid_Stock'!CZ7</f>
        <v/>
      </c>
      <c r="DJ18" s="19">
        <f>'Grid_Stock'!DA7</f>
        <v/>
      </c>
    </row>
    <row r="19">
      <c r="A19" s="17" t="inlineStr">
        <is>
          <t>TDJ</t>
        </is>
      </c>
      <c r="B19" s="17">
        <f>IFERROR(INDEX(M_RawMaterials[Description],MATCH($A19,M_RawMaterials[Part Name],0)),"")</f>
        <v/>
      </c>
      <c r="C19" s="17">
        <f>IFERROR(INDEX(M_RawMaterials[Category],MATCH($A19,M_RawMaterials[Part Name],0)),"")</f>
        <v/>
      </c>
      <c r="D19" s="17">
        <f>IFERROR(INDEX(M_RawMaterials[基準在庫下限_要入力],MATCH($A19,M_RawMaterials[Part Name],0)),0)</f>
        <v/>
      </c>
      <c r="E19" s="17">
        <f>IFERROR(INDEX(M_RawMaterials[基準在庫上限_要入力],MATCH($A19,M_RawMaterials[Part Name],0)),0)</f>
        <v/>
      </c>
      <c r="F19" s="17">
        <f>IFERROR(LOOKUP(2,1/('T_SelfStock'!$B$12:$DA$12&lt;&gt;""),'T_SelfStock'!$B$12:$DA$12),"")</f>
        <v/>
      </c>
      <c r="G19" s="17">
        <f>IFERROR(LOOKUP(2,1/('T_TTAFStock'!$B$12:$DA$12&lt;&gt;""),'T_TTAFStock'!$B$12:$DA$12),"")</f>
        <v/>
      </c>
      <c r="H19" s="17">
        <f>IFERROR(LOOKUP(2,1/('T_SelfStock'!$B$12:$DA$12&lt;&gt;""),'T_SelfStock'!$B$5:$DA$5),"")</f>
        <v/>
      </c>
      <c r="I19" s="18" t="inlineStr">
        <is>
          <t>理論在庫</t>
        </is>
      </c>
      <c r="J19" s="17">
        <f>'Grid_Stock'!DA8-'Grid_TheoreticalStock'!DA8</f>
        <v/>
      </c>
      <c r="K19" s="18">
        <f>'Grid_TheoreticalStock'!B8</f>
        <v/>
      </c>
      <c r="L19" s="18">
        <f>'Grid_TheoreticalStock'!C8</f>
        <v/>
      </c>
      <c r="M19" s="18">
        <f>'Grid_TheoreticalStock'!D8</f>
        <v/>
      </c>
      <c r="N19" s="18">
        <f>'Grid_TheoreticalStock'!E8</f>
        <v/>
      </c>
      <c r="O19" s="18">
        <f>'Grid_TheoreticalStock'!F8</f>
        <v/>
      </c>
      <c r="P19" s="18">
        <f>'Grid_TheoreticalStock'!G8</f>
        <v/>
      </c>
      <c r="Q19" s="18">
        <f>'Grid_TheoreticalStock'!H8</f>
        <v/>
      </c>
      <c r="R19" s="18">
        <f>'Grid_TheoreticalStock'!I8</f>
        <v/>
      </c>
      <c r="S19" s="18">
        <f>'Grid_TheoreticalStock'!J8</f>
        <v/>
      </c>
      <c r="T19" s="18">
        <f>'Grid_TheoreticalStock'!K8</f>
        <v/>
      </c>
      <c r="U19" s="18">
        <f>'Grid_TheoreticalStock'!L8</f>
        <v/>
      </c>
      <c r="V19" s="18">
        <f>'Grid_TheoreticalStock'!M8</f>
        <v/>
      </c>
      <c r="W19" s="18">
        <f>'Grid_TheoreticalStock'!N8</f>
        <v/>
      </c>
      <c r="X19" s="18">
        <f>'Grid_TheoreticalStock'!O8</f>
        <v/>
      </c>
      <c r="Y19" s="18">
        <f>'Grid_TheoreticalStock'!P8</f>
        <v/>
      </c>
      <c r="Z19" s="18">
        <f>'Grid_TheoreticalStock'!Q8</f>
        <v/>
      </c>
      <c r="AA19" s="18">
        <f>'Grid_TheoreticalStock'!R8</f>
        <v/>
      </c>
      <c r="AB19" s="18">
        <f>'Grid_TheoreticalStock'!S8</f>
        <v/>
      </c>
      <c r="AC19" s="18">
        <f>'Grid_TheoreticalStock'!T8</f>
        <v/>
      </c>
      <c r="AD19" s="18">
        <f>'Grid_TheoreticalStock'!U8</f>
        <v/>
      </c>
      <c r="AE19" s="18">
        <f>'Grid_TheoreticalStock'!V8</f>
        <v/>
      </c>
      <c r="AF19" s="18">
        <f>'Grid_TheoreticalStock'!W8</f>
        <v/>
      </c>
      <c r="AG19" s="18">
        <f>'Grid_TheoreticalStock'!X8</f>
        <v/>
      </c>
      <c r="AH19" s="18">
        <f>'Grid_TheoreticalStock'!Y8</f>
        <v/>
      </c>
      <c r="AI19" s="18">
        <f>'Grid_TheoreticalStock'!Z8</f>
        <v/>
      </c>
      <c r="AJ19" s="18">
        <f>'Grid_TheoreticalStock'!AA8</f>
        <v/>
      </c>
      <c r="AK19" s="18">
        <f>'Grid_TheoreticalStock'!AB8</f>
        <v/>
      </c>
      <c r="AL19" s="18">
        <f>'Grid_TheoreticalStock'!AC8</f>
        <v/>
      </c>
      <c r="AM19" s="18">
        <f>'Grid_TheoreticalStock'!AD8</f>
        <v/>
      </c>
      <c r="AN19" s="18">
        <f>'Grid_TheoreticalStock'!AE8</f>
        <v/>
      </c>
      <c r="AO19" s="18">
        <f>'Grid_TheoreticalStock'!AF8</f>
        <v/>
      </c>
      <c r="AP19" s="18">
        <f>'Grid_TheoreticalStock'!AG8</f>
        <v/>
      </c>
      <c r="AQ19" s="18">
        <f>'Grid_TheoreticalStock'!AH8</f>
        <v/>
      </c>
      <c r="AR19" s="18">
        <f>'Grid_TheoreticalStock'!AI8</f>
        <v/>
      </c>
      <c r="AS19" s="18">
        <f>'Grid_TheoreticalStock'!AJ8</f>
        <v/>
      </c>
      <c r="AT19" s="18">
        <f>'Grid_TheoreticalStock'!AK8</f>
        <v/>
      </c>
      <c r="AU19" s="18">
        <f>'Grid_TheoreticalStock'!AL8</f>
        <v/>
      </c>
      <c r="AV19" s="18">
        <f>'Grid_TheoreticalStock'!AM8</f>
        <v/>
      </c>
      <c r="AW19" s="18">
        <f>'Grid_TheoreticalStock'!AN8</f>
        <v/>
      </c>
      <c r="AX19" s="18">
        <f>'Grid_TheoreticalStock'!AO8</f>
        <v/>
      </c>
      <c r="AY19" s="18">
        <f>'Grid_TheoreticalStock'!AP8</f>
        <v/>
      </c>
      <c r="AZ19" s="18">
        <f>'Grid_TheoreticalStock'!AQ8</f>
        <v/>
      </c>
      <c r="BA19" s="18">
        <f>'Grid_TheoreticalStock'!AR8</f>
        <v/>
      </c>
      <c r="BB19" s="18">
        <f>'Grid_TheoreticalStock'!AS8</f>
        <v/>
      </c>
      <c r="BC19" s="18">
        <f>'Grid_TheoreticalStock'!AT8</f>
        <v/>
      </c>
      <c r="BD19" s="18">
        <f>'Grid_TheoreticalStock'!AU8</f>
        <v/>
      </c>
      <c r="BE19" s="18">
        <f>'Grid_TheoreticalStock'!AV8</f>
        <v/>
      </c>
      <c r="BF19" s="18">
        <f>'Grid_TheoreticalStock'!AW8</f>
        <v/>
      </c>
      <c r="BG19" s="18">
        <f>'Grid_TheoreticalStock'!AX8</f>
        <v/>
      </c>
      <c r="BH19" s="18">
        <f>'Grid_TheoreticalStock'!AY8</f>
        <v/>
      </c>
      <c r="BI19" s="18">
        <f>'Grid_TheoreticalStock'!AZ8</f>
        <v/>
      </c>
      <c r="BJ19" s="18">
        <f>'Grid_TheoreticalStock'!BA8</f>
        <v/>
      </c>
      <c r="BK19" s="18">
        <f>'Grid_TheoreticalStock'!BB8</f>
        <v/>
      </c>
      <c r="BL19" s="18">
        <f>'Grid_TheoreticalStock'!BC8</f>
        <v/>
      </c>
      <c r="BM19" s="18">
        <f>'Grid_TheoreticalStock'!BD8</f>
        <v/>
      </c>
      <c r="BN19" s="18">
        <f>'Grid_TheoreticalStock'!BE8</f>
        <v/>
      </c>
      <c r="BO19" s="18">
        <f>'Grid_TheoreticalStock'!BF8</f>
        <v/>
      </c>
      <c r="BP19" s="18">
        <f>'Grid_TheoreticalStock'!BG8</f>
        <v/>
      </c>
      <c r="BQ19" s="18">
        <f>'Grid_TheoreticalStock'!BH8</f>
        <v/>
      </c>
      <c r="BR19" s="18">
        <f>'Grid_TheoreticalStock'!BI8</f>
        <v/>
      </c>
      <c r="BS19" s="18">
        <f>'Grid_TheoreticalStock'!BJ8</f>
        <v/>
      </c>
      <c r="BT19" s="18">
        <f>'Grid_TheoreticalStock'!BK8</f>
        <v/>
      </c>
      <c r="BU19" s="18">
        <f>'Grid_TheoreticalStock'!BL8</f>
        <v/>
      </c>
      <c r="BV19" s="18">
        <f>'Grid_TheoreticalStock'!BM8</f>
        <v/>
      </c>
      <c r="BW19" s="18">
        <f>'Grid_TheoreticalStock'!BN8</f>
        <v/>
      </c>
      <c r="BX19" s="18">
        <f>'Grid_TheoreticalStock'!BO8</f>
        <v/>
      </c>
      <c r="BY19" s="18">
        <f>'Grid_TheoreticalStock'!BP8</f>
        <v/>
      </c>
      <c r="BZ19" s="18">
        <f>'Grid_TheoreticalStock'!BQ8</f>
        <v/>
      </c>
      <c r="CA19" s="18">
        <f>'Grid_TheoreticalStock'!BR8</f>
        <v/>
      </c>
      <c r="CB19" s="18">
        <f>'Grid_TheoreticalStock'!BS8</f>
        <v/>
      </c>
      <c r="CC19" s="18">
        <f>'Grid_TheoreticalStock'!BT8</f>
        <v/>
      </c>
      <c r="CD19" s="18">
        <f>'Grid_TheoreticalStock'!BU8</f>
        <v/>
      </c>
      <c r="CE19" s="18">
        <f>'Grid_TheoreticalStock'!BV8</f>
        <v/>
      </c>
      <c r="CF19" s="18">
        <f>'Grid_TheoreticalStock'!BW8</f>
        <v/>
      </c>
      <c r="CG19" s="18">
        <f>'Grid_TheoreticalStock'!BX8</f>
        <v/>
      </c>
      <c r="CH19" s="18">
        <f>'Grid_TheoreticalStock'!BY8</f>
        <v/>
      </c>
      <c r="CI19" s="18">
        <f>'Grid_TheoreticalStock'!BZ8</f>
        <v/>
      </c>
      <c r="CJ19" s="18">
        <f>'Grid_TheoreticalStock'!CA8</f>
        <v/>
      </c>
      <c r="CK19" s="18">
        <f>'Grid_TheoreticalStock'!CB8</f>
        <v/>
      </c>
      <c r="CL19" s="18">
        <f>'Grid_TheoreticalStock'!CC8</f>
        <v/>
      </c>
      <c r="CM19" s="18">
        <f>'Grid_TheoreticalStock'!CD8</f>
        <v/>
      </c>
      <c r="CN19" s="18">
        <f>'Grid_TheoreticalStock'!CE8</f>
        <v/>
      </c>
      <c r="CO19" s="18">
        <f>'Grid_TheoreticalStock'!CF8</f>
        <v/>
      </c>
      <c r="CP19" s="18">
        <f>'Grid_TheoreticalStock'!CG8</f>
        <v/>
      </c>
      <c r="CQ19" s="18">
        <f>'Grid_TheoreticalStock'!CH8</f>
        <v/>
      </c>
      <c r="CR19" s="18">
        <f>'Grid_TheoreticalStock'!CI8</f>
        <v/>
      </c>
      <c r="CS19" s="18">
        <f>'Grid_TheoreticalStock'!CJ8</f>
        <v/>
      </c>
      <c r="CT19" s="18">
        <f>'Grid_TheoreticalStock'!CK8</f>
        <v/>
      </c>
      <c r="CU19" s="18">
        <f>'Grid_TheoreticalStock'!CL8</f>
        <v/>
      </c>
      <c r="CV19" s="18">
        <f>'Grid_TheoreticalStock'!CM8</f>
        <v/>
      </c>
      <c r="CW19" s="18">
        <f>'Grid_TheoreticalStock'!CN8</f>
        <v/>
      </c>
      <c r="CX19" s="18">
        <f>'Grid_TheoreticalStock'!CO8</f>
        <v/>
      </c>
      <c r="CY19" s="18">
        <f>'Grid_TheoreticalStock'!CP8</f>
        <v/>
      </c>
      <c r="CZ19" s="18">
        <f>'Grid_TheoreticalStock'!CQ8</f>
        <v/>
      </c>
      <c r="DA19" s="18">
        <f>'Grid_TheoreticalStock'!CR8</f>
        <v/>
      </c>
      <c r="DB19" s="18">
        <f>'Grid_TheoreticalStock'!CS8</f>
        <v/>
      </c>
      <c r="DC19" s="18">
        <f>'Grid_TheoreticalStock'!CT8</f>
        <v/>
      </c>
      <c r="DD19" s="18">
        <f>'Grid_TheoreticalStock'!CU8</f>
        <v/>
      </c>
      <c r="DE19" s="18">
        <f>'Grid_TheoreticalStock'!CV8</f>
        <v/>
      </c>
      <c r="DF19" s="18">
        <f>'Grid_TheoreticalStock'!CW8</f>
        <v/>
      </c>
      <c r="DG19" s="18">
        <f>'Grid_TheoreticalStock'!CX8</f>
        <v/>
      </c>
      <c r="DH19" s="18">
        <f>'Grid_TheoreticalStock'!CY8</f>
        <v/>
      </c>
      <c r="DI19" s="18">
        <f>'Grid_TheoreticalStock'!CZ8</f>
        <v/>
      </c>
      <c r="DJ19" s="18">
        <f>'Grid_TheoreticalStock'!DA8</f>
        <v/>
      </c>
    </row>
    <row r="20">
      <c r="A20" s="19" t="inlineStr">
        <is>
          <t>TDJ</t>
        </is>
      </c>
      <c r="B20" s="19">
        <f>IFERROR(INDEX(M_RawMaterials[Description],MATCH($A20,M_RawMaterials[Part Name],0)),"")</f>
        <v/>
      </c>
      <c r="C20" s="19">
        <f>IFERROR(INDEX(M_RawMaterials[Category],MATCH($A20,M_RawMaterials[Part Name],0)),"")</f>
        <v/>
      </c>
      <c r="D20" s="19">
        <f>IFERROR(INDEX(M_RawMaterials[基準在庫下限_要入力],MATCH($A20,M_RawMaterials[Part Name],0)),0)</f>
        <v/>
      </c>
      <c r="E20" s="19">
        <f>IFERROR(INDEX(M_RawMaterials[基準在庫上限_要入力],MATCH($A20,M_RawMaterials[Part Name],0)),0)</f>
        <v/>
      </c>
      <c r="F20" s="19">
        <f>IFERROR(LOOKUP(2,1/('T_SelfStock'!$B$12:$DA$12&lt;&gt;""),'T_SelfStock'!$B$12:$DA$12),"")</f>
        <v/>
      </c>
      <c r="G20" s="19">
        <f>IFERROR(LOOKUP(2,1/('T_TTAFStock'!$B$12:$DA$12&lt;&gt;""),'T_TTAFStock'!$B$12:$DA$12),"")</f>
        <v/>
      </c>
      <c r="H20" s="19">
        <f>IFERROR(LOOKUP(2,1/('T_SelfStock'!$B$12:$DA$12&lt;&gt;""),'T_SelfStock'!$B$5:$DA$5),"")</f>
        <v/>
      </c>
      <c r="I20" s="20" t="inlineStr">
        <is>
          <t>実在庫</t>
        </is>
      </c>
      <c r="J20" s="19">
        <f>'Grid_Stock'!DA8-'Grid_TheoreticalStock'!DA8</f>
        <v/>
      </c>
      <c r="K20" s="19">
        <f>'Grid_Stock'!B8</f>
        <v/>
      </c>
      <c r="L20" s="19">
        <f>'Grid_Stock'!C8</f>
        <v/>
      </c>
      <c r="M20" s="19">
        <f>'Grid_Stock'!D8</f>
        <v/>
      </c>
      <c r="N20" s="19">
        <f>'Grid_Stock'!E8</f>
        <v/>
      </c>
      <c r="O20" s="19">
        <f>'Grid_Stock'!F8</f>
        <v/>
      </c>
      <c r="P20" s="19">
        <f>'Grid_Stock'!G8</f>
        <v/>
      </c>
      <c r="Q20" s="19">
        <f>'Grid_Stock'!H8</f>
        <v/>
      </c>
      <c r="R20" s="19">
        <f>'Grid_Stock'!I8</f>
        <v/>
      </c>
      <c r="S20" s="19">
        <f>'Grid_Stock'!J8</f>
        <v/>
      </c>
      <c r="T20" s="19">
        <f>'Grid_Stock'!K8</f>
        <v/>
      </c>
      <c r="U20" s="19">
        <f>'Grid_Stock'!L8</f>
        <v/>
      </c>
      <c r="V20" s="19">
        <f>'Grid_Stock'!M8</f>
        <v/>
      </c>
      <c r="W20" s="19">
        <f>'Grid_Stock'!N8</f>
        <v/>
      </c>
      <c r="X20" s="19">
        <f>'Grid_Stock'!O8</f>
        <v/>
      </c>
      <c r="Y20" s="19">
        <f>'Grid_Stock'!P8</f>
        <v/>
      </c>
      <c r="Z20" s="19">
        <f>'Grid_Stock'!Q8</f>
        <v/>
      </c>
      <c r="AA20" s="19">
        <f>'Grid_Stock'!R8</f>
        <v/>
      </c>
      <c r="AB20" s="19">
        <f>'Grid_Stock'!S8</f>
        <v/>
      </c>
      <c r="AC20" s="19">
        <f>'Grid_Stock'!T8</f>
        <v/>
      </c>
      <c r="AD20" s="19">
        <f>'Grid_Stock'!U8</f>
        <v/>
      </c>
      <c r="AE20" s="19">
        <f>'Grid_Stock'!V8</f>
        <v/>
      </c>
      <c r="AF20" s="19">
        <f>'Grid_Stock'!W8</f>
        <v/>
      </c>
      <c r="AG20" s="19">
        <f>'Grid_Stock'!X8</f>
        <v/>
      </c>
      <c r="AH20" s="19">
        <f>'Grid_Stock'!Y8</f>
        <v/>
      </c>
      <c r="AI20" s="19">
        <f>'Grid_Stock'!Z8</f>
        <v/>
      </c>
      <c r="AJ20" s="19">
        <f>'Grid_Stock'!AA8</f>
        <v/>
      </c>
      <c r="AK20" s="19">
        <f>'Grid_Stock'!AB8</f>
        <v/>
      </c>
      <c r="AL20" s="19">
        <f>'Grid_Stock'!AC8</f>
        <v/>
      </c>
      <c r="AM20" s="19">
        <f>'Grid_Stock'!AD8</f>
        <v/>
      </c>
      <c r="AN20" s="19">
        <f>'Grid_Stock'!AE8</f>
        <v/>
      </c>
      <c r="AO20" s="19">
        <f>'Grid_Stock'!AF8</f>
        <v/>
      </c>
      <c r="AP20" s="19">
        <f>'Grid_Stock'!AG8</f>
        <v/>
      </c>
      <c r="AQ20" s="19">
        <f>'Grid_Stock'!AH8</f>
        <v/>
      </c>
      <c r="AR20" s="19">
        <f>'Grid_Stock'!AI8</f>
        <v/>
      </c>
      <c r="AS20" s="19">
        <f>'Grid_Stock'!AJ8</f>
        <v/>
      </c>
      <c r="AT20" s="19">
        <f>'Grid_Stock'!AK8</f>
        <v/>
      </c>
      <c r="AU20" s="19">
        <f>'Grid_Stock'!AL8</f>
        <v/>
      </c>
      <c r="AV20" s="19">
        <f>'Grid_Stock'!AM8</f>
        <v/>
      </c>
      <c r="AW20" s="19">
        <f>'Grid_Stock'!AN8</f>
        <v/>
      </c>
      <c r="AX20" s="19">
        <f>'Grid_Stock'!AO8</f>
        <v/>
      </c>
      <c r="AY20" s="19">
        <f>'Grid_Stock'!AP8</f>
        <v/>
      </c>
      <c r="AZ20" s="19">
        <f>'Grid_Stock'!AQ8</f>
        <v/>
      </c>
      <c r="BA20" s="19">
        <f>'Grid_Stock'!AR8</f>
        <v/>
      </c>
      <c r="BB20" s="19">
        <f>'Grid_Stock'!AS8</f>
        <v/>
      </c>
      <c r="BC20" s="19">
        <f>'Grid_Stock'!AT8</f>
        <v/>
      </c>
      <c r="BD20" s="19">
        <f>'Grid_Stock'!AU8</f>
        <v/>
      </c>
      <c r="BE20" s="19">
        <f>'Grid_Stock'!AV8</f>
        <v/>
      </c>
      <c r="BF20" s="19">
        <f>'Grid_Stock'!AW8</f>
        <v/>
      </c>
      <c r="BG20" s="19">
        <f>'Grid_Stock'!AX8</f>
        <v/>
      </c>
      <c r="BH20" s="19">
        <f>'Grid_Stock'!AY8</f>
        <v/>
      </c>
      <c r="BI20" s="19">
        <f>'Grid_Stock'!AZ8</f>
        <v/>
      </c>
      <c r="BJ20" s="19">
        <f>'Grid_Stock'!BA8</f>
        <v/>
      </c>
      <c r="BK20" s="19">
        <f>'Grid_Stock'!BB8</f>
        <v/>
      </c>
      <c r="BL20" s="19">
        <f>'Grid_Stock'!BC8</f>
        <v/>
      </c>
      <c r="BM20" s="19">
        <f>'Grid_Stock'!BD8</f>
        <v/>
      </c>
      <c r="BN20" s="19">
        <f>'Grid_Stock'!BE8</f>
        <v/>
      </c>
      <c r="BO20" s="19">
        <f>'Grid_Stock'!BF8</f>
        <v/>
      </c>
      <c r="BP20" s="19">
        <f>'Grid_Stock'!BG8</f>
        <v/>
      </c>
      <c r="BQ20" s="19">
        <f>'Grid_Stock'!BH8</f>
        <v/>
      </c>
      <c r="BR20" s="19">
        <f>'Grid_Stock'!BI8</f>
        <v/>
      </c>
      <c r="BS20" s="19">
        <f>'Grid_Stock'!BJ8</f>
        <v/>
      </c>
      <c r="BT20" s="19">
        <f>'Grid_Stock'!BK8</f>
        <v/>
      </c>
      <c r="BU20" s="19">
        <f>'Grid_Stock'!BL8</f>
        <v/>
      </c>
      <c r="BV20" s="19">
        <f>'Grid_Stock'!BM8</f>
        <v/>
      </c>
      <c r="BW20" s="19">
        <f>'Grid_Stock'!BN8</f>
        <v/>
      </c>
      <c r="BX20" s="19">
        <f>'Grid_Stock'!BO8</f>
        <v/>
      </c>
      <c r="BY20" s="19">
        <f>'Grid_Stock'!BP8</f>
        <v/>
      </c>
      <c r="BZ20" s="19">
        <f>'Grid_Stock'!BQ8</f>
        <v/>
      </c>
      <c r="CA20" s="19">
        <f>'Grid_Stock'!BR8</f>
        <v/>
      </c>
      <c r="CB20" s="19">
        <f>'Grid_Stock'!BS8</f>
        <v/>
      </c>
      <c r="CC20" s="19">
        <f>'Grid_Stock'!BT8</f>
        <v/>
      </c>
      <c r="CD20" s="19">
        <f>'Grid_Stock'!BU8</f>
        <v/>
      </c>
      <c r="CE20" s="19">
        <f>'Grid_Stock'!BV8</f>
        <v/>
      </c>
      <c r="CF20" s="19">
        <f>'Grid_Stock'!BW8</f>
        <v/>
      </c>
      <c r="CG20" s="19">
        <f>'Grid_Stock'!BX8</f>
        <v/>
      </c>
      <c r="CH20" s="19">
        <f>'Grid_Stock'!BY8</f>
        <v/>
      </c>
      <c r="CI20" s="19">
        <f>'Grid_Stock'!BZ8</f>
        <v/>
      </c>
      <c r="CJ20" s="19">
        <f>'Grid_Stock'!CA8</f>
        <v/>
      </c>
      <c r="CK20" s="19">
        <f>'Grid_Stock'!CB8</f>
        <v/>
      </c>
      <c r="CL20" s="19">
        <f>'Grid_Stock'!CC8</f>
        <v/>
      </c>
      <c r="CM20" s="19">
        <f>'Grid_Stock'!CD8</f>
        <v/>
      </c>
      <c r="CN20" s="19">
        <f>'Grid_Stock'!CE8</f>
        <v/>
      </c>
      <c r="CO20" s="19">
        <f>'Grid_Stock'!CF8</f>
        <v/>
      </c>
      <c r="CP20" s="19">
        <f>'Grid_Stock'!CG8</f>
        <v/>
      </c>
      <c r="CQ20" s="19">
        <f>'Grid_Stock'!CH8</f>
        <v/>
      </c>
      <c r="CR20" s="19">
        <f>'Grid_Stock'!CI8</f>
        <v/>
      </c>
      <c r="CS20" s="19">
        <f>'Grid_Stock'!CJ8</f>
        <v/>
      </c>
      <c r="CT20" s="19">
        <f>'Grid_Stock'!CK8</f>
        <v/>
      </c>
      <c r="CU20" s="19">
        <f>'Grid_Stock'!CL8</f>
        <v/>
      </c>
      <c r="CV20" s="19">
        <f>'Grid_Stock'!CM8</f>
        <v/>
      </c>
      <c r="CW20" s="19">
        <f>'Grid_Stock'!CN8</f>
        <v/>
      </c>
      <c r="CX20" s="19">
        <f>'Grid_Stock'!CO8</f>
        <v/>
      </c>
      <c r="CY20" s="19">
        <f>'Grid_Stock'!CP8</f>
        <v/>
      </c>
      <c r="CZ20" s="19">
        <f>'Grid_Stock'!CQ8</f>
        <v/>
      </c>
      <c r="DA20" s="19">
        <f>'Grid_Stock'!CR8</f>
        <v/>
      </c>
      <c r="DB20" s="19">
        <f>'Grid_Stock'!CS8</f>
        <v/>
      </c>
      <c r="DC20" s="19">
        <f>'Grid_Stock'!CT8</f>
        <v/>
      </c>
      <c r="DD20" s="19">
        <f>'Grid_Stock'!CU8</f>
        <v/>
      </c>
      <c r="DE20" s="19">
        <f>'Grid_Stock'!CV8</f>
        <v/>
      </c>
      <c r="DF20" s="19">
        <f>'Grid_Stock'!CW8</f>
        <v/>
      </c>
      <c r="DG20" s="19">
        <f>'Grid_Stock'!CX8</f>
        <v/>
      </c>
      <c r="DH20" s="19">
        <f>'Grid_Stock'!CY8</f>
        <v/>
      </c>
      <c r="DI20" s="19">
        <f>'Grid_Stock'!CZ8</f>
        <v/>
      </c>
      <c r="DJ20" s="19">
        <f>'Grid_Stock'!DA8</f>
        <v/>
      </c>
    </row>
    <row r="21">
      <c r="A21" s="17" t="inlineStr">
        <is>
          <t>3TP</t>
        </is>
      </c>
      <c r="B21" s="17">
        <f>IFERROR(INDEX(M_RawMaterials[Description],MATCH($A21,M_RawMaterials[Part Name],0)),"")</f>
        <v/>
      </c>
      <c r="C21" s="17">
        <f>IFERROR(INDEX(M_RawMaterials[Category],MATCH($A21,M_RawMaterials[Part Name],0)),"")</f>
        <v/>
      </c>
      <c r="D21" s="17">
        <f>IFERROR(INDEX(M_RawMaterials[基準在庫下限_要入力],MATCH($A21,M_RawMaterials[Part Name],0)),0)</f>
        <v/>
      </c>
      <c r="E21" s="17">
        <f>IFERROR(INDEX(M_RawMaterials[基準在庫上限_要入力],MATCH($A21,M_RawMaterials[Part Name],0)),0)</f>
        <v/>
      </c>
      <c r="F21" s="17">
        <f>IFERROR(LOOKUP(2,1/('T_SelfStock'!$B$13:$DA$13&lt;&gt;""),'T_SelfStock'!$B$13:$DA$13),"")</f>
        <v/>
      </c>
      <c r="G21" s="17">
        <f>IFERROR(LOOKUP(2,1/('T_TTAFStock'!$B$13:$DA$13&lt;&gt;""),'T_TTAFStock'!$B$13:$DA$13),"")</f>
        <v/>
      </c>
      <c r="H21" s="17">
        <f>IFERROR(LOOKUP(2,1/('T_SelfStock'!$B$13:$DA$13&lt;&gt;""),'T_SelfStock'!$B$5:$DA$5),"")</f>
        <v/>
      </c>
      <c r="I21" s="18" t="inlineStr">
        <is>
          <t>理論在庫</t>
        </is>
      </c>
      <c r="J21" s="17">
        <f>'Grid_Stock'!DA9-'Grid_TheoreticalStock'!DA9</f>
        <v/>
      </c>
      <c r="K21" s="18">
        <f>'Grid_TheoreticalStock'!B9</f>
        <v/>
      </c>
      <c r="L21" s="18">
        <f>'Grid_TheoreticalStock'!C9</f>
        <v/>
      </c>
      <c r="M21" s="18">
        <f>'Grid_TheoreticalStock'!D9</f>
        <v/>
      </c>
      <c r="N21" s="18">
        <f>'Grid_TheoreticalStock'!E9</f>
        <v/>
      </c>
      <c r="O21" s="18">
        <f>'Grid_TheoreticalStock'!F9</f>
        <v/>
      </c>
      <c r="P21" s="18">
        <f>'Grid_TheoreticalStock'!G9</f>
        <v/>
      </c>
      <c r="Q21" s="18">
        <f>'Grid_TheoreticalStock'!H9</f>
        <v/>
      </c>
      <c r="R21" s="18">
        <f>'Grid_TheoreticalStock'!I9</f>
        <v/>
      </c>
      <c r="S21" s="18">
        <f>'Grid_TheoreticalStock'!J9</f>
        <v/>
      </c>
      <c r="T21" s="18">
        <f>'Grid_TheoreticalStock'!K9</f>
        <v/>
      </c>
      <c r="U21" s="18">
        <f>'Grid_TheoreticalStock'!L9</f>
        <v/>
      </c>
      <c r="V21" s="18">
        <f>'Grid_TheoreticalStock'!M9</f>
        <v/>
      </c>
      <c r="W21" s="18">
        <f>'Grid_TheoreticalStock'!N9</f>
        <v/>
      </c>
      <c r="X21" s="18">
        <f>'Grid_TheoreticalStock'!O9</f>
        <v/>
      </c>
      <c r="Y21" s="18">
        <f>'Grid_TheoreticalStock'!P9</f>
        <v/>
      </c>
      <c r="Z21" s="18">
        <f>'Grid_TheoreticalStock'!Q9</f>
        <v/>
      </c>
      <c r="AA21" s="18">
        <f>'Grid_TheoreticalStock'!R9</f>
        <v/>
      </c>
      <c r="AB21" s="18">
        <f>'Grid_TheoreticalStock'!S9</f>
        <v/>
      </c>
      <c r="AC21" s="18">
        <f>'Grid_TheoreticalStock'!T9</f>
        <v/>
      </c>
      <c r="AD21" s="18">
        <f>'Grid_TheoreticalStock'!U9</f>
        <v/>
      </c>
      <c r="AE21" s="18">
        <f>'Grid_TheoreticalStock'!V9</f>
        <v/>
      </c>
      <c r="AF21" s="18">
        <f>'Grid_TheoreticalStock'!W9</f>
        <v/>
      </c>
      <c r="AG21" s="18">
        <f>'Grid_TheoreticalStock'!X9</f>
        <v/>
      </c>
      <c r="AH21" s="18">
        <f>'Grid_TheoreticalStock'!Y9</f>
        <v/>
      </c>
      <c r="AI21" s="18">
        <f>'Grid_TheoreticalStock'!Z9</f>
        <v/>
      </c>
      <c r="AJ21" s="18">
        <f>'Grid_TheoreticalStock'!AA9</f>
        <v/>
      </c>
      <c r="AK21" s="18">
        <f>'Grid_TheoreticalStock'!AB9</f>
        <v/>
      </c>
      <c r="AL21" s="18">
        <f>'Grid_TheoreticalStock'!AC9</f>
        <v/>
      </c>
      <c r="AM21" s="18">
        <f>'Grid_TheoreticalStock'!AD9</f>
        <v/>
      </c>
      <c r="AN21" s="18">
        <f>'Grid_TheoreticalStock'!AE9</f>
        <v/>
      </c>
      <c r="AO21" s="18">
        <f>'Grid_TheoreticalStock'!AF9</f>
        <v/>
      </c>
      <c r="AP21" s="18">
        <f>'Grid_TheoreticalStock'!AG9</f>
        <v/>
      </c>
      <c r="AQ21" s="18">
        <f>'Grid_TheoreticalStock'!AH9</f>
        <v/>
      </c>
      <c r="AR21" s="18">
        <f>'Grid_TheoreticalStock'!AI9</f>
        <v/>
      </c>
      <c r="AS21" s="18">
        <f>'Grid_TheoreticalStock'!AJ9</f>
        <v/>
      </c>
      <c r="AT21" s="18">
        <f>'Grid_TheoreticalStock'!AK9</f>
        <v/>
      </c>
      <c r="AU21" s="18">
        <f>'Grid_TheoreticalStock'!AL9</f>
        <v/>
      </c>
      <c r="AV21" s="18">
        <f>'Grid_TheoreticalStock'!AM9</f>
        <v/>
      </c>
      <c r="AW21" s="18">
        <f>'Grid_TheoreticalStock'!AN9</f>
        <v/>
      </c>
      <c r="AX21" s="18">
        <f>'Grid_TheoreticalStock'!AO9</f>
        <v/>
      </c>
      <c r="AY21" s="18">
        <f>'Grid_TheoreticalStock'!AP9</f>
        <v/>
      </c>
      <c r="AZ21" s="18">
        <f>'Grid_TheoreticalStock'!AQ9</f>
        <v/>
      </c>
      <c r="BA21" s="18">
        <f>'Grid_TheoreticalStock'!AR9</f>
        <v/>
      </c>
      <c r="BB21" s="18">
        <f>'Grid_TheoreticalStock'!AS9</f>
        <v/>
      </c>
      <c r="BC21" s="18">
        <f>'Grid_TheoreticalStock'!AT9</f>
        <v/>
      </c>
      <c r="BD21" s="18">
        <f>'Grid_TheoreticalStock'!AU9</f>
        <v/>
      </c>
      <c r="BE21" s="18">
        <f>'Grid_TheoreticalStock'!AV9</f>
        <v/>
      </c>
      <c r="BF21" s="18">
        <f>'Grid_TheoreticalStock'!AW9</f>
        <v/>
      </c>
      <c r="BG21" s="18">
        <f>'Grid_TheoreticalStock'!AX9</f>
        <v/>
      </c>
      <c r="BH21" s="18">
        <f>'Grid_TheoreticalStock'!AY9</f>
        <v/>
      </c>
      <c r="BI21" s="18">
        <f>'Grid_TheoreticalStock'!AZ9</f>
        <v/>
      </c>
      <c r="BJ21" s="18">
        <f>'Grid_TheoreticalStock'!BA9</f>
        <v/>
      </c>
      <c r="BK21" s="18">
        <f>'Grid_TheoreticalStock'!BB9</f>
        <v/>
      </c>
      <c r="BL21" s="18">
        <f>'Grid_TheoreticalStock'!BC9</f>
        <v/>
      </c>
      <c r="BM21" s="18">
        <f>'Grid_TheoreticalStock'!BD9</f>
        <v/>
      </c>
      <c r="BN21" s="18">
        <f>'Grid_TheoreticalStock'!BE9</f>
        <v/>
      </c>
      <c r="BO21" s="18">
        <f>'Grid_TheoreticalStock'!BF9</f>
        <v/>
      </c>
      <c r="BP21" s="18">
        <f>'Grid_TheoreticalStock'!BG9</f>
        <v/>
      </c>
      <c r="BQ21" s="18">
        <f>'Grid_TheoreticalStock'!BH9</f>
        <v/>
      </c>
      <c r="BR21" s="18">
        <f>'Grid_TheoreticalStock'!BI9</f>
        <v/>
      </c>
      <c r="BS21" s="18">
        <f>'Grid_TheoreticalStock'!BJ9</f>
        <v/>
      </c>
      <c r="BT21" s="18">
        <f>'Grid_TheoreticalStock'!BK9</f>
        <v/>
      </c>
      <c r="BU21" s="18">
        <f>'Grid_TheoreticalStock'!BL9</f>
        <v/>
      </c>
      <c r="BV21" s="18">
        <f>'Grid_TheoreticalStock'!BM9</f>
        <v/>
      </c>
      <c r="BW21" s="18">
        <f>'Grid_TheoreticalStock'!BN9</f>
        <v/>
      </c>
      <c r="BX21" s="18">
        <f>'Grid_TheoreticalStock'!BO9</f>
        <v/>
      </c>
      <c r="BY21" s="18">
        <f>'Grid_TheoreticalStock'!BP9</f>
        <v/>
      </c>
      <c r="BZ21" s="18">
        <f>'Grid_TheoreticalStock'!BQ9</f>
        <v/>
      </c>
      <c r="CA21" s="18">
        <f>'Grid_TheoreticalStock'!BR9</f>
        <v/>
      </c>
      <c r="CB21" s="18">
        <f>'Grid_TheoreticalStock'!BS9</f>
        <v/>
      </c>
      <c r="CC21" s="18">
        <f>'Grid_TheoreticalStock'!BT9</f>
        <v/>
      </c>
      <c r="CD21" s="18">
        <f>'Grid_TheoreticalStock'!BU9</f>
        <v/>
      </c>
      <c r="CE21" s="18">
        <f>'Grid_TheoreticalStock'!BV9</f>
        <v/>
      </c>
      <c r="CF21" s="18">
        <f>'Grid_TheoreticalStock'!BW9</f>
        <v/>
      </c>
      <c r="CG21" s="18">
        <f>'Grid_TheoreticalStock'!BX9</f>
        <v/>
      </c>
      <c r="CH21" s="18">
        <f>'Grid_TheoreticalStock'!BY9</f>
        <v/>
      </c>
      <c r="CI21" s="18">
        <f>'Grid_TheoreticalStock'!BZ9</f>
        <v/>
      </c>
      <c r="CJ21" s="18">
        <f>'Grid_TheoreticalStock'!CA9</f>
        <v/>
      </c>
      <c r="CK21" s="18">
        <f>'Grid_TheoreticalStock'!CB9</f>
        <v/>
      </c>
      <c r="CL21" s="18">
        <f>'Grid_TheoreticalStock'!CC9</f>
        <v/>
      </c>
      <c r="CM21" s="18">
        <f>'Grid_TheoreticalStock'!CD9</f>
        <v/>
      </c>
      <c r="CN21" s="18">
        <f>'Grid_TheoreticalStock'!CE9</f>
        <v/>
      </c>
      <c r="CO21" s="18">
        <f>'Grid_TheoreticalStock'!CF9</f>
        <v/>
      </c>
      <c r="CP21" s="18">
        <f>'Grid_TheoreticalStock'!CG9</f>
        <v/>
      </c>
      <c r="CQ21" s="18">
        <f>'Grid_TheoreticalStock'!CH9</f>
        <v/>
      </c>
      <c r="CR21" s="18">
        <f>'Grid_TheoreticalStock'!CI9</f>
        <v/>
      </c>
      <c r="CS21" s="18">
        <f>'Grid_TheoreticalStock'!CJ9</f>
        <v/>
      </c>
      <c r="CT21" s="18">
        <f>'Grid_TheoreticalStock'!CK9</f>
        <v/>
      </c>
      <c r="CU21" s="18">
        <f>'Grid_TheoreticalStock'!CL9</f>
        <v/>
      </c>
      <c r="CV21" s="18">
        <f>'Grid_TheoreticalStock'!CM9</f>
        <v/>
      </c>
      <c r="CW21" s="18">
        <f>'Grid_TheoreticalStock'!CN9</f>
        <v/>
      </c>
      <c r="CX21" s="18">
        <f>'Grid_TheoreticalStock'!CO9</f>
        <v/>
      </c>
      <c r="CY21" s="18">
        <f>'Grid_TheoreticalStock'!CP9</f>
        <v/>
      </c>
      <c r="CZ21" s="18">
        <f>'Grid_TheoreticalStock'!CQ9</f>
        <v/>
      </c>
      <c r="DA21" s="18">
        <f>'Grid_TheoreticalStock'!CR9</f>
        <v/>
      </c>
      <c r="DB21" s="18">
        <f>'Grid_TheoreticalStock'!CS9</f>
        <v/>
      </c>
      <c r="DC21" s="18">
        <f>'Grid_TheoreticalStock'!CT9</f>
        <v/>
      </c>
      <c r="DD21" s="18">
        <f>'Grid_TheoreticalStock'!CU9</f>
        <v/>
      </c>
      <c r="DE21" s="18">
        <f>'Grid_TheoreticalStock'!CV9</f>
        <v/>
      </c>
      <c r="DF21" s="18">
        <f>'Grid_TheoreticalStock'!CW9</f>
        <v/>
      </c>
      <c r="DG21" s="18">
        <f>'Grid_TheoreticalStock'!CX9</f>
        <v/>
      </c>
      <c r="DH21" s="18">
        <f>'Grid_TheoreticalStock'!CY9</f>
        <v/>
      </c>
      <c r="DI21" s="18">
        <f>'Grid_TheoreticalStock'!CZ9</f>
        <v/>
      </c>
      <c r="DJ21" s="18">
        <f>'Grid_TheoreticalStock'!DA9</f>
        <v/>
      </c>
    </row>
    <row r="22">
      <c r="A22" s="19" t="inlineStr">
        <is>
          <t>3TP</t>
        </is>
      </c>
      <c r="B22" s="19">
        <f>IFERROR(INDEX(M_RawMaterials[Description],MATCH($A22,M_RawMaterials[Part Name],0)),"")</f>
        <v/>
      </c>
      <c r="C22" s="19">
        <f>IFERROR(INDEX(M_RawMaterials[Category],MATCH($A22,M_RawMaterials[Part Name],0)),"")</f>
        <v/>
      </c>
      <c r="D22" s="19">
        <f>IFERROR(INDEX(M_RawMaterials[基準在庫下限_要入力],MATCH($A22,M_RawMaterials[Part Name],0)),0)</f>
        <v/>
      </c>
      <c r="E22" s="19">
        <f>IFERROR(INDEX(M_RawMaterials[基準在庫上限_要入力],MATCH($A22,M_RawMaterials[Part Name],0)),0)</f>
        <v/>
      </c>
      <c r="F22" s="19">
        <f>IFERROR(LOOKUP(2,1/('T_SelfStock'!$B$13:$DA$13&lt;&gt;""),'T_SelfStock'!$B$13:$DA$13),"")</f>
        <v/>
      </c>
      <c r="G22" s="19">
        <f>IFERROR(LOOKUP(2,1/('T_TTAFStock'!$B$13:$DA$13&lt;&gt;""),'T_TTAFStock'!$B$13:$DA$13),"")</f>
        <v/>
      </c>
      <c r="H22" s="19">
        <f>IFERROR(LOOKUP(2,1/('T_SelfStock'!$B$13:$DA$13&lt;&gt;""),'T_SelfStock'!$B$5:$DA$5),"")</f>
        <v/>
      </c>
      <c r="I22" s="20" t="inlineStr">
        <is>
          <t>実在庫</t>
        </is>
      </c>
      <c r="J22" s="19">
        <f>'Grid_Stock'!DA9-'Grid_TheoreticalStock'!DA9</f>
        <v/>
      </c>
      <c r="K22" s="19">
        <f>'Grid_Stock'!B9</f>
        <v/>
      </c>
      <c r="L22" s="19">
        <f>'Grid_Stock'!C9</f>
        <v/>
      </c>
      <c r="M22" s="19">
        <f>'Grid_Stock'!D9</f>
        <v/>
      </c>
      <c r="N22" s="19">
        <f>'Grid_Stock'!E9</f>
        <v/>
      </c>
      <c r="O22" s="19">
        <f>'Grid_Stock'!F9</f>
        <v/>
      </c>
      <c r="P22" s="19">
        <f>'Grid_Stock'!G9</f>
        <v/>
      </c>
      <c r="Q22" s="19">
        <f>'Grid_Stock'!H9</f>
        <v/>
      </c>
      <c r="R22" s="19">
        <f>'Grid_Stock'!I9</f>
        <v/>
      </c>
      <c r="S22" s="19">
        <f>'Grid_Stock'!J9</f>
        <v/>
      </c>
      <c r="T22" s="19">
        <f>'Grid_Stock'!K9</f>
        <v/>
      </c>
      <c r="U22" s="19">
        <f>'Grid_Stock'!L9</f>
        <v/>
      </c>
      <c r="V22" s="19">
        <f>'Grid_Stock'!M9</f>
        <v/>
      </c>
      <c r="W22" s="19">
        <f>'Grid_Stock'!N9</f>
        <v/>
      </c>
      <c r="X22" s="19">
        <f>'Grid_Stock'!O9</f>
        <v/>
      </c>
      <c r="Y22" s="19">
        <f>'Grid_Stock'!P9</f>
        <v/>
      </c>
      <c r="Z22" s="19">
        <f>'Grid_Stock'!Q9</f>
        <v/>
      </c>
      <c r="AA22" s="19">
        <f>'Grid_Stock'!R9</f>
        <v/>
      </c>
      <c r="AB22" s="19">
        <f>'Grid_Stock'!S9</f>
        <v/>
      </c>
      <c r="AC22" s="19">
        <f>'Grid_Stock'!T9</f>
        <v/>
      </c>
      <c r="AD22" s="19">
        <f>'Grid_Stock'!U9</f>
        <v/>
      </c>
      <c r="AE22" s="19">
        <f>'Grid_Stock'!V9</f>
        <v/>
      </c>
      <c r="AF22" s="19">
        <f>'Grid_Stock'!W9</f>
        <v/>
      </c>
      <c r="AG22" s="19">
        <f>'Grid_Stock'!X9</f>
        <v/>
      </c>
      <c r="AH22" s="19">
        <f>'Grid_Stock'!Y9</f>
        <v/>
      </c>
      <c r="AI22" s="19">
        <f>'Grid_Stock'!Z9</f>
        <v/>
      </c>
      <c r="AJ22" s="19">
        <f>'Grid_Stock'!AA9</f>
        <v/>
      </c>
      <c r="AK22" s="19">
        <f>'Grid_Stock'!AB9</f>
        <v/>
      </c>
      <c r="AL22" s="19">
        <f>'Grid_Stock'!AC9</f>
        <v/>
      </c>
      <c r="AM22" s="19">
        <f>'Grid_Stock'!AD9</f>
        <v/>
      </c>
      <c r="AN22" s="19">
        <f>'Grid_Stock'!AE9</f>
        <v/>
      </c>
      <c r="AO22" s="19">
        <f>'Grid_Stock'!AF9</f>
        <v/>
      </c>
      <c r="AP22" s="19">
        <f>'Grid_Stock'!AG9</f>
        <v/>
      </c>
      <c r="AQ22" s="19">
        <f>'Grid_Stock'!AH9</f>
        <v/>
      </c>
      <c r="AR22" s="19">
        <f>'Grid_Stock'!AI9</f>
        <v/>
      </c>
      <c r="AS22" s="19">
        <f>'Grid_Stock'!AJ9</f>
        <v/>
      </c>
      <c r="AT22" s="19">
        <f>'Grid_Stock'!AK9</f>
        <v/>
      </c>
      <c r="AU22" s="19">
        <f>'Grid_Stock'!AL9</f>
        <v/>
      </c>
      <c r="AV22" s="19">
        <f>'Grid_Stock'!AM9</f>
        <v/>
      </c>
      <c r="AW22" s="19">
        <f>'Grid_Stock'!AN9</f>
        <v/>
      </c>
      <c r="AX22" s="19">
        <f>'Grid_Stock'!AO9</f>
        <v/>
      </c>
      <c r="AY22" s="19">
        <f>'Grid_Stock'!AP9</f>
        <v/>
      </c>
      <c r="AZ22" s="19">
        <f>'Grid_Stock'!AQ9</f>
        <v/>
      </c>
      <c r="BA22" s="19">
        <f>'Grid_Stock'!AR9</f>
        <v/>
      </c>
      <c r="BB22" s="19">
        <f>'Grid_Stock'!AS9</f>
        <v/>
      </c>
      <c r="BC22" s="19">
        <f>'Grid_Stock'!AT9</f>
        <v/>
      </c>
      <c r="BD22" s="19">
        <f>'Grid_Stock'!AU9</f>
        <v/>
      </c>
      <c r="BE22" s="19">
        <f>'Grid_Stock'!AV9</f>
        <v/>
      </c>
      <c r="BF22" s="19">
        <f>'Grid_Stock'!AW9</f>
        <v/>
      </c>
      <c r="BG22" s="19">
        <f>'Grid_Stock'!AX9</f>
        <v/>
      </c>
      <c r="BH22" s="19">
        <f>'Grid_Stock'!AY9</f>
        <v/>
      </c>
      <c r="BI22" s="19">
        <f>'Grid_Stock'!AZ9</f>
        <v/>
      </c>
      <c r="BJ22" s="19">
        <f>'Grid_Stock'!BA9</f>
        <v/>
      </c>
      <c r="BK22" s="19">
        <f>'Grid_Stock'!BB9</f>
        <v/>
      </c>
      <c r="BL22" s="19">
        <f>'Grid_Stock'!BC9</f>
        <v/>
      </c>
      <c r="BM22" s="19">
        <f>'Grid_Stock'!BD9</f>
        <v/>
      </c>
      <c r="BN22" s="19">
        <f>'Grid_Stock'!BE9</f>
        <v/>
      </c>
      <c r="BO22" s="19">
        <f>'Grid_Stock'!BF9</f>
        <v/>
      </c>
      <c r="BP22" s="19">
        <f>'Grid_Stock'!BG9</f>
        <v/>
      </c>
      <c r="BQ22" s="19">
        <f>'Grid_Stock'!BH9</f>
        <v/>
      </c>
      <c r="BR22" s="19">
        <f>'Grid_Stock'!BI9</f>
        <v/>
      </c>
      <c r="BS22" s="19">
        <f>'Grid_Stock'!BJ9</f>
        <v/>
      </c>
      <c r="BT22" s="19">
        <f>'Grid_Stock'!BK9</f>
        <v/>
      </c>
      <c r="BU22" s="19">
        <f>'Grid_Stock'!BL9</f>
        <v/>
      </c>
      <c r="BV22" s="19">
        <f>'Grid_Stock'!BM9</f>
        <v/>
      </c>
      <c r="BW22" s="19">
        <f>'Grid_Stock'!BN9</f>
        <v/>
      </c>
      <c r="BX22" s="19">
        <f>'Grid_Stock'!BO9</f>
        <v/>
      </c>
      <c r="BY22" s="19">
        <f>'Grid_Stock'!BP9</f>
        <v/>
      </c>
      <c r="BZ22" s="19">
        <f>'Grid_Stock'!BQ9</f>
        <v/>
      </c>
      <c r="CA22" s="19">
        <f>'Grid_Stock'!BR9</f>
        <v/>
      </c>
      <c r="CB22" s="19">
        <f>'Grid_Stock'!BS9</f>
        <v/>
      </c>
      <c r="CC22" s="19">
        <f>'Grid_Stock'!BT9</f>
        <v/>
      </c>
      <c r="CD22" s="19">
        <f>'Grid_Stock'!BU9</f>
        <v/>
      </c>
      <c r="CE22" s="19">
        <f>'Grid_Stock'!BV9</f>
        <v/>
      </c>
      <c r="CF22" s="19">
        <f>'Grid_Stock'!BW9</f>
        <v/>
      </c>
      <c r="CG22" s="19">
        <f>'Grid_Stock'!BX9</f>
        <v/>
      </c>
      <c r="CH22" s="19">
        <f>'Grid_Stock'!BY9</f>
        <v/>
      </c>
      <c r="CI22" s="19">
        <f>'Grid_Stock'!BZ9</f>
        <v/>
      </c>
      <c r="CJ22" s="19">
        <f>'Grid_Stock'!CA9</f>
        <v/>
      </c>
      <c r="CK22" s="19">
        <f>'Grid_Stock'!CB9</f>
        <v/>
      </c>
      <c r="CL22" s="19">
        <f>'Grid_Stock'!CC9</f>
        <v/>
      </c>
      <c r="CM22" s="19">
        <f>'Grid_Stock'!CD9</f>
        <v/>
      </c>
      <c r="CN22" s="19">
        <f>'Grid_Stock'!CE9</f>
        <v/>
      </c>
      <c r="CO22" s="19">
        <f>'Grid_Stock'!CF9</f>
        <v/>
      </c>
      <c r="CP22" s="19">
        <f>'Grid_Stock'!CG9</f>
        <v/>
      </c>
      <c r="CQ22" s="19">
        <f>'Grid_Stock'!CH9</f>
        <v/>
      </c>
      <c r="CR22" s="19">
        <f>'Grid_Stock'!CI9</f>
        <v/>
      </c>
      <c r="CS22" s="19">
        <f>'Grid_Stock'!CJ9</f>
        <v/>
      </c>
      <c r="CT22" s="19">
        <f>'Grid_Stock'!CK9</f>
        <v/>
      </c>
      <c r="CU22" s="19">
        <f>'Grid_Stock'!CL9</f>
        <v/>
      </c>
      <c r="CV22" s="19">
        <f>'Grid_Stock'!CM9</f>
        <v/>
      </c>
      <c r="CW22" s="19">
        <f>'Grid_Stock'!CN9</f>
        <v/>
      </c>
      <c r="CX22" s="19">
        <f>'Grid_Stock'!CO9</f>
        <v/>
      </c>
      <c r="CY22" s="19">
        <f>'Grid_Stock'!CP9</f>
        <v/>
      </c>
      <c r="CZ22" s="19">
        <f>'Grid_Stock'!CQ9</f>
        <v/>
      </c>
      <c r="DA22" s="19">
        <f>'Grid_Stock'!CR9</f>
        <v/>
      </c>
      <c r="DB22" s="19">
        <f>'Grid_Stock'!CS9</f>
        <v/>
      </c>
      <c r="DC22" s="19">
        <f>'Grid_Stock'!CT9</f>
        <v/>
      </c>
      <c r="DD22" s="19">
        <f>'Grid_Stock'!CU9</f>
        <v/>
      </c>
      <c r="DE22" s="19">
        <f>'Grid_Stock'!CV9</f>
        <v/>
      </c>
      <c r="DF22" s="19">
        <f>'Grid_Stock'!CW9</f>
        <v/>
      </c>
      <c r="DG22" s="19">
        <f>'Grid_Stock'!CX9</f>
        <v/>
      </c>
      <c r="DH22" s="19">
        <f>'Grid_Stock'!CY9</f>
        <v/>
      </c>
      <c r="DI22" s="19">
        <f>'Grid_Stock'!CZ9</f>
        <v/>
      </c>
      <c r="DJ22" s="19">
        <f>'Grid_Stock'!DA9</f>
        <v/>
      </c>
    </row>
    <row r="23">
      <c r="A23" s="17" t="inlineStr">
        <is>
          <t>KEJ</t>
        </is>
      </c>
      <c r="B23" s="17">
        <f>IFERROR(INDEX(M_RawMaterials[Description],MATCH($A23,M_RawMaterials[Part Name],0)),"")</f>
        <v/>
      </c>
      <c r="C23" s="17">
        <f>IFERROR(INDEX(M_RawMaterials[Category],MATCH($A23,M_RawMaterials[Part Name],0)),"")</f>
        <v/>
      </c>
      <c r="D23" s="17">
        <f>IFERROR(INDEX(M_RawMaterials[基準在庫下限_要入力],MATCH($A23,M_RawMaterials[Part Name],0)),0)</f>
        <v/>
      </c>
      <c r="E23" s="17">
        <f>IFERROR(INDEX(M_RawMaterials[基準在庫上限_要入力],MATCH($A23,M_RawMaterials[Part Name],0)),0)</f>
        <v/>
      </c>
      <c r="F23" s="17">
        <f>IFERROR(LOOKUP(2,1/('T_SelfStock'!$B$14:$DA$14&lt;&gt;""),'T_SelfStock'!$B$14:$DA$14),"")</f>
        <v/>
      </c>
      <c r="G23" s="17">
        <f>IFERROR(LOOKUP(2,1/('T_TTAFStock'!$B$14:$DA$14&lt;&gt;""),'T_TTAFStock'!$B$14:$DA$14),"")</f>
        <v/>
      </c>
      <c r="H23" s="17">
        <f>IFERROR(LOOKUP(2,1/('T_SelfStock'!$B$14:$DA$14&lt;&gt;""),'T_SelfStock'!$B$5:$DA$5),"")</f>
        <v/>
      </c>
      <c r="I23" s="18" t="inlineStr">
        <is>
          <t>理論在庫</t>
        </is>
      </c>
      <c r="J23" s="17">
        <f>'Grid_Stock'!DA10-'Grid_TheoreticalStock'!DA10</f>
        <v/>
      </c>
      <c r="K23" s="18">
        <f>'Grid_TheoreticalStock'!B10</f>
        <v/>
      </c>
      <c r="L23" s="18">
        <f>'Grid_TheoreticalStock'!C10</f>
        <v/>
      </c>
      <c r="M23" s="18">
        <f>'Grid_TheoreticalStock'!D10</f>
        <v/>
      </c>
      <c r="N23" s="18">
        <f>'Grid_TheoreticalStock'!E10</f>
        <v/>
      </c>
      <c r="O23" s="18">
        <f>'Grid_TheoreticalStock'!F10</f>
        <v/>
      </c>
      <c r="P23" s="18">
        <f>'Grid_TheoreticalStock'!G10</f>
        <v/>
      </c>
      <c r="Q23" s="18">
        <f>'Grid_TheoreticalStock'!H10</f>
        <v/>
      </c>
      <c r="R23" s="18">
        <f>'Grid_TheoreticalStock'!I10</f>
        <v/>
      </c>
      <c r="S23" s="18">
        <f>'Grid_TheoreticalStock'!J10</f>
        <v/>
      </c>
      <c r="T23" s="18">
        <f>'Grid_TheoreticalStock'!K10</f>
        <v/>
      </c>
      <c r="U23" s="18">
        <f>'Grid_TheoreticalStock'!L10</f>
        <v/>
      </c>
      <c r="V23" s="18">
        <f>'Grid_TheoreticalStock'!M10</f>
        <v/>
      </c>
      <c r="W23" s="18">
        <f>'Grid_TheoreticalStock'!N10</f>
        <v/>
      </c>
      <c r="X23" s="18">
        <f>'Grid_TheoreticalStock'!O10</f>
        <v/>
      </c>
      <c r="Y23" s="18">
        <f>'Grid_TheoreticalStock'!P10</f>
        <v/>
      </c>
      <c r="Z23" s="18">
        <f>'Grid_TheoreticalStock'!Q10</f>
        <v/>
      </c>
      <c r="AA23" s="18">
        <f>'Grid_TheoreticalStock'!R10</f>
        <v/>
      </c>
      <c r="AB23" s="18">
        <f>'Grid_TheoreticalStock'!S10</f>
        <v/>
      </c>
      <c r="AC23" s="18">
        <f>'Grid_TheoreticalStock'!T10</f>
        <v/>
      </c>
      <c r="AD23" s="18">
        <f>'Grid_TheoreticalStock'!U10</f>
        <v/>
      </c>
      <c r="AE23" s="18">
        <f>'Grid_TheoreticalStock'!V10</f>
        <v/>
      </c>
      <c r="AF23" s="18">
        <f>'Grid_TheoreticalStock'!W10</f>
        <v/>
      </c>
      <c r="AG23" s="18">
        <f>'Grid_TheoreticalStock'!X10</f>
        <v/>
      </c>
      <c r="AH23" s="18">
        <f>'Grid_TheoreticalStock'!Y10</f>
        <v/>
      </c>
      <c r="AI23" s="18">
        <f>'Grid_TheoreticalStock'!Z10</f>
        <v/>
      </c>
      <c r="AJ23" s="18">
        <f>'Grid_TheoreticalStock'!AA10</f>
        <v/>
      </c>
      <c r="AK23" s="18">
        <f>'Grid_TheoreticalStock'!AB10</f>
        <v/>
      </c>
      <c r="AL23" s="18">
        <f>'Grid_TheoreticalStock'!AC10</f>
        <v/>
      </c>
      <c r="AM23" s="18">
        <f>'Grid_TheoreticalStock'!AD10</f>
        <v/>
      </c>
      <c r="AN23" s="18">
        <f>'Grid_TheoreticalStock'!AE10</f>
        <v/>
      </c>
      <c r="AO23" s="18">
        <f>'Grid_TheoreticalStock'!AF10</f>
        <v/>
      </c>
      <c r="AP23" s="18">
        <f>'Grid_TheoreticalStock'!AG10</f>
        <v/>
      </c>
      <c r="AQ23" s="18">
        <f>'Grid_TheoreticalStock'!AH10</f>
        <v/>
      </c>
      <c r="AR23" s="18">
        <f>'Grid_TheoreticalStock'!AI10</f>
        <v/>
      </c>
      <c r="AS23" s="18">
        <f>'Grid_TheoreticalStock'!AJ10</f>
        <v/>
      </c>
      <c r="AT23" s="18">
        <f>'Grid_TheoreticalStock'!AK10</f>
        <v/>
      </c>
      <c r="AU23" s="18">
        <f>'Grid_TheoreticalStock'!AL10</f>
        <v/>
      </c>
      <c r="AV23" s="18">
        <f>'Grid_TheoreticalStock'!AM10</f>
        <v/>
      </c>
      <c r="AW23" s="18">
        <f>'Grid_TheoreticalStock'!AN10</f>
        <v/>
      </c>
      <c r="AX23" s="18">
        <f>'Grid_TheoreticalStock'!AO10</f>
        <v/>
      </c>
      <c r="AY23" s="18">
        <f>'Grid_TheoreticalStock'!AP10</f>
        <v/>
      </c>
      <c r="AZ23" s="18">
        <f>'Grid_TheoreticalStock'!AQ10</f>
        <v/>
      </c>
      <c r="BA23" s="18">
        <f>'Grid_TheoreticalStock'!AR10</f>
        <v/>
      </c>
      <c r="BB23" s="18">
        <f>'Grid_TheoreticalStock'!AS10</f>
        <v/>
      </c>
      <c r="BC23" s="18">
        <f>'Grid_TheoreticalStock'!AT10</f>
        <v/>
      </c>
      <c r="BD23" s="18">
        <f>'Grid_TheoreticalStock'!AU10</f>
        <v/>
      </c>
      <c r="BE23" s="18">
        <f>'Grid_TheoreticalStock'!AV10</f>
        <v/>
      </c>
      <c r="BF23" s="18">
        <f>'Grid_TheoreticalStock'!AW10</f>
        <v/>
      </c>
      <c r="BG23" s="18">
        <f>'Grid_TheoreticalStock'!AX10</f>
        <v/>
      </c>
      <c r="BH23" s="18">
        <f>'Grid_TheoreticalStock'!AY10</f>
        <v/>
      </c>
      <c r="BI23" s="18">
        <f>'Grid_TheoreticalStock'!AZ10</f>
        <v/>
      </c>
      <c r="BJ23" s="18">
        <f>'Grid_TheoreticalStock'!BA10</f>
        <v/>
      </c>
      <c r="BK23" s="18">
        <f>'Grid_TheoreticalStock'!BB10</f>
        <v/>
      </c>
      <c r="BL23" s="18">
        <f>'Grid_TheoreticalStock'!BC10</f>
        <v/>
      </c>
      <c r="BM23" s="18">
        <f>'Grid_TheoreticalStock'!BD10</f>
        <v/>
      </c>
      <c r="BN23" s="18">
        <f>'Grid_TheoreticalStock'!BE10</f>
        <v/>
      </c>
      <c r="BO23" s="18">
        <f>'Grid_TheoreticalStock'!BF10</f>
        <v/>
      </c>
      <c r="BP23" s="18">
        <f>'Grid_TheoreticalStock'!BG10</f>
        <v/>
      </c>
      <c r="BQ23" s="18">
        <f>'Grid_TheoreticalStock'!BH10</f>
        <v/>
      </c>
      <c r="BR23" s="18">
        <f>'Grid_TheoreticalStock'!BI10</f>
        <v/>
      </c>
      <c r="BS23" s="18">
        <f>'Grid_TheoreticalStock'!BJ10</f>
        <v/>
      </c>
      <c r="BT23" s="18">
        <f>'Grid_TheoreticalStock'!BK10</f>
        <v/>
      </c>
      <c r="BU23" s="18">
        <f>'Grid_TheoreticalStock'!BL10</f>
        <v/>
      </c>
      <c r="BV23" s="18">
        <f>'Grid_TheoreticalStock'!BM10</f>
        <v/>
      </c>
      <c r="BW23" s="18">
        <f>'Grid_TheoreticalStock'!BN10</f>
        <v/>
      </c>
      <c r="BX23" s="18">
        <f>'Grid_TheoreticalStock'!BO10</f>
        <v/>
      </c>
      <c r="BY23" s="18">
        <f>'Grid_TheoreticalStock'!BP10</f>
        <v/>
      </c>
      <c r="BZ23" s="18">
        <f>'Grid_TheoreticalStock'!BQ10</f>
        <v/>
      </c>
      <c r="CA23" s="18">
        <f>'Grid_TheoreticalStock'!BR10</f>
        <v/>
      </c>
      <c r="CB23" s="18">
        <f>'Grid_TheoreticalStock'!BS10</f>
        <v/>
      </c>
      <c r="CC23" s="18">
        <f>'Grid_TheoreticalStock'!BT10</f>
        <v/>
      </c>
      <c r="CD23" s="18">
        <f>'Grid_TheoreticalStock'!BU10</f>
        <v/>
      </c>
      <c r="CE23" s="18">
        <f>'Grid_TheoreticalStock'!BV10</f>
        <v/>
      </c>
      <c r="CF23" s="18">
        <f>'Grid_TheoreticalStock'!BW10</f>
        <v/>
      </c>
      <c r="CG23" s="18">
        <f>'Grid_TheoreticalStock'!BX10</f>
        <v/>
      </c>
      <c r="CH23" s="18">
        <f>'Grid_TheoreticalStock'!BY10</f>
        <v/>
      </c>
      <c r="CI23" s="18">
        <f>'Grid_TheoreticalStock'!BZ10</f>
        <v/>
      </c>
      <c r="CJ23" s="18">
        <f>'Grid_TheoreticalStock'!CA10</f>
        <v/>
      </c>
      <c r="CK23" s="18">
        <f>'Grid_TheoreticalStock'!CB10</f>
        <v/>
      </c>
      <c r="CL23" s="18">
        <f>'Grid_TheoreticalStock'!CC10</f>
        <v/>
      </c>
      <c r="CM23" s="18">
        <f>'Grid_TheoreticalStock'!CD10</f>
        <v/>
      </c>
      <c r="CN23" s="18">
        <f>'Grid_TheoreticalStock'!CE10</f>
        <v/>
      </c>
      <c r="CO23" s="18">
        <f>'Grid_TheoreticalStock'!CF10</f>
        <v/>
      </c>
      <c r="CP23" s="18">
        <f>'Grid_TheoreticalStock'!CG10</f>
        <v/>
      </c>
      <c r="CQ23" s="18">
        <f>'Grid_TheoreticalStock'!CH10</f>
        <v/>
      </c>
      <c r="CR23" s="18">
        <f>'Grid_TheoreticalStock'!CI10</f>
        <v/>
      </c>
      <c r="CS23" s="18">
        <f>'Grid_TheoreticalStock'!CJ10</f>
        <v/>
      </c>
      <c r="CT23" s="18">
        <f>'Grid_TheoreticalStock'!CK10</f>
        <v/>
      </c>
      <c r="CU23" s="18">
        <f>'Grid_TheoreticalStock'!CL10</f>
        <v/>
      </c>
      <c r="CV23" s="18">
        <f>'Grid_TheoreticalStock'!CM10</f>
        <v/>
      </c>
      <c r="CW23" s="18">
        <f>'Grid_TheoreticalStock'!CN10</f>
        <v/>
      </c>
      <c r="CX23" s="18">
        <f>'Grid_TheoreticalStock'!CO10</f>
        <v/>
      </c>
      <c r="CY23" s="18">
        <f>'Grid_TheoreticalStock'!CP10</f>
        <v/>
      </c>
      <c r="CZ23" s="18">
        <f>'Grid_TheoreticalStock'!CQ10</f>
        <v/>
      </c>
      <c r="DA23" s="18">
        <f>'Grid_TheoreticalStock'!CR10</f>
        <v/>
      </c>
      <c r="DB23" s="18">
        <f>'Grid_TheoreticalStock'!CS10</f>
        <v/>
      </c>
      <c r="DC23" s="18">
        <f>'Grid_TheoreticalStock'!CT10</f>
        <v/>
      </c>
      <c r="DD23" s="18">
        <f>'Grid_TheoreticalStock'!CU10</f>
        <v/>
      </c>
      <c r="DE23" s="18">
        <f>'Grid_TheoreticalStock'!CV10</f>
        <v/>
      </c>
      <c r="DF23" s="18">
        <f>'Grid_TheoreticalStock'!CW10</f>
        <v/>
      </c>
      <c r="DG23" s="18">
        <f>'Grid_TheoreticalStock'!CX10</f>
        <v/>
      </c>
      <c r="DH23" s="18">
        <f>'Grid_TheoreticalStock'!CY10</f>
        <v/>
      </c>
      <c r="DI23" s="18">
        <f>'Grid_TheoreticalStock'!CZ10</f>
        <v/>
      </c>
      <c r="DJ23" s="18">
        <f>'Grid_TheoreticalStock'!DA10</f>
        <v/>
      </c>
    </row>
    <row r="24">
      <c r="A24" s="19" t="inlineStr">
        <is>
          <t>KEJ</t>
        </is>
      </c>
      <c r="B24" s="19">
        <f>IFERROR(INDEX(M_RawMaterials[Description],MATCH($A24,M_RawMaterials[Part Name],0)),"")</f>
        <v/>
      </c>
      <c r="C24" s="19">
        <f>IFERROR(INDEX(M_RawMaterials[Category],MATCH($A24,M_RawMaterials[Part Name],0)),"")</f>
        <v/>
      </c>
      <c r="D24" s="19">
        <f>IFERROR(INDEX(M_RawMaterials[基準在庫下限_要入力],MATCH($A24,M_RawMaterials[Part Name],0)),0)</f>
        <v/>
      </c>
      <c r="E24" s="19">
        <f>IFERROR(INDEX(M_RawMaterials[基準在庫上限_要入力],MATCH($A24,M_RawMaterials[Part Name],0)),0)</f>
        <v/>
      </c>
      <c r="F24" s="19">
        <f>IFERROR(LOOKUP(2,1/('T_SelfStock'!$B$14:$DA$14&lt;&gt;""),'T_SelfStock'!$B$14:$DA$14),"")</f>
        <v/>
      </c>
      <c r="G24" s="19">
        <f>IFERROR(LOOKUP(2,1/('T_TTAFStock'!$B$14:$DA$14&lt;&gt;""),'T_TTAFStock'!$B$14:$DA$14),"")</f>
        <v/>
      </c>
      <c r="H24" s="19">
        <f>IFERROR(LOOKUP(2,1/('T_SelfStock'!$B$14:$DA$14&lt;&gt;""),'T_SelfStock'!$B$5:$DA$5),"")</f>
        <v/>
      </c>
      <c r="I24" s="20" t="inlineStr">
        <is>
          <t>実在庫</t>
        </is>
      </c>
      <c r="J24" s="19">
        <f>'Grid_Stock'!DA10-'Grid_TheoreticalStock'!DA10</f>
        <v/>
      </c>
      <c r="K24" s="19">
        <f>'Grid_Stock'!B10</f>
        <v/>
      </c>
      <c r="L24" s="19">
        <f>'Grid_Stock'!C10</f>
        <v/>
      </c>
      <c r="M24" s="19">
        <f>'Grid_Stock'!D10</f>
        <v/>
      </c>
      <c r="N24" s="19">
        <f>'Grid_Stock'!E10</f>
        <v/>
      </c>
      <c r="O24" s="19">
        <f>'Grid_Stock'!F10</f>
        <v/>
      </c>
      <c r="P24" s="19">
        <f>'Grid_Stock'!G10</f>
        <v/>
      </c>
      <c r="Q24" s="19">
        <f>'Grid_Stock'!H10</f>
        <v/>
      </c>
      <c r="R24" s="19">
        <f>'Grid_Stock'!I10</f>
        <v/>
      </c>
      <c r="S24" s="19">
        <f>'Grid_Stock'!J10</f>
        <v/>
      </c>
      <c r="T24" s="19">
        <f>'Grid_Stock'!K10</f>
        <v/>
      </c>
      <c r="U24" s="19">
        <f>'Grid_Stock'!L10</f>
        <v/>
      </c>
      <c r="V24" s="19">
        <f>'Grid_Stock'!M10</f>
        <v/>
      </c>
      <c r="W24" s="19">
        <f>'Grid_Stock'!N10</f>
        <v/>
      </c>
      <c r="X24" s="19">
        <f>'Grid_Stock'!O10</f>
        <v/>
      </c>
      <c r="Y24" s="19">
        <f>'Grid_Stock'!P10</f>
        <v/>
      </c>
      <c r="Z24" s="19">
        <f>'Grid_Stock'!Q10</f>
        <v/>
      </c>
      <c r="AA24" s="19">
        <f>'Grid_Stock'!R10</f>
        <v/>
      </c>
      <c r="AB24" s="19">
        <f>'Grid_Stock'!S10</f>
        <v/>
      </c>
      <c r="AC24" s="19">
        <f>'Grid_Stock'!T10</f>
        <v/>
      </c>
      <c r="AD24" s="19">
        <f>'Grid_Stock'!U10</f>
        <v/>
      </c>
      <c r="AE24" s="19">
        <f>'Grid_Stock'!V10</f>
        <v/>
      </c>
      <c r="AF24" s="19">
        <f>'Grid_Stock'!W10</f>
        <v/>
      </c>
      <c r="AG24" s="19">
        <f>'Grid_Stock'!X10</f>
        <v/>
      </c>
      <c r="AH24" s="19">
        <f>'Grid_Stock'!Y10</f>
        <v/>
      </c>
      <c r="AI24" s="19">
        <f>'Grid_Stock'!Z10</f>
        <v/>
      </c>
      <c r="AJ24" s="19">
        <f>'Grid_Stock'!AA10</f>
        <v/>
      </c>
      <c r="AK24" s="19">
        <f>'Grid_Stock'!AB10</f>
        <v/>
      </c>
      <c r="AL24" s="19">
        <f>'Grid_Stock'!AC10</f>
        <v/>
      </c>
      <c r="AM24" s="19">
        <f>'Grid_Stock'!AD10</f>
        <v/>
      </c>
      <c r="AN24" s="19">
        <f>'Grid_Stock'!AE10</f>
        <v/>
      </c>
      <c r="AO24" s="19">
        <f>'Grid_Stock'!AF10</f>
        <v/>
      </c>
      <c r="AP24" s="19">
        <f>'Grid_Stock'!AG10</f>
        <v/>
      </c>
      <c r="AQ24" s="19">
        <f>'Grid_Stock'!AH10</f>
        <v/>
      </c>
      <c r="AR24" s="19">
        <f>'Grid_Stock'!AI10</f>
        <v/>
      </c>
      <c r="AS24" s="19">
        <f>'Grid_Stock'!AJ10</f>
        <v/>
      </c>
      <c r="AT24" s="19">
        <f>'Grid_Stock'!AK10</f>
        <v/>
      </c>
      <c r="AU24" s="19">
        <f>'Grid_Stock'!AL10</f>
        <v/>
      </c>
      <c r="AV24" s="19">
        <f>'Grid_Stock'!AM10</f>
        <v/>
      </c>
      <c r="AW24" s="19">
        <f>'Grid_Stock'!AN10</f>
        <v/>
      </c>
      <c r="AX24" s="19">
        <f>'Grid_Stock'!AO10</f>
        <v/>
      </c>
      <c r="AY24" s="19">
        <f>'Grid_Stock'!AP10</f>
        <v/>
      </c>
      <c r="AZ24" s="19">
        <f>'Grid_Stock'!AQ10</f>
        <v/>
      </c>
      <c r="BA24" s="19">
        <f>'Grid_Stock'!AR10</f>
        <v/>
      </c>
      <c r="BB24" s="19">
        <f>'Grid_Stock'!AS10</f>
        <v/>
      </c>
      <c r="BC24" s="19">
        <f>'Grid_Stock'!AT10</f>
        <v/>
      </c>
      <c r="BD24" s="19">
        <f>'Grid_Stock'!AU10</f>
        <v/>
      </c>
      <c r="BE24" s="19">
        <f>'Grid_Stock'!AV10</f>
        <v/>
      </c>
      <c r="BF24" s="19">
        <f>'Grid_Stock'!AW10</f>
        <v/>
      </c>
      <c r="BG24" s="19">
        <f>'Grid_Stock'!AX10</f>
        <v/>
      </c>
      <c r="BH24" s="19">
        <f>'Grid_Stock'!AY10</f>
        <v/>
      </c>
      <c r="BI24" s="19">
        <f>'Grid_Stock'!AZ10</f>
        <v/>
      </c>
      <c r="BJ24" s="19">
        <f>'Grid_Stock'!BA10</f>
        <v/>
      </c>
      <c r="BK24" s="19">
        <f>'Grid_Stock'!BB10</f>
        <v/>
      </c>
      <c r="BL24" s="19">
        <f>'Grid_Stock'!BC10</f>
        <v/>
      </c>
      <c r="BM24" s="19">
        <f>'Grid_Stock'!BD10</f>
        <v/>
      </c>
      <c r="BN24" s="19">
        <f>'Grid_Stock'!BE10</f>
        <v/>
      </c>
      <c r="BO24" s="19">
        <f>'Grid_Stock'!BF10</f>
        <v/>
      </c>
      <c r="BP24" s="19">
        <f>'Grid_Stock'!BG10</f>
        <v/>
      </c>
      <c r="BQ24" s="19">
        <f>'Grid_Stock'!BH10</f>
        <v/>
      </c>
      <c r="BR24" s="19">
        <f>'Grid_Stock'!BI10</f>
        <v/>
      </c>
      <c r="BS24" s="19">
        <f>'Grid_Stock'!BJ10</f>
        <v/>
      </c>
      <c r="BT24" s="19">
        <f>'Grid_Stock'!BK10</f>
        <v/>
      </c>
      <c r="BU24" s="19">
        <f>'Grid_Stock'!BL10</f>
        <v/>
      </c>
      <c r="BV24" s="19">
        <f>'Grid_Stock'!BM10</f>
        <v/>
      </c>
      <c r="BW24" s="19">
        <f>'Grid_Stock'!BN10</f>
        <v/>
      </c>
      <c r="BX24" s="19">
        <f>'Grid_Stock'!BO10</f>
        <v/>
      </c>
      <c r="BY24" s="19">
        <f>'Grid_Stock'!BP10</f>
        <v/>
      </c>
      <c r="BZ24" s="19">
        <f>'Grid_Stock'!BQ10</f>
        <v/>
      </c>
      <c r="CA24" s="19">
        <f>'Grid_Stock'!BR10</f>
        <v/>
      </c>
      <c r="CB24" s="19">
        <f>'Grid_Stock'!BS10</f>
        <v/>
      </c>
      <c r="CC24" s="19">
        <f>'Grid_Stock'!BT10</f>
        <v/>
      </c>
      <c r="CD24" s="19">
        <f>'Grid_Stock'!BU10</f>
        <v/>
      </c>
      <c r="CE24" s="19">
        <f>'Grid_Stock'!BV10</f>
        <v/>
      </c>
      <c r="CF24" s="19">
        <f>'Grid_Stock'!BW10</f>
        <v/>
      </c>
      <c r="CG24" s="19">
        <f>'Grid_Stock'!BX10</f>
        <v/>
      </c>
      <c r="CH24" s="19">
        <f>'Grid_Stock'!BY10</f>
        <v/>
      </c>
      <c r="CI24" s="19">
        <f>'Grid_Stock'!BZ10</f>
        <v/>
      </c>
      <c r="CJ24" s="19">
        <f>'Grid_Stock'!CA10</f>
        <v/>
      </c>
      <c r="CK24" s="19">
        <f>'Grid_Stock'!CB10</f>
        <v/>
      </c>
      <c r="CL24" s="19">
        <f>'Grid_Stock'!CC10</f>
        <v/>
      </c>
      <c r="CM24" s="19">
        <f>'Grid_Stock'!CD10</f>
        <v/>
      </c>
      <c r="CN24" s="19">
        <f>'Grid_Stock'!CE10</f>
        <v/>
      </c>
      <c r="CO24" s="19">
        <f>'Grid_Stock'!CF10</f>
        <v/>
      </c>
      <c r="CP24" s="19">
        <f>'Grid_Stock'!CG10</f>
        <v/>
      </c>
      <c r="CQ24" s="19">
        <f>'Grid_Stock'!CH10</f>
        <v/>
      </c>
      <c r="CR24" s="19">
        <f>'Grid_Stock'!CI10</f>
        <v/>
      </c>
      <c r="CS24" s="19">
        <f>'Grid_Stock'!CJ10</f>
        <v/>
      </c>
      <c r="CT24" s="19">
        <f>'Grid_Stock'!CK10</f>
        <v/>
      </c>
      <c r="CU24" s="19">
        <f>'Grid_Stock'!CL10</f>
        <v/>
      </c>
      <c r="CV24" s="19">
        <f>'Grid_Stock'!CM10</f>
        <v/>
      </c>
      <c r="CW24" s="19">
        <f>'Grid_Stock'!CN10</f>
        <v/>
      </c>
      <c r="CX24" s="19">
        <f>'Grid_Stock'!CO10</f>
        <v/>
      </c>
      <c r="CY24" s="19">
        <f>'Grid_Stock'!CP10</f>
        <v/>
      </c>
      <c r="CZ24" s="19">
        <f>'Grid_Stock'!CQ10</f>
        <v/>
      </c>
      <c r="DA24" s="19">
        <f>'Grid_Stock'!CR10</f>
        <v/>
      </c>
      <c r="DB24" s="19">
        <f>'Grid_Stock'!CS10</f>
        <v/>
      </c>
      <c r="DC24" s="19">
        <f>'Grid_Stock'!CT10</f>
        <v/>
      </c>
      <c r="DD24" s="19">
        <f>'Grid_Stock'!CU10</f>
        <v/>
      </c>
      <c r="DE24" s="19">
        <f>'Grid_Stock'!CV10</f>
        <v/>
      </c>
      <c r="DF24" s="19">
        <f>'Grid_Stock'!CW10</f>
        <v/>
      </c>
      <c r="DG24" s="19">
        <f>'Grid_Stock'!CX10</f>
        <v/>
      </c>
      <c r="DH24" s="19">
        <f>'Grid_Stock'!CY10</f>
        <v/>
      </c>
      <c r="DI24" s="19">
        <f>'Grid_Stock'!CZ10</f>
        <v/>
      </c>
      <c r="DJ24" s="19">
        <f>'Grid_Stock'!DA10</f>
        <v/>
      </c>
    </row>
    <row r="25">
      <c r="A25" s="17" t="inlineStr">
        <is>
          <t>JEJ</t>
        </is>
      </c>
      <c r="B25" s="17">
        <f>IFERROR(INDEX(M_RawMaterials[Description],MATCH($A25,M_RawMaterials[Part Name],0)),"")</f>
        <v/>
      </c>
      <c r="C25" s="17">
        <f>IFERROR(INDEX(M_RawMaterials[Category],MATCH($A25,M_RawMaterials[Part Name],0)),"")</f>
        <v/>
      </c>
      <c r="D25" s="17">
        <f>IFERROR(INDEX(M_RawMaterials[基準在庫下限_要入力],MATCH($A25,M_RawMaterials[Part Name],0)),0)</f>
        <v/>
      </c>
      <c r="E25" s="17">
        <f>IFERROR(INDEX(M_RawMaterials[基準在庫上限_要入力],MATCH($A25,M_RawMaterials[Part Name],0)),0)</f>
        <v/>
      </c>
      <c r="F25" s="17">
        <f>IFERROR(LOOKUP(2,1/('T_SelfStock'!$B$15:$DA$15&lt;&gt;""),'T_SelfStock'!$B$15:$DA$15),"")</f>
        <v/>
      </c>
      <c r="G25" s="17">
        <f>IFERROR(LOOKUP(2,1/('T_TTAFStock'!$B$15:$DA$15&lt;&gt;""),'T_TTAFStock'!$B$15:$DA$15),"")</f>
        <v/>
      </c>
      <c r="H25" s="17">
        <f>IFERROR(LOOKUP(2,1/('T_SelfStock'!$B$15:$DA$15&lt;&gt;""),'T_SelfStock'!$B$5:$DA$5),"")</f>
        <v/>
      </c>
      <c r="I25" s="18" t="inlineStr">
        <is>
          <t>理論在庫</t>
        </is>
      </c>
      <c r="J25" s="17">
        <f>'Grid_Stock'!DA11-'Grid_TheoreticalStock'!DA11</f>
        <v/>
      </c>
      <c r="K25" s="18">
        <f>'Grid_TheoreticalStock'!B11</f>
        <v/>
      </c>
      <c r="L25" s="18">
        <f>'Grid_TheoreticalStock'!C11</f>
        <v/>
      </c>
      <c r="M25" s="18">
        <f>'Grid_TheoreticalStock'!D11</f>
        <v/>
      </c>
      <c r="N25" s="18">
        <f>'Grid_TheoreticalStock'!E11</f>
        <v/>
      </c>
      <c r="O25" s="18">
        <f>'Grid_TheoreticalStock'!F11</f>
        <v/>
      </c>
      <c r="P25" s="18">
        <f>'Grid_TheoreticalStock'!G11</f>
        <v/>
      </c>
      <c r="Q25" s="18">
        <f>'Grid_TheoreticalStock'!H11</f>
        <v/>
      </c>
      <c r="R25" s="18">
        <f>'Grid_TheoreticalStock'!I11</f>
        <v/>
      </c>
      <c r="S25" s="18">
        <f>'Grid_TheoreticalStock'!J11</f>
        <v/>
      </c>
      <c r="T25" s="18">
        <f>'Grid_TheoreticalStock'!K11</f>
        <v/>
      </c>
      <c r="U25" s="18">
        <f>'Grid_TheoreticalStock'!L11</f>
        <v/>
      </c>
      <c r="V25" s="18">
        <f>'Grid_TheoreticalStock'!M11</f>
        <v/>
      </c>
      <c r="W25" s="18">
        <f>'Grid_TheoreticalStock'!N11</f>
        <v/>
      </c>
      <c r="X25" s="18">
        <f>'Grid_TheoreticalStock'!O11</f>
        <v/>
      </c>
      <c r="Y25" s="18">
        <f>'Grid_TheoreticalStock'!P11</f>
        <v/>
      </c>
      <c r="Z25" s="18">
        <f>'Grid_TheoreticalStock'!Q11</f>
        <v/>
      </c>
      <c r="AA25" s="18">
        <f>'Grid_TheoreticalStock'!R11</f>
        <v/>
      </c>
      <c r="AB25" s="18">
        <f>'Grid_TheoreticalStock'!S11</f>
        <v/>
      </c>
      <c r="AC25" s="18">
        <f>'Grid_TheoreticalStock'!T11</f>
        <v/>
      </c>
      <c r="AD25" s="18">
        <f>'Grid_TheoreticalStock'!U11</f>
        <v/>
      </c>
      <c r="AE25" s="18">
        <f>'Grid_TheoreticalStock'!V11</f>
        <v/>
      </c>
      <c r="AF25" s="18">
        <f>'Grid_TheoreticalStock'!W11</f>
        <v/>
      </c>
      <c r="AG25" s="18">
        <f>'Grid_TheoreticalStock'!X11</f>
        <v/>
      </c>
      <c r="AH25" s="18">
        <f>'Grid_TheoreticalStock'!Y11</f>
        <v/>
      </c>
      <c r="AI25" s="18">
        <f>'Grid_TheoreticalStock'!Z11</f>
        <v/>
      </c>
      <c r="AJ25" s="18">
        <f>'Grid_TheoreticalStock'!AA11</f>
        <v/>
      </c>
      <c r="AK25" s="18">
        <f>'Grid_TheoreticalStock'!AB11</f>
        <v/>
      </c>
      <c r="AL25" s="18">
        <f>'Grid_TheoreticalStock'!AC11</f>
        <v/>
      </c>
      <c r="AM25" s="18">
        <f>'Grid_TheoreticalStock'!AD11</f>
        <v/>
      </c>
      <c r="AN25" s="18">
        <f>'Grid_TheoreticalStock'!AE11</f>
        <v/>
      </c>
      <c r="AO25" s="18">
        <f>'Grid_TheoreticalStock'!AF11</f>
        <v/>
      </c>
      <c r="AP25" s="18">
        <f>'Grid_TheoreticalStock'!AG11</f>
        <v/>
      </c>
      <c r="AQ25" s="18">
        <f>'Grid_TheoreticalStock'!AH11</f>
        <v/>
      </c>
      <c r="AR25" s="18">
        <f>'Grid_TheoreticalStock'!AI11</f>
        <v/>
      </c>
      <c r="AS25" s="18">
        <f>'Grid_TheoreticalStock'!AJ11</f>
        <v/>
      </c>
      <c r="AT25" s="18">
        <f>'Grid_TheoreticalStock'!AK11</f>
        <v/>
      </c>
      <c r="AU25" s="18">
        <f>'Grid_TheoreticalStock'!AL11</f>
        <v/>
      </c>
      <c r="AV25" s="18">
        <f>'Grid_TheoreticalStock'!AM11</f>
        <v/>
      </c>
      <c r="AW25" s="18">
        <f>'Grid_TheoreticalStock'!AN11</f>
        <v/>
      </c>
      <c r="AX25" s="18">
        <f>'Grid_TheoreticalStock'!AO11</f>
        <v/>
      </c>
      <c r="AY25" s="18">
        <f>'Grid_TheoreticalStock'!AP11</f>
        <v/>
      </c>
      <c r="AZ25" s="18">
        <f>'Grid_TheoreticalStock'!AQ11</f>
        <v/>
      </c>
      <c r="BA25" s="18">
        <f>'Grid_TheoreticalStock'!AR11</f>
        <v/>
      </c>
      <c r="BB25" s="18">
        <f>'Grid_TheoreticalStock'!AS11</f>
        <v/>
      </c>
      <c r="BC25" s="18">
        <f>'Grid_TheoreticalStock'!AT11</f>
        <v/>
      </c>
      <c r="BD25" s="18">
        <f>'Grid_TheoreticalStock'!AU11</f>
        <v/>
      </c>
      <c r="BE25" s="18">
        <f>'Grid_TheoreticalStock'!AV11</f>
        <v/>
      </c>
      <c r="BF25" s="18">
        <f>'Grid_TheoreticalStock'!AW11</f>
        <v/>
      </c>
      <c r="BG25" s="18">
        <f>'Grid_TheoreticalStock'!AX11</f>
        <v/>
      </c>
      <c r="BH25" s="18">
        <f>'Grid_TheoreticalStock'!AY11</f>
        <v/>
      </c>
      <c r="BI25" s="18">
        <f>'Grid_TheoreticalStock'!AZ11</f>
        <v/>
      </c>
      <c r="BJ25" s="18">
        <f>'Grid_TheoreticalStock'!BA11</f>
        <v/>
      </c>
      <c r="BK25" s="18">
        <f>'Grid_TheoreticalStock'!BB11</f>
        <v/>
      </c>
      <c r="BL25" s="18">
        <f>'Grid_TheoreticalStock'!BC11</f>
        <v/>
      </c>
      <c r="BM25" s="18">
        <f>'Grid_TheoreticalStock'!BD11</f>
        <v/>
      </c>
      <c r="BN25" s="18">
        <f>'Grid_TheoreticalStock'!BE11</f>
        <v/>
      </c>
      <c r="BO25" s="18">
        <f>'Grid_TheoreticalStock'!BF11</f>
        <v/>
      </c>
      <c r="BP25" s="18">
        <f>'Grid_TheoreticalStock'!BG11</f>
        <v/>
      </c>
      <c r="BQ25" s="18">
        <f>'Grid_TheoreticalStock'!BH11</f>
        <v/>
      </c>
      <c r="BR25" s="18">
        <f>'Grid_TheoreticalStock'!BI11</f>
        <v/>
      </c>
      <c r="BS25" s="18">
        <f>'Grid_TheoreticalStock'!BJ11</f>
        <v/>
      </c>
      <c r="BT25" s="18">
        <f>'Grid_TheoreticalStock'!BK11</f>
        <v/>
      </c>
      <c r="BU25" s="18">
        <f>'Grid_TheoreticalStock'!BL11</f>
        <v/>
      </c>
      <c r="BV25" s="18">
        <f>'Grid_TheoreticalStock'!BM11</f>
        <v/>
      </c>
      <c r="BW25" s="18">
        <f>'Grid_TheoreticalStock'!BN11</f>
        <v/>
      </c>
      <c r="BX25" s="18">
        <f>'Grid_TheoreticalStock'!BO11</f>
        <v/>
      </c>
      <c r="BY25" s="18">
        <f>'Grid_TheoreticalStock'!BP11</f>
        <v/>
      </c>
      <c r="BZ25" s="18">
        <f>'Grid_TheoreticalStock'!BQ11</f>
        <v/>
      </c>
      <c r="CA25" s="18">
        <f>'Grid_TheoreticalStock'!BR11</f>
        <v/>
      </c>
      <c r="CB25" s="18">
        <f>'Grid_TheoreticalStock'!BS11</f>
        <v/>
      </c>
      <c r="CC25" s="18">
        <f>'Grid_TheoreticalStock'!BT11</f>
        <v/>
      </c>
      <c r="CD25" s="18">
        <f>'Grid_TheoreticalStock'!BU11</f>
        <v/>
      </c>
      <c r="CE25" s="18">
        <f>'Grid_TheoreticalStock'!BV11</f>
        <v/>
      </c>
      <c r="CF25" s="18">
        <f>'Grid_TheoreticalStock'!BW11</f>
        <v/>
      </c>
      <c r="CG25" s="18">
        <f>'Grid_TheoreticalStock'!BX11</f>
        <v/>
      </c>
      <c r="CH25" s="18">
        <f>'Grid_TheoreticalStock'!BY11</f>
        <v/>
      </c>
      <c r="CI25" s="18">
        <f>'Grid_TheoreticalStock'!BZ11</f>
        <v/>
      </c>
      <c r="CJ25" s="18">
        <f>'Grid_TheoreticalStock'!CA11</f>
        <v/>
      </c>
      <c r="CK25" s="18">
        <f>'Grid_TheoreticalStock'!CB11</f>
        <v/>
      </c>
      <c r="CL25" s="18">
        <f>'Grid_TheoreticalStock'!CC11</f>
        <v/>
      </c>
      <c r="CM25" s="18">
        <f>'Grid_TheoreticalStock'!CD11</f>
        <v/>
      </c>
      <c r="CN25" s="18">
        <f>'Grid_TheoreticalStock'!CE11</f>
        <v/>
      </c>
      <c r="CO25" s="18">
        <f>'Grid_TheoreticalStock'!CF11</f>
        <v/>
      </c>
      <c r="CP25" s="18">
        <f>'Grid_TheoreticalStock'!CG11</f>
        <v/>
      </c>
      <c r="CQ25" s="18">
        <f>'Grid_TheoreticalStock'!CH11</f>
        <v/>
      </c>
      <c r="CR25" s="18">
        <f>'Grid_TheoreticalStock'!CI11</f>
        <v/>
      </c>
      <c r="CS25" s="18">
        <f>'Grid_TheoreticalStock'!CJ11</f>
        <v/>
      </c>
      <c r="CT25" s="18">
        <f>'Grid_TheoreticalStock'!CK11</f>
        <v/>
      </c>
      <c r="CU25" s="18">
        <f>'Grid_TheoreticalStock'!CL11</f>
        <v/>
      </c>
      <c r="CV25" s="18">
        <f>'Grid_TheoreticalStock'!CM11</f>
        <v/>
      </c>
      <c r="CW25" s="18">
        <f>'Grid_TheoreticalStock'!CN11</f>
        <v/>
      </c>
      <c r="CX25" s="18">
        <f>'Grid_TheoreticalStock'!CO11</f>
        <v/>
      </c>
      <c r="CY25" s="18">
        <f>'Grid_TheoreticalStock'!CP11</f>
        <v/>
      </c>
      <c r="CZ25" s="18">
        <f>'Grid_TheoreticalStock'!CQ11</f>
        <v/>
      </c>
      <c r="DA25" s="18">
        <f>'Grid_TheoreticalStock'!CR11</f>
        <v/>
      </c>
      <c r="DB25" s="18">
        <f>'Grid_TheoreticalStock'!CS11</f>
        <v/>
      </c>
      <c r="DC25" s="18">
        <f>'Grid_TheoreticalStock'!CT11</f>
        <v/>
      </c>
      <c r="DD25" s="18">
        <f>'Grid_TheoreticalStock'!CU11</f>
        <v/>
      </c>
      <c r="DE25" s="18">
        <f>'Grid_TheoreticalStock'!CV11</f>
        <v/>
      </c>
      <c r="DF25" s="18">
        <f>'Grid_TheoreticalStock'!CW11</f>
        <v/>
      </c>
      <c r="DG25" s="18">
        <f>'Grid_TheoreticalStock'!CX11</f>
        <v/>
      </c>
      <c r="DH25" s="18">
        <f>'Grid_TheoreticalStock'!CY11</f>
        <v/>
      </c>
      <c r="DI25" s="18">
        <f>'Grid_TheoreticalStock'!CZ11</f>
        <v/>
      </c>
      <c r="DJ25" s="18">
        <f>'Grid_TheoreticalStock'!DA11</f>
        <v/>
      </c>
    </row>
    <row r="26">
      <c r="A26" s="19" t="inlineStr">
        <is>
          <t>JEJ</t>
        </is>
      </c>
      <c r="B26" s="19">
        <f>IFERROR(INDEX(M_RawMaterials[Description],MATCH($A26,M_RawMaterials[Part Name],0)),"")</f>
        <v/>
      </c>
      <c r="C26" s="19">
        <f>IFERROR(INDEX(M_RawMaterials[Category],MATCH($A26,M_RawMaterials[Part Name],0)),"")</f>
        <v/>
      </c>
      <c r="D26" s="19">
        <f>IFERROR(INDEX(M_RawMaterials[基準在庫下限_要入力],MATCH($A26,M_RawMaterials[Part Name],0)),0)</f>
        <v/>
      </c>
      <c r="E26" s="19">
        <f>IFERROR(INDEX(M_RawMaterials[基準在庫上限_要入力],MATCH($A26,M_RawMaterials[Part Name],0)),0)</f>
        <v/>
      </c>
      <c r="F26" s="19">
        <f>IFERROR(LOOKUP(2,1/('T_SelfStock'!$B$15:$DA$15&lt;&gt;""),'T_SelfStock'!$B$15:$DA$15),"")</f>
        <v/>
      </c>
      <c r="G26" s="19">
        <f>IFERROR(LOOKUP(2,1/('T_TTAFStock'!$B$15:$DA$15&lt;&gt;""),'T_TTAFStock'!$B$15:$DA$15),"")</f>
        <v/>
      </c>
      <c r="H26" s="19">
        <f>IFERROR(LOOKUP(2,1/('T_SelfStock'!$B$15:$DA$15&lt;&gt;""),'T_SelfStock'!$B$5:$DA$5),"")</f>
        <v/>
      </c>
      <c r="I26" s="20" t="inlineStr">
        <is>
          <t>実在庫</t>
        </is>
      </c>
      <c r="J26" s="19">
        <f>'Grid_Stock'!DA11-'Grid_TheoreticalStock'!DA11</f>
        <v/>
      </c>
      <c r="K26" s="19">
        <f>'Grid_Stock'!B11</f>
        <v/>
      </c>
      <c r="L26" s="19">
        <f>'Grid_Stock'!C11</f>
        <v/>
      </c>
      <c r="M26" s="19">
        <f>'Grid_Stock'!D11</f>
        <v/>
      </c>
      <c r="N26" s="19">
        <f>'Grid_Stock'!E11</f>
        <v/>
      </c>
      <c r="O26" s="19">
        <f>'Grid_Stock'!F11</f>
        <v/>
      </c>
      <c r="P26" s="19">
        <f>'Grid_Stock'!G11</f>
        <v/>
      </c>
      <c r="Q26" s="19">
        <f>'Grid_Stock'!H11</f>
        <v/>
      </c>
      <c r="R26" s="19">
        <f>'Grid_Stock'!I11</f>
        <v/>
      </c>
      <c r="S26" s="19">
        <f>'Grid_Stock'!J11</f>
        <v/>
      </c>
      <c r="T26" s="19">
        <f>'Grid_Stock'!K11</f>
        <v/>
      </c>
      <c r="U26" s="19">
        <f>'Grid_Stock'!L11</f>
        <v/>
      </c>
      <c r="V26" s="19">
        <f>'Grid_Stock'!M11</f>
        <v/>
      </c>
      <c r="W26" s="19">
        <f>'Grid_Stock'!N11</f>
        <v/>
      </c>
      <c r="X26" s="19">
        <f>'Grid_Stock'!O11</f>
        <v/>
      </c>
      <c r="Y26" s="19">
        <f>'Grid_Stock'!P11</f>
        <v/>
      </c>
      <c r="Z26" s="19">
        <f>'Grid_Stock'!Q11</f>
        <v/>
      </c>
      <c r="AA26" s="19">
        <f>'Grid_Stock'!R11</f>
        <v/>
      </c>
      <c r="AB26" s="19">
        <f>'Grid_Stock'!S11</f>
        <v/>
      </c>
      <c r="AC26" s="19">
        <f>'Grid_Stock'!T11</f>
        <v/>
      </c>
      <c r="AD26" s="19">
        <f>'Grid_Stock'!U11</f>
        <v/>
      </c>
      <c r="AE26" s="19">
        <f>'Grid_Stock'!V11</f>
        <v/>
      </c>
      <c r="AF26" s="19">
        <f>'Grid_Stock'!W11</f>
        <v/>
      </c>
      <c r="AG26" s="19">
        <f>'Grid_Stock'!X11</f>
        <v/>
      </c>
      <c r="AH26" s="19">
        <f>'Grid_Stock'!Y11</f>
        <v/>
      </c>
      <c r="AI26" s="19">
        <f>'Grid_Stock'!Z11</f>
        <v/>
      </c>
      <c r="AJ26" s="19">
        <f>'Grid_Stock'!AA11</f>
        <v/>
      </c>
      <c r="AK26" s="19">
        <f>'Grid_Stock'!AB11</f>
        <v/>
      </c>
      <c r="AL26" s="19">
        <f>'Grid_Stock'!AC11</f>
        <v/>
      </c>
      <c r="AM26" s="19">
        <f>'Grid_Stock'!AD11</f>
        <v/>
      </c>
      <c r="AN26" s="19">
        <f>'Grid_Stock'!AE11</f>
        <v/>
      </c>
      <c r="AO26" s="19">
        <f>'Grid_Stock'!AF11</f>
        <v/>
      </c>
      <c r="AP26" s="19">
        <f>'Grid_Stock'!AG11</f>
        <v/>
      </c>
      <c r="AQ26" s="19">
        <f>'Grid_Stock'!AH11</f>
        <v/>
      </c>
      <c r="AR26" s="19">
        <f>'Grid_Stock'!AI11</f>
        <v/>
      </c>
      <c r="AS26" s="19">
        <f>'Grid_Stock'!AJ11</f>
        <v/>
      </c>
      <c r="AT26" s="19">
        <f>'Grid_Stock'!AK11</f>
        <v/>
      </c>
      <c r="AU26" s="19">
        <f>'Grid_Stock'!AL11</f>
        <v/>
      </c>
      <c r="AV26" s="19">
        <f>'Grid_Stock'!AM11</f>
        <v/>
      </c>
      <c r="AW26" s="19">
        <f>'Grid_Stock'!AN11</f>
        <v/>
      </c>
      <c r="AX26" s="19">
        <f>'Grid_Stock'!AO11</f>
        <v/>
      </c>
      <c r="AY26" s="19">
        <f>'Grid_Stock'!AP11</f>
        <v/>
      </c>
      <c r="AZ26" s="19">
        <f>'Grid_Stock'!AQ11</f>
        <v/>
      </c>
      <c r="BA26" s="19">
        <f>'Grid_Stock'!AR11</f>
        <v/>
      </c>
      <c r="BB26" s="19">
        <f>'Grid_Stock'!AS11</f>
        <v/>
      </c>
      <c r="BC26" s="19">
        <f>'Grid_Stock'!AT11</f>
        <v/>
      </c>
      <c r="BD26" s="19">
        <f>'Grid_Stock'!AU11</f>
        <v/>
      </c>
      <c r="BE26" s="19">
        <f>'Grid_Stock'!AV11</f>
        <v/>
      </c>
      <c r="BF26" s="19">
        <f>'Grid_Stock'!AW11</f>
        <v/>
      </c>
      <c r="BG26" s="19">
        <f>'Grid_Stock'!AX11</f>
        <v/>
      </c>
      <c r="BH26" s="19">
        <f>'Grid_Stock'!AY11</f>
        <v/>
      </c>
      <c r="BI26" s="19">
        <f>'Grid_Stock'!AZ11</f>
        <v/>
      </c>
      <c r="BJ26" s="19">
        <f>'Grid_Stock'!BA11</f>
        <v/>
      </c>
      <c r="BK26" s="19">
        <f>'Grid_Stock'!BB11</f>
        <v/>
      </c>
      <c r="BL26" s="19">
        <f>'Grid_Stock'!BC11</f>
        <v/>
      </c>
      <c r="BM26" s="19">
        <f>'Grid_Stock'!BD11</f>
        <v/>
      </c>
      <c r="BN26" s="19">
        <f>'Grid_Stock'!BE11</f>
        <v/>
      </c>
      <c r="BO26" s="19">
        <f>'Grid_Stock'!BF11</f>
        <v/>
      </c>
      <c r="BP26" s="19">
        <f>'Grid_Stock'!BG11</f>
        <v/>
      </c>
      <c r="BQ26" s="19">
        <f>'Grid_Stock'!BH11</f>
        <v/>
      </c>
      <c r="BR26" s="19">
        <f>'Grid_Stock'!BI11</f>
        <v/>
      </c>
      <c r="BS26" s="19">
        <f>'Grid_Stock'!BJ11</f>
        <v/>
      </c>
      <c r="BT26" s="19">
        <f>'Grid_Stock'!BK11</f>
        <v/>
      </c>
      <c r="BU26" s="19">
        <f>'Grid_Stock'!BL11</f>
        <v/>
      </c>
      <c r="BV26" s="19">
        <f>'Grid_Stock'!BM11</f>
        <v/>
      </c>
      <c r="BW26" s="19">
        <f>'Grid_Stock'!BN11</f>
        <v/>
      </c>
      <c r="BX26" s="19">
        <f>'Grid_Stock'!BO11</f>
        <v/>
      </c>
      <c r="BY26" s="19">
        <f>'Grid_Stock'!BP11</f>
        <v/>
      </c>
      <c r="BZ26" s="19">
        <f>'Grid_Stock'!BQ11</f>
        <v/>
      </c>
      <c r="CA26" s="19">
        <f>'Grid_Stock'!BR11</f>
        <v/>
      </c>
      <c r="CB26" s="19">
        <f>'Grid_Stock'!BS11</f>
        <v/>
      </c>
      <c r="CC26" s="19">
        <f>'Grid_Stock'!BT11</f>
        <v/>
      </c>
      <c r="CD26" s="19">
        <f>'Grid_Stock'!BU11</f>
        <v/>
      </c>
      <c r="CE26" s="19">
        <f>'Grid_Stock'!BV11</f>
        <v/>
      </c>
      <c r="CF26" s="19">
        <f>'Grid_Stock'!BW11</f>
        <v/>
      </c>
      <c r="CG26" s="19">
        <f>'Grid_Stock'!BX11</f>
        <v/>
      </c>
      <c r="CH26" s="19">
        <f>'Grid_Stock'!BY11</f>
        <v/>
      </c>
      <c r="CI26" s="19">
        <f>'Grid_Stock'!BZ11</f>
        <v/>
      </c>
      <c r="CJ26" s="19">
        <f>'Grid_Stock'!CA11</f>
        <v/>
      </c>
      <c r="CK26" s="19">
        <f>'Grid_Stock'!CB11</f>
        <v/>
      </c>
      <c r="CL26" s="19">
        <f>'Grid_Stock'!CC11</f>
        <v/>
      </c>
      <c r="CM26" s="19">
        <f>'Grid_Stock'!CD11</f>
        <v/>
      </c>
      <c r="CN26" s="19">
        <f>'Grid_Stock'!CE11</f>
        <v/>
      </c>
      <c r="CO26" s="19">
        <f>'Grid_Stock'!CF11</f>
        <v/>
      </c>
      <c r="CP26" s="19">
        <f>'Grid_Stock'!CG11</f>
        <v/>
      </c>
      <c r="CQ26" s="19">
        <f>'Grid_Stock'!CH11</f>
        <v/>
      </c>
      <c r="CR26" s="19">
        <f>'Grid_Stock'!CI11</f>
        <v/>
      </c>
      <c r="CS26" s="19">
        <f>'Grid_Stock'!CJ11</f>
        <v/>
      </c>
      <c r="CT26" s="19">
        <f>'Grid_Stock'!CK11</f>
        <v/>
      </c>
      <c r="CU26" s="19">
        <f>'Grid_Stock'!CL11</f>
        <v/>
      </c>
      <c r="CV26" s="19">
        <f>'Grid_Stock'!CM11</f>
        <v/>
      </c>
      <c r="CW26" s="19">
        <f>'Grid_Stock'!CN11</f>
        <v/>
      </c>
      <c r="CX26" s="19">
        <f>'Grid_Stock'!CO11</f>
        <v/>
      </c>
      <c r="CY26" s="19">
        <f>'Grid_Stock'!CP11</f>
        <v/>
      </c>
      <c r="CZ26" s="19">
        <f>'Grid_Stock'!CQ11</f>
        <v/>
      </c>
      <c r="DA26" s="19">
        <f>'Grid_Stock'!CR11</f>
        <v/>
      </c>
      <c r="DB26" s="19">
        <f>'Grid_Stock'!CS11</f>
        <v/>
      </c>
      <c r="DC26" s="19">
        <f>'Grid_Stock'!CT11</f>
        <v/>
      </c>
      <c r="DD26" s="19">
        <f>'Grid_Stock'!CU11</f>
        <v/>
      </c>
      <c r="DE26" s="19">
        <f>'Grid_Stock'!CV11</f>
        <v/>
      </c>
      <c r="DF26" s="19">
        <f>'Grid_Stock'!CW11</f>
        <v/>
      </c>
      <c r="DG26" s="19">
        <f>'Grid_Stock'!CX11</f>
        <v/>
      </c>
      <c r="DH26" s="19">
        <f>'Grid_Stock'!CY11</f>
        <v/>
      </c>
      <c r="DI26" s="19">
        <f>'Grid_Stock'!CZ11</f>
        <v/>
      </c>
      <c r="DJ26" s="19">
        <f>'Grid_Stock'!DA11</f>
        <v/>
      </c>
    </row>
    <row r="27">
      <c r="A27" s="17" t="inlineStr">
        <is>
          <t>YAN</t>
        </is>
      </c>
      <c r="B27" s="17">
        <f>IFERROR(INDEX(M_RawMaterials[Description],MATCH($A27,M_RawMaterials[Part Name],0)),"")</f>
        <v/>
      </c>
      <c r="C27" s="17">
        <f>IFERROR(INDEX(M_RawMaterials[Category],MATCH($A27,M_RawMaterials[Part Name],0)),"")</f>
        <v/>
      </c>
      <c r="D27" s="17">
        <f>IFERROR(INDEX(M_RawMaterials[基準在庫下限_要入力],MATCH($A27,M_RawMaterials[Part Name],0)),0)</f>
        <v/>
      </c>
      <c r="E27" s="17">
        <f>IFERROR(INDEX(M_RawMaterials[基準在庫上限_要入力],MATCH($A27,M_RawMaterials[Part Name],0)),0)</f>
        <v/>
      </c>
      <c r="F27" s="17">
        <f>IFERROR(LOOKUP(2,1/('T_SelfStock'!$B$16:$DA$16&lt;&gt;""),'T_SelfStock'!$B$16:$DA$16),"")</f>
        <v/>
      </c>
      <c r="G27" s="17">
        <f>IFERROR(LOOKUP(2,1/('T_TTAFStock'!$B$16:$DA$16&lt;&gt;""),'T_TTAFStock'!$B$16:$DA$16),"")</f>
        <v/>
      </c>
      <c r="H27" s="17">
        <f>IFERROR(LOOKUP(2,1/('T_SelfStock'!$B$16:$DA$16&lt;&gt;""),'T_SelfStock'!$B$5:$DA$5),"")</f>
        <v/>
      </c>
      <c r="I27" s="18" t="inlineStr">
        <is>
          <t>理論在庫</t>
        </is>
      </c>
      <c r="J27" s="17">
        <f>'Grid_Stock'!DA12-'Grid_TheoreticalStock'!DA12</f>
        <v/>
      </c>
      <c r="K27" s="18">
        <f>'Grid_TheoreticalStock'!B12</f>
        <v/>
      </c>
      <c r="L27" s="18">
        <f>'Grid_TheoreticalStock'!C12</f>
        <v/>
      </c>
      <c r="M27" s="18">
        <f>'Grid_TheoreticalStock'!D12</f>
        <v/>
      </c>
      <c r="N27" s="18">
        <f>'Grid_TheoreticalStock'!E12</f>
        <v/>
      </c>
      <c r="O27" s="18">
        <f>'Grid_TheoreticalStock'!F12</f>
        <v/>
      </c>
      <c r="P27" s="18">
        <f>'Grid_TheoreticalStock'!G12</f>
        <v/>
      </c>
      <c r="Q27" s="18">
        <f>'Grid_TheoreticalStock'!H12</f>
        <v/>
      </c>
      <c r="R27" s="18">
        <f>'Grid_TheoreticalStock'!I12</f>
        <v/>
      </c>
      <c r="S27" s="18">
        <f>'Grid_TheoreticalStock'!J12</f>
        <v/>
      </c>
      <c r="T27" s="18">
        <f>'Grid_TheoreticalStock'!K12</f>
        <v/>
      </c>
      <c r="U27" s="18">
        <f>'Grid_TheoreticalStock'!L12</f>
        <v/>
      </c>
      <c r="V27" s="18">
        <f>'Grid_TheoreticalStock'!M12</f>
        <v/>
      </c>
      <c r="W27" s="18">
        <f>'Grid_TheoreticalStock'!N12</f>
        <v/>
      </c>
      <c r="X27" s="18">
        <f>'Grid_TheoreticalStock'!O12</f>
        <v/>
      </c>
      <c r="Y27" s="18">
        <f>'Grid_TheoreticalStock'!P12</f>
        <v/>
      </c>
      <c r="Z27" s="18">
        <f>'Grid_TheoreticalStock'!Q12</f>
        <v/>
      </c>
      <c r="AA27" s="18">
        <f>'Grid_TheoreticalStock'!R12</f>
        <v/>
      </c>
      <c r="AB27" s="18">
        <f>'Grid_TheoreticalStock'!S12</f>
        <v/>
      </c>
      <c r="AC27" s="18">
        <f>'Grid_TheoreticalStock'!T12</f>
        <v/>
      </c>
      <c r="AD27" s="18">
        <f>'Grid_TheoreticalStock'!U12</f>
        <v/>
      </c>
      <c r="AE27" s="18">
        <f>'Grid_TheoreticalStock'!V12</f>
        <v/>
      </c>
      <c r="AF27" s="18">
        <f>'Grid_TheoreticalStock'!W12</f>
        <v/>
      </c>
      <c r="AG27" s="18">
        <f>'Grid_TheoreticalStock'!X12</f>
        <v/>
      </c>
      <c r="AH27" s="18">
        <f>'Grid_TheoreticalStock'!Y12</f>
        <v/>
      </c>
      <c r="AI27" s="18">
        <f>'Grid_TheoreticalStock'!Z12</f>
        <v/>
      </c>
      <c r="AJ27" s="18">
        <f>'Grid_TheoreticalStock'!AA12</f>
        <v/>
      </c>
      <c r="AK27" s="18">
        <f>'Grid_TheoreticalStock'!AB12</f>
        <v/>
      </c>
      <c r="AL27" s="18">
        <f>'Grid_TheoreticalStock'!AC12</f>
        <v/>
      </c>
      <c r="AM27" s="18">
        <f>'Grid_TheoreticalStock'!AD12</f>
        <v/>
      </c>
      <c r="AN27" s="18">
        <f>'Grid_TheoreticalStock'!AE12</f>
        <v/>
      </c>
      <c r="AO27" s="18">
        <f>'Grid_TheoreticalStock'!AF12</f>
        <v/>
      </c>
      <c r="AP27" s="18">
        <f>'Grid_TheoreticalStock'!AG12</f>
        <v/>
      </c>
      <c r="AQ27" s="18">
        <f>'Grid_TheoreticalStock'!AH12</f>
        <v/>
      </c>
      <c r="AR27" s="18">
        <f>'Grid_TheoreticalStock'!AI12</f>
        <v/>
      </c>
      <c r="AS27" s="18">
        <f>'Grid_TheoreticalStock'!AJ12</f>
        <v/>
      </c>
      <c r="AT27" s="18">
        <f>'Grid_TheoreticalStock'!AK12</f>
        <v/>
      </c>
      <c r="AU27" s="18">
        <f>'Grid_TheoreticalStock'!AL12</f>
        <v/>
      </c>
      <c r="AV27" s="18">
        <f>'Grid_TheoreticalStock'!AM12</f>
        <v/>
      </c>
      <c r="AW27" s="18">
        <f>'Grid_TheoreticalStock'!AN12</f>
        <v/>
      </c>
      <c r="AX27" s="18">
        <f>'Grid_TheoreticalStock'!AO12</f>
        <v/>
      </c>
      <c r="AY27" s="18">
        <f>'Grid_TheoreticalStock'!AP12</f>
        <v/>
      </c>
      <c r="AZ27" s="18">
        <f>'Grid_TheoreticalStock'!AQ12</f>
        <v/>
      </c>
      <c r="BA27" s="18">
        <f>'Grid_TheoreticalStock'!AR12</f>
        <v/>
      </c>
      <c r="BB27" s="18">
        <f>'Grid_TheoreticalStock'!AS12</f>
        <v/>
      </c>
      <c r="BC27" s="18">
        <f>'Grid_TheoreticalStock'!AT12</f>
        <v/>
      </c>
      <c r="BD27" s="18">
        <f>'Grid_TheoreticalStock'!AU12</f>
        <v/>
      </c>
      <c r="BE27" s="18">
        <f>'Grid_TheoreticalStock'!AV12</f>
        <v/>
      </c>
      <c r="BF27" s="18">
        <f>'Grid_TheoreticalStock'!AW12</f>
        <v/>
      </c>
      <c r="BG27" s="18">
        <f>'Grid_TheoreticalStock'!AX12</f>
        <v/>
      </c>
      <c r="BH27" s="18">
        <f>'Grid_TheoreticalStock'!AY12</f>
        <v/>
      </c>
      <c r="BI27" s="18">
        <f>'Grid_TheoreticalStock'!AZ12</f>
        <v/>
      </c>
      <c r="BJ27" s="18">
        <f>'Grid_TheoreticalStock'!BA12</f>
        <v/>
      </c>
      <c r="BK27" s="18">
        <f>'Grid_TheoreticalStock'!BB12</f>
        <v/>
      </c>
      <c r="BL27" s="18">
        <f>'Grid_TheoreticalStock'!BC12</f>
        <v/>
      </c>
      <c r="BM27" s="18">
        <f>'Grid_TheoreticalStock'!BD12</f>
        <v/>
      </c>
      <c r="BN27" s="18">
        <f>'Grid_TheoreticalStock'!BE12</f>
        <v/>
      </c>
      <c r="BO27" s="18">
        <f>'Grid_TheoreticalStock'!BF12</f>
        <v/>
      </c>
      <c r="BP27" s="18">
        <f>'Grid_TheoreticalStock'!BG12</f>
        <v/>
      </c>
      <c r="BQ27" s="18">
        <f>'Grid_TheoreticalStock'!BH12</f>
        <v/>
      </c>
      <c r="BR27" s="18">
        <f>'Grid_TheoreticalStock'!BI12</f>
        <v/>
      </c>
      <c r="BS27" s="18">
        <f>'Grid_TheoreticalStock'!BJ12</f>
        <v/>
      </c>
      <c r="BT27" s="18">
        <f>'Grid_TheoreticalStock'!BK12</f>
        <v/>
      </c>
      <c r="BU27" s="18">
        <f>'Grid_TheoreticalStock'!BL12</f>
        <v/>
      </c>
      <c r="BV27" s="18">
        <f>'Grid_TheoreticalStock'!BM12</f>
        <v/>
      </c>
      <c r="BW27" s="18">
        <f>'Grid_TheoreticalStock'!BN12</f>
        <v/>
      </c>
      <c r="BX27" s="18">
        <f>'Grid_TheoreticalStock'!BO12</f>
        <v/>
      </c>
      <c r="BY27" s="18">
        <f>'Grid_TheoreticalStock'!BP12</f>
        <v/>
      </c>
      <c r="BZ27" s="18">
        <f>'Grid_TheoreticalStock'!BQ12</f>
        <v/>
      </c>
      <c r="CA27" s="18">
        <f>'Grid_TheoreticalStock'!BR12</f>
        <v/>
      </c>
      <c r="CB27" s="18">
        <f>'Grid_TheoreticalStock'!BS12</f>
        <v/>
      </c>
      <c r="CC27" s="18">
        <f>'Grid_TheoreticalStock'!BT12</f>
        <v/>
      </c>
      <c r="CD27" s="18">
        <f>'Grid_TheoreticalStock'!BU12</f>
        <v/>
      </c>
      <c r="CE27" s="18">
        <f>'Grid_TheoreticalStock'!BV12</f>
        <v/>
      </c>
      <c r="CF27" s="18">
        <f>'Grid_TheoreticalStock'!BW12</f>
        <v/>
      </c>
      <c r="CG27" s="18">
        <f>'Grid_TheoreticalStock'!BX12</f>
        <v/>
      </c>
      <c r="CH27" s="18">
        <f>'Grid_TheoreticalStock'!BY12</f>
        <v/>
      </c>
      <c r="CI27" s="18">
        <f>'Grid_TheoreticalStock'!BZ12</f>
        <v/>
      </c>
      <c r="CJ27" s="18">
        <f>'Grid_TheoreticalStock'!CA12</f>
        <v/>
      </c>
      <c r="CK27" s="18">
        <f>'Grid_TheoreticalStock'!CB12</f>
        <v/>
      </c>
      <c r="CL27" s="18">
        <f>'Grid_TheoreticalStock'!CC12</f>
        <v/>
      </c>
      <c r="CM27" s="18">
        <f>'Grid_TheoreticalStock'!CD12</f>
        <v/>
      </c>
      <c r="CN27" s="18">
        <f>'Grid_TheoreticalStock'!CE12</f>
        <v/>
      </c>
      <c r="CO27" s="18">
        <f>'Grid_TheoreticalStock'!CF12</f>
        <v/>
      </c>
      <c r="CP27" s="18">
        <f>'Grid_TheoreticalStock'!CG12</f>
        <v/>
      </c>
      <c r="CQ27" s="18">
        <f>'Grid_TheoreticalStock'!CH12</f>
        <v/>
      </c>
      <c r="CR27" s="18">
        <f>'Grid_TheoreticalStock'!CI12</f>
        <v/>
      </c>
      <c r="CS27" s="18">
        <f>'Grid_TheoreticalStock'!CJ12</f>
        <v/>
      </c>
      <c r="CT27" s="18">
        <f>'Grid_TheoreticalStock'!CK12</f>
        <v/>
      </c>
      <c r="CU27" s="18">
        <f>'Grid_TheoreticalStock'!CL12</f>
        <v/>
      </c>
      <c r="CV27" s="18">
        <f>'Grid_TheoreticalStock'!CM12</f>
        <v/>
      </c>
      <c r="CW27" s="18">
        <f>'Grid_TheoreticalStock'!CN12</f>
        <v/>
      </c>
      <c r="CX27" s="18">
        <f>'Grid_TheoreticalStock'!CO12</f>
        <v/>
      </c>
      <c r="CY27" s="18">
        <f>'Grid_TheoreticalStock'!CP12</f>
        <v/>
      </c>
      <c r="CZ27" s="18">
        <f>'Grid_TheoreticalStock'!CQ12</f>
        <v/>
      </c>
      <c r="DA27" s="18">
        <f>'Grid_TheoreticalStock'!CR12</f>
        <v/>
      </c>
      <c r="DB27" s="18">
        <f>'Grid_TheoreticalStock'!CS12</f>
        <v/>
      </c>
      <c r="DC27" s="18">
        <f>'Grid_TheoreticalStock'!CT12</f>
        <v/>
      </c>
      <c r="DD27" s="18">
        <f>'Grid_TheoreticalStock'!CU12</f>
        <v/>
      </c>
      <c r="DE27" s="18">
        <f>'Grid_TheoreticalStock'!CV12</f>
        <v/>
      </c>
      <c r="DF27" s="18">
        <f>'Grid_TheoreticalStock'!CW12</f>
        <v/>
      </c>
      <c r="DG27" s="18">
        <f>'Grid_TheoreticalStock'!CX12</f>
        <v/>
      </c>
      <c r="DH27" s="18">
        <f>'Grid_TheoreticalStock'!CY12</f>
        <v/>
      </c>
      <c r="DI27" s="18">
        <f>'Grid_TheoreticalStock'!CZ12</f>
        <v/>
      </c>
      <c r="DJ27" s="18">
        <f>'Grid_TheoreticalStock'!DA12</f>
        <v/>
      </c>
    </row>
    <row r="28">
      <c r="A28" s="19" t="inlineStr">
        <is>
          <t>YAN</t>
        </is>
      </c>
      <c r="B28" s="19">
        <f>IFERROR(INDEX(M_RawMaterials[Description],MATCH($A28,M_RawMaterials[Part Name],0)),"")</f>
        <v/>
      </c>
      <c r="C28" s="19">
        <f>IFERROR(INDEX(M_RawMaterials[Category],MATCH($A28,M_RawMaterials[Part Name],0)),"")</f>
        <v/>
      </c>
      <c r="D28" s="19">
        <f>IFERROR(INDEX(M_RawMaterials[基準在庫下限_要入力],MATCH($A28,M_RawMaterials[Part Name],0)),0)</f>
        <v/>
      </c>
      <c r="E28" s="19">
        <f>IFERROR(INDEX(M_RawMaterials[基準在庫上限_要入力],MATCH($A28,M_RawMaterials[Part Name],0)),0)</f>
        <v/>
      </c>
      <c r="F28" s="19">
        <f>IFERROR(LOOKUP(2,1/('T_SelfStock'!$B$16:$DA$16&lt;&gt;""),'T_SelfStock'!$B$16:$DA$16),"")</f>
        <v/>
      </c>
      <c r="G28" s="19">
        <f>IFERROR(LOOKUP(2,1/('T_TTAFStock'!$B$16:$DA$16&lt;&gt;""),'T_TTAFStock'!$B$16:$DA$16),"")</f>
        <v/>
      </c>
      <c r="H28" s="19">
        <f>IFERROR(LOOKUP(2,1/('T_SelfStock'!$B$16:$DA$16&lt;&gt;""),'T_SelfStock'!$B$5:$DA$5),"")</f>
        <v/>
      </c>
      <c r="I28" s="20" t="inlineStr">
        <is>
          <t>実在庫</t>
        </is>
      </c>
      <c r="J28" s="19">
        <f>'Grid_Stock'!DA12-'Grid_TheoreticalStock'!DA12</f>
        <v/>
      </c>
      <c r="K28" s="19">
        <f>'Grid_Stock'!B12</f>
        <v/>
      </c>
      <c r="L28" s="19">
        <f>'Grid_Stock'!C12</f>
        <v/>
      </c>
      <c r="M28" s="19">
        <f>'Grid_Stock'!D12</f>
        <v/>
      </c>
      <c r="N28" s="19">
        <f>'Grid_Stock'!E12</f>
        <v/>
      </c>
      <c r="O28" s="19">
        <f>'Grid_Stock'!F12</f>
        <v/>
      </c>
      <c r="P28" s="19">
        <f>'Grid_Stock'!G12</f>
        <v/>
      </c>
      <c r="Q28" s="19">
        <f>'Grid_Stock'!H12</f>
        <v/>
      </c>
      <c r="R28" s="19">
        <f>'Grid_Stock'!I12</f>
        <v/>
      </c>
      <c r="S28" s="19">
        <f>'Grid_Stock'!J12</f>
        <v/>
      </c>
      <c r="T28" s="19">
        <f>'Grid_Stock'!K12</f>
        <v/>
      </c>
      <c r="U28" s="19">
        <f>'Grid_Stock'!L12</f>
        <v/>
      </c>
      <c r="V28" s="19">
        <f>'Grid_Stock'!M12</f>
        <v/>
      </c>
      <c r="W28" s="19">
        <f>'Grid_Stock'!N12</f>
        <v/>
      </c>
      <c r="X28" s="19">
        <f>'Grid_Stock'!O12</f>
        <v/>
      </c>
      <c r="Y28" s="19">
        <f>'Grid_Stock'!P12</f>
        <v/>
      </c>
      <c r="Z28" s="19">
        <f>'Grid_Stock'!Q12</f>
        <v/>
      </c>
      <c r="AA28" s="19">
        <f>'Grid_Stock'!R12</f>
        <v/>
      </c>
      <c r="AB28" s="19">
        <f>'Grid_Stock'!S12</f>
        <v/>
      </c>
      <c r="AC28" s="19">
        <f>'Grid_Stock'!T12</f>
        <v/>
      </c>
      <c r="AD28" s="19">
        <f>'Grid_Stock'!U12</f>
        <v/>
      </c>
      <c r="AE28" s="19">
        <f>'Grid_Stock'!V12</f>
        <v/>
      </c>
      <c r="AF28" s="19">
        <f>'Grid_Stock'!W12</f>
        <v/>
      </c>
      <c r="AG28" s="19">
        <f>'Grid_Stock'!X12</f>
        <v/>
      </c>
      <c r="AH28" s="19">
        <f>'Grid_Stock'!Y12</f>
        <v/>
      </c>
      <c r="AI28" s="19">
        <f>'Grid_Stock'!Z12</f>
        <v/>
      </c>
      <c r="AJ28" s="19">
        <f>'Grid_Stock'!AA12</f>
        <v/>
      </c>
      <c r="AK28" s="19">
        <f>'Grid_Stock'!AB12</f>
        <v/>
      </c>
      <c r="AL28" s="19">
        <f>'Grid_Stock'!AC12</f>
        <v/>
      </c>
      <c r="AM28" s="19">
        <f>'Grid_Stock'!AD12</f>
        <v/>
      </c>
      <c r="AN28" s="19">
        <f>'Grid_Stock'!AE12</f>
        <v/>
      </c>
      <c r="AO28" s="19">
        <f>'Grid_Stock'!AF12</f>
        <v/>
      </c>
      <c r="AP28" s="19">
        <f>'Grid_Stock'!AG12</f>
        <v/>
      </c>
      <c r="AQ28" s="19">
        <f>'Grid_Stock'!AH12</f>
        <v/>
      </c>
      <c r="AR28" s="19">
        <f>'Grid_Stock'!AI12</f>
        <v/>
      </c>
      <c r="AS28" s="19">
        <f>'Grid_Stock'!AJ12</f>
        <v/>
      </c>
      <c r="AT28" s="19">
        <f>'Grid_Stock'!AK12</f>
        <v/>
      </c>
      <c r="AU28" s="19">
        <f>'Grid_Stock'!AL12</f>
        <v/>
      </c>
      <c r="AV28" s="19">
        <f>'Grid_Stock'!AM12</f>
        <v/>
      </c>
      <c r="AW28" s="19">
        <f>'Grid_Stock'!AN12</f>
        <v/>
      </c>
      <c r="AX28" s="19">
        <f>'Grid_Stock'!AO12</f>
        <v/>
      </c>
      <c r="AY28" s="19">
        <f>'Grid_Stock'!AP12</f>
        <v/>
      </c>
      <c r="AZ28" s="19">
        <f>'Grid_Stock'!AQ12</f>
        <v/>
      </c>
      <c r="BA28" s="19">
        <f>'Grid_Stock'!AR12</f>
        <v/>
      </c>
      <c r="BB28" s="19">
        <f>'Grid_Stock'!AS12</f>
        <v/>
      </c>
      <c r="BC28" s="19">
        <f>'Grid_Stock'!AT12</f>
        <v/>
      </c>
      <c r="BD28" s="19">
        <f>'Grid_Stock'!AU12</f>
        <v/>
      </c>
      <c r="BE28" s="19">
        <f>'Grid_Stock'!AV12</f>
        <v/>
      </c>
      <c r="BF28" s="19">
        <f>'Grid_Stock'!AW12</f>
        <v/>
      </c>
      <c r="BG28" s="19">
        <f>'Grid_Stock'!AX12</f>
        <v/>
      </c>
      <c r="BH28" s="19">
        <f>'Grid_Stock'!AY12</f>
        <v/>
      </c>
      <c r="BI28" s="19">
        <f>'Grid_Stock'!AZ12</f>
        <v/>
      </c>
      <c r="BJ28" s="19">
        <f>'Grid_Stock'!BA12</f>
        <v/>
      </c>
      <c r="BK28" s="19">
        <f>'Grid_Stock'!BB12</f>
        <v/>
      </c>
      <c r="BL28" s="19">
        <f>'Grid_Stock'!BC12</f>
        <v/>
      </c>
      <c r="BM28" s="19">
        <f>'Grid_Stock'!BD12</f>
        <v/>
      </c>
      <c r="BN28" s="19">
        <f>'Grid_Stock'!BE12</f>
        <v/>
      </c>
      <c r="BO28" s="19">
        <f>'Grid_Stock'!BF12</f>
        <v/>
      </c>
      <c r="BP28" s="19">
        <f>'Grid_Stock'!BG12</f>
        <v/>
      </c>
      <c r="BQ28" s="19">
        <f>'Grid_Stock'!BH12</f>
        <v/>
      </c>
      <c r="BR28" s="19">
        <f>'Grid_Stock'!BI12</f>
        <v/>
      </c>
      <c r="BS28" s="19">
        <f>'Grid_Stock'!BJ12</f>
        <v/>
      </c>
      <c r="BT28" s="19">
        <f>'Grid_Stock'!BK12</f>
        <v/>
      </c>
      <c r="BU28" s="19">
        <f>'Grid_Stock'!BL12</f>
        <v/>
      </c>
      <c r="BV28" s="19">
        <f>'Grid_Stock'!BM12</f>
        <v/>
      </c>
      <c r="BW28" s="19">
        <f>'Grid_Stock'!BN12</f>
        <v/>
      </c>
      <c r="BX28" s="19">
        <f>'Grid_Stock'!BO12</f>
        <v/>
      </c>
      <c r="BY28" s="19">
        <f>'Grid_Stock'!BP12</f>
        <v/>
      </c>
      <c r="BZ28" s="19">
        <f>'Grid_Stock'!BQ12</f>
        <v/>
      </c>
      <c r="CA28" s="19">
        <f>'Grid_Stock'!BR12</f>
        <v/>
      </c>
      <c r="CB28" s="19">
        <f>'Grid_Stock'!BS12</f>
        <v/>
      </c>
      <c r="CC28" s="19">
        <f>'Grid_Stock'!BT12</f>
        <v/>
      </c>
      <c r="CD28" s="19">
        <f>'Grid_Stock'!BU12</f>
        <v/>
      </c>
      <c r="CE28" s="19">
        <f>'Grid_Stock'!BV12</f>
        <v/>
      </c>
      <c r="CF28" s="19">
        <f>'Grid_Stock'!BW12</f>
        <v/>
      </c>
      <c r="CG28" s="19">
        <f>'Grid_Stock'!BX12</f>
        <v/>
      </c>
      <c r="CH28" s="19">
        <f>'Grid_Stock'!BY12</f>
        <v/>
      </c>
      <c r="CI28" s="19">
        <f>'Grid_Stock'!BZ12</f>
        <v/>
      </c>
      <c r="CJ28" s="19">
        <f>'Grid_Stock'!CA12</f>
        <v/>
      </c>
      <c r="CK28" s="19">
        <f>'Grid_Stock'!CB12</f>
        <v/>
      </c>
      <c r="CL28" s="19">
        <f>'Grid_Stock'!CC12</f>
        <v/>
      </c>
      <c r="CM28" s="19">
        <f>'Grid_Stock'!CD12</f>
        <v/>
      </c>
      <c r="CN28" s="19">
        <f>'Grid_Stock'!CE12</f>
        <v/>
      </c>
      <c r="CO28" s="19">
        <f>'Grid_Stock'!CF12</f>
        <v/>
      </c>
      <c r="CP28" s="19">
        <f>'Grid_Stock'!CG12</f>
        <v/>
      </c>
      <c r="CQ28" s="19">
        <f>'Grid_Stock'!CH12</f>
        <v/>
      </c>
      <c r="CR28" s="19">
        <f>'Grid_Stock'!CI12</f>
        <v/>
      </c>
      <c r="CS28" s="19">
        <f>'Grid_Stock'!CJ12</f>
        <v/>
      </c>
      <c r="CT28" s="19">
        <f>'Grid_Stock'!CK12</f>
        <v/>
      </c>
      <c r="CU28" s="19">
        <f>'Grid_Stock'!CL12</f>
        <v/>
      </c>
      <c r="CV28" s="19">
        <f>'Grid_Stock'!CM12</f>
        <v/>
      </c>
      <c r="CW28" s="19">
        <f>'Grid_Stock'!CN12</f>
        <v/>
      </c>
      <c r="CX28" s="19">
        <f>'Grid_Stock'!CO12</f>
        <v/>
      </c>
      <c r="CY28" s="19">
        <f>'Grid_Stock'!CP12</f>
        <v/>
      </c>
      <c r="CZ28" s="19">
        <f>'Grid_Stock'!CQ12</f>
        <v/>
      </c>
      <c r="DA28" s="19">
        <f>'Grid_Stock'!CR12</f>
        <v/>
      </c>
      <c r="DB28" s="19">
        <f>'Grid_Stock'!CS12</f>
        <v/>
      </c>
      <c r="DC28" s="19">
        <f>'Grid_Stock'!CT12</f>
        <v/>
      </c>
      <c r="DD28" s="19">
        <f>'Grid_Stock'!CU12</f>
        <v/>
      </c>
      <c r="DE28" s="19">
        <f>'Grid_Stock'!CV12</f>
        <v/>
      </c>
      <c r="DF28" s="19">
        <f>'Grid_Stock'!CW12</f>
        <v/>
      </c>
      <c r="DG28" s="19">
        <f>'Grid_Stock'!CX12</f>
        <v/>
      </c>
      <c r="DH28" s="19">
        <f>'Grid_Stock'!CY12</f>
        <v/>
      </c>
      <c r="DI28" s="19">
        <f>'Grid_Stock'!CZ12</f>
        <v/>
      </c>
      <c r="DJ28" s="19">
        <f>'Grid_Stock'!DA12</f>
        <v/>
      </c>
    </row>
    <row r="29">
      <c r="A29" s="17" t="inlineStr">
        <is>
          <t>ABN</t>
        </is>
      </c>
      <c r="B29" s="17">
        <f>IFERROR(INDEX(M_RawMaterials[Description],MATCH($A29,M_RawMaterials[Part Name],0)),"")</f>
        <v/>
      </c>
      <c r="C29" s="17">
        <f>IFERROR(INDEX(M_RawMaterials[Category],MATCH($A29,M_RawMaterials[Part Name],0)),"")</f>
        <v/>
      </c>
      <c r="D29" s="17">
        <f>IFERROR(INDEX(M_RawMaterials[基準在庫下限_要入力],MATCH($A29,M_RawMaterials[Part Name],0)),0)</f>
        <v/>
      </c>
      <c r="E29" s="17">
        <f>IFERROR(INDEX(M_RawMaterials[基準在庫上限_要入力],MATCH($A29,M_RawMaterials[Part Name],0)),0)</f>
        <v/>
      </c>
      <c r="F29" s="17">
        <f>IFERROR(LOOKUP(2,1/('T_SelfStock'!$B$17:$DA$17&lt;&gt;""),'T_SelfStock'!$B$17:$DA$17),"")</f>
        <v/>
      </c>
      <c r="G29" s="17">
        <f>IFERROR(LOOKUP(2,1/('T_TTAFStock'!$B$17:$DA$17&lt;&gt;""),'T_TTAFStock'!$B$17:$DA$17),"")</f>
        <v/>
      </c>
      <c r="H29" s="17">
        <f>IFERROR(LOOKUP(2,1/('T_SelfStock'!$B$17:$DA$17&lt;&gt;""),'T_SelfStock'!$B$5:$DA$5),"")</f>
        <v/>
      </c>
      <c r="I29" s="18" t="inlineStr">
        <is>
          <t>理論在庫</t>
        </is>
      </c>
      <c r="J29" s="17">
        <f>'Grid_Stock'!DA13-'Grid_TheoreticalStock'!DA13</f>
        <v/>
      </c>
      <c r="K29" s="18">
        <f>'Grid_TheoreticalStock'!B13</f>
        <v/>
      </c>
      <c r="L29" s="18">
        <f>'Grid_TheoreticalStock'!C13</f>
        <v/>
      </c>
      <c r="M29" s="18">
        <f>'Grid_TheoreticalStock'!D13</f>
        <v/>
      </c>
      <c r="N29" s="18">
        <f>'Grid_TheoreticalStock'!E13</f>
        <v/>
      </c>
      <c r="O29" s="18">
        <f>'Grid_TheoreticalStock'!F13</f>
        <v/>
      </c>
      <c r="P29" s="18">
        <f>'Grid_TheoreticalStock'!G13</f>
        <v/>
      </c>
      <c r="Q29" s="18">
        <f>'Grid_TheoreticalStock'!H13</f>
        <v/>
      </c>
      <c r="R29" s="18">
        <f>'Grid_TheoreticalStock'!I13</f>
        <v/>
      </c>
      <c r="S29" s="18">
        <f>'Grid_TheoreticalStock'!J13</f>
        <v/>
      </c>
      <c r="T29" s="18">
        <f>'Grid_TheoreticalStock'!K13</f>
        <v/>
      </c>
      <c r="U29" s="18">
        <f>'Grid_TheoreticalStock'!L13</f>
        <v/>
      </c>
      <c r="V29" s="18">
        <f>'Grid_TheoreticalStock'!M13</f>
        <v/>
      </c>
      <c r="W29" s="18">
        <f>'Grid_TheoreticalStock'!N13</f>
        <v/>
      </c>
      <c r="X29" s="18">
        <f>'Grid_TheoreticalStock'!O13</f>
        <v/>
      </c>
      <c r="Y29" s="18">
        <f>'Grid_TheoreticalStock'!P13</f>
        <v/>
      </c>
      <c r="Z29" s="18">
        <f>'Grid_TheoreticalStock'!Q13</f>
        <v/>
      </c>
      <c r="AA29" s="18">
        <f>'Grid_TheoreticalStock'!R13</f>
        <v/>
      </c>
      <c r="AB29" s="18">
        <f>'Grid_TheoreticalStock'!S13</f>
        <v/>
      </c>
      <c r="AC29" s="18">
        <f>'Grid_TheoreticalStock'!T13</f>
        <v/>
      </c>
      <c r="AD29" s="18">
        <f>'Grid_TheoreticalStock'!U13</f>
        <v/>
      </c>
      <c r="AE29" s="18">
        <f>'Grid_TheoreticalStock'!V13</f>
        <v/>
      </c>
      <c r="AF29" s="18">
        <f>'Grid_TheoreticalStock'!W13</f>
        <v/>
      </c>
      <c r="AG29" s="18">
        <f>'Grid_TheoreticalStock'!X13</f>
        <v/>
      </c>
      <c r="AH29" s="18">
        <f>'Grid_TheoreticalStock'!Y13</f>
        <v/>
      </c>
      <c r="AI29" s="18">
        <f>'Grid_TheoreticalStock'!Z13</f>
        <v/>
      </c>
      <c r="AJ29" s="18">
        <f>'Grid_TheoreticalStock'!AA13</f>
        <v/>
      </c>
      <c r="AK29" s="18">
        <f>'Grid_TheoreticalStock'!AB13</f>
        <v/>
      </c>
      <c r="AL29" s="18">
        <f>'Grid_TheoreticalStock'!AC13</f>
        <v/>
      </c>
      <c r="AM29" s="18">
        <f>'Grid_TheoreticalStock'!AD13</f>
        <v/>
      </c>
      <c r="AN29" s="18">
        <f>'Grid_TheoreticalStock'!AE13</f>
        <v/>
      </c>
      <c r="AO29" s="18">
        <f>'Grid_TheoreticalStock'!AF13</f>
        <v/>
      </c>
      <c r="AP29" s="18">
        <f>'Grid_TheoreticalStock'!AG13</f>
        <v/>
      </c>
      <c r="AQ29" s="18">
        <f>'Grid_TheoreticalStock'!AH13</f>
        <v/>
      </c>
      <c r="AR29" s="18">
        <f>'Grid_TheoreticalStock'!AI13</f>
        <v/>
      </c>
      <c r="AS29" s="18">
        <f>'Grid_TheoreticalStock'!AJ13</f>
        <v/>
      </c>
      <c r="AT29" s="18">
        <f>'Grid_TheoreticalStock'!AK13</f>
        <v/>
      </c>
      <c r="AU29" s="18">
        <f>'Grid_TheoreticalStock'!AL13</f>
        <v/>
      </c>
      <c r="AV29" s="18">
        <f>'Grid_TheoreticalStock'!AM13</f>
        <v/>
      </c>
      <c r="AW29" s="18">
        <f>'Grid_TheoreticalStock'!AN13</f>
        <v/>
      </c>
      <c r="AX29" s="18">
        <f>'Grid_TheoreticalStock'!AO13</f>
        <v/>
      </c>
      <c r="AY29" s="18">
        <f>'Grid_TheoreticalStock'!AP13</f>
        <v/>
      </c>
      <c r="AZ29" s="18">
        <f>'Grid_TheoreticalStock'!AQ13</f>
        <v/>
      </c>
      <c r="BA29" s="18">
        <f>'Grid_TheoreticalStock'!AR13</f>
        <v/>
      </c>
      <c r="BB29" s="18">
        <f>'Grid_TheoreticalStock'!AS13</f>
        <v/>
      </c>
      <c r="BC29" s="18">
        <f>'Grid_TheoreticalStock'!AT13</f>
        <v/>
      </c>
      <c r="BD29" s="18">
        <f>'Grid_TheoreticalStock'!AU13</f>
        <v/>
      </c>
      <c r="BE29" s="18">
        <f>'Grid_TheoreticalStock'!AV13</f>
        <v/>
      </c>
      <c r="BF29" s="18">
        <f>'Grid_TheoreticalStock'!AW13</f>
        <v/>
      </c>
      <c r="BG29" s="18">
        <f>'Grid_TheoreticalStock'!AX13</f>
        <v/>
      </c>
      <c r="BH29" s="18">
        <f>'Grid_TheoreticalStock'!AY13</f>
        <v/>
      </c>
      <c r="BI29" s="18">
        <f>'Grid_TheoreticalStock'!AZ13</f>
        <v/>
      </c>
      <c r="BJ29" s="18">
        <f>'Grid_TheoreticalStock'!BA13</f>
        <v/>
      </c>
      <c r="BK29" s="18">
        <f>'Grid_TheoreticalStock'!BB13</f>
        <v/>
      </c>
      <c r="BL29" s="18">
        <f>'Grid_TheoreticalStock'!BC13</f>
        <v/>
      </c>
      <c r="BM29" s="18">
        <f>'Grid_TheoreticalStock'!BD13</f>
        <v/>
      </c>
      <c r="BN29" s="18">
        <f>'Grid_TheoreticalStock'!BE13</f>
        <v/>
      </c>
      <c r="BO29" s="18">
        <f>'Grid_TheoreticalStock'!BF13</f>
        <v/>
      </c>
      <c r="BP29" s="18">
        <f>'Grid_TheoreticalStock'!BG13</f>
        <v/>
      </c>
      <c r="BQ29" s="18">
        <f>'Grid_TheoreticalStock'!BH13</f>
        <v/>
      </c>
      <c r="BR29" s="18">
        <f>'Grid_TheoreticalStock'!BI13</f>
        <v/>
      </c>
      <c r="BS29" s="18">
        <f>'Grid_TheoreticalStock'!BJ13</f>
        <v/>
      </c>
      <c r="BT29" s="18">
        <f>'Grid_TheoreticalStock'!BK13</f>
        <v/>
      </c>
      <c r="BU29" s="18">
        <f>'Grid_TheoreticalStock'!BL13</f>
        <v/>
      </c>
      <c r="BV29" s="18">
        <f>'Grid_TheoreticalStock'!BM13</f>
        <v/>
      </c>
      <c r="BW29" s="18">
        <f>'Grid_TheoreticalStock'!BN13</f>
        <v/>
      </c>
      <c r="BX29" s="18">
        <f>'Grid_TheoreticalStock'!BO13</f>
        <v/>
      </c>
      <c r="BY29" s="18">
        <f>'Grid_TheoreticalStock'!BP13</f>
        <v/>
      </c>
      <c r="BZ29" s="18">
        <f>'Grid_TheoreticalStock'!BQ13</f>
        <v/>
      </c>
      <c r="CA29" s="18">
        <f>'Grid_TheoreticalStock'!BR13</f>
        <v/>
      </c>
      <c r="CB29" s="18">
        <f>'Grid_TheoreticalStock'!BS13</f>
        <v/>
      </c>
      <c r="CC29" s="18">
        <f>'Grid_TheoreticalStock'!BT13</f>
        <v/>
      </c>
      <c r="CD29" s="18">
        <f>'Grid_TheoreticalStock'!BU13</f>
        <v/>
      </c>
      <c r="CE29" s="18">
        <f>'Grid_TheoreticalStock'!BV13</f>
        <v/>
      </c>
      <c r="CF29" s="18">
        <f>'Grid_TheoreticalStock'!BW13</f>
        <v/>
      </c>
      <c r="CG29" s="18">
        <f>'Grid_TheoreticalStock'!BX13</f>
        <v/>
      </c>
      <c r="CH29" s="18">
        <f>'Grid_TheoreticalStock'!BY13</f>
        <v/>
      </c>
      <c r="CI29" s="18">
        <f>'Grid_TheoreticalStock'!BZ13</f>
        <v/>
      </c>
      <c r="CJ29" s="18">
        <f>'Grid_TheoreticalStock'!CA13</f>
        <v/>
      </c>
      <c r="CK29" s="18">
        <f>'Grid_TheoreticalStock'!CB13</f>
        <v/>
      </c>
      <c r="CL29" s="18">
        <f>'Grid_TheoreticalStock'!CC13</f>
        <v/>
      </c>
      <c r="CM29" s="18">
        <f>'Grid_TheoreticalStock'!CD13</f>
        <v/>
      </c>
      <c r="CN29" s="18">
        <f>'Grid_TheoreticalStock'!CE13</f>
        <v/>
      </c>
      <c r="CO29" s="18">
        <f>'Grid_TheoreticalStock'!CF13</f>
        <v/>
      </c>
      <c r="CP29" s="18">
        <f>'Grid_TheoreticalStock'!CG13</f>
        <v/>
      </c>
      <c r="CQ29" s="18">
        <f>'Grid_TheoreticalStock'!CH13</f>
        <v/>
      </c>
      <c r="CR29" s="18">
        <f>'Grid_TheoreticalStock'!CI13</f>
        <v/>
      </c>
      <c r="CS29" s="18">
        <f>'Grid_TheoreticalStock'!CJ13</f>
        <v/>
      </c>
      <c r="CT29" s="18">
        <f>'Grid_TheoreticalStock'!CK13</f>
        <v/>
      </c>
      <c r="CU29" s="18">
        <f>'Grid_TheoreticalStock'!CL13</f>
        <v/>
      </c>
      <c r="CV29" s="18">
        <f>'Grid_TheoreticalStock'!CM13</f>
        <v/>
      </c>
      <c r="CW29" s="18">
        <f>'Grid_TheoreticalStock'!CN13</f>
        <v/>
      </c>
      <c r="CX29" s="18">
        <f>'Grid_TheoreticalStock'!CO13</f>
        <v/>
      </c>
      <c r="CY29" s="18">
        <f>'Grid_TheoreticalStock'!CP13</f>
        <v/>
      </c>
      <c r="CZ29" s="18">
        <f>'Grid_TheoreticalStock'!CQ13</f>
        <v/>
      </c>
      <c r="DA29" s="18">
        <f>'Grid_TheoreticalStock'!CR13</f>
        <v/>
      </c>
      <c r="DB29" s="18">
        <f>'Grid_TheoreticalStock'!CS13</f>
        <v/>
      </c>
      <c r="DC29" s="18">
        <f>'Grid_TheoreticalStock'!CT13</f>
        <v/>
      </c>
      <c r="DD29" s="18">
        <f>'Grid_TheoreticalStock'!CU13</f>
        <v/>
      </c>
      <c r="DE29" s="18">
        <f>'Grid_TheoreticalStock'!CV13</f>
        <v/>
      </c>
      <c r="DF29" s="18">
        <f>'Grid_TheoreticalStock'!CW13</f>
        <v/>
      </c>
      <c r="DG29" s="18">
        <f>'Grid_TheoreticalStock'!CX13</f>
        <v/>
      </c>
      <c r="DH29" s="18">
        <f>'Grid_TheoreticalStock'!CY13</f>
        <v/>
      </c>
      <c r="DI29" s="18">
        <f>'Grid_TheoreticalStock'!CZ13</f>
        <v/>
      </c>
      <c r="DJ29" s="18">
        <f>'Grid_TheoreticalStock'!DA13</f>
        <v/>
      </c>
    </row>
    <row r="30">
      <c r="A30" s="19" t="inlineStr">
        <is>
          <t>ABN</t>
        </is>
      </c>
      <c r="B30" s="19">
        <f>IFERROR(INDEX(M_RawMaterials[Description],MATCH($A30,M_RawMaterials[Part Name],0)),"")</f>
        <v/>
      </c>
      <c r="C30" s="19">
        <f>IFERROR(INDEX(M_RawMaterials[Category],MATCH($A30,M_RawMaterials[Part Name],0)),"")</f>
        <v/>
      </c>
      <c r="D30" s="19">
        <f>IFERROR(INDEX(M_RawMaterials[基準在庫下限_要入力],MATCH($A30,M_RawMaterials[Part Name],0)),0)</f>
        <v/>
      </c>
      <c r="E30" s="19">
        <f>IFERROR(INDEX(M_RawMaterials[基準在庫上限_要入力],MATCH($A30,M_RawMaterials[Part Name],0)),0)</f>
        <v/>
      </c>
      <c r="F30" s="19">
        <f>IFERROR(LOOKUP(2,1/('T_SelfStock'!$B$17:$DA$17&lt;&gt;""),'T_SelfStock'!$B$17:$DA$17),"")</f>
        <v/>
      </c>
      <c r="G30" s="19">
        <f>IFERROR(LOOKUP(2,1/('T_TTAFStock'!$B$17:$DA$17&lt;&gt;""),'T_TTAFStock'!$B$17:$DA$17),"")</f>
        <v/>
      </c>
      <c r="H30" s="19">
        <f>IFERROR(LOOKUP(2,1/('T_SelfStock'!$B$17:$DA$17&lt;&gt;""),'T_SelfStock'!$B$5:$DA$5),"")</f>
        <v/>
      </c>
      <c r="I30" s="20" t="inlineStr">
        <is>
          <t>実在庫</t>
        </is>
      </c>
      <c r="J30" s="19">
        <f>'Grid_Stock'!DA13-'Grid_TheoreticalStock'!DA13</f>
        <v/>
      </c>
      <c r="K30" s="19">
        <f>'Grid_Stock'!B13</f>
        <v/>
      </c>
      <c r="L30" s="19">
        <f>'Grid_Stock'!C13</f>
        <v/>
      </c>
      <c r="M30" s="19">
        <f>'Grid_Stock'!D13</f>
        <v/>
      </c>
      <c r="N30" s="19">
        <f>'Grid_Stock'!E13</f>
        <v/>
      </c>
      <c r="O30" s="19">
        <f>'Grid_Stock'!F13</f>
        <v/>
      </c>
      <c r="P30" s="19">
        <f>'Grid_Stock'!G13</f>
        <v/>
      </c>
      <c r="Q30" s="19">
        <f>'Grid_Stock'!H13</f>
        <v/>
      </c>
      <c r="R30" s="19">
        <f>'Grid_Stock'!I13</f>
        <v/>
      </c>
      <c r="S30" s="19">
        <f>'Grid_Stock'!J13</f>
        <v/>
      </c>
      <c r="T30" s="19">
        <f>'Grid_Stock'!K13</f>
        <v/>
      </c>
      <c r="U30" s="19">
        <f>'Grid_Stock'!L13</f>
        <v/>
      </c>
      <c r="V30" s="19">
        <f>'Grid_Stock'!M13</f>
        <v/>
      </c>
      <c r="W30" s="19">
        <f>'Grid_Stock'!N13</f>
        <v/>
      </c>
      <c r="X30" s="19">
        <f>'Grid_Stock'!O13</f>
        <v/>
      </c>
      <c r="Y30" s="19">
        <f>'Grid_Stock'!P13</f>
        <v/>
      </c>
      <c r="Z30" s="19">
        <f>'Grid_Stock'!Q13</f>
        <v/>
      </c>
      <c r="AA30" s="19">
        <f>'Grid_Stock'!R13</f>
        <v/>
      </c>
      <c r="AB30" s="19">
        <f>'Grid_Stock'!S13</f>
        <v/>
      </c>
      <c r="AC30" s="19">
        <f>'Grid_Stock'!T13</f>
        <v/>
      </c>
      <c r="AD30" s="19">
        <f>'Grid_Stock'!U13</f>
        <v/>
      </c>
      <c r="AE30" s="19">
        <f>'Grid_Stock'!V13</f>
        <v/>
      </c>
      <c r="AF30" s="19">
        <f>'Grid_Stock'!W13</f>
        <v/>
      </c>
      <c r="AG30" s="19">
        <f>'Grid_Stock'!X13</f>
        <v/>
      </c>
      <c r="AH30" s="19">
        <f>'Grid_Stock'!Y13</f>
        <v/>
      </c>
      <c r="AI30" s="19">
        <f>'Grid_Stock'!Z13</f>
        <v/>
      </c>
      <c r="AJ30" s="19">
        <f>'Grid_Stock'!AA13</f>
        <v/>
      </c>
      <c r="AK30" s="19">
        <f>'Grid_Stock'!AB13</f>
        <v/>
      </c>
      <c r="AL30" s="19">
        <f>'Grid_Stock'!AC13</f>
        <v/>
      </c>
      <c r="AM30" s="19">
        <f>'Grid_Stock'!AD13</f>
        <v/>
      </c>
      <c r="AN30" s="19">
        <f>'Grid_Stock'!AE13</f>
        <v/>
      </c>
      <c r="AO30" s="19">
        <f>'Grid_Stock'!AF13</f>
        <v/>
      </c>
      <c r="AP30" s="19">
        <f>'Grid_Stock'!AG13</f>
        <v/>
      </c>
      <c r="AQ30" s="19">
        <f>'Grid_Stock'!AH13</f>
        <v/>
      </c>
      <c r="AR30" s="19">
        <f>'Grid_Stock'!AI13</f>
        <v/>
      </c>
      <c r="AS30" s="19">
        <f>'Grid_Stock'!AJ13</f>
        <v/>
      </c>
      <c r="AT30" s="19">
        <f>'Grid_Stock'!AK13</f>
        <v/>
      </c>
      <c r="AU30" s="19">
        <f>'Grid_Stock'!AL13</f>
        <v/>
      </c>
      <c r="AV30" s="19">
        <f>'Grid_Stock'!AM13</f>
        <v/>
      </c>
      <c r="AW30" s="19">
        <f>'Grid_Stock'!AN13</f>
        <v/>
      </c>
      <c r="AX30" s="19">
        <f>'Grid_Stock'!AO13</f>
        <v/>
      </c>
      <c r="AY30" s="19">
        <f>'Grid_Stock'!AP13</f>
        <v/>
      </c>
      <c r="AZ30" s="19">
        <f>'Grid_Stock'!AQ13</f>
        <v/>
      </c>
      <c r="BA30" s="19">
        <f>'Grid_Stock'!AR13</f>
        <v/>
      </c>
      <c r="BB30" s="19">
        <f>'Grid_Stock'!AS13</f>
        <v/>
      </c>
      <c r="BC30" s="19">
        <f>'Grid_Stock'!AT13</f>
        <v/>
      </c>
      <c r="BD30" s="19">
        <f>'Grid_Stock'!AU13</f>
        <v/>
      </c>
      <c r="BE30" s="19">
        <f>'Grid_Stock'!AV13</f>
        <v/>
      </c>
      <c r="BF30" s="19">
        <f>'Grid_Stock'!AW13</f>
        <v/>
      </c>
      <c r="BG30" s="19">
        <f>'Grid_Stock'!AX13</f>
        <v/>
      </c>
      <c r="BH30" s="19">
        <f>'Grid_Stock'!AY13</f>
        <v/>
      </c>
      <c r="BI30" s="19">
        <f>'Grid_Stock'!AZ13</f>
        <v/>
      </c>
      <c r="BJ30" s="19">
        <f>'Grid_Stock'!BA13</f>
        <v/>
      </c>
      <c r="BK30" s="19">
        <f>'Grid_Stock'!BB13</f>
        <v/>
      </c>
      <c r="BL30" s="19">
        <f>'Grid_Stock'!BC13</f>
        <v/>
      </c>
      <c r="BM30" s="19">
        <f>'Grid_Stock'!BD13</f>
        <v/>
      </c>
      <c r="BN30" s="19">
        <f>'Grid_Stock'!BE13</f>
        <v/>
      </c>
      <c r="BO30" s="19">
        <f>'Grid_Stock'!BF13</f>
        <v/>
      </c>
      <c r="BP30" s="19">
        <f>'Grid_Stock'!BG13</f>
        <v/>
      </c>
      <c r="BQ30" s="19">
        <f>'Grid_Stock'!BH13</f>
        <v/>
      </c>
      <c r="BR30" s="19">
        <f>'Grid_Stock'!BI13</f>
        <v/>
      </c>
      <c r="BS30" s="19">
        <f>'Grid_Stock'!BJ13</f>
        <v/>
      </c>
      <c r="BT30" s="19">
        <f>'Grid_Stock'!BK13</f>
        <v/>
      </c>
      <c r="BU30" s="19">
        <f>'Grid_Stock'!BL13</f>
        <v/>
      </c>
      <c r="BV30" s="19">
        <f>'Grid_Stock'!BM13</f>
        <v/>
      </c>
      <c r="BW30" s="19">
        <f>'Grid_Stock'!BN13</f>
        <v/>
      </c>
      <c r="BX30" s="19">
        <f>'Grid_Stock'!BO13</f>
        <v/>
      </c>
      <c r="BY30" s="19">
        <f>'Grid_Stock'!BP13</f>
        <v/>
      </c>
      <c r="BZ30" s="19">
        <f>'Grid_Stock'!BQ13</f>
        <v/>
      </c>
      <c r="CA30" s="19">
        <f>'Grid_Stock'!BR13</f>
        <v/>
      </c>
      <c r="CB30" s="19">
        <f>'Grid_Stock'!BS13</f>
        <v/>
      </c>
      <c r="CC30" s="19">
        <f>'Grid_Stock'!BT13</f>
        <v/>
      </c>
      <c r="CD30" s="19">
        <f>'Grid_Stock'!BU13</f>
        <v/>
      </c>
      <c r="CE30" s="19">
        <f>'Grid_Stock'!BV13</f>
        <v/>
      </c>
      <c r="CF30" s="19">
        <f>'Grid_Stock'!BW13</f>
        <v/>
      </c>
      <c r="CG30" s="19">
        <f>'Grid_Stock'!BX13</f>
        <v/>
      </c>
      <c r="CH30" s="19">
        <f>'Grid_Stock'!BY13</f>
        <v/>
      </c>
      <c r="CI30" s="19">
        <f>'Grid_Stock'!BZ13</f>
        <v/>
      </c>
      <c r="CJ30" s="19">
        <f>'Grid_Stock'!CA13</f>
        <v/>
      </c>
      <c r="CK30" s="19">
        <f>'Grid_Stock'!CB13</f>
        <v/>
      </c>
      <c r="CL30" s="19">
        <f>'Grid_Stock'!CC13</f>
        <v/>
      </c>
      <c r="CM30" s="19">
        <f>'Grid_Stock'!CD13</f>
        <v/>
      </c>
      <c r="CN30" s="19">
        <f>'Grid_Stock'!CE13</f>
        <v/>
      </c>
      <c r="CO30" s="19">
        <f>'Grid_Stock'!CF13</f>
        <v/>
      </c>
      <c r="CP30" s="19">
        <f>'Grid_Stock'!CG13</f>
        <v/>
      </c>
      <c r="CQ30" s="19">
        <f>'Grid_Stock'!CH13</f>
        <v/>
      </c>
      <c r="CR30" s="19">
        <f>'Grid_Stock'!CI13</f>
        <v/>
      </c>
      <c r="CS30" s="19">
        <f>'Grid_Stock'!CJ13</f>
        <v/>
      </c>
      <c r="CT30" s="19">
        <f>'Grid_Stock'!CK13</f>
        <v/>
      </c>
      <c r="CU30" s="19">
        <f>'Grid_Stock'!CL13</f>
        <v/>
      </c>
      <c r="CV30" s="19">
        <f>'Grid_Stock'!CM13</f>
        <v/>
      </c>
      <c r="CW30" s="19">
        <f>'Grid_Stock'!CN13</f>
        <v/>
      </c>
      <c r="CX30" s="19">
        <f>'Grid_Stock'!CO13</f>
        <v/>
      </c>
      <c r="CY30" s="19">
        <f>'Grid_Stock'!CP13</f>
        <v/>
      </c>
      <c r="CZ30" s="19">
        <f>'Grid_Stock'!CQ13</f>
        <v/>
      </c>
      <c r="DA30" s="19">
        <f>'Grid_Stock'!CR13</f>
        <v/>
      </c>
      <c r="DB30" s="19">
        <f>'Grid_Stock'!CS13</f>
        <v/>
      </c>
      <c r="DC30" s="19">
        <f>'Grid_Stock'!CT13</f>
        <v/>
      </c>
      <c r="DD30" s="19">
        <f>'Grid_Stock'!CU13</f>
        <v/>
      </c>
      <c r="DE30" s="19">
        <f>'Grid_Stock'!CV13</f>
        <v/>
      </c>
      <c r="DF30" s="19">
        <f>'Grid_Stock'!CW13</f>
        <v/>
      </c>
      <c r="DG30" s="19">
        <f>'Grid_Stock'!CX13</f>
        <v/>
      </c>
      <c r="DH30" s="19">
        <f>'Grid_Stock'!CY13</f>
        <v/>
      </c>
      <c r="DI30" s="19">
        <f>'Grid_Stock'!CZ13</f>
        <v/>
      </c>
      <c r="DJ30" s="19">
        <f>'Grid_Stock'!DA13</f>
        <v/>
      </c>
    </row>
    <row r="31">
      <c r="A31" s="17" t="inlineStr">
        <is>
          <t>OLJ</t>
        </is>
      </c>
      <c r="B31" s="17">
        <f>IFERROR(INDEX(M_RawMaterials[Description],MATCH($A31,M_RawMaterials[Part Name],0)),"")</f>
        <v/>
      </c>
      <c r="C31" s="17">
        <f>IFERROR(INDEX(M_RawMaterials[Category],MATCH($A31,M_RawMaterials[Part Name],0)),"")</f>
        <v/>
      </c>
      <c r="D31" s="17">
        <f>IFERROR(INDEX(M_RawMaterials[基準在庫下限_要入力],MATCH($A31,M_RawMaterials[Part Name],0)),0)</f>
        <v/>
      </c>
      <c r="E31" s="17">
        <f>IFERROR(INDEX(M_RawMaterials[基準在庫上限_要入力],MATCH($A31,M_RawMaterials[Part Name],0)),0)</f>
        <v/>
      </c>
      <c r="F31" s="17">
        <f>IFERROR(LOOKUP(2,1/('T_SelfStock'!$B$18:$DA$18&lt;&gt;""),'T_SelfStock'!$B$18:$DA$18),"")</f>
        <v/>
      </c>
      <c r="G31" s="17">
        <f>IFERROR(LOOKUP(2,1/('T_TTAFStock'!$B$18:$DA$18&lt;&gt;""),'T_TTAFStock'!$B$18:$DA$18),"")</f>
        <v/>
      </c>
      <c r="H31" s="17">
        <f>IFERROR(LOOKUP(2,1/('T_SelfStock'!$B$18:$DA$18&lt;&gt;""),'T_SelfStock'!$B$5:$DA$5),"")</f>
        <v/>
      </c>
      <c r="I31" s="18" t="inlineStr">
        <is>
          <t>理論在庫</t>
        </is>
      </c>
      <c r="J31" s="17">
        <f>'Grid_Stock'!DA14-'Grid_TheoreticalStock'!DA14</f>
        <v/>
      </c>
      <c r="K31" s="18">
        <f>'Grid_TheoreticalStock'!B14</f>
        <v/>
      </c>
      <c r="L31" s="18">
        <f>'Grid_TheoreticalStock'!C14</f>
        <v/>
      </c>
      <c r="M31" s="18">
        <f>'Grid_TheoreticalStock'!D14</f>
        <v/>
      </c>
      <c r="N31" s="18">
        <f>'Grid_TheoreticalStock'!E14</f>
        <v/>
      </c>
      <c r="O31" s="18">
        <f>'Grid_TheoreticalStock'!F14</f>
        <v/>
      </c>
      <c r="P31" s="18">
        <f>'Grid_TheoreticalStock'!G14</f>
        <v/>
      </c>
      <c r="Q31" s="18">
        <f>'Grid_TheoreticalStock'!H14</f>
        <v/>
      </c>
      <c r="R31" s="18">
        <f>'Grid_TheoreticalStock'!I14</f>
        <v/>
      </c>
      <c r="S31" s="18">
        <f>'Grid_TheoreticalStock'!J14</f>
        <v/>
      </c>
      <c r="T31" s="18">
        <f>'Grid_TheoreticalStock'!K14</f>
        <v/>
      </c>
      <c r="U31" s="18">
        <f>'Grid_TheoreticalStock'!L14</f>
        <v/>
      </c>
      <c r="V31" s="18">
        <f>'Grid_TheoreticalStock'!M14</f>
        <v/>
      </c>
      <c r="W31" s="18">
        <f>'Grid_TheoreticalStock'!N14</f>
        <v/>
      </c>
      <c r="X31" s="18">
        <f>'Grid_TheoreticalStock'!O14</f>
        <v/>
      </c>
      <c r="Y31" s="18">
        <f>'Grid_TheoreticalStock'!P14</f>
        <v/>
      </c>
      <c r="Z31" s="18">
        <f>'Grid_TheoreticalStock'!Q14</f>
        <v/>
      </c>
      <c r="AA31" s="18">
        <f>'Grid_TheoreticalStock'!R14</f>
        <v/>
      </c>
      <c r="AB31" s="18">
        <f>'Grid_TheoreticalStock'!S14</f>
        <v/>
      </c>
      <c r="AC31" s="18">
        <f>'Grid_TheoreticalStock'!T14</f>
        <v/>
      </c>
      <c r="AD31" s="18">
        <f>'Grid_TheoreticalStock'!U14</f>
        <v/>
      </c>
      <c r="AE31" s="18">
        <f>'Grid_TheoreticalStock'!V14</f>
        <v/>
      </c>
      <c r="AF31" s="18">
        <f>'Grid_TheoreticalStock'!W14</f>
        <v/>
      </c>
      <c r="AG31" s="18">
        <f>'Grid_TheoreticalStock'!X14</f>
        <v/>
      </c>
      <c r="AH31" s="18">
        <f>'Grid_TheoreticalStock'!Y14</f>
        <v/>
      </c>
      <c r="AI31" s="18">
        <f>'Grid_TheoreticalStock'!Z14</f>
        <v/>
      </c>
      <c r="AJ31" s="18">
        <f>'Grid_TheoreticalStock'!AA14</f>
        <v/>
      </c>
      <c r="AK31" s="18">
        <f>'Grid_TheoreticalStock'!AB14</f>
        <v/>
      </c>
      <c r="AL31" s="18">
        <f>'Grid_TheoreticalStock'!AC14</f>
        <v/>
      </c>
      <c r="AM31" s="18">
        <f>'Grid_TheoreticalStock'!AD14</f>
        <v/>
      </c>
      <c r="AN31" s="18">
        <f>'Grid_TheoreticalStock'!AE14</f>
        <v/>
      </c>
      <c r="AO31" s="18">
        <f>'Grid_TheoreticalStock'!AF14</f>
        <v/>
      </c>
      <c r="AP31" s="18">
        <f>'Grid_TheoreticalStock'!AG14</f>
        <v/>
      </c>
      <c r="AQ31" s="18">
        <f>'Grid_TheoreticalStock'!AH14</f>
        <v/>
      </c>
      <c r="AR31" s="18">
        <f>'Grid_TheoreticalStock'!AI14</f>
        <v/>
      </c>
      <c r="AS31" s="18">
        <f>'Grid_TheoreticalStock'!AJ14</f>
        <v/>
      </c>
      <c r="AT31" s="18">
        <f>'Grid_TheoreticalStock'!AK14</f>
        <v/>
      </c>
      <c r="AU31" s="18">
        <f>'Grid_TheoreticalStock'!AL14</f>
        <v/>
      </c>
      <c r="AV31" s="18">
        <f>'Grid_TheoreticalStock'!AM14</f>
        <v/>
      </c>
      <c r="AW31" s="18">
        <f>'Grid_TheoreticalStock'!AN14</f>
        <v/>
      </c>
      <c r="AX31" s="18">
        <f>'Grid_TheoreticalStock'!AO14</f>
        <v/>
      </c>
      <c r="AY31" s="18">
        <f>'Grid_TheoreticalStock'!AP14</f>
        <v/>
      </c>
      <c r="AZ31" s="18">
        <f>'Grid_TheoreticalStock'!AQ14</f>
        <v/>
      </c>
      <c r="BA31" s="18">
        <f>'Grid_TheoreticalStock'!AR14</f>
        <v/>
      </c>
      <c r="BB31" s="18">
        <f>'Grid_TheoreticalStock'!AS14</f>
        <v/>
      </c>
      <c r="BC31" s="18">
        <f>'Grid_TheoreticalStock'!AT14</f>
        <v/>
      </c>
      <c r="BD31" s="18">
        <f>'Grid_TheoreticalStock'!AU14</f>
        <v/>
      </c>
      <c r="BE31" s="18">
        <f>'Grid_TheoreticalStock'!AV14</f>
        <v/>
      </c>
      <c r="BF31" s="18">
        <f>'Grid_TheoreticalStock'!AW14</f>
        <v/>
      </c>
      <c r="BG31" s="18">
        <f>'Grid_TheoreticalStock'!AX14</f>
        <v/>
      </c>
      <c r="BH31" s="18">
        <f>'Grid_TheoreticalStock'!AY14</f>
        <v/>
      </c>
      <c r="BI31" s="18">
        <f>'Grid_TheoreticalStock'!AZ14</f>
        <v/>
      </c>
      <c r="BJ31" s="18">
        <f>'Grid_TheoreticalStock'!BA14</f>
        <v/>
      </c>
      <c r="BK31" s="18">
        <f>'Grid_TheoreticalStock'!BB14</f>
        <v/>
      </c>
      <c r="BL31" s="18">
        <f>'Grid_TheoreticalStock'!BC14</f>
        <v/>
      </c>
      <c r="BM31" s="18">
        <f>'Grid_TheoreticalStock'!BD14</f>
        <v/>
      </c>
      <c r="BN31" s="18">
        <f>'Grid_TheoreticalStock'!BE14</f>
        <v/>
      </c>
      <c r="BO31" s="18">
        <f>'Grid_TheoreticalStock'!BF14</f>
        <v/>
      </c>
      <c r="BP31" s="18">
        <f>'Grid_TheoreticalStock'!BG14</f>
        <v/>
      </c>
      <c r="BQ31" s="18">
        <f>'Grid_TheoreticalStock'!BH14</f>
        <v/>
      </c>
      <c r="BR31" s="18">
        <f>'Grid_TheoreticalStock'!BI14</f>
        <v/>
      </c>
      <c r="BS31" s="18">
        <f>'Grid_TheoreticalStock'!BJ14</f>
        <v/>
      </c>
      <c r="BT31" s="18">
        <f>'Grid_TheoreticalStock'!BK14</f>
        <v/>
      </c>
      <c r="BU31" s="18">
        <f>'Grid_TheoreticalStock'!BL14</f>
        <v/>
      </c>
      <c r="BV31" s="18">
        <f>'Grid_TheoreticalStock'!BM14</f>
        <v/>
      </c>
      <c r="BW31" s="18">
        <f>'Grid_TheoreticalStock'!BN14</f>
        <v/>
      </c>
      <c r="BX31" s="18">
        <f>'Grid_TheoreticalStock'!BO14</f>
        <v/>
      </c>
      <c r="BY31" s="18">
        <f>'Grid_TheoreticalStock'!BP14</f>
        <v/>
      </c>
      <c r="BZ31" s="18">
        <f>'Grid_TheoreticalStock'!BQ14</f>
        <v/>
      </c>
      <c r="CA31" s="18">
        <f>'Grid_TheoreticalStock'!BR14</f>
        <v/>
      </c>
      <c r="CB31" s="18">
        <f>'Grid_TheoreticalStock'!BS14</f>
        <v/>
      </c>
      <c r="CC31" s="18">
        <f>'Grid_TheoreticalStock'!BT14</f>
        <v/>
      </c>
      <c r="CD31" s="18">
        <f>'Grid_TheoreticalStock'!BU14</f>
        <v/>
      </c>
      <c r="CE31" s="18">
        <f>'Grid_TheoreticalStock'!BV14</f>
        <v/>
      </c>
      <c r="CF31" s="18">
        <f>'Grid_TheoreticalStock'!BW14</f>
        <v/>
      </c>
      <c r="CG31" s="18">
        <f>'Grid_TheoreticalStock'!BX14</f>
        <v/>
      </c>
      <c r="CH31" s="18">
        <f>'Grid_TheoreticalStock'!BY14</f>
        <v/>
      </c>
      <c r="CI31" s="18">
        <f>'Grid_TheoreticalStock'!BZ14</f>
        <v/>
      </c>
      <c r="CJ31" s="18">
        <f>'Grid_TheoreticalStock'!CA14</f>
        <v/>
      </c>
      <c r="CK31" s="18">
        <f>'Grid_TheoreticalStock'!CB14</f>
        <v/>
      </c>
      <c r="CL31" s="18">
        <f>'Grid_TheoreticalStock'!CC14</f>
        <v/>
      </c>
      <c r="CM31" s="18">
        <f>'Grid_TheoreticalStock'!CD14</f>
        <v/>
      </c>
      <c r="CN31" s="18">
        <f>'Grid_TheoreticalStock'!CE14</f>
        <v/>
      </c>
      <c r="CO31" s="18">
        <f>'Grid_TheoreticalStock'!CF14</f>
        <v/>
      </c>
      <c r="CP31" s="18">
        <f>'Grid_TheoreticalStock'!CG14</f>
        <v/>
      </c>
      <c r="CQ31" s="18">
        <f>'Grid_TheoreticalStock'!CH14</f>
        <v/>
      </c>
      <c r="CR31" s="18">
        <f>'Grid_TheoreticalStock'!CI14</f>
        <v/>
      </c>
      <c r="CS31" s="18">
        <f>'Grid_TheoreticalStock'!CJ14</f>
        <v/>
      </c>
      <c r="CT31" s="18">
        <f>'Grid_TheoreticalStock'!CK14</f>
        <v/>
      </c>
      <c r="CU31" s="18">
        <f>'Grid_TheoreticalStock'!CL14</f>
        <v/>
      </c>
      <c r="CV31" s="18">
        <f>'Grid_TheoreticalStock'!CM14</f>
        <v/>
      </c>
      <c r="CW31" s="18">
        <f>'Grid_TheoreticalStock'!CN14</f>
        <v/>
      </c>
      <c r="CX31" s="18">
        <f>'Grid_TheoreticalStock'!CO14</f>
        <v/>
      </c>
      <c r="CY31" s="18">
        <f>'Grid_TheoreticalStock'!CP14</f>
        <v/>
      </c>
      <c r="CZ31" s="18">
        <f>'Grid_TheoreticalStock'!CQ14</f>
        <v/>
      </c>
      <c r="DA31" s="18">
        <f>'Grid_TheoreticalStock'!CR14</f>
        <v/>
      </c>
      <c r="DB31" s="18">
        <f>'Grid_TheoreticalStock'!CS14</f>
        <v/>
      </c>
      <c r="DC31" s="18">
        <f>'Grid_TheoreticalStock'!CT14</f>
        <v/>
      </c>
      <c r="DD31" s="18">
        <f>'Grid_TheoreticalStock'!CU14</f>
        <v/>
      </c>
      <c r="DE31" s="18">
        <f>'Grid_TheoreticalStock'!CV14</f>
        <v/>
      </c>
      <c r="DF31" s="18">
        <f>'Grid_TheoreticalStock'!CW14</f>
        <v/>
      </c>
      <c r="DG31" s="18">
        <f>'Grid_TheoreticalStock'!CX14</f>
        <v/>
      </c>
      <c r="DH31" s="18">
        <f>'Grid_TheoreticalStock'!CY14</f>
        <v/>
      </c>
      <c r="DI31" s="18">
        <f>'Grid_TheoreticalStock'!CZ14</f>
        <v/>
      </c>
      <c r="DJ31" s="18">
        <f>'Grid_TheoreticalStock'!DA14</f>
        <v/>
      </c>
    </row>
    <row r="32">
      <c r="A32" s="19" t="inlineStr">
        <is>
          <t>OLJ</t>
        </is>
      </c>
      <c r="B32" s="19">
        <f>IFERROR(INDEX(M_RawMaterials[Description],MATCH($A32,M_RawMaterials[Part Name],0)),"")</f>
        <v/>
      </c>
      <c r="C32" s="19">
        <f>IFERROR(INDEX(M_RawMaterials[Category],MATCH($A32,M_RawMaterials[Part Name],0)),"")</f>
        <v/>
      </c>
      <c r="D32" s="19">
        <f>IFERROR(INDEX(M_RawMaterials[基準在庫下限_要入力],MATCH($A32,M_RawMaterials[Part Name],0)),0)</f>
        <v/>
      </c>
      <c r="E32" s="19">
        <f>IFERROR(INDEX(M_RawMaterials[基準在庫上限_要入力],MATCH($A32,M_RawMaterials[Part Name],0)),0)</f>
        <v/>
      </c>
      <c r="F32" s="19">
        <f>IFERROR(LOOKUP(2,1/('T_SelfStock'!$B$18:$DA$18&lt;&gt;""),'T_SelfStock'!$B$18:$DA$18),"")</f>
        <v/>
      </c>
      <c r="G32" s="19">
        <f>IFERROR(LOOKUP(2,1/('T_TTAFStock'!$B$18:$DA$18&lt;&gt;""),'T_TTAFStock'!$B$18:$DA$18),"")</f>
        <v/>
      </c>
      <c r="H32" s="19">
        <f>IFERROR(LOOKUP(2,1/('T_SelfStock'!$B$18:$DA$18&lt;&gt;""),'T_SelfStock'!$B$5:$DA$5),"")</f>
        <v/>
      </c>
      <c r="I32" s="20" t="inlineStr">
        <is>
          <t>実在庫</t>
        </is>
      </c>
      <c r="J32" s="19">
        <f>'Grid_Stock'!DA14-'Grid_TheoreticalStock'!DA14</f>
        <v/>
      </c>
      <c r="K32" s="19">
        <f>'Grid_Stock'!B14</f>
        <v/>
      </c>
      <c r="L32" s="19">
        <f>'Grid_Stock'!C14</f>
        <v/>
      </c>
      <c r="M32" s="19">
        <f>'Grid_Stock'!D14</f>
        <v/>
      </c>
      <c r="N32" s="19">
        <f>'Grid_Stock'!E14</f>
        <v/>
      </c>
      <c r="O32" s="19">
        <f>'Grid_Stock'!F14</f>
        <v/>
      </c>
      <c r="P32" s="19">
        <f>'Grid_Stock'!G14</f>
        <v/>
      </c>
      <c r="Q32" s="19">
        <f>'Grid_Stock'!H14</f>
        <v/>
      </c>
      <c r="R32" s="19">
        <f>'Grid_Stock'!I14</f>
        <v/>
      </c>
      <c r="S32" s="19">
        <f>'Grid_Stock'!J14</f>
        <v/>
      </c>
      <c r="T32" s="19">
        <f>'Grid_Stock'!K14</f>
        <v/>
      </c>
      <c r="U32" s="19">
        <f>'Grid_Stock'!L14</f>
        <v/>
      </c>
      <c r="V32" s="19">
        <f>'Grid_Stock'!M14</f>
        <v/>
      </c>
      <c r="W32" s="19">
        <f>'Grid_Stock'!N14</f>
        <v/>
      </c>
      <c r="X32" s="19">
        <f>'Grid_Stock'!O14</f>
        <v/>
      </c>
      <c r="Y32" s="19">
        <f>'Grid_Stock'!P14</f>
        <v/>
      </c>
      <c r="Z32" s="19">
        <f>'Grid_Stock'!Q14</f>
        <v/>
      </c>
      <c r="AA32" s="19">
        <f>'Grid_Stock'!R14</f>
        <v/>
      </c>
      <c r="AB32" s="19">
        <f>'Grid_Stock'!S14</f>
        <v/>
      </c>
      <c r="AC32" s="19">
        <f>'Grid_Stock'!T14</f>
        <v/>
      </c>
      <c r="AD32" s="19">
        <f>'Grid_Stock'!U14</f>
        <v/>
      </c>
      <c r="AE32" s="19">
        <f>'Grid_Stock'!V14</f>
        <v/>
      </c>
      <c r="AF32" s="19">
        <f>'Grid_Stock'!W14</f>
        <v/>
      </c>
      <c r="AG32" s="19">
        <f>'Grid_Stock'!X14</f>
        <v/>
      </c>
      <c r="AH32" s="19">
        <f>'Grid_Stock'!Y14</f>
        <v/>
      </c>
      <c r="AI32" s="19">
        <f>'Grid_Stock'!Z14</f>
        <v/>
      </c>
      <c r="AJ32" s="19">
        <f>'Grid_Stock'!AA14</f>
        <v/>
      </c>
      <c r="AK32" s="19">
        <f>'Grid_Stock'!AB14</f>
        <v/>
      </c>
      <c r="AL32" s="19">
        <f>'Grid_Stock'!AC14</f>
        <v/>
      </c>
      <c r="AM32" s="19">
        <f>'Grid_Stock'!AD14</f>
        <v/>
      </c>
      <c r="AN32" s="19">
        <f>'Grid_Stock'!AE14</f>
        <v/>
      </c>
      <c r="AO32" s="19">
        <f>'Grid_Stock'!AF14</f>
        <v/>
      </c>
      <c r="AP32" s="19">
        <f>'Grid_Stock'!AG14</f>
        <v/>
      </c>
      <c r="AQ32" s="19">
        <f>'Grid_Stock'!AH14</f>
        <v/>
      </c>
      <c r="AR32" s="19">
        <f>'Grid_Stock'!AI14</f>
        <v/>
      </c>
      <c r="AS32" s="19">
        <f>'Grid_Stock'!AJ14</f>
        <v/>
      </c>
      <c r="AT32" s="19">
        <f>'Grid_Stock'!AK14</f>
        <v/>
      </c>
      <c r="AU32" s="19">
        <f>'Grid_Stock'!AL14</f>
        <v/>
      </c>
      <c r="AV32" s="19">
        <f>'Grid_Stock'!AM14</f>
        <v/>
      </c>
      <c r="AW32" s="19">
        <f>'Grid_Stock'!AN14</f>
        <v/>
      </c>
      <c r="AX32" s="19">
        <f>'Grid_Stock'!AO14</f>
        <v/>
      </c>
      <c r="AY32" s="19">
        <f>'Grid_Stock'!AP14</f>
        <v/>
      </c>
      <c r="AZ32" s="19">
        <f>'Grid_Stock'!AQ14</f>
        <v/>
      </c>
      <c r="BA32" s="19">
        <f>'Grid_Stock'!AR14</f>
        <v/>
      </c>
      <c r="BB32" s="19">
        <f>'Grid_Stock'!AS14</f>
        <v/>
      </c>
      <c r="BC32" s="19">
        <f>'Grid_Stock'!AT14</f>
        <v/>
      </c>
      <c r="BD32" s="19">
        <f>'Grid_Stock'!AU14</f>
        <v/>
      </c>
      <c r="BE32" s="19">
        <f>'Grid_Stock'!AV14</f>
        <v/>
      </c>
      <c r="BF32" s="19">
        <f>'Grid_Stock'!AW14</f>
        <v/>
      </c>
      <c r="BG32" s="19">
        <f>'Grid_Stock'!AX14</f>
        <v/>
      </c>
      <c r="BH32" s="19">
        <f>'Grid_Stock'!AY14</f>
        <v/>
      </c>
      <c r="BI32" s="19">
        <f>'Grid_Stock'!AZ14</f>
        <v/>
      </c>
      <c r="BJ32" s="19">
        <f>'Grid_Stock'!BA14</f>
        <v/>
      </c>
      <c r="BK32" s="19">
        <f>'Grid_Stock'!BB14</f>
        <v/>
      </c>
      <c r="BL32" s="19">
        <f>'Grid_Stock'!BC14</f>
        <v/>
      </c>
      <c r="BM32" s="19">
        <f>'Grid_Stock'!BD14</f>
        <v/>
      </c>
      <c r="BN32" s="19">
        <f>'Grid_Stock'!BE14</f>
        <v/>
      </c>
      <c r="BO32" s="19">
        <f>'Grid_Stock'!BF14</f>
        <v/>
      </c>
      <c r="BP32" s="19">
        <f>'Grid_Stock'!BG14</f>
        <v/>
      </c>
      <c r="BQ32" s="19">
        <f>'Grid_Stock'!BH14</f>
        <v/>
      </c>
      <c r="BR32" s="19">
        <f>'Grid_Stock'!BI14</f>
        <v/>
      </c>
      <c r="BS32" s="19">
        <f>'Grid_Stock'!BJ14</f>
        <v/>
      </c>
      <c r="BT32" s="19">
        <f>'Grid_Stock'!BK14</f>
        <v/>
      </c>
      <c r="BU32" s="19">
        <f>'Grid_Stock'!BL14</f>
        <v/>
      </c>
      <c r="BV32" s="19">
        <f>'Grid_Stock'!BM14</f>
        <v/>
      </c>
      <c r="BW32" s="19">
        <f>'Grid_Stock'!BN14</f>
        <v/>
      </c>
      <c r="BX32" s="19">
        <f>'Grid_Stock'!BO14</f>
        <v/>
      </c>
      <c r="BY32" s="19">
        <f>'Grid_Stock'!BP14</f>
        <v/>
      </c>
      <c r="BZ32" s="19">
        <f>'Grid_Stock'!BQ14</f>
        <v/>
      </c>
      <c r="CA32" s="19">
        <f>'Grid_Stock'!BR14</f>
        <v/>
      </c>
      <c r="CB32" s="19">
        <f>'Grid_Stock'!BS14</f>
        <v/>
      </c>
      <c r="CC32" s="19">
        <f>'Grid_Stock'!BT14</f>
        <v/>
      </c>
      <c r="CD32" s="19">
        <f>'Grid_Stock'!BU14</f>
        <v/>
      </c>
      <c r="CE32" s="19">
        <f>'Grid_Stock'!BV14</f>
        <v/>
      </c>
      <c r="CF32" s="19">
        <f>'Grid_Stock'!BW14</f>
        <v/>
      </c>
      <c r="CG32" s="19">
        <f>'Grid_Stock'!BX14</f>
        <v/>
      </c>
      <c r="CH32" s="19">
        <f>'Grid_Stock'!BY14</f>
        <v/>
      </c>
      <c r="CI32" s="19">
        <f>'Grid_Stock'!BZ14</f>
        <v/>
      </c>
      <c r="CJ32" s="19">
        <f>'Grid_Stock'!CA14</f>
        <v/>
      </c>
      <c r="CK32" s="19">
        <f>'Grid_Stock'!CB14</f>
        <v/>
      </c>
      <c r="CL32" s="19">
        <f>'Grid_Stock'!CC14</f>
        <v/>
      </c>
      <c r="CM32" s="19">
        <f>'Grid_Stock'!CD14</f>
        <v/>
      </c>
      <c r="CN32" s="19">
        <f>'Grid_Stock'!CE14</f>
        <v/>
      </c>
      <c r="CO32" s="19">
        <f>'Grid_Stock'!CF14</f>
        <v/>
      </c>
      <c r="CP32" s="19">
        <f>'Grid_Stock'!CG14</f>
        <v/>
      </c>
      <c r="CQ32" s="19">
        <f>'Grid_Stock'!CH14</f>
        <v/>
      </c>
      <c r="CR32" s="19">
        <f>'Grid_Stock'!CI14</f>
        <v/>
      </c>
      <c r="CS32" s="19">
        <f>'Grid_Stock'!CJ14</f>
        <v/>
      </c>
      <c r="CT32" s="19">
        <f>'Grid_Stock'!CK14</f>
        <v/>
      </c>
      <c r="CU32" s="19">
        <f>'Grid_Stock'!CL14</f>
        <v/>
      </c>
      <c r="CV32" s="19">
        <f>'Grid_Stock'!CM14</f>
        <v/>
      </c>
      <c r="CW32" s="19">
        <f>'Grid_Stock'!CN14</f>
        <v/>
      </c>
      <c r="CX32" s="19">
        <f>'Grid_Stock'!CO14</f>
        <v/>
      </c>
      <c r="CY32" s="19">
        <f>'Grid_Stock'!CP14</f>
        <v/>
      </c>
      <c r="CZ32" s="19">
        <f>'Grid_Stock'!CQ14</f>
        <v/>
      </c>
      <c r="DA32" s="19">
        <f>'Grid_Stock'!CR14</f>
        <v/>
      </c>
      <c r="DB32" s="19">
        <f>'Grid_Stock'!CS14</f>
        <v/>
      </c>
      <c r="DC32" s="19">
        <f>'Grid_Stock'!CT14</f>
        <v/>
      </c>
      <c r="DD32" s="19">
        <f>'Grid_Stock'!CU14</f>
        <v/>
      </c>
      <c r="DE32" s="19">
        <f>'Grid_Stock'!CV14</f>
        <v/>
      </c>
      <c r="DF32" s="19">
        <f>'Grid_Stock'!CW14</f>
        <v/>
      </c>
      <c r="DG32" s="19">
        <f>'Grid_Stock'!CX14</f>
        <v/>
      </c>
      <c r="DH32" s="19">
        <f>'Grid_Stock'!CY14</f>
        <v/>
      </c>
      <c r="DI32" s="19">
        <f>'Grid_Stock'!CZ14</f>
        <v/>
      </c>
      <c r="DJ32" s="19">
        <f>'Grid_Stock'!DA14</f>
        <v/>
      </c>
    </row>
    <row r="33">
      <c r="A33" s="17" t="inlineStr">
        <is>
          <t>5SN</t>
        </is>
      </c>
      <c r="B33" s="17">
        <f>IFERROR(INDEX(M_RawMaterials[Description],MATCH($A33,M_RawMaterials[Part Name],0)),"")</f>
        <v/>
      </c>
      <c r="C33" s="17">
        <f>IFERROR(INDEX(M_RawMaterials[Category],MATCH($A33,M_RawMaterials[Part Name],0)),"")</f>
        <v/>
      </c>
      <c r="D33" s="17">
        <f>IFERROR(INDEX(M_RawMaterials[基準在庫下限_要入力],MATCH($A33,M_RawMaterials[Part Name],0)),0)</f>
        <v/>
      </c>
      <c r="E33" s="17">
        <f>IFERROR(INDEX(M_RawMaterials[基準在庫上限_要入力],MATCH($A33,M_RawMaterials[Part Name],0)),0)</f>
        <v/>
      </c>
      <c r="F33" s="17">
        <f>IFERROR(LOOKUP(2,1/('T_SelfStock'!$B$19:$DA$19&lt;&gt;""),'T_SelfStock'!$B$19:$DA$19),"")</f>
        <v/>
      </c>
      <c r="G33" s="17">
        <f>IFERROR(LOOKUP(2,1/('T_TTAFStock'!$B$19:$DA$19&lt;&gt;""),'T_TTAFStock'!$B$19:$DA$19),"")</f>
        <v/>
      </c>
      <c r="H33" s="17">
        <f>IFERROR(LOOKUP(2,1/('T_SelfStock'!$B$19:$DA$19&lt;&gt;""),'T_SelfStock'!$B$5:$DA$5),"")</f>
        <v/>
      </c>
      <c r="I33" s="18" t="inlineStr">
        <is>
          <t>理論在庫</t>
        </is>
      </c>
      <c r="J33" s="17">
        <f>'Grid_Stock'!DA15-'Grid_TheoreticalStock'!DA15</f>
        <v/>
      </c>
      <c r="K33" s="18">
        <f>'Grid_TheoreticalStock'!B15</f>
        <v/>
      </c>
      <c r="L33" s="18">
        <f>'Grid_TheoreticalStock'!C15</f>
        <v/>
      </c>
      <c r="M33" s="18">
        <f>'Grid_TheoreticalStock'!D15</f>
        <v/>
      </c>
      <c r="N33" s="18">
        <f>'Grid_TheoreticalStock'!E15</f>
        <v/>
      </c>
      <c r="O33" s="18">
        <f>'Grid_TheoreticalStock'!F15</f>
        <v/>
      </c>
      <c r="P33" s="18">
        <f>'Grid_TheoreticalStock'!G15</f>
        <v/>
      </c>
      <c r="Q33" s="18">
        <f>'Grid_TheoreticalStock'!H15</f>
        <v/>
      </c>
      <c r="R33" s="18">
        <f>'Grid_TheoreticalStock'!I15</f>
        <v/>
      </c>
      <c r="S33" s="18">
        <f>'Grid_TheoreticalStock'!J15</f>
        <v/>
      </c>
      <c r="T33" s="18">
        <f>'Grid_TheoreticalStock'!K15</f>
        <v/>
      </c>
      <c r="U33" s="18">
        <f>'Grid_TheoreticalStock'!L15</f>
        <v/>
      </c>
      <c r="V33" s="18">
        <f>'Grid_TheoreticalStock'!M15</f>
        <v/>
      </c>
      <c r="W33" s="18">
        <f>'Grid_TheoreticalStock'!N15</f>
        <v/>
      </c>
      <c r="X33" s="18">
        <f>'Grid_TheoreticalStock'!O15</f>
        <v/>
      </c>
      <c r="Y33" s="18">
        <f>'Grid_TheoreticalStock'!P15</f>
        <v/>
      </c>
      <c r="Z33" s="18">
        <f>'Grid_TheoreticalStock'!Q15</f>
        <v/>
      </c>
      <c r="AA33" s="18">
        <f>'Grid_TheoreticalStock'!R15</f>
        <v/>
      </c>
      <c r="AB33" s="18">
        <f>'Grid_TheoreticalStock'!S15</f>
        <v/>
      </c>
      <c r="AC33" s="18">
        <f>'Grid_TheoreticalStock'!T15</f>
        <v/>
      </c>
      <c r="AD33" s="18">
        <f>'Grid_TheoreticalStock'!U15</f>
        <v/>
      </c>
      <c r="AE33" s="18">
        <f>'Grid_TheoreticalStock'!V15</f>
        <v/>
      </c>
      <c r="AF33" s="18">
        <f>'Grid_TheoreticalStock'!W15</f>
        <v/>
      </c>
      <c r="AG33" s="18">
        <f>'Grid_TheoreticalStock'!X15</f>
        <v/>
      </c>
      <c r="AH33" s="18">
        <f>'Grid_TheoreticalStock'!Y15</f>
        <v/>
      </c>
      <c r="AI33" s="18">
        <f>'Grid_TheoreticalStock'!Z15</f>
        <v/>
      </c>
      <c r="AJ33" s="18">
        <f>'Grid_TheoreticalStock'!AA15</f>
        <v/>
      </c>
      <c r="AK33" s="18">
        <f>'Grid_TheoreticalStock'!AB15</f>
        <v/>
      </c>
      <c r="AL33" s="18">
        <f>'Grid_TheoreticalStock'!AC15</f>
        <v/>
      </c>
      <c r="AM33" s="18">
        <f>'Grid_TheoreticalStock'!AD15</f>
        <v/>
      </c>
      <c r="AN33" s="18">
        <f>'Grid_TheoreticalStock'!AE15</f>
        <v/>
      </c>
      <c r="AO33" s="18">
        <f>'Grid_TheoreticalStock'!AF15</f>
        <v/>
      </c>
      <c r="AP33" s="18">
        <f>'Grid_TheoreticalStock'!AG15</f>
        <v/>
      </c>
      <c r="AQ33" s="18">
        <f>'Grid_TheoreticalStock'!AH15</f>
        <v/>
      </c>
      <c r="AR33" s="18">
        <f>'Grid_TheoreticalStock'!AI15</f>
        <v/>
      </c>
      <c r="AS33" s="18">
        <f>'Grid_TheoreticalStock'!AJ15</f>
        <v/>
      </c>
      <c r="AT33" s="18">
        <f>'Grid_TheoreticalStock'!AK15</f>
        <v/>
      </c>
      <c r="AU33" s="18">
        <f>'Grid_TheoreticalStock'!AL15</f>
        <v/>
      </c>
      <c r="AV33" s="18">
        <f>'Grid_TheoreticalStock'!AM15</f>
        <v/>
      </c>
      <c r="AW33" s="18">
        <f>'Grid_TheoreticalStock'!AN15</f>
        <v/>
      </c>
      <c r="AX33" s="18">
        <f>'Grid_TheoreticalStock'!AO15</f>
        <v/>
      </c>
      <c r="AY33" s="18">
        <f>'Grid_TheoreticalStock'!AP15</f>
        <v/>
      </c>
      <c r="AZ33" s="18">
        <f>'Grid_TheoreticalStock'!AQ15</f>
        <v/>
      </c>
      <c r="BA33" s="18">
        <f>'Grid_TheoreticalStock'!AR15</f>
        <v/>
      </c>
      <c r="BB33" s="18">
        <f>'Grid_TheoreticalStock'!AS15</f>
        <v/>
      </c>
      <c r="BC33" s="18">
        <f>'Grid_TheoreticalStock'!AT15</f>
        <v/>
      </c>
      <c r="BD33" s="18">
        <f>'Grid_TheoreticalStock'!AU15</f>
        <v/>
      </c>
      <c r="BE33" s="18">
        <f>'Grid_TheoreticalStock'!AV15</f>
        <v/>
      </c>
      <c r="BF33" s="18">
        <f>'Grid_TheoreticalStock'!AW15</f>
        <v/>
      </c>
      <c r="BG33" s="18">
        <f>'Grid_TheoreticalStock'!AX15</f>
        <v/>
      </c>
      <c r="BH33" s="18">
        <f>'Grid_TheoreticalStock'!AY15</f>
        <v/>
      </c>
      <c r="BI33" s="18">
        <f>'Grid_TheoreticalStock'!AZ15</f>
        <v/>
      </c>
      <c r="BJ33" s="18">
        <f>'Grid_TheoreticalStock'!BA15</f>
        <v/>
      </c>
      <c r="BK33" s="18">
        <f>'Grid_TheoreticalStock'!BB15</f>
        <v/>
      </c>
      <c r="BL33" s="18">
        <f>'Grid_TheoreticalStock'!BC15</f>
        <v/>
      </c>
      <c r="BM33" s="18">
        <f>'Grid_TheoreticalStock'!BD15</f>
        <v/>
      </c>
      <c r="BN33" s="18">
        <f>'Grid_TheoreticalStock'!BE15</f>
        <v/>
      </c>
      <c r="BO33" s="18">
        <f>'Grid_TheoreticalStock'!BF15</f>
        <v/>
      </c>
      <c r="BP33" s="18">
        <f>'Grid_TheoreticalStock'!BG15</f>
        <v/>
      </c>
      <c r="BQ33" s="18">
        <f>'Grid_TheoreticalStock'!BH15</f>
        <v/>
      </c>
      <c r="BR33" s="18">
        <f>'Grid_TheoreticalStock'!BI15</f>
        <v/>
      </c>
      <c r="BS33" s="18">
        <f>'Grid_TheoreticalStock'!BJ15</f>
        <v/>
      </c>
      <c r="BT33" s="18">
        <f>'Grid_TheoreticalStock'!BK15</f>
        <v/>
      </c>
      <c r="BU33" s="18">
        <f>'Grid_TheoreticalStock'!BL15</f>
        <v/>
      </c>
      <c r="BV33" s="18">
        <f>'Grid_TheoreticalStock'!BM15</f>
        <v/>
      </c>
      <c r="BW33" s="18">
        <f>'Grid_TheoreticalStock'!BN15</f>
        <v/>
      </c>
      <c r="BX33" s="18">
        <f>'Grid_TheoreticalStock'!BO15</f>
        <v/>
      </c>
      <c r="BY33" s="18">
        <f>'Grid_TheoreticalStock'!BP15</f>
        <v/>
      </c>
      <c r="BZ33" s="18">
        <f>'Grid_TheoreticalStock'!BQ15</f>
        <v/>
      </c>
      <c r="CA33" s="18">
        <f>'Grid_TheoreticalStock'!BR15</f>
        <v/>
      </c>
      <c r="CB33" s="18">
        <f>'Grid_TheoreticalStock'!BS15</f>
        <v/>
      </c>
      <c r="CC33" s="18">
        <f>'Grid_TheoreticalStock'!BT15</f>
        <v/>
      </c>
      <c r="CD33" s="18">
        <f>'Grid_TheoreticalStock'!BU15</f>
        <v/>
      </c>
      <c r="CE33" s="18">
        <f>'Grid_TheoreticalStock'!BV15</f>
        <v/>
      </c>
      <c r="CF33" s="18">
        <f>'Grid_TheoreticalStock'!BW15</f>
        <v/>
      </c>
      <c r="CG33" s="18">
        <f>'Grid_TheoreticalStock'!BX15</f>
        <v/>
      </c>
      <c r="CH33" s="18">
        <f>'Grid_TheoreticalStock'!BY15</f>
        <v/>
      </c>
      <c r="CI33" s="18">
        <f>'Grid_TheoreticalStock'!BZ15</f>
        <v/>
      </c>
      <c r="CJ33" s="18">
        <f>'Grid_TheoreticalStock'!CA15</f>
        <v/>
      </c>
      <c r="CK33" s="18">
        <f>'Grid_TheoreticalStock'!CB15</f>
        <v/>
      </c>
      <c r="CL33" s="18">
        <f>'Grid_TheoreticalStock'!CC15</f>
        <v/>
      </c>
      <c r="CM33" s="18">
        <f>'Grid_TheoreticalStock'!CD15</f>
        <v/>
      </c>
      <c r="CN33" s="18">
        <f>'Grid_TheoreticalStock'!CE15</f>
        <v/>
      </c>
      <c r="CO33" s="18">
        <f>'Grid_TheoreticalStock'!CF15</f>
        <v/>
      </c>
      <c r="CP33" s="18">
        <f>'Grid_TheoreticalStock'!CG15</f>
        <v/>
      </c>
      <c r="CQ33" s="18">
        <f>'Grid_TheoreticalStock'!CH15</f>
        <v/>
      </c>
      <c r="CR33" s="18">
        <f>'Grid_TheoreticalStock'!CI15</f>
        <v/>
      </c>
      <c r="CS33" s="18">
        <f>'Grid_TheoreticalStock'!CJ15</f>
        <v/>
      </c>
      <c r="CT33" s="18">
        <f>'Grid_TheoreticalStock'!CK15</f>
        <v/>
      </c>
      <c r="CU33" s="18">
        <f>'Grid_TheoreticalStock'!CL15</f>
        <v/>
      </c>
      <c r="CV33" s="18">
        <f>'Grid_TheoreticalStock'!CM15</f>
        <v/>
      </c>
      <c r="CW33" s="18">
        <f>'Grid_TheoreticalStock'!CN15</f>
        <v/>
      </c>
      <c r="CX33" s="18">
        <f>'Grid_TheoreticalStock'!CO15</f>
        <v/>
      </c>
      <c r="CY33" s="18">
        <f>'Grid_TheoreticalStock'!CP15</f>
        <v/>
      </c>
      <c r="CZ33" s="18">
        <f>'Grid_TheoreticalStock'!CQ15</f>
        <v/>
      </c>
      <c r="DA33" s="18">
        <f>'Grid_TheoreticalStock'!CR15</f>
        <v/>
      </c>
      <c r="DB33" s="18">
        <f>'Grid_TheoreticalStock'!CS15</f>
        <v/>
      </c>
      <c r="DC33" s="18">
        <f>'Grid_TheoreticalStock'!CT15</f>
        <v/>
      </c>
      <c r="DD33" s="18">
        <f>'Grid_TheoreticalStock'!CU15</f>
        <v/>
      </c>
      <c r="DE33" s="18">
        <f>'Grid_TheoreticalStock'!CV15</f>
        <v/>
      </c>
      <c r="DF33" s="18">
        <f>'Grid_TheoreticalStock'!CW15</f>
        <v/>
      </c>
      <c r="DG33" s="18">
        <f>'Grid_TheoreticalStock'!CX15</f>
        <v/>
      </c>
      <c r="DH33" s="18">
        <f>'Grid_TheoreticalStock'!CY15</f>
        <v/>
      </c>
      <c r="DI33" s="18">
        <f>'Grid_TheoreticalStock'!CZ15</f>
        <v/>
      </c>
      <c r="DJ33" s="18">
        <f>'Grid_TheoreticalStock'!DA15</f>
        <v/>
      </c>
    </row>
    <row r="34">
      <c r="A34" s="19" t="inlineStr">
        <is>
          <t>5SN</t>
        </is>
      </c>
      <c r="B34" s="19">
        <f>IFERROR(INDEX(M_RawMaterials[Description],MATCH($A34,M_RawMaterials[Part Name],0)),"")</f>
        <v/>
      </c>
      <c r="C34" s="19">
        <f>IFERROR(INDEX(M_RawMaterials[Category],MATCH($A34,M_RawMaterials[Part Name],0)),"")</f>
        <v/>
      </c>
      <c r="D34" s="19">
        <f>IFERROR(INDEX(M_RawMaterials[基準在庫下限_要入力],MATCH($A34,M_RawMaterials[Part Name],0)),0)</f>
        <v/>
      </c>
      <c r="E34" s="19">
        <f>IFERROR(INDEX(M_RawMaterials[基準在庫上限_要入力],MATCH($A34,M_RawMaterials[Part Name],0)),0)</f>
        <v/>
      </c>
      <c r="F34" s="19">
        <f>IFERROR(LOOKUP(2,1/('T_SelfStock'!$B$19:$DA$19&lt;&gt;""),'T_SelfStock'!$B$19:$DA$19),"")</f>
        <v/>
      </c>
      <c r="G34" s="19">
        <f>IFERROR(LOOKUP(2,1/('T_TTAFStock'!$B$19:$DA$19&lt;&gt;""),'T_TTAFStock'!$B$19:$DA$19),"")</f>
        <v/>
      </c>
      <c r="H34" s="19">
        <f>IFERROR(LOOKUP(2,1/('T_SelfStock'!$B$19:$DA$19&lt;&gt;""),'T_SelfStock'!$B$5:$DA$5),"")</f>
        <v/>
      </c>
      <c r="I34" s="20" t="inlineStr">
        <is>
          <t>実在庫</t>
        </is>
      </c>
      <c r="J34" s="19">
        <f>'Grid_Stock'!DA15-'Grid_TheoreticalStock'!DA15</f>
        <v/>
      </c>
      <c r="K34" s="19">
        <f>'Grid_Stock'!B15</f>
        <v/>
      </c>
      <c r="L34" s="19">
        <f>'Grid_Stock'!C15</f>
        <v/>
      </c>
      <c r="M34" s="19">
        <f>'Grid_Stock'!D15</f>
        <v/>
      </c>
      <c r="N34" s="19">
        <f>'Grid_Stock'!E15</f>
        <v/>
      </c>
      <c r="O34" s="19">
        <f>'Grid_Stock'!F15</f>
        <v/>
      </c>
      <c r="P34" s="19">
        <f>'Grid_Stock'!G15</f>
        <v/>
      </c>
      <c r="Q34" s="19">
        <f>'Grid_Stock'!H15</f>
        <v/>
      </c>
      <c r="R34" s="19">
        <f>'Grid_Stock'!I15</f>
        <v/>
      </c>
      <c r="S34" s="19">
        <f>'Grid_Stock'!J15</f>
        <v/>
      </c>
      <c r="T34" s="19">
        <f>'Grid_Stock'!K15</f>
        <v/>
      </c>
      <c r="U34" s="19">
        <f>'Grid_Stock'!L15</f>
        <v/>
      </c>
      <c r="V34" s="19">
        <f>'Grid_Stock'!M15</f>
        <v/>
      </c>
      <c r="W34" s="19">
        <f>'Grid_Stock'!N15</f>
        <v/>
      </c>
      <c r="X34" s="19">
        <f>'Grid_Stock'!O15</f>
        <v/>
      </c>
      <c r="Y34" s="19">
        <f>'Grid_Stock'!P15</f>
        <v/>
      </c>
      <c r="Z34" s="19">
        <f>'Grid_Stock'!Q15</f>
        <v/>
      </c>
      <c r="AA34" s="19">
        <f>'Grid_Stock'!R15</f>
        <v/>
      </c>
      <c r="AB34" s="19">
        <f>'Grid_Stock'!S15</f>
        <v/>
      </c>
      <c r="AC34" s="19">
        <f>'Grid_Stock'!T15</f>
        <v/>
      </c>
      <c r="AD34" s="19">
        <f>'Grid_Stock'!U15</f>
        <v/>
      </c>
      <c r="AE34" s="19">
        <f>'Grid_Stock'!V15</f>
        <v/>
      </c>
      <c r="AF34" s="19">
        <f>'Grid_Stock'!W15</f>
        <v/>
      </c>
      <c r="AG34" s="19">
        <f>'Grid_Stock'!X15</f>
        <v/>
      </c>
      <c r="AH34" s="19">
        <f>'Grid_Stock'!Y15</f>
        <v/>
      </c>
      <c r="AI34" s="19">
        <f>'Grid_Stock'!Z15</f>
        <v/>
      </c>
      <c r="AJ34" s="19">
        <f>'Grid_Stock'!AA15</f>
        <v/>
      </c>
      <c r="AK34" s="19">
        <f>'Grid_Stock'!AB15</f>
        <v/>
      </c>
      <c r="AL34" s="19">
        <f>'Grid_Stock'!AC15</f>
        <v/>
      </c>
      <c r="AM34" s="19">
        <f>'Grid_Stock'!AD15</f>
        <v/>
      </c>
      <c r="AN34" s="19">
        <f>'Grid_Stock'!AE15</f>
        <v/>
      </c>
      <c r="AO34" s="19">
        <f>'Grid_Stock'!AF15</f>
        <v/>
      </c>
      <c r="AP34" s="19">
        <f>'Grid_Stock'!AG15</f>
        <v/>
      </c>
      <c r="AQ34" s="19">
        <f>'Grid_Stock'!AH15</f>
        <v/>
      </c>
      <c r="AR34" s="19">
        <f>'Grid_Stock'!AI15</f>
        <v/>
      </c>
      <c r="AS34" s="19">
        <f>'Grid_Stock'!AJ15</f>
        <v/>
      </c>
      <c r="AT34" s="19">
        <f>'Grid_Stock'!AK15</f>
        <v/>
      </c>
      <c r="AU34" s="19">
        <f>'Grid_Stock'!AL15</f>
        <v/>
      </c>
      <c r="AV34" s="19">
        <f>'Grid_Stock'!AM15</f>
        <v/>
      </c>
      <c r="AW34" s="19">
        <f>'Grid_Stock'!AN15</f>
        <v/>
      </c>
      <c r="AX34" s="19">
        <f>'Grid_Stock'!AO15</f>
        <v/>
      </c>
      <c r="AY34" s="19">
        <f>'Grid_Stock'!AP15</f>
        <v/>
      </c>
      <c r="AZ34" s="19">
        <f>'Grid_Stock'!AQ15</f>
        <v/>
      </c>
      <c r="BA34" s="19">
        <f>'Grid_Stock'!AR15</f>
        <v/>
      </c>
      <c r="BB34" s="19">
        <f>'Grid_Stock'!AS15</f>
        <v/>
      </c>
      <c r="BC34" s="19">
        <f>'Grid_Stock'!AT15</f>
        <v/>
      </c>
      <c r="BD34" s="19">
        <f>'Grid_Stock'!AU15</f>
        <v/>
      </c>
      <c r="BE34" s="19">
        <f>'Grid_Stock'!AV15</f>
        <v/>
      </c>
      <c r="BF34" s="19">
        <f>'Grid_Stock'!AW15</f>
        <v/>
      </c>
      <c r="BG34" s="19">
        <f>'Grid_Stock'!AX15</f>
        <v/>
      </c>
      <c r="BH34" s="19">
        <f>'Grid_Stock'!AY15</f>
        <v/>
      </c>
      <c r="BI34" s="19">
        <f>'Grid_Stock'!AZ15</f>
        <v/>
      </c>
      <c r="BJ34" s="19">
        <f>'Grid_Stock'!BA15</f>
        <v/>
      </c>
      <c r="BK34" s="19">
        <f>'Grid_Stock'!BB15</f>
        <v/>
      </c>
      <c r="BL34" s="19">
        <f>'Grid_Stock'!BC15</f>
        <v/>
      </c>
      <c r="BM34" s="19">
        <f>'Grid_Stock'!BD15</f>
        <v/>
      </c>
      <c r="BN34" s="19">
        <f>'Grid_Stock'!BE15</f>
        <v/>
      </c>
      <c r="BO34" s="19">
        <f>'Grid_Stock'!BF15</f>
        <v/>
      </c>
      <c r="BP34" s="19">
        <f>'Grid_Stock'!BG15</f>
        <v/>
      </c>
      <c r="BQ34" s="19">
        <f>'Grid_Stock'!BH15</f>
        <v/>
      </c>
      <c r="BR34" s="19">
        <f>'Grid_Stock'!BI15</f>
        <v/>
      </c>
      <c r="BS34" s="19">
        <f>'Grid_Stock'!BJ15</f>
        <v/>
      </c>
      <c r="BT34" s="19">
        <f>'Grid_Stock'!BK15</f>
        <v/>
      </c>
      <c r="BU34" s="19">
        <f>'Grid_Stock'!BL15</f>
        <v/>
      </c>
      <c r="BV34" s="19">
        <f>'Grid_Stock'!BM15</f>
        <v/>
      </c>
      <c r="BW34" s="19">
        <f>'Grid_Stock'!BN15</f>
        <v/>
      </c>
      <c r="BX34" s="19">
        <f>'Grid_Stock'!BO15</f>
        <v/>
      </c>
      <c r="BY34" s="19">
        <f>'Grid_Stock'!BP15</f>
        <v/>
      </c>
      <c r="BZ34" s="19">
        <f>'Grid_Stock'!BQ15</f>
        <v/>
      </c>
      <c r="CA34" s="19">
        <f>'Grid_Stock'!BR15</f>
        <v/>
      </c>
      <c r="CB34" s="19">
        <f>'Grid_Stock'!BS15</f>
        <v/>
      </c>
      <c r="CC34" s="19">
        <f>'Grid_Stock'!BT15</f>
        <v/>
      </c>
      <c r="CD34" s="19">
        <f>'Grid_Stock'!BU15</f>
        <v/>
      </c>
      <c r="CE34" s="19">
        <f>'Grid_Stock'!BV15</f>
        <v/>
      </c>
      <c r="CF34" s="19">
        <f>'Grid_Stock'!BW15</f>
        <v/>
      </c>
      <c r="CG34" s="19">
        <f>'Grid_Stock'!BX15</f>
        <v/>
      </c>
      <c r="CH34" s="19">
        <f>'Grid_Stock'!BY15</f>
        <v/>
      </c>
      <c r="CI34" s="19">
        <f>'Grid_Stock'!BZ15</f>
        <v/>
      </c>
      <c r="CJ34" s="19">
        <f>'Grid_Stock'!CA15</f>
        <v/>
      </c>
      <c r="CK34" s="19">
        <f>'Grid_Stock'!CB15</f>
        <v/>
      </c>
      <c r="CL34" s="19">
        <f>'Grid_Stock'!CC15</f>
        <v/>
      </c>
      <c r="CM34" s="19">
        <f>'Grid_Stock'!CD15</f>
        <v/>
      </c>
      <c r="CN34" s="19">
        <f>'Grid_Stock'!CE15</f>
        <v/>
      </c>
      <c r="CO34" s="19">
        <f>'Grid_Stock'!CF15</f>
        <v/>
      </c>
      <c r="CP34" s="19">
        <f>'Grid_Stock'!CG15</f>
        <v/>
      </c>
      <c r="CQ34" s="19">
        <f>'Grid_Stock'!CH15</f>
        <v/>
      </c>
      <c r="CR34" s="19">
        <f>'Grid_Stock'!CI15</f>
        <v/>
      </c>
      <c r="CS34" s="19">
        <f>'Grid_Stock'!CJ15</f>
        <v/>
      </c>
      <c r="CT34" s="19">
        <f>'Grid_Stock'!CK15</f>
        <v/>
      </c>
      <c r="CU34" s="19">
        <f>'Grid_Stock'!CL15</f>
        <v/>
      </c>
      <c r="CV34" s="19">
        <f>'Grid_Stock'!CM15</f>
        <v/>
      </c>
      <c r="CW34" s="19">
        <f>'Grid_Stock'!CN15</f>
        <v/>
      </c>
      <c r="CX34" s="19">
        <f>'Grid_Stock'!CO15</f>
        <v/>
      </c>
      <c r="CY34" s="19">
        <f>'Grid_Stock'!CP15</f>
        <v/>
      </c>
      <c r="CZ34" s="19">
        <f>'Grid_Stock'!CQ15</f>
        <v/>
      </c>
      <c r="DA34" s="19">
        <f>'Grid_Stock'!CR15</f>
        <v/>
      </c>
      <c r="DB34" s="19">
        <f>'Grid_Stock'!CS15</f>
        <v/>
      </c>
      <c r="DC34" s="19">
        <f>'Grid_Stock'!CT15</f>
        <v/>
      </c>
      <c r="DD34" s="19">
        <f>'Grid_Stock'!CU15</f>
        <v/>
      </c>
      <c r="DE34" s="19">
        <f>'Grid_Stock'!CV15</f>
        <v/>
      </c>
      <c r="DF34" s="19">
        <f>'Grid_Stock'!CW15</f>
        <v/>
      </c>
      <c r="DG34" s="19">
        <f>'Grid_Stock'!CX15</f>
        <v/>
      </c>
      <c r="DH34" s="19">
        <f>'Grid_Stock'!CY15</f>
        <v/>
      </c>
      <c r="DI34" s="19">
        <f>'Grid_Stock'!CZ15</f>
        <v/>
      </c>
      <c r="DJ34" s="19">
        <f>'Grid_Stock'!DA15</f>
        <v/>
      </c>
    </row>
    <row r="35">
      <c r="A35" s="17" t="inlineStr">
        <is>
          <t>8EN</t>
        </is>
      </c>
      <c r="B35" s="17">
        <f>IFERROR(INDEX(M_RawMaterials[Description],MATCH($A35,M_RawMaterials[Part Name],0)),"")</f>
        <v/>
      </c>
      <c r="C35" s="17">
        <f>IFERROR(INDEX(M_RawMaterials[Category],MATCH($A35,M_RawMaterials[Part Name],0)),"")</f>
        <v/>
      </c>
      <c r="D35" s="17">
        <f>IFERROR(INDEX(M_RawMaterials[基準在庫下限_要入力],MATCH($A35,M_RawMaterials[Part Name],0)),0)</f>
        <v/>
      </c>
      <c r="E35" s="17">
        <f>IFERROR(INDEX(M_RawMaterials[基準在庫上限_要入力],MATCH($A35,M_RawMaterials[Part Name],0)),0)</f>
        <v/>
      </c>
      <c r="F35" s="17">
        <f>IFERROR(LOOKUP(2,1/('T_SelfStock'!$B$20:$DA$20&lt;&gt;""),'T_SelfStock'!$B$20:$DA$20),"")</f>
        <v/>
      </c>
      <c r="G35" s="17">
        <f>IFERROR(LOOKUP(2,1/('T_TTAFStock'!$B$20:$DA$20&lt;&gt;""),'T_TTAFStock'!$B$20:$DA$20),"")</f>
        <v/>
      </c>
      <c r="H35" s="17">
        <f>IFERROR(LOOKUP(2,1/('T_SelfStock'!$B$20:$DA$20&lt;&gt;""),'T_SelfStock'!$B$5:$DA$5),"")</f>
        <v/>
      </c>
      <c r="I35" s="18" t="inlineStr">
        <is>
          <t>理論在庫</t>
        </is>
      </c>
      <c r="J35" s="17">
        <f>'Grid_Stock'!DA16-'Grid_TheoreticalStock'!DA16</f>
        <v/>
      </c>
      <c r="K35" s="18">
        <f>'Grid_TheoreticalStock'!B16</f>
        <v/>
      </c>
      <c r="L35" s="18">
        <f>'Grid_TheoreticalStock'!C16</f>
        <v/>
      </c>
      <c r="M35" s="18">
        <f>'Grid_TheoreticalStock'!D16</f>
        <v/>
      </c>
      <c r="N35" s="18">
        <f>'Grid_TheoreticalStock'!E16</f>
        <v/>
      </c>
      <c r="O35" s="18">
        <f>'Grid_TheoreticalStock'!F16</f>
        <v/>
      </c>
      <c r="P35" s="18">
        <f>'Grid_TheoreticalStock'!G16</f>
        <v/>
      </c>
      <c r="Q35" s="18">
        <f>'Grid_TheoreticalStock'!H16</f>
        <v/>
      </c>
      <c r="R35" s="18">
        <f>'Grid_TheoreticalStock'!I16</f>
        <v/>
      </c>
      <c r="S35" s="18">
        <f>'Grid_TheoreticalStock'!J16</f>
        <v/>
      </c>
      <c r="T35" s="18">
        <f>'Grid_TheoreticalStock'!K16</f>
        <v/>
      </c>
      <c r="U35" s="18">
        <f>'Grid_TheoreticalStock'!L16</f>
        <v/>
      </c>
      <c r="V35" s="18">
        <f>'Grid_TheoreticalStock'!M16</f>
        <v/>
      </c>
      <c r="W35" s="18">
        <f>'Grid_TheoreticalStock'!N16</f>
        <v/>
      </c>
      <c r="X35" s="18">
        <f>'Grid_TheoreticalStock'!O16</f>
        <v/>
      </c>
      <c r="Y35" s="18">
        <f>'Grid_TheoreticalStock'!P16</f>
        <v/>
      </c>
      <c r="Z35" s="18">
        <f>'Grid_TheoreticalStock'!Q16</f>
        <v/>
      </c>
      <c r="AA35" s="18">
        <f>'Grid_TheoreticalStock'!R16</f>
        <v/>
      </c>
      <c r="AB35" s="18">
        <f>'Grid_TheoreticalStock'!S16</f>
        <v/>
      </c>
      <c r="AC35" s="18">
        <f>'Grid_TheoreticalStock'!T16</f>
        <v/>
      </c>
      <c r="AD35" s="18">
        <f>'Grid_TheoreticalStock'!U16</f>
        <v/>
      </c>
      <c r="AE35" s="18">
        <f>'Grid_TheoreticalStock'!V16</f>
        <v/>
      </c>
      <c r="AF35" s="18">
        <f>'Grid_TheoreticalStock'!W16</f>
        <v/>
      </c>
      <c r="AG35" s="18">
        <f>'Grid_TheoreticalStock'!X16</f>
        <v/>
      </c>
      <c r="AH35" s="18">
        <f>'Grid_TheoreticalStock'!Y16</f>
        <v/>
      </c>
      <c r="AI35" s="18">
        <f>'Grid_TheoreticalStock'!Z16</f>
        <v/>
      </c>
      <c r="AJ35" s="18">
        <f>'Grid_TheoreticalStock'!AA16</f>
        <v/>
      </c>
      <c r="AK35" s="18">
        <f>'Grid_TheoreticalStock'!AB16</f>
        <v/>
      </c>
      <c r="AL35" s="18">
        <f>'Grid_TheoreticalStock'!AC16</f>
        <v/>
      </c>
      <c r="AM35" s="18">
        <f>'Grid_TheoreticalStock'!AD16</f>
        <v/>
      </c>
      <c r="AN35" s="18">
        <f>'Grid_TheoreticalStock'!AE16</f>
        <v/>
      </c>
      <c r="AO35" s="18">
        <f>'Grid_TheoreticalStock'!AF16</f>
        <v/>
      </c>
      <c r="AP35" s="18">
        <f>'Grid_TheoreticalStock'!AG16</f>
        <v/>
      </c>
      <c r="AQ35" s="18">
        <f>'Grid_TheoreticalStock'!AH16</f>
        <v/>
      </c>
      <c r="AR35" s="18">
        <f>'Grid_TheoreticalStock'!AI16</f>
        <v/>
      </c>
      <c r="AS35" s="18">
        <f>'Grid_TheoreticalStock'!AJ16</f>
        <v/>
      </c>
      <c r="AT35" s="18">
        <f>'Grid_TheoreticalStock'!AK16</f>
        <v/>
      </c>
      <c r="AU35" s="18">
        <f>'Grid_TheoreticalStock'!AL16</f>
        <v/>
      </c>
      <c r="AV35" s="18">
        <f>'Grid_TheoreticalStock'!AM16</f>
        <v/>
      </c>
      <c r="AW35" s="18">
        <f>'Grid_TheoreticalStock'!AN16</f>
        <v/>
      </c>
      <c r="AX35" s="18">
        <f>'Grid_TheoreticalStock'!AO16</f>
        <v/>
      </c>
      <c r="AY35" s="18">
        <f>'Grid_TheoreticalStock'!AP16</f>
        <v/>
      </c>
      <c r="AZ35" s="18">
        <f>'Grid_TheoreticalStock'!AQ16</f>
        <v/>
      </c>
      <c r="BA35" s="18">
        <f>'Grid_TheoreticalStock'!AR16</f>
        <v/>
      </c>
      <c r="BB35" s="18">
        <f>'Grid_TheoreticalStock'!AS16</f>
        <v/>
      </c>
      <c r="BC35" s="18">
        <f>'Grid_TheoreticalStock'!AT16</f>
        <v/>
      </c>
      <c r="BD35" s="18">
        <f>'Grid_TheoreticalStock'!AU16</f>
        <v/>
      </c>
      <c r="BE35" s="18">
        <f>'Grid_TheoreticalStock'!AV16</f>
        <v/>
      </c>
      <c r="BF35" s="18">
        <f>'Grid_TheoreticalStock'!AW16</f>
        <v/>
      </c>
      <c r="BG35" s="18">
        <f>'Grid_TheoreticalStock'!AX16</f>
        <v/>
      </c>
      <c r="BH35" s="18">
        <f>'Grid_TheoreticalStock'!AY16</f>
        <v/>
      </c>
      <c r="BI35" s="18">
        <f>'Grid_TheoreticalStock'!AZ16</f>
        <v/>
      </c>
      <c r="BJ35" s="18">
        <f>'Grid_TheoreticalStock'!BA16</f>
        <v/>
      </c>
      <c r="BK35" s="18">
        <f>'Grid_TheoreticalStock'!BB16</f>
        <v/>
      </c>
      <c r="BL35" s="18">
        <f>'Grid_TheoreticalStock'!BC16</f>
        <v/>
      </c>
      <c r="BM35" s="18">
        <f>'Grid_TheoreticalStock'!BD16</f>
        <v/>
      </c>
      <c r="BN35" s="18">
        <f>'Grid_TheoreticalStock'!BE16</f>
        <v/>
      </c>
      <c r="BO35" s="18">
        <f>'Grid_TheoreticalStock'!BF16</f>
        <v/>
      </c>
      <c r="BP35" s="18">
        <f>'Grid_TheoreticalStock'!BG16</f>
        <v/>
      </c>
      <c r="BQ35" s="18">
        <f>'Grid_TheoreticalStock'!BH16</f>
        <v/>
      </c>
      <c r="BR35" s="18">
        <f>'Grid_TheoreticalStock'!BI16</f>
        <v/>
      </c>
      <c r="BS35" s="18">
        <f>'Grid_TheoreticalStock'!BJ16</f>
        <v/>
      </c>
      <c r="BT35" s="18">
        <f>'Grid_TheoreticalStock'!BK16</f>
        <v/>
      </c>
      <c r="BU35" s="18">
        <f>'Grid_TheoreticalStock'!BL16</f>
        <v/>
      </c>
      <c r="BV35" s="18">
        <f>'Grid_TheoreticalStock'!BM16</f>
        <v/>
      </c>
      <c r="BW35" s="18">
        <f>'Grid_TheoreticalStock'!BN16</f>
        <v/>
      </c>
      <c r="BX35" s="18">
        <f>'Grid_TheoreticalStock'!BO16</f>
        <v/>
      </c>
      <c r="BY35" s="18">
        <f>'Grid_TheoreticalStock'!BP16</f>
        <v/>
      </c>
      <c r="BZ35" s="18">
        <f>'Grid_TheoreticalStock'!BQ16</f>
        <v/>
      </c>
      <c r="CA35" s="18">
        <f>'Grid_TheoreticalStock'!BR16</f>
        <v/>
      </c>
      <c r="CB35" s="18">
        <f>'Grid_TheoreticalStock'!BS16</f>
        <v/>
      </c>
      <c r="CC35" s="18">
        <f>'Grid_TheoreticalStock'!BT16</f>
        <v/>
      </c>
      <c r="CD35" s="18">
        <f>'Grid_TheoreticalStock'!BU16</f>
        <v/>
      </c>
      <c r="CE35" s="18">
        <f>'Grid_TheoreticalStock'!BV16</f>
        <v/>
      </c>
      <c r="CF35" s="18">
        <f>'Grid_TheoreticalStock'!BW16</f>
        <v/>
      </c>
      <c r="CG35" s="18">
        <f>'Grid_TheoreticalStock'!BX16</f>
        <v/>
      </c>
      <c r="CH35" s="18">
        <f>'Grid_TheoreticalStock'!BY16</f>
        <v/>
      </c>
      <c r="CI35" s="18">
        <f>'Grid_TheoreticalStock'!BZ16</f>
        <v/>
      </c>
      <c r="CJ35" s="18">
        <f>'Grid_TheoreticalStock'!CA16</f>
        <v/>
      </c>
      <c r="CK35" s="18">
        <f>'Grid_TheoreticalStock'!CB16</f>
        <v/>
      </c>
      <c r="CL35" s="18">
        <f>'Grid_TheoreticalStock'!CC16</f>
        <v/>
      </c>
      <c r="CM35" s="18">
        <f>'Grid_TheoreticalStock'!CD16</f>
        <v/>
      </c>
      <c r="CN35" s="18">
        <f>'Grid_TheoreticalStock'!CE16</f>
        <v/>
      </c>
      <c r="CO35" s="18">
        <f>'Grid_TheoreticalStock'!CF16</f>
        <v/>
      </c>
      <c r="CP35" s="18">
        <f>'Grid_TheoreticalStock'!CG16</f>
        <v/>
      </c>
      <c r="CQ35" s="18">
        <f>'Grid_TheoreticalStock'!CH16</f>
        <v/>
      </c>
      <c r="CR35" s="18">
        <f>'Grid_TheoreticalStock'!CI16</f>
        <v/>
      </c>
      <c r="CS35" s="18">
        <f>'Grid_TheoreticalStock'!CJ16</f>
        <v/>
      </c>
      <c r="CT35" s="18">
        <f>'Grid_TheoreticalStock'!CK16</f>
        <v/>
      </c>
      <c r="CU35" s="18">
        <f>'Grid_TheoreticalStock'!CL16</f>
        <v/>
      </c>
      <c r="CV35" s="18">
        <f>'Grid_TheoreticalStock'!CM16</f>
        <v/>
      </c>
      <c r="CW35" s="18">
        <f>'Grid_TheoreticalStock'!CN16</f>
        <v/>
      </c>
      <c r="CX35" s="18">
        <f>'Grid_TheoreticalStock'!CO16</f>
        <v/>
      </c>
      <c r="CY35" s="18">
        <f>'Grid_TheoreticalStock'!CP16</f>
        <v/>
      </c>
      <c r="CZ35" s="18">
        <f>'Grid_TheoreticalStock'!CQ16</f>
        <v/>
      </c>
      <c r="DA35" s="18">
        <f>'Grid_TheoreticalStock'!CR16</f>
        <v/>
      </c>
      <c r="DB35" s="18">
        <f>'Grid_TheoreticalStock'!CS16</f>
        <v/>
      </c>
      <c r="DC35" s="18">
        <f>'Grid_TheoreticalStock'!CT16</f>
        <v/>
      </c>
      <c r="DD35" s="18">
        <f>'Grid_TheoreticalStock'!CU16</f>
        <v/>
      </c>
      <c r="DE35" s="18">
        <f>'Grid_TheoreticalStock'!CV16</f>
        <v/>
      </c>
      <c r="DF35" s="18">
        <f>'Grid_TheoreticalStock'!CW16</f>
        <v/>
      </c>
      <c r="DG35" s="18">
        <f>'Grid_TheoreticalStock'!CX16</f>
        <v/>
      </c>
      <c r="DH35" s="18">
        <f>'Grid_TheoreticalStock'!CY16</f>
        <v/>
      </c>
      <c r="DI35" s="18">
        <f>'Grid_TheoreticalStock'!CZ16</f>
        <v/>
      </c>
      <c r="DJ35" s="18">
        <f>'Grid_TheoreticalStock'!DA16</f>
        <v/>
      </c>
    </row>
    <row r="36">
      <c r="A36" s="19" t="inlineStr">
        <is>
          <t>8EN</t>
        </is>
      </c>
      <c r="B36" s="19">
        <f>IFERROR(INDEX(M_RawMaterials[Description],MATCH($A36,M_RawMaterials[Part Name],0)),"")</f>
        <v/>
      </c>
      <c r="C36" s="19">
        <f>IFERROR(INDEX(M_RawMaterials[Category],MATCH($A36,M_RawMaterials[Part Name],0)),"")</f>
        <v/>
      </c>
      <c r="D36" s="19">
        <f>IFERROR(INDEX(M_RawMaterials[基準在庫下限_要入力],MATCH($A36,M_RawMaterials[Part Name],0)),0)</f>
        <v/>
      </c>
      <c r="E36" s="19">
        <f>IFERROR(INDEX(M_RawMaterials[基準在庫上限_要入力],MATCH($A36,M_RawMaterials[Part Name],0)),0)</f>
        <v/>
      </c>
      <c r="F36" s="19">
        <f>IFERROR(LOOKUP(2,1/('T_SelfStock'!$B$20:$DA$20&lt;&gt;""),'T_SelfStock'!$B$20:$DA$20),"")</f>
        <v/>
      </c>
      <c r="G36" s="19">
        <f>IFERROR(LOOKUP(2,1/('T_TTAFStock'!$B$20:$DA$20&lt;&gt;""),'T_TTAFStock'!$B$20:$DA$20),"")</f>
        <v/>
      </c>
      <c r="H36" s="19">
        <f>IFERROR(LOOKUP(2,1/('T_SelfStock'!$B$20:$DA$20&lt;&gt;""),'T_SelfStock'!$B$5:$DA$5),"")</f>
        <v/>
      </c>
      <c r="I36" s="20" t="inlineStr">
        <is>
          <t>実在庫</t>
        </is>
      </c>
      <c r="J36" s="19">
        <f>'Grid_Stock'!DA16-'Grid_TheoreticalStock'!DA16</f>
        <v/>
      </c>
      <c r="K36" s="19">
        <f>'Grid_Stock'!B16</f>
        <v/>
      </c>
      <c r="L36" s="19">
        <f>'Grid_Stock'!C16</f>
        <v/>
      </c>
      <c r="M36" s="19">
        <f>'Grid_Stock'!D16</f>
        <v/>
      </c>
      <c r="N36" s="19">
        <f>'Grid_Stock'!E16</f>
        <v/>
      </c>
      <c r="O36" s="19">
        <f>'Grid_Stock'!F16</f>
        <v/>
      </c>
      <c r="P36" s="19">
        <f>'Grid_Stock'!G16</f>
        <v/>
      </c>
      <c r="Q36" s="19">
        <f>'Grid_Stock'!H16</f>
        <v/>
      </c>
      <c r="R36" s="19">
        <f>'Grid_Stock'!I16</f>
        <v/>
      </c>
      <c r="S36" s="19">
        <f>'Grid_Stock'!J16</f>
        <v/>
      </c>
      <c r="T36" s="19">
        <f>'Grid_Stock'!K16</f>
        <v/>
      </c>
      <c r="U36" s="19">
        <f>'Grid_Stock'!L16</f>
        <v/>
      </c>
      <c r="V36" s="19">
        <f>'Grid_Stock'!M16</f>
        <v/>
      </c>
      <c r="W36" s="19">
        <f>'Grid_Stock'!N16</f>
        <v/>
      </c>
      <c r="X36" s="19">
        <f>'Grid_Stock'!O16</f>
        <v/>
      </c>
      <c r="Y36" s="19">
        <f>'Grid_Stock'!P16</f>
        <v/>
      </c>
      <c r="Z36" s="19">
        <f>'Grid_Stock'!Q16</f>
        <v/>
      </c>
      <c r="AA36" s="19">
        <f>'Grid_Stock'!R16</f>
        <v/>
      </c>
      <c r="AB36" s="19">
        <f>'Grid_Stock'!S16</f>
        <v/>
      </c>
      <c r="AC36" s="19">
        <f>'Grid_Stock'!T16</f>
        <v/>
      </c>
      <c r="AD36" s="19">
        <f>'Grid_Stock'!U16</f>
        <v/>
      </c>
      <c r="AE36" s="19">
        <f>'Grid_Stock'!V16</f>
        <v/>
      </c>
      <c r="AF36" s="19">
        <f>'Grid_Stock'!W16</f>
        <v/>
      </c>
      <c r="AG36" s="19">
        <f>'Grid_Stock'!X16</f>
        <v/>
      </c>
      <c r="AH36" s="19">
        <f>'Grid_Stock'!Y16</f>
        <v/>
      </c>
      <c r="AI36" s="19">
        <f>'Grid_Stock'!Z16</f>
        <v/>
      </c>
      <c r="AJ36" s="19">
        <f>'Grid_Stock'!AA16</f>
        <v/>
      </c>
      <c r="AK36" s="19">
        <f>'Grid_Stock'!AB16</f>
        <v/>
      </c>
      <c r="AL36" s="19">
        <f>'Grid_Stock'!AC16</f>
        <v/>
      </c>
      <c r="AM36" s="19">
        <f>'Grid_Stock'!AD16</f>
        <v/>
      </c>
      <c r="AN36" s="19">
        <f>'Grid_Stock'!AE16</f>
        <v/>
      </c>
      <c r="AO36" s="19">
        <f>'Grid_Stock'!AF16</f>
        <v/>
      </c>
      <c r="AP36" s="19">
        <f>'Grid_Stock'!AG16</f>
        <v/>
      </c>
      <c r="AQ36" s="19">
        <f>'Grid_Stock'!AH16</f>
        <v/>
      </c>
      <c r="AR36" s="19">
        <f>'Grid_Stock'!AI16</f>
        <v/>
      </c>
      <c r="AS36" s="19">
        <f>'Grid_Stock'!AJ16</f>
        <v/>
      </c>
      <c r="AT36" s="19">
        <f>'Grid_Stock'!AK16</f>
        <v/>
      </c>
      <c r="AU36" s="19">
        <f>'Grid_Stock'!AL16</f>
        <v/>
      </c>
      <c r="AV36" s="19">
        <f>'Grid_Stock'!AM16</f>
        <v/>
      </c>
      <c r="AW36" s="19">
        <f>'Grid_Stock'!AN16</f>
        <v/>
      </c>
      <c r="AX36" s="19">
        <f>'Grid_Stock'!AO16</f>
        <v/>
      </c>
      <c r="AY36" s="19">
        <f>'Grid_Stock'!AP16</f>
        <v/>
      </c>
      <c r="AZ36" s="19">
        <f>'Grid_Stock'!AQ16</f>
        <v/>
      </c>
      <c r="BA36" s="19">
        <f>'Grid_Stock'!AR16</f>
        <v/>
      </c>
      <c r="BB36" s="19">
        <f>'Grid_Stock'!AS16</f>
        <v/>
      </c>
      <c r="BC36" s="19">
        <f>'Grid_Stock'!AT16</f>
        <v/>
      </c>
      <c r="BD36" s="19">
        <f>'Grid_Stock'!AU16</f>
        <v/>
      </c>
      <c r="BE36" s="19">
        <f>'Grid_Stock'!AV16</f>
        <v/>
      </c>
      <c r="BF36" s="19">
        <f>'Grid_Stock'!AW16</f>
        <v/>
      </c>
      <c r="BG36" s="19">
        <f>'Grid_Stock'!AX16</f>
        <v/>
      </c>
      <c r="BH36" s="19">
        <f>'Grid_Stock'!AY16</f>
        <v/>
      </c>
      <c r="BI36" s="19">
        <f>'Grid_Stock'!AZ16</f>
        <v/>
      </c>
      <c r="BJ36" s="19">
        <f>'Grid_Stock'!BA16</f>
        <v/>
      </c>
      <c r="BK36" s="19">
        <f>'Grid_Stock'!BB16</f>
        <v/>
      </c>
      <c r="BL36" s="19">
        <f>'Grid_Stock'!BC16</f>
        <v/>
      </c>
      <c r="BM36" s="19">
        <f>'Grid_Stock'!BD16</f>
        <v/>
      </c>
      <c r="BN36" s="19">
        <f>'Grid_Stock'!BE16</f>
        <v/>
      </c>
      <c r="BO36" s="19">
        <f>'Grid_Stock'!BF16</f>
        <v/>
      </c>
      <c r="BP36" s="19">
        <f>'Grid_Stock'!BG16</f>
        <v/>
      </c>
      <c r="BQ36" s="19">
        <f>'Grid_Stock'!BH16</f>
        <v/>
      </c>
      <c r="BR36" s="19">
        <f>'Grid_Stock'!BI16</f>
        <v/>
      </c>
      <c r="BS36" s="19">
        <f>'Grid_Stock'!BJ16</f>
        <v/>
      </c>
      <c r="BT36" s="19">
        <f>'Grid_Stock'!BK16</f>
        <v/>
      </c>
      <c r="BU36" s="19">
        <f>'Grid_Stock'!BL16</f>
        <v/>
      </c>
      <c r="BV36" s="19">
        <f>'Grid_Stock'!BM16</f>
        <v/>
      </c>
      <c r="BW36" s="19">
        <f>'Grid_Stock'!BN16</f>
        <v/>
      </c>
      <c r="BX36" s="19">
        <f>'Grid_Stock'!BO16</f>
        <v/>
      </c>
      <c r="BY36" s="19">
        <f>'Grid_Stock'!BP16</f>
        <v/>
      </c>
      <c r="BZ36" s="19">
        <f>'Grid_Stock'!BQ16</f>
        <v/>
      </c>
      <c r="CA36" s="19">
        <f>'Grid_Stock'!BR16</f>
        <v/>
      </c>
      <c r="CB36" s="19">
        <f>'Grid_Stock'!BS16</f>
        <v/>
      </c>
      <c r="CC36" s="19">
        <f>'Grid_Stock'!BT16</f>
        <v/>
      </c>
      <c r="CD36" s="19">
        <f>'Grid_Stock'!BU16</f>
        <v/>
      </c>
      <c r="CE36" s="19">
        <f>'Grid_Stock'!BV16</f>
        <v/>
      </c>
      <c r="CF36" s="19">
        <f>'Grid_Stock'!BW16</f>
        <v/>
      </c>
      <c r="CG36" s="19">
        <f>'Grid_Stock'!BX16</f>
        <v/>
      </c>
      <c r="CH36" s="19">
        <f>'Grid_Stock'!BY16</f>
        <v/>
      </c>
      <c r="CI36" s="19">
        <f>'Grid_Stock'!BZ16</f>
        <v/>
      </c>
      <c r="CJ36" s="19">
        <f>'Grid_Stock'!CA16</f>
        <v/>
      </c>
      <c r="CK36" s="19">
        <f>'Grid_Stock'!CB16</f>
        <v/>
      </c>
      <c r="CL36" s="19">
        <f>'Grid_Stock'!CC16</f>
        <v/>
      </c>
      <c r="CM36" s="19">
        <f>'Grid_Stock'!CD16</f>
        <v/>
      </c>
      <c r="CN36" s="19">
        <f>'Grid_Stock'!CE16</f>
        <v/>
      </c>
      <c r="CO36" s="19">
        <f>'Grid_Stock'!CF16</f>
        <v/>
      </c>
      <c r="CP36" s="19">
        <f>'Grid_Stock'!CG16</f>
        <v/>
      </c>
      <c r="CQ36" s="19">
        <f>'Grid_Stock'!CH16</f>
        <v/>
      </c>
      <c r="CR36" s="19">
        <f>'Grid_Stock'!CI16</f>
        <v/>
      </c>
      <c r="CS36" s="19">
        <f>'Grid_Stock'!CJ16</f>
        <v/>
      </c>
      <c r="CT36" s="19">
        <f>'Grid_Stock'!CK16</f>
        <v/>
      </c>
      <c r="CU36" s="19">
        <f>'Grid_Stock'!CL16</f>
        <v/>
      </c>
      <c r="CV36" s="19">
        <f>'Grid_Stock'!CM16</f>
        <v/>
      </c>
      <c r="CW36" s="19">
        <f>'Grid_Stock'!CN16</f>
        <v/>
      </c>
      <c r="CX36" s="19">
        <f>'Grid_Stock'!CO16</f>
        <v/>
      </c>
      <c r="CY36" s="19">
        <f>'Grid_Stock'!CP16</f>
        <v/>
      </c>
      <c r="CZ36" s="19">
        <f>'Grid_Stock'!CQ16</f>
        <v/>
      </c>
      <c r="DA36" s="19">
        <f>'Grid_Stock'!CR16</f>
        <v/>
      </c>
      <c r="DB36" s="19">
        <f>'Grid_Stock'!CS16</f>
        <v/>
      </c>
      <c r="DC36" s="19">
        <f>'Grid_Stock'!CT16</f>
        <v/>
      </c>
      <c r="DD36" s="19">
        <f>'Grid_Stock'!CU16</f>
        <v/>
      </c>
      <c r="DE36" s="19">
        <f>'Grid_Stock'!CV16</f>
        <v/>
      </c>
      <c r="DF36" s="19">
        <f>'Grid_Stock'!CW16</f>
        <v/>
      </c>
      <c r="DG36" s="19">
        <f>'Grid_Stock'!CX16</f>
        <v/>
      </c>
      <c r="DH36" s="19">
        <f>'Grid_Stock'!CY16</f>
        <v/>
      </c>
      <c r="DI36" s="19">
        <f>'Grid_Stock'!CZ16</f>
        <v/>
      </c>
      <c r="DJ36" s="19">
        <f>'Grid_Stock'!DA16</f>
        <v/>
      </c>
    </row>
    <row r="37">
      <c r="A37" s="17" t="inlineStr">
        <is>
          <t>9RJ</t>
        </is>
      </c>
      <c r="B37" s="17">
        <f>IFERROR(INDEX(M_RawMaterials[Description],MATCH($A37,M_RawMaterials[Part Name],0)),"")</f>
        <v/>
      </c>
      <c r="C37" s="17">
        <f>IFERROR(INDEX(M_RawMaterials[Category],MATCH($A37,M_RawMaterials[Part Name],0)),"")</f>
        <v/>
      </c>
      <c r="D37" s="17">
        <f>IFERROR(INDEX(M_RawMaterials[基準在庫下限_要入力],MATCH($A37,M_RawMaterials[Part Name],0)),0)</f>
        <v/>
      </c>
      <c r="E37" s="17">
        <f>IFERROR(INDEX(M_RawMaterials[基準在庫上限_要入力],MATCH($A37,M_RawMaterials[Part Name],0)),0)</f>
        <v/>
      </c>
      <c r="F37" s="17">
        <f>IFERROR(LOOKUP(2,1/('T_SelfStock'!$B$21:$DA$21&lt;&gt;""),'T_SelfStock'!$B$21:$DA$21),"")</f>
        <v/>
      </c>
      <c r="G37" s="17">
        <f>IFERROR(LOOKUP(2,1/('T_TTAFStock'!$B$21:$DA$21&lt;&gt;""),'T_TTAFStock'!$B$21:$DA$21),"")</f>
        <v/>
      </c>
      <c r="H37" s="17">
        <f>IFERROR(LOOKUP(2,1/('T_SelfStock'!$B$21:$DA$21&lt;&gt;""),'T_SelfStock'!$B$5:$DA$5),"")</f>
        <v/>
      </c>
      <c r="I37" s="18" t="inlineStr">
        <is>
          <t>理論在庫</t>
        </is>
      </c>
      <c r="J37" s="17">
        <f>'Grid_Stock'!DA17-'Grid_TheoreticalStock'!DA17</f>
        <v/>
      </c>
      <c r="K37" s="18">
        <f>'Grid_TheoreticalStock'!B17</f>
        <v/>
      </c>
      <c r="L37" s="18">
        <f>'Grid_TheoreticalStock'!C17</f>
        <v/>
      </c>
      <c r="M37" s="18">
        <f>'Grid_TheoreticalStock'!D17</f>
        <v/>
      </c>
      <c r="N37" s="18">
        <f>'Grid_TheoreticalStock'!E17</f>
        <v/>
      </c>
      <c r="O37" s="18">
        <f>'Grid_TheoreticalStock'!F17</f>
        <v/>
      </c>
      <c r="P37" s="18">
        <f>'Grid_TheoreticalStock'!G17</f>
        <v/>
      </c>
      <c r="Q37" s="18">
        <f>'Grid_TheoreticalStock'!H17</f>
        <v/>
      </c>
      <c r="R37" s="18">
        <f>'Grid_TheoreticalStock'!I17</f>
        <v/>
      </c>
      <c r="S37" s="18">
        <f>'Grid_TheoreticalStock'!J17</f>
        <v/>
      </c>
      <c r="T37" s="18">
        <f>'Grid_TheoreticalStock'!K17</f>
        <v/>
      </c>
      <c r="U37" s="18">
        <f>'Grid_TheoreticalStock'!L17</f>
        <v/>
      </c>
      <c r="V37" s="18">
        <f>'Grid_TheoreticalStock'!M17</f>
        <v/>
      </c>
      <c r="W37" s="18">
        <f>'Grid_TheoreticalStock'!N17</f>
        <v/>
      </c>
      <c r="X37" s="18">
        <f>'Grid_TheoreticalStock'!O17</f>
        <v/>
      </c>
      <c r="Y37" s="18">
        <f>'Grid_TheoreticalStock'!P17</f>
        <v/>
      </c>
      <c r="Z37" s="18">
        <f>'Grid_TheoreticalStock'!Q17</f>
        <v/>
      </c>
      <c r="AA37" s="18">
        <f>'Grid_TheoreticalStock'!R17</f>
        <v/>
      </c>
      <c r="AB37" s="18">
        <f>'Grid_TheoreticalStock'!S17</f>
        <v/>
      </c>
      <c r="AC37" s="18">
        <f>'Grid_TheoreticalStock'!T17</f>
        <v/>
      </c>
      <c r="AD37" s="18">
        <f>'Grid_TheoreticalStock'!U17</f>
        <v/>
      </c>
      <c r="AE37" s="18">
        <f>'Grid_TheoreticalStock'!V17</f>
        <v/>
      </c>
      <c r="AF37" s="18">
        <f>'Grid_TheoreticalStock'!W17</f>
        <v/>
      </c>
      <c r="AG37" s="18">
        <f>'Grid_TheoreticalStock'!X17</f>
        <v/>
      </c>
      <c r="AH37" s="18">
        <f>'Grid_TheoreticalStock'!Y17</f>
        <v/>
      </c>
      <c r="AI37" s="18">
        <f>'Grid_TheoreticalStock'!Z17</f>
        <v/>
      </c>
      <c r="AJ37" s="18">
        <f>'Grid_TheoreticalStock'!AA17</f>
        <v/>
      </c>
      <c r="AK37" s="18">
        <f>'Grid_TheoreticalStock'!AB17</f>
        <v/>
      </c>
      <c r="AL37" s="18">
        <f>'Grid_TheoreticalStock'!AC17</f>
        <v/>
      </c>
      <c r="AM37" s="18">
        <f>'Grid_TheoreticalStock'!AD17</f>
        <v/>
      </c>
      <c r="AN37" s="18">
        <f>'Grid_TheoreticalStock'!AE17</f>
        <v/>
      </c>
      <c r="AO37" s="18">
        <f>'Grid_TheoreticalStock'!AF17</f>
        <v/>
      </c>
      <c r="AP37" s="18">
        <f>'Grid_TheoreticalStock'!AG17</f>
        <v/>
      </c>
      <c r="AQ37" s="18">
        <f>'Grid_TheoreticalStock'!AH17</f>
        <v/>
      </c>
      <c r="AR37" s="18">
        <f>'Grid_TheoreticalStock'!AI17</f>
        <v/>
      </c>
      <c r="AS37" s="18">
        <f>'Grid_TheoreticalStock'!AJ17</f>
        <v/>
      </c>
      <c r="AT37" s="18">
        <f>'Grid_TheoreticalStock'!AK17</f>
        <v/>
      </c>
      <c r="AU37" s="18">
        <f>'Grid_TheoreticalStock'!AL17</f>
        <v/>
      </c>
      <c r="AV37" s="18">
        <f>'Grid_TheoreticalStock'!AM17</f>
        <v/>
      </c>
      <c r="AW37" s="18">
        <f>'Grid_TheoreticalStock'!AN17</f>
        <v/>
      </c>
      <c r="AX37" s="18">
        <f>'Grid_TheoreticalStock'!AO17</f>
        <v/>
      </c>
      <c r="AY37" s="18">
        <f>'Grid_TheoreticalStock'!AP17</f>
        <v/>
      </c>
      <c r="AZ37" s="18">
        <f>'Grid_TheoreticalStock'!AQ17</f>
        <v/>
      </c>
      <c r="BA37" s="18">
        <f>'Grid_TheoreticalStock'!AR17</f>
        <v/>
      </c>
      <c r="BB37" s="18">
        <f>'Grid_TheoreticalStock'!AS17</f>
        <v/>
      </c>
      <c r="BC37" s="18">
        <f>'Grid_TheoreticalStock'!AT17</f>
        <v/>
      </c>
      <c r="BD37" s="18">
        <f>'Grid_TheoreticalStock'!AU17</f>
        <v/>
      </c>
      <c r="BE37" s="18">
        <f>'Grid_TheoreticalStock'!AV17</f>
        <v/>
      </c>
      <c r="BF37" s="18">
        <f>'Grid_TheoreticalStock'!AW17</f>
        <v/>
      </c>
      <c r="BG37" s="18">
        <f>'Grid_TheoreticalStock'!AX17</f>
        <v/>
      </c>
      <c r="BH37" s="18">
        <f>'Grid_TheoreticalStock'!AY17</f>
        <v/>
      </c>
      <c r="BI37" s="18">
        <f>'Grid_TheoreticalStock'!AZ17</f>
        <v/>
      </c>
      <c r="BJ37" s="18">
        <f>'Grid_TheoreticalStock'!BA17</f>
        <v/>
      </c>
      <c r="BK37" s="18">
        <f>'Grid_TheoreticalStock'!BB17</f>
        <v/>
      </c>
      <c r="BL37" s="18">
        <f>'Grid_TheoreticalStock'!BC17</f>
        <v/>
      </c>
      <c r="BM37" s="18">
        <f>'Grid_TheoreticalStock'!BD17</f>
        <v/>
      </c>
      <c r="BN37" s="18">
        <f>'Grid_TheoreticalStock'!BE17</f>
        <v/>
      </c>
      <c r="BO37" s="18">
        <f>'Grid_TheoreticalStock'!BF17</f>
        <v/>
      </c>
      <c r="BP37" s="18">
        <f>'Grid_TheoreticalStock'!BG17</f>
        <v/>
      </c>
      <c r="BQ37" s="18">
        <f>'Grid_TheoreticalStock'!BH17</f>
        <v/>
      </c>
      <c r="BR37" s="18">
        <f>'Grid_TheoreticalStock'!BI17</f>
        <v/>
      </c>
      <c r="BS37" s="18">
        <f>'Grid_TheoreticalStock'!BJ17</f>
        <v/>
      </c>
      <c r="BT37" s="18">
        <f>'Grid_TheoreticalStock'!BK17</f>
        <v/>
      </c>
      <c r="BU37" s="18">
        <f>'Grid_TheoreticalStock'!BL17</f>
        <v/>
      </c>
      <c r="BV37" s="18">
        <f>'Grid_TheoreticalStock'!BM17</f>
        <v/>
      </c>
      <c r="BW37" s="18">
        <f>'Grid_TheoreticalStock'!BN17</f>
        <v/>
      </c>
      <c r="BX37" s="18">
        <f>'Grid_TheoreticalStock'!BO17</f>
        <v/>
      </c>
      <c r="BY37" s="18">
        <f>'Grid_TheoreticalStock'!BP17</f>
        <v/>
      </c>
      <c r="BZ37" s="18">
        <f>'Grid_TheoreticalStock'!BQ17</f>
        <v/>
      </c>
      <c r="CA37" s="18">
        <f>'Grid_TheoreticalStock'!BR17</f>
        <v/>
      </c>
      <c r="CB37" s="18">
        <f>'Grid_TheoreticalStock'!BS17</f>
        <v/>
      </c>
      <c r="CC37" s="18">
        <f>'Grid_TheoreticalStock'!BT17</f>
        <v/>
      </c>
      <c r="CD37" s="18">
        <f>'Grid_TheoreticalStock'!BU17</f>
        <v/>
      </c>
      <c r="CE37" s="18">
        <f>'Grid_TheoreticalStock'!BV17</f>
        <v/>
      </c>
      <c r="CF37" s="18">
        <f>'Grid_TheoreticalStock'!BW17</f>
        <v/>
      </c>
      <c r="CG37" s="18">
        <f>'Grid_TheoreticalStock'!BX17</f>
        <v/>
      </c>
      <c r="CH37" s="18">
        <f>'Grid_TheoreticalStock'!BY17</f>
        <v/>
      </c>
      <c r="CI37" s="18">
        <f>'Grid_TheoreticalStock'!BZ17</f>
        <v/>
      </c>
      <c r="CJ37" s="18">
        <f>'Grid_TheoreticalStock'!CA17</f>
        <v/>
      </c>
      <c r="CK37" s="18">
        <f>'Grid_TheoreticalStock'!CB17</f>
        <v/>
      </c>
      <c r="CL37" s="18">
        <f>'Grid_TheoreticalStock'!CC17</f>
        <v/>
      </c>
      <c r="CM37" s="18">
        <f>'Grid_TheoreticalStock'!CD17</f>
        <v/>
      </c>
      <c r="CN37" s="18">
        <f>'Grid_TheoreticalStock'!CE17</f>
        <v/>
      </c>
      <c r="CO37" s="18">
        <f>'Grid_TheoreticalStock'!CF17</f>
        <v/>
      </c>
      <c r="CP37" s="18">
        <f>'Grid_TheoreticalStock'!CG17</f>
        <v/>
      </c>
      <c r="CQ37" s="18">
        <f>'Grid_TheoreticalStock'!CH17</f>
        <v/>
      </c>
      <c r="CR37" s="18">
        <f>'Grid_TheoreticalStock'!CI17</f>
        <v/>
      </c>
      <c r="CS37" s="18">
        <f>'Grid_TheoreticalStock'!CJ17</f>
        <v/>
      </c>
      <c r="CT37" s="18">
        <f>'Grid_TheoreticalStock'!CK17</f>
        <v/>
      </c>
      <c r="CU37" s="18">
        <f>'Grid_TheoreticalStock'!CL17</f>
        <v/>
      </c>
      <c r="CV37" s="18">
        <f>'Grid_TheoreticalStock'!CM17</f>
        <v/>
      </c>
      <c r="CW37" s="18">
        <f>'Grid_TheoreticalStock'!CN17</f>
        <v/>
      </c>
      <c r="CX37" s="18">
        <f>'Grid_TheoreticalStock'!CO17</f>
        <v/>
      </c>
      <c r="CY37" s="18">
        <f>'Grid_TheoreticalStock'!CP17</f>
        <v/>
      </c>
      <c r="CZ37" s="18">
        <f>'Grid_TheoreticalStock'!CQ17</f>
        <v/>
      </c>
      <c r="DA37" s="18">
        <f>'Grid_TheoreticalStock'!CR17</f>
        <v/>
      </c>
      <c r="DB37" s="18">
        <f>'Grid_TheoreticalStock'!CS17</f>
        <v/>
      </c>
      <c r="DC37" s="18">
        <f>'Grid_TheoreticalStock'!CT17</f>
        <v/>
      </c>
      <c r="DD37" s="18">
        <f>'Grid_TheoreticalStock'!CU17</f>
        <v/>
      </c>
      <c r="DE37" s="18">
        <f>'Grid_TheoreticalStock'!CV17</f>
        <v/>
      </c>
      <c r="DF37" s="18">
        <f>'Grid_TheoreticalStock'!CW17</f>
        <v/>
      </c>
      <c r="DG37" s="18">
        <f>'Grid_TheoreticalStock'!CX17</f>
        <v/>
      </c>
      <c r="DH37" s="18">
        <f>'Grid_TheoreticalStock'!CY17</f>
        <v/>
      </c>
      <c r="DI37" s="18">
        <f>'Grid_TheoreticalStock'!CZ17</f>
        <v/>
      </c>
      <c r="DJ37" s="18">
        <f>'Grid_TheoreticalStock'!DA17</f>
        <v/>
      </c>
    </row>
    <row r="38">
      <c r="A38" s="19" t="inlineStr">
        <is>
          <t>9RJ</t>
        </is>
      </c>
      <c r="B38" s="19">
        <f>IFERROR(INDEX(M_RawMaterials[Description],MATCH($A38,M_RawMaterials[Part Name],0)),"")</f>
        <v/>
      </c>
      <c r="C38" s="19">
        <f>IFERROR(INDEX(M_RawMaterials[Category],MATCH($A38,M_RawMaterials[Part Name],0)),"")</f>
        <v/>
      </c>
      <c r="D38" s="19">
        <f>IFERROR(INDEX(M_RawMaterials[基準在庫下限_要入力],MATCH($A38,M_RawMaterials[Part Name],0)),0)</f>
        <v/>
      </c>
      <c r="E38" s="19">
        <f>IFERROR(INDEX(M_RawMaterials[基準在庫上限_要入力],MATCH($A38,M_RawMaterials[Part Name],0)),0)</f>
        <v/>
      </c>
      <c r="F38" s="19">
        <f>IFERROR(LOOKUP(2,1/('T_SelfStock'!$B$21:$DA$21&lt;&gt;""),'T_SelfStock'!$B$21:$DA$21),"")</f>
        <v/>
      </c>
      <c r="G38" s="19">
        <f>IFERROR(LOOKUP(2,1/('T_TTAFStock'!$B$21:$DA$21&lt;&gt;""),'T_TTAFStock'!$B$21:$DA$21),"")</f>
        <v/>
      </c>
      <c r="H38" s="19">
        <f>IFERROR(LOOKUP(2,1/('T_SelfStock'!$B$21:$DA$21&lt;&gt;""),'T_SelfStock'!$B$5:$DA$5),"")</f>
        <v/>
      </c>
      <c r="I38" s="20" t="inlineStr">
        <is>
          <t>実在庫</t>
        </is>
      </c>
      <c r="J38" s="19">
        <f>'Grid_Stock'!DA17-'Grid_TheoreticalStock'!DA17</f>
        <v/>
      </c>
      <c r="K38" s="19">
        <f>'Grid_Stock'!B17</f>
        <v/>
      </c>
      <c r="L38" s="19">
        <f>'Grid_Stock'!C17</f>
        <v/>
      </c>
      <c r="M38" s="19">
        <f>'Grid_Stock'!D17</f>
        <v/>
      </c>
      <c r="N38" s="19">
        <f>'Grid_Stock'!E17</f>
        <v/>
      </c>
      <c r="O38" s="19">
        <f>'Grid_Stock'!F17</f>
        <v/>
      </c>
      <c r="P38" s="19">
        <f>'Grid_Stock'!G17</f>
        <v/>
      </c>
      <c r="Q38" s="19">
        <f>'Grid_Stock'!H17</f>
        <v/>
      </c>
      <c r="R38" s="19">
        <f>'Grid_Stock'!I17</f>
        <v/>
      </c>
      <c r="S38" s="19">
        <f>'Grid_Stock'!J17</f>
        <v/>
      </c>
      <c r="T38" s="19">
        <f>'Grid_Stock'!K17</f>
        <v/>
      </c>
      <c r="U38" s="19">
        <f>'Grid_Stock'!L17</f>
        <v/>
      </c>
      <c r="V38" s="19">
        <f>'Grid_Stock'!M17</f>
        <v/>
      </c>
      <c r="W38" s="19">
        <f>'Grid_Stock'!N17</f>
        <v/>
      </c>
      <c r="X38" s="19">
        <f>'Grid_Stock'!O17</f>
        <v/>
      </c>
      <c r="Y38" s="19">
        <f>'Grid_Stock'!P17</f>
        <v/>
      </c>
      <c r="Z38" s="19">
        <f>'Grid_Stock'!Q17</f>
        <v/>
      </c>
      <c r="AA38" s="19">
        <f>'Grid_Stock'!R17</f>
        <v/>
      </c>
      <c r="AB38" s="19">
        <f>'Grid_Stock'!S17</f>
        <v/>
      </c>
      <c r="AC38" s="19">
        <f>'Grid_Stock'!T17</f>
        <v/>
      </c>
      <c r="AD38" s="19">
        <f>'Grid_Stock'!U17</f>
        <v/>
      </c>
      <c r="AE38" s="19">
        <f>'Grid_Stock'!V17</f>
        <v/>
      </c>
      <c r="AF38" s="19">
        <f>'Grid_Stock'!W17</f>
        <v/>
      </c>
      <c r="AG38" s="19">
        <f>'Grid_Stock'!X17</f>
        <v/>
      </c>
      <c r="AH38" s="19">
        <f>'Grid_Stock'!Y17</f>
        <v/>
      </c>
      <c r="AI38" s="19">
        <f>'Grid_Stock'!Z17</f>
        <v/>
      </c>
      <c r="AJ38" s="19">
        <f>'Grid_Stock'!AA17</f>
        <v/>
      </c>
      <c r="AK38" s="19">
        <f>'Grid_Stock'!AB17</f>
        <v/>
      </c>
      <c r="AL38" s="19">
        <f>'Grid_Stock'!AC17</f>
        <v/>
      </c>
      <c r="AM38" s="19">
        <f>'Grid_Stock'!AD17</f>
        <v/>
      </c>
      <c r="AN38" s="19">
        <f>'Grid_Stock'!AE17</f>
        <v/>
      </c>
      <c r="AO38" s="19">
        <f>'Grid_Stock'!AF17</f>
        <v/>
      </c>
      <c r="AP38" s="19">
        <f>'Grid_Stock'!AG17</f>
        <v/>
      </c>
      <c r="AQ38" s="19">
        <f>'Grid_Stock'!AH17</f>
        <v/>
      </c>
      <c r="AR38" s="19">
        <f>'Grid_Stock'!AI17</f>
        <v/>
      </c>
      <c r="AS38" s="19">
        <f>'Grid_Stock'!AJ17</f>
        <v/>
      </c>
      <c r="AT38" s="19">
        <f>'Grid_Stock'!AK17</f>
        <v/>
      </c>
      <c r="AU38" s="19">
        <f>'Grid_Stock'!AL17</f>
        <v/>
      </c>
      <c r="AV38" s="19">
        <f>'Grid_Stock'!AM17</f>
        <v/>
      </c>
      <c r="AW38" s="19">
        <f>'Grid_Stock'!AN17</f>
        <v/>
      </c>
      <c r="AX38" s="19">
        <f>'Grid_Stock'!AO17</f>
        <v/>
      </c>
      <c r="AY38" s="19">
        <f>'Grid_Stock'!AP17</f>
        <v/>
      </c>
      <c r="AZ38" s="19">
        <f>'Grid_Stock'!AQ17</f>
        <v/>
      </c>
      <c r="BA38" s="19">
        <f>'Grid_Stock'!AR17</f>
        <v/>
      </c>
      <c r="BB38" s="19">
        <f>'Grid_Stock'!AS17</f>
        <v/>
      </c>
      <c r="BC38" s="19">
        <f>'Grid_Stock'!AT17</f>
        <v/>
      </c>
      <c r="BD38" s="19">
        <f>'Grid_Stock'!AU17</f>
        <v/>
      </c>
      <c r="BE38" s="19">
        <f>'Grid_Stock'!AV17</f>
        <v/>
      </c>
      <c r="BF38" s="19">
        <f>'Grid_Stock'!AW17</f>
        <v/>
      </c>
      <c r="BG38" s="19">
        <f>'Grid_Stock'!AX17</f>
        <v/>
      </c>
      <c r="BH38" s="19">
        <f>'Grid_Stock'!AY17</f>
        <v/>
      </c>
      <c r="BI38" s="19">
        <f>'Grid_Stock'!AZ17</f>
        <v/>
      </c>
      <c r="BJ38" s="19">
        <f>'Grid_Stock'!BA17</f>
        <v/>
      </c>
      <c r="BK38" s="19">
        <f>'Grid_Stock'!BB17</f>
        <v/>
      </c>
      <c r="BL38" s="19">
        <f>'Grid_Stock'!BC17</f>
        <v/>
      </c>
      <c r="BM38" s="19">
        <f>'Grid_Stock'!BD17</f>
        <v/>
      </c>
      <c r="BN38" s="19">
        <f>'Grid_Stock'!BE17</f>
        <v/>
      </c>
      <c r="BO38" s="19">
        <f>'Grid_Stock'!BF17</f>
        <v/>
      </c>
      <c r="BP38" s="19">
        <f>'Grid_Stock'!BG17</f>
        <v/>
      </c>
      <c r="BQ38" s="19">
        <f>'Grid_Stock'!BH17</f>
        <v/>
      </c>
      <c r="BR38" s="19">
        <f>'Grid_Stock'!BI17</f>
        <v/>
      </c>
      <c r="BS38" s="19">
        <f>'Grid_Stock'!BJ17</f>
        <v/>
      </c>
      <c r="BT38" s="19">
        <f>'Grid_Stock'!BK17</f>
        <v/>
      </c>
      <c r="BU38" s="19">
        <f>'Grid_Stock'!BL17</f>
        <v/>
      </c>
      <c r="BV38" s="19">
        <f>'Grid_Stock'!BM17</f>
        <v/>
      </c>
      <c r="BW38" s="19">
        <f>'Grid_Stock'!BN17</f>
        <v/>
      </c>
      <c r="BX38" s="19">
        <f>'Grid_Stock'!BO17</f>
        <v/>
      </c>
      <c r="BY38" s="19">
        <f>'Grid_Stock'!BP17</f>
        <v/>
      </c>
      <c r="BZ38" s="19">
        <f>'Grid_Stock'!BQ17</f>
        <v/>
      </c>
      <c r="CA38" s="19">
        <f>'Grid_Stock'!BR17</f>
        <v/>
      </c>
      <c r="CB38" s="19">
        <f>'Grid_Stock'!BS17</f>
        <v/>
      </c>
      <c r="CC38" s="19">
        <f>'Grid_Stock'!BT17</f>
        <v/>
      </c>
      <c r="CD38" s="19">
        <f>'Grid_Stock'!BU17</f>
        <v/>
      </c>
      <c r="CE38" s="19">
        <f>'Grid_Stock'!BV17</f>
        <v/>
      </c>
      <c r="CF38" s="19">
        <f>'Grid_Stock'!BW17</f>
        <v/>
      </c>
      <c r="CG38" s="19">
        <f>'Grid_Stock'!BX17</f>
        <v/>
      </c>
      <c r="CH38" s="19">
        <f>'Grid_Stock'!BY17</f>
        <v/>
      </c>
      <c r="CI38" s="19">
        <f>'Grid_Stock'!BZ17</f>
        <v/>
      </c>
      <c r="CJ38" s="19">
        <f>'Grid_Stock'!CA17</f>
        <v/>
      </c>
      <c r="CK38" s="19">
        <f>'Grid_Stock'!CB17</f>
        <v/>
      </c>
      <c r="CL38" s="19">
        <f>'Grid_Stock'!CC17</f>
        <v/>
      </c>
      <c r="CM38" s="19">
        <f>'Grid_Stock'!CD17</f>
        <v/>
      </c>
      <c r="CN38" s="19">
        <f>'Grid_Stock'!CE17</f>
        <v/>
      </c>
      <c r="CO38" s="19">
        <f>'Grid_Stock'!CF17</f>
        <v/>
      </c>
      <c r="CP38" s="19">
        <f>'Grid_Stock'!CG17</f>
        <v/>
      </c>
      <c r="CQ38" s="19">
        <f>'Grid_Stock'!CH17</f>
        <v/>
      </c>
      <c r="CR38" s="19">
        <f>'Grid_Stock'!CI17</f>
        <v/>
      </c>
      <c r="CS38" s="19">
        <f>'Grid_Stock'!CJ17</f>
        <v/>
      </c>
      <c r="CT38" s="19">
        <f>'Grid_Stock'!CK17</f>
        <v/>
      </c>
      <c r="CU38" s="19">
        <f>'Grid_Stock'!CL17</f>
        <v/>
      </c>
      <c r="CV38" s="19">
        <f>'Grid_Stock'!CM17</f>
        <v/>
      </c>
      <c r="CW38" s="19">
        <f>'Grid_Stock'!CN17</f>
        <v/>
      </c>
      <c r="CX38" s="19">
        <f>'Grid_Stock'!CO17</f>
        <v/>
      </c>
      <c r="CY38" s="19">
        <f>'Grid_Stock'!CP17</f>
        <v/>
      </c>
      <c r="CZ38" s="19">
        <f>'Grid_Stock'!CQ17</f>
        <v/>
      </c>
      <c r="DA38" s="19">
        <f>'Grid_Stock'!CR17</f>
        <v/>
      </c>
      <c r="DB38" s="19">
        <f>'Grid_Stock'!CS17</f>
        <v/>
      </c>
      <c r="DC38" s="19">
        <f>'Grid_Stock'!CT17</f>
        <v/>
      </c>
      <c r="DD38" s="19">
        <f>'Grid_Stock'!CU17</f>
        <v/>
      </c>
      <c r="DE38" s="19">
        <f>'Grid_Stock'!CV17</f>
        <v/>
      </c>
      <c r="DF38" s="19">
        <f>'Grid_Stock'!CW17</f>
        <v/>
      </c>
      <c r="DG38" s="19">
        <f>'Grid_Stock'!CX17</f>
        <v/>
      </c>
      <c r="DH38" s="19">
        <f>'Grid_Stock'!CY17</f>
        <v/>
      </c>
      <c r="DI38" s="19">
        <f>'Grid_Stock'!CZ17</f>
        <v/>
      </c>
      <c r="DJ38" s="19">
        <f>'Grid_Stock'!DA17</f>
        <v/>
      </c>
    </row>
    <row r="39">
      <c r="A39" s="17" t="inlineStr">
        <is>
          <t>5JK</t>
        </is>
      </c>
      <c r="B39" s="17">
        <f>IFERROR(INDEX(M_RawMaterials[Description],MATCH($A39,M_RawMaterials[Part Name],0)),"")</f>
        <v/>
      </c>
      <c r="C39" s="17">
        <f>IFERROR(INDEX(M_RawMaterials[Category],MATCH($A39,M_RawMaterials[Part Name],0)),"")</f>
        <v/>
      </c>
      <c r="D39" s="17">
        <f>IFERROR(INDEX(M_RawMaterials[基準在庫下限_要入力],MATCH($A39,M_RawMaterials[Part Name],0)),0)</f>
        <v/>
      </c>
      <c r="E39" s="17">
        <f>IFERROR(INDEX(M_RawMaterials[基準在庫上限_要入力],MATCH($A39,M_RawMaterials[Part Name],0)),0)</f>
        <v/>
      </c>
      <c r="F39" s="17">
        <f>IFERROR(LOOKUP(2,1/('T_SelfStock'!$B$22:$DA$22&lt;&gt;""),'T_SelfStock'!$B$22:$DA$22),"")</f>
        <v/>
      </c>
      <c r="G39" s="17">
        <f>IFERROR(LOOKUP(2,1/('T_TTAFStock'!$B$22:$DA$22&lt;&gt;""),'T_TTAFStock'!$B$22:$DA$22),"")</f>
        <v/>
      </c>
      <c r="H39" s="17">
        <f>IFERROR(LOOKUP(2,1/('T_SelfStock'!$B$22:$DA$22&lt;&gt;""),'T_SelfStock'!$B$5:$DA$5),"")</f>
        <v/>
      </c>
      <c r="I39" s="18" t="inlineStr">
        <is>
          <t>理論在庫</t>
        </is>
      </c>
      <c r="J39" s="17">
        <f>'Grid_Stock'!DA18-'Grid_TheoreticalStock'!DA18</f>
        <v/>
      </c>
      <c r="K39" s="18">
        <f>'Grid_TheoreticalStock'!B18</f>
        <v/>
      </c>
      <c r="L39" s="18">
        <f>'Grid_TheoreticalStock'!C18</f>
        <v/>
      </c>
      <c r="M39" s="18">
        <f>'Grid_TheoreticalStock'!D18</f>
        <v/>
      </c>
      <c r="N39" s="18">
        <f>'Grid_TheoreticalStock'!E18</f>
        <v/>
      </c>
      <c r="O39" s="18">
        <f>'Grid_TheoreticalStock'!F18</f>
        <v/>
      </c>
      <c r="P39" s="18">
        <f>'Grid_TheoreticalStock'!G18</f>
        <v/>
      </c>
      <c r="Q39" s="18">
        <f>'Grid_TheoreticalStock'!H18</f>
        <v/>
      </c>
      <c r="R39" s="18">
        <f>'Grid_TheoreticalStock'!I18</f>
        <v/>
      </c>
      <c r="S39" s="18">
        <f>'Grid_TheoreticalStock'!J18</f>
        <v/>
      </c>
      <c r="T39" s="18">
        <f>'Grid_TheoreticalStock'!K18</f>
        <v/>
      </c>
      <c r="U39" s="18">
        <f>'Grid_TheoreticalStock'!L18</f>
        <v/>
      </c>
      <c r="V39" s="18">
        <f>'Grid_TheoreticalStock'!M18</f>
        <v/>
      </c>
      <c r="W39" s="18">
        <f>'Grid_TheoreticalStock'!N18</f>
        <v/>
      </c>
      <c r="X39" s="18">
        <f>'Grid_TheoreticalStock'!O18</f>
        <v/>
      </c>
      <c r="Y39" s="18">
        <f>'Grid_TheoreticalStock'!P18</f>
        <v/>
      </c>
      <c r="Z39" s="18">
        <f>'Grid_TheoreticalStock'!Q18</f>
        <v/>
      </c>
      <c r="AA39" s="18">
        <f>'Grid_TheoreticalStock'!R18</f>
        <v/>
      </c>
      <c r="AB39" s="18">
        <f>'Grid_TheoreticalStock'!S18</f>
        <v/>
      </c>
      <c r="AC39" s="18">
        <f>'Grid_TheoreticalStock'!T18</f>
        <v/>
      </c>
      <c r="AD39" s="18">
        <f>'Grid_TheoreticalStock'!U18</f>
        <v/>
      </c>
      <c r="AE39" s="18">
        <f>'Grid_TheoreticalStock'!V18</f>
        <v/>
      </c>
      <c r="AF39" s="18">
        <f>'Grid_TheoreticalStock'!W18</f>
        <v/>
      </c>
      <c r="AG39" s="18">
        <f>'Grid_TheoreticalStock'!X18</f>
        <v/>
      </c>
      <c r="AH39" s="18">
        <f>'Grid_TheoreticalStock'!Y18</f>
        <v/>
      </c>
      <c r="AI39" s="18">
        <f>'Grid_TheoreticalStock'!Z18</f>
        <v/>
      </c>
      <c r="AJ39" s="18">
        <f>'Grid_TheoreticalStock'!AA18</f>
        <v/>
      </c>
      <c r="AK39" s="18">
        <f>'Grid_TheoreticalStock'!AB18</f>
        <v/>
      </c>
      <c r="AL39" s="18">
        <f>'Grid_TheoreticalStock'!AC18</f>
        <v/>
      </c>
      <c r="AM39" s="18">
        <f>'Grid_TheoreticalStock'!AD18</f>
        <v/>
      </c>
      <c r="AN39" s="18">
        <f>'Grid_TheoreticalStock'!AE18</f>
        <v/>
      </c>
      <c r="AO39" s="18">
        <f>'Grid_TheoreticalStock'!AF18</f>
        <v/>
      </c>
      <c r="AP39" s="18">
        <f>'Grid_TheoreticalStock'!AG18</f>
        <v/>
      </c>
      <c r="AQ39" s="18">
        <f>'Grid_TheoreticalStock'!AH18</f>
        <v/>
      </c>
      <c r="AR39" s="18">
        <f>'Grid_TheoreticalStock'!AI18</f>
        <v/>
      </c>
      <c r="AS39" s="18">
        <f>'Grid_TheoreticalStock'!AJ18</f>
        <v/>
      </c>
      <c r="AT39" s="18">
        <f>'Grid_TheoreticalStock'!AK18</f>
        <v/>
      </c>
      <c r="AU39" s="18">
        <f>'Grid_TheoreticalStock'!AL18</f>
        <v/>
      </c>
      <c r="AV39" s="18">
        <f>'Grid_TheoreticalStock'!AM18</f>
        <v/>
      </c>
      <c r="AW39" s="18">
        <f>'Grid_TheoreticalStock'!AN18</f>
        <v/>
      </c>
      <c r="AX39" s="18">
        <f>'Grid_TheoreticalStock'!AO18</f>
        <v/>
      </c>
      <c r="AY39" s="18">
        <f>'Grid_TheoreticalStock'!AP18</f>
        <v/>
      </c>
      <c r="AZ39" s="18">
        <f>'Grid_TheoreticalStock'!AQ18</f>
        <v/>
      </c>
      <c r="BA39" s="18">
        <f>'Grid_TheoreticalStock'!AR18</f>
        <v/>
      </c>
      <c r="BB39" s="18">
        <f>'Grid_TheoreticalStock'!AS18</f>
        <v/>
      </c>
      <c r="BC39" s="18">
        <f>'Grid_TheoreticalStock'!AT18</f>
        <v/>
      </c>
      <c r="BD39" s="18">
        <f>'Grid_TheoreticalStock'!AU18</f>
        <v/>
      </c>
      <c r="BE39" s="18">
        <f>'Grid_TheoreticalStock'!AV18</f>
        <v/>
      </c>
      <c r="BF39" s="18">
        <f>'Grid_TheoreticalStock'!AW18</f>
        <v/>
      </c>
      <c r="BG39" s="18">
        <f>'Grid_TheoreticalStock'!AX18</f>
        <v/>
      </c>
      <c r="BH39" s="18">
        <f>'Grid_TheoreticalStock'!AY18</f>
        <v/>
      </c>
      <c r="BI39" s="18">
        <f>'Grid_TheoreticalStock'!AZ18</f>
        <v/>
      </c>
      <c r="BJ39" s="18">
        <f>'Grid_TheoreticalStock'!BA18</f>
        <v/>
      </c>
      <c r="BK39" s="18">
        <f>'Grid_TheoreticalStock'!BB18</f>
        <v/>
      </c>
      <c r="BL39" s="18">
        <f>'Grid_TheoreticalStock'!BC18</f>
        <v/>
      </c>
      <c r="BM39" s="18">
        <f>'Grid_TheoreticalStock'!BD18</f>
        <v/>
      </c>
      <c r="BN39" s="18">
        <f>'Grid_TheoreticalStock'!BE18</f>
        <v/>
      </c>
      <c r="BO39" s="18">
        <f>'Grid_TheoreticalStock'!BF18</f>
        <v/>
      </c>
      <c r="BP39" s="18">
        <f>'Grid_TheoreticalStock'!BG18</f>
        <v/>
      </c>
      <c r="BQ39" s="18">
        <f>'Grid_TheoreticalStock'!BH18</f>
        <v/>
      </c>
      <c r="BR39" s="18">
        <f>'Grid_TheoreticalStock'!BI18</f>
        <v/>
      </c>
      <c r="BS39" s="18">
        <f>'Grid_TheoreticalStock'!BJ18</f>
        <v/>
      </c>
      <c r="BT39" s="18">
        <f>'Grid_TheoreticalStock'!BK18</f>
        <v/>
      </c>
      <c r="BU39" s="18">
        <f>'Grid_TheoreticalStock'!BL18</f>
        <v/>
      </c>
      <c r="BV39" s="18">
        <f>'Grid_TheoreticalStock'!BM18</f>
        <v/>
      </c>
      <c r="BW39" s="18">
        <f>'Grid_TheoreticalStock'!BN18</f>
        <v/>
      </c>
      <c r="BX39" s="18">
        <f>'Grid_TheoreticalStock'!BO18</f>
        <v/>
      </c>
      <c r="BY39" s="18">
        <f>'Grid_TheoreticalStock'!BP18</f>
        <v/>
      </c>
      <c r="BZ39" s="18">
        <f>'Grid_TheoreticalStock'!BQ18</f>
        <v/>
      </c>
      <c r="CA39" s="18">
        <f>'Grid_TheoreticalStock'!BR18</f>
        <v/>
      </c>
      <c r="CB39" s="18">
        <f>'Grid_TheoreticalStock'!BS18</f>
        <v/>
      </c>
      <c r="CC39" s="18">
        <f>'Grid_TheoreticalStock'!BT18</f>
        <v/>
      </c>
      <c r="CD39" s="18">
        <f>'Grid_TheoreticalStock'!BU18</f>
        <v/>
      </c>
      <c r="CE39" s="18">
        <f>'Grid_TheoreticalStock'!BV18</f>
        <v/>
      </c>
      <c r="CF39" s="18">
        <f>'Grid_TheoreticalStock'!BW18</f>
        <v/>
      </c>
      <c r="CG39" s="18">
        <f>'Grid_TheoreticalStock'!BX18</f>
        <v/>
      </c>
      <c r="CH39" s="18">
        <f>'Grid_TheoreticalStock'!BY18</f>
        <v/>
      </c>
      <c r="CI39" s="18">
        <f>'Grid_TheoreticalStock'!BZ18</f>
        <v/>
      </c>
      <c r="CJ39" s="18">
        <f>'Grid_TheoreticalStock'!CA18</f>
        <v/>
      </c>
      <c r="CK39" s="18">
        <f>'Grid_TheoreticalStock'!CB18</f>
        <v/>
      </c>
      <c r="CL39" s="18">
        <f>'Grid_TheoreticalStock'!CC18</f>
        <v/>
      </c>
      <c r="CM39" s="18">
        <f>'Grid_TheoreticalStock'!CD18</f>
        <v/>
      </c>
      <c r="CN39" s="18">
        <f>'Grid_TheoreticalStock'!CE18</f>
        <v/>
      </c>
      <c r="CO39" s="18">
        <f>'Grid_TheoreticalStock'!CF18</f>
        <v/>
      </c>
      <c r="CP39" s="18">
        <f>'Grid_TheoreticalStock'!CG18</f>
        <v/>
      </c>
      <c r="CQ39" s="18">
        <f>'Grid_TheoreticalStock'!CH18</f>
        <v/>
      </c>
      <c r="CR39" s="18">
        <f>'Grid_TheoreticalStock'!CI18</f>
        <v/>
      </c>
      <c r="CS39" s="18">
        <f>'Grid_TheoreticalStock'!CJ18</f>
        <v/>
      </c>
      <c r="CT39" s="18">
        <f>'Grid_TheoreticalStock'!CK18</f>
        <v/>
      </c>
      <c r="CU39" s="18">
        <f>'Grid_TheoreticalStock'!CL18</f>
        <v/>
      </c>
      <c r="CV39" s="18">
        <f>'Grid_TheoreticalStock'!CM18</f>
        <v/>
      </c>
      <c r="CW39" s="18">
        <f>'Grid_TheoreticalStock'!CN18</f>
        <v/>
      </c>
      <c r="CX39" s="18">
        <f>'Grid_TheoreticalStock'!CO18</f>
        <v/>
      </c>
      <c r="CY39" s="18">
        <f>'Grid_TheoreticalStock'!CP18</f>
        <v/>
      </c>
      <c r="CZ39" s="18">
        <f>'Grid_TheoreticalStock'!CQ18</f>
        <v/>
      </c>
      <c r="DA39" s="18">
        <f>'Grid_TheoreticalStock'!CR18</f>
        <v/>
      </c>
      <c r="DB39" s="18">
        <f>'Grid_TheoreticalStock'!CS18</f>
        <v/>
      </c>
      <c r="DC39" s="18">
        <f>'Grid_TheoreticalStock'!CT18</f>
        <v/>
      </c>
      <c r="DD39" s="18">
        <f>'Grid_TheoreticalStock'!CU18</f>
        <v/>
      </c>
      <c r="DE39" s="18">
        <f>'Grid_TheoreticalStock'!CV18</f>
        <v/>
      </c>
      <c r="DF39" s="18">
        <f>'Grid_TheoreticalStock'!CW18</f>
        <v/>
      </c>
      <c r="DG39" s="18">
        <f>'Grid_TheoreticalStock'!CX18</f>
        <v/>
      </c>
      <c r="DH39" s="18">
        <f>'Grid_TheoreticalStock'!CY18</f>
        <v/>
      </c>
      <c r="DI39" s="18">
        <f>'Grid_TheoreticalStock'!CZ18</f>
        <v/>
      </c>
      <c r="DJ39" s="18">
        <f>'Grid_TheoreticalStock'!DA18</f>
        <v/>
      </c>
    </row>
    <row r="40">
      <c r="A40" s="19" t="inlineStr">
        <is>
          <t>5JK</t>
        </is>
      </c>
      <c r="B40" s="19">
        <f>IFERROR(INDEX(M_RawMaterials[Description],MATCH($A40,M_RawMaterials[Part Name],0)),"")</f>
        <v/>
      </c>
      <c r="C40" s="19">
        <f>IFERROR(INDEX(M_RawMaterials[Category],MATCH($A40,M_RawMaterials[Part Name],0)),"")</f>
        <v/>
      </c>
      <c r="D40" s="19">
        <f>IFERROR(INDEX(M_RawMaterials[基準在庫下限_要入力],MATCH($A40,M_RawMaterials[Part Name],0)),0)</f>
        <v/>
      </c>
      <c r="E40" s="19">
        <f>IFERROR(INDEX(M_RawMaterials[基準在庫上限_要入力],MATCH($A40,M_RawMaterials[Part Name],0)),0)</f>
        <v/>
      </c>
      <c r="F40" s="19">
        <f>IFERROR(LOOKUP(2,1/('T_SelfStock'!$B$22:$DA$22&lt;&gt;""),'T_SelfStock'!$B$22:$DA$22),"")</f>
        <v/>
      </c>
      <c r="G40" s="19">
        <f>IFERROR(LOOKUP(2,1/('T_TTAFStock'!$B$22:$DA$22&lt;&gt;""),'T_TTAFStock'!$B$22:$DA$22),"")</f>
        <v/>
      </c>
      <c r="H40" s="19">
        <f>IFERROR(LOOKUP(2,1/('T_SelfStock'!$B$22:$DA$22&lt;&gt;""),'T_SelfStock'!$B$5:$DA$5),"")</f>
        <v/>
      </c>
      <c r="I40" s="20" t="inlineStr">
        <is>
          <t>実在庫</t>
        </is>
      </c>
      <c r="J40" s="19">
        <f>'Grid_Stock'!DA18-'Grid_TheoreticalStock'!DA18</f>
        <v/>
      </c>
      <c r="K40" s="19">
        <f>'Grid_Stock'!B18</f>
        <v/>
      </c>
      <c r="L40" s="19">
        <f>'Grid_Stock'!C18</f>
        <v/>
      </c>
      <c r="M40" s="19">
        <f>'Grid_Stock'!D18</f>
        <v/>
      </c>
      <c r="N40" s="19">
        <f>'Grid_Stock'!E18</f>
        <v/>
      </c>
      <c r="O40" s="19">
        <f>'Grid_Stock'!F18</f>
        <v/>
      </c>
      <c r="P40" s="19">
        <f>'Grid_Stock'!G18</f>
        <v/>
      </c>
      <c r="Q40" s="19">
        <f>'Grid_Stock'!H18</f>
        <v/>
      </c>
      <c r="R40" s="19">
        <f>'Grid_Stock'!I18</f>
        <v/>
      </c>
      <c r="S40" s="19">
        <f>'Grid_Stock'!J18</f>
        <v/>
      </c>
      <c r="T40" s="19">
        <f>'Grid_Stock'!K18</f>
        <v/>
      </c>
      <c r="U40" s="19">
        <f>'Grid_Stock'!L18</f>
        <v/>
      </c>
      <c r="V40" s="19">
        <f>'Grid_Stock'!M18</f>
        <v/>
      </c>
      <c r="W40" s="19">
        <f>'Grid_Stock'!N18</f>
        <v/>
      </c>
      <c r="X40" s="19">
        <f>'Grid_Stock'!O18</f>
        <v/>
      </c>
      <c r="Y40" s="19">
        <f>'Grid_Stock'!P18</f>
        <v/>
      </c>
      <c r="Z40" s="19">
        <f>'Grid_Stock'!Q18</f>
        <v/>
      </c>
      <c r="AA40" s="19">
        <f>'Grid_Stock'!R18</f>
        <v/>
      </c>
      <c r="AB40" s="19">
        <f>'Grid_Stock'!S18</f>
        <v/>
      </c>
      <c r="AC40" s="19">
        <f>'Grid_Stock'!T18</f>
        <v/>
      </c>
      <c r="AD40" s="19">
        <f>'Grid_Stock'!U18</f>
        <v/>
      </c>
      <c r="AE40" s="19">
        <f>'Grid_Stock'!V18</f>
        <v/>
      </c>
      <c r="AF40" s="19">
        <f>'Grid_Stock'!W18</f>
        <v/>
      </c>
      <c r="AG40" s="19">
        <f>'Grid_Stock'!X18</f>
        <v/>
      </c>
      <c r="AH40" s="19">
        <f>'Grid_Stock'!Y18</f>
        <v/>
      </c>
      <c r="AI40" s="19">
        <f>'Grid_Stock'!Z18</f>
        <v/>
      </c>
      <c r="AJ40" s="19">
        <f>'Grid_Stock'!AA18</f>
        <v/>
      </c>
      <c r="AK40" s="19">
        <f>'Grid_Stock'!AB18</f>
        <v/>
      </c>
      <c r="AL40" s="19">
        <f>'Grid_Stock'!AC18</f>
        <v/>
      </c>
      <c r="AM40" s="19">
        <f>'Grid_Stock'!AD18</f>
        <v/>
      </c>
      <c r="AN40" s="19">
        <f>'Grid_Stock'!AE18</f>
        <v/>
      </c>
      <c r="AO40" s="19">
        <f>'Grid_Stock'!AF18</f>
        <v/>
      </c>
      <c r="AP40" s="19">
        <f>'Grid_Stock'!AG18</f>
        <v/>
      </c>
      <c r="AQ40" s="19">
        <f>'Grid_Stock'!AH18</f>
        <v/>
      </c>
      <c r="AR40" s="19">
        <f>'Grid_Stock'!AI18</f>
        <v/>
      </c>
      <c r="AS40" s="19">
        <f>'Grid_Stock'!AJ18</f>
        <v/>
      </c>
      <c r="AT40" s="19">
        <f>'Grid_Stock'!AK18</f>
        <v/>
      </c>
      <c r="AU40" s="19">
        <f>'Grid_Stock'!AL18</f>
        <v/>
      </c>
      <c r="AV40" s="19">
        <f>'Grid_Stock'!AM18</f>
        <v/>
      </c>
      <c r="AW40" s="19">
        <f>'Grid_Stock'!AN18</f>
        <v/>
      </c>
      <c r="AX40" s="19">
        <f>'Grid_Stock'!AO18</f>
        <v/>
      </c>
      <c r="AY40" s="19">
        <f>'Grid_Stock'!AP18</f>
        <v/>
      </c>
      <c r="AZ40" s="19">
        <f>'Grid_Stock'!AQ18</f>
        <v/>
      </c>
      <c r="BA40" s="19">
        <f>'Grid_Stock'!AR18</f>
        <v/>
      </c>
      <c r="BB40" s="19">
        <f>'Grid_Stock'!AS18</f>
        <v/>
      </c>
      <c r="BC40" s="19">
        <f>'Grid_Stock'!AT18</f>
        <v/>
      </c>
      <c r="BD40" s="19">
        <f>'Grid_Stock'!AU18</f>
        <v/>
      </c>
      <c r="BE40" s="19">
        <f>'Grid_Stock'!AV18</f>
        <v/>
      </c>
      <c r="BF40" s="19">
        <f>'Grid_Stock'!AW18</f>
        <v/>
      </c>
      <c r="BG40" s="19">
        <f>'Grid_Stock'!AX18</f>
        <v/>
      </c>
      <c r="BH40" s="19">
        <f>'Grid_Stock'!AY18</f>
        <v/>
      </c>
      <c r="BI40" s="19">
        <f>'Grid_Stock'!AZ18</f>
        <v/>
      </c>
      <c r="BJ40" s="19">
        <f>'Grid_Stock'!BA18</f>
        <v/>
      </c>
      <c r="BK40" s="19">
        <f>'Grid_Stock'!BB18</f>
        <v/>
      </c>
      <c r="BL40" s="19">
        <f>'Grid_Stock'!BC18</f>
        <v/>
      </c>
      <c r="BM40" s="19">
        <f>'Grid_Stock'!BD18</f>
        <v/>
      </c>
      <c r="BN40" s="19">
        <f>'Grid_Stock'!BE18</f>
        <v/>
      </c>
      <c r="BO40" s="19">
        <f>'Grid_Stock'!BF18</f>
        <v/>
      </c>
      <c r="BP40" s="19">
        <f>'Grid_Stock'!BG18</f>
        <v/>
      </c>
      <c r="BQ40" s="19">
        <f>'Grid_Stock'!BH18</f>
        <v/>
      </c>
      <c r="BR40" s="19">
        <f>'Grid_Stock'!BI18</f>
        <v/>
      </c>
      <c r="BS40" s="19">
        <f>'Grid_Stock'!BJ18</f>
        <v/>
      </c>
      <c r="BT40" s="19">
        <f>'Grid_Stock'!BK18</f>
        <v/>
      </c>
      <c r="BU40" s="19">
        <f>'Grid_Stock'!BL18</f>
        <v/>
      </c>
      <c r="BV40" s="19">
        <f>'Grid_Stock'!BM18</f>
        <v/>
      </c>
      <c r="BW40" s="19">
        <f>'Grid_Stock'!BN18</f>
        <v/>
      </c>
      <c r="BX40" s="19">
        <f>'Grid_Stock'!BO18</f>
        <v/>
      </c>
      <c r="BY40" s="19">
        <f>'Grid_Stock'!BP18</f>
        <v/>
      </c>
      <c r="BZ40" s="19">
        <f>'Grid_Stock'!BQ18</f>
        <v/>
      </c>
      <c r="CA40" s="19">
        <f>'Grid_Stock'!BR18</f>
        <v/>
      </c>
      <c r="CB40" s="19">
        <f>'Grid_Stock'!BS18</f>
        <v/>
      </c>
      <c r="CC40" s="19">
        <f>'Grid_Stock'!BT18</f>
        <v/>
      </c>
      <c r="CD40" s="19">
        <f>'Grid_Stock'!BU18</f>
        <v/>
      </c>
      <c r="CE40" s="19">
        <f>'Grid_Stock'!BV18</f>
        <v/>
      </c>
      <c r="CF40" s="19">
        <f>'Grid_Stock'!BW18</f>
        <v/>
      </c>
      <c r="CG40" s="19">
        <f>'Grid_Stock'!BX18</f>
        <v/>
      </c>
      <c r="CH40" s="19">
        <f>'Grid_Stock'!BY18</f>
        <v/>
      </c>
      <c r="CI40" s="19">
        <f>'Grid_Stock'!BZ18</f>
        <v/>
      </c>
      <c r="CJ40" s="19">
        <f>'Grid_Stock'!CA18</f>
        <v/>
      </c>
      <c r="CK40" s="19">
        <f>'Grid_Stock'!CB18</f>
        <v/>
      </c>
      <c r="CL40" s="19">
        <f>'Grid_Stock'!CC18</f>
        <v/>
      </c>
      <c r="CM40" s="19">
        <f>'Grid_Stock'!CD18</f>
        <v/>
      </c>
      <c r="CN40" s="19">
        <f>'Grid_Stock'!CE18</f>
        <v/>
      </c>
      <c r="CO40" s="19">
        <f>'Grid_Stock'!CF18</f>
        <v/>
      </c>
      <c r="CP40" s="19">
        <f>'Grid_Stock'!CG18</f>
        <v/>
      </c>
      <c r="CQ40" s="19">
        <f>'Grid_Stock'!CH18</f>
        <v/>
      </c>
      <c r="CR40" s="19">
        <f>'Grid_Stock'!CI18</f>
        <v/>
      </c>
      <c r="CS40" s="19">
        <f>'Grid_Stock'!CJ18</f>
        <v/>
      </c>
      <c r="CT40" s="19">
        <f>'Grid_Stock'!CK18</f>
        <v/>
      </c>
      <c r="CU40" s="19">
        <f>'Grid_Stock'!CL18</f>
        <v/>
      </c>
      <c r="CV40" s="19">
        <f>'Grid_Stock'!CM18</f>
        <v/>
      </c>
      <c r="CW40" s="19">
        <f>'Grid_Stock'!CN18</f>
        <v/>
      </c>
      <c r="CX40" s="19">
        <f>'Grid_Stock'!CO18</f>
        <v/>
      </c>
      <c r="CY40" s="19">
        <f>'Grid_Stock'!CP18</f>
        <v/>
      </c>
      <c r="CZ40" s="19">
        <f>'Grid_Stock'!CQ18</f>
        <v/>
      </c>
      <c r="DA40" s="19">
        <f>'Grid_Stock'!CR18</f>
        <v/>
      </c>
      <c r="DB40" s="19">
        <f>'Grid_Stock'!CS18</f>
        <v/>
      </c>
      <c r="DC40" s="19">
        <f>'Grid_Stock'!CT18</f>
        <v/>
      </c>
      <c r="DD40" s="19">
        <f>'Grid_Stock'!CU18</f>
        <v/>
      </c>
      <c r="DE40" s="19">
        <f>'Grid_Stock'!CV18</f>
        <v/>
      </c>
      <c r="DF40" s="19">
        <f>'Grid_Stock'!CW18</f>
        <v/>
      </c>
      <c r="DG40" s="19">
        <f>'Grid_Stock'!CX18</f>
        <v/>
      </c>
      <c r="DH40" s="19">
        <f>'Grid_Stock'!CY18</f>
        <v/>
      </c>
      <c r="DI40" s="19">
        <f>'Grid_Stock'!CZ18</f>
        <v/>
      </c>
      <c r="DJ40" s="19">
        <f>'Grid_Stock'!DA18</f>
        <v/>
      </c>
    </row>
    <row r="41">
      <c r="A41" s="17" t="inlineStr">
        <is>
          <t>26F</t>
        </is>
      </c>
      <c r="B41" s="17">
        <f>IFERROR(INDEX(M_RawMaterials[Description],MATCH($A41,M_RawMaterials[Part Name],0)),"")</f>
        <v/>
      </c>
      <c r="C41" s="17">
        <f>IFERROR(INDEX(M_RawMaterials[Category],MATCH($A41,M_RawMaterials[Part Name],0)),"")</f>
        <v/>
      </c>
      <c r="D41" s="17">
        <f>IFERROR(INDEX(M_RawMaterials[基準在庫下限_要入力],MATCH($A41,M_RawMaterials[Part Name],0)),0)</f>
        <v/>
      </c>
      <c r="E41" s="17">
        <f>IFERROR(INDEX(M_RawMaterials[基準在庫上限_要入力],MATCH($A41,M_RawMaterials[Part Name],0)),0)</f>
        <v/>
      </c>
      <c r="F41" s="17">
        <f>IFERROR(LOOKUP(2,1/('T_SelfStock'!$B$23:$DA$23&lt;&gt;""),'T_SelfStock'!$B$23:$DA$23),"")</f>
        <v/>
      </c>
      <c r="G41" s="17">
        <f>IFERROR(LOOKUP(2,1/('T_TTAFStock'!$B$23:$DA$23&lt;&gt;""),'T_TTAFStock'!$B$23:$DA$23),"")</f>
        <v/>
      </c>
      <c r="H41" s="17">
        <f>IFERROR(LOOKUP(2,1/('T_SelfStock'!$B$23:$DA$23&lt;&gt;""),'T_SelfStock'!$B$5:$DA$5),"")</f>
        <v/>
      </c>
      <c r="I41" s="18" t="inlineStr">
        <is>
          <t>理論在庫</t>
        </is>
      </c>
      <c r="J41" s="17">
        <f>'Grid_Stock'!DA19-'Grid_TheoreticalStock'!DA19</f>
        <v/>
      </c>
      <c r="K41" s="18">
        <f>'Grid_TheoreticalStock'!B19</f>
        <v/>
      </c>
      <c r="L41" s="18">
        <f>'Grid_TheoreticalStock'!C19</f>
        <v/>
      </c>
      <c r="M41" s="18">
        <f>'Grid_TheoreticalStock'!D19</f>
        <v/>
      </c>
      <c r="N41" s="18">
        <f>'Grid_TheoreticalStock'!E19</f>
        <v/>
      </c>
      <c r="O41" s="18">
        <f>'Grid_TheoreticalStock'!F19</f>
        <v/>
      </c>
      <c r="P41" s="18">
        <f>'Grid_TheoreticalStock'!G19</f>
        <v/>
      </c>
      <c r="Q41" s="18">
        <f>'Grid_TheoreticalStock'!H19</f>
        <v/>
      </c>
      <c r="R41" s="18">
        <f>'Grid_TheoreticalStock'!I19</f>
        <v/>
      </c>
      <c r="S41" s="18">
        <f>'Grid_TheoreticalStock'!J19</f>
        <v/>
      </c>
      <c r="T41" s="18">
        <f>'Grid_TheoreticalStock'!K19</f>
        <v/>
      </c>
      <c r="U41" s="18">
        <f>'Grid_TheoreticalStock'!L19</f>
        <v/>
      </c>
      <c r="V41" s="18">
        <f>'Grid_TheoreticalStock'!M19</f>
        <v/>
      </c>
      <c r="W41" s="18">
        <f>'Grid_TheoreticalStock'!N19</f>
        <v/>
      </c>
      <c r="X41" s="18">
        <f>'Grid_TheoreticalStock'!O19</f>
        <v/>
      </c>
      <c r="Y41" s="18">
        <f>'Grid_TheoreticalStock'!P19</f>
        <v/>
      </c>
      <c r="Z41" s="18">
        <f>'Grid_TheoreticalStock'!Q19</f>
        <v/>
      </c>
      <c r="AA41" s="18">
        <f>'Grid_TheoreticalStock'!R19</f>
        <v/>
      </c>
      <c r="AB41" s="18">
        <f>'Grid_TheoreticalStock'!S19</f>
        <v/>
      </c>
      <c r="AC41" s="18">
        <f>'Grid_TheoreticalStock'!T19</f>
        <v/>
      </c>
      <c r="AD41" s="18">
        <f>'Grid_TheoreticalStock'!U19</f>
        <v/>
      </c>
      <c r="AE41" s="18">
        <f>'Grid_TheoreticalStock'!V19</f>
        <v/>
      </c>
      <c r="AF41" s="18">
        <f>'Grid_TheoreticalStock'!W19</f>
        <v/>
      </c>
      <c r="AG41" s="18">
        <f>'Grid_TheoreticalStock'!X19</f>
        <v/>
      </c>
      <c r="AH41" s="18">
        <f>'Grid_TheoreticalStock'!Y19</f>
        <v/>
      </c>
      <c r="AI41" s="18">
        <f>'Grid_TheoreticalStock'!Z19</f>
        <v/>
      </c>
      <c r="AJ41" s="18">
        <f>'Grid_TheoreticalStock'!AA19</f>
        <v/>
      </c>
      <c r="AK41" s="18">
        <f>'Grid_TheoreticalStock'!AB19</f>
        <v/>
      </c>
      <c r="AL41" s="18">
        <f>'Grid_TheoreticalStock'!AC19</f>
        <v/>
      </c>
      <c r="AM41" s="18">
        <f>'Grid_TheoreticalStock'!AD19</f>
        <v/>
      </c>
      <c r="AN41" s="18">
        <f>'Grid_TheoreticalStock'!AE19</f>
        <v/>
      </c>
      <c r="AO41" s="18">
        <f>'Grid_TheoreticalStock'!AF19</f>
        <v/>
      </c>
      <c r="AP41" s="18">
        <f>'Grid_TheoreticalStock'!AG19</f>
        <v/>
      </c>
      <c r="AQ41" s="18">
        <f>'Grid_TheoreticalStock'!AH19</f>
        <v/>
      </c>
      <c r="AR41" s="18">
        <f>'Grid_TheoreticalStock'!AI19</f>
        <v/>
      </c>
      <c r="AS41" s="18">
        <f>'Grid_TheoreticalStock'!AJ19</f>
        <v/>
      </c>
      <c r="AT41" s="18">
        <f>'Grid_TheoreticalStock'!AK19</f>
        <v/>
      </c>
      <c r="AU41" s="18">
        <f>'Grid_TheoreticalStock'!AL19</f>
        <v/>
      </c>
      <c r="AV41" s="18">
        <f>'Grid_TheoreticalStock'!AM19</f>
        <v/>
      </c>
      <c r="AW41" s="18">
        <f>'Grid_TheoreticalStock'!AN19</f>
        <v/>
      </c>
      <c r="AX41" s="18">
        <f>'Grid_TheoreticalStock'!AO19</f>
        <v/>
      </c>
      <c r="AY41" s="18">
        <f>'Grid_TheoreticalStock'!AP19</f>
        <v/>
      </c>
      <c r="AZ41" s="18">
        <f>'Grid_TheoreticalStock'!AQ19</f>
        <v/>
      </c>
      <c r="BA41" s="18">
        <f>'Grid_TheoreticalStock'!AR19</f>
        <v/>
      </c>
      <c r="BB41" s="18">
        <f>'Grid_TheoreticalStock'!AS19</f>
        <v/>
      </c>
      <c r="BC41" s="18">
        <f>'Grid_TheoreticalStock'!AT19</f>
        <v/>
      </c>
      <c r="BD41" s="18">
        <f>'Grid_TheoreticalStock'!AU19</f>
        <v/>
      </c>
      <c r="BE41" s="18">
        <f>'Grid_TheoreticalStock'!AV19</f>
        <v/>
      </c>
      <c r="BF41" s="18">
        <f>'Grid_TheoreticalStock'!AW19</f>
        <v/>
      </c>
      <c r="BG41" s="18">
        <f>'Grid_TheoreticalStock'!AX19</f>
        <v/>
      </c>
      <c r="BH41" s="18">
        <f>'Grid_TheoreticalStock'!AY19</f>
        <v/>
      </c>
      <c r="BI41" s="18">
        <f>'Grid_TheoreticalStock'!AZ19</f>
        <v/>
      </c>
      <c r="BJ41" s="18">
        <f>'Grid_TheoreticalStock'!BA19</f>
        <v/>
      </c>
      <c r="BK41" s="18">
        <f>'Grid_TheoreticalStock'!BB19</f>
        <v/>
      </c>
      <c r="BL41" s="18">
        <f>'Grid_TheoreticalStock'!BC19</f>
        <v/>
      </c>
      <c r="BM41" s="18">
        <f>'Grid_TheoreticalStock'!BD19</f>
        <v/>
      </c>
      <c r="BN41" s="18">
        <f>'Grid_TheoreticalStock'!BE19</f>
        <v/>
      </c>
      <c r="BO41" s="18">
        <f>'Grid_TheoreticalStock'!BF19</f>
        <v/>
      </c>
      <c r="BP41" s="18">
        <f>'Grid_TheoreticalStock'!BG19</f>
        <v/>
      </c>
      <c r="BQ41" s="18">
        <f>'Grid_TheoreticalStock'!BH19</f>
        <v/>
      </c>
      <c r="BR41" s="18">
        <f>'Grid_TheoreticalStock'!BI19</f>
        <v/>
      </c>
      <c r="BS41" s="18">
        <f>'Grid_TheoreticalStock'!BJ19</f>
        <v/>
      </c>
      <c r="BT41" s="18">
        <f>'Grid_TheoreticalStock'!BK19</f>
        <v/>
      </c>
      <c r="BU41" s="18">
        <f>'Grid_TheoreticalStock'!BL19</f>
        <v/>
      </c>
      <c r="BV41" s="18">
        <f>'Grid_TheoreticalStock'!BM19</f>
        <v/>
      </c>
      <c r="BW41" s="18">
        <f>'Grid_TheoreticalStock'!BN19</f>
        <v/>
      </c>
      <c r="BX41" s="18">
        <f>'Grid_TheoreticalStock'!BO19</f>
        <v/>
      </c>
      <c r="BY41" s="18">
        <f>'Grid_TheoreticalStock'!BP19</f>
        <v/>
      </c>
      <c r="BZ41" s="18">
        <f>'Grid_TheoreticalStock'!BQ19</f>
        <v/>
      </c>
      <c r="CA41" s="18">
        <f>'Grid_TheoreticalStock'!BR19</f>
        <v/>
      </c>
      <c r="CB41" s="18">
        <f>'Grid_TheoreticalStock'!BS19</f>
        <v/>
      </c>
      <c r="CC41" s="18">
        <f>'Grid_TheoreticalStock'!BT19</f>
        <v/>
      </c>
      <c r="CD41" s="18">
        <f>'Grid_TheoreticalStock'!BU19</f>
        <v/>
      </c>
      <c r="CE41" s="18">
        <f>'Grid_TheoreticalStock'!BV19</f>
        <v/>
      </c>
      <c r="CF41" s="18">
        <f>'Grid_TheoreticalStock'!BW19</f>
        <v/>
      </c>
      <c r="CG41" s="18">
        <f>'Grid_TheoreticalStock'!BX19</f>
        <v/>
      </c>
      <c r="CH41" s="18">
        <f>'Grid_TheoreticalStock'!BY19</f>
        <v/>
      </c>
      <c r="CI41" s="18">
        <f>'Grid_TheoreticalStock'!BZ19</f>
        <v/>
      </c>
      <c r="CJ41" s="18">
        <f>'Grid_TheoreticalStock'!CA19</f>
        <v/>
      </c>
      <c r="CK41" s="18">
        <f>'Grid_TheoreticalStock'!CB19</f>
        <v/>
      </c>
      <c r="CL41" s="18">
        <f>'Grid_TheoreticalStock'!CC19</f>
        <v/>
      </c>
      <c r="CM41" s="18">
        <f>'Grid_TheoreticalStock'!CD19</f>
        <v/>
      </c>
      <c r="CN41" s="18">
        <f>'Grid_TheoreticalStock'!CE19</f>
        <v/>
      </c>
      <c r="CO41" s="18">
        <f>'Grid_TheoreticalStock'!CF19</f>
        <v/>
      </c>
      <c r="CP41" s="18">
        <f>'Grid_TheoreticalStock'!CG19</f>
        <v/>
      </c>
      <c r="CQ41" s="18">
        <f>'Grid_TheoreticalStock'!CH19</f>
        <v/>
      </c>
      <c r="CR41" s="18">
        <f>'Grid_TheoreticalStock'!CI19</f>
        <v/>
      </c>
      <c r="CS41" s="18">
        <f>'Grid_TheoreticalStock'!CJ19</f>
        <v/>
      </c>
      <c r="CT41" s="18">
        <f>'Grid_TheoreticalStock'!CK19</f>
        <v/>
      </c>
      <c r="CU41" s="18">
        <f>'Grid_TheoreticalStock'!CL19</f>
        <v/>
      </c>
      <c r="CV41" s="18">
        <f>'Grid_TheoreticalStock'!CM19</f>
        <v/>
      </c>
      <c r="CW41" s="18">
        <f>'Grid_TheoreticalStock'!CN19</f>
        <v/>
      </c>
      <c r="CX41" s="18">
        <f>'Grid_TheoreticalStock'!CO19</f>
        <v/>
      </c>
      <c r="CY41" s="18">
        <f>'Grid_TheoreticalStock'!CP19</f>
        <v/>
      </c>
      <c r="CZ41" s="18">
        <f>'Grid_TheoreticalStock'!CQ19</f>
        <v/>
      </c>
      <c r="DA41" s="18">
        <f>'Grid_TheoreticalStock'!CR19</f>
        <v/>
      </c>
      <c r="DB41" s="18">
        <f>'Grid_TheoreticalStock'!CS19</f>
        <v/>
      </c>
      <c r="DC41" s="18">
        <f>'Grid_TheoreticalStock'!CT19</f>
        <v/>
      </c>
      <c r="DD41" s="18">
        <f>'Grid_TheoreticalStock'!CU19</f>
        <v/>
      </c>
      <c r="DE41" s="18">
        <f>'Grid_TheoreticalStock'!CV19</f>
        <v/>
      </c>
      <c r="DF41" s="18">
        <f>'Grid_TheoreticalStock'!CW19</f>
        <v/>
      </c>
      <c r="DG41" s="18">
        <f>'Grid_TheoreticalStock'!CX19</f>
        <v/>
      </c>
      <c r="DH41" s="18">
        <f>'Grid_TheoreticalStock'!CY19</f>
        <v/>
      </c>
      <c r="DI41" s="18">
        <f>'Grid_TheoreticalStock'!CZ19</f>
        <v/>
      </c>
      <c r="DJ41" s="18">
        <f>'Grid_TheoreticalStock'!DA19</f>
        <v/>
      </c>
    </row>
    <row r="42">
      <c r="A42" s="19" t="inlineStr">
        <is>
          <t>26F</t>
        </is>
      </c>
      <c r="B42" s="19">
        <f>IFERROR(INDEX(M_RawMaterials[Description],MATCH($A42,M_RawMaterials[Part Name],0)),"")</f>
        <v/>
      </c>
      <c r="C42" s="19">
        <f>IFERROR(INDEX(M_RawMaterials[Category],MATCH($A42,M_RawMaterials[Part Name],0)),"")</f>
        <v/>
      </c>
      <c r="D42" s="19">
        <f>IFERROR(INDEX(M_RawMaterials[基準在庫下限_要入力],MATCH($A42,M_RawMaterials[Part Name],0)),0)</f>
        <v/>
      </c>
      <c r="E42" s="19">
        <f>IFERROR(INDEX(M_RawMaterials[基準在庫上限_要入力],MATCH($A42,M_RawMaterials[Part Name],0)),0)</f>
        <v/>
      </c>
      <c r="F42" s="19">
        <f>IFERROR(LOOKUP(2,1/('T_SelfStock'!$B$23:$DA$23&lt;&gt;""),'T_SelfStock'!$B$23:$DA$23),"")</f>
        <v/>
      </c>
      <c r="G42" s="19">
        <f>IFERROR(LOOKUP(2,1/('T_TTAFStock'!$B$23:$DA$23&lt;&gt;""),'T_TTAFStock'!$B$23:$DA$23),"")</f>
        <v/>
      </c>
      <c r="H42" s="19">
        <f>IFERROR(LOOKUP(2,1/('T_SelfStock'!$B$23:$DA$23&lt;&gt;""),'T_SelfStock'!$B$5:$DA$5),"")</f>
        <v/>
      </c>
      <c r="I42" s="20" t="inlineStr">
        <is>
          <t>実在庫</t>
        </is>
      </c>
      <c r="J42" s="19">
        <f>'Grid_Stock'!DA19-'Grid_TheoreticalStock'!DA19</f>
        <v/>
      </c>
      <c r="K42" s="19">
        <f>'Grid_Stock'!B19</f>
        <v/>
      </c>
      <c r="L42" s="19">
        <f>'Grid_Stock'!C19</f>
        <v/>
      </c>
      <c r="M42" s="19">
        <f>'Grid_Stock'!D19</f>
        <v/>
      </c>
      <c r="N42" s="19">
        <f>'Grid_Stock'!E19</f>
        <v/>
      </c>
      <c r="O42" s="19">
        <f>'Grid_Stock'!F19</f>
        <v/>
      </c>
      <c r="P42" s="19">
        <f>'Grid_Stock'!G19</f>
        <v/>
      </c>
      <c r="Q42" s="19">
        <f>'Grid_Stock'!H19</f>
        <v/>
      </c>
      <c r="R42" s="19">
        <f>'Grid_Stock'!I19</f>
        <v/>
      </c>
      <c r="S42" s="19">
        <f>'Grid_Stock'!J19</f>
        <v/>
      </c>
      <c r="T42" s="19">
        <f>'Grid_Stock'!K19</f>
        <v/>
      </c>
      <c r="U42" s="19">
        <f>'Grid_Stock'!L19</f>
        <v/>
      </c>
      <c r="V42" s="19">
        <f>'Grid_Stock'!M19</f>
        <v/>
      </c>
      <c r="W42" s="19">
        <f>'Grid_Stock'!N19</f>
        <v/>
      </c>
      <c r="X42" s="19">
        <f>'Grid_Stock'!O19</f>
        <v/>
      </c>
      <c r="Y42" s="19">
        <f>'Grid_Stock'!P19</f>
        <v/>
      </c>
      <c r="Z42" s="19">
        <f>'Grid_Stock'!Q19</f>
        <v/>
      </c>
      <c r="AA42" s="19">
        <f>'Grid_Stock'!R19</f>
        <v/>
      </c>
      <c r="AB42" s="19">
        <f>'Grid_Stock'!S19</f>
        <v/>
      </c>
      <c r="AC42" s="19">
        <f>'Grid_Stock'!T19</f>
        <v/>
      </c>
      <c r="AD42" s="19">
        <f>'Grid_Stock'!U19</f>
        <v/>
      </c>
      <c r="AE42" s="19">
        <f>'Grid_Stock'!V19</f>
        <v/>
      </c>
      <c r="AF42" s="19">
        <f>'Grid_Stock'!W19</f>
        <v/>
      </c>
      <c r="AG42" s="19">
        <f>'Grid_Stock'!X19</f>
        <v/>
      </c>
      <c r="AH42" s="19">
        <f>'Grid_Stock'!Y19</f>
        <v/>
      </c>
      <c r="AI42" s="19">
        <f>'Grid_Stock'!Z19</f>
        <v/>
      </c>
      <c r="AJ42" s="19">
        <f>'Grid_Stock'!AA19</f>
        <v/>
      </c>
      <c r="AK42" s="19">
        <f>'Grid_Stock'!AB19</f>
        <v/>
      </c>
      <c r="AL42" s="19">
        <f>'Grid_Stock'!AC19</f>
        <v/>
      </c>
      <c r="AM42" s="19">
        <f>'Grid_Stock'!AD19</f>
        <v/>
      </c>
      <c r="AN42" s="19">
        <f>'Grid_Stock'!AE19</f>
        <v/>
      </c>
      <c r="AO42" s="19">
        <f>'Grid_Stock'!AF19</f>
        <v/>
      </c>
      <c r="AP42" s="19">
        <f>'Grid_Stock'!AG19</f>
        <v/>
      </c>
      <c r="AQ42" s="19">
        <f>'Grid_Stock'!AH19</f>
        <v/>
      </c>
      <c r="AR42" s="19">
        <f>'Grid_Stock'!AI19</f>
        <v/>
      </c>
      <c r="AS42" s="19">
        <f>'Grid_Stock'!AJ19</f>
        <v/>
      </c>
      <c r="AT42" s="19">
        <f>'Grid_Stock'!AK19</f>
        <v/>
      </c>
      <c r="AU42" s="19">
        <f>'Grid_Stock'!AL19</f>
        <v/>
      </c>
      <c r="AV42" s="19">
        <f>'Grid_Stock'!AM19</f>
        <v/>
      </c>
      <c r="AW42" s="19">
        <f>'Grid_Stock'!AN19</f>
        <v/>
      </c>
      <c r="AX42" s="19">
        <f>'Grid_Stock'!AO19</f>
        <v/>
      </c>
      <c r="AY42" s="19">
        <f>'Grid_Stock'!AP19</f>
        <v/>
      </c>
      <c r="AZ42" s="19">
        <f>'Grid_Stock'!AQ19</f>
        <v/>
      </c>
      <c r="BA42" s="19">
        <f>'Grid_Stock'!AR19</f>
        <v/>
      </c>
      <c r="BB42" s="19">
        <f>'Grid_Stock'!AS19</f>
        <v/>
      </c>
      <c r="BC42" s="19">
        <f>'Grid_Stock'!AT19</f>
        <v/>
      </c>
      <c r="BD42" s="19">
        <f>'Grid_Stock'!AU19</f>
        <v/>
      </c>
      <c r="BE42" s="19">
        <f>'Grid_Stock'!AV19</f>
        <v/>
      </c>
      <c r="BF42" s="19">
        <f>'Grid_Stock'!AW19</f>
        <v/>
      </c>
      <c r="BG42" s="19">
        <f>'Grid_Stock'!AX19</f>
        <v/>
      </c>
      <c r="BH42" s="19">
        <f>'Grid_Stock'!AY19</f>
        <v/>
      </c>
      <c r="BI42" s="19">
        <f>'Grid_Stock'!AZ19</f>
        <v/>
      </c>
      <c r="BJ42" s="19">
        <f>'Grid_Stock'!BA19</f>
        <v/>
      </c>
      <c r="BK42" s="19">
        <f>'Grid_Stock'!BB19</f>
        <v/>
      </c>
      <c r="BL42" s="19">
        <f>'Grid_Stock'!BC19</f>
        <v/>
      </c>
      <c r="BM42" s="19">
        <f>'Grid_Stock'!BD19</f>
        <v/>
      </c>
      <c r="BN42" s="19">
        <f>'Grid_Stock'!BE19</f>
        <v/>
      </c>
      <c r="BO42" s="19">
        <f>'Grid_Stock'!BF19</f>
        <v/>
      </c>
      <c r="BP42" s="19">
        <f>'Grid_Stock'!BG19</f>
        <v/>
      </c>
      <c r="BQ42" s="19">
        <f>'Grid_Stock'!BH19</f>
        <v/>
      </c>
      <c r="BR42" s="19">
        <f>'Grid_Stock'!BI19</f>
        <v/>
      </c>
      <c r="BS42" s="19">
        <f>'Grid_Stock'!BJ19</f>
        <v/>
      </c>
      <c r="BT42" s="19">
        <f>'Grid_Stock'!BK19</f>
        <v/>
      </c>
      <c r="BU42" s="19">
        <f>'Grid_Stock'!BL19</f>
        <v/>
      </c>
      <c r="BV42" s="19">
        <f>'Grid_Stock'!BM19</f>
        <v/>
      </c>
      <c r="BW42" s="19">
        <f>'Grid_Stock'!BN19</f>
        <v/>
      </c>
      <c r="BX42" s="19">
        <f>'Grid_Stock'!BO19</f>
        <v/>
      </c>
      <c r="BY42" s="19">
        <f>'Grid_Stock'!BP19</f>
        <v/>
      </c>
      <c r="BZ42" s="19">
        <f>'Grid_Stock'!BQ19</f>
        <v/>
      </c>
      <c r="CA42" s="19">
        <f>'Grid_Stock'!BR19</f>
        <v/>
      </c>
      <c r="CB42" s="19">
        <f>'Grid_Stock'!BS19</f>
        <v/>
      </c>
      <c r="CC42" s="19">
        <f>'Grid_Stock'!BT19</f>
        <v/>
      </c>
      <c r="CD42" s="19">
        <f>'Grid_Stock'!BU19</f>
        <v/>
      </c>
      <c r="CE42" s="19">
        <f>'Grid_Stock'!BV19</f>
        <v/>
      </c>
      <c r="CF42" s="19">
        <f>'Grid_Stock'!BW19</f>
        <v/>
      </c>
      <c r="CG42" s="19">
        <f>'Grid_Stock'!BX19</f>
        <v/>
      </c>
      <c r="CH42" s="19">
        <f>'Grid_Stock'!BY19</f>
        <v/>
      </c>
      <c r="CI42" s="19">
        <f>'Grid_Stock'!BZ19</f>
        <v/>
      </c>
      <c r="CJ42" s="19">
        <f>'Grid_Stock'!CA19</f>
        <v/>
      </c>
      <c r="CK42" s="19">
        <f>'Grid_Stock'!CB19</f>
        <v/>
      </c>
      <c r="CL42" s="19">
        <f>'Grid_Stock'!CC19</f>
        <v/>
      </c>
      <c r="CM42" s="19">
        <f>'Grid_Stock'!CD19</f>
        <v/>
      </c>
      <c r="CN42" s="19">
        <f>'Grid_Stock'!CE19</f>
        <v/>
      </c>
      <c r="CO42" s="19">
        <f>'Grid_Stock'!CF19</f>
        <v/>
      </c>
      <c r="CP42" s="19">
        <f>'Grid_Stock'!CG19</f>
        <v/>
      </c>
      <c r="CQ42" s="19">
        <f>'Grid_Stock'!CH19</f>
        <v/>
      </c>
      <c r="CR42" s="19">
        <f>'Grid_Stock'!CI19</f>
        <v/>
      </c>
      <c r="CS42" s="19">
        <f>'Grid_Stock'!CJ19</f>
        <v/>
      </c>
      <c r="CT42" s="19">
        <f>'Grid_Stock'!CK19</f>
        <v/>
      </c>
      <c r="CU42" s="19">
        <f>'Grid_Stock'!CL19</f>
        <v/>
      </c>
      <c r="CV42" s="19">
        <f>'Grid_Stock'!CM19</f>
        <v/>
      </c>
      <c r="CW42" s="19">
        <f>'Grid_Stock'!CN19</f>
        <v/>
      </c>
      <c r="CX42" s="19">
        <f>'Grid_Stock'!CO19</f>
        <v/>
      </c>
      <c r="CY42" s="19">
        <f>'Grid_Stock'!CP19</f>
        <v/>
      </c>
      <c r="CZ42" s="19">
        <f>'Grid_Stock'!CQ19</f>
        <v/>
      </c>
      <c r="DA42" s="19">
        <f>'Grid_Stock'!CR19</f>
        <v/>
      </c>
      <c r="DB42" s="19">
        <f>'Grid_Stock'!CS19</f>
        <v/>
      </c>
      <c r="DC42" s="19">
        <f>'Grid_Stock'!CT19</f>
        <v/>
      </c>
      <c r="DD42" s="19">
        <f>'Grid_Stock'!CU19</f>
        <v/>
      </c>
      <c r="DE42" s="19">
        <f>'Grid_Stock'!CV19</f>
        <v/>
      </c>
      <c r="DF42" s="19">
        <f>'Grid_Stock'!CW19</f>
        <v/>
      </c>
      <c r="DG42" s="19">
        <f>'Grid_Stock'!CX19</f>
        <v/>
      </c>
      <c r="DH42" s="19">
        <f>'Grid_Stock'!CY19</f>
        <v/>
      </c>
      <c r="DI42" s="19">
        <f>'Grid_Stock'!CZ19</f>
        <v/>
      </c>
      <c r="DJ42" s="19">
        <f>'Grid_Stock'!DA19</f>
        <v/>
      </c>
    </row>
    <row r="43">
      <c r="A43" s="17" t="inlineStr">
        <is>
          <t>73K</t>
        </is>
      </c>
      <c r="B43" s="17">
        <f>IFERROR(INDEX(M_RawMaterials[Description],MATCH($A43,M_RawMaterials[Part Name],0)),"")</f>
        <v/>
      </c>
      <c r="C43" s="17">
        <f>IFERROR(INDEX(M_RawMaterials[Category],MATCH($A43,M_RawMaterials[Part Name],0)),"")</f>
        <v/>
      </c>
      <c r="D43" s="17">
        <f>IFERROR(INDEX(M_RawMaterials[基準在庫下限_要入力],MATCH($A43,M_RawMaterials[Part Name],0)),0)</f>
        <v/>
      </c>
      <c r="E43" s="17">
        <f>IFERROR(INDEX(M_RawMaterials[基準在庫上限_要入力],MATCH($A43,M_RawMaterials[Part Name],0)),0)</f>
        <v/>
      </c>
      <c r="F43" s="17">
        <f>IFERROR(LOOKUP(2,1/('T_SelfStock'!$B$24:$DA$24&lt;&gt;""),'T_SelfStock'!$B$24:$DA$24),"")</f>
        <v/>
      </c>
      <c r="G43" s="17">
        <f>IFERROR(LOOKUP(2,1/('T_TTAFStock'!$B$24:$DA$24&lt;&gt;""),'T_TTAFStock'!$B$24:$DA$24),"")</f>
        <v/>
      </c>
      <c r="H43" s="17">
        <f>IFERROR(LOOKUP(2,1/('T_SelfStock'!$B$24:$DA$24&lt;&gt;""),'T_SelfStock'!$B$5:$DA$5),"")</f>
        <v/>
      </c>
      <c r="I43" s="18" t="inlineStr">
        <is>
          <t>理論在庫</t>
        </is>
      </c>
      <c r="J43" s="17">
        <f>'Grid_Stock'!DA20-'Grid_TheoreticalStock'!DA20</f>
        <v/>
      </c>
      <c r="K43" s="18">
        <f>'Grid_TheoreticalStock'!B20</f>
        <v/>
      </c>
      <c r="L43" s="18">
        <f>'Grid_TheoreticalStock'!C20</f>
        <v/>
      </c>
      <c r="M43" s="18">
        <f>'Grid_TheoreticalStock'!D20</f>
        <v/>
      </c>
      <c r="N43" s="18">
        <f>'Grid_TheoreticalStock'!E20</f>
        <v/>
      </c>
      <c r="O43" s="18">
        <f>'Grid_TheoreticalStock'!F20</f>
        <v/>
      </c>
      <c r="P43" s="18">
        <f>'Grid_TheoreticalStock'!G20</f>
        <v/>
      </c>
      <c r="Q43" s="18">
        <f>'Grid_TheoreticalStock'!H20</f>
        <v/>
      </c>
      <c r="R43" s="18">
        <f>'Grid_TheoreticalStock'!I20</f>
        <v/>
      </c>
      <c r="S43" s="18">
        <f>'Grid_TheoreticalStock'!J20</f>
        <v/>
      </c>
      <c r="T43" s="18">
        <f>'Grid_TheoreticalStock'!K20</f>
        <v/>
      </c>
      <c r="U43" s="18">
        <f>'Grid_TheoreticalStock'!L20</f>
        <v/>
      </c>
      <c r="V43" s="18">
        <f>'Grid_TheoreticalStock'!M20</f>
        <v/>
      </c>
      <c r="W43" s="18">
        <f>'Grid_TheoreticalStock'!N20</f>
        <v/>
      </c>
      <c r="X43" s="18">
        <f>'Grid_TheoreticalStock'!O20</f>
        <v/>
      </c>
      <c r="Y43" s="18">
        <f>'Grid_TheoreticalStock'!P20</f>
        <v/>
      </c>
      <c r="Z43" s="18">
        <f>'Grid_TheoreticalStock'!Q20</f>
        <v/>
      </c>
      <c r="AA43" s="18">
        <f>'Grid_TheoreticalStock'!R20</f>
        <v/>
      </c>
      <c r="AB43" s="18">
        <f>'Grid_TheoreticalStock'!S20</f>
        <v/>
      </c>
      <c r="AC43" s="18">
        <f>'Grid_TheoreticalStock'!T20</f>
        <v/>
      </c>
      <c r="AD43" s="18">
        <f>'Grid_TheoreticalStock'!U20</f>
        <v/>
      </c>
      <c r="AE43" s="18">
        <f>'Grid_TheoreticalStock'!V20</f>
        <v/>
      </c>
      <c r="AF43" s="18">
        <f>'Grid_TheoreticalStock'!W20</f>
        <v/>
      </c>
      <c r="AG43" s="18">
        <f>'Grid_TheoreticalStock'!X20</f>
        <v/>
      </c>
      <c r="AH43" s="18">
        <f>'Grid_TheoreticalStock'!Y20</f>
        <v/>
      </c>
      <c r="AI43" s="18">
        <f>'Grid_TheoreticalStock'!Z20</f>
        <v/>
      </c>
      <c r="AJ43" s="18">
        <f>'Grid_TheoreticalStock'!AA20</f>
        <v/>
      </c>
      <c r="AK43" s="18">
        <f>'Grid_TheoreticalStock'!AB20</f>
        <v/>
      </c>
      <c r="AL43" s="18">
        <f>'Grid_TheoreticalStock'!AC20</f>
        <v/>
      </c>
      <c r="AM43" s="18">
        <f>'Grid_TheoreticalStock'!AD20</f>
        <v/>
      </c>
      <c r="AN43" s="18">
        <f>'Grid_TheoreticalStock'!AE20</f>
        <v/>
      </c>
      <c r="AO43" s="18">
        <f>'Grid_TheoreticalStock'!AF20</f>
        <v/>
      </c>
      <c r="AP43" s="18">
        <f>'Grid_TheoreticalStock'!AG20</f>
        <v/>
      </c>
      <c r="AQ43" s="18">
        <f>'Grid_TheoreticalStock'!AH20</f>
        <v/>
      </c>
      <c r="AR43" s="18">
        <f>'Grid_TheoreticalStock'!AI20</f>
        <v/>
      </c>
      <c r="AS43" s="18">
        <f>'Grid_TheoreticalStock'!AJ20</f>
        <v/>
      </c>
      <c r="AT43" s="18">
        <f>'Grid_TheoreticalStock'!AK20</f>
        <v/>
      </c>
      <c r="AU43" s="18">
        <f>'Grid_TheoreticalStock'!AL20</f>
        <v/>
      </c>
      <c r="AV43" s="18">
        <f>'Grid_TheoreticalStock'!AM20</f>
        <v/>
      </c>
      <c r="AW43" s="18">
        <f>'Grid_TheoreticalStock'!AN20</f>
        <v/>
      </c>
      <c r="AX43" s="18">
        <f>'Grid_TheoreticalStock'!AO20</f>
        <v/>
      </c>
      <c r="AY43" s="18">
        <f>'Grid_TheoreticalStock'!AP20</f>
        <v/>
      </c>
      <c r="AZ43" s="18">
        <f>'Grid_TheoreticalStock'!AQ20</f>
        <v/>
      </c>
      <c r="BA43" s="18">
        <f>'Grid_TheoreticalStock'!AR20</f>
        <v/>
      </c>
      <c r="BB43" s="18">
        <f>'Grid_TheoreticalStock'!AS20</f>
        <v/>
      </c>
      <c r="BC43" s="18">
        <f>'Grid_TheoreticalStock'!AT20</f>
        <v/>
      </c>
      <c r="BD43" s="18">
        <f>'Grid_TheoreticalStock'!AU20</f>
        <v/>
      </c>
      <c r="BE43" s="18">
        <f>'Grid_TheoreticalStock'!AV20</f>
        <v/>
      </c>
      <c r="BF43" s="18">
        <f>'Grid_TheoreticalStock'!AW20</f>
        <v/>
      </c>
      <c r="BG43" s="18">
        <f>'Grid_TheoreticalStock'!AX20</f>
        <v/>
      </c>
      <c r="BH43" s="18">
        <f>'Grid_TheoreticalStock'!AY20</f>
        <v/>
      </c>
      <c r="BI43" s="18">
        <f>'Grid_TheoreticalStock'!AZ20</f>
        <v/>
      </c>
      <c r="BJ43" s="18">
        <f>'Grid_TheoreticalStock'!BA20</f>
        <v/>
      </c>
      <c r="BK43" s="18">
        <f>'Grid_TheoreticalStock'!BB20</f>
        <v/>
      </c>
      <c r="BL43" s="18">
        <f>'Grid_TheoreticalStock'!BC20</f>
        <v/>
      </c>
      <c r="BM43" s="18">
        <f>'Grid_TheoreticalStock'!BD20</f>
        <v/>
      </c>
      <c r="BN43" s="18">
        <f>'Grid_TheoreticalStock'!BE20</f>
        <v/>
      </c>
      <c r="BO43" s="18">
        <f>'Grid_TheoreticalStock'!BF20</f>
        <v/>
      </c>
      <c r="BP43" s="18">
        <f>'Grid_TheoreticalStock'!BG20</f>
        <v/>
      </c>
      <c r="BQ43" s="18">
        <f>'Grid_TheoreticalStock'!BH20</f>
        <v/>
      </c>
      <c r="BR43" s="18">
        <f>'Grid_TheoreticalStock'!BI20</f>
        <v/>
      </c>
      <c r="BS43" s="18">
        <f>'Grid_TheoreticalStock'!BJ20</f>
        <v/>
      </c>
      <c r="BT43" s="18">
        <f>'Grid_TheoreticalStock'!BK20</f>
        <v/>
      </c>
      <c r="BU43" s="18">
        <f>'Grid_TheoreticalStock'!BL20</f>
        <v/>
      </c>
      <c r="BV43" s="18">
        <f>'Grid_TheoreticalStock'!BM20</f>
        <v/>
      </c>
      <c r="BW43" s="18">
        <f>'Grid_TheoreticalStock'!BN20</f>
        <v/>
      </c>
      <c r="BX43" s="18">
        <f>'Grid_TheoreticalStock'!BO20</f>
        <v/>
      </c>
      <c r="BY43" s="18">
        <f>'Grid_TheoreticalStock'!BP20</f>
        <v/>
      </c>
      <c r="BZ43" s="18">
        <f>'Grid_TheoreticalStock'!BQ20</f>
        <v/>
      </c>
      <c r="CA43" s="18">
        <f>'Grid_TheoreticalStock'!BR20</f>
        <v/>
      </c>
      <c r="CB43" s="18">
        <f>'Grid_TheoreticalStock'!BS20</f>
        <v/>
      </c>
      <c r="CC43" s="18">
        <f>'Grid_TheoreticalStock'!BT20</f>
        <v/>
      </c>
      <c r="CD43" s="18">
        <f>'Grid_TheoreticalStock'!BU20</f>
        <v/>
      </c>
      <c r="CE43" s="18">
        <f>'Grid_TheoreticalStock'!BV20</f>
        <v/>
      </c>
      <c r="CF43" s="18">
        <f>'Grid_TheoreticalStock'!BW20</f>
        <v/>
      </c>
      <c r="CG43" s="18">
        <f>'Grid_TheoreticalStock'!BX20</f>
        <v/>
      </c>
      <c r="CH43" s="18">
        <f>'Grid_TheoreticalStock'!BY20</f>
        <v/>
      </c>
      <c r="CI43" s="18">
        <f>'Grid_TheoreticalStock'!BZ20</f>
        <v/>
      </c>
      <c r="CJ43" s="18">
        <f>'Grid_TheoreticalStock'!CA20</f>
        <v/>
      </c>
      <c r="CK43" s="18">
        <f>'Grid_TheoreticalStock'!CB20</f>
        <v/>
      </c>
      <c r="CL43" s="18">
        <f>'Grid_TheoreticalStock'!CC20</f>
        <v/>
      </c>
      <c r="CM43" s="18">
        <f>'Grid_TheoreticalStock'!CD20</f>
        <v/>
      </c>
      <c r="CN43" s="18">
        <f>'Grid_TheoreticalStock'!CE20</f>
        <v/>
      </c>
      <c r="CO43" s="18">
        <f>'Grid_TheoreticalStock'!CF20</f>
        <v/>
      </c>
      <c r="CP43" s="18">
        <f>'Grid_TheoreticalStock'!CG20</f>
        <v/>
      </c>
      <c r="CQ43" s="18">
        <f>'Grid_TheoreticalStock'!CH20</f>
        <v/>
      </c>
      <c r="CR43" s="18">
        <f>'Grid_TheoreticalStock'!CI20</f>
        <v/>
      </c>
      <c r="CS43" s="18">
        <f>'Grid_TheoreticalStock'!CJ20</f>
        <v/>
      </c>
      <c r="CT43" s="18">
        <f>'Grid_TheoreticalStock'!CK20</f>
        <v/>
      </c>
      <c r="CU43" s="18">
        <f>'Grid_TheoreticalStock'!CL20</f>
        <v/>
      </c>
      <c r="CV43" s="18">
        <f>'Grid_TheoreticalStock'!CM20</f>
        <v/>
      </c>
      <c r="CW43" s="18">
        <f>'Grid_TheoreticalStock'!CN20</f>
        <v/>
      </c>
      <c r="CX43" s="18">
        <f>'Grid_TheoreticalStock'!CO20</f>
        <v/>
      </c>
      <c r="CY43" s="18">
        <f>'Grid_TheoreticalStock'!CP20</f>
        <v/>
      </c>
      <c r="CZ43" s="18">
        <f>'Grid_TheoreticalStock'!CQ20</f>
        <v/>
      </c>
      <c r="DA43" s="18">
        <f>'Grid_TheoreticalStock'!CR20</f>
        <v/>
      </c>
      <c r="DB43" s="18">
        <f>'Grid_TheoreticalStock'!CS20</f>
        <v/>
      </c>
      <c r="DC43" s="18">
        <f>'Grid_TheoreticalStock'!CT20</f>
        <v/>
      </c>
      <c r="DD43" s="18">
        <f>'Grid_TheoreticalStock'!CU20</f>
        <v/>
      </c>
      <c r="DE43" s="18">
        <f>'Grid_TheoreticalStock'!CV20</f>
        <v/>
      </c>
      <c r="DF43" s="18">
        <f>'Grid_TheoreticalStock'!CW20</f>
        <v/>
      </c>
      <c r="DG43" s="18">
        <f>'Grid_TheoreticalStock'!CX20</f>
        <v/>
      </c>
      <c r="DH43" s="18">
        <f>'Grid_TheoreticalStock'!CY20</f>
        <v/>
      </c>
      <c r="DI43" s="18">
        <f>'Grid_TheoreticalStock'!CZ20</f>
        <v/>
      </c>
      <c r="DJ43" s="18">
        <f>'Grid_TheoreticalStock'!DA20</f>
        <v/>
      </c>
    </row>
    <row r="44">
      <c r="A44" s="19" t="inlineStr">
        <is>
          <t>73K</t>
        </is>
      </c>
      <c r="B44" s="19">
        <f>IFERROR(INDEX(M_RawMaterials[Description],MATCH($A44,M_RawMaterials[Part Name],0)),"")</f>
        <v/>
      </c>
      <c r="C44" s="19">
        <f>IFERROR(INDEX(M_RawMaterials[Category],MATCH($A44,M_RawMaterials[Part Name],0)),"")</f>
        <v/>
      </c>
      <c r="D44" s="19">
        <f>IFERROR(INDEX(M_RawMaterials[基準在庫下限_要入力],MATCH($A44,M_RawMaterials[Part Name],0)),0)</f>
        <v/>
      </c>
      <c r="E44" s="19">
        <f>IFERROR(INDEX(M_RawMaterials[基準在庫上限_要入力],MATCH($A44,M_RawMaterials[Part Name],0)),0)</f>
        <v/>
      </c>
      <c r="F44" s="19">
        <f>IFERROR(LOOKUP(2,1/('T_SelfStock'!$B$24:$DA$24&lt;&gt;""),'T_SelfStock'!$B$24:$DA$24),"")</f>
        <v/>
      </c>
      <c r="G44" s="19">
        <f>IFERROR(LOOKUP(2,1/('T_TTAFStock'!$B$24:$DA$24&lt;&gt;""),'T_TTAFStock'!$B$24:$DA$24),"")</f>
        <v/>
      </c>
      <c r="H44" s="19">
        <f>IFERROR(LOOKUP(2,1/('T_SelfStock'!$B$24:$DA$24&lt;&gt;""),'T_SelfStock'!$B$5:$DA$5),"")</f>
        <v/>
      </c>
      <c r="I44" s="20" t="inlineStr">
        <is>
          <t>実在庫</t>
        </is>
      </c>
      <c r="J44" s="19">
        <f>'Grid_Stock'!DA20-'Grid_TheoreticalStock'!DA20</f>
        <v/>
      </c>
      <c r="K44" s="19">
        <f>'Grid_Stock'!B20</f>
        <v/>
      </c>
      <c r="L44" s="19">
        <f>'Grid_Stock'!C20</f>
        <v/>
      </c>
      <c r="M44" s="19">
        <f>'Grid_Stock'!D20</f>
        <v/>
      </c>
      <c r="N44" s="19">
        <f>'Grid_Stock'!E20</f>
        <v/>
      </c>
      <c r="O44" s="19">
        <f>'Grid_Stock'!F20</f>
        <v/>
      </c>
      <c r="P44" s="19">
        <f>'Grid_Stock'!G20</f>
        <v/>
      </c>
      <c r="Q44" s="19">
        <f>'Grid_Stock'!H20</f>
        <v/>
      </c>
      <c r="R44" s="19">
        <f>'Grid_Stock'!I20</f>
        <v/>
      </c>
      <c r="S44" s="19">
        <f>'Grid_Stock'!J20</f>
        <v/>
      </c>
      <c r="T44" s="19">
        <f>'Grid_Stock'!K20</f>
        <v/>
      </c>
      <c r="U44" s="19">
        <f>'Grid_Stock'!L20</f>
        <v/>
      </c>
      <c r="V44" s="19">
        <f>'Grid_Stock'!M20</f>
        <v/>
      </c>
      <c r="W44" s="19">
        <f>'Grid_Stock'!N20</f>
        <v/>
      </c>
      <c r="X44" s="19">
        <f>'Grid_Stock'!O20</f>
        <v/>
      </c>
      <c r="Y44" s="19">
        <f>'Grid_Stock'!P20</f>
        <v/>
      </c>
      <c r="Z44" s="19">
        <f>'Grid_Stock'!Q20</f>
        <v/>
      </c>
      <c r="AA44" s="19">
        <f>'Grid_Stock'!R20</f>
        <v/>
      </c>
      <c r="AB44" s="19">
        <f>'Grid_Stock'!S20</f>
        <v/>
      </c>
      <c r="AC44" s="19">
        <f>'Grid_Stock'!T20</f>
        <v/>
      </c>
      <c r="AD44" s="19">
        <f>'Grid_Stock'!U20</f>
        <v/>
      </c>
      <c r="AE44" s="19">
        <f>'Grid_Stock'!V20</f>
        <v/>
      </c>
      <c r="AF44" s="19">
        <f>'Grid_Stock'!W20</f>
        <v/>
      </c>
      <c r="AG44" s="19">
        <f>'Grid_Stock'!X20</f>
        <v/>
      </c>
      <c r="AH44" s="19">
        <f>'Grid_Stock'!Y20</f>
        <v/>
      </c>
      <c r="AI44" s="19">
        <f>'Grid_Stock'!Z20</f>
        <v/>
      </c>
      <c r="AJ44" s="19">
        <f>'Grid_Stock'!AA20</f>
        <v/>
      </c>
      <c r="AK44" s="19">
        <f>'Grid_Stock'!AB20</f>
        <v/>
      </c>
      <c r="AL44" s="19">
        <f>'Grid_Stock'!AC20</f>
        <v/>
      </c>
      <c r="AM44" s="19">
        <f>'Grid_Stock'!AD20</f>
        <v/>
      </c>
      <c r="AN44" s="19">
        <f>'Grid_Stock'!AE20</f>
        <v/>
      </c>
      <c r="AO44" s="19">
        <f>'Grid_Stock'!AF20</f>
        <v/>
      </c>
      <c r="AP44" s="19">
        <f>'Grid_Stock'!AG20</f>
        <v/>
      </c>
      <c r="AQ44" s="19">
        <f>'Grid_Stock'!AH20</f>
        <v/>
      </c>
      <c r="AR44" s="19">
        <f>'Grid_Stock'!AI20</f>
        <v/>
      </c>
      <c r="AS44" s="19">
        <f>'Grid_Stock'!AJ20</f>
        <v/>
      </c>
      <c r="AT44" s="19">
        <f>'Grid_Stock'!AK20</f>
        <v/>
      </c>
      <c r="AU44" s="19">
        <f>'Grid_Stock'!AL20</f>
        <v/>
      </c>
      <c r="AV44" s="19">
        <f>'Grid_Stock'!AM20</f>
        <v/>
      </c>
      <c r="AW44" s="19">
        <f>'Grid_Stock'!AN20</f>
        <v/>
      </c>
      <c r="AX44" s="19">
        <f>'Grid_Stock'!AO20</f>
        <v/>
      </c>
      <c r="AY44" s="19">
        <f>'Grid_Stock'!AP20</f>
        <v/>
      </c>
      <c r="AZ44" s="19">
        <f>'Grid_Stock'!AQ20</f>
        <v/>
      </c>
      <c r="BA44" s="19">
        <f>'Grid_Stock'!AR20</f>
        <v/>
      </c>
      <c r="BB44" s="19">
        <f>'Grid_Stock'!AS20</f>
        <v/>
      </c>
      <c r="BC44" s="19">
        <f>'Grid_Stock'!AT20</f>
        <v/>
      </c>
      <c r="BD44" s="19">
        <f>'Grid_Stock'!AU20</f>
        <v/>
      </c>
      <c r="BE44" s="19">
        <f>'Grid_Stock'!AV20</f>
        <v/>
      </c>
      <c r="BF44" s="19">
        <f>'Grid_Stock'!AW20</f>
        <v/>
      </c>
      <c r="BG44" s="19">
        <f>'Grid_Stock'!AX20</f>
        <v/>
      </c>
      <c r="BH44" s="19">
        <f>'Grid_Stock'!AY20</f>
        <v/>
      </c>
      <c r="BI44" s="19">
        <f>'Grid_Stock'!AZ20</f>
        <v/>
      </c>
      <c r="BJ44" s="19">
        <f>'Grid_Stock'!BA20</f>
        <v/>
      </c>
      <c r="BK44" s="19">
        <f>'Grid_Stock'!BB20</f>
        <v/>
      </c>
      <c r="BL44" s="19">
        <f>'Grid_Stock'!BC20</f>
        <v/>
      </c>
      <c r="BM44" s="19">
        <f>'Grid_Stock'!BD20</f>
        <v/>
      </c>
      <c r="BN44" s="19">
        <f>'Grid_Stock'!BE20</f>
        <v/>
      </c>
      <c r="BO44" s="19">
        <f>'Grid_Stock'!BF20</f>
        <v/>
      </c>
      <c r="BP44" s="19">
        <f>'Grid_Stock'!BG20</f>
        <v/>
      </c>
      <c r="BQ44" s="19">
        <f>'Grid_Stock'!BH20</f>
        <v/>
      </c>
      <c r="BR44" s="19">
        <f>'Grid_Stock'!BI20</f>
        <v/>
      </c>
      <c r="BS44" s="19">
        <f>'Grid_Stock'!BJ20</f>
        <v/>
      </c>
      <c r="BT44" s="19">
        <f>'Grid_Stock'!BK20</f>
        <v/>
      </c>
      <c r="BU44" s="19">
        <f>'Grid_Stock'!BL20</f>
        <v/>
      </c>
      <c r="BV44" s="19">
        <f>'Grid_Stock'!BM20</f>
        <v/>
      </c>
      <c r="BW44" s="19">
        <f>'Grid_Stock'!BN20</f>
        <v/>
      </c>
      <c r="BX44" s="19">
        <f>'Grid_Stock'!BO20</f>
        <v/>
      </c>
      <c r="BY44" s="19">
        <f>'Grid_Stock'!BP20</f>
        <v/>
      </c>
      <c r="BZ44" s="19">
        <f>'Grid_Stock'!BQ20</f>
        <v/>
      </c>
      <c r="CA44" s="19">
        <f>'Grid_Stock'!BR20</f>
        <v/>
      </c>
      <c r="CB44" s="19">
        <f>'Grid_Stock'!BS20</f>
        <v/>
      </c>
      <c r="CC44" s="19">
        <f>'Grid_Stock'!BT20</f>
        <v/>
      </c>
      <c r="CD44" s="19">
        <f>'Grid_Stock'!BU20</f>
        <v/>
      </c>
      <c r="CE44" s="19">
        <f>'Grid_Stock'!BV20</f>
        <v/>
      </c>
      <c r="CF44" s="19">
        <f>'Grid_Stock'!BW20</f>
        <v/>
      </c>
      <c r="CG44" s="19">
        <f>'Grid_Stock'!BX20</f>
        <v/>
      </c>
      <c r="CH44" s="19">
        <f>'Grid_Stock'!BY20</f>
        <v/>
      </c>
      <c r="CI44" s="19">
        <f>'Grid_Stock'!BZ20</f>
        <v/>
      </c>
      <c r="CJ44" s="19">
        <f>'Grid_Stock'!CA20</f>
        <v/>
      </c>
      <c r="CK44" s="19">
        <f>'Grid_Stock'!CB20</f>
        <v/>
      </c>
      <c r="CL44" s="19">
        <f>'Grid_Stock'!CC20</f>
        <v/>
      </c>
      <c r="CM44" s="19">
        <f>'Grid_Stock'!CD20</f>
        <v/>
      </c>
      <c r="CN44" s="19">
        <f>'Grid_Stock'!CE20</f>
        <v/>
      </c>
      <c r="CO44" s="19">
        <f>'Grid_Stock'!CF20</f>
        <v/>
      </c>
      <c r="CP44" s="19">
        <f>'Grid_Stock'!CG20</f>
        <v/>
      </c>
      <c r="CQ44" s="19">
        <f>'Grid_Stock'!CH20</f>
        <v/>
      </c>
      <c r="CR44" s="19">
        <f>'Grid_Stock'!CI20</f>
        <v/>
      </c>
      <c r="CS44" s="19">
        <f>'Grid_Stock'!CJ20</f>
        <v/>
      </c>
      <c r="CT44" s="19">
        <f>'Grid_Stock'!CK20</f>
        <v/>
      </c>
      <c r="CU44" s="19">
        <f>'Grid_Stock'!CL20</f>
        <v/>
      </c>
      <c r="CV44" s="19">
        <f>'Grid_Stock'!CM20</f>
        <v/>
      </c>
      <c r="CW44" s="19">
        <f>'Grid_Stock'!CN20</f>
        <v/>
      </c>
      <c r="CX44" s="19">
        <f>'Grid_Stock'!CO20</f>
        <v/>
      </c>
      <c r="CY44" s="19">
        <f>'Grid_Stock'!CP20</f>
        <v/>
      </c>
      <c r="CZ44" s="19">
        <f>'Grid_Stock'!CQ20</f>
        <v/>
      </c>
      <c r="DA44" s="19">
        <f>'Grid_Stock'!CR20</f>
        <v/>
      </c>
      <c r="DB44" s="19">
        <f>'Grid_Stock'!CS20</f>
        <v/>
      </c>
      <c r="DC44" s="19">
        <f>'Grid_Stock'!CT20</f>
        <v/>
      </c>
      <c r="DD44" s="19">
        <f>'Grid_Stock'!CU20</f>
        <v/>
      </c>
      <c r="DE44" s="19">
        <f>'Grid_Stock'!CV20</f>
        <v/>
      </c>
      <c r="DF44" s="19">
        <f>'Grid_Stock'!CW20</f>
        <v/>
      </c>
      <c r="DG44" s="19">
        <f>'Grid_Stock'!CX20</f>
        <v/>
      </c>
      <c r="DH44" s="19">
        <f>'Grid_Stock'!CY20</f>
        <v/>
      </c>
      <c r="DI44" s="19">
        <f>'Grid_Stock'!CZ20</f>
        <v/>
      </c>
      <c r="DJ44" s="19">
        <f>'Grid_Stock'!DA20</f>
        <v/>
      </c>
    </row>
    <row r="45">
      <c r="A45" s="17" t="inlineStr">
        <is>
          <t>1JN</t>
        </is>
      </c>
      <c r="B45" s="17">
        <f>IFERROR(INDEX(M_RawMaterials[Description],MATCH($A45,M_RawMaterials[Part Name],0)),"")</f>
        <v/>
      </c>
      <c r="C45" s="17">
        <f>IFERROR(INDEX(M_RawMaterials[Category],MATCH($A45,M_RawMaterials[Part Name],0)),"")</f>
        <v/>
      </c>
      <c r="D45" s="17">
        <f>IFERROR(INDEX(M_RawMaterials[基準在庫下限_要入力],MATCH($A45,M_RawMaterials[Part Name],0)),0)</f>
        <v/>
      </c>
      <c r="E45" s="17">
        <f>IFERROR(INDEX(M_RawMaterials[基準在庫上限_要入力],MATCH($A45,M_RawMaterials[Part Name],0)),0)</f>
        <v/>
      </c>
      <c r="F45" s="17">
        <f>IFERROR(LOOKUP(2,1/('T_SelfStock'!$B$25:$DA$25&lt;&gt;""),'T_SelfStock'!$B$25:$DA$25),"")</f>
        <v/>
      </c>
      <c r="G45" s="17">
        <f>IFERROR(LOOKUP(2,1/('T_TTAFStock'!$B$25:$DA$25&lt;&gt;""),'T_TTAFStock'!$B$25:$DA$25),"")</f>
        <v/>
      </c>
      <c r="H45" s="17">
        <f>IFERROR(LOOKUP(2,1/('T_SelfStock'!$B$25:$DA$25&lt;&gt;""),'T_SelfStock'!$B$5:$DA$5),"")</f>
        <v/>
      </c>
      <c r="I45" s="18" t="inlineStr">
        <is>
          <t>理論在庫</t>
        </is>
      </c>
      <c r="J45" s="17">
        <f>'Grid_Stock'!DA21-'Grid_TheoreticalStock'!DA21</f>
        <v/>
      </c>
      <c r="K45" s="18">
        <f>'Grid_TheoreticalStock'!B21</f>
        <v/>
      </c>
      <c r="L45" s="18">
        <f>'Grid_TheoreticalStock'!C21</f>
        <v/>
      </c>
      <c r="M45" s="18">
        <f>'Grid_TheoreticalStock'!D21</f>
        <v/>
      </c>
      <c r="N45" s="18">
        <f>'Grid_TheoreticalStock'!E21</f>
        <v/>
      </c>
      <c r="O45" s="18">
        <f>'Grid_TheoreticalStock'!F21</f>
        <v/>
      </c>
      <c r="P45" s="18">
        <f>'Grid_TheoreticalStock'!G21</f>
        <v/>
      </c>
      <c r="Q45" s="18">
        <f>'Grid_TheoreticalStock'!H21</f>
        <v/>
      </c>
      <c r="R45" s="18">
        <f>'Grid_TheoreticalStock'!I21</f>
        <v/>
      </c>
      <c r="S45" s="18">
        <f>'Grid_TheoreticalStock'!J21</f>
        <v/>
      </c>
      <c r="T45" s="18">
        <f>'Grid_TheoreticalStock'!K21</f>
        <v/>
      </c>
      <c r="U45" s="18">
        <f>'Grid_TheoreticalStock'!L21</f>
        <v/>
      </c>
      <c r="V45" s="18">
        <f>'Grid_TheoreticalStock'!M21</f>
        <v/>
      </c>
      <c r="W45" s="18">
        <f>'Grid_TheoreticalStock'!N21</f>
        <v/>
      </c>
      <c r="X45" s="18">
        <f>'Grid_TheoreticalStock'!O21</f>
        <v/>
      </c>
      <c r="Y45" s="18">
        <f>'Grid_TheoreticalStock'!P21</f>
        <v/>
      </c>
      <c r="Z45" s="18">
        <f>'Grid_TheoreticalStock'!Q21</f>
        <v/>
      </c>
      <c r="AA45" s="18">
        <f>'Grid_TheoreticalStock'!R21</f>
        <v/>
      </c>
      <c r="AB45" s="18">
        <f>'Grid_TheoreticalStock'!S21</f>
        <v/>
      </c>
      <c r="AC45" s="18">
        <f>'Grid_TheoreticalStock'!T21</f>
        <v/>
      </c>
      <c r="AD45" s="18">
        <f>'Grid_TheoreticalStock'!U21</f>
        <v/>
      </c>
      <c r="AE45" s="18">
        <f>'Grid_TheoreticalStock'!V21</f>
        <v/>
      </c>
      <c r="AF45" s="18">
        <f>'Grid_TheoreticalStock'!W21</f>
        <v/>
      </c>
      <c r="AG45" s="18">
        <f>'Grid_TheoreticalStock'!X21</f>
        <v/>
      </c>
      <c r="AH45" s="18">
        <f>'Grid_TheoreticalStock'!Y21</f>
        <v/>
      </c>
      <c r="AI45" s="18">
        <f>'Grid_TheoreticalStock'!Z21</f>
        <v/>
      </c>
      <c r="AJ45" s="18">
        <f>'Grid_TheoreticalStock'!AA21</f>
        <v/>
      </c>
      <c r="AK45" s="18">
        <f>'Grid_TheoreticalStock'!AB21</f>
        <v/>
      </c>
      <c r="AL45" s="18">
        <f>'Grid_TheoreticalStock'!AC21</f>
        <v/>
      </c>
      <c r="AM45" s="18">
        <f>'Grid_TheoreticalStock'!AD21</f>
        <v/>
      </c>
      <c r="AN45" s="18">
        <f>'Grid_TheoreticalStock'!AE21</f>
        <v/>
      </c>
      <c r="AO45" s="18">
        <f>'Grid_TheoreticalStock'!AF21</f>
        <v/>
      </c>
      <c r="AP45" s="18">
        <f>'Grid_TheoreticalStock'!AG21</f>
        <v/>
      </c>
      <c r="AQ45" s="18">
        <f>'Grid_TheoreticalStock'!AH21</f>
        <v/>
      </c>
      <c r="AR45" s="18">
        <f>'Grid_TheoreticalStock'!AI21</f>
        <v/>
      </c>
      <c r="AS45" s="18">
        <f>'Grid_TheoreticalStock'!AJ21</f>
        <v/>
      </c>
      <c r="AT45" s="18">
        <f>'Grid_TheoreticalStock'!AK21</f>
        <v/>
      </c>
      <c r="AU45" s="18">
        <f>'Grid_TheoreticalStock'!AL21</f>
        <v/>
      </c>
      <c r="AV45" s="18">
        <f>'Grid_TheoreticalStock'!AM21</f>
        <v/>
      </c>
      <c r="AW45" s="18">
        <f>'Grid_TheoreticalStock'!AN21</f>
        <v/>
      </c>
      <c r="AX45" s="18">
        <f>'Grid_TheoreticalStock'!AO21</f>
        <v/>
      </c>
      <c r="AY45" s="18">
        <f>'Grid_TheoreticalStock'!AP21</f>
        <v/>
      </c>
      <c r="AZ45" s="18">
        <f>'Grid_TheoreticalStock'!AQ21</f>
        <v/>
      </c>
      <c r="BA45" s="18">
        <f>'Grid_TheoreticalStock'!AR21</f>
        <v/>
      </c>
      <c r="BB45" s="18">
        <f>'Grid_TheoreticalStock'!AS21</f>
        <v/>
      </c>
      <c r="BC45" s="18">
        <f>'Grid_TheoreticalStock'!AT21</f>
        <v/>
      </c>
      <c r="BD45" s="18">
        <f>'Grid_TheoreticalStock'!AU21</f>
        <v/>
      </c>
      <c r="BE45" s="18">
        <f>'Grid_TheoreticalStock'!AV21</f>
        <v/>
      </c>
      <c r="BF45" s="18">
        <f>'Grid_TheoreticalStock'!AW21</f>
        <v/>
      </c>
      <c r="BG45" s="18">
        <f>'Grid_TheoreticalStock'!AX21</f>
        <v/>
      </c>
      <c r="BH45" s="18">
        <f>'Grid_TheoreticalStock'!AY21</f>
        <v/>
      </c>
      <c r="BI45" s="18">
        <f>'Grid_TheoreticalStock'!AZ21</f>
        <v/>
      </c>
      <c r="BJ45" s="18">
        <f>'Grid_TheoreticalStock'!BA21</f>
        <v/>
      </c>
      <c r="BK45" s="18">
        <f>'Grid_TheoreticalStock'!BB21</f>
        <v/>
      </c>
      <c r="BL45" s="18">
        <f>'Grid_TheoreticalStock'!BC21</f>
        <v/>
      </c>
      <c r="BM45" s="18">
        <f>'Grid_TheoreticalStock'!BD21</f>
        <v/>
      </c>
      <c r="BN45" s="18">
        <f>'Grid_TheoreticalStock'!BE21</f>
        <v/>
      </c>
      <c r="BO45" s="18">
        <f>'Grid_TheoreticalStock'!BF21</f>
        <v/>
      </c>
      <c r="BP45" s="18">
        <f>'Grid_TheoreticalStock'!BG21</f>
        <v/>
      </c>
      <c r="BQ45" s="18">
        <f>'Grid_TheoreticalStock'!BH21</f>
        <v/>
      </c>
      <c r="BR45" s="18">
        <f>'Grid_TheoreticalStock'!BI21</f>
        <v/>
      </c>
      <c r="BS45" s="18">
        <f>'Grid_TheoreticalStock'!BJ21</f>
        <v/>
      </c>
      <c r="BT45" s="18">
        <f>'Grid_TheoreticalStock'!BK21</f>
        <v/>
      </c>
      <c r="BU45" s="18">
        <f>'Grid_TheoreticalStock'!BL21</f>
        <v/>
      </c>
      <c r="BV45" s="18">
        <f>'Grid_TheoreticalStock'!BM21</f>
        <v/>
      </c>
      <c r="BW45" s="18">
        <f>'Grid_TheoreticalStock'!BN21</f>
        <v/>
      </c>
      <c r="BX45" s="18">
        <f>'Grid_TheoreticalStock'!BO21</f>
        <v/>
      </c>
      <c r="BY45" s="18">
        <f>'Grid_TheoreticalStock'!BP21</f>
        <v/>
      </c>
      <c r="BZ45" s="18">
        <f>'Grid_TheoreticalStock'!BQ21</f>
        <v/>
      </c>
      <c r="CA45" s="18">
        <f>'Grid_TheoreticalStock'!BR21</f>
        <v/>
      </c>
      <c r="CB45" s="18">
        <f>'Grid_TheoreticalStock'!BS21</f>
        <v/>
      </c>
      <c r="CC45" s="18">
        <f>'Grid_TheoreticalStock'!BT21</f>
        <v/>
      </c>
      <c r="CD45" s="18">
        <f>'Grid_TheoreticalStock'!BU21</f>
        <v/>
      </c>
      <c r="CE45" s="18">
        <f>'Grid_TheoreticalStock'!BV21</f>
        <v/>
      </c>
      <c r="CF45" s="18">
        <f>'Grid_TheoreticalStock'!BW21</f>
        <v/>
      </c>
      <c r="CG45" s="18">
        <f>'Grid_TheoreticalStock'!BX21</f>
        <v/>
      </c>
      <c r="CH45" s="18">
        <f>'Grid_TheoreticalStock'!BY21</f>
        <v/>
      </c>
      <c r="CI45" s="18">
        <f>'Grid_TheoreticalStock'!BZ21</f>
        <v/>
      </c>
      <c r="CJ45" s="18">
        <f>'Grid_TheoreticalStock'!CA21</f>
        <v/>
      </c>
      <c r="CK45" s="18">
        <f>'Grid_TheoreticalStock'!CB21</f>
        <v/>
      </c>
      <c r="CL45" s="18">
        <f>'Grid_TheoreticalStock'!CC21</f>
        <v/>
      </c>
      <c r="CM45" s="18">
        <f>'Grid_TheoreticalStock'!CD21</f>
        <v/>
      </c>
      <c r="CN45" s="18">
        <f>'Grid_TheoreticalStock'!CE21</f>
        <v/>
      </c>
      <c r="CO45" s="18">
        <f>'Grid_TheoreticalStock'!CF21</f>
        <v/>
      </c>
      <c r="CP45" s="18">
        <f>'Grid_TheoreticalStock'!CG21</f>
        <v/>
      </c>
      <c r="CQ45" s="18">
        <f>'Grid_TheoreticalStock'!CH21</f>
        <v/>
      </c>
      <c r="CR45" s="18">
        <f>'Grid_TheoreticalStock'!CI21</f>
        <v/>
      </c>
      <c r="CS45" s="18">
        <f>'Grid_TheoreticalStock'!CJ21</f>
        <v/>
      </c>
      <c r="CT45" s="18">
        <f>'Grid_TheoreticalStock'!CK21</f>
        <v/>
      </c>
      <c r="CU45" s="18">
        <f>'Grid_TheoreticalStock'!CL21</f>
        <v/>
      </c>
      <c r="CV45" s="18">
        <f>'Grid_TheoreticalStock'!CM21</f>
        <v/>
      </c>
      <c r="CW45" s="18">
        <f>'Grid_TheoreticalStock'!CN21</f>
        <v/>
      </c>
      <c r="CX45" s="18">
        <f>'Grid_TheoreticalStock'!CO21</f>
        <v/>
      </c>
      <c r="CY45" s="18">
        <f>'Grid_TheoreticalStock'!CP21</f>
        <v/>
      </c>
      <c r="CZ45" s="18">
        <f>'Grid_TheoreticalStock'!CQ21</f>
        <v/>
      </c>
      <c r="DA45" s="18">
        <f>'Grid_TheoreticalStock'!CR21</f>
        <v/>
      </c>
      <c r="DB45" s="18">
        <f>'Grid_TheoreticalStock'!CS21</f>
        <v/>
      </c>
      <c r="DC45" s="18">
        <f>'Grid_TheoreticalStock'!CT21</f>
        <v/>
      </c>
      <c r="DD45" s="18">
        <f>'Grid_TheoreticalStock'!CU21</f>
        <v/>
      </c>
      <c r="DE45" s="18">
        <f>'Grid_TheoreticalStock'!CV21</f>
        <v/>
      </c>
      <c r="DF45" s="18">
        <f>'Grid_TheoreticalStock'!CW21</f>
        <v/>
      </c>
      <c r="DG45" s="18">
        <f>'Grid_TheoreticalStock'!CX21</f>
        <v/>
      </c>
      <c r="DH45" s="18">
        <f>'Grid_TheoreticalStock'!CY21</f>
        <v/>
      </c>
      <c r="DI45" s="18">
        <f>'Grid_TheoreticalStock'!CZ21</f>
        <v/>
      </c>
      <c r="DJ45" s="18">
        <f>'Grid_TheoreticalStock'!DA21</f>
        <v/>
      </c>
    </row>
    <row r="46">
      <c r="A46" s="19" t="inlineStr">
        <is>
          <t>1JN</t>
        </is>
      </c>
      <c r="B46" s="19">
        <f>IFERROR(INDEX(M_RawMaterials[Description],MATCH($A46,M_RawMaterials[Part Name],0)),"")</f>
        <v/>
      </c>
      <c r="C46" s="19">
        <f>IFERROR(INDEX(M_RawMaterials[Category],MATCH($A46,M_RawMaterials[Part Name],0)),"")</f>
        <v/>
      </c>
      <c r="D46" s="19">
        <f>IFERROR(INDEX(M_RawMaterials[基準在庫下限_要入力],MATCH($A46,M_RawMaterials[Part Name],0)),0)</f>
        <v/>
      </c>
      <c r="E46" s="19">
        <f>IFERROR(INDEX(M_RawMaterials[基準在庫上限_要入力],MATCH($A46,M_RawMaterials[Part Name],0)),0)</f>
        <v/>
      </c>
      <c r="F46" s="19">
        <f>IFERROR(LOOKUP(2,1/('T_SelfStock'!$B$25:$DA$25&lt;&gt;""),'T_SelfStock'!$B$25:$DA$25),"")</f>
        <v/>
      </c>
      <c r="G46" s="19">
        <f>IFERROR(LOOKUP(2,1/('T_TTAFStock'!$B$25:$DA$25&lt;&gt;""),'T_TTAFStock'!$B$25:$DA$25),"")</f>
        <v/>
      </c>
      <c r="H46" s="19">
        <f>IFERROR(LOOKUP(2,1/('T_SelfStock'!$B$25:$DA$25&lt;&gt;""),'T_SelfStock'!$B$5:$DA$5),"")</f>
        <v/>
      </c>
      <c r="I46" s="20" t="inlineStr">
        <is>
          <t>実在庫</t>
        </is>
      </c>
      <c r="J46" s="19">
        <f>'Grid_Stock'!DA21-'Grid_TheoreticalStock'!DA21</f>
        <v/>
      </c>
      <c r="K46" s="19">
        <f>'Grid_Stock'!B21</f>
        <v/>
      </c>
      <c r="L46" s="19">
        <f>'Grid_Stock'!C21</f>
        <v/>
      </c>
      <c r="M46" s="19">
        <f>'Grid_Stock'!D21</f>
        <v/>
      </c>
      <c r="N46" s="19">
        <f>'Grid_Stock'!E21</f>
        <v/>
      </c>
      <c r="O46" s="19">
        <f>'Grid_Stock'!F21</f>
        <v/>
      </c>
      <c r="P46" s="19">
        <f>'Grid_Stock'!G21</f>
        <v/>
      </c>
      <c r="Q46" s="19">
        <f>'Grid_Stock'!H21</f>
        <v/>
      </c>
      <c r="R46" s="19">
        <f>'Grid_Stock'!I21</f>
        <v/>
      </c>
      <c r="S46" s="19">
        <f>'Grid_Stock'!J21</f>
        <v/>
      </c>
      <c r="T46" s="19">
        <f>'Grid_Stock'!K21</f>
        <v/>
      </c>
      <c r="U46" s="19">
        <f>'Grid_Stock'!L21</f>
        <v/>
      </c>
      <c r="V46" s="19">
        <f>'Grid_Stock'!M21</f>
        <v/>
      </c>
      <c r="W46" s="19">
        <f>'Grid_Stock'!N21</f>
        <v/>
      </c>
      <c r="X46" s="19">
        <f>'Grid_Stock'!O21</f>
        <v/>
      </c>
      <c r="Y46" s="19">
        <f>'Grid_Stock'!P21</f>
        <v/>
      </c>
      <c r="Z46" s="19">
        <f>'Grid_Stock'!Q21</f>
        <v/>
      </c>
      <c r="AA46" s="19">
        <f>'Grid_Stock'!R21</f>
        <v/>
      </c>
      <c r="AB46" s="19">
        <f>'Grid_Stock'!S21</f>
        <v/>
      </c>
      <c r="AC46" s="19">
        <f>'Grid_Stock'!T21</f>
        <v/>
      </c>
      <c r="AD46" s="19">
        <f>'Grid_Stock'!U21</f>
        <v/>
      </c>
      <c r="AE46" s="19">
        <f>'Grid_Stock'!V21</f>
        <v/>
      </c>
      <c r="AF46" s="19">
        <f>'Grid_Stock'!W21</f>
        <v/>
      </c>
      <c r="AG46" s="19">
        <f>'Grid_Stock'!X21</f>
        <v/>
      </c>
      <c r="AH46" s="19">
        <f>'Grid_Stock'!Y21</f>
        <v/>
      </c>
      <c r="AI46" s="19">
        <f>'Grid_Stock'!Z21</f>
        <v/>
      </c>
      <c r="AJ46" s="19">
        <f>'Grid_Stock'!AA21</f>
        <v/>
      </c>
      <c r="AK46" s="19">
        <f>'Grid_Stock'!AB21</f>
        <v/>
      </c>
      <c r="AL46" s="19">
        <f>'Grid_Stock'!AC21</f>
        <v/>
      </c>
      <c r="AM46" s="19">
        <f>'Grid_Stock'!AD21</f>
        <v/>
      </c>
      <c r="AN46" s="19">
        <f>'Grid_Stock'!AE21</f>
        <v/>
      </c>
      <c r="AO46" s="19">
        <f>'Grid_Stock'!AF21</f>
        <v/>
      </c>
      <c r="AP46" s="19">
        <f>'Grid_Stock'!AG21</f>
        <v/>
      </c>
      <c r="AQ46" s="19">
        <f>'Grid_Stock'!AH21</f>
        <v/>
      </c>
      <c r="AR46" s="19">
        <f>'Grid_Stock'!AI21</f>
        <v/>
      </c>
      <c r="AS46" s="19">
        <f>'Grid_Stock'!AJ21</f>
        <v/>
      </c>
      <c r="AT46" s="19">
        <f>'Grid_Stock'!AK21</f>
        <v/>
      </c>
      <c r="AU46" s="19">
        <f>'Grid_Stock'!AL21</f>
        <v/>
      </c>
      <c r="AV46" s="19">
        <f>'Grid_Stock'!AM21</f>
        <v/>
      </c>
      <c r="AW46" s="19">
        <f>'Grid_Stock'!AN21</f>
        <v/>
      </c>
      <c r="AX46" s="19">
        <f>'Grid_Stock'!AO21</f>
        <v/>
      </c>
      <c r="AY46" s="19">
        <f>'Grid_Stock'!AP21</f>
        <v/>
      </c>
      <c r="AZ46" s="19">
        <f>'Grid_Stock'!AQ21</f>
        <v/>
      </c>
      <c r="BA46" s="19">
        <f>'Grid_Stock'!AR21</f>
        <v/>
      </c>
      <c r="BB46" s="19">
        <f>'Grid_Stock'!AS21</f>
        <v/>
      </c>
      <c r="BC46" s="19">
        <f>'Grid_Stock'!AT21</f>
        <v/>
      </c>
      <c r="BD46" s="19">
        <f>'Grid_Stock'!AU21</f>
        <v/>
      </c>
      <c r="BE46" s="19">
        <f>'Grid_Stock'!AV21</f>
        <v/>
      </c>
      <c r="BF46" s="19">
        <f>'Grid_Stock'!AW21</f>
        <v/>
      </c>
      <c r="BG46" s="19">
        <f>'Grid_Stock'!AX21</f>
        <v/>
      </c>
      <c r="BH46" s="19">
        <f>'Grid_Stock'!AY21</f>
        <v/>
      </c>
      <c r="BI46" s="19">
        <f>'Grid_Stock'!AZ21</f>
        <v/>
      </c>
      <c r="BJ46" s="19">
        <f>'Grid_Stock'!BA21</f>
        <v/>
      </c>
      <c r="BK46" s="19">
        <f>'Grid_Stock'!BB21</f>
        <v/>
      </c>
      <c r="BL46" s="19">
        <f>'Grid_Stock'!BC21</f>
        <v/>
      </c>
      <c r="BM46" s="19">
        <f>'Grid_Stock'!BD21</f>
        <v/>
      </c>
      <c r="BN46" s="19">
        <f>'Grid_Stock'!BE21</f>
        <v/>
      </c>
      <c r="BO46" s="19">
        <f>'Grid_Stock'!BF21</f>
        <v/>
      </c>
      <c r="BP46" s="19">
        <f>'Grid_Stock'!BG21</f>
        <v/>
      </c>
      <c r="BQ46" s="19">
        <f>'Grid_Stock'!BH21</f>
        <v/>
      </c>
      <c r="BR46" s="19">
        <f>'Grid_Stock'!BI21</f>
        <v/>
      </c>
      <c r="BS46" s="19">
        <f>'Grid_Stock'!BJ21</f>
        <v/>
      </c>
      <c r="BT46" s="19">
        <f>'Grid_Stock'!BK21</f>
        <v/>
      </c>
      <c r="BU46" s="19">
        <f>'Grid_Stock'!BL21</f>
        <v/>
      </c>
      <c r="BV46" s="19">
        <f>'Grid_Stock'!BM21</f>
        <v/>
      </c>
      <c r="BW46" s="19">
        <f>'Grid_Stock'!BN21</f>
        <v/>
      </c>
      <c r="BX46" s="19">
        <f>'Grid_Stock'!BO21</f>
        <v/>
      </c>
      <c r="BY46" s="19">
        <f>'Grid_Stock'!BP21</f>
        <v/>
      </c>
      <c r="BZ46" s="19">
        <f>'Grid_Stock'!BQ21</f>
        <v/>
      </c>
      <c r="CA46" s="19">
        <f>'Grid_Stock'!BR21</f>
        <v/>
      </c>
      <c r="CB46" s="19">
        <f>'Grid_Stock'!BS21</f>
        <v/>
      </c>
      <c r="CC46" s="19">
        <f>'Grid_Stock'!BT21</f>
        <v/>
      </c>
      <c r="CD46" s="19">
        <f>'Grid_Stock'!BU21</f>
        <v/>
      </c>
      <c r="CE46" s="19">
        <f>'Grid_Stock'!BV21</f>
        <v/>
      </c>
      <c r="CF46" s="19">
        <f>'Grid_Stock'!BW21</f>
        <v/>
      </c>
      <c r="CG46" s="19">
        <f>'Grid_Stock'!BX21</f>
        <v/>
      </c>
      <c r="CH46" s="19">
        <f>'Grid_Stock'!BY21</f>
        <v/>
      </c>
      <c r="CI46" s="19">
        <f>'Grid_Stock'!BZ21</f>
        <v/>
      </c>
      <c r="CJ46" s="19">
        <f>'Grid_Stock'!CA21</f>
        <v/>
      </c>
      <c r="CK46" s="19">
        <f>'Grid_Stock'!CB21</f>
        <v/>
      </c>
      <c r="CL46" s="19">
        <f>'Grid_Stock'!CC21</f>
        <v/>
      </c>
      <c r="CM46" s="19">
        <f>'Grid_Stock'!CD21</f>
        <v/>
      </c>
      <c r="CN46" s="19">
        <f>'Grid_Stock'!CE21</f>
        <v/>
      </c>
      <c r="CO46" s="19">
        <f>'Grid_Stock'!CF21</f>
        <v/>
      </c>
      <c r="CP46" s="19">
        <f>'Grid_Stock'!CG21</f>
        <v/>
      </c>
      <c r="CQ46" s="19">
        <f>'Grid_Stock'!CH21</f>
        <v/>
      </c>
      <c r="CR46" s="19">
        <f>'Grid_Stock'!CI21</f>
        <v/>
      </c>
      <c r="CS46" s="19">
        <f>'Grid_Stock'!CJ21</f>
        <v/>
      </c>
      <c r="CT46" s="19">
        <f>'Grid_Stock'!CK21</f>
        <v/>
      </c>
      <c r="CU46" s="19">
        <f>'Grid_Stock'!CL21</f>
        <v/>
      </c>
      <c r="CV46" s="19">
        <f>'Grid_Stock'!CM21</f>
        <v/>
      </c>
      <c r="CW46" s="19">
        <f>'Grid_Stock'!CN21</f>
        <v/>
      </c>
      <c r="CX46" s="19">
        <f>'Grid_Stock'!CO21</f>
        <v/>
      </c>
      <c r="CY46" s="19">
        <f>'Grid_Stock'!CP21</f>
        <v/>
      </c>
      <c r="CZ46" s="19">
        <f>'Grid_Stock'!CQ21</f>
        <v/>
      </c>
      <c r="DA46" s="19">
        <f>'Grid_Stock'!CR21</f>
        <v/>
      </c>
      <c r="DB46" s="19">
        <f>'Grid_Stock'!CS21</f>
        <v/>
      </c>
      <c r="DC46" s="19">
        <f>'Grid_Stock'!CT21</f>
        <v/>
      </c>
      <c r="DD46" s="19">
        <f>'Grid_Stock'!CU21</f>
        <v/>
      </c>
      <c r="DE46" s="19">
        <f>'Grid_Stock'!CV21</f>
        <v/>
      </c>
      <c r="DF46" s="19">
        <f>'Grid_Stock'!CW21</f>
        <v/>
      </c>
      <c r="DG46" s="19">
        <f>'Grid_Stock'!CX21</f>
        <v/>
      </c>
      <c r="DH46" s="19">
        <f>'Grid_Stock'!CY21</f>
        <v/>
      </c>
      <c r="DI46" s="19">
        <f>'Grid_Stock'!CZ21</f>
        <v/>
      </c>
      <c r="DJ46" s="19">
        <f>'Grid_Stock'!DA21</f>
        <v/>
      </c>
    </row>
    <row r="47">
      <c r="A47" s="17" t="inlineStr">
        <is>
          <t>CHEM-1670</t>
        </is>
      </c>
      <c r="B47" s="17">
        <f>IFERROR(INDEX(M_RawMaterials[Description],MATCH($A47,M_RawMaterials[Part Name],0)),"")</f>
        <v/>
      </c>
      <c r="C47" s="17">
        <f>IFERROR(INDEX(M_RawMaterials[Category],MATCH($A47,M_RawMaterials[Part Name],0)),"")</f>
        <v/>
      </c>
      <c r="D47" s="17">
        <f>IFERROR(INDEX(M_RawMaterials[基準在庫下限_要入力],MATCH($A47,M_RawMaterials[Part Name],0)),0)</f>
        <v/>
      </c>
      <c r="E47" s="17">
        <f>IFERROR(INDEX(M_RawMaterials[基準在庫上限_要入力],MATCH($A47,M_RawMaterials[Part Name],0)),0)</f>
        <v/>
      </c>
      <c r="F47" s="17">
        <f>IFERROR(LOOKUP(2,1/('T_SelfStock'!$B$26:$DA$26&lt;&gt;""),'T_SelfStock'!$B$26:$DA$26),"")</f>
        <v/>
      </c>
      <c r="G47" s="17">
        <f>IFERROR(LOOKUP(2,1/('T_TTAFStock'!$B$26:$DA$26&lt;&gt;""),'T_TTAFStock'!$B$26:$DA$26),"")</f>
        <v/>
      </c>
      <c r="H47" s="17">
        <f>IFERROR(LOOKUP(2,1/('T_SelfStock'!$B$26:$DA$26&lt;&gt;""),'T_SelfStock'!$B$5:$DA$5),"")</f>
        <v/>
      </c>
      <c r="I47" s="18" t="inlineStr">
        <is>
          <t>理論在庫</t>
        </is>
      </c>
      <c r="J47" s="17">
        <f>'Grid_Stock'!DA22-'Grid_TheoreticalStock'!DA22</f>
        <v/>
      </c>
      <c r="K47" s="18">
        <f>'Grid_TheoreticalStock'!B22</f>
        <v/>
      </c>
      <c r="L47" s="18">
        <f>'Grid_TheoreticalStock'!C22</f>
        <v/>
      </c>
      <c r="M47" s="18">
        <f>'Grid_TheoreticalStock'!D22</f>
        <v/>
      </c>
      <c r="N47" s="18">
        <f>'Grid_TheoreticalStock'!E22</f>
        <v/>
      </c>
      <c r="O47" s="18">
        <f>'Grid_TheoreticalStock'!F22</f>
        <v/>
      </c>
      <c r="P47" s="18">
        <f>'Grid_TheoreticalStock'!G22</f>
        <v/>
      </c>
      <c r="Q47" s="18">
        <f>'Grid_TheoreticalStock'!H22</f>
        <v/>
      </c>
      <c r="R47" s="18">
        <f>'Grid_TheoreticalStock'!I22</f>
        <v/>
      </c>
      <c r="S47" s="18">
        <f>'Grid_TheoreticalStock'!J22</f>
        <v/>
      </c>
      <c r="T47" s="18">
        <f>'Grid_TheoreticalStock'!K22</f>
        <v/>
      </c>
      <c r="U47" s="18">
        <f>'Grid_TheoreticalStock'!L22</f>
        <v/>
      </c>
      <c r="V47" s="18">
        <f>'Grid_TheoreticalStock'!M22</f>
        <v/>
      </c>
      <c r="W47" s="18">
        <f>'Grid_TheoreticalStock'!N22</f>
        <v/>
      </c>
      <c r="X47" s="18">
        <f>'Grid_TheoreticalStock'!O22</f>
        <v/>
      </c>
      <c r="Y47" s="18">
        <f>'Grid_TheoreticalStock'!P22</f>
        <v/>
      </c>
      <c r="Z47" s="18">
        <f>'Grid_TheoreticalStock'!Q22</f>
        <v/>
      </c>
      <c r="AA47" s="18">
        <f>'Grid_TheoreticalStock'!R22</f>
        <v/>
      </c>
      <c r="AB47" s="18">
        <f>'Grid_TheoreticalStock'!S22</f>
        <v/>
      </c>
      <c r="AC47" s="18">
        <f>'Grid_TheoreticalStock'!T22</f>
        <v/>
      </c>
      <c r="AD47" s="18">
        <f>'Grid_TheoreticalStock'!U22</f>
        <v/>
      </c>
      <c r="AE47" s="18">
        <f>'Grid_TheoreticalStock'!V22</f>
        <v/>
      </c>
      <c r="AF47" s="18">
        <f>'Grid_TheoreticalStock'!W22</f>
        <v/>
      </c>
      <c r="AG47" s="18">
        <f>'Grid_TheoreticalStock'!X22</f>
        <v/>
      </c>
      <c r="AH47" s="18">
        <f>'Grid_TheoreticalStock'!Y22</f>
        <v/>
      </c>
      <c r="AI47" s="18">
        <f>'Grid_TheoreticalStock'!Z22</f>
        <v/>
      </c>
      <c r="AJ47" s="18">
        <f>'Grid_TheoreticalStock'!AA22</f>
        <v/>
      </c>
      <c r="AK47" s="18">
        <f>'Grid_TheoreticalStock'!AB22</f>
        <v/>
      </c>
      <c r="AL47" s="18">
        <f>'Grid_TheoreticalStock'!AC22</f>
        <v/>
      </c>
      <c r="AM47" s="18">
        <f>'Grid_TheoreticalStock'!AD22</f>
        <v/>
      </c>
      <c r="AN47" s="18">
        <f>'Grid_TheoreticalStock'!AE22</f>
        <v/>
      </c>
      <c r="AO47" s="18">
        <f>'Grid_TheoreticalStock'!AF22</f>
        <v/>
      </c>
      <c r="AP47" s="18">
        <f>'Grid_TheoreticalStock'!AG22</f>
        <v/>
      </c>
      <c r="AQ47" s="18">
        <f>'Grid_TheoreticalStock'!AH22</f>
        <v/>
      </c>
      <c r="AR47" s="18">
        <f>'Grid_TheoreticalStock'!AI22</f>
        <v/>
      </c>
      <c r="AS47" s="18">
        <f>'Grid_TheoreticalStock'!AJ22</f>
        <v/>
      </c>
      <c r="AT47" s="18">
        <f>'Grid_TheoreticalStock'!AK22</f>
        <v/>
      </c>
      <c r="AU47" s="18">
        <f>'Grid_TheoreticalStock'!AL22</f>
        <v/>
      </c>
      <c r="AV47" s="18">
        <f>'Grid_TheoreticalStock'!AM22</f>
        <v/>
      </c>
      <c r="AW47" s="18">
        <f>'Grid_TheoreticalStock'!AN22</f>
        <v/>
      </c>
      <c r="AX47" s="18">
        <f>'Grid_TheoreticalStock'!AO22</f>
        <v/>
      </c>
      <c r="AY47" s="18">
        <f>'Grid_TheoreticalStock'!AP22</f>
        <v/>
      </c>
      <c r="AZ47" s="18">
        <f>'Grid_TheoreticalStock'!AQ22</f>
        <v/>
      </c>
      <c r="BA47" s="18">
        <f>'Grid_TheoreticalStock'!AR22</f>
        <v/>
      </c>
      <c r="BB47" s="18">
        <f>'Grid_TheoreticalStock'!AS22</f>
        <v/>
      </c>
      <c r="BC47" s="18">
        <f>'Grid_TheoreticalStock'!AT22</f>
        <v/>
      </c>
      <c r="BD47" s="18">
        <f>'Grid_TheoreticalStock'!AU22</f>
        <v/>
      </c>
      <c r="BE47" s="18">
        <f>'Grid_TheoreticalStock'!AV22</f>
        <v/>
      </c>
      <c r="BF47" s="18">
        <f>'Grid_TheoreticalStock'!AW22</f>
        <v/>
      </c>
      <c r="BG47" s="18">
        <f>'Grid_TheoreticalStock'!AX22</f>
        <v/>
      </c>
      <c r="BH47" s="18">
        <f>'Grid_TheoreticalStock'!AY22</f>
        <v/>
      </c>
      <c r="BI47" s="18">
        <f>'Grid_TheoreticalStock'!AZ22</f>
        <v/>
      </c>
      <c r="BJ47" s="18">
        <f>'Grid_TheoreticalStock'!BA22</f>
        <v/>
      </c>
      <c r="BK47" s="18">
        <f>'Grid_TheoreticalStock'!BB22</f>
        <v/>
      </c>
      <c r="BL47" s="18">
        <f>'Grid_TheoreticalStock'!BC22</f>
        <v/>
      </c>
      <c r="BM47" s="18">
        <f>'Grid_TheoreticalStock'!BD22</f>
        <v/>
      </c>
      <c r="BN47" s="18">
        <f>'Grid_TheoreticalStock'!BE22</f>
        <v/>
      </c>
      <c r="BO47" s="18">
        <f>'Grid_TheoreticalStock'!BF22</f>
        <v/>
      </c>
      <c r="BP47" s="18">
        <f>'Grid_TheoreticalStock'!BG22</f>
        <v/>
      </c>
      <c r="BQ47" s="18">
        <f>'Grid_TheoreticalStock'!BH22</f>
        <v/>
      </c>
      <c r="BR47" s="18">
        <f>'Grid_TheoreticalStock'!BI22</f>
        <v/>
      </c>
      <c r="BS47" s="18">
        <f>'Grid_TheoreticalStock'!BJ22</f>
        <v/>
      </c>
      <c r="BT47" s="18">
        <f>'Grid_TheoreticalStock'!BK22</f>
        <v/>
      </c>
      <c r="BU47" s="18">
        <f>'Grid_TheoreticalStock'!BL22</f>
        <v/>
      </c>
      <c r="BV47" s="18">
        <f>'Grid_TheoreticalStock'!BM22</f>
        <v/>
      </c>
      <c r="BW47" s="18">
        <f>'Grid_TheoreticalStock'!BN22</f>
        <v/>
      </c>
      <c r="BX47" s="18">
        <f>'Grid_TheoreticalStock'!BO22</f>
        <v/>
      </c>
      <c r="BY47" s="18">
        <f>'Grid_TheoreticalStock'!BP22</f>
        <v/>
      </c>
      <c r="BZ47" s="18">
        <f>'Grid_TheoreticalStock'!BQ22</f>
        <v/>
      </c>
      <c r="CA47" s="18">
        <f>'Grid_TheoreticalStock'!BR22</f>
        <v/>
      </c>
      <c r="CB47" s="18">
        <f>'Grid_TheoreticalStock'!BS22</f>
        <v/>
      </c>
      <c r="CC47" s="18">
        <f>'Grid_TheoreticalStock'!BT22</f>
        <v/>
      </c>
      <c r="CD47" s="18">
        <f>'Grid_TheoreticalStock'!BU22</f>
        <v/>
      </c>
      <c r="CE47" s="18">
        <f>'Grid_TheoreticalStock'!BV22</f>
        <v/>
      </c>
      <c r="CF47" s="18">
        <f>'Grid_TheoreticalStock'!BW22</f>
        <v/>
      </c>
      <c r="CG47" s="18">
        <f>'Grid_TheoreticalStock'!BX22</f>
        <v/>
      </c>
      <c r="CH47" s="18">
        <f>'Grid_TheoreticalStock'!BY22</f>
        <v/>
      </c>
      <c r="CI47" s="18">
        <f>'Grid_TheoreticalStock'!BZ22</f>
        <v/>
      </c>
      <c r="CJ47" s="18">
        <f>'Grid_TheoreticalStock'!CA22</f>
        <v/>
      </c>
      <c r="CK47" s="18">
        <f>'Grid_TheoreticalStock'!CB22</f>
        <v/>
      </c>
      <c r="CL47" s="18">
        <f>'Grid_TheoreticalStock'!CC22</f>
        <v/>
      </c>
      <c r="CM47" s="18">
        <f>'Grid_TheoreticalStock'!CD22</f>
        <v/>
      </c>
      <c r="CN47" s="18">
        <f>'Grid_TheoreticalStock'!CE22</f>
        <v/>
      </c>
      <c r="CO47" s="18">
        <f>'Grid_TheoreticalStock'!CF22</f>
        <v/>
      </c>
      <c r="CP47" s="18">
        <f>'Grid_TheoreticalStock'!CG22</f>
        <v/>
      </c>
      <c r="CQ47" s="18">
        <f>'Grid_TheoreticalStock'!CH22</f>
        <v/>
      </c>
      <c r="CR47" s="18">
        <f>'Grid_TheoreticalStock'!CI22</f>
        <v/>
      </c>
      <c r="CS47" s="18">
        <f>'Grid_TheoreticalStock'!CJ22</f>
        <v/>
      </c>
      <c r="CT47" s="18">
        <f>'Grid_TheoreticalStock'!CK22</f>
        <v/>
      </c>
      <c r="CU47" s="18">
        <f>'Grid_TheoreticalStock'!CL22</f>
        <v/>
      </c>
      <c r="CV47" s="18">
        <f>'Grid_TheoreticalStock'!CM22</f>
        <v/>
      </c>
      <c r="CW47" s="18">
        <f>'Grid_TheoreticalStock'!CN22</f>
        <v/>
      </c>
      <c r="CX47" s="18">
        <f>'Grid_TheoreticalStock'!CO22</f>
        <v/>
      </c>
      <c r="CY47" s="18">
        <f>'Grid_TheoreticalStock'!CP22</f>
        <v/>
      </c>
      <c r="CZ47" s="18">
        <f>'Grid_TheoreticalStock'!CQ22</f>
        <v/>
      </c>
      <c r="DA47" s="18">
        <f>'Grid_TheoreticalStock'!CR22</f>
        <v/>
      </c>
      <c r="DB47" s="18">
        <f>'Grid_TheoreticalStock'!CS22</f>
        <v/>
      </c>
      <c r="DC47" s="18">
        <f>'Grid_TheoreticalStock'!CT22</f>
        <v/>
      </c>
      <c r="DD47" s="18">
        <f>'Grid_TheoreticalStock'!CU22</f>
        <v/>
      </c>
      <c r="DE47" s="18">
        <f>'Grid_TheoreticalStock'!CV22</f>
        <v/>
      </c>
      <c r="DF47" s="18">
        <f>'Grid_TheoreticalStock'!CW22</f>
        <v/>
      </c>
      <c r="DG47" s="18">
        <f>'Grid_TheoreticalStock'!CX22</f>
        <v/>
      </c>
      <c r="DH47" s="18">
        <f>'Grid_TheoreticalStock'!CY22</f>
        <v/>
      </c>
      <c r="DI47" s="18">
        <f>'Grid_TheoreticalStock'!CZ22</f>
        <v/>
      </c>
      <c r="DJ47" s="18">
        <f>'Grid_TheoreticalStock'!DA22</f>
        <v/>
      </c>
    </row>
    <row r="48">
      <c r="A48" s="19" t="inlineStr">
        <is>
          <t>CHEM-1670</t>
        </is>
      </c>
      <c r="B48" s="19">
        <f>IFERROR(INDEX(M_RawMaterials[Description],MATCH($A48,M_RawMaterials[Part Name],0)),"")</f>
        <v/>
      </c>
      <c r="C48" s="19">
        <f>IFERROR(INDEX(M_RawMaterials[Category],MATCH($A48,M_RawMaterials[Part Name],0)),"")</f>
        <v/>
      </c>
      <c r="D48" s="19">
        <f>IFERROR(INDEX(M_RawMaterials[基準在庫下限_要入力],MATCH($A48,M_RawMaterials[Part Name],0)),0)</f>
        <v/>
      </c>
      <c r="E48" s="19">
        <f>IFERROR(INDEX(M_RawMaterials[基準在庫上限_要入力],MATCH($A48,M_RawMaterials[Part Name],0)),0)</f>
        <v/>
      </c>
      <c r="F48" s="19">
        <f>IFERROR(LOOKUP(2,1/('T_SelfStock'!$B$26:$DA$26&lt;&gt;""),'T_SelfStock'!$B$26:$DA$26),"")</f>
        <v/>
      </c>
      <c r="G48" s="19">
        <f>IFERROR(LOOKUP(2,1/('T_TTAFStock'!$B$26:$DA$26&lt;&gt;""),'T_TTAFStock'!$B$26:$DA$26),"")</f>
        <v/>
      </c>
      <c r="H48" s="19">
        <f>IFERROR(LOOKUP(2,1/('T_SelfStock'!$B$26:$DA$26&lt;&gt;""),'T_SelfStock'!$B$5:$DA$5),"")</f>
        <v/>
      </c>
      <c r="I48" s="20" t="inlineStr">
        <is>
          <t>実在庫</t>
        </is>
      </c>
      <c r="J48" s="19">
        <f>'Grid_Stock'!DA22-'Grid_TheoreticalStock'!DA22</f>
        <v/>
      </c>
      <c r="K48" s="19">
        <f>'Grid_Stock'!B22</f>
        <v/>
      </c>
      <c r="L48" s="19">
        <f>'Grid_Stock'!C22</f>
        <v/>
      </c>
      <c r="M48" s="19">
        <f>'Grid_Stock'!D22</f>
        <v/>
      </c>
      <c r="N48" s="19">
        <f>'Grid_Stock'!E22</f>
        <v/>
      </c>
      <c r="O48" s="19">
        <f>'Grid_Stock'!F22</f>
        <v/>
      </c>
      <c r="P48" s="19">
        <f>'Grid_Stock'!G22</f>
        <v/>
      </c>
      <c r="Q48" s="19">
        <f>'Grid_Stock'!H22</f>
        <v/>
      </c>
      <c r="R48" s="19">
        <f>'Grid_Stock'!I22</f>
        <v/>
      </c>
      <c r="S48" s="19">
        <f>'Grid_Stock'!J22</f>
        <v/>
      </c>
      <c r="T48" s="19">
        <f>'Grid_Stock'!K22</f>
        <v/>
      </c>
      <c r="U48" s="19">
        <f>'Grid_Stock'!L22</f>
        <v/>
      </c>
      <c r="V48" s="19">
        <f>'Grid_Stock'!M22</f>
        <v/>
      </c>
      <c r="W48" s="19">
        <f>'Grid_Stock'!N22</f>
        <v/>
      </c>
      <c r="X48" s="19">
        <f>'Grid_Stock'!O22</f>
        <v/>
      </c>
      <c r="Y48" s="19">
        <f>'Grid_Stock'!P22</f>
        <v/>
      </c>
      <c r="Z48" s="19">
        <f>'Grid_Stock'!Q22</f>
        <v/>
      </c>
      <c r="AA48" s="19">
        <f>'Grid_Stock'!R22</f>
        <v/>
      </c>
      <c r="AB48" s="19">
        <f>'Grid_Stock'!S22</f>
        <v/>
      </c>
      <c r="AC48" s="19">
        <f>'Grid_Stock'!T22</f>
        <v/>
      </c>
      <c r="AD48" s="19">
        <f>'Grid_Stock'!U22</f>
        <v/>
      </c>
      <c r="AE48" s="19">
        <f>'Grid_Stock'!V22</f>
        <v/>
      </c>
      <c r="AF48" s="19">
        <f>'Grid_Stock'!W22</f>
        <v/>
      </c>
      <c r="AG48" s="19">
        <f>'Grid_Stock'!X22</f>
        <v/>
      </c>
      <c r="AH48" s="19">
        <f>'Grid_Stock'!Y22</f>
        <v/>
      </c>
      <c r="AI48" s="19">
        <f>'Grid_Stock'!Z22</f>
        <v/>
      </c>
      <c r="AJ48" s="19">
        <f>'Grid_Stock'!AA22</f>
        <v/>
      </c>
      <c r="AK48" s="19">
        <f>'Grid_Stock'!AB22</f>
        <v/>
      </c>
      <c r="AL48" s="19">
        <f>'Grid_Stock'!AC22</f>
        <v/>
      </c>
      <c r="AM48" s="19">
        <f>'Grid_Stock'!AD22</f>
        <v/>
      </c>
      <c r="AN48" s="19">
        <f>'Grid_Stock'!AE22</f>
        <v/>
      </c>
      <c r="AO48" s="19">
        <f>'Grid_Stock'!AF22</f>
        <v/>
      </c>
      <c r="AP48" s="19">
        <f>'Grid_Stock'!AG22</f>
        <v/>
      </c>
      <c r="AQ48" s="19">
        <f>'Grid_Stock'!AH22</f>
        <v/>
      </c>
      <c r="AR48" s="19">
        <f>'Grid_Stock'!AI22</f>
        <v/>
      </c>
      <c r="AS48" s="19">
        <f>'Grid_Stock'!AJ22</f>
        <v/>
      </c>
      <c r="AT48" s="19">
        <f>'Grid_Stock'!AK22</f>
        <v/>
      </c>
      <c r="AU48" s="19">
        <f>'Grid_Stock'!AL22</f>
        <v/>
      </c>
      <c r="AV48" s="19">
        <f>'Grid_Stock'!AM22</f>
        <v/>
      </c>
      <c r="AW48" s="19">
        <f>'Grid_Stock'!AN22</f>
        <v/>
      </c>
      <c r="AX48" s="19">
        <f>'Grid_Stock'!AO22</f>
        <v/>
      </c>
      <c r="AY48" s="19">
        <f>'Grid_Stock'!AP22</f>
        <v/>
      </c>
      <c r="AZ48" s="19">
        <f>'Grid_Stock'!AQ22</f>
        <v/>
      </c>
      <c r="BA48" s="19">
        <f>'Grid_Stock'!AR22</f>
        <v/>
      </c>
      <c r="BB48" s="19">
        <f>'Grid_Stock'!AS22</f>
        <v/>
      </c>
      <c r="BC48" s="19">
        <f>'Grid_Stock'!AT22</f>
        <v/>
      </c>
      <c r="BD48" s="19">
        <f>'Grid_Stock'!AU22</f>
        <v/>
      </c>
      <c r="BE48" s="19">
        <f>'Grid_Stock'!AV22</f>
        <v/>
      </c>
      <c r="BF48" s="19">
        <f>'Grid_Stock'!AW22</f>
        <v/>
      </c>
      <c r="BG48" s="19">
        <f>'Grid_Stock'!AX22</f>
        <v/>
      </c>
      <c r="BH48" s="19">
        <f>'Grid_Stock'!AY22</f>
        <v/>
      </c>
      <c r="BI48" s="19">
        <f>'Grid_Stock'!AZ22</f>
        <v/>
      </c>
      <c r="BJ48" s="19">
        <f>'Grid_Stock'!BA22</f>
        <v/>
      </c>
      <c r="BK48" s="19">
        <f>'Grid_Stock'!BB22</f>
        <v/>
      </c>
      <c r="BL48" s="19">
        <f>'Grid_Stock'!BC22</f>
        <v/>
      </c>
      <c r="BM48" s="19">
        <f>'Grid_Stock'!BD22</f>
        <v/>
      </c>
      <c r="BN48" s="19">
        <f>'Grid_Stock'!BE22</f>
        <v/>
      </c>
      <c r="BO48" s="19">
        <f>'Grid_Stock'!BF22</f>
        <v/>
      </c>
      <c r="BP48" s="19">
        <f>'Grid_Stock'!BG22</f>
        <v/>
      </c>
      <c r="BQ48" s="19">
        <f>'Grid_Stock'!BH22</f>
        <v/>
      </c>
      <c r="BR48" s="19">
        <f>'Grid_Stock'!BI22</f>
        <v/>
      </c>
      <c r="BS48" s="19">
        <f>'Grid_Stock'!BJ22</f>
        <v/>
      </c>
      <c r="BT48" s="19">
        <f>'Grid_Stock'!BK22</f>
        <v/>
      </c>
      <c r="BU48" s="19">
        <f>'Grid_Stock'!BL22</f>
        <v/>
      </c>
      <c r="BV48" s="19">
        <f>'Grid_Stock'!BM22</f>
        <v/>
      </c>
      <c r="BW48" s="19">
        <f>'Grid_Stock'!BN22</f>
        <v/>
      </c>
      <c r="BX48" s="19">
        <f>'Grid_Stock'!BO22</f>
        <v/>
      </c>
      <c r="BY48" s="19">
        <f>'Grid_Stock'!BP22</f>
        <v/>
      </c>
      <c r="BZ48" s="19">
        <f>'Grid_Stock'!BQ22</f>
        <v/>
      </c>
      <c r="CA48" s="19">
        <f>'Grid_Stock'!BR22</f>
        <v/>
      </c>
      <c r="CB48" s="19">
        <f>'Grid_Stock'!BS22</f>
        <v/>
      </c>
      <c r="CC48" s="19">
        <f>'Grid_Stock'!BT22</f>
        <v/>
      </c>
      <c r="CD48" s="19">
        <f>'Grid_Stock'!BU22</f>
        <v/>
      </c>
      <c r="CE48" s="19">
        <f>'Grid_Stock'!BV22</f>
        <v/>
      </c>
      <c r="CF48" s="19">
        <f>'Grid_Stock'!BW22</f>
        <v/>
      </c>
      <c r="CG48" s="19">
        <f>'Grid_Stock'!BX22</f>
        <v/>
      </c>
      <c r="CH48" s="19">
        <f>'Grid_Stock'!BY22</f>
        <v/>
      </c>
      <c r="CI48" s="19">
        <f>'Grid_Stock'!BZ22</f>
        <v/>
      </c>
      <c r="CJ48" s="19">
        <f>'Grid_Stock'!CA22</f>
        <v/>
      </c>
      <c r="CK48" s="19">
        <f>'Grid_Stock'!CB22</f>
        <v/>
      </c>
      <c r="CL48" s="19">
        <f>'Grid_Stock'!CC22</f>
        <v/>
      </c>
      <c r="CM48" s="19">
        <f>'Grid_Stock'!CD22</f>
        <v/>
      </c>
      <c r="CN48" s="19">
        <f>'Grid_Stock'!CE22</f>
        <v/>
      </c>
      <c r="CO48" s="19">
        <f>'Grid_Stock'!CF22</f>
        <v/>
      </c>
      <c r="CP48" s="19">
        <f>'Grid_Stock'!CG22</f>
        <v/>
      </c>
      <c r="CQ48" s="19">
        <f>'Grid_Stock'!CH22</f>
        <v/>
      </c>
      <c r="CR48" s="19">
        <f>'Grid_Stock'!CI22</f>
        <v/>
      </c>
      <c r="CS48" s="19">
        <f>'Grid_Stock'!CJ22</f>
        <v/>
      </c>
      <c r="CT48" s="19">
        <f>'Grid_Stock'!CK22</f>
        <v/>
      </c>
      <c r="CU48" s="19">
        <f>'Grid_Stock'!CL22</f>
        <v/>
      </c>
      <c r="CV48" s="19">
        <f>'Grid_Stock'!CM22</f>
        <v/>
      </c>
      <c r="CW48" s="19">
        <f>'Grid_Stock'!CN22</f>
        <v/>
      </c>
      <c r="CX48" s="19">
        <f>'Grid_Stock'!CO22</f>
        <v/>
      </c>
      <c r="CY48" s="19">
        <f>'Grid_Stock'!CP22</f>
        <v/>
      </c>
      <c r="CZ48" s="19">
        <f>'Grid_Stock'!CQ22</f>
        <v/>
      </c>
      <c r="DA48" s="19">
        <f>'Grid_Stock'!CR22</f>
        <v/>
      </c>
      <c r="DB48" s="19">
        <f>'Grid_Stock'!CS22</f>
        <v/>
      </c>
      <c r="DC48" s="19">
        <f>'Grid_Stock'!CT22</f>
        <v/>
      </c>
      <c r="DD48" s="19">
        <f>'Grid_Stock'!CU22</f>
        <v/>
      </c>
      <c r="DE48" s="19">
        <f>'Grid_Stock'!CV22</f>
        <v/>
      </c>
      <c r="DF48" s="19">
        <f>'Grid_Stock'!CW22</f>
        <v/>
      </c>
      <c r="DG48" s="19">
        <f>'Grid_Stock'!CX22</f>
        <v/>
      </c>
      <c r="DH48" s="19">
        <f>'Grid_Stock'!CY22</f>
        <v/>
      </c>
      <c r="DI48" s="19">
        <f>'Grid_Stock'!CZ22</f>
        <v/>
      </c>
      <c r="DJ48" s="19">
        <f>'Grid_Stock'!DA22</f>
        <v/>
      </c>
    </row>
    <row r="49">
      <c r="A49" s="17" t="inlineStr">
        <is>
          <t>CHEM-1110</t>
        </is>
      </c>
      <c r="B49" s="17">
        <f>IFERROR(INDEX(M_RawMaterials[Description],MATCH($A49,M_RawMaterials[Part Name],0)),"")</f>
        <v/>
      </c>
      <c r="C49" s="17">
        <f>IFERROR(INDEX(M_RawMaterials[Category],MATCH($A49,M_RawMaterials[Part Name],0)),"")</f>
        <v/>
      </c>
      <c r="D49" s="17">
        <f>IFERROR(INDEX(M_RawMaterials[基準在庫下限_要入力],MATCH($A49,M_RawMaterials[Part Name],0)),0)</f>
        <v/>
      </c>
      <c r="E49" s="17">
        <f>IFERROR(INDEX(M_RawMaterials[基準在庫上限_要入力],MATCH($A49,M_RawMaterials[Part Name],0)),0)</f>
        <v/>
      </c>
      <c r="F49" s="17">
        <f>IFERROR(LOOKUP(2,1/('T_SelfStock'!$B$27:$DA$27&lt;&gt;""),'T_SelfStock'!$B$27:$DA$27),"")</f>
        <v/>
      </c>
      <c r="G49" s="17">
        <f>IFERROR(LOOKUP(2,1/('T_TTAFStock'!$B$27:$DA$27&lt;&gt;""),'T_TTAFStock'!$B$27:$DA$27),"")</f>
        <v/>
      </c>
      <c r="H49" s="17">
        <f>IFERROR(LOOKUP(2,1/('T_SelfStock'!$B$27:$DA$27&lt;&gt;""),'T_SelfStock'!$B$5:$DA$5),"")</f>
        <v/>
      </c>
      <c r="I49" s="18" t="inlineStr">
        <is>
          <t>理論在庫</t>
        </is>
      </c>
      <c r="J49" s="17">
        <f>'Grid_Stock'!DA23-'Grid_TheoreticalStock'!DA23</f>
        <v/>
      </c>
      <c r="K49" s="18">
        <f>'Grid_TheoreticalStock'!B23</f>
        <v/>
      </c>
      <c r="L49" s="18">
        <f>'Grid_TheoreticalStock'!C23</f>
        <v/>
      </c>
      <c r="M49" s="18">
        <f>'Grid_TheoreticalStock'!D23</f>
        <v/>
      </c>
      <c r="N49" s="18">
        <f>'Grid_TheoreticalStock'!E23</f>
        <v/>
      </c>
      <c r="O49" s="18">
        <f>'Grid_TheoreticalStock'!F23</f>
        <v/>
      </c>
      <c r="P49" s="18">
        <f>'Grid_TheoreticalStock'!G23</f>
        <v/>
      </c>
      <c r="Q49" s="18">
        <f>'Grid_TheoreticalStock'!H23</f>
        <v/>
      </c>
      <c r="R49" s="18">
        <f>'Grid_TheoreticalStock'!I23</f>
        <v/>
      </c>
      <c r="S49" s="18">
        <f>'Grid_TheoreticalStock'!J23</f>
        <v/>
      </c>
      <c r="T49" s="18">
        <f>'Grid_TheoreticalStock'!K23</f>
        <v/>
      </c>
      <c r="U49" s="18">
        <f>'Grid_TheoreticalStock'!L23</f>
        <v/>
      </c>
      <c r="V49" s="18">
        <f>'Grid_TheoreticalStock'!M23</f>
        <v/>
      </c>
      <c r="W49" s="18">
        <f>'Grid_TheoreticalStock'!N23</f>
        <v/>
      </c>
      <c r="X49" s="18">
        <f>'Grid_TheoreticalStock'!O23</f>
        <v/>
      </c>
      <c r="Y49" s="18">
        <f>'Grid_TheoreticalStock'!P23</f>
        <v/>
      </c>
      <c r="Z49" s="18">
        <f>'Grid_TheoreticalStock'!Q23</f>
        <v/>
      </c>
      <c r="AA49" s="18">
        <f>'Grid_TheoreticalStock'!R23</f>
        <v/>
      </c>
      <c r="AB49" s="18">
        <f>'Grid_TheoreticalStock'!S23</f>
        <v/>
      </c>
      <c r="AC49" s="18">
        <f>'Grid_TheoreticalStock'!T23</f>
        <v/>
      </c>
      <c r="AD49" s="18">
        <f>'Grid_TheoreticalStock'!U23</f>
        <v/>
      </c>
      <c r="AE49" s="18">
        <f>'Grid_TheoreticalStock'!V23</f>
        <v/>
      </c>
      <c r="AF49" s="18">
        <f>'Grid_TheoreticalStock'!W23</f>
        <v/>
      </c>
      <c r="AG49" s="18">
        <f>'Grid_TheoreticalStock'!X23</f>
        <v/>
      </c>
      <c r="AH49" s="18">
        <f>'Grid_TheoreticalStock'!Y23</f>
        <v/>
      </c>
      <c r="AI49" s="18">
        <f>'Grid_TheoreticalStock'!Z23</f>
        <v/>
      </c>
      <c r="AJ49" s="18">
        <f>'Grid_TheoreticalStock'!AA23</f>
        <v/>
      </c>
      <c r="AK49" s="18">
        <f>'Grid_TheoreticalStock'!AB23</f>
        <v/>
      </c>
      <c r="AL49" s="18">
        <f>'Grid_TheoreticalStock'!AC23</f>
        <v/>
      </c>
      <c r="AM49" s="18">
        <f>'Grid_TheoreticalStock'!AD23</f>
        <v/>
      </c>
      <c r="AN49" s="18">
        <f>'Grid_TheoreticalStock'!AE23</f>
        <v/>
      </c>
      <c r="AO49" s="18">
        <f>'Grid_TheoreticalStock'!AF23</f>
        <v/>
      </c>
      <c r="AP49" s="18">
        <f>'Grid_TheoreticalStock'!AG23</f>
        <v/>
      </c>
      <c r="AQ49" s="18">
        <f>'Grid_TheoreticalStock'!AH23</f>
        <v/>
      </c>
      <c r="AR49" s="18">
        <f>'Grid_TheoreticalStock'!AI23</f>
        <v/>
      </c>
      <c r="AS49" s="18">
        <f>'Grid_TheoreticalStock'!AJ23</f>
        <v/>
      </c>
      <c r="AT49" s="18">
        <f>'Grid_TheoreticalStock'!AK23</f>
        <v/>
      </c>
      <c r="AU49" s="18">
        <f>'Grid_TheoreticalStock'!AL23</f>
        <v/>
      </c>
      <c r="AV49" s="18">
        <f>'Grid_TheoreticalStock'!AM23</f>
        <v/>
      </c>
      <c r="AW49" s="18">
        <f>'Grid_TheoreticalStock'!AN23</f>
        <v/>
      </c>
      <c r="AX49" s="18">
        <f>'Grid_TheoreticalStock'!AO23</f>
        <v/>
      </c>
      <c r="AY49" s="18">
        <f>'Grid_TheoreticalStock'!AP23</f>
        <v/>
      </c>
      <c r="AZ49" s="18">
        <f>'Grid_TheoreticalStock'!AQ23</f>
        <v/>
      </c>
      <c r="BA49" s="18">
        <f>'Grid_TheoreticalStock'!AR23</f>
        <v/>
      </c>
      <c r="BB49" s="18">
        <f>'Grid_TheoreticalStock'!AS23</f>
        <v/>
      </c>
      <c r="BC49" s="18">
        <f>'Grid_TheoreticalStock'!AT23</f>
        <v/>
      </c>
      <c r="BD49" s="18">
        <f>'Grid_TheoreticalStock'!AU23</f>
        <v/>
      </c>
      <c r="BE49" s="18">
        <f>'Grid_TheoreticalStock'!AV23</f>
        <v/>
      </c>
      <c r="BF49" s="18">
        <f>'Grid_TheoreticalStock'!AW23</f>
        <v/>
      </c>
      <c r="BG49" s="18">
        <f>'Grid_TheoreticalStock'!AX23</f>
        <v/>
      </c>
      <c r="BH49" s="18">
        <f>'Grid_TheoreticalStock'!AY23</f>
        <v/>
      </c>
      <c r="BI49" s="18">
        <f>'Grid_TheoreticalStock'!AZ23</f>
        <v/>
      </c>
      <c r="BJ49" s="18">
        <f>'Grid_TheoreticalStock'!BA23</f>
        <v/>
      </c>
      <c r="BK49" s="18">
        <f>'Grid_TheoreticalStock'!BB23</f>
        <v/>
      </c>
      <c r="BL49" s="18">
        <f>'Grid_TheoreticalStock'!BC23</f>
        <v/>
      </c>
      <c r="BM49" s="18">
        <f>'Grid_TheoreticalStock'!BD23</f>
        <v/>
      </c>
      <c r="BN49" s="18">
        <f>'Grid_TheoreticalStock'!BE23</f>
        <v/>
      </c>
      <c r="BO49" s="18">
        <f>'Grid_TheoreticalStock'!BF23</f>
        <v/>
      </c>
      <c r="BP49" s="18">
        <f>'Grid_TheoreticalStock'!BG23</f>
        <v/>
      </c>
      <c r="BQ49" s="18">
        <f>'Grid_TheoreticalStock'!BH23</f>
        <v/>
      </c>
      <c r="BR49" s="18">
        <f>'Grid_TheoreticalStock'!BI23</f>
        <v/>
      </c>
      <c r="BS49" s="18">
        <f>'Grid_TheoreticalStock'!BJ23</f>
        <v/>
      </c>
      <c r="BT49" s="18">
        <f>'Grid_TheoreticalStock'!BK23</f>
        <v/>
      </c>
      <c r="BU49" s="18">
        <f>'Grid_TheoreticalStock'!BL23</f>
        <v/>
      </c>
      <c r="BV49" s="18">
        <f>'Grid_TheoreticalStock'!BM23</f>
        <v/>
      </c>
      <c r="BW49" s="18">
        <f>'Grid_TheoreticalStock'!BN23</f>
        <v/>
      </c>
      <c r="BX49" s="18">
        <f>'Grid_TheoreticalStock'!BO23</f>
        <v/>
      </c>
      <c r="BY49" s="18">
        <f>'Grid_TheoreticalStock'!BP23</f>
        <v/>
      </c>
      <c r="BZ49" s="18">
        <f>'Grid_TheoreticalStock'!BQ23</f>
        <v/>
      </c>
      <c r="CA49" s="18">
        <f>'Grid_TheoreticalStock'!BR23</f>
        <v/>
      </c>
      <c r="CB49" s="18">
        <f>'Grid_TheoreticalStock'!BS23</f>
        <v/>
      </c>
      <c r="CC49" s="18">
        <f>'Grid_TheoreticalStock'!BT23</f>
        <v/>
      </c>
      <c r="CD49" s="18">
        <f>'Grid_TheoreticalStock'!BU23</f>
        <v/>
      </c>
      <c r="CE49" s="18">
        <f>'Grid_TheoreticalStock'!BV23</f>
        <v/>
      </c>
      <c r="CF49" s="18">
        <f>'Grid_TheoreticalStock'!BW23</f>
        <v/>
      </c>
      <c r="CG49" s="18">
        <f>'Grid_TheoreticalStock'!BX23</f>
        <v/>
      </c>
      <c r="CH49" s="18">
        <f>'Grid_TheoreticalStock'!BY23</f>
        <v/>
      </c>
      <c r="CI49" s="18">
        <f>'Grid_TheoreticalStock'!BZ23</f>
        <v/>
      </c>
      <c r="CJ49" s="18">
        <f>'Grid_TheoreticalStock'!CA23</f>
        <v/>
      </c>
      <c r="CK49" s="18">
        <f>'Grid_TheoreticalStock'!CB23</f>
        <v/>
      </c>
      <c r="CL49" s="18">
        <f>'Grid_TheoreticalStock'!CC23</f>
        <v/>
      </c>
      <c r="CM49" s="18">
        <f>'Grid_TheoreticalStock'!CD23</f>
        <v/>
      </c>
      <c r="CN49" s="18">
        <f>'Grid_TheoreticalStock'!CE23</f>
        <v/>
      </c>
      <c r="CO49" s="18">
        <f>'Grid_TheoreticalStock'!CF23</f>
        <v/>
      </c>
      <c r="CP49" s="18">
        <f>'Grid_TheoreticalStock'!CG23</f>
        <v/>
      </c>
      <c r="CQ49" s="18">
        <f>'Grid_TheoreticalStock'!CH23</f>
        <v/>
      </c>
      <c r="CR49" s="18">
        <f>'Grid_TheoreticalStock'!CI23</f>
        <v/>
      </c>
      <c r="CS49" s="18">
        <f>'Grid_TheoreticalStock'!CJ23</f>
        <v/>
      </c>
      <c r="CT49" s="18">
        <f>'Grid_TheoreticalStock'!CK23</f>
        <v/>
      </c>
      <c r="CU49" s="18">
        <f>'Grid_TheoreticalStock'!CL23</f>
        <v/>
      </c>
      <c r="CV49" s="18">
        <f>'Grid_TheoreticalStock'!CM23</f>
        <v/>
      </c>
      <c r="CW49" s="18">
        <f>'Grid_TheoreticalStock'!CN23</f>
        <v/>
      </c>
      <c r="CX49" s="18">
        <f>'Grid_TheoreticalStock'!CO23</f>
        <v/>
      </c>
      <c r="CY49" s="18">
        <f>'Grid_TheoreticalStock'!CP23</f>
        <v/>
      </c>
      <c r="CZ49" s="18">
        <f>'Grid_TheoreticalStock'!CQ23</f>
        <v/>
      </c>
      <c r="DA49" s="18">
        <f>'Grid_TheoreticalStock'!CR23</f>
        <v/>
      </c>
      <c r="DB49" s="18">
        <f>'Grid_TheoreticalStock'!CS23</f>
        <v/>
      </c>
      <c r="DC49" s="18">
        <f>'Grid_TheoreticalStock'!CT23</f>
        <v/>
      </c>
      <c r="DD49" s="18">
        <f>'Grid_TheoreticalStock'!CU23</f>
        <v/>
      </c>
      <c r="DE49" s="18">
        <f>'Grid_TheoreticalStock'!CV23</f>
        <v/>
      </c>
      <c r="DF49" s="18">
        <f>'Grid_TheoreticalStock'!CW23</f>
        <v/>
      </c>
      <c r="DG49" s="18">
        <f>'Grid_TheoreticalStock'!CX23</f>
        <v/>
      </c>
      <c r="DH49" s="18">
        <f>'Grid_TheoreticalStock'!CY23</f>
        <v/>
      </c>
      <c r="DI49" s="18">
        <f>'Grid_TheoreticalStock'!CZ23</f>
        <v/>
      </c>
      <c r="DJ49" s="18">
        <f>'Grid_TheoreticalStock'!DA23</f>
        <v/>
      </c>
    </row>
    <row r="50">
      <c r="A50" s="19" t="inlineStr">
        <is>
          <t>CHEM-1110</t>
        </is>
      </c>
      <c r="B50" s="19">
        <f>IFERROR(INDEX(M_RawMaterials[Description],MATCH($A50,M_RawMaterials[Part Name],0)),"")</f>
        <v/>
      </c>
      <c r="C50" s="19">
        <f>IFERROR(INDEX(M_RawMaterials[Category],MATCH($A50,M_RawMaterials[Part Name],0)),"")</f>
        <v/>
      </c>
      <c r="D50" s="19">
        <f>IFERROR(INDEX(M_RawMaterials[基準在庫下限_要入力],MATCH($A50,M_RawMaterials[Part Name],0)),0)</f>
        <v/>
      </c>
      <c r="E50" s="19">
        <f>IFERROR(INDEX(M_RawMaterials[基準在庫上限_要入力],MATCH($A50,M_RawMaterials[Part Name],0)),0)</f>
        <v/>
      </c>
      <c r="F50" s="19">
        <f>IFERROR(LOOKUP(2,1/('T_SelfStock'!$B$27:$DA$27&lt;&gt;""),'T_SelfStock'!$B$27:$DA$27),"")</f>
        <v/>
      </c>
      <c r="G50" s="19">
        <f>IFERROR(LOOKUP(2,1/('T_TTAFStock'!$B$27:$DA$27&lt;&gt;""),'T_TTAFStock'!$B$27:$DA$27),"")</f>
        <v/>
      </c>
      <c r="H50" s="19">
        <f>IFERROR(LOOKUP(2,1/('T_SelfStock'!$B$27:$DA$27&lt;&gt;""),'T_SelfStock'!$B$5:$DA$5),"")</f>
        <v/>
      </c>
      <c r="I50" s="20" t="inlineStr">
        <is>
          <t>実在庫</t>
        </is>
      </c>
      <c r="J50" s="19">
        <f>'Grid_Stock'!DA23-'Grid_TheoreticalStock'!DA23</f>
        <v/>
      </c>
      <c r="K50" s="19">
        <f>'Grid_Stock'!B23</f>
        <v/>
      </c>
      <c r="L50" s="19">
        <f>'Grid_Stock'!C23</f>
        <v/>
      </c>
      <c r="M50" s="19">
        <f>'Grid_Stock'!D23</f>
        <v/>
      </c>
      <c r="N50" s="19">
        <f>'Grid_Stock'!E23</f>
        <v/>
      </c>
      <c r="O50" s="19">
        <f>'Grid_Stock'!F23</f>
        <v/>
      </c>
      <c r="P50" s="19">
        <f>'Grid_Stock'!G23</f>
        <v/>
      </c>
      <c r="Q50" s="19">
        <f>'Grid_Stock'!H23</f>
        <v/>
      </c>
      <c r="R50" s="19">
        <f>'Grid_Stock'!I23</f>
        <v/>
      </c>
      <c r="S50" s="19">
        <f>'Grid_Stock'!J23</f>
        <v/>
      </c>
      <c r="T50" s="19">
        <f>'Grid_Stock'!K23</f>
        <v/>
      </c>
      <c r="U50" s="19">
        <f>'Grid_Stock'!L23</f>
        <v/>
      </c>
      <c r="V50" s="19">
        <f>'Grid_Stock'!M23</f>
        <v/>
      </c>
      <c r="W50" s="19">
        <f>'Grid_Stock'!N23</f>
        <v/>
      </c>
      <c r="X50" s="19">
        <f>'Grid_Stock'!O23</f>
        <v/>
      </c>
      <c r="Y50" s="19">
        <f>'Grid_Stock'!P23</f>
        <v/>
      </c>
      <c r="Z50" s="19">
        <f>'Grid_Stock'!Q23</f>
        <v/>
      </c>
      <c r="AA50" s="19">
        <f>'Grid_Stock'!R23</f>
        <v/>
      </c>
      <c r="AB50" s="19">
        <f>'Grid_Stock'!S23</f>
        <v/>
      </c>
      <c r="AC50" s="19">
        <f>'Grid_Stock'!T23</f>
        <v/>
      </c>
      <c r="AD50" s="19">
        <f>'Grid_Stock'!U23</f>
        <v/>
      </c>
      <c r="AE50" s="19">
        <f>'Grid_Stock'!V23</f>
        <v/>
      </c>
      <c r="AF50" s="19">
        <f>'Grid_Stock'!W23</f>
        <v/>
      </c>
      <c r="AG50" s="19">
        <f>'Grid_Stock'!X23</f>
        <v/>
      </c>
      <c r="AH50" s="19">
        <f>'Grid_Stock'!Y23</f>
        <v/>
      </c>
      <c r="AI50" s="19">
        <f>'Grid_Stock'!Z23</f>
        <v/>
      </c>
      <c r="AJ50" s="19">
        <f>'Grid_Stock'!AA23</f>
        <v/>
      </c>
      <c r="AK50" s="19">
        <f>'Grid_Stock'!AB23</f>
        <v/>
      </c>
      <c r="AL50" s="19">
        <f>'Grid_Stock'!AC23</f>
        <v/>
      </c>
      <c r="AM50" s="19">
        <f>'Grid_Stock'!AD23</f>
        <v/>
      </c>
      <c r="AN50" s="19">
        <f>'Grid_Stock'!AE23</f>
        <v/>
      </c>
      <c r="AO50" s="19">
        <f>'Grid_Stock'!AF23</f>
        <v/>
      </c>
      <c r="AP50" s="19">
        <f>'Grid_Stock'!AG23</f>
        <v/>
      </c>
      <c r="AQ50" s="19">
        <f>'Grid_Stock'!AH23</f>
        <v/>
      </c>
      <c r="AR50" s="19">
        <f>'Grid_Stock'!AI23</f>
        <v/>
      </c>
      <c r="AS50" s="19">
        <f>'Grid_Stock'!AJ23</f>
        <v/>
      </c>
      <c r="AT50" s="19">
        <f>'Grid_Stock'!AK23</f>
        <v/>
      </c>
      <c r="AU50" s="19">
        <f>'Grid_Stock'!AL23</f>
        <v/>
      </c>
      <c r="AV50" s="19">
        <f>'Grid_Stock'!AM23</f>
        <v/>
      </c>
      <c r="AW50" s="19">
        <f>'Grid_Stock'!AN23</f>
        <v/>
      </c>
      <c r="AX50" s="19">
        <f>'Grid_Stock'!AO23</f>
        <v/>
      </c>
      <c r="AY50" s="19">
        <f>'Grid_Stock'!AP23</f>
        <v/>
      </c>
      <c r="AZ50" s="19">
        <f>'Grid_Stock'!AQ23</f>
        <v/>
      </c>
      <c r="BA50" s="19">
        <f>'Grid_Stock'!AR23</f>
        <v/>
      </c>
      <c r="BB50" s="19">
        <f>'Grid_Stock'!AS23</f>
        <v/>
      </c>
      <c r="BC50" s="19">
        <f>'Grid_Stock'!AT23</f>
        <v/>
      </c>
      <c r="BD50" s="19">
        <f>'Grid_Stock'!AU23</f>
        <v/>
      </c>
      <c r="BE50" s="19">
        <f>'Grid_Stock'!AV23</f>
        <v/>
      </c>
      <c r="BF50" s="19">
        <f>'Grid_Stock'!AW23</f>
        <v/>
      </c>
      <c r="BG50" s="19">
        <f>'Grid_Stock'!AX23</f>
        <v/>
      </c>
      <c r="BH50" s="19">
        <f>'Grid_Stock'!AY23</f>
        <v/>
      </c>
      <c r="BI50" s="19">
        <f>'Grid_Stock'!AZ23</f>
        <v/>
      </c>
      <c r="BJ50" s="19">
        <f>'Grid_Stock'!BA23</f>
        <v/>
      </c>
      <c r="BK50" s="19">
        <f>'Grid_Stock'!BB23</f>
        <v/>
      </c>
      <c r="BL50" s="19">
        <f>'Grid_Stock'!BC23</f>
        <v/>
      </c>
      <c r="BM50" s="19">
        <f>'Grid_Stock'!BD23</f>
        <v/>
      </c>
      <c r="BN50" s="19">
        <f>'Grid_Stock'!BE23</f>
        <v/>
      </c>
      <c r="BO50" s="19">
        <f>'Grid_Stock'!BF23</f>
        <v/>
      </c>
      <c r="BP50" s="19">
        <f>'Grid_Stock'!BG23</f>
        <v/>
      </c>
      <c r="BQ50" s="19">
        <f>'Grid_Stock'!BH23</f>
        <v/>
      </c>
      <c r="BR50" s="19">
        <f>'Grid_Stock'!BI23</f>
        <v/>
      </c>
      <c r="BS50" s="19">
        <f>'Grid_Stock'!BJ23</f>
        <v/>
      </c>
      <c r="BT50" s="19">
        <f>'Grid_Stock'!BK23</f>
        <v/>
      </c>
      <c r="BU50" s="19">
        <f>'Grid_Stock'!BL23</f>
        <v/>
      </c>
      <c r="BV50" s="19">
        <f>'Grid_Stock'!BM23</f>
        <v/>
      </c>
      <c r="BW50" s="19">
        <f>'Grid_Stock'!BN23</f>
        <v/>
      </c>
      <c r="BX50" s="19">
        <f>'Grid_Stock'!BO23</f>
        <v/>
      </c>
      <c r="BY50" s="19">
        <f>'Grid_Stock'!BP23</f>
        <v/>
      </c>
      <c r="BZ50" s="19">
        <f>'Grid_Stock'!BQ23</f>
        <v/>
      </c>
      <c r="CA50" s="19">
        <f>'Grid_Stock'!BR23</f>
        <v/>
      </c>
      <c r="CB50" s="19">
        <f>'Grid_Stock'!BS23</f>
        <v/>
      </c>
      <c r="CC50" s="19">
        <f>'Grid_Stock'!BT23</f>
        <v/>
      </c>
      <c r="CD50" s="19">
        <f>'Grid_Stock'!BU23</f>
        <v/>
      </c>
      <c r="CE50" s="19">
        <f>'Grid_Stock'!BV23</f>
        <v/>
      </c>
      <c r="CF50" s="19">
        <f>'Grid_Stock'!BW23</f>
        <v/>
      </c>
      <c r="CG50" s="19">
        <f>'Grid_Stock'!BX23</f>
        <v/>
      </c>
      <c r="CH50" s="19">
        <f>'Grid_Stock'!BY23</f>
        <v/>
      </c>
      <c r="CI50" s="19">
        <f>'Grid_Stock'!BZ23</f>
        <v/>
      </c>
      <c r="CJ50" s="19">
        <f>'Grid_Stock'!CA23</f>
        <v/>
      </c>
      <c r="CK50" s="19">
        <f>'Grid_Stock'!CB23</f>
        <v/>
      </c>
      <c r="CL50" s="19">
        <f>'Grid_Stock'!CC23</f>
        <v/>
      </c>
      <c r="CM50" s="19">
        <f>'Grid_Stock'!CD23</f>
        <v/>
      </c>
      <c r="CN50" s="19">
        <f>'Grid_Stock'!CE23</f>
        <v/>
      </c>
      <c r="CO50" s="19">
        <f>'Grid_Stock'!CF23</f>
        <v/>
      </c>
      <c r="CP50" s="19">
        <f>'Grid_Stock'!CG23</f>
        <v/>
      </c>
      <c r="CQ50" s="19">
        <f>'Grid_Stock'!CH23</f>
        <v/>
      </c>
      <c r="CR50" s="19">
        <f>'Grid_Stock'!CI23</f>
        <v/>
      </c>
      <c r="CS50" s="19">
        <f>'Grid_Stock'!CJ23</f>
        <v/>
      </c>
      <c r="CT50" s="19">
        <f>'Grid_Stock'!CK23</f>
        <v/>
      </c>
      <c r="CU50" s="19">
        <f>'Grid_Stock'!CL23</f>
        <v/>
      </c>
      <c r="CV50" s="19">
        <f>'Grid_Stock'!CM23</f>
        <v/>
      </c>
      <c r="CW50" s="19">
        <f>'Grid_Stock'!CN23</f>
        <v/>
      </c>
      <c r="CX50" s="19">
        <f>'Grid_Stock'!CO23</f>
        <v/>
      </c>
      <c r="CY50" s="19">
        <f>'Grid_Stock'!CP23</f>
        <v/>
      </c>
      <c r="CZ50" s="19">
        <f>'Grid_Stock'!CQ23</f>
        <v/>
      </c>
      <c r="DA50" s="19">
        <f>'Grid_Stock'!CR23</f>
        <v/>
      </c>
      <c r="DB50" s="19">
        <f>'Grid_Stock'!CS23</f>
        <v/>
      </c>
      <c r="DC50" s="19">
        <f>'Grid_Stock'!CT23</f>
        <v/>
      </c>
      <c r="DD50" s="19">
        <f>'Grid_Stock'!CU23</f>
        <v/>
      </c>
      <c r="DE50" s="19">
        <f>'Grid_Stock'!CV23</f>
        <v/>
      </c>
      <c r="DF50" s="19">
        <f>'Grid_Stock'!CW23</f>
        <v/>
      </c>
      <c r="DG50" s="19">
        <f>'Grid_Stock'!CX23</f>
        <v/>
      </c>
      <c r="DH50" s="19">
        <f>'Grid_Stock'!CY23</f>
        <v/>
      </c>
      <c r="DI50" s="19">
        <f>'Grid_Stock'!CZ23</f>
        <v/>
      </c>
      <c r="DJ50" s="19">
        <f>'Grid_Stock'!DA23</f>
        <v/>
      </c>
    </row>
    <row r="51">
      <c r="A51" s="17" t="inlineStr">
        <is>
          <t>CHEM-1240</t>
        </is>
      </c>
      <c r="B51" s="17">
        <f>IFERROR(INDEX(M_RawMaterials[Description],MATCH($A51,M_RawMaterials[Part Name],0)),"")</f>
        <v/>
      </c>
      <c r="C51" s="17">
        <f>IFERROR(INDEX(M_RawMaterials[Category],MATCH($A51,M_RawMaterials[Part Name],0)),"")</f>
        <v/>
      </c>
      <c r="D51" s="17">
        <f>IFERROR(INDEX(M_RawMaterials[基準在庫下限_要入力],MATCH($A51,M_RawMaterials[Part Name],0)),0)</f>
        <v/>
      </c>
      <c r="E51" s="17">
        <f>IFERROR(INDEX(M_RawMaterials[基準在庫上限_要入力],MATCH($A51,M_RawMaterials[Part Name],0)),0)</f>
        <v/>
      </c>
      <c r="F51" s="17">
        <f>IFERROR(LOOKUP(2,1/('T_SelfStock'!$B$28:$DA$28&lt;&gt;""),'T_SelfStock'!$B$28:$DA$28),"")</f>
        <v/>
      </c>
      <c r="G51" s="17">
        <f>IFERROR(LOOKUP(2,1/('T_TTAFStock'!$B$28:$DA$28&lt;&gt;""),'T_TTAFStock'!$B$28:$DA$28),"")</f>
        <v/>
      </c>
      <c r="H51" s="17">
        <f>IFERROR(LOOKUP(2,1/('T_SelfStock'!$B$28:$DA$28&lt;&gt;""),'T_SelfStock'!$B$5:$DA$5),"")</f>
        <v/>
      </c>
      <c r="I51" s="18" t="inlineStr">
        <is>
          <t>理論在庫</t>
        </is>
      </c>
      <c r="J51" s="17">
        <f>'Grid_Stock'!DA24-'Grid_TheoreticalStock'!DA24</f>
        <v/>
      </c>
      <c r="K51" s="18">
        <f>'Grid_TheoreticalStock'!B24</f>
        <v/>
      </c>
      <c r="L51" s="18">
        <f>'Grid_TheoreticalStock'!C24</f>
        <v/>
      </c>
      <c r="M51" s="18">
        <f>'Grid_TheoreticalStock'!D24</f>
        <v/>
      </c>
      <c r="N51" s="18">
        <f>'Grid_TheoreticalStock'!E24</f>
        <v/>
      </c>
      <c r="O51" s="18">
        <f>'Grid_TheoreticalStock'!F24</f>
        <v/>
      </c>
      <c r="P51" s="18">
        <f>'Grid_TheoreticalStock'!G24</f>
        <v/>
      </c>
      <c r="Q51" s="18">
        <f>'Grid_TheoreticalStock'!H24</f>
        <v/>
      </c>
      <c r="R51" s="18">
        <f>'Grid_TheoreticalStock'!I24</f>
        <v/>
      </c>
      <c r="S51" s="18">
        <f>'Grid_TheoreticalStock'!J24</f>
        <v/>
      </c>
      <c r="T51" s="18">
        <f>'Grid_TheoreticalStock'!K24</f>
        <v/>
      </c>
      <c r="U51" s="18">
        <f>'Grid_TheoreticalStock'!L24</f>
        <v/>
      </c>
      <c r="V51" s="18">
        <f>'Grid_TheoreticalStock'!M24</f>
        <v/>
      </c>
      <c r="W51" s="18">
        <f>'Grid_TheoreticalStock'!N24</f>
        <v/>
      </c>
      <c r="X51" s="18">
        <f>'Grid_TheoreticalStock'!O24</f>
        <v/>
      </c>
      <c r="Y51" s="18">
        <f>'Grid_TheoreticalStock'!P24</f>
        <v/>
      </c>
      <c r="Z51" s="18">
        <f>'Grid_TheoreticalStock'!Q24</f>
        <v/>
      </c>
      <c r="AA51" s="18">
        <f>'Grid_TheoreticalStock'!R24</f>
        <v/>
      </c>
      <c r="AB51" s="18">
        <f>'Grid_TheoreticalStock'!S24</f>
        <v/>
      </c>
      <c r="AC51" s="18">
        <f>'Grid_TheoreticalStock'!T24</f>
        <v/>
      </c>
      <c r="AD51" s="18">
        <f>'Grid_TheoreticalStock'!U24</f>
        <v/>
      </c>
      <c r="AE51" s="18">
        <f>'Grid_TheoreticalStock'!V24</f>
        <v/>
      </c>
      <c r="AF51" s="18">
        <f>'Grid_TheoreticalStock'!W24</f>
        <v/>
      </c>
      <c r="AG51" s="18">
        <f>'Grid_TheoreticalStock'!X24</f>
        <v/>
      </c>
      <c r="AH51" s="18">
        <f>'Grid_TheoreticalStock'!Y24</f>
        <v/>
      </c>
      <c r="AI51" s="18">
        <f>'Grid_TheoreticalStock'!Z24</f>
        <v/>
      </c>
      <c r="AJ51" s="18">
        <f>'Grid_TheoreticalStock'!AA24</f>
        <v/>
      </c>
      <c r="AK51" s="18">
        <f>'Grid_TheoreticalStock'!AB24</f>
        <v/>
      </c>
      <c r="AL51" s="18">
        <f>'Grid_TheoreticalStock'!AC24</f>
        <v/>
      </c>
      <c r="AM51" s="18">
        <f>'Grid_TheoreticalStock'!AD24</f>
        <v/>
      </c>
      <c r="AN51" s="18">
        <f>'Grid_TheoreticalStock'!AE24</f>
        <v/>
      </c>
      <c r="AO51" s="18">
        <f>'Grid_TheoreticalStock'!AF24</f>
        <v/>
      </c>
      <c r="AP51" s="18">
        <f>'Grid_TheoreticalStock'!AG24</f>
        <v/>
      </c>
      <c r="AQ51" s="18">
        <f>'Grid_TheoreticalStock'!AH24</f>
        <v/>
      </c>
      <c r="AR51" s="18">
        <f>'Grid_TheoreticalStock'!AI24</f>
        <v/>
      </c>
      <c r="AS51" s="18">
        <f>'Grid_TheoreticalStock'!AJ24</f>
        <v/>
      </c>
      <c r="AT51" s="18">
        <f>'Grid_TheoreticalStock'!AK24</f>
        <v/>
      </c>
      <c r="AU51" s="18">
        <f>'Grid_TheoreticalStock'!AL24</f>
        <v/>
      </c>
      <c r="AV51" s="18">
        <f>'Grid_TheoreticalStock'!AM24</f>
        <v/>
      </c>
      <c r="AW51" s="18">
        <f>'Grid_TheoreticalStock'!AN24</f>
        <v/>
      </c>
      <c r="AX51" s="18">
        <f>'Grid_TheoreticalStock'!AO24</f>
        <v/>
      </c>
      <c r="AY51" s="18">
        <f>'Grid_TheoreticalStock'!AP24</f>
        <v/>
      </c>
      <c r="AZ51" s="18">
        <f>'Grid_TheoreticalStock'!AQ24</f>
        <v/>
      </c>
      <c r="BA51" s="18">
        <f>'Grid_TheoreticalStock'!AR24</f>
        <v/>
      </c>
      <c r="BB51" s="18">
        <f>'Grid_TheoreticalStock'!AS24</f>
        <v/>
      </c>
      <c r="BC51" s="18">
        <f>'Grid_TheoreticalStock'!AT24</f>
        <v/>
      </c>
      <c r="BD51" s="18">
        <f>'Grid_TheoreticalStock'!AU24</f>
        <v/>
      </c>
      <c r="BE51" s="18">
        <f>'Grid_TheoreticalStock'!AV24</f>
        <v/>
      </c>
      <c r="BF51" s="18">
        <f>'Grid_TheoreticalStock'!AW24</f>
        <v/>
      </c>
      <c r="BG51" s="18">
        <f>'Grid_TheoreticalStock'!AX24</f>
        <v/>
      </c>
      <c r="BH51" s="18">
        <f>'Grid_TheoreticalStock'!AY24</f>
        <v/>
      </c>
      <c r="BI51" s="18">
        <f>'Grid_TheoreticalStock'!AZ24</f>
        <v/>
      </c>
      <c r="BJ51" s="18">
        <f>'Grid_TheoreticalStock'!BA24</f>
        <v/>
      </c>
      <c r="BK51" s="18">
        <f>'Grid_TheoreticalStock'!BB24</f>
        <v/>
      </c>
      <c r="BL51" s="18">
        <f>'Grid_TheoreticalStock'!BC24</f>
        <v/>
      </c>
      <c r="BM51" s="18">
        <f>'Grid_TheoreticalStock'!BD24</f>
        <v/>
      </c>
      <c r="BN51" s="18">
        <f>'Grid_TheoreticalStock'!BE24</f>
        <v/>
      </c>
      <c r="BO51" s="18">
        <f>'Grid_TheoreticalStock'!BF24</f>
        <v/>
      </c>
      <c r="BP51" s="18">
        <f>'Grid_TheoreticalStock'!BG24</f>
        <v/>
      </c>
      <c r="BQ51" s="18">
        <f>'Grid_TheoreticalStock'!BH24</f>
        <v/>
      </c>
      <c r="BR51" s="18">
        <f>'Grid_TheoreticalStock'!BI24</f>
        <v/>
      </c>
      <c r="BS51" s="18">
        <f>'Grid_TheoreticalStock'!BJ24</f>
        <v/>
      </c>
      <c r="BT51" s="18">
        <f>'Grid_TheoreticalStock'!BK24</f>
        <v/>
      </c>
      <c r="BU51" s="18">
        <f>'Grid_TheoreticalStock'!BL24</f>
        <v/>
      </c>
      <c r="BV51" s="18">
        <f>'Grid_TheoreticalStock'!BM24</f>
        <v/>
      </c>
      <c r="BW51" s="18">
        <f>'Grid_TheoreticalStock'!BN24</f>
        <v/>
      </c>
      <c r="BX51" s="18">
        <f>'Grid_TheoreticalStock'!BO24</f>
        <v/>
      </c>
      <c r="BY51" s="18">
        <f>'Grid_TheoreticalStock'!BP24</f>
        <v/>
      </c>
      <c r="BZ51" s="18">
        <f>'Grid_TheoreticalStock'!BQ24</f>
        <v/>
      </c>
      <c r="CA51" s="18">
        <f>'Grid_TheoreticalStock'!BR24</f>
        <v/>
      </c>
      <c r="CB51" s="18">
        <f>'Grid_TheoreticalStock'!BS24</f>
        <v/>
      </c>
      <c r="CC51" s="18">
        <f>'Grid_TheoreticalStock'!BT24</f>
        <v/>
      </c>
      <c r="CD51" s="18">
        <f>'Grid_TheoreticalStock'!BU24</f>
        <v/>
      </c>
      <c r="CE51" s="18">
        <f>'Grid_TheoreticalStock'!BV24</f>
        <v/>
      </c>
      <c r="CF51" s="18">
        <f>'Grid_TheoreticalStock'!BW24</f>
        <v/>
      </c>
      <c r="CG51" s="18">
        <f>'Grid_TheoreticalStock'!BX24</f>
        <v/>
      </c>
      <c r="CH51" s="18">
        <f>'Grid_TheoreticalStock'!BY24</f>
        <v/>
      </c>
      <c r="CI51" s="18">
        <f>'Grid_TheoreticalStock'!BZ24</f>
        <v/>
      </c>
      <c r="CJ51" s="18">
        <f>'Grid_TheoreticalStock'!CA24</f>
        <v/>
      </c>
      <c r="CK51" s="18">
        <f>'Grid_TheoreticalStock'!CB24</f>
        <v/>
      </c>
      <c r="CL51" s="18">
        <f>'Grid_TheoreticalStock'!CC24</f>
        <v/>
      </c>
      <c r="CM51" s="18">
        <f>'Grid_TheoreticalStock'!CD24</f>
        <v/>
      </c>
      <c r="CN51" s="18">
        <f>'Grid_TheoreticalStock'!CE24</f>
        <v/>
      </c>
      <c r="CO51" s="18">
        <f>'Grid_TheoreticalStock'!CF24</f>
        <v/>
      </c>
      <c r="CP51" s="18">
        <f>'Grid_TheoreticalStock'!CG24</f>
        <v/>
      </c>
      <c r="CQ51" s="18">
        <f>'Grid_TheoreticalStock'!CH24</f>
        <v/>
      </c>
      <c r="CR51" s="18">
        <f>'Grid_TheoreticalStock'!CI24</f>
        <v/>
      </c>
      <c r="CS51" s="18">
        <f>'Grid_TheoreticalStock'!CJ24</f>
        <v/>
      </c>
      <c r="CT51" s="18">
        <f>'Grid_TheoreticalStock'!CK24</f>
        <v/>
      </c>
      <c r="CU51" s="18">
        <f>'Grid_TheoreticalStock'!CL24</f>
        <v/>
      </c>
      <c r="CV51" s="18">
        <f>'Grid_TheoreticalStock'!CM24</f>
        <v/>
      </c>
      <c r="CW51" s="18">
        <f>'Grid_TheoreticalStock'!CN24</f>
        <v/>
      </c>
      <c r="CX51" s="18">
        <f>'Grid_TheoreticalStock'!CO24</f>
        <v/>
      </c>
      <c r="CY51" s="18">
        <f>'Grid_TheoreticalStock'!CP24</f>
        <v/>
      </c>
      <c r="CZ51" s="18">
        <f>'Grid_TheoreticalStock'!CQ24</f>
        <v/>
      </c>
      <c r="DA51" s="18">
        <f>'Grid_TheoreticalStock'!CR24</f>
        <v/>
      </c>
      <c r="DB51" s="18">
        <f>'Grid_TheoreticalStock'!CS24</f>
        <v/>
      </c>
      <c r="DC51" s="18">
        <f>'Grid_TheoreticalStock'!CT24</f>
        <v/>
      </c>
      <c r="DD51" s="18">
        <f>'Grid_TheoreticalStock'!CU24</f>
        <v/>
      </c>
      <c r="DE51" s="18">
        <f>'Grid_TheoreticalStock'!CV24</f>
        <v/>
      </c>
      <c r="DF51" s="18">
        <f>'Grid_TheoreticalStock'!CW24</f>
        <v/>
      </c>
      <c r="DG51" s="18">
        <f>'Grid_TheoreticalStock'!CX24</f>
        <v/>
      </c>
      <c r="DH51" s="18">
        <f>'Grid_TheoreticalStock'!CY24</f>
        <v/>
      </c>
      <c r="DI51" s="18">
        <f>'Grid_TheoreticalStock'!CZ24</f>
        <v/>
      </c>
      <c r="DJ51" s="18">
        <f>'Grid_TheoreticalStock'!DA24</f>
        <v/>
      </c>
    </row>
    <row r="52">
      <c r="A52" s="19" t="inlineStr">
        <is>
          <t>CHEM-1240</t>
        </is>
      </c>
      <c r="B52" s="19">
        <f>IFERROR(INDEX(M_RawMaterials[Description],MATCH($A52,M_RawMaterials[Part Name],0)),"")</f>
        <v/>
      </c>
      <c r="C52" s="19">
        <f>IFERROR(INDEX(M_RawMaterials[Category],MATCH($A52,M_RawMaterials[Part Name],0)),"")</f>
        <v/>
      </c>
      <c r="D52" s="19">
        <f>IFERROR(INDEX(M_RawMaterials[基準在庫下限_要入力],MATCH($A52,M_RawMaterials[Part Name],0)),0)</f>
        <v/>
      </c>
      <c r="E52" s="19">
        <f>IFERROR(INDEX(M_RawMaterials[基準在庫上限_要入力],MATCH($A52,M_RawMaterials[Part Name],0)),0)</f>
        <v/>
      </c>
      <c r="F52" s="19">
        <f>IFERROR(LOOKUP(2,1/('T_SelfStock'!$B$28:$DA$28&lt;&gt;""),'T_SelfStock'!$B$28:$DA$28),"")</f>
        <v/>
      </c>
      <c r="G52" s="19">
        <f>IFERROR(LOOKUP(2,1/('T_TTAFStock'!$B$28:$DA$28&lt;&gt;""),'T_TTAFStock'!$B$28:$DA$28),"")</f>
        <v/>
      </c>
      <c r="H52" s="19">
        <f>IFERROR(LOOKUP(2,1/('T_SelfStock'!$B$28:$DA$28&lt;&gt;""),'T_SelfStock'!$B$5:$DA$5),"")</f>
        <v/>
      </c>
      <c r="I52" s="20" t="inlineStr">
        <is>
          <t>実在庫</t>
        </is>
      </c>
      <c r="J52" s="19">
        <f>'Grid_Stock'!DA24-'Grid_TheoreticalStock'!DA24</f>
        <v/>
      </c>
      <c r="K52" s="19">
        <f>'Grid_Stock'!B24</f>
        <v/>
      </c>
      <c r="L52" s="19">
        <f>'Grid_Stock'!C24</f>
        <v/>
      </c>
      <c r="M52" s="19">
        <f>'Grid_Stock'!D24</f>
        <v/>
      </c>
      <c r="N52" s="19">
        <f>'Grid_Stock'!E24</f>
        <v/>
      </c>
      <c r="O52" s="19">
        <f>'Grid_Stock'!F24</f>
        <v/>
      </c>
      <c r="P52" s="19">
        <f>'Grid_Stock'!G24</f>
        <v/>
      </c>
      <c r="Q52" s="19">
        <f>'Grid_Stock'!H24</f>
        <v/>
      </c>
      <c r="R52" s="19">
        <f>'Grid_Stock'!I24</f>
        <v/>
      </c>
      <c r="S52" s="19">
        <f>'Grid_Stock'!J24</f>
        <v/>
      </c>
      <c r="T52" s="19">
        <f>'Grid_Stock'!K24</f>
        <v/>
      </c>
      <c r="U52" s="19">
        <f>'Grid_Stock'!L24</f>
        <v/>
      </c>
      <c r="V52" s="19">
        <f>'Grid_Stock'!M24</f>
        <v/>
      </c>
      <c r="W52" s="19">
        <f>'Grid_Stock'!N24</f>
        <v/>
      </c>
      <c r="X52" s="19">
        <f>'Grid_Stock'!O24</f>
        <v/>
      </c>
      <c r="Y52" s="19">
        <f>'Grid_Stock'!P24</f>
        <v/>
      </c>
      <c r="Z52" s="19">
        <f>'Grid_Stock'!Q24</f>
        <v/>
      </c>
      <c r="AA52" s="19">
        <f>'Grid_Stock'!R24</f>
        <v/>
      </c>
      <c r="AB52" s="19">
        <f>'Grid_Stock'!S24</f>
        <v/>
      </c>
      <c r="AC52" s="19">
        <f>'Grid_Stock'!T24</f>
        <v/>
      </c>
      <c r="AD52" s="19">
        <f>'Grid_Stock'!U24</f>
        <v/>
      </c>
      <c r="AE52" s="19">
        <f>'Grid_Stock'!V24</f>
        <v/>
      </c>
      <c r="AF52" s="19">
        <f>'Grid_Stock'!W24</f>
        <v/>
      </c>
      <c r="AG52" s="19">
        <f>'Grid_Stock'!X24</f>
        <v/>
      </c>
      <c r="AH52" s="19">
        <f>'Grid_Stock'!Y24</f>
        <v/>
      </c>
      <c r="AI52" s="19">
        <f>'Grid_Stock'!Z24</f>
        <v/>
      </c>
      <c r="AJ52" s="19">
        <f>'Grid_Stock'!AA24</f>
        <v/>
      </c>
      <c r="AK52" s="19">
        <f>'Grid_Stock'!AB24</f>
        <v/>
      </c>
      <c r="AL52" s="19">
        <f>'Grid_Stock'!AC24</f>
        <v/>
      </c>
      <c r="AM52" s="19">
        <f>'Grid_Stock'!AD24</f>
        <v/>
      </c>
      <c r="AN52" s="19">
        <f>'Grid_Stock'!AE24</f>
        <v/>
      </c>
      <c r="AO52" s="19">
        <f>'Grid_Stock'!AF24</f>
        <v/>
      </c>
      <c r="AP52" s="19">
        <f>'Grid_Stock'!AG24</f>
        <v/>
      </c>
      <c r="AQ52" s="19">
        <f>'Grid_Stock'!AH24</f>
        <v/>
      </c>
      <c r="AR52" s="19">
        <f>'Grid_Stock'!AI24</f>
        <v/>
      </c>
      <c r="AS52" s="19">
        <f>'Grid_Stock'!AJ24</f>
        <v/>
      </c>
      <c r="AT52" s="19">
        <f>'Grid_Stock'!AK24</f>
        <v/>
      </c>
      <c r="AU52" s="19">
        <f>'Grid_Stock'!AL24</f>
        <v/>
      </c>
      <c r="AV52" s="19">
        <f>'Grid_Stock'!AM24</f>
        <v/>
      </c>
      <c r="AW52" s="19">
        <f>'Grid_Stock'!AN24</f>
        <v/>
      </c>
      <c r="AX52" s="19">
        <f>'Grid_Stock'!AO24</f>
        <v/>
      </c>
      <c r="AY52" s="19">
        <f>'Grid_Stock'!AP24</f>
        <v/>
      </c>
      <c r="AZ52" s="19">
        <f>'Grid_Stock'!AQ24</f>
        <v/>
      </c>
      <c r="BA52" s="19">
        <f>'Grid_Stock'!AR24</f>
        <v/>
      </c>
      <c r="BB52" s="19">
        <f>'Grid_Stock'!AS24</f>
        <v/>
      </c>
      <c r="BC52" s="19">
        <f>'Grid_Stock'!AT24</f>
        <v/>
      </c>
      <c r="BD52" s="19">
        <f>'Grid_Stock'!AU24</f>
        <v/>
      </c>
      <c r="BE52" s="19">
        <f>'Grid_Stock'!AV24</f>
        <v/>
      </c>
      <c r="BF52" s="19">
        <f>'Grid_Stock'!AW24</f>
        <v/>
      </c>
      <c r="BG52" s="19">
        <f>'Grid_Stock'!AX24</f>
        <v/>
      </c>
      <c r="BH52" s="19">
        <f>'Grid_Stock'!AY24</f>
        <v/>
      </c>
      <c r="BI52" s="19">
        <f>'Grid_Stock'!AZ24</f>
        <v/>
      </c>
      <c r="BJ52" s="19">
        <f>'Grid_Stock'!BA24</f>
        <v/>
      </c>
      <c r="BK52" s="19">
        <f>'Grid_Stock'!BB24</f>
        <v/>
      </c>
      <c r="BL52" s="19">
        <f>'Grid_Stock'!BC24</f>
        <v/>
      </c>
      <c r="BM52" s="19">
        <f>'Grid_Stock'!BD24</f>
        <v/>
      </c>
      <c r="BN52" s="19">
        <f>'Grid_Stock'!BE24</f>
        <v/>
      </c>
      <c r="BO52" s="19">
        <f>'Grid_Stock'!BF24</f>
        <v/>
      </c>
      <c r="BP52" s="19">
        <f>'Grid_Stock'!BG24</f>
        <v/>
      </c>
      <c r="BQ52" s="19">
        <f>'Grid_Stock'!BH24</f>
        <v/>
      </c>
      <c r="BR52" s="19">
        <f>'Grid_Stock'!BI24</f>
        <v/>
      </c>
      <c r="BS52" s="19">
        <f>'Grid_Stock'!BJ24</f>
        <v/>
      </c>
      <c r="BT52" s="19">
        <f>'Grid_Stock'!BK24</f>
        <v/>
      </c>
      <c r="BU52" s="19">
        <f>'Grid_Stock'!BL24</f>
        <v/>
      </c>
      <c r="BV52" s="19">
        <f>'Grid_Stock'!BM24</f>
        <v/>
      </c>
      <c r="BW52" s="19">
        <f>'Grid_Stock'!BN24</f>
        <v/>
      </c>
      <c r="BX52" s="19">
        <f>'Grid_Stock'!BO24</f>
        <v/>
      </c>
      <c r="BY52" s="19">
        <f>'Grid_Stock'!BP24</f>
        <v/>
      </c>
      <c r="BZ52" s="19">
        <f>'Grid_Stock'!BQ24</f>
        <v/>
      </c>
      <c r="CA52" s="19">
        <f>'Grid_Stock'!BR24</f>
        <v/>
      </c>
      <c r="CB52" s="19">
        <f>'Grid_Stock'!BS24</f>
        <v/>
      </c>
      <c r="CC52" s="19">
        <f>'Grid_Stock'!BT24</f>
        <v/>
      </c>
      <c r="CD52" s="19">
        <f>'Grid_Stock'!BU24</f>
        <v/>
      </c>
      <c r="CE52" s="19">
        <f>'Grid_Stock'!BV24</f>
        <v/>
      </c>
      <c r="CF52" s="19">
        <f>'Grid_Stock'!BW24</f>
        <v/>
      </c>
      <c r="CG52" s="19">
        <f>'Grid_Stock'!BX24</f>
        <v/>
      </c>
      <c r="CH52" s="19">
        <f>'Grid_Stock'!BY24</f>
        <v/>
      </c>
      <c r="CI52" s="19">
        <f>'Grid_Stock'!BZ24</f>
        <v/>
      </c>
      <c r="CJ52" s="19">
        <f>'Grid_Stock'!CA24</f>
        <v/>
      </c>
      <c r="CK52" s="19">
        <f>'Grid_Stock'!CB24</f>
        <v/>
      </c>
      <c r="CL52" s="19">
        <f>'Grid_Stock'!CC24</f>
        <v/>
      </c>
      <c r="CM52" s="19">
        <f>'Grid_Stock'!CD24</f>
        <v/>
      </c>
      <c r="CN52" s="19">
        <f>'Grid_Stock'!CE24</f>
        <v/>
      </c>
      <c r="CO52" s="19">
        <f>'Grid_Stock'!CF24</f>
        <v/>
      </c>
      <c r="CP52" s="19">
        <f>'Grid_Stock'!CG24</f>
        <v/>
      </c>
      <c r="CQ52" s="19">
        <f>'Grid_Stock'!CH24</f>
        <v/>
      </c>
      <c r="CR52" s="19">
        <f>'Grid_Stock'!CI24</f>
        <v/>
      </c>
      <c r="CS52" s="19">
        <f>'Grid_Stock'!CJ24</f>
        <v/>
      </c>
      <c r="CT52" s="19">
        <f>'Grid_Stock'!CK24</f>
        <v/>
      </c>
      <c r="CU52" s="19">
        <f>'Grid_Stock'!CL24</f>
        <v/>
      </c>
      <c r="CV52" s="19">
        <f>'Grid_Stock'!CM24</f>
        <v/>
      </c>
      <c r="CW52" s="19">
        <f>'Grid_Stock'!CN24</f>
        <v/>
      </c>
      <c r="CX52" s="19">
        <f>'Grid_Stock'!CO24</f>
        <v/>
      </c>
      <c r="CY52" s="19">
        <f>'Grid_Stock'!CP24</f>
        <v/>
      </c>
      <c r="CZ52" s="19">
        <f>'Grid_Stock'!CQ24</f>
        <v/>
      </c>
      <c r="DA52" s="19">
        <f>'Grid_Stock'!CR24</f>
        <v/>
      </c>
      <c r="DB52" s="19">
        <f>'Grid_Stock'!CS24</f>
        <v/>
      </c>
      <c r="DC52" s="19">
        <f>'Grid_Stock'!CT24</f>
        <v/>
      </c>
      <c r="DD52" s="19">
        <f>'Grid_Stock'!CU24</f>
        <v/>
      </c>
      <c r="DE52" s="19">
        <f>'Grid_Stock'!CV24</f>
        <v/>
      </c>
      <c r="DF52" s="19">
        <f>'Grid_Stock'!CW24</f>
        <v/>
      </c>
      <c r="DG52" s="19">
        <f>'Grid_Stock'!CX24</f>
        <v/>
      </c>
      <c r="DH52" s="19">
        <f>'Grid_Stock'!CY24</f>
        <v/>
      </c>
      <c r="DI52" s="19">
        <f>'Grid_Stock'!CZ24</f>
        <v/>
      </c>
      <c r="DJ52" s="19">
        <f>'Grid_Stock'!DA24</f>
        <v/>
      </c>
    </row>
    <row r="53">
      <c r="A53" s="17" t="inlineStr">
        <is>
          <t>CHEM-1510</t>
        </is>
      </c>
      <c r="B53" s="17">
        <f>IFERROR(INDEX(M_RawMaterials[Description],MATCH($A53,M_RawMaterials[Part Name],0)),"")</f>
        <v/>
      </c>
      <c r="C53" s="17">
        <f>IFERROR(INDEX(M_RawMaterials[Category],MATCH($A53,M_RawMaterials[Part Name],0)),"")</f>
        <v/>
      </c>
      <c r="D53" s="17">
        <f>IFERROR(INDEX(M_RawMaterials[基準在庫下限_要入力],MATCH($A53,M_RawMaterials[Part Name],0)),0)</f>
        <v/>
      </c>
      <c r="E53" s="17">
        <f>IFERROR(INDEX(M_RawMaterials[基準在庫上限_要入力],MATCH($A53,M_RawMaterials[Part Name],0)),0)</f>
        <v/>
      </c>
      <c r="F53" s="17">
        <f>IFERROR(LOOKUP(2,1/('T_SelfStock'!$B$29:$DA$29&lt;&gt;""),'T_SelfStock'!$B$29:$DA$29),"")</f>
        <v/>
      </c>
      <c r="G53" s="17">
        <f>IFERROR(LOOKUP(2,1/('T_TTAFStock'!$B$29:$DA$29&lt;&gt;""),'T_TTAFStock'!$B$29:$DA$29),"")</f>
        <v/>
      </c>
      <c r="H53" s="17">
        <f>IFERROR(LOOKUP(2,1/('T_SelfStock'!$B$29:$DA$29&lt;&gt;""),'T_SelfStock'!$B$5:$DA$5),"")</f>
        <v/>
      </c>
      <c r="I53" s="18" t="inlineStr">
        <is>
          <t>理論在庫</t>
        </is>
      </c>
      <c r="J53" s="17">
        <f>'Grid_Stock'!DA25-'Grid_TheoreticalStock'!DA25</f>
        <v/>
      </c>
      <c r="K53" s="18">
        <f>'Grid_TheoreticalStock'!B25</f>
        <v/>
      </c>
      <c r="L53" s="18">
        <f>'Grid_TheoreticalStock'!C25</f>
        <v/>
      </c>
      <c r="M53" s="18">
        <f>'Grid_TheoreticalStock'!D25</f>
        <v/>
      </c>
      <c r="N53" s="18">
        <f>'Grid_TheoreticalStock'!E25</f>
        <v/>
      </c>
      <c r="O53" s="18">
        <f>'Grid_TheoreticalStock'!F25</f>
        <v/>
      </c>
      <c r="P53" s="18">
        <f>'Grid_TheoreticalStock'!G25</f>
        <v/>
      </c>
      <c r="Q53" s="18">
        <f>'Grid_TheoreticalStock'!H25</f>
        <v/>
      </c>
      <c r="R53" s="18">
        <f>'Grid_TheoreticalStock'!I25</f>
        <v/>
      </c>
      <c r="S53" s="18">
        <f>'Grid_TheoreticalStock'!J25</f>
        <v/>
      </c>
      <c r="T53" s="18">
        <f>'Grid_TheoreticalStock'!K25</f>
        <v/>
      </c>
      <c r="U53" s="18">
        <f>'Grid_TheoreticalStock'!L25</f>
        <v/>
      </c>
      <c r="V53" s="18">
        <f>'Grid_TheoreticalStock'!M25</f>
        <v/>
      </c>
      <c r="W53" s="18">
        <f>'Grid_TheoreticalStock'!N25</f>
        <v/>
      </c>
      <c r="X53" s="18">
        <f>'Grid_TheoreticalStock'!O25</f>
        <v/>
      </c>
      <c r="Y53" s="18">
        <f>'Grid_TheoreticalStock'!P25</f>
        <v/>
      </c>
      <c r="Z53" s="18">
        <f>'Grid_TheoreticalStock'!Q25</f>
        <v/>
      </c>
      <c r="AA53" s="18">
        <f>'Grid_TheoreticalStock'!R25</f>
        <v/>
      </c>
      <c r="AB53" s="18">
        <f>'Grid_TheoreticalStock'!S25</f>
        <v/>
      </c>
      <c r="AC53" s="18">
        <f>'Grid_TheoreticalStock'!T25</f>
        <v/>
      </c>
      <c r="AD53" s="18">
        <f>'Grid_TheoreticalStock'!U25</f>
        <v/>
      </c>
      <c r="AE53" s="18">
        <f>'Grid_TheoreticalStock'!V25</f>
        <v/>
      </c>
      <c r="AF53" s="18">
        <f>'Grid_TheoreticalStock'!W25</f>
        <v/>
      </c>
      <c r="AG53" s="18">
        <f>'Grid_TheoreticalStock'!X25</f>
        <v/>
      </c>
      <c r="AH53" s="18">
        <f>'Grid_TheoreticalStock'!Y25</f>
        <v/>
      </c>
      <c r="AI53" s="18">
        <f>'Grid_TheoreticalStock'!Z25</f>
        <v/>
      </c>
      <c r="AJ53" s="18">
        <f>'Grid_TheoreticalStock'!AA25</f>
        <v/>
      </c>
      <c r="AK53" s="18">
        <f>'Grid_TheoreticalStock'!AB25</f>
        <v/>
      </c>
      <c r="AL53" s="18">
        <f>'Grid_TheoreticalStock'!AC25</f>
        <v/>
      </c>
      <c r="AM53" s="18">
        <f>'Grid_TheoreticalStock'!AD25</f>
        <v/>
      </c>
      <c r="AN53" s="18">
        <f>'Grid_TheoreticalStock'!AE25</f>
        <v/>
      </c>
      <c r="AO53" s="18">
        <f>'Grid_TheoreticalStock'!AF25</f>
        <v/>
      </c>
      <c r="AP53" s="18">
        <f>'Grid_TheoreticalStock'!AG25</f>
        <v/>
      </c>
      <c r="AQ53" s="18">
        <f>'Grid_TheoreticalStock'!AH25</f>
        <v/>
      </c>
      <c r="AR53" s="18">
        <f>'Grid_TheoreticalStock'!AI25</f>
        <v/>
      </c>
      <c r="AS53" s="18">
        <f>'Grid_TheoreticalStock'!AJ25</f>
        <v/>
      </c>
      <c r="AT53" s="18">
        <f>'Grid_TheoreticalStock'!AK25</f>
        <v/>
      </c>
      <c r="AU53" s="18">
        <f>'Grid_TheoreticalStock'!AL25</f>
        <v/>
      </c>
      <c r="AV53" s="18">
        <f>'Grid_TheoreticalStock'!AM25</f>
        <v/>
      </c>
      <c r="AW53" s="18">
        <f>'Grid_TheoreticalStock'!AN25</f>
        <v/>
      </c>
      <c r="AX53" s="18">
        <f>'Grid_TheoreticalStock'!AO25</f>
        <v/>
      </c>
      <c r="AY53" s="18">
        <f>'Grid_TheoreticalStock'!AP25</f>
        <v/>
      </c>
      <c r="AZ53" s="18">
        <f>'Grid_TheoreticalStock'!AQ25</f>
        <v/>
      </c>
      <c r="BA53" s="18">
        <f>'Grid_TheoreticalStock'!AR25</f>
        <v/>
      </c>
      <c r="BB53" s="18">
        <f>'Grid_TheoreticalStock'!AS25</f>
        <v/>
      </c>
      <c r="BC53" s="18">
        <f>'Grid_TheoreticalStock'!AT25</f>
        <v/>
      </c>
      <c r="BD53" s="18">
        <f>'Grid_TheoreticalStock'!AU25</f>
        <v/>
      </c>
      <c r="BE53" s="18">
        <f>'Grid_TheoreticalStock'!AV25</f>
        <v/>
      </c>
      <c r="BF53" s="18">
        <f>'Grid_TheoreticalStock'!AW25</f>
        <v/>
      </c>
      <c r="BG53" s="18">
        <f>'Grid_TheoreticalStock'!AX25</f>
        <v/>
      </c>
      <c r="BH53" s="18">
        <f>'Grid_TheoreticalStock'!AY25</f>
        <v/>
      </c>
      <c r="BI53" s="18">
        <f>'Grid_TheoreticalStock'!AZ25</f>
        <v/>
      </c>
      <c r="BJ53" s="18">
        <f>'Grid_TheoreticalStock'!BA25</f>
        <v/>
      </c>
      <c r="BK53" s="18">
        <f>'Grid_TheoreticalStock'!BB25</f>
        <v/>
      </c>
      <c r="BL53" s="18">
        <f>'Grid_TheoreticalStock'!BC25</f>
        <v/>
      </c>
      <c r="BM53" s="18">
        <f>'Grid_TheoreticalStock'!BD25</f>
        <v/>
      </c>
      <c r="BN53" s="18">
        <f>'Grid_TheoreticalStock'!BE25</f>
        <v/>
      </c>
      <c r="BO53" s="18">
        <f>'Grid_TheoreticalStock'!BF25</f>
        <v/>
      </c>
      <c r="BP53" s="18">
        <f>'Grid_TheoreticalStock'!BG25</f>
        <v/>
      </c>
      <c r="BQ53" s="18">
        <f>'Grid_TheoreticalStock'!BH25</f>
        <v/>
      </c>
      <c r="BR53" s="18">
        <f>'Grid_TheoreticalStock'!BI25</f>
        <v/>
      </c>
      <c r="BS53" s="18">
        <f>'Grid_TheoreticalStock'!BJ25</f>
        <v/>
      </c>
      <c r="BT53" s="18">
        <f>'Grid_TheoreticalStock'!BK25</f>
        <v/>
      </c>
      <c r="BU53" s="18">
        <f>'Grid_TheoreticalStock'!BL25</f>
        <v/>
      </c>
      <c r="BV53" s="18">
        <f>'Grid_TheoreticalStock'!BM25</f>
        <v/>
      </c>
      <c r="BW53" s="18">
        <f>'Grid_TheoreticalStock'!BN25</f>
        <v/>
      </c>
      <c r="BX53" s="18">
        <f>'Grid_TheoreticalStock'!BO25</f>
        <v/>
      </c>
      <c r="BY53" s="18">
        <f>'Grid_TheoreticalStock'!BP25</f>
        <v/>
      </c>
      <c r="BZ53" s="18">
        <f>'Grid_TheoreticalStock'!BQ25</f>
        <v/>
      </c>
      <c r="CA53" s="18">
        <f>'Grid_TheoreticalStock'!BR25</f>
        <v/>
      </c>
      <c r="CB53" s="18">
        <f>'Grid_TheoreticalStock'!BS25</f>
        <v/>
      </c>
      <c r="CC53" s="18">
        <f>'Grid_TheoreticalStock'!BT25</f>
        <v/>
      </c>
      <c r="CD53" s="18">
        <f>'Grid_TheoreticalStock'!BU25</f>
        <v/>
      </c>
      <c r="CE53" s="18">
        <f>'Grid_TheoreticalStock'!BV25</f>
        <v/>
      </c>
      <c r="CF53" s="18">
        <f>'Grid_TheoreticalStock'!BW25</f>
        <v/>
      </c>
      <c r="CG53" s="18">
        <f>'Grid_TheoreticalStock'!BX25</f>
        <v/>
      </c>
      <c r="CH53" s="18">
        <f>'Grid_TheoreticalStock'!BY25</f>
        <v/>
      </c>
      <c r="CI53" s="18">
        <f>'Grid_TheoreticalStock'!BZ25</f>
        <v/>
      </c>
      <c r="CJ53" s="18">
        <f>'Grid_TheoreticalStock'!CA25</f>
        <v/>
      </c>
      <c r="CK53" s="18">
        <f>'Grid_TheoreticalStock'!CB25</f>
        <v/>
      </c>
      <c r="CL53" s="18">
        <f>'Grid_TheoreticalStock'!CC25</f>
        <v/>
      </c>
      <c r="CM53" s="18">
        <f>'Grid_TheoreticalStock'!CD25</f>
        <v/>
      </c>
      <c r="CN53" s="18">
        <f>'Grid_TheoreticalStock'!CE25</f>
        <v/>
      </c>
      <c r="CO53" s="18">
        <f>'Grid_TheoreticalStock'!CF25</f>
        <v/>
      </c>
      <c r="CP53" s="18">
        <f>'Grid_TheoreticalStock'!CG25</f>
        <v/>
      </c>
      <c r="CQ53" s="18">
        <f>'Grid_TheoreticalStock'!CH25</f>
        <v/>
      </c>
      <c r="CR53" s="18">
        <f>'Grid_TheoreticalStock'!CI25</f>
        <v/>
      </c>
      <c r="CS53" s="18">
        <f>'Grid_TheoreticalStock'!CJ25</f>
        <v/>
      </c>
      <c r="CT53" s="18">
        <f>'Grid_TheoreticalStock'!CK25</f>
        <v/>
      </c>
      <c r="CU53" s="18">
        <f>'Grid_TheoreticalStock'!CL25</f>
        <v/>
      </c>
      <c r="CV53" s="18">
        <f>'Grid_TheoreticalStock'!CM25</f>
        <v/>
      </c>
      <c r="CW53" s="18">
        <f>'Grid_TheoreticalStock'!CN25</f>
        <v/>
      </c>
      <c r="CX53" s="18">
        <f>'Grid_TheoreticalStock'!CO25</f>
        <v/>
      </c>
      <c r="CY53" s="18">
        <f>'Grid_TheoreticalStock'!CP25</f>
        <v/>
      </c>
      <c r="CZ53" s="18">
        <f>'Grid_TheoreticalStock'!CQ25</f>
        <v/>
      </c>
      <c r="DA53" s="18">
        <f>'Grid_TheoreticalStock'!CR25</f>
        <v/>
      </c>
      <c r="DB53" s="18">
        <f>'Grid_TheoreticalStock'!CS25</f>
        <v/>
      </c>
      <c r="DC53" s="18">
        <f>'Grid_TheoreticalStock'!CT25</f>
        <v/>
      </c>
      <c r="DD53" s="18">
        <f>'Grid_TheoreticalStock'!CU25</f>
        <v/>
      </c>
      <c r="DE53" s="18">
        <f>'Grid_TheoreticalStock'!CV25</f>
        <v/>
      </c>
      <c r="DF53" s="18">
        <f>'Grid_TheoreticalStock'!CW25</f>
        <v/>
      </c>
      <c r="DG53" s="18">
        <f>'Grid_TheoreticalStock'!CX25</f>
        <v/>
      </c>
      <c r="DH53" s="18">
        <f>'Grid_TheoreticalStock'!CY25</f>
        <v/>
      </c>
      <c r="DI53" s="18">
        <f>'Grid_TheoreticalStock'!CZ25</f>
        <v/>
      </c>
      <c r="DJ53" s="18">
        <f>'Grid_TheoreticalStock'!DA25</f>
        <v/>
      </c>
    </row>
    <row r="54">
      <c r="A54" s="19" t="inlineStr">
        <is>
          <t>CHEM-1510</t>
        </is>
      </c>
      <c r="B54" s="19">
        <f>IFERROR(INDEX(M_RawMaterials[Description],MATCH($A54,M_RawMaterials[Part Name],0)),"")</f>
        <v/>
      </c>
      <c r="C54" s="19">
        <f>IFERROR(INDEX(M_RawMaterials[Category],MATCH($A54,M_RawMaterials[Part Name],0)),"")</f>
        <v/>
      </c>
      <c r="D54" s="19">
        <f>IFERROR(INDEX(M_RawMaterials[基準在庫下限_要入力],MATCH($A54,M_RawMaterials[Part Name],0)),0)</f>
        <v/>
      </c>
      <c r="E54" s="19">
        <f>IFERROR(INDEX(M_RawMaterials[基準在庫上限_要入力],MATCH($A54,M_RawMaterials[Part Name],0)),0)</f>
        <v/>
      </c>
      <c r="F54" s="19">
        <f>IFERROR(LOOKUP(2,1/('T_SelfStock'!$B$29:$DA$29&lt;&gt;""),'T_SelfStock'!$B$29:$DA$29),"")</f>
        <v/>
      </c>
      <c r="G54" s="19">
        <f>IFERROR(LOOKUP(2,1/('T_TTAFStock'!$B$29:$DA$29&lt;&gt;""),'T_TTAFStock'!$B$29:$DA$29),"")</f>
        <v/>
      </c>
      <c r="H54" s="19">
        <f>IFERROR(LOOKUP(2,1/('T_SelfStock'!$B$29:$DA$29&lt;&gt;""),'T_SelfStock'!$B$5:$DA$5),"")</f>
        <v/>
      </c>
      <c r="I54" s="20" t="inlineStr">
        <is>
          <t>実在庫</t>
        </is>
      </c>
      <c r="J54" s="19">
        <f>'Grid_Stock'!DA25-'Grid_TheoreticalStock'!DA25</f>
        <v/>
      </c>
      <c r="K54" s="19">
        <f>'Grid_Stock'!B25</f>
        <v/>
      </c>
      <c r="L54" s="19">
        <f>'Grid_Stock'!C25</f>
        <v/>
      </c>
      <c r="M54" s="19">
        <f>'Grid_Stock'!D25</f>
        <v/>
      </c>
      <c r="N54" s="19">
        <f>'Grid_Stock'!E25</f>
        <v/>
      </c>
      <c r="O54" s="19">
        <f>'Grid_Stock'!F25</f>
        <v/>
      </c>
      <c r="P54" s="19">
        <f>'Grid_Stock'!G25</f>
        <v/>
      </c>
      <c r="Q54" s="19">
        <f>'Grid_Stock'!H25</f>
        <v/>
      </c>
      <c r="R54" s="19">
        <f>'Grid_Stock'!I25</f>
        <v/>
      </c>
      <c r="S54" s="19">
        <f>'Grid_Stock'!J25</f>
        <v/>
      </c>
      <c r="T54" s="19">
        <f>'Grid_Stock'!K25</f>
        <v/>
      </c>
      <c r="U54" s="19">
        <f>'Grid_Stock'!L25</f>
        <v/>
      </c>
      <c r="V54" s="19">
        <f>'Grid_Stock'!M25</f>
        <v/>
      </c>
      <c r="W54" s="19">
        <f>'Grid_Stock'!N25</f>
        <v/>
      </c>
      <c r="X54" s="19">
        <f>'Grid_Stock'!O25</f>
        <v/>
      </c>
      <c r="Y54" s="19">
        <f>'Grid_Stock'!P25</f>
        <v/>
      </c>
      <c r="Z54" s="19">
        <f>'Grid_Stock'!Q25</f>
        <v/>
      </c>
      <c r="AA54" s="19">
        <f>'Grid_Stock'!R25</f>
        <v/>
      </c>
      <c r="AB54" s="19">
        <f>'Grid_Stock'!S25</f>
        <v/>
      </c>
      <c r="AC54" s="19">
        <f>'Grid_Stock'!T25</f>
        <v/>
      </c>
      <c r="AD54" s="19">
        <f>'Grid_Stock'!U25</f>
        <v/>
      </c>
      <c r="AE54" s="19">
        <f>'Grid_Stock'!V25</f>
        <v/>
      </c>
      <c r="AF54" s="19">
        <f>'Grid_Stock'!W25</f>
        <v/>
      </c>
      <c r="AG54" s="19">
        <f>'Grid_Stock'!X25</f>
        <v/>
      </c>
      <c r="AH54" s="19">
        <f>'Grid_Stock'!Y25</f>
        <v/>
      </c>
      <c r="AI54" s="19">
        <f>'Grid_Stock'!Z25</f>
        <v/>
      </c>
      <c r="AJ54" s="19">
        <f>'Grid_Stock'!AA25</f>
        <v/>
      </c>
      <c r="AK54" s="19">
        <f>'Grid_Stock'!AB25</f>
        <v/>
      </c>
      <c r="AL54" s="19">
        <f>'Grid_Stock'!AC25</f>
        <v/>
      </c>
      <c r="AM54" s="19">
        <f>'Grid_Stock'!AD25</f>
        <v/>
      </c>
      <c r="AN54" s="19">
        <f>'Grid_Stock'!AE25</f>
        <v/>
      </c>
      <c r="AO54" s="19">
        <f>'Grid_Stock'!AF25</f>
        <v/>
      </c>
      <c r="AP54" s="19">
        <f>'Grid_Stock'!AG25</f>
        <v/>
      </c>
      <c r="AQ54" s="19">
        <f>'Grid_Stock'!AH25</f>
        <v/>
      </c>
      <c r="AR54" s="19">
        <f>'Grid_Stock'!AI25</f>
        <v/>
      </c>
      <c r="AS54" s="19">
        <f>'Grid_Stock'!AJ25</f>
        <v/>
      </c>
      <c r="AT54" s="19">
        <f>'Grid_Stock'!AK25</f>
        <v/>
      </c>
      <c r="AU54" s="19">
        <f>'Grid_Stock'!AL25</f>
        <v/>
      </c>
      <c r="AV54" s="19">
        <f>'Grid_Stock'!AM25</f>
        <v/>
      </c>
      <c r="AW54" s="19">
        <f>'Grid_Stock'!AN25</f>
        <v/>
      </c>
      <c r="AX54" s="19">
        <f>'Grid_Stock'!AO25</f>
        <v/>
      </c>
      <c r="AY54" s="19">
        <f>'Grid_Stock'!AP25</f>
        <v/>
      </c>
      <c r="AZ54" s="19">
        <f>'Grid_Stock'!AQ25</f>
        <v/>
      </c>
      <c r="BA54" s="19">
        <f>'Grid_Stock'!AR25</f>
        <v/>
      </c>
      <c r="BB54" s="19">
        <f>'Grid_Stock'!AS25</f>
        <v/>
      </c>
      <c r="BC54" s="19">
        <f>'Grid_Stock'!AT25</f>
        <v/>
      </c>
      <c r="BD54" s="19">
        <f>'Grid_Stock'!AU25</f>
        <v/>
      </c>
      <c r="BE54" s="19">
        <f>'Grid_Stock'!AV25</f>
        <v/>
      </c>
      <c r="BF54" s="19">
        <f>'Grid_Stock'!AW25</f>
        <v/>
      </c>
      <c r="BG54" s="19">
        <f>'Grid_Stock'!AX25</f>
        <v/>
      </c>
      <c r="BH54" s="19">
        <f>'Grid_Stock'!AY25</f>
        <v/>
      </c>
      <c r="BI54" s="19">
        <f>'Grid_Stock'!AZ25</f>
        <v/>
      </c>
      <c r="BJ54" s="19">
        <f>'Grid_Stock'!BA25</f>
        <v/>
      </c>
      <c r="BK54" s="19">
        <f>'Grid_Stock'!BB25</f>
        <v/>
      </c>
      <c r="BL54" s="19">
        <f>'Grid_Stock'!BC25</f>
        <v/>
      </c>
      <c r="BM54" s="19">
        <f>'Grid_Stock'!BD25</f>
        <v/>
      </c>
      <c r="BN54" s="19">
        <f>'Grid_Stock'!BE25</f>
        <v/>
      </c>
      <c r="BO54" s="19">
        <f>'Grid_Stock'!BF25</f>
        <v/>
      </c>
      <c r="BP54" s="19">
        <f>'Grid_Stock'!BG25</f>
        <v/>
      </c>
      <c r="BQ54" s="19">
        <f>'Grid_Stock'!BH25</f>
        <v/>
      </c>
      <c r="BR54" s="19">
        <f>'Grid_Stock'!BI25</f>
        <v/>
      </c>
      <c r="BS54" s="19">
        <f>'Grid_Stock'!BJ25</f>
        <v/>
      </c>
      <c r="BT54" s="19">
        <f>'Grid_Stock'!BK25</f>
        <v/>
      </c>
      <c r="BU54" s="19">
        <f>'Grid_Stock'!BL25</f>
        <v/>
      </c>
      <c r="BV54" s="19">
        <f>'Grid_Stock'!BM25</f>
        <v/>
      </c>
      <c r="BW54" s="19">
        <f>'Grid_Stock'!BN25</f>
        <v/>
      </c>
      <c r="BX54" s="19">
        <f>'Grid_Stock'!BO25</f>
        <v/>
      </c>
      <c r="BY54" s="19">
        <f>'Grid_Stock'!BP25</f>
        <v/>
      </c>
      <c r="BZ54" s="19">
        <f>'Grid_Stock'!BQ25</f>
        <v/>
      </c>
      <c r="CA54" s="19">
        <f>'Grid_Stock'!BR25</f>
        <v/>
      </c>
      <c r="CB54" s="19">
        <f>'Grid_Stock'!BS25</f>
        <v/>
      </c>
      <c r="CC54" s="19">
        <f>'Grid_Stock'!BT25</f>
        <v/>
      </c>
      <c r="CD54" s="19">
        <f>'Grid_Stock'!BU25</f>
        <v/>
      </c>
      <c r="CE54" s="19">
        <f>'Grid_Stock'!BV25</f>
        <v/>
      </c>
      <c r="CF54" s="19">
        <f>'Grid_Stock'!BW25</f>
        <v/>
      </c>
      <c r="CG54" s="19">
        <f>'Grid_Stock'!BX25</f>
        <v/>
      </c>
      <c r="CH54" s="19">
        <f>'Grid_Stock'!BY25</f>
        <v/>
      </c>
      <c r="CI54" s="19">
        <f>'Grid_Stock'!BZ25</f>
        <v/>
      </c>
      <c r="CJ54" s="19">
        <f>'Grid_Stock'!CA25</f>
        <v/>
      </c>
      <c r="CK54" s="19">
        <f>'Grid_Stock'!CB25</f>
        <v/>
      </c>
      <c r="CL54" s="19">
        <f>'Grid_Stock'!CC25</f>
        <v/>
      </c>
      <c r="CM54" s="19">
        <f>'Grid_Stock'!CD25</f>
        <v/>
      </c>
      <c r="CN54" s="19">
        <f>'Grid_Stock'!CE25</f>
        <v/>
      </c>
      <c r="CO54" s="19">
        <f>'Grid_Stock'!CF25</f>
        <v/>
      </c>
      <c r="CP54" s="19">
        <f>'Grid_Stock'!CG25</f>
        <v/>
      </c>
      <c r="CQ54" s="19">
        <f>'Grid_Stock'!CH25</f>
        <v/>
      </c>
      <c r="CR54" s="19">
        <f>'Grid_Stock'!CI25</f>
        <v/>
      </c>
      <c r="CS54" s="19">
        <f>'Grid_Stock'!CJ25</f>
        <v/>
      </c>
      <c r="CT54" s="19">
        <f>'Grid_Stock'!CK25</f>
        <v/>
      </c>
      <c r="CU54" s="19">
        <f>'Grid_Stock'!CL25</f>
        <v/>
      </c>
      <c r="CV54" s="19">
        <f>'Grid_Stock'!CM25</f>
        <v/>
      </c>
      <c r="CW54" s="19">
        <f>'Grid_Stock'!CN25</f>
        <v/>
      </c>
      <c r="CX54" s="19">
        <f>'Grid_Stock'!CO25</f>
        <v/>
      </c>
      <c r="CY54" s="19">
        <f>'Grid_Stock'!CP25</f>
        <v/>
      </c>
      <c r="CZ54" s="19">
        <f>'Grid_Stock'!CQ25</f>
        <v/>
      </c>
      <c r="DA54" s="19">
        <f>'Grid_Stock'!CR25</f>
        <v/>
      </c>
      <c r="DB54" s="19">
        <f>'Grid_Stock'!CS25</f>
        <v/>
      </c>
      <c r="DC54" s="19">
        <f>'Grid_Stock'!CT25</f>
        <v/>
      </c>
      <c r="DD54" s="19">
        <f>'Grid_Stock'!CU25</f>
        <v/>
      </c>
      <c r="DE54" s="19">
        <f>'Grid_Stock'!CV25</f>
        <v/>
      </c>
      <c r="DF54" s="19">
        <f>'Grid_Stock'!CW25</f>
        <v/>
      </c>
      <c r="DG54" s="19">
        <f>'Grid_Stock'!CX25</f>
        <v/>
      </c>
      <c r="DH54" s="19">
        <f>'Grid_Stock'!CY25</f>
        <v/>
      </c>
      <c r="DI54" s="19">
        <f>'Grid_Stock'!CZ25</f>
        <v/>
      </c>
      <c r="DJ54" s="19">
        <f>'Grid_Stock'!DA25</f>
        <v/>
      </c>
    </row>
    <row r="55">
      <c r="A55" s="17" t="inlineStr">
        <is>
          <t>CHEM-1580</t>
        </is>
      </c>
      <c r="B55" s="17">
        <f>IFERROR(INDEX(M_RawMaterials[Description],MATCH($A55,M_RawMaterials[Part Name],0)),"")</f>
        <v/>
      </c>
      <c r="C55" s="17">
        <f>IFERROR(INDEX(M_RawMaterials[Category],MATCH($A55,M_RawMaterials[Part Name],0)),"")</f>
        <v/>
      </c>
      <c r="D55" s="17">
        <f>IFERROR(INDEX(M_RawMaterials[基準在庫下限_要入力],MATCH($A55,M_RawMaterials[Part Name],0)),0)</f>
        <v/>
      </c>
      <c r="E55" s="17">
        <f>IFERROR(INDEX(M_RawMaterials[基準在庫上限_要入力],MATCH($A55,M_RawMaterials[Part Name],0)),0)</f>
        <v/>
      </c>
      <c r="F55" s="17">
        <f>IFERROR(LOOKUP(2,1/('T_SelfStock'!$B$30:$DA$30&lt;&gt;""),'T_SelfStock'!$B$30:$DA$30),"")</f>
        <v/>
      </c>
      <c r="G55" s="17">
        <f>IFERROR(LOOKUP(2,1/('T_TTAFStock'!$B$30:$DA$30&lt;&gt;""),'T_TTAFStock'!$B$30:$DA$30),"")</f>
        <v/>
      </c>
      <c r="H55" s="17">
        <f>IFERROR(LOOKUP(2,1/('T_SelfStock'!$B$30:$DA$30&lt;&gt;""),'T_SelfStock'!$B$5:$DA$5),"")</f>
        <v/>
      </c>
      <c r="I55" s="18" t="inlineStr">
        <is>
          <t>理論在庫</t>
        </is>
      </c>
      <c r="J55" s="17">
        <f>'Grid_Stock'!DA26-'Grid_TheoreticalStock'!DA26</f>
        <v/>
      </c>
      <c r="K55" s="18">
        <f>'Grid_TheoreticalStock'!B26</f>
        <v/>
      </c>
      <c r="L55" s="18">
        <f>'Grid_TheoreticalStock'!C26</f>
        <v/>
      </c>
      <c r="M55" s="18">
        <f>'Grid_TheoreticalStock'!D26</f>
        <v/>
      </c>
      <c r="N55" s="18">
        <f>'Grid_TheoreticalStock'!E26</f>
        <v/>
      </c>
      <c r="O55" s="18">
        <f>'Grid_TheoreticalStock'!F26</f>
        <v/>
      </c>
      <c r="P55" s="18">
        <f>'Grid_TheoreticalStock'!G26</f>
        <v/>
      </c>
      <c r="Q55" s="18">
        <f>'Grid_TheoreticalStock'!H26</f>
        <v/>
      </c>
      <c r="R55" s="18">
        <f>'Grid_TheoreticalStock'!I26</f>
        <v/>
      </c>
      <c r="S55" s="18">
        <f>'Grid_TheoreticalStock'!J26</f>
        <v/>
      </c>
      <c r="T55" s="18">
        <f>'Grid_TheoreticalStock'!K26</f>
        <v/>
      </c>
      <c r="U55" s="18">
        <f>'Grid_TheoreticalStock'!L26</f>
        <v/>
      </c>
      <c r="V55" s="18">
        <f>'Grid_TheoreticalStock'!M26</f>
        <v/>
      </c>
      <c r="W55" s="18">
        <f>'Grid_TheoreticalStock'!N26</f>
        <v/>
      </c>
      <c r="X55" s="18">
        <f>'Grid_TheoreticalStock'!O26</f>
        <v/>
      </c>
      <c r="Y55" s="18">
        <f>'Grid_TheoreticalStock'!P26</f>
        <v/>
      </c>
      <c r="Z55" s="18">
        <f>'Grid_TheoreticalStock'!Q26</f>
        <v/>
      </c>
      <c r="AA55" s="18">
        <f>'Grid_TheoreticalStock'!R26</f>
        <v/>
      </c>
      <c r="AB55" s="18">
        <f>'Grid_TheoreticalStock'!S26</f>
        <v/>
      </c>
      <c r="AC55" s="18">
        <f>'Grid_TheoreticalStock'!T26</f>
        <v/>
      </c>
      <c r="AD55" s="18">
        <f>'Grid_TheoreticalStock'!U26</f>
        <v/>
      </c>
      <c r="AE55" s="18">
        <f>'Grid_TheoreticalStock'!V26</f>
        <v/>
      </c>
      <c r="AF55" s="18">
        <f>'Grid_TheoreticalStock'!W26</f>
        <v/>
      </c>
      <c r="AG55" s="18">
        <f>'Grid_TheoreticalStock'!X26</f>
        <v/>
      </c>
      <c r="AH55" s="18">
        <f>'Grid_TheoreticalStock'!Y26</f>
        <v/>
      </c>
      <c r="AI55" s="18">
        <f>'Grid_TheoreticalStock'!Z26</f>
        <v/>
      </c>
      <c r="AJ55" s="18">
        <f>'Grid_TheoreticalStock'!AA26</f>
        <v/>
      </c>
      <c r="AK55" s="18">
        <f>'Grid_TheoreticalStock'!AB26</f>
        <v/>
      </c>
      <c r="AL55" s="18">
        <f>'Grid_TheoreticalStock'!AC26</f>
        <v/>
      </c>
      <c r="AM55" s="18">
        <f>'Grid_TheoreticalStock'!AD26</f>
        <v/>
      </c>
      <c r="AN55" s="18">
        <f>'Grid_TheoreticalStock'!AE26</f>
        <v/>
      </c>
      <c r="AO55" s="18">
        <f>'Grid_TheoreticalStock'!AF26</f>
        <v/>
      </c>
      <c r="AP55" s="18">
        <f>'Grid_TheoreticalStock'!AG26</f>
        <v/>
      </c>
      <c r="AQ55" s="18">
        <f>'Grid_TheoreticalStock'!AH26</f>
        <v/>
      </c>
      <c r="AR55" s="18">
        <f>'Grid_TheoreticalStock'!AI26</f>
        <v/>
      </c>
      <c r="AS55" s="18">
        <f>'Grid_TheoreticalStock'!AJ26</f>
        <v/>
      </c>
      <c r="AT55" s="18">
        <f>'Grid_TheoreticalStock'!AK26</f>
        <v/>
      </c>
      <c r="AU55" s="18">
        <f>'Grid_TheoreticalStock'!AL26</f>
        <v/>
      </c>
      <c r="AV55" s="18">
        <f>'Grid_TheoreticalStock'!AM26</f>
        <v/>
      </c>
      <c r="AW55" s="18">
        <f>'Grid_TheoreticalStock'!AN26</f>
        <v/>
      </c>
      <c r="AX55" s="18">
        <f>'Grid_TheoreticalStock'!AO26</f>
        <v/>
      </c>
      <c r="AY55" s="18">
        <f>'Grid_TheoreticalStock'!AP26</f>
        <v/>
      </c>
      <c r="AZ55" s="18">
        <f>'Grid_TheoreticalStock'!AQ26</f>
        <v/>
      </c>
      <c r="BA55" s="18">
        <f>'Grid_TheoreticalStock'!AR26</f>
        <v/>
      </c>
      <c r="BB55" s="18">
        <f>'Grid_TheoreticalStock'!AS26</f>
        <v/>
      </c>
      <c r="BC55" s="18">
        <f>'Grid_TheoreticalStock'!AT26</f>
        <v/>
      </c>
      <c r="BD55" s="18">
        <f>'Grid_TheoreticalStock'!AU26</f>
        <v/>
      </c>
      <c r="BE55" s="18">
        <f>'Grid_TheoreticalStock'!AV26</f>
        <v/>
      </c>
      <c r="BF55" s="18">
        <f>'Grid_TheoreticalStock'!AW26</f>
        <v/>
      </c>
      <c r="BG55" s="18">
        <f>'Grid_TheoreticalStock'!AX26</f>
        <v/>
      </c>
      <c r="BH55" s="18">
        <f>'Grid_TheoreticalStock'!AY26</f>
        <v/>
      </c>
      <c r="BI55" s="18">
        <f>'Grid_TheoreticalStock'!AZ26</f>
        <v/>
      </c>
      <c r="BJ55" s="18">
        <f>'Grid_TheoreticalStock'!BA26</f>
        <v/>
      </c>
      <c r="BK55" s="18">
        <f>'Grid_TheoreticalStock'!BB26</f>
        <v/>
      </c>
      <c r="BL55" s="18">
        <f>'Grid_TheoreticalStock'!BC26</f>
        <v/>
      </c>
      <c r="BM55" s="18">
        <f>'Grid_TheoreticalStock'!BD26</f>
        <v/>
      </c>
      <c r="BN55" s="18">
        <f>'Grid_TheoreticalStock'!BE26</f>
        <v/>
      </c>
      <c r="BO55" s="18">
        <f>'Grid_TheoreticalStock'!BF26</f>
        <v/>
      </c>
      <c r="BP55" s="18">
        <f>'Grid_TheoreticalStock'!BG26</f>
        <v/>
      </c>
      <c r="BQ55" s="18">
        <f>'Grid_TheoreticalStock'!BH26</f>
        <v/>
      </c>
      <c r="BR55" s="18">
        <f>'Grid_TheoreticalStock'!BI26</f>
        <v/>
      </c>
      <c r="BS55" s="18">
        <f>'Grid_TheoreticalStock'!BJ26</f>
        <v/>
      </c>
      <c r="BT55" s="18">
        <f>'Grid_TheoreticalStock'!BK26</f>
        <v/>
      </c>
      <c r="BU55" s="18">
        <f>'Grid_TheoreticalStock'!BL26</f>
        <v/>
      </c>
      <c r="BV55" s="18">
        <f>'Grid_TheoreticalStock'!BM26</f>
        <v/>
      </c>
      <c r="BW55" s="18">
        <f>'Grid_TheoreticalStock'!BN26</f>
        <v/>
      </c>
      <c r="BX55" s="18">
        <f>'Grid_TheoreticalStock'!BO26</f>
        <v/>
      </c>
      <c r="BY55" s="18">
        <f>'Grid_TheoreticalStock'!BP26</f>
        <v/>
      </c>
      <c r="BZ55" s="18">
        <f>'Grid_TheoreticalStock'!BQ26</f>
        <v/>
      </c>
      <c r="CA55" s="18">
        <f>'Grid_TheoreticalStock'!BR26</f>
        <v/>
      </c>
      <c r="CB55" s="18">
        <f>'Grid_TheoreticalStock'!BS26</f>
        <v/>
      </c>
      <c r="CC55" s="18">
        <f>'Grid_TheoreticalStock'!BT26</f>
        <v/>
      </c>
      <c r="CD55" s="18">
        <f>'Grid_TheoreticalStock'!BU26</f>
        <v/>
      </c>
      <c r="CE55" s="18">
        <f>'Grid_TheoreticalStock'!BV26</f>
        <v/>
      </c>
      <c r="CF55" s="18">
        <f>'Grid_TheoreticalStock'!BW26</f>
        <v/>
      </c>
      <c r="CG55" s="18">
        <f>'Grid_TheoreticalStock'!BX26</f>
        <v/>
      </c>
      <c r="CH55" s="18">
        <f>'Grid_TheoreticalStock'!BY26</f>
        <v/>
      </c>
      <c r="CI55" s="18">
        <f>'Grid_TheoreticalStock'!BZ26</f>
        <v/>
      </c>
      <c r="CJ55" s="18">
        <f>'Grid_TheoreticalStock'!CA26</f>
        <v/>
      </c>
      <c r="CK55" s="18">
        <f>'Grid_TheoreticalStock'!CB26</f>
        <v/>
      </c>
      <c r="CL55" s="18">
        <f>'Grid_TheoreticalStock'!CC26</f>
        <v/>
      </c>
      <c r="CM55" s="18">
        <f>'Grid_TheoreticalStock'!CD26</f>
        <v/>
      </c>
      <c r="CN55" s="18">
        <f>'Grid_TheoreticalStock'!CE26</f>
        <v/>
      </c>
      <c r="CO55" s="18">
        <f>'Grid_TheoreticalStock'!CF26</f>
        <v/>
      </c>
      <c r="CP55" s="18">
        <f>'Grid_TheoreticalStock'!CG26</f>
        <v/>
      </c>
      <c r="CQ55" s="18">
        <f>'Grid_TheoreticalStock'!CH26</f>
        <v/>
      </c>
      <c r="CR55" s="18">
        <f>'Grid_TheoreticalStock'!CI26</f>
        <v/>
      </c>
      <c r="CS55" s="18">
        <f>'Grid_TheoreticalStock'!CJ26</f>
        <v/>
      </c>
      <c r="CT55" s="18">
        <f>'Grid_TheoreticalStock'!CK26</f>
        <v/>
      </c>
      <c r="CU55" s="18">
        <f>'Grid_TheoreticalStock'!CL26</f>
        <v/>
      </c>
      <c r="CV55" s="18">
        <f>'Grid_TheoreticalStock'!CM26</f>
        <v/>
      </c>
      <c r="CW55" s="18">
        <f>'Grid_TheoreticalStock'!CN26</f>
        <v/>
      </c>
      <c r="CX55" s="18">
        <f>'Grid_TheoreticalStock'!CO26</f>
        <v/>
      </c>
      <c r="CY55" s="18">
        <f>'Grid_TheoreticalStock'!CP26</f>
        <v/>
      </c>
      <c r="CZ55" s="18">
        <f>'Grid_TheoreticalStock'!CQ26</f>
        <v/>
      </c>
      <c r="DA55" s="18">
        <f>'Grid_TheoreticalStock'!CR26</f>
        <v/>
      </c>
      <c r="DB55" s="18">
        <f>'Grid_TheoreticalStock'!CS26</f>
        <v/>
      </c>
      <c r="DC55" s="18">
        <f>'Grid_TheoreticalStock'!CT26</f>
        <v/>
      </c>
      <c r="DD55" s="18">
        <f>'Grid_TheoreticalStock'!CU26</f>
        <v/>
      </c>
      <c r="DE55" s="18">
        <f>'Grid_TheoreticalStock'!CV26</f>
        <v/>
      </c>
      <c r="DF55" s="18">
        <f>'Grid_TheoreticalStock'!CW26</f>
        <v/>
      </c>
      <c r="DG55" s="18">
        <f>'Grid_TheoreticalStock'!CX26</f>
        <v/>
      </c>
      <c r="DH55" s="18">
        <f>'Grid_TheoreticalStock'!CY26</f>
        <v/>
      </c>
      <c r="DI55" s="18">
        <f>'Grid_TheoreticalStock'!CZ26</f>
        <v/>
      </c>
      <c r="DJ55" s="18">
        <f>'Grid_TheoreticalStock'!DA26</f>
        <v/>
      </c>
    </row>
    <row r="56">
      <c r="A56" s="19" t="inlineStr">
        <is>
          <t>CHEM-1580</t>
        </is>
      </c>
      <c r="B56" s="19">
        <f>IFERROR(INDEX(M_RawMaterials[Description],MATCH($A56,M_RawMaterials[Part Name],0)),"")</f>
        <v/>
      </c>
      <c r="C56" s="19">
        <f>IFERROR(INDEX(M_RawMaterials[Category],MATCH($A56,M_RawMaterials[Part Name],0)),"")</f>
        <v/>
      </c>
      <c r="D56" s="19">
        <f>IFERROR(INDEX(M_RawMaterials[基準在庫下限_要入力],MATCH($A56,M_RawMaterials[Part Name],0)),0)</f>
        <v/>
      </c>
      <c r="E56" s="19">
        <f>IFERROR(INDEX(M_RawMaterials[基準在庫上限_要入力],MATCH($A56,M_RawMaterials[Part Name],0)),0)</f>
        <v/>
      </c>
      <c r="F56" s="19">
        <f>IFERROR(LOOKUP(2,1/('T_SelfStock'!$B$30:$DA$30&lt;&gt;""),'T_SelfStock'!$B$30:$DA$30),"")</f>
        <v/>
      </c>
      <c r="G56" s="19">
        <f>IFERROR(LOOKUP(2,1/('T_TTAFStock'!$B$30:$DA$30&lt;&gt;""),'T_TTAFStock'!$B$30:$DA$30),"")</f>
        <v/>
      </c>
      <c r="H56" s="19">
        <f>IFERROR(LOOKUP(2,1/('T_SelfStock'!$B$30:$DA$30&lt;&gt;""),'T_SelfStock'!$B$5:$DA$5),"")</f>
        <v/>
      </c>
      <c r="I56" s="20" t="inlineStr">
        <is>
          <t>実在庫</t>
        </is>
      </c>
      <c r="J56" s="19">
        <f>'Grid_Stock'!DA26-'Grid_TheoreticalStock'!DA26</f>
        <v/>
      </c>
      <c r="K56" s="19">
        <f>'Grid_Stock'!B26</f>
        <v/>
      </c>
      <c r="L56" s="19">
        <f>'Grid_Stock'!C26</f>
        <v/>
      </c>
      <c r="M56" s="19">
        <f>'Grid_Stock'!D26</f>
        <v/>
      </c>
      <c r="N56" s="19">
        <f>'Grid_Stock'!E26</f>
        <v/>
      </c>
      <c r="O56" s="19">
        <f>'Grid_Stock'!F26</f>
        <v/>
      </c>
      <c r="P56" s="19">
        <f>'Grid_Stock'!G26</f>
        <v/>
      </c>
      <c r="Q56" s="19">
        <f>'Grid_Stock'!H26</f>
        <v/>
      </c>
      <c r="R56" s="19">
        <f>'Grid_Stock'!I26</f>
        <v/>
      </c>
      <c r="S56" s="19">
        <f>'Grid_Stock'!J26</f>
        <v/>
      </c>
      <c r="T56" s="19">
        <f>'Grid_Stock'!K26</f>
        <v/>
      </c>
      <c r="U56" s="19">
        <f>'Grid_Stock'!L26</f>
        <v/>
      </c>
      <c r="V56" s="19">
        <f>'Grid_Stock'!M26</f>
        <v/>
      </c>
      <c r="W56" s="19">
        <f>'Grid_Stock'!N26</f>
        <v/>
      </c>
      <c r="X56" s="19">
        <f>'Grid_Stock'!O26</f>
        <v/>
      </c>
      <c r="Y56" s="19">
        <f>'Grid_Stock'!P26</f>
        <v/>
      </c>
      <c r="Z56" s="19">
        <f>'Grid_Stock'!Q26</f>
        <v/>
      </c>
      <c r="AA56" s="19">
        <f>'Grid_Stock'!R26</f>
        <v/>
      </c>
      <c r="AB56" s="19">
        <f>'Grid_Stock'!S26</f>
        <v/>
      </c>
      <c r="AC56" s="19">
        <f>'Grid_Stock'!T26</f>
        <v/>
      </c>
      <c r="AD56" s="19">
        <f>'Grid_Stock'!U26</f>
        <v/>
      </c>
      <c r="AE56" s="19">
        <f>'Grid_Stock'!V26</f>
        <v/>
      </c>
      <c r="AF56" s="19">
        <f>'Grid_Stock'!W26</f>
        <v/>
      </c>
      <c r="AG56" s="19">
        <f>'Grid_Stock'!X26</f>
        <v/>
      </c>
      <c r="AH56" s="19">
        <f>'Grid_Stock'!Y26</f>
        <v/>
      </c>
      <c r="AI56" s="19">
        <f>'Grid_Stock'!Z26</f>
        <v/>
      </c>
      <c r="AJ56" s="19">
        <f>'Grid_Stock'!AA26</f>
        <v/>
      </c>
      <c r="AK56" s="19">
        <f>'Grid_Stock'!AB26</f>
        <v/>
      </c>
      <c r="AL56" s="19">
        <f>'Grid_Stock'!AC26</f>
        <v/>
      </c>
      <c r="AM56" s="19">
        <f>'Grid_Stock'!AD26</f>
        <v/>
      </c>
      <c r="AN56" s="19">
        <f>'Grid_Stock'!AE26</f>
        <v/>
      </c>
      <c r="AO56" s="19">
        <f>'Grid_Stock'!AF26</f>
        <v/>
      </c>
      <c r="AP56" s="19">
        <f>'Grid_Stock'!AG26</f>
        <v/>
      </c>
      <c r="AQ56" s="19">
        <f>'Grid_Stock'!AH26</f>
        <v/>
      </c>
      <c r="AR56" s="19">
        <f>'Grid_Stock'!AI26</f>
        <v/>
      </c>
      <c r="AS56" s="19">
        <f>'Grid_Stock'!AJ26</f>
        <v/>
      </c>
      <c r="AT56" s="19">
        <f>'Grid_Stock'!AK26</f>
        <v/>
      </c>
      <c r="AU56" s="19">
        <f>'Grid_Stock'!AL26</f>
        <v/>
      </c>
      <c r="AV56" s="19">
        <f>'Grid_Stock'!AM26</f>
        <v/>
      </c>
      <c r="AW56" s="19">
        <f>'Grid_Stock'!AN26</f>
        <v/>
      </c>
      <c r="AX56" s="19">
        <f>'Grid_Stock'!AO26</f>
        <v/>
      </c>
      <c r="AY56" s="19">
        <f>'Grid_Stock'!AP26</f>
        <v/>
      </c>
      <c r="AZ56" s="19">
        <f>'Grid_Stock'!AQ26</f>
        <v/>
      </c>
      <c r="BA56" s="19">
        <f>'Grid_Stock'!AR26</f>
        <v/>
      </c>
      <c r="BB56" s="19">
        <f>'Grid_Stock'!AS26</f>
        <v/>
      </c>
      <c r="BC56" s="19">
        <f>'Grid_Stock'!AT26</f>
        <v/>
      </c>
      <c r="BD56" s="19">
        <f>'Grid_Stock'!AU26</f>
        <v/>
      </c>
      <c r="BE56" s="19">
        <f>'Grid_Stock'!AV26</f>
        <v/>
      </c>
      <c r="BF56" s="19">
        <f>'Grid_Stock'!AW26</f>
        <v/>
      </c>
      <c r="BG56" s="19">
        <f>'Grid_Stock'!AX26</f>
        <v/>
      </c>
      <c r="BH56" s="19">
        <f>'Grid_Stock'!AY26</f>
        <v/>
      </c>
      <c r="BI56" s="19">
        <f>'Grid_Stock'!AZ26</f>
        <v/>
      </c>
      <c r="BJ56" s="19">
        <f>'Grid_Stock'!BA26</f>
        <v/>
      </c>
      <c r="BK56" s="19">
        <f>'Grid_Stock'!BB26</f>
        <v/>
      </c>
      <c r="BL56" s="19">
        <f>'Grid_Stock'!BC26</f>
        <v/>
      </c>
      <c r="BM56" s="19">
        <f>'Grid_Stock'!BD26</f>
        <v/>
      </c>
      <c r="BN56" s="19">
        <f>'Grid_Stock'!BE26</f>
        <v/>
      </c>
      <c r="BO56" s="19">
        <f>'Grid_Stock'!BF26</f>
        <v/>
      </c>
      <c r="BP56" s="19">
        <f>'Grid_Stock'!BG26</f>
        <v/>
      </c>
      <c r="BQ56" s="19">
        <f>'Grid_Stock'!BH26</f>
        <v/>
      </c>
      <c r="BR56" s="19">
        <f>'Grid_Stock'!BI26</f>
        <v/>
      </c>
      <c r="BS56" s="19">
        <f>'Grid_Stock'!BJ26</f>
        <v/>
      </c>
      <c r="BT56" s="19">
        <f>'Grid_Stock'!BK26</f>
        <v/>
      </c>
      <c r="BU56" s="19">
        <f>'Grid_Stock'!BL26</f>
        <v/>
      </c>
      <c r="BV56" s="19">
        <f>'Grid_Stock'!BM26</f>
        <v/>
      </c>
      <c r="BW56" s="19">
        <f>'Grid_Stock'!BN26</f>
        <v/>
      </c>
      <c r="BX56" s="19">
        <f>'Grid_Stock'!BO26</f>
        <v/>
      </c>
      <c r="BY56" s="19">
        <f>'Grid_Stock'!BP26</f>
        <v/>
      </c>
      <c r="BZ56" s="19">
        <f>'Grid_Stock'!BQ26</f>
        <v/>
      </c>
      <c r="CA56" s="19">
        <f>'Grid_Stock'!BR26</f>
        <v/>
      </c>
      <c r="CB56" s="19">
        <f>'Grid_Stock'!BS26</f>
        <v/>
      </c>
      <c r="CC56" s="19">
        <f>'Grid_Stock'!BT26</f>
        <v/>
      </c>
      <c r="CD56" s="19">
        <f>'Grid_Stock'!BU26</f>
        <v/>
      </c>
      <c r="CE56" s="19">
        <f>'Grid_Stock'!BV26</f>
        <v/>
      </c>
      <c r="CF56" s="19">
        <f>'Grid_Stock'!BW26</f>
        <v/>
      </c>
      <c r="CG56" s="19">
        <f>'Grid_Stock'!BX26</f>
        <v/>
      </c>
      <c r="CH56" s="19">
        <f>'Grid_Stock'!BY26</f>
        <v/>
      </c>
      <c r="CI56" s="19">
        <f>'Grid_Stock'!BZ26</f>
        <v/>
      </c>
      <c r="CJ56" s="19">
        <f>'Grid_Stock'!CA26</f>
        <v/>
      </c>
      <c r="CK56" s="19">
        <f>'Grid_Stock'!CB26</f>
        <v/>
      </c>
      <c r="CL56" s="19">
        <f>'Grid_Stock'!CC26</f>
        <v/>
      </c>
      <c r="CM56" s="19">
        <f>'Grid_Stock'!CD26</f>
        <v/>
      </c>
      <c r="CN56" s="19">
        <f>'Grid_Stock'!CE26</f>
        <v/>
      </c>
      <c r="CO56" s="19">
        <f>'Grid_Stock'!CF26</f>
        <v/>
      </c>
      <c r="CP56" s="19">
        <f>'Grid_Stock'!CG26</f>
        <v/>
      </c>
      <c r="CQ56" s="19">
        <f>'Grid_Stock'!CH26</f>
        <v/>
      </c>
      <c r="CR56" s="19">
        <f>'Grid_Stock'!CI26</f>
        <v/>
      </c>
      <c r="CS56" s="19">
        <f>'Grid_Stock'!CJ26</f>
        <v/>
      </c>
      <c r="CT56" s="19">
        <f>'Grid_Stock'!CK26</f>
        <v/>
      </c>
      <c r="CU56" s="19">
        <f>'Grid_Stock'!CL26</f>
        <v/>
      </c>
      <c r="CV56" s="19">
        <f>'Grid_Stock'!CM26</f>
        <v/>
      </c>
      <c r="CW56" s="19">
        <f>'Grid_Stock'!CN26</f>
        <v/>
      </c>
      <c r="CX56" s="19">
        <f>'Grid_Stock'!CO26</f>
        <v/>
      </c>
      <c r="CY56" s="19">
        <f>'Grid_Stock'!CP26</f>
        <v/>
      </c>
      <c r="CZ56" s="19">
        <f>'Grid_Stock'!CQ26</f>
        <v/>
      </c>
      <c r="DA56" s="19">
        <f>'Grid_Stock'!CR26</f>
        <v/>
      </c>
      <c r="DB56" s="19">
        <f>'Grid_Stock'!CS26</f>
        <v/>
      </c>
      <c r="DC56" s="19">
        <f>'Grid_Stock'!CT26</f>
        <v/>
      </c>
      <c r="DD56" s="19">
        <f>'Grid_Stock'!CU26</f>
        <v/>
      </c>
      <c r="DE56" s="19">
        <f>'Grid_Stock'!CV26</f>
        <v/>
      </c>
      <c r="DF56" s="19">
        <f>'Grid_Stock'!CW26</f>
        <v/>
      </c>
      <c r="DG56" s="19">
        <f>'Grid_Stock'!CX26</f>
        <v/>
      </c>
      <c r="DH56" s="19">
        <f>'Grid_Stock'!CY26</f>
        <v/>
      </c>
      <c r="DI56" s="19">
        <f>'Grid_Stock'!CZ26</f>
        <v/>
      </c>
      <c r="DJ56" s="19">
        <f>'Grid_Stock'!DA26</f>
        <v/>
      </c>
    </row>
    <row r="57">
      <c r="A57" s="17" t="inlineStr">
        <is>
          <t>CHEM-1250</t>
        </is>
      </c>
      <c r="B57" s="17">
        <f>IFERROR(INDEX(M_RawMaterials[Description],MATCH($A57,M_RawMaterials[Part Name],0)),"")</f>
        <v/>
      </c>
      <c r="C57" s="17">
        <f>IFERROR(INDEX(M_RawMaterials[Category],MATCH($A57,M_RawMaterials[Part Name],0)),"")</f>
        <v/>
      </c>
      <c r="D57" s="17">
        <f>IFERROR(INDEX(M_RawMaterials[基準在庫下限_要入力],MATCH($A57,M_RawMaterials[Part Name],0)),0)</f>
        <v/>
      </c>
      <c r="E57" s="17">
        <f>IFERROR(INDEX(M_RawMaterials[基準在庫上限_要入力],MATCH($A57,M_RawMaterials[Part Name],0)),0)</f>
        <v/>
      </c>
      <c r="F57" s="17">
        <f>IFERROR(LOOKUP(2,1/('T_SelfStock'!$B$31:$DA$31&lt;&gt;""),'T_SelfStock'!$B$31:$DA$31),"")</f>
        <v/>
      </c>
      <c r="G57" s="17">
        <f>IFERROR(LOOKUP(2,1/('T_TTAFStock'!$B$31:$DA$31&lt;&gt;""),'T_TTAFStock'!$B$31:$DA$31),"")</f>
        <v/>
      </c>
      <c r="H57" s="17">
        <f>IFERROR(LOOKUP(2,1/('T_SelfStock'!$B$31:$DA$31&lt;&gt;""),'T_SelfStock'!$B$5:$DA$5),"")</f>
        <v/>
      </c>
      <c r="I57" s="18" t="inlineStr">
        <is>
          <t>理論在庫</t>
        </is>
      </c>
      <c r="J57" s="17">
        <f>'Grid_Stock'!DA27-'Grid_TheoreticalStock'!DA27</f>
        <v/>
      </c>
      <c r="K57" s="18">
        <f>'Grid_TheoreticalStock'!B27</f>
        <v/>
      </c>
      <c r="L57" s="18">
        <f>'Grid_TheoreticalStock'!C27</f>
        <v/>
      </c>
      <c r="M57" s="18">
        <f>'Grid_TheoreticalStock'!D27</f>
        <v/>
      </c>
      <c r="N57" s="18">
        <f>'Grid_TheoreticalStock'!E27</f>
        <v/>
      </c>
      <c r="O57" s="18">
        <f>'Grid_TheoreticalStock'!F27</f>
        <v/>
      </c>
      <c r="P57" s="18">
        <f>'Grid_TheoreticalStock'!G27</f>
        <v/>
      </c>
      <c r="Q57" s="18">
        <f>'Grid_TheoreticalStock'!H27</f>
        <v/>
      </c>
      <c r="R57" s="18">
        <f>'Grid_TheoreticalStock'!I27</f>
        <v/>
      </c>
      <c r="S57" s="18">
        <f>'Grid_TheoreticalStock'!J27</f>
        <v/>
      </c>
      <c r="T57" s="18">
        <f>'Grid_TheoreticalStock'!K27</f>
        <v/>
      </c>
      <c r="U57" s="18">
        <f>'Grid_TheoreticalStock'!L27</f>
        <v/>
      </c>
      <c r="V57" s="18">
        <f>'Grid_TheoreticalStock'!M27</f>
        <v/>
      </c>
      <c r="W57" s="18">
        <f>'Grid_TheoreticalStock'!N27</f>
        <v/>
      </c>
      <c r="X57" s="18">
        <f>'Grid_TheoreticalStock'!O27</f>
        <v/>
      </c>
      <c r="Y57" s="18">
        <f>'Grid_TheoreticalStock'!P27</f>
        <v/>
      </c>
      <c r="Z57" s="18">
        <f>'Grid_TheoreticalStock'!Q27</f>
        <v/>
      </c>
      <c r="AA57" s="18">
        <f>'Grid_TheoreticalStock'!R27</f>
        <v/>
      </c>
      <c r="AB57" s="18">
        <f>'Grid_TheoreticalStock'!S27</f>
        <v/>
      </c>
      <c r="AC57" s="18">
        <f>'Grid_TheoreticalStock'!T27</f>
        <v/>
      </c>
      <c r="AD57" s="18">
        <f>'Grid_TheoreticalStock'!U27</f>
        <v/>
      </c>
      <c r="AE57" s="18">
        <f>'Grid_TheoreticalStock'!V27</f>
        <v/>
      </c>
      <c r="AF57" s="18">
        <f>'Grid_TheoreticalStock'!W27</f>
        <v/>
      </c>
      <c r="AG57" s="18">
        <f>'Grid_TheoreticalStock'!X27</f>
        <v/>
      </c>
      <c r="AH57" s="18">
        <f>'Grid_TheoreticalStock'!Y27</f>
        <v/>
      </c>
      <c r="AI57" s="18">
        <f>'Grid_TheoreticalStock'!Z27</f>
        <v/>
      </c>
      <c r="AJ57" s="18">
        <f>'Grid_TheoreticalStock'!AA27</f>
        <v/>
      </c>
      <c r="AK57" s="18">
        <f>'Grid_TheoreticalStock'!AB27</f>
        <v/>
      </c>
      <c r="AL57" s="18">
        <f>'Grid_TheoreticalStock'!AC27</f>
        <v/>
      </c>
      <c r="AM57" s="18">
        <f>'Grid_TheoreticalStock'!AD27</f>
        <v/>
      </c>
      <c r="AN57" s="18">
        <f>'Grid_TheoreticalStock'!AE27</f>
        <v/>
      </c>
      <c r="AO57" s="18">
        <f>'Grid_TheoreticalStock'!AF27</f>
        <v/>
      </c>
      <c r="AP57" s="18">
        <f>'Grid_TheoreticalStock'!AG27</f>
        <v/>
      </c>
      <c r="AQ57" s="18">
        <f>'Grid_TheoreticalStock'!AH27</f>
        <v/>
      </c>
      <c r="AR57" s="18">
        <f>'Grid_TheoreticalStock'!AI27</f>
        <v/>
      </c>
      <c r="AS57" s="18">
        <f>'Grid_TheoreticalStock'!AJ27</f>
        <v/>
      </c>
      <c r="AT57" s="18">
        <f>'Grid_TheoreticalStock'!AK27</f>
        <v/>
      </c>
      <c r="AU57" s="18">
        <f>'Grid_TheoreticalStock'!AL27</f>
        <v/>
      </c>
      <c r="AV57" s="18">
        <f>'Grid_TheoreticalStock'!AM27</f>
        <v/>
      </c>
      <c r="AW57" s="18">
        <f>'Grid_TheoreticalStock'!AN27</f>
        <v/>
      </c>
      <c r="AX57" s="18">
        <f>'Grid_TheoreticalStock'!AO27</f>
        <v/>
      </c>
      <c r="AY57" s="18">
        <f>'Grid_TheoreticalStock'!AP27</f>
        <v/>
      </c>
      <c r="AZ57" s="18">
        <f>'Grid_TheoreticalStock'!AQ27</f>
        <v/>
      </c>
      <c r="BA57" s="18">
        <f>'Grid_TheoreticalStock'!AR27</f>
        <v/>
      </c>
      <c r="BB57" s="18">
        <f>'Grid_TheoreticalStock'!AS27</f>
        <v/>
      </c>
      <c r="BC57" s="18">
        <f>'Grid_TheoreticalStock'!AT27</f>
        <v/>
      </c>
      <c r="BD57" s="18">
        <f>'Grid_TheoreticalStock'!AU27</f>
        <v/>
      </c>
      <c r="BE57" s="18">
        <f>'Grid_TheoreticalStock'!AV27</f>
        <v/>
      </c>
      <c r="BF57" s="18">
        <f>'Grid_TheoreticalStock'!AW27</f>
        <v/>
      </c>
      <c r="BG57" s="18">
        <f>'Grid_TheoreticalStock'!AX27</f>
        <v/>
      </c>
      <c r="BH57" s="18">
        <f>'Grid_TheoreticalStock'!AY27</f>
        <v/>
      </c>
      <c r="BI57" s="18">
        <f>'Grid_TheoreticalStock'!AZ27</f>
        <v/>
      </c>
      <c r="BJ57" s="18">
        <f>'Grid_TheoreticalStock'!BA27</f>
        <v/>
      </c>
      <c r="BK57" s="18">
        <f>'Grid_TheoreticalStock'!BB27</f>
        <v/>
      </c>
      <c r="BL57" s="18">
        <f>'Grid_TheoreticalStock'!BC27</f>
        <v/>
      </c>
      <c r="BM57" s="18">
        <f>'Grid_TheoreticalStock'!BD27</f>
        <v/>
      </c>
      <c r="BN57" s="18">
        <f>'Grid_TheoreticalStock'!BE27</f>
        <v/>
      </c>
      <c r="BO57" s="18">
        <f>'Grid_TheoreticalStock'!BF27</f>
        <v/>
      </c>
      <c r="BP57" s="18">
        <f>'Grid_TheoreticalStock'!BG27</f>
        <v/>
      </c>
      <c r="BQ57" s="18">
        <f>'Grid_TheoreticalStock'!BH27</f>
        <v/>
      </c>
      <c r="BR57" s="18">
        <f>'Grid_TheoreticalStock'!BI27</f>
        <v/>
      </c>
      <c r="BS57" s="18">
        <f>'Grid_TheoreticalStock'!BJ27</f>
        <v/>
      </c>
      <c r="BT57" s="18">
        <f>'Grid_TheoreticalStock'!BK27</f>
        <v/>
      </c>
      <c r="BU57" s="18">
        <f>'Grid_TheoreticalStock'!BL27</f>
        <v/>
      </c>
      <c r="BV57" s="18">
        <f>'Grid_TheoreticalStock'!BM27</f>
        <v/>
      </c>
      <c r="BW57" s="18">
        <f>'Grid_TheoreticalStock'!BN27</f>
        <v/>
      </c>
      <c r="BX57" s="18">
        <f>'Grid_TheoreticalStock'!BO27</f>
        <v/>
      </c>
      <c r="BY57" s="18">
        <f>'Grid_TheoreticalStock'!BP27</f>
        <v/>
      </c>
      <c r="BZ57" s="18">
        <f>'Grid_TheoreticalStock'!BQ27</f>
        <v/>
      </c>
      <c r="CA57" s="18">
        <f>'Grid_TheoreticalStock'!BR27</f>
        <v/>
      </c>
      <c r="CB57" s="18">
        <f>'Grid_TheoreticalStock'!BS27</f>
        <v/>
      </c>
      <c r="CC57" s="18">
        <f>'Grid_TheoreticalStock'!BT27</f>
        <v/>
      </c>
      <c r="CD57" s="18">
        <f>'Grid_TheoreticalStock'!BU27</f>
        <v/>
      </c>
      <c r="CE57" s="18">
        <f>'Grid_TheoreticalStock'!BV27</f>
        <v/>
      </c>
      <c r="CF57" s="18">
        <f>'Grid_TheoreticalStock'!BW27</f>
        <v/>
      </c>
      <c r="CG57" s="18">
        <f>'Grid_TheoreticalStock'!BX27</f>
        <v/>
      </c>
      <c r="CH57" s="18">
        <f>'Grid_TheoreticalStock'!BY27</f>
        <v/>
      </c>
      <c r="CI57" s="18">
        <f>'Grid_TheoreticalStock'!BZ27</f>
        <v/>
      </c>
      <c r="CJ57" s="18">
        <f>'Grid_TheoreticalStock'!CA27</f>
        <v/>
      </c>
      <c r="CK57" s="18">
        <f>'Grid_TheoreticalStock'!CB27</f>
        <v/>
      </c>
      <c r="CL57" s="18">
        <f>'Grid_TheoreticalStock'!CC27</f>
        <v/>
      </c>
      <c r="CM57" s="18">
        <f>'Grid_TheoreticalStock'!CD27</f>
        <v/>
      </c>
      <c r="CN57" s="18">
        <f>'Grid_TheoreticalStock'!CE27</f>
        <v/>
      </c>
      <c r="CO57" s="18">
        <f>'Grid_TheoreticalStock'!CF27</f>
        <v/>
      </c>
      <c r="CP57" s="18">
        <f>'Grid_TheoreticalStock'!CG27</f>
        <v/>
      </c>
      <c r="CQ57" s="18">
        <f>'Grid_TheoreticalStock'!CH27</f>
        <v/>
      </c>
      <c r="CR57" s="18">
        <f>'Grid_TheoreticalStock'!CI27</f>
        <v/>
      </c>
      <c r="CS57" s="18">
        <f>'Grid_TheoreticalStock'!CJ27</f>
        <v/>
      </c>
      <c r="CT57" s="18">
        <f>'Grid_TheoreticalStock'!CK27</f>
        <v/>
      </c>
      <c r="CU57" s="18">
        <f>'Grid_TheoreticalStock'!CL27</f>
        <v/>
      </c>
      <c r="CV57" s="18">
        <f>'Grid_TheoreticalStock'!CM27</f>
        <v/>
      </c>
      <c r="CW57" s="18">
        <f>'Grid_TheoreticalStock'!CN27</f>
        <v/>
      </c>
      <c r="CX57" s="18">
        <f>'Grid_TheoreticalStock'!CO27</f>
        <v/>
      </c>
      <c r="CY57" s="18">
        <f>'Grid_TheoreticalStock'!CP27</f>
        <v/>
      </c>
      <c r="CZ57" s="18">
        <f>'Grid_TheoreticalStock'!CQ27</f>
        <v/>
      </c>
      <c r="DA57" s="18">
        <f>'Grid_TheoreticalStock'!CR27</f>
        <v/>
      </c>
      <c r="DB57" s="18">
        <f>'Grid_TheoreticalStock'!CS27</f>
        <v/>
      </c>
      <c r="DC57" s="18">
        <f>'Grid_TheoreticalStock'!CT27</f>
        <v/>
      </c>
      <c r="DD57" s="18">
        <f>'Grid_TheoreticalStock'!CU27</f>
        <v/>
      </c>
      <c r="DE57" s="18">
        <f>'Grid_TheoreticalStock'!CV27</f>
        <v/>
      </c>
      <c r="DF57" s="18">
        <f>'Grid_TheoreticalStock'!CW27</f>
        <v/>
      </c>
      <c r="DG57" s="18">
        <f>'Grid_TheoreticalStock'!CX27</f>
        <v/>
      </c>
      <c r="DH57" s="18">
        <f>'Grid_TheoreticalStock'!CY27</f>
        <v/>
      </c>
      <c r="DI57" s="18">
        <f>'Grid_TheoreticalStock'!CZ27</f>
        <v/>
      </c>
      <c r="DJ57" s="18">
        <f>'Grid_TheoreticalStock'!DA27</f>
        <v/>
      </c>
    </row>
    <row r="58">
      <c r="A58" s="19" t="inlineStr">
        <is>
          <t>CHEM-1250</t>
        </is>
      </c>
      <c r="B58" s="19">
        <f>IFERROR(INDEX(M_RawMaterials[Description],MATCH($A58,M_RawMaterials[Part Name],0)),"")</f>
        <v/>
      </c>
      <c r="C58" s="19">
        <f>IFERROR(INDEX(M_RawMaterials[Category],MATCH($A58,M_RawMaterials[Part Name],0)),"")</f>
        <v/>
      </c>
      <c r="D58" s="19">
        <f>IFERROR(INDEX(M_RawMaterials[基準在庫下限_要入力],MATCH($A58,M_RawMaterials[Part Name],0)),0)</f>
        <v/>
      </c>
      <c r="E58" s="19">
        <f>IFERROR(INDEX(M_RawMaterials[基準在庫上限_要入力],MATCH($A58,M_RawMaterials[Part Name],0)),0)</f>
        <v/>
      </c>
      <c r="F58" s="19">
        <f>IFERROR(LOOKUP(2,1/('T_SelfStock'!$B$31:$DA$31&lt;&gt;""),'T_SelfStock'!$B$31:$DA$31),"")</f>
        <v/>
      </c>
      <c r="G58" s="19">
        <f>IFERROR(LOOKUP(2,1/('T_TTAFStock'!$B$31:$DA$31&lt;&gt;""),'T_TTAFStock'!$B$31:$DA$31),"")</f>
        <v/>
      </c>
      <c r="H58" s="19">
        <f>IFERROR(LOOKUP(2,1/('T_SelfStock'!$B$31:$DA$31&lt;&gt;""),'T_SelfStock'!$B$5:$DA$5),"")</f>
        <v/>
      </c>
      <c r="I58" s="20" t="inlineStr">
        <is>
          <t>実在庫</t>
        </is>
      </c>
      <c r="J58" s="19">
        <f>'Grid_Stock'!DA27-'Grid_TheoreticalStock'!DA27</f>
        <v/>
      </c>
      <c r="K58" s="19">
        <f>'Grid_Stock'!B27</f>
        <v/>
      </c>
      <c r="L58" s="19">
        <f>'Grid_Stock'!C27</f>
        <v/>
      </c>
      <c r="M58" s="19">
        <f>'Grid_Stock'!D27</f>
        <v/>
      </c>
      <c r="N58" s="19">
        <f>'Grid_Stock'!E27</f>
        <v/>
      </c>
      <c r="O58" s="19">
        <f>'Grid_Stock'!F27</f>
        <v/>
      </c>
      <c r="P58" s="19">
        <f>'Grid_Stock'!G27</f>
        <v/>
      </c>
      <c r="Q58" s="19">
        <f>'Grid_Stock'!H27</f>
        <v/>
      </c>
      <c r="R58" s="19">
        <f>'Grid_Stock'!I27</f>
        <v/>
      </c>
      <c r="S58" s="19">
        <f>'Grid_Stock'!J27</f>
        <v/>
      </c>
      <c r="T58" s="19">
        <f>'Grid_Stock'!K27</f>
        <v/>
      </c>
      <c r="U58" s="19">
        <f>'Grid_Stock'!L27</f>
        <v/>
      </c>
      <c r="V58" s="19">
        <f>'Grid_Stock'!M27</f>
        <v/>
      </c>
      <c r="W58" s="19">
        <f>'Grid_Stock'!N27</f>
        <v/>
      </c>
      <c r="X58" s="19">
        <f>'Grid_Stock'!O27</f>
        <v/>
      </c>
      <c r="Y58" s="19">
        <f>'Grid_Stock'!P27</f>
        <v/>
      </c>
      <c r="Z58" s="19">
        <f>'Grid_Stock'!Q27</f>
        <v/>
      </c>
      <c r="AA58" s="19">
        <f>'Grid_Stock'!R27</f>
        <v/>
      </c>
      <c r="AB58" s="19">
        <f>'Grid_Stock'!S27</f>
        <v/>
      </c>
      <c r="AC58" s="19">
        <f>'Grid_Stock'!T27</f>
        <v/>
      </c>
      <c r="AD58" s="19">
        <f>'Grid_Stock'!U27</f>
        <v/>
      </c>
      <c r="AE58" s="19">
        <f>'Grid_Stock'!V27</f>
        <v/>
      </c>
      <c r="AF58" s="19">
        <f>'Grid_Stock'!W27</f>
        <v/>
      </c>
      <c r="AG58" s="19">
        <f>'Grid_Stock'!X27</f>
        <v/>
      </c>
      <c r="AH58" s="19">
        <f>'Grid_Stock'!Y27</f>
        <v/>
      </c>
      <c r="AI58" s="19">
        <f>'Grid_Stock'!Z27</f>
        <v/>
      </c>
      <c r="AJ58" s="19">
        <f>'Grid_Stock'!AA27</f>
        <v/>
      </c>
      <c r="AK58" s="19">
        <f>'Grid_Stock'!AB27</f>
        <v/>
      </c>
      <c r="AL58" s="19">
        <f>'Grid_Stock'!AC27</f>
        <v/>
      </c>
      <c r="AM58" s="19">
        <f>'Grid_Stock'!AD27</f>
        <v/>
      </c>
      <c r="AN58" s="19">
        <f>'Grid_Stock'!AE27</f>
        <v/>
      </c>
      <c r="AO58" s="19">
        <f>'Grid_Stock'!AF27</f>
        <v/>
      </c>
      <c r="AP58" s="19">
        <f>'Grid_Stock'!AG27</f>
        <v/>
      </c>
      <c r="AQ58" s="19">
        <f>'Grid_Stock'!AH27</f>
        <v/>
      </c>
      <c r="AR58" s="19">
        <f>'Grid_Stock'!AI27</f>
        <v/>
      </c>
      <c r="AS58" s="19">
        <f>'Grid_Stock'!AJ27</f>
        <v/>
      </c>
      <c r="AT58" s="19">
        <f>'Grid_Stock'!AK27</f>
        <v/>
      </c>
      <c r="AU58" s="19">
        <f>'Grid_Stock'!AL27</f>
        <v/>
      </c>
      <c r="AV58" s="19">
        <f>'Grid_Stock'!AM27</f>
        <v/>
      </c>
      <c r="AW58" s="19">
        <f>'Grid_Stock'!AN27</f>
        <v/>
      </c>
      <c r="AX58" s="19">
        <f>'Grid_Stock'!AO27</f>
        <v/>
      </c>
      <c r="AY58" s="19">
        <f>'Grid_Stock'!AP27</f>
        <v/>
      </c>
      <c r="AZ58" s="19">
        <f>'Grid_Stock'!AQ27</f>
        <v/>
      </c>
      <c r="BA58" s="19">
        <f>'Grid_Stock'!AR27</f>
        <v/>
      </c>
      <c r="BB58" s="19">
        <f>'Grid_Stock'!AS27</f>
        <v/>
      </c>
      <c r="BC58" s="19">
        <f>'Grid_Stock'!AT27</f>
        <v/>
      </c>
      <c r="BD58" s="19">
        <f>'Grid_Stock'!AU27</f>
        <v/>
      </c>
      <c r="BE58" s="19">
        <f>'Grid_Stock'!AV27</f>
        <v/>
      </c>
      <c r="BF58" s="19">
        <f>'Grid_Stock'!AW27</f>
        <v/>
      </c>
      <c r="BG58" s="19">
        <f>'Grid_Stock'!AX27</f>
        <v/>
      </c>
      <c r="BH58" s="19">
        <f>'Grid_Stock'!AY27</f>
        <v/>
      </c>
      <c r="BI58" s="19">
        <f>'Grid_Stock'!AZ27</f>
        <v/>
      </c>
      <c r="BJ58" s="19">
        <f>'Grid_Stock'!BA27</f>
        <v/>
      </c>
      <c r="BK58" s="19">
        <f>'Grid_Stock'!BB27</f>
        <v/>
      </c>
      <c r="BL58" s="19">
        <f>'Grid_Stock'!BC27</f>
        <v/>
      </c>
      <c r="BM58" s="19">
        <f>'Grid_Stock'!BD27</f>
        <v/>
      </c>
      <c r="BN58" s="19">
        <f>'Grid_Stock'!BE27</f>
        <v/>
      </c>
      <c r="BO58" s="19">
        <f>'Grid_Stock'!BF27</f>
        <v/>
      </c>
      <c r="BP58" s="19">
        <f>'Grid_Stock'!BG27</f>
        <v/>
      </c>
      <c r="BQ58" s="19">
        <f>'Grid_Stock'!BH27</f>
        <v/>
      </c>
      <c r="BR58" s="19">
        <f>'Grid_Stock'!BI27</f>
        <v/>
      </c>
      <c r="BS58" s="19">
        <f>'Grid_Stock'!BJ27</f>
        <v/>
      </c>
      <c r="BT58" s="19">
        <f>'Grid_Stock'!BK27</f>
        <v/>
      </c>
      <c r="BU58" s="19">
        <f>'Grid_Stock'!BL27</f>
        <v/>
      </c>
      <c r="BV58" s="19">
        <f>'Grid_Stock'!BM27</f>
        <v/>
      </c>
      <c r="BW58" s="19">
        <f>'Grid_Stock'!BN27</f>
        <v/>
      </c>
      <c r="BX58" s="19">
        <f>'Grid_Stock'!BO27</f>
        <v/>
      </c>
      <c r="BY58" s="19">
        <f>'Grid_Stock'!BP27</f>
        <v/>
      </c>
      <c r="BZ58" s="19">
        <f>'Grid_Stock'!BQ27</f>
        <v/>
      </c>
      <c r="CA58" s="19">
        <f>'Grid_Stock'!BR27</f>
        <v/>
      </c>
      <c r="CB58" s="19">
        <f>'Grid_Stock'!BS27</f>
        <v/>
      </c>
      <c r="CC58" s="19">
        <f>'Grid_Stock'!BT27</f>
        <v/>
      </c>
      <c r="CD58" s="19">
        <f>'Grid_Stock'!BU27</f>
        <v/>
      </c>
      <c r="CE58" s="19">
        <f>'Grid_Stock'!BV27</f>
        <v/>
      </c>
      <c r="CF58" s="19">
        <f>'Grid_Stock'!BW27</f>
        <v/>
      </c>
      <c r="CG58" s="19">
        <f>'Grid_Stock'!BX27</f>
        <v/>
      </c>
      <c r="CH58" s="19">
        <f>'Grid_Stock'!BY27</f>
        <v/>
      </c>
      <c r="CI58" s="19">
        <f>'Grid_Stock'!BZ27</f>
        <v/>
      </c>
      <c r="CJ58" s="19">
        <f>'Grid_Stock'!CA27</f>
        <v/>
      </c>
      <c r="CK58" s="19">
        <f>'Grid_Stock'!CB27</f>
        <v/>
      </c>
      <c r="CL58" s="19">
        <f>'Grid_Stock'!CC27</f>
        <v/>
      </c>
      <c r="CM58" s="19">
        <f>'Grid_Stock'!CD27</f>
        <v/>
      </c>
      <c r="CN58" s="19">
        <f>'Grid_Stock'!CE27</f>
        <v/>
      </c>
      <c r="CO58" s="19">
        <f>'Grid_Stock'!CF27</f>
        <v/>
      </c>
      <c r="CP58" s="19">
        <f>'Grid_Stock'!CG27</f>
        <v/>
      </c>
      <c r="CQ58" s="19">
        <f>'Grid_Stock'!CH27</f>
        <v/>
      </c>
      <c r="CR58" s="19">
        <f>'Grid_Stock'!CI27</f>
        <v/>
      </c>
      <c r="CS58" s="19">
        <f>'Grid_Stock'!CJ27</f>
        <v/>
      </c>
      <c r="CT58" s="19">
        <f>'Grid_Stock'!CK27</f>
        <v/>
      </c>
      <c r="CU58" s="19">
        <f>'Grid_Stock'!CL27</f>
        <v/>
      </c>
      <c r="CV58" s="19">
        <f>'Grid_Stock'!CM27</f>
        <v/>
      </c>
      <c r="CW58" s="19">
        <f>'Grid_Stock'!CN27</f>
        <v/>
      </c>
      <c r="CX58" s="19">
        <f>'Grid_Stock'!CO27</f>
        <v/>
      </c>
      <c r="CY58" s="19">
        <f>'Grid_Stock'!CP27</f>
        <v/>
      </c>
      <c r="CZ58" s="19">
        <f>'Grid_Stock'!CQ27</f>
        <v/>
      </c>
      <c r="DA58" s="19">
        <f>'Grid_Stock'!CR27</f>
        <v/>
      </c>
      <c r="DB58" s="19">
        <f>'Grid_Stock'!CS27</f>
        <v/>
      </c>
      <c r="DC58" s="19">
        <f>'Grid_Stock'!CT27</f>
        <v/>
      </c>
      <c r="DD58" s="19">
        <f>'Grid_Stock'!CU27</f>
        <v/>
      </c>
      <c r="DE58" s="19">
        <f>'Grid_Stock'!CV27</f>
        <v/>
      </c>
      <c r="DF58" s="19">
        <f>'Grid_Stock'!CW27</f>
        <v/>
      </c>
      <c r="DG58" s="19">
        <f>'Grid_Stock'!CX27</f>
        <v/>
      </c>
      <c r="DH58" s="19">
        <f>'Grid_Stock'!CY27</f>
        <v/>
      </c>
      <c r="DI58" s="19">
        <f>'Grid_Stock'!CZ27</f>
        <v/>
      </c>
      <c r="DJ58" s="19">
        <f>'Grid_Stock'!DA27</f>
        <v/>
      </c>
    </row>
    <row r="59">
      <c r="A59" s="17" t="inlineStr">
        <is>
          <t>CHEM-1600</t>
        </is>
      </c>
      <c r="B59" s="17">
        <f>IFERROR(INDEX(M_RawMaterials[Description],MATCH($A59,M_RawMaterials[Part Name],0)),"")</f>
        <v/>
      </c>
      <c r="C59" s="17">
        <f>IFERROR(INDEX(M_RawMaterials[Category],MATCH($A59,M_RawMaterials[Part Name],0)),"")</f>
        <v/>
      </c>
      <c r="D59" s="17">
        <f>IFERROR(INDEX(M_RawMaterials[基準在庫下限_要入力],MATCH($A59,M_RawMaterials[Part Name],0)),0)</f>
        <v/>
      </c>
      <c r="E59" s="17">
        <f>IFERROR(INDEX(M_RawMaterials[基準在庫上限_要入力],MATCH($A59,M_RawMaterials[Part Name],0)),0)</f>
        <v/>
      </c>
      <c r="F59" s="17">
        <f>IFERROR(LOOKUP(2,1/('T_SelfStock'!$B$32:$DA$32&lt;&gt;""),'T_SelfStock'!$B$32:$DA$32),"")</f>
        <v/>
      </c>
      <c r="G59" s="17">
        <f>IFERROR(LOOKUP(2,1/('T_TTAFStock'!$B$32:$DA$32&lt;&gt;""),'T_TTAFStock'!$B$32:$DA$32),"")</f>
        <v/>
      </c>
      <c r="H59" s="17">
        <f>IFERROR(LOOKUP(2,1/('T_SelfStock'!$B$32:$DA$32&lt;&gt;""),'T_SelfStock'!$B$5:$DA$5),"")</f>
        <v/>
      </c>
      <c r="I59" s="18" t="inlineStr">
        <is>
          <t>理論在庫</t>
        </is>
      </c>
      <c r="J59" s="17">
        <f>'Grid_Stock'!DA28-'Grid_TheoreticalStock'!DA28</f>
        <v/>
      </c>
      <c r="K59" s="18">
        <f>'Grid_TheoreticalStock'!B28</f>
        <v/>
      </c>
      <c r="L59" s="18">
        <f>'Grid_TheoreticalStock'!C28</f>
        <v/>
      </c>
      <c r="M59" s="18">
        <f>'Grid_TheoreticalStock'!D28</f>
        <v/>
      </c>
      <c r="N59" s="18">
        <f>'Grid_TheoreticalStock'!E28</f>
        <v/>
      </c>
      <c r="O59" s="18">
        <f>'Grid_TheoreticalStock'!F28</f>
        <v/>
      </c>
      <c r="P59" s="18">
        <f>'Grid_TheoreticalStock'!G28</f>
        <v/>
      </c>
      <c r="Q59" s="18">
        <f>'Grid_TheoreticalStock'!H28</f>
        <v/>
      </c>
      <c r="R59" s="18">
        <f>'Grid_TheoreticalStock'!I28</f>
        <v/>
      </c>
      <c r="S59" s="18">
        <f>'Grid_TheoreticalStock'!J28</f>
        <v/>
      </c>
      <c r="T59" s="18">
        <f>'Grid_TheoreticalStock'!K28</f>
        <v/>
      </c>
      <c r="U59" s="18">
        <f>'Grid_TheoreticalStock'!L28</f>
        <v/>
      </c>
      <c r="V59" s="18">
        <f>'Grid_TheoreticalStock'!M28</f>
        <v/>
      </c>
      <c r="W59" s="18">
        <f>'Grid_TheoreticalStock'!N28</f>
        <v/>
      </c>
      <c r="X59" s="18">
        <f>'Grid_TheoreticalStock'!O28</f>
        <v/>
      </c>
      <c r="Y59" s="18">
        <f>'Grid_TheoreticalStock'!P28</f>
        <v/>
      </c>
      <c r="Z59" s="18">
        <f>'Grid_TheoreticalStock'!Q28</f>
        <v/>
      </c>
      <c r="AA59" s="18">
        <f>'Grid_TheoreticalStock'!R28</f>
        <v/>
      </c>
      <c r="AB59" s="18">
        <f>'Grid_TheoreticalStock'!S28</f>
        <v/>
      </c>
      <c r="AC59" s="18">
        <f>'Grid_TheoreticalStock'!T28</f>
        <v/>
      </c>
      <c r="AD59" s="18">
        <f>'Grid_TheoreticalStock'!U28</f>
        <v/>
      </c>
      <c r="AE59" s="18">
        <f>'Grid_TheoreticalStock'!V28</f>
        <v/>
      </c>
      <c r="AF59" s="18">
        <f>'Grid_TheoreticalStock'!W28</f>
        <v/>
      </c>
      <c r="AG59" s="18">
        <f>'Grid_TheoreticalStock'!X28</f>
        <v/>
      </c>
      <c r="AH59" s="18">
        <f>'Grid_TheoreticalStock'!Y28</f>
        <v/>
      </c>
      <c r="AI59" s="18">
        <f>'Grid_TheoreticalStock'!Z28</f>
        <v/>
      </c>
      <c r="AJ59" s="18">
        <f>'Grid_TheoreticalStock'!AA28</f>
        <v/>
      </c>
      <c r="AK59" s="18">
        <f>'Grid_TheoreticalStock'!AB28</f>
        <v/>
      </c>
      <c r="AL59" s="18">
        <f>'Grid_TheoreticalStock'!AC28</f>
        <v/>
      </c>
      <c r="AM59" s="18">
        <f>'Grid_TheoreticalStock'!AD28</f>
        <v/>
      </c>
      <c r="AN59" s="18">
        <f>'Grid_TheoreticalStock'!AE28</f>
        <v/>
      </c>
      <c r="AO59" s="18">
        <f>'Grid_TheoreticalStock'!AF28</f>
        <v/>
      </c>
      <c r="AP59" s="18">
        <f>'Grid_TheoreticalStock'!AG28</f>
        <v/>
      </c>
      <c r="AQ59" s="18">
        <f>'Grid_TheoreticalStock'!AH28</f>
        <v/>
      </c>
      <c r="AR59" s="18">
        <f>'Grid_TheoreticalStock'!AI28</f>
        <v/>
      </c>
      <c r="AS59" s="18">
        <f>'Grid_TheoreticalStock'!AJ28</f>
        <v/>
      </c>
      <c r="AT59" s="18">
        <f>'Grid_TheoreticalStock'!AK28</f>
        <v/>
      </c>
      <c r="AU59" s="18">
        <f>'Grid_TheoreticalStock'!AL28</f>
        <v/>
      </c>
      <c r="AV59" s="18">
        <f>'Grid_TheoreticalStock'!AM28</f>
        <v/>
      </c>
      <c r="AW59" s="18">
        <f>'Grid_TheoreticalStock'!AN28</f>
        <v/>
      </c>
      <c r="AX59" s="18">
        <f>'Grid_TheoreticalStock'!AO28</f>
        <v/>
      </c>
      <c r="AY59" s="18">
        <f>'Grid_TheoreticalStock'!AP28</f>
        <v/>
      </c>
      <c r="AZ59" s="18">
        <f>'Grid_TheoreticalStock'!AQ28</f>
        <v/>
      </c>
      <c r="BA59" s="18">
        <f>'Grid_TheoreticalStock'!AR28</f>
        <v/>
      </c>
      <c r="BB59" s="18">
        <f>'Grid_TheoreticalStock'!AS28</f>
        <v/>
      </c>
      <c r="BC59" s="18">
        <f>'Grid_TheoreticalStock'!AT28</f>
        <v/>
      </c>
      <c r="BD59" s="18">
        <f>'Grid_TheoreticalStock'!AU28</f>
        <v/>
      </c>
      <c r="BE59" s="18">
        <f>'Grid_TheoreticalStock'!AV28</f>
        <v/>
      </c>
      <c r="BF59" s="18">
        <f>'Grid_TheoreticalStock'!AW28</f>
        <v/>
      </c>
      <c r="BG59" s="18">
        <f>'Grid_TheoreticalStock'!AX28</f>
        <v/>
      </c>
      <c r="BH59" s="18">
        <f>'Grid_TheoreticalStock'!AY28</f>
        <v/>
      </c>
      <c r="BI59" s="18">
        <f>'Grid_TheoreticalStock'!AZ28</f>
        <v/>
      </c>
      <c r="BJ59" s="18">
        <f>'Grid_TheoreticalStock'!BA28</f>
        <v/>
      </c>
      <c r="BK59" s="18">
        <f>'Grid_TheoreticalStock'!BB28</f>
        <v/>
      </c>
      <c r="BL59" s="18">
        <f>'Grid_TheoreticalStock'!BC28</f>
        <v/>
      </c>
      <c r="BM59" s="18">
        <f>'Grid_TheoreticalStock'!BD28</f>
        <v/>
      </c>
      <c r="BN59" s="18">
        <f>'Grid_TheoreticalStock'!BE28</f>
        <v/>
      </c>
      <c r="BO59" s="18">
        <f>'Grid_TheoreticalStock'!BF28</f>
        <v/>
      </c>
      <c r="BP59" s="18">
        <f>'Grid_TheoreticalStock'!BG28</f>
        <v/>
      </c>
      <c r="BQ59" s="18">
        <f>'Grid_TheoreticalStock'!BH28</f>
        <v/>
      </c>
      <c r="BR59" s="18">
        <f>'Grid_TheoreticalStock'!BI28</f>
        <v/>
      </c>
      <c r="BS59" s="18">
        <f>'Grid_TheoreticalStock'!BJ28</f>
        <v/>
      </c>
      <c r="BT59" s="18">
        <f>'Grid_TheoreticalStock'!BK28</f>
        <v/>
      </c>
      <c r="BU59" s="18">
        <f>'Grid_TheoreticalStock'!BL28</f>
        <v/>
      </c>
      <c r="BV59" s="18">
        <f>'Grid_TheoreticalStock'!BM28</f>
        <v/>
      </c>
      <c r="BW59" s="18">
        <f>'Grid_TheoreticalStock'!BN28</f>
        <v/>
      </c>
      <c r="BX59" s="18">
        <f>'Grid_TheoreticalStock'!BO28</f>
        <v/>
      </c>
      <c r="BY59" s="18">
        <f>'Grid_TheoreticalStock'!BP28</f>
        <v/>
      </c>
      <c r="BZ59" s="18">
        <f>'Grid_TheoreticalStock'!BQ28</f>
        <v/>
      </c>
      <c r="CA59" s="18">
        <f>'Grid_TheoreticalStock'!BR28</f>
        <v/>
      </c>
      <c r="CB59" s="18">
        <f>'Grid_TheoreticalStock'!BS28</f>
        <v/>
      </c>
      <c r="CC59" s="18">
        <f>'Grid_TheoreticalStock'!BT28</f>
        <v/>
      </c>
      <c r="CD59" s="18">
        <f>'Grid_TheoreticalStock'!BU28</f>
        <v/>
      </c>
      <c r="CE59" s="18">
        <f>'Grid_TheoreticalStock'!BV28</f>
        <v/>
      </c>
      <c r="CF59" s="18">
        <f>'Grid_TheoreticalStock'!BW28</f>
        <v/>
      </c>
      <c r="CG59" s="18">
        <f>'Grid_TheoreticalStock'!BX28</f>
        <v/>
      </c>
      <c r="CH59" s="18">
        <f>'Grid_TheoreticalStock'!BY28</f>
        <v/>
      </c>
      <c r="CI59" s="18">
        <f>'Grid_TheoreticalStock'!BZ28</f>
        <v/>
      </c>
      <c r="CJ59" s="18">
        <f>'Grid_TheoreticalStock'!CA28</f>
        <v/>
      </c>
      <c r="CK59" s="18">
        <f>'Grid_TheoreticalStock'!CB28</f>
        <v/>
      </c>
      <c r="CL59" s="18">
        <f>'Grid_TheoreticalStock'!CC28</f>
        <v/>
      </c>
      <c r="CM59" s="18">
        <f>'Grid_TheoreticalStock'!CD28</f>
        <v/>
      </c>
      <c r="CN59" s="18">
        <f>'Grid_TheoreticalStock'!CE28</f>
        <v/>
      </c>
      <c r="CO59" s="18">
        <f>'Grid_TheoreticalStock'!CF28</f>
        <v/>
      </c>
      <c r="CP59" s="18">
        <f>'Grid_TheoreticalStock'!CG28</f>
        <v/>
      </c>
      <c r="CQ59" s="18">
        <f>'Grid_TheoreticalStock'!CH28</f>
        <v/>
      </c>
      <c r="CR59" s="18">
        <f>'Grid_TheoreticalStock'!CI28</f>
        <v/>
      </c>
      <c r="CS59" s="18">
        <f>'Grid_TheoreticalStock'!CJ28</f>
        <v/>
      </c>
      <c r="CT59" s="18">
        <f>'Grid_TheoreticalStock'!CK28</f>
        <v/>
      </c>
      <c r="CU59" s="18">
        <f>'Grid_TheoreticalStock'!CL28</f>
        <v/>
      </c>
      <c r="CV59" s="18">
        <f>'Grid_TheoreticalStock'!CM28</f>
        <v/>
      </c>
      <c r="CW59" s="18">
        <f>'Grid_TheoreticalStock'!CN28</f>
        <v/>
      </c>
      <c r="CX59" s="18">
        <f>'Grid_TheoreticalStock'!CO28</f>
        <v/>
      </c>
      <c r="CY59" s="18">
        <f>'Grid_TheoreticalStock'!CP28</f>
        <v/>
      </c>
      <c r="CZ59" s="18">
        <f>'Grid_TheoreticalStock'!CQ28</f>
        <v/>
      </c>
      <c r="DA59" s="18">
        <f>'Grid_TheoreticalStock'!CR28</f>
        <v/>
      </c>
      <c r="DB59" s="18">
        <f>'Grid_TheoreticalStock'!CS28</f>
        <v/>
      </c>
      <c r="DC59" s="18">
        <f>'Grid_TheoreticalStock'!CT28</f>
        <v/>
      </c>
      <c r="DD59" s="18">
        <f>'Grid_TheoreticalStock'!CU28</f>
        <v/>
      </c>
      <c r="DE59" s="18">
        <f>'Grid_TheoreticalStock'!CV28</f>
        <v/>
      </c>
      <c r="DF59" s="18">
        <f>'Grid_TheoreticalStock'!CW28</f>
        <v/>
      </c>
      <c r="DG59" s="18">
        <f>'Grid_TheoreticalStock'!CX28</f>
        <v/>
      </c>
      <c r="DH59" s="18">
        <f>'Grid_TheoreticalStock'!CY28</f>
        <v/>
      </c>
      <c r="DI59" s="18">
        <f>'Grid_TheoreticalStock'!CZ28</f>
        <v/>
      </c>
      <c r="DJ59" s="18">
        <f>'Grid_TheoreticalStock'!DA28</f>
        <v/>
      </c>
    </row>
    <row r="60">
      <c r="A60" s="19" t="inlineStr">
        <is>
          <t>CHEM-1600</t>
        </is>
      </c>
      <c r="B60" s="19">
        <f>IFERROR(INDEX(M_RawMaterials[Description],MATCH($A60,M_RawMaterials[Part Name],0)),"")</f>
        <v/>
      </c>
      <c r="C60" s="19">
        <f>IFERROR(INDEX(M_RawMaterials[Category],MATCH($A60,M_RawMaterials[Part Name],0)),"")</f>
        <v/>
      </c>
      <c r="D60" s="19">
        <f>IFERROR(INDEX(M_RawMaterials[基準在庫下限_要入力],MATCH($A60,M_RawMaterials[Part Name],0)),0)</f>
        <v/>
      </c>
      <c r="E60" s="19">
        <f>IFERROR(INDEX(M_RawMaterials[基準在庫上限_要入力],MATCH($A60,M_RawMaterials[Part Name],0)),0)</f>
        <v/>
      </c>
      <c r="F60" s="19">
        <f>IFERROR(LOOKUP(2,1/('T_SelfStock'!$B$32:$DA$32&lt;&gt;""),'T_SelfStock'!$B$32:$DA$32),"")</f>
        <v/>
      </c>
      <c r="G60" s="19">
        <f>IFERROR(LOOKUP(2,1/('T_TTAFStock'!$B$32:$DA$32&lt;&gt;""),'T_TTAFStock'!$B$32:$DA$32),"")</f>
        <v/>
      </c>
      <c r="H60" s="19">
        <f>IFERROR(LOOKUP(2,1/('T_SelfStock'!$B$32:$DA$32&lt;&gt;""),'T_SelfStock'!$B$5:$DA$5),"")</f>
        <v/>
      </c>
      <c r="I60" s="20" t="inlineStr">
        <is>
          <t>実在庫</t>
        </is>
      </c>
      <c r="J60" s="19">
        <f>'Grid_Stock'!DA28-'Grid_TheoreticalStock'!DA28</f>
        <v/>
      </c>
      <c r="K60" s="19">
        <f>'Grid_Stock'!B28</f>
        <v/>
      </c>
      <c r="L60" s="19">
        <f>'Grid_Stock'!C28</f>
        <v/>
      </c>
      <c r="M60" s="19">
        <f>'Grid_Stock'!D28</f>
        <v/>
      </c>
      <c r="N60" s="19">
        <f>'Grid_Stock'!E28</f>
        <v/>
      </c>
      <c r="O60" s="19">
        <f>'Grid_Stock'!F28</f>
        <v/>
      </c>
      <c r="P60" s="19">
        <f>'Grid_Stock'!G28</f>
        <v/>
      </c>
      <c r="Q60" s="19">
        <f>'Grid_Stock'!H28</f>
        <v/>
      </c>
      <c r="R60" s="19">
        <f>'Grid_Stock'!I28</f>
        <v/>
      </c>
      <c r="S60" s="19">
        <f>'Grid_Stock'!J28</f>
        <v/>
      </c>
      <c r="T60" s="19">
        <f>'Grid_Stock'!K28</f>
        <v/>
      </c>
      <c r="U60" s="19">
        <f>'Grid_Stock'!L28</f>
        <v/>
      </c>
      <c r="V60" s="19">
        <f>'Grid_Stock'!M28</f>
        <v/>
      </c>
      <c r="W60" s="19">
        <f>'Grid_Stock'!N28</f>
        <v/>
      </c>
      <c r="X60" s="19">
        <f>'Grid_Stock'!O28</f>
        <v/>
      </c>
      <c r="Y60" s="19">
        <f>'Grid_Stock'!P28</f>
        <v/>
      </c>
      <c r="Z60" s="19">
        <f>'Grid_Stock'!Q28</f>
        <v/>
      </c>
      <c r="AA60" s="19">
        <f>'Grid_Stock'!R28</f>
        <v/>
      </c>
      <c r="AB60" s="19">
        <f>'Grid_Stock'!S28</f>
        <v/>
      </c>
      <c r="AC60" s="19">
        <f>'Grid_Stock'!T28</f>
        <v/>
      </c>
      <c r="AD60" s="19">
        <f>'Grid_Stock'!U28</f>
        <v/>
      </c>
      <c r="AE60" s="19">
        <f>'Grid_Stock'!V28</f>
        <v/>
      </c>
      <c r="AF60" s="19">
        <f>'Grid_Stock'!W28</f>
        <v/>
      </c>
      <c r="AG60" s="19">
        <f>'Grid_Stock'!X28</f>
        <v/>
      </c>
      <c r="AH60" s="19">
        <f>'Grid_Stock'!Y28</f>
        <v/>
      </c>
      <c r="AI60" s="19">
        <f>'Grid_Stock'!Z28</f>
        <v/>
      </c>
      <c r="AJ60" s="19">
        <f>'Grid_Stock'!AA28</f>
        <v/>
      </c>
      <c r="AK60" s="19">
        <f>'Grid_Stock'!AB28</f>
        <v/>
      </c>
      <c r="AL60" s="19">
        <f>'Grid_Stock'!AC28</f>
        <v/>
      </c>
      <c r="AM60" s="19">
        <f>'Grid_Stock'!AD28</f>
        <v/>
      </c>
      <c r="AN60" s="19">
        <f>'Grid_Stock'!AE28</f>
        <v/>
      </c>
      <c r="AO60" s="19">
        <f>'Grid_Stock'!AF28</f>
        <v/>
      </c>
      <c r="AP60" s="19">
        <f>'Grid_Stock'!AG28</f>
        <v/>
      </c>
      <c r="AQ60" s="19">
        <f>'Grid_Stock'!AH28</f>
        <v/>
      </c>
      <c r="AR60" s="19">
        <f>'Grid_Stock'!AI28</f>
        <v/>
      </c>
      <c r="AS60" s="19">
        <f>'Grid_Stock'!AJ28</f>
        <v/>
      </c>
      <c r="AT60" s="19">
        <f>'Grid_Stock'!AK28</f>
        <v/>
      </c>
      <c r="AU60" s="19">
        <f>'Grid_Stock'!AL28</f>
        <v/>
      </c>
      <c r="AV60" s="19">
        <f>'Grid_Stock'!AM28</f>
        <v/>
      </c>
      <c r="AW60" s="19">
        <f>'Grid_Stock'!AN28</f>
        <v/>
      </c>
      <c r="AX60" s="19">
        <f>'Grid_Stock'!AO28</f>
        <v/>
      </c>
      <c r="AY60" s="19">
        <f>'Grid_Stock'!AP28</f>
        <v/>
      </c>
      <c r="AZ60" s="19">
        <f>'Grid_Stock'!AQ28</f>
        <v/>
      </c>
      <c r="BA60" s="19">
        <f>'Grid_Stock'!AR28</f>
        <v/>
      </c>
      <c r="BB60" s="19">
        <f>'Grid_Stock'!AS28</f>
        <v/>
      </c>
      <c r="BC60" s="19">
        <f>'Grid_Stock'!AT28</f>
        <v/>
      </c>
      <c r="BD60" s="19">
        <f>'Grid_Stock'!AU28</f>
        <v/>
      </c>
      <c r="BE60" s="19">
        <f>'Grid_Stock'!AV28</f>
        <v/>
      </c>
      <c r="BF60" s="19">
        <f>'Grid_Stock'!AW28</f>
        <v/>
      </c>
      <c r="BG60" s="19">
        <f>'Grid_Stock'!AX28</f>
        <v/>
      </c>
      <c r="BH60" s="19">
        <f>'Grid_Stock'!AY28</f>
        <v/>
      </c>
      <c r="BI60" s="19">
        <f>'Grid_Stock'!AZ28</f>
        <v/>
      </c>
      <c r="BJ60" s="19">
        <f>'Grid_Stock'!BA28</f>
        <v/>
      </c>
      <c r="BK60" s="19">
        <f>'Grid_Stock'!BB28</f>
        <v/>
      </c>
      <c r="BL60" s="19">
        <f>'Grid_Stock'!BC28</f>
        <v/>
      </c>
      <c r="BM60" s="19">
        <f>'Grid_Stock'!BD28</f>
        <v/>
      </c>
      <c r="BN60" s="19">
        <f>'Grid_Stock'!BE28</f>
        <v/>
      </c>
      <c r="BO60" s="19">
        <f>'Grid_Stock'!BF28</f>
        <v/>
      </c>
      <c r="BP60" s="19">
        <f>'Grid_Stock'!BG28</f>
        <v/>
      </c>
      <c r="BQ60" s="19">
        <f>'Grid_Stock'!BH28</f>
        <v/>
      </c>
      <c r="BR60" s="19">
        <f>'Grid_Stock'!BI28</f>
        <v/>
      </c>
      <c r="BS60" s="19">
        <f>'Grid_Stock'!BJ28</f>
        <v/>
      </c>
      <c r="BT60" s="19">
        <f>'Grid_Stock'!BK28</f>
        <v/>
      </c>
      <c r="BU60" s="19">
        <f>'Grid_Stock'!BL28</f>
        <v/>
      </c>
      <c r="BV60" s="19">
        <f>'Grid_Stock'!BM28</f>
        <v/>
      </c>
      <c r="BW60" s="19">
        <f>'Grid_Stock'!BN28</f>
        <v/>
      </c>
      <c r="BX60" s="19">
        <f>'Grid_Stock'!BO28</f>
        <v/>
      </c>
      <c r="BY60" s="19">
        <f>'Grid_Stock'!BP28</f>
        <v/>
      </c>
      <c r="BZ60" s="19">
        <f>'Grid_Stock'!BQ28</f>
        <v/>
      </c>
      <c r="CA60" s="19">
        <f>'Grid_Stock'!BR28</f>
        <v/>
      </c>
      <c r="CB60" s="19">
        <f>'Grid_Stock'!BS28</f>
        <v/>
      </c>
      <c r="CC60" s="19">
        <f>'Grid_Stock'!BT28</f>
        <v/>
      </c>
      <c r="CD60" s="19">
        <f>'Grid_Stock'!BU28</f>
        <v/>
      </c>
      <c r="CE60" s="19">
        <f>'Grid_Stock'!BV28</f>
        <v/>
      </c>
      <c r="CF60" s="19">
        <f>'Grid_Stock'!BW28</f>
        <v/>
      </c>
      <c r="CG60" s="19">
        <f>'Grid_Stock'!BX28</f>
        <v/>
      </c>
      <c r="CH60" s="19">
        <f>'Grid_Stock'!BY28</f>
        <v/>
      </c>
      <c r="CI60" s="19">
        <f>'Grid_Stock'!BZ28</f>
        <v/>
      </c>
      <c r="CJ60" s="19">
        <f>'Grid_Stock'!CA28</f>
        <v/>
      </c>
      <c r="CK60" s="19">
        <f>'Grid_Stock'!CB28</f>
        <v/>
      </c>
      <c r="CL60" s="19">
        <f>'Grid_Stock'!CC28</f>
        <v/>
      </c>
      <c r="CM60" s="19">
        <f>'Grid_Stock'!CD28</f>
        <v/>
      </c>
      <c r="CN60" s="19">
        <f>'Grid_Stock'!CE28</f>
        <v/>
      </c>
      <c r="CO60" s="19">
        <f>'Grid_Stock'!CF28</f>
        <v/>
      </c>
      <c r="CP60" s="19">
        <f>'Grid_Stock'!CG28</f>
        <v/>
      </c>
      <c r="CQ60" s="19">
        <f>'Grid_Stock'!CH28</f>
        <v/>
      </c>
      <c r="CR60" s="19">
        <f>'Grid_Stock'!CI28</f>
        <v/>
      </c>
      <c r="CS60" s="19">
        <f>'Grid_Stock'!CJ28</f>
        <v/>
      </c>
      <c r="CT60" s="19">
        <f>'Grid_Stock'!CK28</f>
        <v/>
      </c>
      <c r="CU60" s="19">
        <f>'Grid_Stock'!CL28</f>
        <v/>
      </c>
      <c r="CV60" s="19">
        <f>'Grid_Stock'!CM28</f>
        <v/>
      </c>
      <c r="CW60" s="19">
        <f>'Grid_Stock'!CN28</f>
        <v/>
      </c>
      <c r="CX60" s="19">
        <f>'Grid_Stock'!CO28</f>
        <v/>
      </c>
      <c r="CY60" s="19">
        <f>'Grid_Stock'!CP28</f>
        <v/>
      </c>
      <c r="CZ60" s="19">
        <f>'Grid_Stock'!CQ28</f>
        <v/>
      </c>
      <c r="DA60" s="19">
        <f>'Grid_Stock'!CR28</f>
        <v/>
      </c>
      <c r="DB60" s="19">
        <f>'Grid_Stock'!CS28</f>
        <v/>
      </c>
      <c r="DC60" s="19">
        <f>'Grid_Stock'!CT28</f>
        <v/>
      </c>
      <c r="DD60" s="19">
        <f>'Grid_Stock'!CU28</f>
        <v/>
      </c>
      <c r="DE60" s="19">
        <f>'Grid_Stock'!CV28</f>
        <v/>
      </c>
      <c r="DF60" s="19">
        <f>'Grid_Stock'!CW28</f>
        <v/>
      </c>
      <c r="DG60" s="19">
        <f>'Grid_Stock'!CX28</f>
        <v/>
      </c>
      <c r="DH60" s="19">
        <f>'Grid_Stock'!CY28</f>
        <v/>
      </c>
      <c r="DI60" s="19">
        <f>'Grid_Stock'!CZ28</f>
        <v/>
      </c>
      <c r="DJ60" s="19">
        <f>'Grid_Stock'!DA28</f>
        <v/>
      </c>
    </row>
    <row r="61">
      <c r="A61" s="17" t="inlineStr">
        <is>
          <t>CHEM-1120</t>
        </is>
      </c>
      <c r="B61" s="17">
        <f>IFERROR(INDEX(M_RawMaterials[Description],MATCH($A61,M_RawMaterials[Part Name],0)),"")</f>
        <v/>
      </c>
      <c r="C61" s="17">
        <f>IFERROR(INDEX(M_RawMaterials[Category],MATCH($A61,M_RawMaterials[Part Name],0)),"")</f>
        <v/>
      </c>
      <c r="D61" s="17">
        <f>IFERROR(INDEX(M_RawMaterials[基準在庫下限_要入力],MATCH($A61,M_RawMaterials[Part Name],0)),0)</f>
        <v/>
      </c>
      <c r="E61" s="17">
        <f>IFERROR(INDEX(M_RawMaterials[基準在庫上限_要入力],MATCH($A61,M_RawMaterials[Part Name],0)),0)</f>
        <v/>
      </c>
      <c r="F61" s="17">
        <f>IFERROR(LOOKUP(2,1/('T_SelfStock'!$B$33:$DA$33&lt;&gt;""),'T_SelfStock'!$B$33:$DA$33),"")</f>
        <v/>
      </c>
      <c r="G61" s="17">
        <f>IFERROR(LOOKUP(2,1/('T_TTAFStock'!$B$33:$DA$33&lt;&gt;""),'T_TTAFStock'!$B$33:$DA$33),"")</f>
        <v/>
      </c>
      <c r="H61" s="17">
        <f>IFERROR(LOOKUP(2,1/('T_SelfStock'!$B$33:$DA$33&lt;&gt;""),'T_SelfStock'!$B$5:$DA$5),"")</f>
        <v/>
      </c>
      <c r="I61" s="18" t="inlineStr">
        <is>
          <t>理論在庫</t>
        </is>
      </c>
      <c r="J61" s="17">
        <f>'Grid_Stock'!DA29-'Grid_TheoreticalStock'!DA29</f>
        <v/>
      </c>
      <c r="K61" s="18">
        <f>'Grid_TheoreticalStock'!B29</f>
        <v/>
      </c>
      <c r="L61" s="18">
        <f>'Grid_TheoreticalStock'!C29</f>
        <v/>
      </c>
      <c r="M61" s="18">
        <f>'Grid_TheoreticalStock'!D29</f>
        <v/>
      </c>
      <c r="N61" s="18">
        <f>'Grid_TheoreticalStock'!E29</f>
        <v/>
      </c>
      <c r="O61" s="18">
        <f>'Grid_TheoreticalStock'!F29</f>
        <v/>
      </c>
      <c r="P61" s="18">
        <f>'Grid_TheoreticalStock'!G29</f>
        <v/>
      </c>
      <c r="Q61" s="18">
        <f>'Grid_TheoreticalStock'!H29</f>
        <v/>
      </c>
      <c r="R61" s="18">
        <f>'Grid_TheoreticalStock'!I29</f>
        <v/>
      </c>
      <c r="S61" s="18">
        <f>'Grid_TheoreticalStock'!J29</f>
        <v/>
      </c>
      <c r="T61" s="18">
        <f>'Grid_TheoreticalStock'!K29</f>
        <v/>
      </c>
      <c r="U61" s="18">
        <f>'Grid_TheoreticalStock'!L29</f>
        <v/>
      </c>
      <c r="V61" s="18">
        <f>'Grid_TheoreticalStock'!M29</f>
        <v/>
      </c>
      <c r="W61" s="18">
        <f>'Grid_TheoreticalStock'!N29</f>
        <v/>
      </c>
      <c r="X61" s="18">
        <f>'Grid_TheoreticalStock'!O29</f>
        <v/>
      </c>
      <c r="Y61" s="18">
        <f>'Grid_TheoreticalStock'!P29</f>
        <v/>
      </c>
      <c r="Z61" s="18">
        <f>'Grid_TheoreticalStock'!Q29</f>
        <v/>
      </c>
      <c r="AA61" s="18">
        <f>'Grid_TheoreticalStock'!R29</f>
        <v/>
      </c>
      <c r="AB61" s="18">
        <f>'Grid_TheoreticalStock'!S29</f>
        <v/>
      </c>
      <c r="AC61" s="18">
        <f>'Grid_TheoreticalStock'!T29</f>
        <v/>
      </c>
      <c r="AD61" s="18">
        <f>'Grid_TheoreticalStock'!U29</f>
        <v/>
      </c>
      <c r="AE61" s="18">
        <f>'Grid_TheoreticalStock'!V29</f>
        <v/>
      </c>
      <c r="AF61" s="18">
        <f>'Grid_TheoreticalStock'!W29</f>
        <v/>
      </c>
      <c r="AG61" s="18">
        <f>'Grid_TheoreticalStock'!X29</f>
        <v/>
      </c>
      <c r="AH61" s="18">
        <f>'Grid_TheoreticalStock'!Y29</f>
        <v/>
      </c>
      <c r="AI61" s="18">
        <f>'Grid_TheoreticalStock'!Z29</f>
        <v/>
      </c>
      <c r="AJ61" s="18">
        <f>'Grid_TheoreticalStock'!AA29</f>
        <v/>
      </c>
      <c r="AK61" s="18">
        <f>'Grid_TheoreticalStock'!AB29</f>
        <v/>
      </c>
      <c r="AL61" s="18">
        <f>'Grid_TheoreticalStock'!AC29</f>
        <v/>
      </c>
      <c r="AM61" s="18">
        <f>'Grid_TheoreticalStock'!AD29</f>
        <v/>
      </c>
      <c r="AN61" s="18">
        <f>'Grid_TheoreticalStock'!AE29</f>
        <v/>
      </c>
      <c r="AO61" s="18">
        <f>'Grid_TheoreticalStock'!AF29</f>
        <v/>
      </c>
      <c r="AP61" s="18">
        <f>'Grid_TheoreticalStock'!AG29</f>
        <v/>
      </c>
      <c r="AQ61" s="18">
        <f>'Grid_TheoreticalStock'!AH29</f>
        <v/>
      </c>
      <c r="AR61" s="18">
        <f>'Grid_TheoreticalStock'!AI29</f>
        <v/>
      </c>
      <c r="AS61" s="18">
        <f>'Grid_TheoreticalStock'!AJ29</f>
        <v/>
      </c>
      <c r="AT61" s="18">
        <f>'Grid_TheoreticalStock'!AK29</f>
        <v/>
      </c>
      <c r="AU61" s="18">
        <f>'Grid_TheoreticalStock'!AL29</f>
        <v/>
      </c>
      <c r="AV61" s="18">
        <f>'Grid_TheoreticalStock'!AM29</f>
        <v/>
      </c>
      <c r="AW61" s="18">
        <f>'Grid_TheoreticalStock'!AN29</f>
        <v/>
      </c>
      <c r="AX61" s="18">
        <f>'Grid_TheoreticalStock'!AO29</f>
        <v/>
      </c>
      <c r="AY61" s="18">
        <f>'Grid_TheoreticalStock'!AP29</f>
        <v/>
      </c>
      <c r="AZ61" s="18">
        <f>'Grid_TheoreticalStock'!AQ29</f>
        <v/>
      </c>
      <c r="BA61" s="18">
        <f>'Grid_TheoreticalStock'!AR29</f>
        <v/>
      </c>
      <c r="BB61" s="18">
        <f>'Grid_TheoreticalStock'!AS29</f>
        <v/>
      </c>
      <c r="BC61" s="18">
        <f>'Grid_TheoreticalStock'!AT29</f>
        <v/>
      </c>
      <c r="BD61" s="18">
        <f>'Grid_TheoreticalStock'!AU29</f>
        <v/>
      </c>
      <c r="BE61" s="18">
        <f>'Grid_TheoreticalStock'!AV29</f>
        <v/>
      </c>
      <c r="BF61" s="18">
        <f>'Grid_TheoreticalStock'!AW29</f>
        <v/>
      </c>
      <c r="BG61" s="18">
        <f>'Grid_TheoreticalStock'!AX29</f>
        <v/>
      </c>
      <c r="BH61" s="18">
        <f>'Grid_TheoreticalStock'!AY29</f>
        <v/>
      </c>
      <c r="BI61" s="18">
        <f>'Grid_TheoreticalStock'!AZ29</f>
        <v/>
      </c>
      <c r="BJ61" s="18">
        <f>'Grid_TheoreticalStock'!BA29</f>
        <v/>
      </c>
      <c r="BK61" s="18">
        <f>'Grid_TheoreticalStock'!BB29</f>
        <v/>
      </c>
      <c r="BL61" s="18">
        <f>'Grid_TheoreticalStock'!BC29</f>
        <v/>
      </c>
      <c r="BM61" s="18">
        <f>'Grid_TheoreticalStock'!BD29</f>
        <v/>
      </c>
      <c r="BN61" s="18">
        <f>'Grid_TheoreticalStock'!BE29</f>
        <v/>
      </c>
      <c r="BO61" s="18">
        <f>'Grid_TheoreticalStock'!BF29</f>
        <v/>
      </c>
      <c r="BP61" s="18">
        <f>'Grid_TheoreticalStock'!BG29</f>
        <v/>
      </c>
      <c r="BQ61" s="18">
        <f>'Grid_TheoreticalStock'!BH29</f>
        <v/>
      </c>
      <c r="BR61" s="18">
        <f>'Grid_TheoreticalStock'!BI29</f>
        <v/>
      </c>
      <c r="BS61" s="18">
        <f>'Grid_TheoreticalStock'!BJ29</f>
        <v/>
      </c>
      <c r="BT61" s="18">
        <f>'Grid_TheoreticalStock'!BK29</f>
        <v/>
      </c>
      <c r="BU61" s="18">
        <f>'Grid_TheoreticalStock'!BL29</f>
        <v/>
      </c>
      <c r="BV61" s="18">
        <f>'Grid_TheoreticalStock'!BM29</f>
        <v/>
      </c>
      <c r="BW61" s="18">
        <f>'Grid_TheoreticalStock'!BN29</f>
        <v/>
      </c>
      <c r="BX61" s="18">
        <f>'Grid_TheoreticalStock'!BO29</f>
        <v/>
      </c>
      <c r="BY61" s="18">
        <f>'Grid_TheoreticalStock'!BP29</f>
        <v/>
      </c>
      <c r="BZ61" s="18">
        <f>'Grid_TheoreticalStock'!BQ29</f>
        <v/>
      </c>
      <c r="CA61" s="18">
        <f>'Grid_TheoreticalStock'!BR29</f>
        <v/>
      </c>
      <c r="CB61" s="18">
        <f>'Grid_TheoreticalStock'!BS29</f>
        <v/>
      </c>
      <c r="CC61" s="18">
        <f>'Grid_TheoreticalStock'!BT29</f>
        <v/>
      </c>
      <c r="CD61" s="18">
        <f>'Grid_TheoreticalStock'!BU29</f>
        <v/>
      </c>
      <c r="CE61" s="18">
        <f>'Grid_TheoreticalStock'!BV29</f>
        <v/>
      </c>
      <c r="CF61" s="18">
        <f>'Grid_TheoreticalStock'!BW29</f>
        <v/>
      </c>
      <c r="CG61" s="18">
        <f>'Grid_TheoreticalStock'!BX29</f>
        <v/>
      </c>
      <c r="CH61" s="18">
        <f>'Grid_TheoreticalStock'!BY29</f>
        <v/>
      </c>
      <c r="CI61" s="18">
        <f>'Grid_TheoreticalStock'!BZ29</f>
        <v/>
      </c>
      <c r="CJ61" s="18">
        <f>'Grid_TheoreticalStock'!CA29</f>
        <v/>
      </c>
      <c r="CK61" s="18">
        <f>'Grid_TheoreticalStock'!CB29</f>
        <v/>
      </c>
      <c r="CL61" s="18">
        <f>'Grid_TheoreticalStock'!CC29</f>
        <v/>
      </c>
      <c r="CM61" s="18">
        <f>'Grid_TheoreticalStock'!CD29</f>
        <v/>
      </c>
      <c r="CN61" s="18">
        <f>'Grid_TheoreticalStock'!CE29</f>
        <v/>
      </c>
      <c r="CO61" s="18">
        <f>'Grid_TheoreticalStock'!CF29</f>
        <v/>
      </c>
      <c r="CP61" s="18">
        <f>'Grid_TheoreticalStock'!CG29</f>
        <v/>
      </c>
      <c r="CQ61" s="18">
        <f>'Grid_TheoreticalStock'!CH29</f>
        <v/>
      </c>
      <c r="CR61" s="18">
        <f>'Grid_TheoreticalStock'!CI29</f>
        <v/>
      </c>
      <c r="CS61" s="18">
        <f>'Grid_TheoreticalStock'!CJ29</f>
        <v/>
      </c>
      <c r="CT61" s="18">
        <f>'Grid_TheoreticalStock'!CK29</f>
        <v/>
      </c>
      <c r="CU61" s="18">
        <f>'Grid_TheoreticalStock'!CL29</f>
        <v/>
      </c>
      <c r="CV61" s="18">
        <f>'Grid_TheoreticalStock'!CM29</f>
        <v/>
      </c>
      <c r="CW61" s="18">
        <f>'Grid_TheoreticalStock'!CN29</f>
        <v/>
      </c>
      <c r="CX61" s="18">
        <f>'Grid_TheoreticalStock'!CO29</f>
        <v/>
      </c>
      <c r="CY61" s="18">
        <f>'Grid_TheoreticalStock'!CP29</f>
        <v/>
      </c>
      <c r="CZ61" s="18">
        <f>'Grid_TheoreticalStock'!CQ29</f>
        <v/>
      </c>
      <c r="DA61" s="18">
        <f>'Grid_TheoreticalStock'!CR29</f>
        <v/>
      </c>
      <c r="DB61" s="18">
        <f>'Grid_TheoreticalStock'!CS29</f>
        <v/>
      </c>
      <c r="DC61" s="18">
        <f>'Grid_TheoreticalStock'!CT29</f>
        <v/>
      </c>
      <c r="DD61" s="18">
        <f>'Grid_TheoreticalStock'!CU29</f>
        <v/>
      </c>
      <c r="DE61" s="18">
        <f>'Grid_TheoreticalStock'!CV29</f>
        <v/>
      </c>
      <c r="DF61" s="18">
        <f>'Grid_TheoreticalStock'!CW29</f>
        <v/>
      </c>
      <c r="DG61" s="18">
        <f>'Grid_TheoreticalStock'!CX29</f>
        <v/>
      </c>
      <c r="DH61" s="18">
        <f>'Grid_TheoreticalStock'!CY29</f>
        <v/>
      </c>
      <c r="DI61" s="18">
        <f>'Grid_TheoreticalStock'!CZ29</f>
        <v/>
      </c>
      <c r="DJ61" s="18">
        <f>'Grid_TheoreticalStock'!DA29</f>
        <v/>
      </c>
    </row>
    <row r="62">
      <c r="A62" s="19" t="inlineStr">
        <is>
          <t>CHEM-1120</t>
        </is>
      </c>
      <c r="B62" s="19">
        <f>IFERROR(INDEX(M_RawMaterials[Description],MATCH($A62,M_RawMaterials[Part Name],0)),"")</f>
        <v/>
      </c>
      <c r="C62" s="19">
        <f>IFERROR(INDEX(M_RawMaterials[Category],MATCH($A62,M_RawMaterials[Part Name],0)),"")</f>
        <v/>
      </c>
      <c r="D62" s="19">
        <f>IFERROR(INDEX(M_RawMaterials[基準在庫下限_要入力],MATCH($A62,M_RawMaterials[Part Name],0)),0)</f>
        <v/>
      </c>
      <c r="E62" s="19">
        <f>IFERROR(INDEX(M_RawMaterials[基準在庫上限_要入力],MATCH($A62,M_RawMaterials[Part Name],0)),0)</f>
        <v/>
      </c>
      <c r="F62" s="19">
        <f>IFERROR(LOOKUP(2,1/('T_SelfStock'!$B$33:$DA$33&lt;&gt;""),'T_SelfStock'!$B$33:$DA$33),"")</f>
        <v/>
      </c>
      <c r="G62" s="19">
        <f>IFERROR(LOOKUP(2,1/('T_TTAFStock'!$B$33:$DA$33&lt;&gt;""),'T_TTAFStock'!$B$33:$DA$33),"")</f>
        <v/>
      </c>
      <c r="H62" s="19">
        <f>IFERROR(LOOKUP(2,1/('T_SelfStock'!$B$33:$DA$33&lt;&gt;""),'T_SelfStock'!$B$5:$DA$5),"")</f>
        <v/>
      </c>
      <c r="I62" s="20" t="inlineStr">
        <is>
          <t>実在庫</t>
        </is>
      </c>
      <c r="J62" s="19">
        <f>'Grid_Stock'!DA29-'Grid_TheoreticalStock'!DA29</f>
        <v/>
      </c>
      <c r="K62" s="19">
        <f>'Grid_Stock'!B29</f>
        <v/>
      </c>
      <c r="L62" s="19">
        <f>'Grid_Stock'!C29</f>
        <v/>
      </c>
      <c r="M62" s="19">
        <f>'Grid_Stock'!D29</f>
        <v/>
      </c>
      <c r="N62" s="19">
        <f>'Grid_Stock'!E29</f>
        <v/>
      </c>
      <c r="O62" s="19">
        <f>'Grid_Stock'!F29</f>
        <v/>
      </c>
      <c r="P62" s="19">
        <f>'Grid_Stock'!G29</f>
        <v/>
      </c>
      <c r="Q62" s="19">
        <f>'Grid_Stock'!H29</f>
        <v/>
      </c>
      <c r="R62" s="19">
        <f>'Grid_Stock'!I29</f>
        <v/>
      </c>
      <c r="S62" s="19">
        <f>'Grid_Stock'!J29</f>
        <v/>
      </c>
      <c r="T62" s="19">
        <f>'Grid_Stock'!K29</f>
        <v/>
      </c>
      <c r="U62" s="19">
        <f>'Grid_Stock'!L29</f>
        <v/>
      </c>
      <c r="V62" s="19">
        <f>'Grid_Stock'!M29</f>
        <v/>
      </c>
      <c r="W62" s="19">
        <f>'Grid_Stock'!N29</f>
        <v/>
      </c>
      <c r="X62" s="19">
        <f>'Grid_Stock'!O29</f>
        <v/>
      </c>
      <c r="Y62" s="19">
        <f>'Grid_Stock'!P29</f>
        <v/>
      </c>
      <c r="Z62" s="19">
        <f>'Grid_Stock'!Q29</f>
        <v/>
      </c>
      <c r="AA62" s="19">
        <f>'Grid_Stock'!R29</f>
        <v/>
      </c>
      <c r="AB62" s="19">
        <f>'Grid_Stock'!S29</f>
        <v/>
      </c>
      <c r="AC62" s="19">
        <f>'Grid_Stock'!T29</f>
        <v/>
      </c>
      <c r="AD62" s="19">
        <f>'Grid_Stock'!U29</f>
        <v/>
      </c>
      <c r="AE62" s="19">
        <f>'Grid_Stock'!V29</f>
        <v/>
      </c>
      <c r="AF62" s="19">
        <f>'Grid_Stock'!W29</f>
        <v/>
      </c>
      <c r="AG62" s="19">
        <f>'Grid_Stock'!X29</f>
        <v/>
      </c>
      <c r="AH62" s="19">
        <f>'Grid_Stock'!Y29</f>
        <v/>
      </c>
      <c r="AI62" s="19">
        <f>'Grid_Stock'!Z29</f>
        <v/>
      </c>
      <c r="AJ62" s="19">
        <f>'Grid_Stock'!AA29</f>
        <v/>
      </c>
      <c r="AK62" s="19">
        <f>'Grid_Stock'!AB29</f>
        <v/>
      </c>
      <c r="AL62" s="19">
        <f>'Grid_Stock'!AC29</f>
        <v/>
      </c>
      <c r="AM62" s="19">
        <f>'Grid_Stock'!AD29</f>
        <v/>
      </c>
      <c r="AN62" s="19">
        <f>'Grid_Stock'!AE29</f>
        <v/>
      </c>
      <c r="AO62" s="19">
        <f>'Grid_Stock'!AF29</f>
        <v/>
      </c>
      <c r="AP62" s="19">
        <f>'Grid_Stock'!AG29</f>
        <v/>
      </c>
      <c r="AQ62" s="19">
        <f>'Grid_Stock'!AH29</f>
        <v/>
      </c>
      <c r="AR62" s="19">
        <f>'Grid_Stock'!AI29</f>
        <v/>
      </c>
      <c r="AS62" s="19">
        <f>'Grid_Stock'!AJ29</f>
        <v/>
      </c>
      <c r="AT62" s="19">
        <f>'Grid_Stock'!AK29</f>
        <v/>
      </c>
      <c r="AU62" s="19">
        <f>'Grid_Stock'!AL29</f>
        <v/>
      </c>
      <c r="AV62" s="19">
        <f>'Grid_Stock'!AM29</f>
        <v/>
      </c>
      <c r="AW62" s="19">
        <f>'Grid_Stock'!AN29</f>
        <v/>
      </c>
      <c r="AX62" s="19">
        <f>'Grid_Stock'!AO29</f>
        <v/>
      </c>
      <c r="AY62" s="19">
        <f>'Grid_Stock'!AP29</f>
        <v/>
      </c>
      <c r="AZ62" s="19">
        <f>'Grid_Stock'!AQ29</f>
        <v/>
      </c>
      <c r="BA62" s="19">
        <f>'Grid_Stock'!AR29</f>
        <v/>
      </c>
      <c r="BB62" s="19">
        <f>'Grid_Stock'!AS29</f>
        <v/>
      </c>
      <c r="BC62" s="19">
        <f>'Grid_Stock'!AT29</f>
        <v/>
      </c>
      <c r="BD62" s="19">
        <f>'Grid_Stock'!AU29</f>
        <v/>
      </c>
      <c r="BE62" s="19">
        <f>'Grid_Stock'!AV29</f>
        <v/>
      </c>
      <c r="BF62" s="19">
        <f>'Grid_Stock'!AW29</f>
        <v/>
      </c>
      <c r="BG62" s="19">
        <f>'Grid_Stock'!AX29</f>
        <v/>
      </c>
      <c r="BH62" s="19">
        <f>'Grid_Stock'!AY29</f>
        <v/>
      </c>
      <c r="BI62" s="19">
        <f>'Grid_Stock'!AZ29</f>
        <v/>
      </c>
      <c r="BJ62" s="19">
        <f>'Grid_Stock'!BA29</f>
        <v/>
      </c>
      <c r="BK62" s="19">
        <f>'Grid_Stock'!BB29</f>
        <v/>
      </c>
      <c r="BL62" s="19">
        <f>'Grid_Stock'!BC29</f>
        <v/>
      </c>
      <c r="BM62" s="19">
        <f>'Grid_Stock'!BD29</f>
        <v/>
      </c>
      <c r="BN62" s="19">
        <f>'Grid_Stock'!BE29</f>
        <v/>
      </c>
      <c r="BO62" s="19">
        <f>'Grid_Stock'!BF29</f>
        <v/>
      </c>
      <c r="BP62" s="19">
        <f>'Grid_Stock'!BG29</f>
        <v/>
      </c>
      <c r="BQ62" s="19">
        <f>'Grid_Stock'!BH29</f>
        <v/>
      </c>
      <c r="BR62" s="19">
        <f>'Grid_Stock'!BI29</f>
        <v/>
      </c>
      <c r="BS62" s="19">
        <f>'Grid_Stock'!BJ29</f>
        <v/>
      </c>
      <c r="BT62" s="19">
        <f>'Grid_Stock'!BK29</f>
        <v/>
      </c>
      <c r="BU62" s="19">
        <f>'Grid_Stock'!BL29</f>
        <v/>
      </c>
      <c r="BV62" s="19">
        <f>'Grid_Stock'!BM29</f>
        <v/>
      </c>
      <c r="BW62" s="19">
        <f>'Grid_Stock'!BN29</f>
        <v/>
      </c>
      <c r="BX62" s="19">
        <f>'Grid_Stock'!BO29</f>
        <v/>
      </c>
      <c r="BY62" s="19">
        <f>'Grid_Stock'!BP29</f>
        <v/>
      </c>
      <c r="BZ62" s="19">
        <f>'Grid_Stock'!BQ29</f>
        <v/>
      </c>
      <c r="CA62" s="19">
        <f>'Grid_Stock'!BR29</f>
        <v/>
      </c>
      <c r="CB62" s="19">
        <f>'Grid_Stock'!BS29</f>
        <v/>
      </c>
      <c r="CC62" s="19">
        <f>'Grid_Stock'!BT29</f>
        <v/>
      </c>
      <c r="CD62" s="19">
        <f>'Grid_Stock'!BU29</f>
        <v/>
      </c>
      <c r="CE62" s="19">
        <f>'Grid_Stock'!BV29</f>
        <v/>
      </c>
      <c r="CF62" s="19">
        <f>'Grid_Stock'!BW29</f>
        <v/>
      </c>
      <c r="CG62" s="19">
        <f>'Grid_Stock'!BX29</f>
        <v/>
      </c>
      <c r="CH62" s="19">
        <f>'Grid_Stock'!BY29</f>
        <v/>
      </c>
      <c r="CI62" s="19">
        <f>'Grid_Stock'!BZ29</f>
        <v/>
      </c>
      <c r="CJ62" s="19">
        <f>'Grid_Stock'!CA29</f>
        <v/>
      </c>
      <c r="CK62" s="19">
        <f>'Grid_Stock'!CB29</f>
        <v/>
      </c>
      <c r="CL62" s="19">
        <f>'Grid_Stock'!CC29</f>
        <v/>
      </c>
      <c r="CM62" s="19">
        <f>'Grid_Stock'!CD29</f>
        <v/>
      </c>
      <c r="CN62" s="19">
        <f>'Grid_Stock'!CE29</f>
        <v/>
      </c>
      <c r="CO62" s="19">
        <f>'Grid_Stock'!CF29</f>
        <v/>
      </c>
      <c r="CP62" s="19">
        <f>'Grid_Stock'!CG29</f>
        <v/>
      </c>
      <c r="CQ62" s="19">
        <f>'Grid_Stock'!CH29</f>
        <v/>
      </c>
      <c r="CR62" s="19">
        <f>'Grid_Stock'!CI29</f>
        <v/>
      </c>
      <c r="CS62" s="19">
        <f>'Grid_Stock'!CJ29</f>
        <v/>
      </c>
      <c r="CT62" s="19">
        <f>'Grid_Stock'!CK29</f>
        <v/>
      </c>
      <c r="CU62" s="19">
        <f>'Grid_Stock'!CL29</f>
        <v/>
      </c>
      <c r="CV62" s="19">
        <f>'Grid_Stock'!CM29</f>
        <v/>
      </c>
      <c r="CW62" s="19">
        <f>'Grid_Stock'!CN29</f>
        <v/>
      </c>
      <c r="CX62" s="19">
        <f>'Grid_Stock'!CO29</f>
        <v/>
      </c>
      <c r="CY62" s="19">
        <f>'Grid_Stock'!CP29</f>
        <v/>
      </c>
      <c r="CZ62" s="19">
        <f>'Grid_Stock'!CQ29</f>
        <v/>
      </c>
      <c r="DA62" s="19">
        <f>'Grid_Stock'!CR29</f>
        <v/>
      </c>
      <c r="DB62" s="19">
        <f>'Grid_Stock'!CS29</f>
        <v/>
      </c>
      <c r="DC62" s="19">
        <f>'Grid_Stock'!CT29</f>
        <v/>
      </c>
      <c r="DD62" s="19">
        <f>'Grid_Stock'!CU29</f>
        <v/>
      </c>
      <c r="DE62" s="19">
        <f>'Grid_Stock'!CV29</f>
        <v/>
      </c>
      <c r="DF62" s="19">
        <f>'Grid_Stock'!CW29</f>
        <v/>
      </c>
      <c r="DG62" s="19">
        <f>'Grid_Stock'!CX29</f>
        <v/>
      </c>
      <c r="DH62" s="19">
        <f>'Grid_Stock'!CY29</f>
        <v/>
      </c>
      <c r="DI62" s="19">
        <f>'Grid_Stock'!CZ29</f>
        <v/>
      </c>
      <c r="DJ62" s="19">
        <f>'Grid_Stock'!DA29</f>
        <v/>
      </c>
    </row>
    <row r="63">
      <c r="A63" s="17" t="inlineStr">
        <is>
          <t>CHEM-1550</t>
        </is>
      </c>
      <c r="B63" s="17">
        <f>IFERROR(INDEX(M_RawMaterials[Description],MATCH($A63,M_RawMaterials[Part Name],0)),"")</f>
        <v/>
      </c>
      <c r="C63" s="17">
        <f>IFERROR(INDEX(M_RawMaterials[Category],MATCH($A63,M_RawMaterials[Part Name],0)),"")</f>
        <v/>
      </c>
      <c r="D63" s="17">
        <f>IFERROR(INDEX(M_RawMaterials[基準在庫下限_要入力],MATCH($A63,M_RawMaterials[Part Name],0)),0)</f>
        <v/>
      </c>
      <c r="E63" s="17">
        <f>IFERROR(INDEX(M_RawMaterials[基準在庫上限_要入力],MATCH($A63,M_RawMaterials[Part Name],0)),0)</f>
        <v/>
      </c>
      <c r="F63" s="17">
        <f>IFERROR(LOOKUP(2,1/('T_SelfStock'!$B$34:$DA$34&lt;&gt;""),'T_SelfStock'!$B$34:$DA$34),"")</f>
        <v/>
      </c>
      <c r="G63" s="17">
        <f>IFERROR(LOOKUP(2,1/('T_TTAFStock'!$B$34:$DA$34&lt;&gt;""),'T_TTAFStock'!$B$34:$DA$34),"")</f>
        <v/>
      </c>
      <c r="H63" s="17">
        <f>IFERROR(LOOKUP(2,1/('T_SelfStock'!$B$34:$DA$34&lt;&gt;""),'T_SelfStock'!$B$5:$DA$5),"")</f>
        <v/>
      </c>
      <c r="I63" s="18" t="inlineStr">
        <is>
          <t>理論在庫</t>
        </is>
      </c>
      <c r="J63" s="17">
        <f>'Grid_Stock'!DA30-'Grid_TheoreticalStock'!DA30</f>
        <v/>
      </c>
      <c r="K63" s="18">
        <f>'Grid_TheoreticalStock'!B30</f>
        <v/>
      </c>
      <c r="L63" s="18">
        <f>'Grid_TheoreticalStock'!C30</f>
        <v/>
      </c>
      <c r="M63" s="18">
        <f>'Grid_TheoreticalStock'!D30</f>
        <v/>
      </c>
      <c r="N63" s="18">
        <f>'Grid_TheoreticalStock'!E30</f>
        <v/>
      </c>
      <c r="O63" s="18">
        <f>'Grid_TheoreticalStock'!F30</f>
        <v/>
      </c>
      <c r="P63" s="18">
        <f>'Grid_TheoreticalStock'!G30</f>
        <v/>
      </c>
      <c r="Q63" s="18">
        <f>'Grid_TheoreticalStock'!H30</f>
        <v/>
      </c>
      <c r="R63" s="18">
        <f>'Grid_TheoreticalStock'!I30</f>
        <v/>
      </c>
      <c r="S63" s="18">
        <f>'Grid_TheoreticalStock'!J30</f>
        <v/>
      </c>
      <c r="T63" s="18">
        <f>'Grid_TheoreticalStock'!K30</f>
        <v/>
      </c>
      <c r="U63" s="18">
        <f>'Grid_TheoreticalStock'!L30</f>
        <v/>
      </c>
      <c r="V63" s="18">
        <f>'Grid_TheoreticalStock'!M30</f>
        <v/>
      </c>
      <c r="W63" s="18">
        <f>'Grid_TheoreticalStock'!N30</f>
        <v/>
      </c>
      <c r="X63" s="18">
        <f>'Grid_TheoreticalStock'!O30</f>
        <v/>
      </c>
      <c r="Y63" s="18">
        <f>'Grid_TheoreticalStock'!P30</f>
        <v/>
      </c>
      <c r="Z63" s="18">
        <f>'Grid_TheoreticalStock'!Q30</f>
        <v/>
      </c>
      <c r="AA63" s="18">
        <f>'Grid_TheoreticalStock'!R30</f>
        <v/>
      </c>
      <c r="AB63" s="18">
        <f>'Grid_TheoreticalStock'!S30</f>
        <v/>
      </c>
      <c r="AC63" s="18">
        <f>'Grid_TheoreticalStock'!T30</f>
        <v/>
      </c>
      <c r="AD63" s="18">
        <f>'Grid_TheoreticalStock'!U30</f>
        <v/>
      </c>
      <c r="AE63" s="18">
        <f>'Grid_TheoreticalStock'!V30</f>
        <v/>
      </c>
      <c r="AF63" s="18">
        <f>'Grid_TheoreticalStock'!W30</f>
        <v/>
      </c>
      <c r="AG63" s="18">
        <f>'Grid_TheoreticalStock'!X30</f>
        <v/>
      </c>
      <c r="AH63" s="18">
        <f>'Grid_TheoreticalStock'!Y30</f>
        <v/>
      </c>
      <c r="AI63" s="18">
        <f>'Grid_TheoreticalStock'!Z30</f>
        <v/>
      </c>
      <c r="AJ63" s="18">
        <f>'Grid_TheoreticalStock'!AA30</f>
        <v/>
      </c>
      <c r="AK63" s="18">
        <f>'Grid_TheoreticalStock'!AB30</f>
        <v/>
      </c>
      <c r="AL63" s="18">
        <f>'Grid_TheoreticalStock'!AC30</f>
        <v/>
      </c>
      <c r="AM63" s="18">
        <f>'Grid_TheoreticalStock'!AD30</f>
        <v/>
      </c>
      <c r="AN63" s="18">
        <f>'Grid_TheoreticalStock'!AE30</f>
        <v/>
      </c>
      <c r="AO63" s="18">
        <f>'Grid_TheoreticalStock'!AF30</f>
        <v/>
      </c>
      <c r="AP63" s="18">
        <f>'Grid_TheoreticalStock'!AG30</f>
        <v/>
      </c>
      <c r="AQ63" s="18">
        <f>'Grid_TheoreticalStock'!AH30</f>
        <v/>
      </c>
      <c r="AR63" s="18">
        <f>'Grid_TheoreticalStock'!AI30</f>
        <v/>
      </c>
      <c r="AS63" s="18">
        <f>'Grid_TheoreticalStock'!AJ30</f>
        <v/>
      </c>
      <c r="AT63" s="18">
        <f>'Grid_TheoreticalStock'!AK30</f>
        <v/>
      </c>
      <c r="AU63" s="18">
        <f>'Grid_TheoreticalStock'!AL30</f>
        <v/>
      </c>
      <c r="AV63" s="18">
        <f>'Grid_TheoreticalStock'!AM30</f>
        <v/>
      </c>
      <c r="AW63" s="18">
        <f>'Grid_TheoreticalStock'!AN30</f>
        <v/>
      </c>
      <c r="AX63" s="18">
        <f>'Grid_TheoreticalStock'!AO30</f>
        <v/>
      </c>
      <c r="AY63" s="18">
        <f>'Grid_TheoreticalStock'!AP30</f>
        <v/>
      </c>
      <c r="AZ63" s="18">
        <f>'Grid_TheoreticalStock'!AQ30</f>
        <v/>
      </c>
      <c r="BA63" s="18">
        <f>'Grid_TheoreticalStock'!AR30</f>
        <v/>
      </c>
      <c r="BB63" s="18">
        <f>'Grid_TheoreticalStock'!AS30</f>
        <v/>
      </c>
      <c r="BC63" s="18">
        <f>'Grid_TheoreticalStock'!AT30</f>
        <v/>
      </c>
      <c r="BD63" s="18">
        <f>'Grid_TheoreticalStock'!AU30</f>
        <v/>
      </c>
      <c r="BE63" s="18">
        <f>'Grid_TheoreticalStock'!AV30</f>
        <v/>
      </c>
      <c r="BF63" s="18">
        <f>'Grid_TheoreticalStock'!AW30</f>
        <v/>
      </c>
      <c r="BG63" s="18">
        <f>'Grid_TheoreticalStock'!AX30</f>
        <v/>
      </c>
      <c r="BH63" s="18">
        <f>'Grid_TheoreticalStock'!AY30</f>
        <v/>
      </c>
      <c r="BI63" s="18">
        <f>'Grid_TheoreticalStock'!AZ30</f>
        <v/>
      </c>
      <c r="BJ63" s="18">
        <f>'Grid_TheoreticalStock'!BA30</f>
        <v/>
      </c>
      <c r="BK63" s="18">
        <f>'Grid_TheoreticalStock'!BB30</f>
        <v/>
      </c>
      <c r="BL63" s="18">
        <f>'Grid_TheoreticalStock'!BC30</f>
        <v/>
      </c>
      <c r="BM63" s="18">
        <f>'Grid_TheoreticalStock'!BD30</f>
        <v/>
      </c>
      <c r="BN63" s="18">
        <f>'Grid_TheoreticalStock'!BE30</f>
        <v/>
      </c>
      <c r="BO63" s="18">
        <f>'Grid_TheoreticalStock'!BF30</f>
        <v/>
      </c>
      <c r="BP63" s="18">
        <f>'Grid_TheoreticalStock'!BG30</f>
        <v/>
      </c>
      <c r="BQ63" s="18">
        <f>'Grid_TheoreticalStock'!BH30</f>
        <v/>
      </c>
      <c r="BR63" s="18">
        <f>'Grid_TheoreticalStock'!BI30</f>
        <v/>
      </c>
      <c r="BS63" s="18">
        <f>'Grid_TheoreticalStock'!BJ30</f>
        <v/>
      </c>
      <c r="BT63" s="18">
        <f>'Grid_TheoreticalStock'!BK30</f>
        <v/>
      </c>
      <c r="BU63" s="18">
        <f>'Grid_TheoreticalStock'!BL30</f>
        <v/>
      </c>
      <c r="BV63" s="18">
        <f>'Grid_TheoreticalStock'!BM30</f>
        <v/>
      </c>
      <c r="BW63" s="18">
        <f>'Grid_TheoreticalStock'!BN30</f>
        <v/>
      </c>
      <c r="BX63" s="18">
        <f>'Grid_TheoreticalStock'!BO30</f>
        <v/>
      </c>
      <c r="BY63" s="18">
        <f>'Grid_TheoreticalStock'!BP30</f>
        <v/>
      </c>
      <c r="BZ63" s="18">
        <f>'Grid_TheoreticalStock'!BQ30</f>
        <v/>
      </c>
      <c r="CA63" s="18">
        <f>'Grid_TheoreticalStock'!BR30</f>
        <v/>
      </c>
      <c r="CB63" s="18">
        <f>'Grid_TheoreticalStock'!BS30</f>
        <v/>
      </c>
      <c r="CC63" s="18">
        <f>'Grid_TheoreticalStock'!BT30</f>
        <v/>
      </c>
      <c r="CD63" s="18">
        <f>'Grid_TheoreticalStock'!BU30</f>
        <v/>
      </c>
      <c r="CE63" s="18">
        <f>'Grid_TheoreticalStock'!BV30</f>
        <v/>
      </c>
      <c r="CF63" s="18">
        <f>'Grid_TheoreticalStock'!BW30</f>
        <v/>
      </c>
      <c r="CG63" s="18">
        <f>'Grid_TheoreticalStock'!BX30</f>
        <v/>
      </c>
      <c r="CH63" s="18">
        <f>'Grid_TheoreticalStock'!BY30</f>
        <v/>
      </c>
      <c r="CI63" s="18">
        <f>'Grid_TheoreticalStock'!BZ30</f>
        <v/>
      </c>
      <c r="CJ63" s="18">
        <f>'Grid_TheoreticalStock'!CA30</f>
        <v/>
      </c>
      <c r="CK63" s="18">
        <f>'Grid_TheoreticalStock'!CB30</f>
        <v/>
      </c>
      <c r="CL63" s="18">
        <f>'Grid_TheoreticalStock'!CC30</f>
        <v/>
      </c>
      <c r="CM63" s="18">
        <f>'Grid_TheoreticalStock'!CD30</f>
        <v/>
      </c>
      <c r="CN63" s="18">
        <f>'Grid_TheoreticalStock'!CE30</f>
        <v/>
      </c>
      <c r="CO63" s="18">
        <f>'Grid_TheoreticalStock'!CF30</f>
        <v/>
      </c>
      <c r="CP63" s="18">
        <f>'Grid_TheoreticalStock'!CG30</f>
        <v/>
      </c>
      <c r="CQ63" s="18">
        <f>'Grid_TheoreticalStock'!CH30</f>
        <v/>
      </c>
      <c r="CR63" s="18">
        <f>'Grid_TheoreticalStock'!CI30</f>
        <v/>
      </c>
      <c r="CS63" s="18">
        <f>'Grid_TheoreticalStock'!CJ30</f>
        <v/>
      </c>
      <c r="CT63" s="18">
        <f>'Grid_TheoreticalStock'!CK30</f>
        <v/>
      </c>
      <c r="CU63" s="18">
        <f>'Grid_TheoreticalStock'!CL30</f>
        <v/>
      </c>
      <c r="CV63" s="18">
        <f>'Grid_TheoreticalStock'!CM30</f>
        <v/>
      </c>
      <c r="CW63" s="18">
        <f>'Grid_TheoreticalStock'!CN30</f>
        <v/>
      </c>
      <c r="CX63" s="18">
        <f>'Grid_TheoreticalStock'!CO30</f>
        <v/>
      </c>
      <c r="CY63" s="18">
        <f>'Grid_TheoreticalStock'!CP30</f>
        <v/>
      </c>
      <c r="CZ63" s="18">
        <f>'Grid_TheoreticalStock'!CQ30</f>
        <v/>
      </c>
      <c r="DA63" s="18">
        <f>'Grid_TheoreticalStock'!CR30</f>
        <v/>
      </c>
      <c r="DB63" s="18">
        <f>'Grid_TheoreticalStock'!CS30</f>
        <v/>
      </c>
      <c r="DC63" s="18">
        <f>'Grid_TheoreticalStock'!CT30</f>
        <v/>
      </c>
      <c r="DD63" s="18">
        <f>'Grid_TheoreticalStock'!CU30</f>
        <v/>
      </c>
      <c r="DE63" s="18">
        <f>'Grid_TheoreticalStock'!CV30</f>
        <v/>
      </c>
      <c r="DF63" s="18">
        <f>'Grid_TheoreticalStock'!CW30</f>
        <v/>
      </c>
      <c r="DG63" s="18">
        <f>'Grid_TheoreticalStock'!CX30</f>
        <v/>
      </c>
      <c r="DH63" s="18">
        <f>'Grid_TheoreticalStock'!CY30</f>
        <v/>
      </c>
      <c r="DI63" s="18">
        <f>'Grid_TheoreticalStock'!CZ30</f>
        <v/>
      </c>
      <c r="DJ63" s="18">
        <f>'Grid_TheoreticalStock'!DA30</f>
        <v/>
      </c>
    </row>
    <row r="64">
      <c r="A64" s="19" t="inlineStr">
        <is>
          <t>CHEM-1550</t>
        </is>
      </c>
      <c r="B64" s="19">
        <f>IFERROR(INDEX(M_RawMaterials[Description],MATCH($A64,M_RawMaterials[Part Name],0)),"")</f>
        <v/>
      </c>
      <c r="C64" s="19">
        <f>IFERROR(INDEX(M_RawMaterials[Category],MATCH($A64,M_RawMaterials[Part Name],0)),"")</f>
        <v/>
      </c>
      <c r="D64" s="19">
        <f>IFERROR(INDEX(M_RawMaterials[基準在庫下限_要入力],MATCH($A64,M_RawMaterials[Part Name],0)),0)</f>
        <v/>
      </c>
      <c r="E64" s="19">
        <f>IFERROR(INDEX(M_RawMaterials[基準在庫上限_要入力],MATCH($A64,M_RawMaterials[Part Name],0)),0)</f>
        <v/>
      </c>
      <c r="F64" s="19">
        <f>IFERROR(LOOKUP(2,1/('T_SelfStock'!$B$34:$DA$34&lt;&gt;""),'T_SelfStock'!$B$34:$DA$34),"")</f>
        <v/>
      </c>
      <c r="G64" s="19">
        <f>IFERROR(LOOKUP(2,1/('T_TTAFStock'!$B$34:$DA$34&lt;&gt;""),'T_TTAFStock'!$B$34:$DA$34),"")</f>
        <v/>
      </c>
      <c r="H64" s="19">
        <f>IFERROR(LOOKUP(2,1/('T_SelfStock'!$B$34:$DA$34&lt;&gt;""),'T_SelfStock'!$B$5:$DA$5),"")</f>
        <v/>
      </c>
      <c r="I64" s="20" t="inlineStr">
        <is>
          <t>実在庫</t>
        </is>
      </c>
      <c r="J64" s="19">
        <f>'Grid_Stock'!DA30-'Grid_TheoreticalStock'!DA30</f>
        <v/>
      </c>
      <c r="K64" s="19">
        <f>'Grid_Stock'!B30</f>
        <v/>
      </c>
      <c r="L64" s="19">
        <f>'Grid_Stock'!C30</f>
        <v/>
      </c>
      <c r="M64" s="19">
        <f>'Grid_Stock'!D30</f>
        <v/>
      </c>
      <c r="N64" s="19">
        <f>'Grid_Stock'!E30</f>
        <v/>
      </c>
      <c r="O64" s="19">
        <f>'Grid_Stock'!F30</f>
        <v/>
      </c>
      <c r="P64" s="19">
        <f>'Grid_Stock'!G30</f>
        <v/>
      </c>
      <c r="Q64" s="19">
        <f>'Grid_Stock'!H30</f>
        <v/>
      </c>
      <c r="R64" s="19">
        <f>'Grid_Stock'!I30</f>
        <v/>
      </c>
      <c r="S64" s="19">
        <f>'Grid_Stock'!J30</f>
        <v/>
      </c>
      <c r="T64" s="19">
        <f>'Grid_Stock'!K30</f>
        <v/>
      </c>
      <c r="U64" s="19">
        <f>'Grid_Stock'!L30</f>
        <v/>
      </c>
      <c r="V64" s="19">
        <f>'Grid_Stock'!M30</f>
        <v/>
      </c>
      <c r="W64" s="19">
        <f>'Grid_Stock'!N30</f>
        <v/>
      </c>
      <c r="X64" s="19">
        <f>'Grid_Stock'!O30</f>
        <v/>
      </c>
      <c r="Y64" s="19">
        <f>'Grid_Stock'!P30</f>
        <v/>
      </c>
      <c r="Z64" s="19">
        <f>'Grid_Stock'!Q30</f>
        <v/>
      </c>
      <c r="AA64" s="19">
        <f>'Grid_Stock'!R30</f>
        <v/>
      </c>
      <c r="AB64" s="19">
        <f>'Grid_Stock'!S30</f>
        <v/>
      </c>
      <c r="AC64" s="19">
        <f>'Grid_Stock'!T30</f>
        <v/>
      </c>
      <c r="AD64" s="19">
        <f>'Grid_Stock'!U30</f>
        <v/>
      </c>
      <c r="AE64" s="19">
        <f>'Grid_Stock'!V30</f>
        <v/>
      </c>
      <c r="AF64" s="19">
        <f>'Grid_Stock'!W30</f>
        <v/>
      </c>
      <c r="AG64" s="19">
        <f>'Grid_Stock'!X30</f>
        <v/>
      </c>
      <c r="AH64" s="19">
        <f>'Grid_Stock'!Y30</f>
        <v/>
      </c>
      <c r="AI64" s="19">
        <f>'Grid_Stock'!Z30</f>
        <v/>
      </c>
      <c r="AJ64" s="19">
        <f>'Grid_Stock'!AA30</f>
        <v/>
      </c>
      <c r="AK64" s="19">
        <f>'Grid_Stock'!AB30</f>
        <v/>
      </c>
      <c r="AL64" s="19">
        <f>'Grid_Stock'!AC30</f>
        <v/>
      </c>
      <c r="AM64" s="19">
        <f>'Grid_Stock'!AD30</f>
        <v/>
      </c>
      <c r="AN64" s="19">
        <f>'Grid_Stock'!AE30</f>
        <v/>
      </c>
      <c r="AO64" s="19">
        <f>'Grid_Stock'!AF30</f>
        <v/>
      </c>
      <c r="AP64" s="19">
        <f>'Grid_Stock'!AG30</f>
        <v/>
      </c>
      <c r="AQ64" s="19">
        <f>'Grid_Stock'!AH30</f>
        <v/>
      </c>
      <c r="AR64" s="19">
        <f>'Grid_Stock'!AI30</f>
        <v/>
      </c>
      <c r="AS64" s="19">
        <f>'Grid_Stock'!AJ30</f>
        <v/>
      </c>
      <c r="AT64" s="19">
        <f>'Grid_Stock'!AK30</f>
        <v/>
      </c>
      <c r="AU64" s="19">
        <f>'Grid_Stock'!AL30</f>
        <v/>
      </c>
      <c r="AV64" s="19">
        <f>'Grid_Stock'!AM30</f>
        <v/>
      </c>
      <c r="AW64" s="19">
        <f>'Grid_Stock'!AN30</f>
        <v/>
      </c>
      <c r="AX64" s="19">
        <f>'Grid_Stock'!AO30</f>
        <v/>
      </c>
      <c r="AY64" s="19">
        <f>'Grid_Stock'!AP30</f>
        <v/>
      </c>
      <c r="AZ64" s="19">
        <f>'Grid_Stock'!AQ30</f>
        <v/>
      </c>
      <c r="BA64" s="19">
        <f>'Grid_Stock'!AR30</f>
        <v/>
      </c>
      <c r="BB64" s="19">
        <f>'Grid_Stock'!AS30</f>
        <v/>
      </c>
      <c r="BC64" s="19">
        <f>'Grid_Stock'!AT30</f>
        <v/>
      </c>
      <c r="BD64" s="19">
        <f>'Grid_Stock'!AU30</f>
        <v/>
      </c>
      <c r="BE64" s="19">
        <f>'Grid_Stock'!AV30</f>
        <v/>
      </c>
      <c r="BF64" s="19">
        <f>'Grid_Stock'!AW30</f>
        <v/>
      </c>
      <c r="BG64" s="19">
        <f>'Grid_Stock'!AX30</f>
        <v/>
      </c>
      <c r="BH64" s="19">
        <f>'Grid_Stock'!AY30</f>
        <v/>
      </c>
      <c r="BI64" s="19">
        <f>'Grid_Stock'!AZ30</f>
        <v/>
      </c>
      <c r="BJ64" s="19">
        <f>'Grid_Stock'!BA30</f>
        <v/>
      </c>
      <c r="BK64" s="19">
        <f>'Grid_Stock'!BB30</f>
        <v/>
      </c>
      <c r="BL64" s="19">
        <f>'Grid_Stock'!BC30</f>
        <v/>
      </c>
      <c r="BM64" s="19">
        <f>'Grid_Stock'!BD30</f>
        <v/>
      </c>
      <c r="BN64" s="19">
        <f>'Grid_Stock'!BE30</f>
        <v/>
      </c>
      <c r="BO64" s="19">
        <f>'Grid_Stock'!BF30</f>
        <v/>
      </c>
      <c r="BP64" s="19">
        <f>'Grid_Stock'!BG30</f>
        <v/>
      </c>
      <c r="BQ64" s="19">
        <f>'Grid_Stock'!BH30</f>
        <v/>
      </c>
      <c r="BR64" s="19">
        <f>'Grid_Stock'!BI30</f>
        <v/>
      </c>
      <c r="BS64" s="19">
        <f>'Grid_Stock'!BJ30</f>
        <v/>
      </c>
      <c r="BT64" s="19">
        <f>'Grid_Stock'!BK30</f>
        <v/>
      </c>
      <c r="BU64" s="19">
        <f>'Grid_Stock'!BL30</f>
        <v/>
      </c>
      <c r="BV64" s="19">
        <f>'Grid_Stock'!BM30</f>
        <v/>
      </c>
      <c r="BW64" s="19">
        <f>'Grid_Stock'!BN30</f>
        <v/>
      </c>
      <c r="BX64" s="19">
        <f>'Grid_Stock'!BO30</f>
        <v/>
      </c>
      <c r="BY64" s="19">
        <f>'Grid_Stock'!BP30</f>
        <v/>
      </c>
      <c r="BZ64" s="19">
        <f>'Grid_Stock'!BQ30</f>
        <v/>
      </c>
      <c r="CA64" s="19">
        <f>'Grid_Stock'!BR30</f>
        <v/>
      </c>
      <c r="CB64" s="19">
        <f>'Grid_Stock'!BS30</f>
        <v/>
      </c>
      <c r="CC64" s="19">
        <f>'Grid_Stock'!BT30</f>
        <v/>
      </c>
      <c r="CD64" s="19">
        <f>'Grid_Stock'!BU30</f>
        <v/>
      </c>
      <c r="CE64" s="19">
        <f>'Grid_Stock'!BV30</f>
        <v/>
      </c>
      <c r="CF64" s="19">
        <f>'Grid_Stock'!BW30</f>
        <v/>
      </c>
      <c r="CG64" s="19">
        <f>'Grid_Stock'!BX30</f>
        <v/>
      </c>
      <c r="CH64" s="19">
        <f>'Grid_Stock'!BY30</f>
        <v/>
      </c>
      <c r="CI64" s="19">
        <f>'Grid_Stock'!BZ30</f>
        <v/>
      </c>
      <c r="CJ64" s="19">
        <f>'Grid_Stock'!CA30</f>
        <v/>
      </c>
      <c r="CK64" s="19">
        <f>'Grid_Stock'!CB30</f>
        <v/>
      </c>
      <c r="CL64" s="19">
        <f>'Grid_Stock'!CC30</f>
        <v/>
      </c>
      <c r="CM64" s="19">
        <f>'Grid_Stock'!CD30</f>
        <v/>
      </c>
      <c r="CN64" s="19">
        <f>'Grid_Stock'!CE30</f>
        <v/>
      </c>
      <c r="CO64" s="19">
        <f>'Grid_Stock'!CF30</f>
        <v/>
      </c>
      <c r="CP64" s="19">
        <f>'Grid_Stock'!CG30</f>
        <v/>
      </c>
      <c r="CQ64" s="19">
        <f>'Grid_Stock'!CH30</f>
        <v/>
      </c>
      <c r="CR64" s="19">
        <f>'Grid_Stock'!CI30</f>
        <v/>
      </c>
      <c r="CS64" s="19">
        <f>'Grid_Stock'!CJ30</f>
        <v/>
      </c>
      <c r="CT64" s="19">
        <f>'Grid_Stock'!CK30</f>
        <v/>
      </c>
      <c r="CU64" s="19">
        <f>'Grid_Stock'!CL30</f>
        <v/>
      </c>
      <c r="CV64" s="19">
        <f>'Grid_Stock'!CM30</f>
        <v/>
      </c>
      <c r="CW64" s="19">
        <f>'Grid_Stock'!CN30</f>
        <v/>
      </c>
      <c r="CX64" s="19">
        <f>'Grid_Stock'!CO30</f>
        <v/>
      </c>
      <c r="CY64" s="19">
        <f>'Grid_Stock'!CP30</f>
        <v/>
      </c>
      <c r="CZ64" s="19">
        <f>'Grid_Stock'!CQ30</f>
        <v/>
      </c>
      <c r="DA64" s="19">
        <f>'Grid_Stock'!CR30</f>
        <v/>
      </c>
      <c r="DB64" s="19">
        <f>'Grid_Stock'!CS30</f>
        <v/>
      </c>
      <c r="DC64" s="19">
        <f>'Grid_Stock'!CT30</f>
        <v/>
      </c>
      <c r="DD64" s="19">
        <f>'Grid_Stock'!CU30</f>
        <v/>
      </c>
      <c r="DE64" s="19">
        <f>'Grid_Stock'!CV30</f>
        <v/>
      </c>
      <c r="DF64" s="19">
        <f>'Grid_Stock'!CW30</f>
        <v/>
      </c>
      <c r="DG64" s="19">
        <f>'Grid_Stock'!CX30</f>
        <v/>
      </c>
      <c r="DH64" s="19">
        <f>'Grid_Stock'!CY30</f>
        <v/>
      </c>
      <c r="DI64" s="19">
        <f>'Grid_Stock'!CZ30</f>
        <v/>
      </c>
      <c r="DJ64" s="19">
        <f>'Grid_Stock'!DA30</f>
        <v/>
      </c>
    </row>
    <row r="65">
      <c r="A65" s="17" t="inlineStr">
        <is>
          <t>CHEM-1440</t>
        </is>
      </c>
      <c r="B65" s="17">
        <f>IFERROR(INDEX(M_RawMaterials[Description],MATCH($A65,M_RawMaterials[Part Name],0)),"")</f>
        <v/>
      </c>
      <c r="C65" s="17">
        <f>IFERROR(INDEX(M_RawMaterials[Category],MATCH($A65,M_RawMaterials[Part Name],0)),"")</f>
        <v/>
      </c>
      <c r="D65" s="17">
        <f>IFERROR(INDEX(M_RawMaterials[基準在庫下限_要入力],MATCH($A65,M_RawMaterials[Part Name],0)),0)</f>
        <v/>
      </c>
      <c r="E65" s="17">
        <f>IFERROR(INDEX(M_RawMaterials[基準在庫上限_要入力],MATCH($A65,M_RawMaterials[Part Name],0)),0)</f>
        <v/>
      </c>
      <c r="F65" s="17">
        <f>IFERROR(LOOKUP(2,1/('T_SelfStock'!$B$35:$DA$35&lt;&gt;""),'T_SelfStock'!$B$35:$DA$35),"")</f>
        <v/>
      </c>
      <c r="G65" s="17">
        <f>IFERROR(LOOKUP(2,1/('T_TTAFStock'!$B$35:$DA$35&lt;&gt;""),'T_TTAFStock'!$B$35:$DA$35),"")</f>
        <v/>
      </c>
      <c r="H65" s="17">
        <f>IFERROR(LOOKUP(2,1/('T_SelfStock'!$B$35:$DA$35&lt;&gt;""),'T_SelfStock'!$B$5:$DA$5),"")</f>
        <v/>
      </c>
      <c r="I65" s="18" t="inlineStr">
        <is>
          <t>理論在庫</t>
        </is>
      </c>
      <c r="J65" s="17">
        <f>'Grid_Stock'!DA31-'Grid_TheoreticalStock'!DA31</f>
        <v/>
      </c>
      <c r="K65" s="18">
        <f>'Grid_TheoreticalStock'!B31</f>
        <v/>
      </c>
      <c r="L65" s="18">
        <f>'Grid_TheoreticalStock'!C31</f>
        <v/>
      </c>
      <c r="M65" s="18">
        <f>'Grid_TheoreticalStock'!D31</f>
        <v/>
      </c>
      <c r="N65" s="18">
        <f>'Grid_TheoreticalStock'!E31</f>
        <v/>
      </c>
      <c r="O65" s="18">
        <f>'Grid_TheoreticalStock'!F31</f>
        <v/>
      </c>
      <c r="P65" s="18">
        <f>'Grid_TheoreticalStock'!G31</f>
        <v/>
      </c>
      <c r="Q65" s="18">
        <f>'Grid_TheoreticalStock'!H31</f>
        <v/>
      </c>
      <c r="R65" s="18">
        <f>'Grid_TheoreticalStock'!I31</f>
        <v/>
      </c>
      <c r="S65" s="18">
        <f>'Grid_TheoreticalStock'!J31</f>
        <v/>
      </c>
      <c r="T65" s="18">
        <f>'Grid_TheoreticalStock'!K31</f>
        <v/>
      </c>
      <c r="U65" s="18">
        <f>'Grid_TheoreticalStock'!L31</f>
        <v/>
      </c>
      <c r="V65" s="18">
        <f>'Grid_TheoreticalStock'!M31</f>
        <v/>
      </c>
      <c r="W65" s="18">
        <f>'Grid_TheoreticalStock'!N31</f>
        <v/>
      </c>
      <c r="X65" s="18">
        <f>'Grid_TheoreticalStock'!O31</f>
        <v/>
      </c>
      <c r="Y65" s="18">
        <f>'Grid_TheoreticalStock'!P31</f>
        <v/>
      </c>
      <c r="Z65" s="18">
        <f>'Grid_TheoreticalStock'!Q31</f>
        <v/>
      </c>
      <c r="AA65" s="18">
        <f>'Grid_TheoreticalStock'!R31</f>
        <v/>
      </c>
      <c r="AB65" s="18">
        <f>'Grid_TheoreticalStock'!S31</f>
        <v/>
      </c>
      <c r="AC65" s="18">
        <f>'Grid_TheoreticalStock'!T31</f>
        <v/>
      </c>
      <c r="AD65" s="18">
        <f>'Grid_TheoreticalStock'!U31</f>
        <v/>
      </c>
      <c r="AE65" s="18">
        <f>'Grid_TheoreticalStock'!V31</f>
        <v/>
      </c>
      <c r="AF65" s="18">
        <f>'Grid_TheoreticalStock'!W31</f>
        <v/>
      </c>
      <c r="AG65" s="18">
        <f>'Grid_TheoreticalStock'!X31</f>
        <v/>
      </c>
      <c r="AH65" s="18">
        <f>'Grid_TheoreticalStock'!Y31</f>
        <v/>
      </c>
      <c r="AI65" s="18">
        <f>'Grid_TheoreticalStock'!Z31</f>
        <v/>
      </c>
      <c r="AJ65" s="18">
        <f>'Grid_TheoreticalStock'!AA31</f>
        <v/>
      </c>
      <c r="AK65" s="18">
        <f>'Grid_TheoreticalStock'!AB31</f>
        <v/>
      </c>
      <c r="AL65" s="18">
        <f>'Grid_TheoreticalStock'!AC31</f>
        <v/>
      </c>
      <c r="AM65" s="18">
        <f>'Grid_TheoreticalStock'!AD31</f>
        <v/>
      </c>
      <c r="AN65" s="18">
        <f>'Grid_TheoreticalStock'!AE31</f>
        <v/>
      </c>
      <c r="AO65" s="18">
        <f>'Grid_TheoreticalStock'!AF31</f>
        <v/>
      </c>
      <c r="AP65" s="18">
        <f>'Grid_TheoreticalStock'!AG31</f>
        <v/>
      </c>
      <c r="AQ65" s="18">
        <f>'Grid_TheoreticalStock'!AH31</f>
        <v/>
      </c>
      <c r="AR65" s="18">
        <f>'Grid_TheoreticalStock'!AI31</f>
        <v/>
      </c>
      <c r="AS65" s="18">
        <f>'Grid_TheoreticalStock'!AJ31</f>
        <v/>
      </c>
      <c r="AT65" s="18">
        <f>'Grid_TheoreticalStock'!AK31</f>
        <v/>
      </c>
      <c r="AU65" s="18">
        <f>'Grid_TheoreticalStock'!AL31</f>
        <v/>
      </c>
      <c r="AV65" s="18">
        <f>'Grid_TheoreticalStock'!AM31</f>
        <v/>
      </c>
      <c r="AW65" s="18">
        <f>'Grid_TheoreticalStock'!AN31</f>
        <v/>
      </c>
      <c r="AX65" s="18">
        <f>'Grid_TheoreticalStock'!AO31</f>
        <v/>
      </c>
      <c r="AY65" s="18">
        <f>'Grid_TheoreticalStock'!AP31</f>
        <v/>
      </c>
      <c r="AZ65" s="18">
        <f>'Grid_TheoreticalStock'!AQ31</f>
        <v/>
      </c>
      <c r="BA65" s="18">
        <f>'Grid_TheoreticalStock'!AR31</f>
        <v/>
      </c>
      <c r="BB65" s="18">
        <f>'Grid_TheoreticalStock'!AS31</f>
        <v/>
      </c>
      <c r="BC65" s="18">
        <f>'Grid_TheoreticalStock'!AT31</f>
        <v/>
      </c>
      <c r="BD65" s="18">
        <f>'Grid_TheoreticalStock'!AU31</f>
        <v/>
      </c>
      <c r="BE65" s="18">
        <f>'Grid_TheoreticalStock'!AV31</f>
        <v/>
      </c>
      <c r="BF65" s="18">
        <f>'Grid_TheoreticalStock'!AW31</f>
        <v/>
      </c>
      <c r="BG65" s="18">
        <f>'Grid_TheoreticalStock'!AX31</f>
        <v/>
      </c>
      <c r="BH65" s="18">
        <f>'Grid_TheoreticalStock'!AY31</f>
        <v/>
      </c>
      <c r="BI65" s="18">
        <f>'Grid_TheoreticalStock'!AZ31</f>
        <v/>
      </c>
      <c r="BJ65" s="18">
        <f>'Grid_TheoreticalStock'!BA31</f>
        <v/>
      </c>
      <c r="BK65" s="18">
        <f>'Grid_TheoreticalStock'!BB31</f>
        <v/>
      </c>
      <c r="BL65" s="18">
        <f>'Grid_TheoreticalStock'!BC31</f>
        <v/>
      </c>
      <c r="BM65" s="18">
        <f>'Grid_TheoreticalStock'!BD31</f>
        <v/>
      </c>
      <c r="BN65" s="18">
        <f>'Grid_TheoreticalStock'!BE31</f>
        <v/>
      </c>
      <c r="BO65" s="18">
        <f>'Grid_TheoreticalStock'!BF31</f>
        <v/>
      </c>
      <c r="BP65" s="18">
        <f>'Grid_TheoreticalStock'!BG31</f>
        <v/>
      </c>
      <c r="BQ65" s="18">
        <f>'Grid_TheoreticalStock'!BH31</f>
        <v/>
      </c>
      <c r="BR65" s="18">
        <f>'Grid_TheoreticalStock'!BI31</f>
        <v/>
      </c>
      <c r="BS65" s="18">
        <f>'Grid_TheoreticalStock'!BJ31</f>
        <v/>
      </c>
      <c r="BT65" s="18">
        <f>'Grid_TheoreticalStock'!BK31</f>
        <v/>
      </c>
      <c r="BU65" s="18">
        <f>'Grid_TheoreticalStock'!BL31</f>
        <v/>
      </c>
      <c r="BV65" s="18">
        <f>'Grid_TheoreticalStock'!BM31</f>
        <v/>
      </c>
      <c r="BW65" s="18">
        <f>'Grid_TheoreticalStock'!BN31</f>
        <v/>
      </c>
      <c r="BX65" s="18">
        <f>'Grid_TheoreticalStock'!BO31</f>
        <v/>
      </c>
      <c r="BY65" s="18">
        <f>'Grid_TheoreticalStock'!BP31</f>
        <v/>
      </c>
      <c r="BZ65" s="18">
        <f>'Grid_TheoreticalStock'!BQ31</f>
        <v/>
      </c>
      <c r="CA65" s="18">
        <f>'Grid_TheoreticalStock'!BR31</f>
        <v/>
      </c>
      <c r="CB65" s="18">
        <f>'Grid_TheoreticalStock'!BS31</f>
        <v/>
      </c>
      <c r="CC65" s="18">
        <f>'Grid_TheoreticalStock'!BT31</f>
        <v/>
      </c>
      <c r="CD65" s="18">
        <f>'Grid_TheoreticalStock'!BU31</f>
        <v/>
      </c>
      <c r="CE65" s="18">
        <f>'Grid_TheoreticalStock'!BV31</f>
        <v/>
      </c>
      <c r="CF65" s="18">
        <f>'Grid_TheoreticalStock'!BW31</f>
        <v/>
      </c>
      <c r="CG65" s="18">
        <f>'Grid_TheoreticalStock'!BX31</f>
        <v/>
      </c>
      <c r="CH65" s="18">
        <f>'Grid_TheoreticalStock'!BY31</f>
        <v/>
      </c>
      <c r="CI65" s="18">
        <f>'Grid_TheoreticalStock'!BZ31</f>
        <v/>
      </c>
      <c r="CJ65" s="18">
        <f>'Grid_TheoreticalStock'!CA31</f>
        <v/>
      </c>
      <c r="CK65" s="18">
        <f>'Grid_TheoreticalStock'!CB31</f>
        <v/>
      </c>
      <c r="CL65" s="18">
        <f>'Grid_TheoreticalStock'!CC31</f>
        <v/>
      </c>
      <c r="CM65" s="18">
        <f>'Grid_TheoreticalStock'!CD31</f>
        <v/>
      </c>
      <c r="CN65" s="18">
        <f>'Grid_TheoreticalStock'!CE31</f>
        <v/>
      </c>
      <c r="CO65" s="18">
        <f>'Grid_TheoreticalStock'!CF31</f>
        <v/>
      </c>
      <c r="CP65" s="18">
        <f>'Grid_TheoreticalStock'!CG31</f>
        <v/>
      </c>
      <c r="CQ65" s="18">
        <f>'Grid_TheoreticalStock'!CH31</f>
        <v/>
      </c>
      <c r="CR65" s="18">
        <f>'Grid_TheoreticalStock'!CI31</f>
        <v/>
      </c>
      <c r="CS65" s="18">
        <f>'Grid_TheoreticalStock'!CJ31</f>
        <v/>
      </c>
      <c r="CT65" s="18">
        <f>'Grid_TheoreticalStock'!CK31</f>
        <v/>
      </c>
      <c r="CU65" s="18">
        <f>'Grid_TheoreticalStock'!CL31</f>
        <v/>
      </c>
      <c r="CV65" s="18">
        <f>'Grid_TheoreticalStock'!CM31</f>
        <v/>
      </c>
      <c r="CW65" s="18">
        <f>'Grid_TheoreticalStock'!CN31</f>
        <v/>
      </c>
      <c r="CX65" s="18">
        <f>'Grid_TheoreticalStock'!CO31</f>
        <v/>
      </c>
      <c r="CY65" s="18">
        <f>'Grid_TheoreticalStock'!CP31</f>
        <v/>
      </c>
      <c r="CZ65" s="18">
        <f>'Grid_TheoreticalStock'!CQ31</f>
        <v/>
      </c>
      <c r="DA65" s="18">
        <f>'Grid_TheoreticalStock'!CR31</f>
        <v/>
      </c>
      <c r="DB65" s="18">
        <f>'Grid_TheoreticalStock'!CS31</f>
        <v/>
      </c>
      <c r="DC65" s="18">
        <f>'Grid_TheoreticalStock'!CT31</f>
        <v/>
      </c>
      <c r="DD65" s="18">
        <f>'Grid_TheoreticalStock'!CU31</f>
        <v/>
      </c>
      <c r="DE65" s="18">
        <f>'Grid_TheoreticalStock'!CV31</f>
        <v/>
      </c>
      <c r="DF65" s="18">
        <f>'Grid_TheoreticalStock'!CW31</f>
        <v/>
      </c>
      <c r="DG65" s="18">
        <f>'Grid_TheoreticalStock'!CX31</f>
        <v/>
      </c>
      <c r="DH65" s="18">
        <f>'Grid_TheoreticalStock'!CY31</f>
        <v/>
      </c>
      <c r="DI65" s="18">
        <f>'Grid_TheoreticalStock'!CZ31</f>
        <v/>
      </c>
      <c r="DJ65" s="18">
        <f>'Grid_TheoreticalStock'!DA31</f>
        <v/>
      </c>
    </row>
    <row r="66">
      <c r="A66" s="19" t="inlineStr">
        <is>
          <t>CHEM-1440</t>
        </is>
      </c>
      <c r="B66" s="19">
        <f>IFERROR(INDEX(M_RawMaterials[Description],MATCH($A66,M_RawMaterials[Part Name],0)),"")</f>
        <v/>
      </c>
      <c r="C66" s="19">
        <f>IFERROR(INDEX(M_RawMaterials[Category],MATCH($A66,M_RawMaterials[Part Name],0)),"")</f>
        <v/>
      </c>
      <c r="D66" s="19">
        <f>IFERROR(INDEX(M_RawMaterials[基準在庫下限_要入力],MATCH($A66,M_RawMaterials[Part Name],0)),0)</f>
        <v/>
      </c>
      <c r="E66" s="19">
        <f>IFERROR(INDEX(M_RawMaterials[基準在庫上限_要入力],MATCH($A66,M_RawMaterials[Part Name],0)),0)</f>
        <v/>
      </c>
      <c r="F66" s="19">
        <f>IFERROR(LOOKUP(2,1/('T_SelfStock'!$B$35:$DA$35&lt;&gt;""),'T_SelfStock'!$B$35:$DA$35),"")</f>
        <v/>
      </c>
      <c r="G66" s="19">
        <f>IFERROR(LOOKUP(2,1/('T_TTAFStock'!$B$35:$DA$35&lt;&gt;""),'T_TTAFStock'!$B$35:$DA$35),"")</f>
        <v/>
      </c>
      <c r="H66" s="19">
        <f>IFERROR(LOOKUP(2,1/('T_SelfStock'!$B$35:$DA$35&lt;&gt;""),'T_SelfStock'!$B$5:$DA$5),"")</f>
        <v/>
      </c>
      <c r="I66" s="20" t="inlineStr">
        <is>
          <t>実在庫</t>
        </is>
      </c>
      <c r="J66" s="19">
        <f>'Grid_Stock'!DA31-'Grid_TheoreticalStock'!DA31</f>
        <v/>
      </c>
      <c r="K66" s="19">
        <f>'Grid_Stock'!B31</f>
        <v/>
      </c>
      <c r="L66" s="19">
        <f>'Grid_Stock'!C31</f>
        <v/>
      </c>
      <c r="M66" s="19">
        <f>'Grid_Stock'!D31</f>
        <v/>
      </c>
      <c r="N66" s="19">
        <f>'Grid_Stock'!E31</f>
        <v/>
      </c>
      <c r="O66" s="19">
        <f>'Grid_Stock'!F31</f>
        <v/>
      </c>
      <c r="P66" s="19">
        <f>'Grid_Stock'!G31</f>
        <v/>
      </c>
      <c r="Q66" s="19">
        <f>'Grid_Stock'!H31</f>
        <v/>
      </c>
      <c r="R66" s="19">
        <f>'Grid_Stock'!I31</f>
        <v/>
      </c>
      <c r="S66" s="19">
        <f>'Grid_Stock'!J31</f>
        <v/>
      </c>
      <c r="T66" s="19">
        <f>'Grid_Stock'!K31</f>
        <v/>
      </c>
      <c r="U66" s="19">
        <f>'Grid_Stock'!L31</f>
        <v/>
      </c>
      <c r="V66" s="19">
        <f>'Grid_Stock'!M31</f>
        <v/>
      </c>
      <c r="W66" s="19">
        <f>'Grid_Stock'!N31</f>
        <v/>
      </c>
      <c r="X66" s="19">
        <f>'Grid_Stock'!O31</f>
        <v/>
      </c>
      <c r="Y66" s="19">
        <f>'Grid_Stock'!P31</f>
        <v/>
      </c>
      <c r="Z66" s="19">
        <f>'Grid_Stock'!Q31</f>
        <v/>
      </c>
      <c r="AA66" s="19">
        <f>'Grid_Stock'!R31</f>
        <v/>
      </c>
      <c r="AB66" s="19">
        <f>'Grid_Stock'!S31</f>
        <v/>
      </c>
      <c r="AC66" s="19">
        <f>'Grid_Stock'!T31</f>
        <v/>
      </c>
      <c r="AD66" s="19">
        <f>'Grid_Stock'!U31</f>
        <v/>
      </c>
      <c r="AE66" s="19">
        <f>'Grid_Stock'!V31</f>
        <v/>
      </c>
      <c r="AF66" s="19">
        <f>'Grid_Stock'!W31</f>
        <v/>
      </c>
      <c r="AG66" s="19">
        <f>'Grid_Stock'!X31</f>
        <v/>
      </c>
      <c r="AH66" s="19">
        <f>'Grid_Stock'!Y31</f>
        <v/>
      </c>
      <c r="AI66" s="19">
        <f>'Grid_Stock'!Z31</f>
        <v/>
      </c>
      <c r="AJ66" s="19">
        <f>'Grid_Stock'!AA31</f>
        <v/>
      </c>
      <c r="AK66" s="19">
        <f>'Grid_Stock'!AB31</f>
        <v/>
      </c>
      <c r="AL66" s="19">
        <f>'Grid_Stock'!AC31</f>
        <v/>
      </c>
      <c r="AM66" s="19">
        <f>'Grid_Stock'!AD31</f>
        <v/>
      </c>
      <c r="AN66" s="19">
        <f>'Grid_Stock'!AE31</f>
        <v/>
      </c>
      <c r="AO66" s="19">
        <f>'Grid_Stock'!AF31</f>
        <v/>
      </c>
      <c r="AP66" s="19">
        <f>'Grid_Stock'!AG31</f>
        <v/>
      </c>
      <c r="AQ66" s="19">
        <f>'Grid_Stock'!AH31</f>
        <v/>
      </c>
      <c r="AR66" s="19">
        <f>'Grid_Stock'!AI31</f>
        <v/>
      </c>
      <c r="AS66" s="19">
        <f>'Grid_Stock'!AJ31</f>
        <v/>
      </c>
      <c r="AT66" s="19">
        <f>'Grid_Stock'!AK31</f>
        <v/>
      </c>
      <c r="AU66" s="19">
        <f>'Grid_Stock'!AL31</f>
        <v/>
      </c>
      <c r="AV66" s="19">
        <f>'Grid_Stock'!AM31</f>
        <v/>
      </c>
      <c r="AW66" s="19">
        <f>'Grid_Stock'!AN31</f>
        <v/>
      </c>
      <c r="AX66" s="19">
        <f>'Grid_Stock'!AO31</f>
        <v/>
      </c>
      <c r="AY66" s="19">
        <f>'Grid_Stock'!AP31</f>
        <v/>
      </c>
      <c r="AZ66" s="19">
        <f>'Grid_Stock'!AQ31</f>
        <v/>
      </c>
      <c r="BA66" s="19">
        <f>'Grid_Stock'!AR31</f>
        <v/>
      </c>
      <c r="BB66" s="19">
        <f>'Grid_Stock'!AS31</f>
        <v/>
      </c>
      <c r="BC66" s="19">
        <f>'Grid_Stock'!AT31</f>
        <v/>
      </c>
      <c r="BD66" s="19">
        <f>'Grid_Stock'!AU31</f>
        <v/>
      </c>
      <c r="BE66" s="19">
        <f>'Grid_Stock'!AV31</f>
        <v/>
      </c>
      <c r="BF66" s="19">
        <f>'Grid_Stock'!AW31</f>
        <v/>
      </c>
      <c r="BG66" s="19">
        <f>'Grid_Stock'!AX31</f>
        <v/>
      </c>
      <c r="BH66" s="19">
        <f>'Grid_Stock'!AY31</f>
        <v/>
      </c>
      <c r="BI66" s="19">
        <f>'Grid_Stock'!AZ31</f>
        <v/>
      </c>
      <c r="BJ66" s="19">
        <f>'Grid_Stock'!BA31</f>
        <v/>
      </c>
      <c r="BK66" s="19">
        <f>'Grid_Stock'!BB31</f>
        <v/>
      </c>
      <c r="BL66" s="19">
        <f>'Grid_Stock'!BC31</f>
        <v/>
      </c>
      <c r="BM66" s="19">
        <f>'Grid_Stock'!BD31</f>
        <v/>
      </c>
      <c r="BN66" s="19">
        <f>'Grid_Stock'!BE31</f>
        <v/>
      </c>
      <c r="BO66" s="19">
        <f>'Grid_Stock'!BF31</f>
        <v/>
      </c>
      <c r="BP66" s="19">
        <f>'Grid_Stock'!BG31</f>
        <v/>
      </c>
      <c r="BQ66" s="19">
        <f>'Grid_Stock'!BH31</f>
        <v/>
      </c>
      <c r="BR66" s="19">
        <f>'Grid_Stock'!BI31</f>
        <v/>
      </c>
      <c r="BS66" s="19">
        <f>'Grid_Stock'!BJ31</f>
        <v/>
      </c>
      <c r="BT66" s="19">
        <f>'Grid_Stock'!BK31</f>
        <v/>
      </c>
      <c r="BU66" s="19">
        <f>'Grid_Stock'!BL31</f>
        <v/>
      </c>
      <c r="BV66" s="19">
        <f>'Grid_Stock'!BM31</f>
        <v/>
      </c>
      <c r="BW66" s="19">
        <f>'Grid_Stock'!BN31</f>
        <v/>
      </c>
      <c r="BX66" s="19">
        <f>'Grid_Stock'!BO31</f>
        <v/>
      </c>
      <c r="BY66" s="19">
        <f>'Grid_Stock'!BP31</f>
        <v/>
      </c>
      <c r="BZ66" s="19">
        <f>'Grid_Stock'!BQ31</f>
        <v/>
      </c>
      <c r="CA66" s="19">
        <f>'Grid_Stock'!BR31</f>
        <v/>
      </c>
      <c r="CB66" s="19">
        <f>'Grid_Stock'!BS31</f>
        <v/>
      </c>
      <c r="CC66" s="19">
        <f>'Grid_Stock'!BT31</f>
        <v/>
      </c>
      <c r="CD66" s="19">
        <f>'Grid_Stock'!BU31</f>
        <v/>
      </c>
      <c r="CE66" s="19">
        <f>'Grid_Stock'!BV31</f>
        <v/>
      </c>
      <c r="CF66" s="19">
        <f>'Grid_Stock'!BW31</f>
        <v/>
      </c>
      <c r="CG66" s="19">
        <f>'Grid_Stock'!BX31</f>
        <v/>
      </c>
      <c r="CH66" s="19">
        <f>'Grid_Stock'!BY31</f>
        <v/>
      </c>
      <c r="CI66" s="19">
        <f>'Grid_Stock'!BZ31</f>
        <v/>
      </c>
      <c r="CJ66" s="19">
        <f>'Grid_Stock'!CA31</f>
        <v/>
      </c>
      <c r="CK66" s="19">
        <f>'Grid_Stock'!CB31</f>
        <v/>
      </c>
      <c r="CL66" s="19">
        <f>'Grid_Stock'!CC31</f>
        <v/>
      </c>
      <c r="CM66" s="19">
        <f>'Grid_Stock'!CD31</f>
        <v/>
      </c>
      <c r="CN66" s="19">
        <f>'Grid_Stock'!CE31</f>
        <v/>
      </c>
      <c r="CO66" s="19">
        <f>'Grid_Stock'!CF31</f>
        <v/>
      </c>
      <c r="CP66" s="19">
        <f>'Grid_Stock'!CG31</f>
        <v/>
      </c>
      <c r="CQ66" s="19">
        <f>'Grid_Stock'!CH31</f>
        <v/>
      </c>
      <c r="CR66" s="19">
        <f>'Grid_Stock'!CI31</f>
        <v/>
      </c>
      <c r="CS66" s="19">
        <f>'Grid_Stock'!CJ31</f>
        <v/>
      </c>
      <c r="CT66" s="19">
        <f>'Grid_Stock'!CK31</f>
        <v/>
      </c>
      <c r="CU66" s="19">
        <f>'Grid_Stock'!CL31</f>
        <v/>
      </c>
      <c r="CV66" s="19">
        <f>'Grid_Stock'!CM31</f>
        <v/>
      </c>
      <c r="CW66" s="19">
        <f>'Grid_Stock'!CN31</f>
        <v/>
      </c>
      <c r="CX66" s="19">
        <f>'Grid_Stock'!CO31</f>
        <v/>
      </c>
      <c r="CY66" s="19">
        <f>'Grid_Stock'!CP31</f>
        <v/>
      </c>
      <c r="CZ66" s="19">
        <f>'Grid_Stock'!CQ31</f>
        <v/>
      </c>
      <c r="DA66" s="19">
        <f>'Grid_Stock'!CR31</f>
        <v/>
      </c>
      <c r="DB66" s="19">
        <f>'Grid_Stock'!CS31</f>
        <v/>
      </c>
      <c r="DC66" s="19">
        <f>'Grid_Stock'!CT31</f>
        <v/>
      </c>
      <c r="DD66" s="19">
        <f>'Grid_Stock'!CU31</f>
        <v/>
      </c>
      <c r="DE66" s="19">
        <f>'Grid_Stock'!CV31</f>
        <v/>
      </c>
      <c r="DF66" s="19">
        <f>'Grid_Stock'!CW31</f>
        <v/>
      </c>
      <c r="DG66" s="19">
        <f>'Grid_Stock'!CX31</f>
        <v/>
      </c>
      <c r="DH66" s="19">
        <f>'Grid_Stock'!CY31</f>
        <v/>
      </c>
      <c r="DI66" s="19">
        <f>'Grid_Stock'!CZ31</f>
        <v/>
      </c>
      <c r="DJ66" s="19">
        <f>'Grid_Stock'!DA31</f>
        <v/>
      </c>
    </row>
    <row r="67">
      <c r="A67" s="17" t="inlineStr">
        <is>
          <t>CHEM-1780</t>
        </is>
      </c>
      <c r="B67" s="17">
        <f>IFERROR(INDEX(M_RawMaterials[Description],MATCH($A67,M_RawMaterials[Part Name],0)),"")</f>
        <v/>
      </c>
      <c r="C67" s="17">
        <f>IFERROR(INDEX(M_RawMaterials[Category],MATCH($A67,M_RawMaterials[Part Name],0)),"")</f>
        <v/>
      </c>
      <c r="D67" s="17">
        <f>IFERROR(INDEX(M_RawMaterials[基準在庫下限_要入力],MATCH($A67,M_RawMaterials[Part Name],0)),0)</f>
        <v/>
      </c>
      <c r="E67" s="17">
        <f>IFERROR(INDEX(M_RawMaterials[基準在庫上限_要入力],MATCH($A67,M_RawMaterials[Part Name],0)),0)</f>
        <v/>
      </c>
      <c r="F67" s="17">
        <f>IFERROR(LOOKUP(2,1/('T_SelfStock'!$B$36:$DA$36&lt;&gt;""),'T_SelfStock'!$B$36:$DA$36),"")</f>
        <v/>
      </c>
      <c r="G67" s="17">
        <f>IFERROR(LOOKUP(2,1/('T_TTAFStock'!$B$36:$DA$36&lt;&gt;""),'T_TTAFStock'!$B$36:$DA$36),"")</f>
        <v/>
      </c>
      <c r="H67" s="17">
        <f>IFERROR(LOOKUP(2,1/('T_SelfStock'!$B$36:$DA$36&lt;&gt;""),'T_SelfStock'!$B$5:$DA$5),"")</f>
        <v/>
      </c>
      <c r="I67" s="18" t="inlineStr">
        <is>
          <t>理論在庫</t>
        </is>
      </c>
      <c r="J67" s="17">
        <f>'Grid_Stock'!DA32-'Grid_TheoreticalStock'!DA32</f>
        <v/>
      </c>
      <c r="K67" s="18">
        <f>'Grid_TheoreticalStock'!B32</f>
        <v/>
      </c>
      <c r="L67" s="18">
        <f>'Grid_TheoreticalStock'!C32</f>
        <v/>
      </c>
      <c r="M67" s="18">
        <f>'Grid_TheoreticalStock'!D32</f>
        <v/>
      </c>
      <c r="N67" s="18">
        <f>'Grid_TheoreticalStock'!E32</f>
        <v/>
      </c>
      <c r="O67" s="18">
        <f>'Grid_TheoreticalStock'!F32</f>
        <v/>
      </c>
      <c r="P67" s="18">
        <f>'Grid_TheoreticalStock'!G32</f>
        <v/>
      </c>
      <c r="Q67" s="18">
        <f>'Grid_TheoreticalStock'!H32</f>
        <v/>
      </c>
      <c r="R67" s="18">
        <f>'Grid_TheoreticalStock'!I32</f>
        <v/>
      </c>
      <c r="S67" s="18">
        <f>'Grid_TheoreticalStock'!J32</f>
        <v/>
      </c>
      <c r="T67" s="18">
        <f>'Grid_TheoreticalStock'!K32</f>
        <v/>
      </c>
      <c r="U67" s="18">
        <f>'Grid_TheoreticalStock'!L32</f>
        <v/>
      </c>
      <c r="V67" s="18">
        <f>'Grid_TheoreticalStock'!M32</f>
        <v/>
      </c>
      <c r="W67" s="18">
        <f>'Grid_TheoreticalStock'!N32</f>
        <v/>
      </c>
      <c r="X67" s="18">
        <f>'Grid_TheoreticalStock'!O32</f>
        <v/>
      </c>
      <c r="Y67" s="18">
        <f>'Grid_TheoreticalStock'!P32</f>
        <v/>
      </c>
      <c r="Z67" s="18">
        <f>'Grid_TheoreticalStock'!Q32</f>
        <v/>
      </c>
      <c r="AA67" s="18">
        <f>'Grid_TheoreticalStock'!R32</f>
        <v/>
      </c>
      <c r="AB67" s="18">
        <f>'Grid_TheoreticalStock'!S32</f>
        <v/>
      </c>
      <c r="AC67" s="18">
        <f>'Grid_TheoreticalStock'!T32</f>
        <v/>
      </c>
      <c r="AD67" s="18">
        <f>'Grid_TheoreticalStock'!U32</f>
        <v/>
      </c>
      <c r="AE67" s="18">
        <f>'Grid_TheoreticalStock'!V32</f>
        <v/>
      </c>
      <c r="AF67" s="18">
        <f>'Grid_TheoreticalStock'!W32</f>
        <v/>
      </c>
      <c r="AG67" s="18">
        <f>'Grid_TheoreticalStock'!X32</f>
        <v/>
      </c>
      <c r="AH67" s="18">
        <f>'Grid_TheoreticalStock'!Y32</f>
        <v/>
      </c>
      <c r="AI67" s="18">
        <f>'Grid_TheoreticalStock'!Z32</f>
        <v/>
      </c>
      <c r="AJ67" s="18">
        <f>'Grid_TheoreticalStock'!AA32</f>
        <v/>
      </c>
      <c r="AK67" s="18">
        <f>'Grid_TheoreticalStock'!AB32</f>
        <v/>
      </c>
      <c r="AL67" s="18">
        <f>'Grid_TheoreticalStock'!AC32</f>
        <v/>
      </c>
      <c r="AM67" s="18">
        <f>'Grid_TheoreticalStock'!AD32</f>
        <v/>
      </c>
      <c r="AN67" s="18">
        <f>'Grid_TheoreticalStock'!AE32</f>
        <v/>
      </c>
      <c r="AO67" s="18">
        <f>'Grid_TheoreticalStock'!AF32</f>
        <v/>
      </c>
      <c r="AP67" s="18">
        <f>'Grid_TheoreticalStock'!AG32</f>
        <v/>
      </c>
      <c r="AQ67" s="18">
        <f>'Grid_TheoreticalStock'!AH32</f>
        <v/>
      </c>
      <c r="AR67" s="18">
        <f>'Grid_TheoreticalStock'!AI32</f>
        <v/>
      </c>
      <c r="AS67" s="18">
        <f>'Grid_TheoreticalStock'!AJ32</f>
        <v/>
      </c>
      <c r="AT67" s="18">
        <f>'Grid_TheoreticalStock'!AK32</f>
        <v/>
      </c>
      <c r="AU67" s="18">
        <f>'Grid_TheoreticalStock'!AL32</f>
        <v/>
      </c>
      <c r="AV67" s="18">
        <f>'Grid_TheoreticalStock'!AM32</f>
        <v/>
      </c>
      <c r="AW67" s="18">
        <f>'Grid_TheoreticalStock'!AN32</f>
        <v/>
      </c>
      <c r="AX67" s="18">
        <f>'Grid_TheoreticalStock'!AO32</f>
        <v/>
      </c>
      <c r="AY67" s="18">
        <f>'Grid_TheoreticalStock'!AP32</f>
        <v/>
      </c>
      <c r="AZ67" s="18">
        <f>'Grid_TheoreticalStock'!AQ32</f>
        <v/>
      </c>
      <c r="BA67" s="18">
        <f>'Grid_TheoreticalStock'!AR32</f>
        <v/>
      </c>
      <c r="BB67" s="18">
        <f>'Grid_TheoreticalStock'!AS32</f>
        <v/>
      </c>
      <c r="BC67" s="18">
        <f>'Grid_TheoreticalStock'!AT32</f>
        <v/>
      </c>
      <c r="BD67" s="18">
        <f>'Grid_TheoreticalStock'!AU32</f>
        <v/>
      </c>
      <c r="BE67" s="18">
        <f>'Grid_TheoreticalStock'!AV32</f>
        <v/>
      </c>
      <c r="BF67" s="18">
        <f>'Grid_TheoreticalStock'!AW32</f>
        <v/>
      </c>
      <c r="BG67" s="18">
        <f>'Grid_TheoreticalStock'!AX32</f>
        <v/>
      </c>
      <c r="BH67" s="18">
        <f>'Grid_TheoreticalStock'!AY32</f>
        <v/>
      </c>
      <c r="BI67" s="18">
        <f>'Grid_TheoreticalStock'!AZ32</f>
        <v/>
      </c>
      <c r="BJ67" s="18">
        <f>'Grid_TheoreticalStock'!BA32</f>
        <v/>
      </c>
      <c r="BK67" s="18">
        <f>'Grid_TheoreticalStock'!BB32</f>
        <v/>
      </c>
      <c r="BL67" s="18">
        <f>'Grid_TheoreticalStock'!BC32</f>
        <v/>
      </c>
      <c r="BM67" s="18">
        <f>'Grid_TheoreticalStock'!BD32</f>
        <v/>
      </c>
      <c r="BN67" s="18">
        <f>'Grid_TheoreticalStock'!BE32</f>
        <v/>
      </c>
      <c r="BO67" s="18">
        <f>'Grid_TheoreticalStock'!BF32</f>
        <v/>
      </c>
      <c r="BP67" s="18">
        <f>'Grid_TheoreticalStock'!BG32</f>
        <v/>
      </c>
      <c r="BQ67" s="18">
        <f>'Grid_TheoreticalStock'!BH32</f>
        <v/>
      </c>
      <c r="BR67" s="18">
        <f>'Grid_TheoreticalStock'!BI32</f>
        <v/>
      </c>
      <c r="BS67" s="18">
        <f>'Grid_TheoreticalStock'!BJ32</f>
        <v/>
      </c>
      <c r="BT67" s="18">
        <f>'Grid_TheoreticalStock'!BK32</f>
        <v/>
      </c>
      <c r="BU67" s="18">
        <f>'Grid_TheoreticalStock'!BL32</f>
        <v/>
      </c>
      <c r="BV67" s="18">
        <f>'Grid_TheoreticalStock'!BM32</f>
        <v/>
      </c>
      <c r="BW67" s="18">
        <f>'Grid_TheoreticalStock'!BN32</f>
        <v/>
      </c>
      <c r="BX67" s="18">
        <f>'Grid_TheoreticalStock'!BO32</f>
        <v/>
      </c>
      <c r="BY67" s="18">
        <f>'Grid_TheoreticalStock'!BP32</f>
        <v/>
      </c>
      <c r="BZ67" s="18">
        <f>'Grid_TheoreticalStock'!BQ32</f>
        <v/>
      </c>
      <c r="CA67" s="18">
        <f>'Grid_TheoreticalStock'!BR32</f>
        <v/>
      </c>
      <c r="CB67" s="18">
        <f>'Grid_TheoreticalStock'!BS32</f>
        <v/>
      </c>
      <c r="CC67" s="18">
        <f>'Grid_TheoreticalStock'!BT32</f>
        <v/>
      </c>
      <c r="CD67" s="18">
        <f>'Grid_TheoreticalStock'!BU32</f>
        <v/>
      </c>
      <c r="CE67" s="18">
        <f>'Grid_TheoreticalStock'!BV32</f>
        <v/>
      </c>
      <c r="CF67" s="18">
        <f>'Grid_TheoreticalStock'!BW32</f>
        <v/>
      </c>
      <c r="CG67" s="18">
        <f>'Grid_TheoreticalStock'!BX32</f>
        <v/>
      </c>
      <c r="CH67" s="18">
        <f>'Grid_TheoreticalStock'!BY32</f>
        <v/>
      </c>
      <c r="CI67" s="18">
        <f>'Grid_TheoreticalStock'!BZ32</f>
        <v/>
      </c>
      <c r="CJ67" s="18">
        <f>'Grid_TheoreticalStock'!CA32</f>
        <v/>
      </c>
      <c r="CK67" s="18">
        <f>'Grid_TheoreticalStock'!CB32</f>
        <v/>
      </c>
      <c r="CL67" s="18">
        <f>'Grid_TheoreticalStock'!CC32</f>
        <v/>
      </c>
      <c r="CM67" s="18">
        <f>'Grid_TheoreticalStock'!CD32</f>
        <v/>
      </c>
      <c r="CN67" s="18">
        <f>'Grid_TheoreticalStock'!CE32</f>
        <v/>
      </c>
      <c r="CO67" s="18">
        <f>'Grid_TheoreticalStock'!CF32</f>
        <v/>
      </c>
      <c r="CP67" s="18">
        <f>'Grid_TheoreticalStock'!CG32</f>
        <v/>
      </c>
      <c r="CQ67" s="18">
        <f>'Grid_TheoreticalStock'!CH32</f>
        <v/>
      </c>
      <c r="CR67" s="18">
        <f>'Grid_TheoreticalStock'!CI32</f>
        <v/>
      </c>
      <c r="CS67" s="18">
        <f>'Grid_TheoreticalStock'!CJ32</f>
        <v/>
      </c>
      <c r="CT67" s="18">
        <f>'Grid_TheoreticalStock'!CK32</f>
        <v/>
      </c>
      <c r="CU67" s="18">
        <f>'Grid_TheoreticalStock'!CL32</f>
        <v/>
      </c>
      <c r="CV67" s="18">
        <f>'Grid_TheoreticalStock'!CM32</f>
        <v/>
      </c>
      <c r="CW67" s="18">
        <f>'Grid_TheoreticalStock'!CN32</f>
        <v/>
      </c>
      <c r="CX67" s="18">
        <f>'Grid_TheoreticalStock'!CO32</f>
        <v/>
      </c>
      <c r="CY67" s="18">
        <f>'Grid_TheoreticalStock'!CP32</f>
        <v/>
      </c>
      <c r="CZ67" s="18">
        <f>'Grid_TheoreticalStock'!CQ32</f>
        <v/>
      </c>
      <c r="DA67" s="18">
        <f>'Grid_TheoreticalStock'!CR32</f>
        <v/>
      </c>
      <c r="DB67" s="18">
        <f>'Grid_TheoreticalStock'!CS32</f>
        <v/>
      </c>
      <c r="DC67" s="18">
        <f>'Grid_TheoreticalStock'!CT32</f>
        <v/>
      </c>
      <c r="DD67" s="18">
        <f>'Grid_TheoreticalStock'!CU32</f>
        <v/>
      </c>
      <c r="DE67" s="18">
        <f>'Grid_TheoreticalStock'!CV32</f>
        <v/>
      </c>
      <c r="DF67" s="18">
        <f>'Grid_TheoreticalStock'!CW32</f>
        <v/>
      </c>
      <c r="DG67" s="18">
        <f>'Grid_TheoreticalStock'!CX32</f>
        <v/>
      </c>
      <c r="DH67" s="18">
        <f>'Grid_TheoreticalStock'!CY32</f>
        <v/>
      </c>
      <c r="DI67" s="18">
        <f>'Grid_TheoreticalStock'!CZ32</f>
        <v/>
      </c>
      <c r="DJ67" s="18">
        <f>'Grid_TheoreticalStock'!DA32</f>
        <v/>
      </c>
    </row>
    <row r="68">
      <c r="A68" s="19" t="inlineStr">
        <is>
          <t>CHEM-1780</t>
        </is>
      </c>
      <c r="B68" s="19">
        <f>IFERROR(INDEX(M_RawMaterials[Description],MATCH($A68,M_RawMaterials[Part Name],0)),"")</f>
        <v/>
      </c>
      <c r="C68" s="19">
        <f>IFERROR(INDEX(M_RawMaterials[Category],MATCH($A68,M_RawMaterials[Part Name],0)),"")</f>
        <v/>
      </c>
      <c r="D68" s="19">
        <f>IFERROR(INDEX(M_RawMaterials[基準在庫下限_要入力],MATCH($A68,M_RawMaterials[Part Name],0)),0)</f>
        <v/>
      </c>
      <c r="E68" s="19">
        <f>IFERROR(INDEX(M_RawMaterials[基準在庫上限_要入力],MATCH($A68,M_RawMaterials[Part Name],0)),0)</f>
        <v/>
      </c>
      <c r="F68" s="19">
        <f>IFERROR(LOOKUP(2,1/('T_SelfStock'!$B$36:$DA$36&lt;&gt;""),'T_SelfStock'!$B$36:$DA$36),"")</f>
        <v/>
      </c>
      <c r="G68" s="19">
        <f>IFERROR(LOOKUP(2,1/('T_TTAFStock'!$B$36:$DA$36&lt;&gt;""),'T_TTAFStock'!$B$36:$DA$36),"")</f>
        <v/>
      </c>
      <c r="H68" s="19">
        <f>IFERROR(LOOKUP(2,1/('T_SelfStock'!$B$36:$DA$36&lt;&gt;""),'T_SelfStock'!$B$5:$DA$5),"")</f>
        <v/>
      </c>
      <c r="I68" s="20" t="inlineStr">
        <is>
          <t>実在庫</t>
        </is>
      </c>
      <c r="J68" s="19">
        <f>'Grid_Stock'!DA32-'Grid_TheoreticalStock'!DA32</f>
        <v/>
      </c>
      <c r="K68" s="19">
        <f>'Grid_Stock'!B32</f>
        <v/>
      </c>
      <c r="L68" s="19">
        <f>'Grid_Stock'!C32</f>
        <v/>
      </c>
      <c r="M68" s="19">
        <f>'Grid_Stock'!D32</f>
        <v/>
      </c>
      <c r="N68" s="19">
        <f>'Grid_Stock'!E32</f>
        <v/>
      </c>
      <c r="O68" s="19">
        <f>'Grid_Stock'!F32</f>
        <v/>
      </c>
      <c r="P68" s="19">
        <f>'Grid_Stock'!G32</f>
        <v/>
      </c>
      <c r="Q68" s="19">
        <f>'Grid_Stock'!H32</f>
        <v/>
      </c>
      <c r="R68" s="19">
        <f>'Grid_Stock'!I32</f>
        <v/>
      </c>
      <c r="S68" s="19">
        <f>'Grid_Stock'!J32</f>
        <v/>
      </c>
      <c r="T68" s="19">
        <f>'Grid_Stock'!K32</f>
        <v/>
      </c>
      <c r="U68" s="19">
        <f>'Grid_Stock'!L32</f>
        <v/>
      </c>
      <c r="V68" s="19">
        <f>'Grid_Stock'!M32</f>
        <v/>
      </c>
      <c r="W68" s="19">
        <f>'Grid_Stock'!N32</f>
        <v/>
      </c>
      <c r="X68" s="19">
        <f>'Grid_Stock'!O32</f>
        <v/>
      </c>
      <c r="Y68" s="19">
        <f>'Grid_Stock'!P32</f>
        <v/>
      </c>
      <c r="Z68" s="19">
        <f>'Grid_Stock'!Q32</f>
        <v/>
      </c>
      <c r="AA68" s="19">
        <f>'Grid_Stock'!R32</f>
        <v/>
      </c>
      <c r="AB68" s="19">
        <f>'Grid_Stock'!S32</f>
        <v/>
      </c>
      <c r="AC68" s="19">
        <f>'Grid_Stock'!T32</f>
        <v/>
      </c>
      <c r="AD68" s="19">
        <f>'Grid_Stock'!U32</f>
        <v/>
      </c>
      <c r="AE68" s="19">
        <f>'Grid_Stock'!V32</f>
        <v/>
      </c>
      <c r="AF68" s="19">
        <f>'Grid_Stock'!W32</f>
        <v/>
      </c>
      <c r="AG68" s="19">
        <f>'Grid_Stock'!X32</f>
        <v/>
      </c>
      <c r="AH68" s="19">
        <f>'Grid_Stock'!Y32</f>
        <v/>
      </c>
      <c r="AI68" s="19">
        <f>'Grid_Stock'!Z32</f>
        <v/>
      </c>
      <c r="AJ68" s="19">
        <f>'Grid_Stock'!AA32</f>
        <v/>
      </c>
      <c r="AK68" s="19">
        <f>'Grid_Stock'!AB32</f>
        <v/>
      </c>
      <c r="AL68" s="19">
        <f>'Grid_Stock'!AC32</f>
        <v/>
      </c>
      <c r="AM68" s="19">
        <f>'Grid_Stock'!AD32</f>
        <v/>
      </c>
      <c r="AN68" s="19">
        <f>'Grid_Stock'!AE32</f>
        <v/>
      </c>
      <c r="AO68" s="19">
        <f>'Grid_Stock'!AF32</f>
        <v/>
      </c>
      <c r="AP68" s="19">
        <f>'Grid_Stock'!AG32</f>
        <v/>
      </c>
      <c r="AQ68" s="19">
        <f>'Grid_Stock'!AH32</f>
        <v/>
      </c>
      <c r="AR68" s="19">
        <f>'Grid_Stock'!AI32</f>
        <v/>
      </c>
      <c r="AS68" s="19">
        <f>'Grid_Stock'!AJ32</f>
        <v/>
      </c>
      <c r="AT68" s="19">
        <f>'Grid_Stock'!AK32</f>
        <v/>
      </c>
      <c r="AU68" s="19">
        <f>'Grid_Stock'!AL32</f>
        <v/>
      </c>
      <c r="AV68" s="19">
        <f>'Grid_Stock'!AM32</f>
        <v/>
      </c>
      <c r="AW68" s="19">
        <f>'Grid_Stock'!AN32</f>
        <v/>
      </c>
      <c r="AX68" s="19">
        <f>'Grid_Stock'!AO32</f>
        <v/>
      </c>
      <c r="AY68" s="19">
        <f>'Grid_Stock'!AP32</f>
        <v/>
      </c>
      <c r="AZ68" s="19">
        <f>'Grid_Stock'!AQ32</f>
        <v/>
      </c>
      <c r="BA68" s="19">
        <f>'Grid_Stock'!AR32</f>
        <v/>
      </c>
      <c r="BB68" s="19">
        <f>'Grid_Stock'!AS32</f>
        <v/>
      </c>
      <c r="BC68" s="19">
        <f>'Grid_Stock'!AT32</f>
        <v/>
      </c>
      <c r="BD68" s="19">
        <f>'Grid_Stock'!AU32</f>
        <v/>
      </c>
      <c r="BE68" s="19">
        <f>'Grid_Stock'!AV32</f>
        <v/>
      </c>
      <c r="BF68" s="19">
        <f>'Grid_Stock'!AW32</f>
        <v/>
      </c>
      <c r="BG68" s="19">
        <f>'Grid_Stock'!AX32</f>
        <v/>
      </c>
      <c r="BH68" s="19">
        <f>'Grid_Stock'!AY32</f>
        <v/>
      </c>
      <c r="BI68" s="19">
        <f>'Grid_Stock'!AZ32</f>
        <v/>
      </c>
      <c r="BJ68" s="19">
        <f>'Grid_Stock'!BA32</f>
        <v/>
      </c>
      <c r="BK68" s="19">
        <f>'Grid_Stock'!BB32</f>
        <v/>
      </c>
      <c r="BL68" s="19">
        <f>'Grid_Stock'!BC32</f>
        <v/>
      </c>
      <c r="BM68" s="19">
        <f>'Grid_Stock'!BD32</f>
        <v/>
      </c>
      <c r="BN68" s="19">
        <f>'Grid_Stock'!BE32</f>
        <v/>
      </c>
      <c r="BO68" s="19">
        <f>'Grid_Stock'!BF32</f>
        <v/>
      </c>
      <c r="BP68" s="19">
        <f>'Grid_Stock'!BG32</f>
        <v/>
      </c>
      <c r="BQ68" s="19">
        <f>'Grid_Stock'!BH32</f>
        <v/>
      </c>
      <c r="BR68" s="19">
        <f>'Grid_Stock'!BI32</f>
        <v/>
      </c>
      <c r="BS68" s="19">
        <f>'Grid_Stock'!BJ32</f>
        <v/>
      </c>
      <c r="BT68" s="19">
        <f>'Grid_Stock'!BK32</f>
        <v/>
      </c>
      <c r="BU68" s="19">
        <f>'Grid_Stock'!BL32</f>
        <v/>
      </c>
      <c r="BV68" s="19">
        <f>'Grid_Stock'!BM32</f>
        <v/>
      </c>
      <c r="BW68" s="19">
        <f>'Grid_Stock'!BN32</f>
        <v/>
      </c>
      <c r="BX68" s="19">
        <f>'Grid_Stock'!BO32</f>
        <v/>
      </c>
      <c r="BY68" s="19">
        <f>'Grid_Stock'!BP32</f>
        <v/>
      </c>
      <c r="BZ68" s="19">
        <f>'Grid_Stock'!BQ32</f>
        <v/>
      </c>
      <c r="CA68" s="19">
        <f>'Grid_Stock'!BR32</f>
        <v/>
      </c>
      <c r="CB68" s="19">
        <f>'Grid_Stock'!BS32</f>
        <v/>
      </c>
      <c r="CC68" s="19">
        <f>'Grid_Stock'!BT32</f>
        <v/>
      </c>
      <c r="CD68" s="19">
        <f>'Grid_Stock'!BU32</f>
        <v/>
      </c>
      <c r="CE68" s="19">
        <f>'Grid_Stock'!BV32</f>
        <v/>
      </c>
      <c r="CF68" s="19">
        <f>'Grid_Stock'!BW32</f>
        <v/>
      </c>
      <c r="CG68" s="19">
        <f>'Grid_Stock'!BX32</f>
        <v/>
      </c>
      <c r="CH68" s="19">
        <f>'Grid_Stock'!BY32</f>
        <v/>
      </c>
      <c r="CI68" s="19">
        <f>'Grid_Stock'!BZ32</f>
        <v/>
      </c>
      <c r="CJ68" s="19">
        <f>'Grid_Stock'!CA32</f>
        <v/>
      </c>
      <c r="CK68" s="19">
        <f>'Grid_Stock'!CB32</f>
        <v/>
      </c>
      <c r="CL68" s="19">
        <f>'Grid_Stock'!CC32</f>
        <v/>
      </c>
      <c r="CM68" s="19">
        <f>'Grid_Stock'!CD32</f>
        <v/>
      </c>
      <c r="CN68" s="19">
        <f>'Grid_Stock'!CE32</f>
        <v/>
      </c>
      <c r="CO68" s="19">
        <f>'Grid_Stock'!CF32</f>
        <v/>
      </c>
      <c r="CP68" s="19">
        <f>'Grid_Stock'!CG32</f>
        <v/>
      </c>
      <c r="CQ68" s="19">
        <f>'Grid_Stock'!CH32</f>
        <v/>
      </c>
      <c r="CR68" s="19">
        <f>'Grid_Stock'!CI32</f>
        <v/>
      </c>
      <c r="CS68" s="19">
        <f>'Grid_Stock'!CJ32</f>
        <v/>
      </c>
      <c r="CT68" s="19">
        <f>'Grid_Stock'!CK32</f>
        <v/>
      </c>
      <c r="CU68" s="19">
        <f>'Grid_Stock'!CL32</f>
        <v/>
      </c>
      <c r="CV68" s="19">
        <f>'Grid_Stock'!CM32</f>
        <v/>
      </c>
      <c r="CW68" s="19">
        <f>'Grid_Stock'!CN32</f>
        <v/>
      </c>
      <c r="CX68" s="19">
        <f>'Grid_Stock'!CO32</f>
        <v/>
      </c>
      <c r="CY68" s="19">
        <f>'Grid_Stock'!CP32</f>
        <v/>
      </c>
      <c r="CZ68" s="19">
        <f>'Grid_Stock'!CQ32</f>
        <v/>
      </c>
      <c r="DA68" s="19">
        <f>'Grid_Stock'!CR32</f>
        <v/>
      </c>
      <c r="DB68" s="19">
        <f>'Grid_Stock'!CS32</f>
        <v/>
      </c>
      <c r="DC68" s="19">
        <f>'Grid_Stock'!CT32</f>
        <v/>
      </c>
      <c r="DD68" s="19">
        <f>'Grid_Stock'!CU32</f>
        <v/>
      </c>
      <c r="DE68" s="19">
        <f>'Grid_Stock'!CV32</f>
        <v/>
      </c>
      <c r="DF68" s="19">
        <f>'Grid_Stock'!CW32</f>
        <v/>
      </c>
      <c r="DG68" s="19">
        <f>'Grid_Stock'!CX32</f>
        <v/>
      </c>
      <c r="DH68" s="19">
        <f>'Grid_Stock'!CY32</f>
        <v/>
      </c>
      <c r="DI68" s="19">
        <f>'Grid_Stock'!CZ32</f>
        <v/>
      </c>
      <c r="DJ68" s="19">
        <f>'Grid_Stock'!DA32</f>
        <v/>
      </c>
    </row>
    <row r="69">
      <c r="A69" s="17" t="inlineStr">
        <is>
          <t>CHEM-1400</t>
        </is>
      </c>
      <c r="B69" s="17">
        <f>IFERROR(INDEX(M_RawMaterials[Description],MATCH($A69,M_RawMaterials[Part Name],0)),"")</f>
        <v/>
      </c>
      <c r="C69" s="17">
        <f>IFERROR(INDEX(M_RawMaterials[Category],MATCH($A69,M_RawMaterials[Part Name],0)),"")</f>
        <v/>
      </c>
      <c r="D69" s="17">
        <f>IFERROR(INDEX(M_RawMaterials[基準在庫下限_要入力],MATCH($A69,M_RawMaterials[Part Name],0)),0)</f>
        <v/>
      </c>
      <c r="E69" s="17">
        <f>IFERROR(INDEX(M_RawMaterials[基準在庫上限_要入力],MATCH($A69,M_RawMaterials[Part Name],0)),0)</f>
        <v/>
      </c>
      <c r="F69" s="17">
        <f>IFERROR(LOOKUP(2,1/('T_SelfStock'!$B$37:$DA$37&lt;&gt;""),'T_SelfStock'!$B$37:$DA$37),"")</f>
        <v/>
      </c>
      <c r="G69" s="17">
        <f>IFERROR(LOOKUP(2,1/('T_TTAFStock'!$B$37:$DA$37&lt;&gt;""),'T_TTAFStock'!$B$37:$DA$37),"")</f>
        <v/>
      </c>
      <c r="H69" s="17">
        <f>IFERROR(LOOKUP(2,1/('T_SelfStock'!$B$37:$DA$37&lt;&gt;""),'T_SelfStock'!$B$5:$DA$5),"")</f>
        <v/>
      </c>
      <c r="I69" s="18" t="inlineStr">
        <is>
          <t>理論在庫</t>
        </is>
      </c>
      <c r="J69" s="17">
        <f>'Grid_Stock'!DA33-'Grid_TheoreticalStock'!DA33</f>
        <v/>
      </c>
      <c r="K69" s="18">
        <f>'Grid_TheoreticalStock'!B33</f>
        <v/>
      </c>
      <c r="L69" s="18">
        <f>'Grid_TheoreticalStock'!C33</f>
        <v/>
      </c>
      <c r="M69" s="18">
        <f>'Grid_TheoreticalStock'!D33</f>
        <v/>
      </c>
      <c r="N69" s="18">
        <f>'Grid_TheoreticalStock'!E33</f>
        <v/>
      </c>
      <c r="O69" s="18">
        <f>'Grid_TheoreticalStock'!F33</f>
        <v/>
      </c>
      <c r="P69" s="18">
        <f>'Grid_TheoreticalStock'!G33</f>
        <v/>
      </c>
      <c r="Q69" s="18">
        <f>'Grid_TheoreticalStock'!H33</f>
        <v/>
      </c>
      <c r="R69" s="18">
        <f>'Grid_TheoreticalStock'!I33</f>
        <v/>
      </c>
      <c r="S69" s="18">
        <f>'Grid_TheoreticalStock'!J33</f>
        <v/>
      </c>
      <c r="T69" s="18">
        <f>'Grid_TheoreticalStock'!K33</f>
        <v/>
      </c>
      <c r="U69" s="18">
        <f>'Grid_TheoreticalStock'!L33</f>
        <v/>
      </c>
      <c r="V69" s="18">
        <f>'Grid_TheoreticalStock'!M33</f>
        <v/>
      </c>
      <c r="W69" s="18">
        <f>'Grid_TheoreticalStock'!N33</f>
        <v/>
      </c>
      <c r="X69" s="18">
        <f>'Grid_TheoreticalStock'!O33</f>
        <v/>
      </c>
      <c r="Y69" s="18">
        <f>'Grid_TheoreticalStock'!P33</f>
        <v/>
      </c>
      <c r="Z69" s="18">
        <f>'Grid_TheoreticalStock'!Q33</f>
        <v/>
      </c>
      <c r="AA69" s="18">
        <f>'Grid_TheoreticalStock'!R33</f>
        <v/>
      </c>
      <c r="AB69" s="18">
        <f>'Grid_TheoreticalStock'!S33</f>
        <v/>
      </c>
      <c r="AC69" s="18">
        <f>'Grid_TheoreticalStock'!T33</f>
        <v/>
      </c>
      <c r="AD69" s="18">
        <f>'Grid_TheoreticalStock'!U33</f>
        <v/>
      </c>
      <c r="AE69" s="18">
        <f>'Grid_TheoreticalStock'!V33</f>
        <v/>
      </c>
      <c r="AF69" s="18">
        <f>'Grid_TheoreticalStock'!W33</f>
        <v/>
      </c>
      <c r="AG69" s="18">
        <f>'Grid_TheoreticalStock'!X33</f>
        <v/>
      </c>
      <c r="AH69" s="18">
        <f>'Grid_TheoreticalStock'!Y33</f>
        <v/>
      </c>
      <c r="AI69" s="18">
        <f>'Grid_TheoreticalStock'!Z33</f>
        <v/>
      </c>
      <c r="AJ69" s="18">
        <f>'Grid_TheoreticalStock'!AA33</f>
        <v/>
      </c>
      <c r="AK69" s="18">
        <f>'Grid_TheoreticalStock'!AB33</f>
        <v/>
      </c>
      <c r="AL69" s="18">
        <f>'Grid_TheoreticalStock'!AC33</f>
        <v/>
      </c>
      <c r="AM69" s="18">
        <f>'Grid_TheoreticalStock'!AD33</f>
        <v/>
      </c>
      <c r="AN69" s="18">
        <f>'Grid_TheoreticalStock'!AE33</f>
        <v/>
      </c>
      <c r="AO69" s="18">
        <f>'Grid_TheoreticalStock'!AF33</f>
        <v/>
      </c>
      <c r="AP69" s="18">
        <f>'Grid_TheoreticalStock'!AG33</f>
        <v/>
      </c>
      <c r="AQ69" s="18">
        <f>'Grid_TheoreticalStock'!AH33</f>
        <v/>
      </c>
      <c r="AR69" s="18">
        <f>'Grid_TheoreticalStock'!AI33</f>
        <v/>
      </c>
      <c r="AS69" s="18">
        <f>'Grid_TheoreticalStock'!AJ33</f>
        <v/>
      </c>
      <c r="AT69" s="18">
        <f>'Grid_TheoreticalStock'!AK33</f>
        <v/>
      </c>
      <c r="AU69" s="18">
        <f>'Grid_TheoreticalStock'!AL33</f>
        <v/>
      </c>
      <c r="AV69" s="18">
        <f>'Grid_TheoreticalStock'!AM33</f>
        <v/>
      </c>
      <c r="AW69" s="18">
        <f>'Grid_TheoreticalStock'!AN33</f>
        <v/>
      </c>
      <c r="AX69" s="18">
        <f>'Grid_TheoreticalStock'!AO33</f>
        <v/>
      </c>
      <c r="AY69" s="18">
        <f>'Grid_TheoreticalStock'!AP33</f>
        <v/>
      </c>
      <c r="AZ69" s="18">
        <f>'Grid_TheoreticalStock'!AQ33</f>
        <v/>
      </c>
      <c r="BA69" s="18">
        <f>'Grid_TheoreticalStock'!AR33</f>
        <v/>
      </c>
      <c r="BB69" s="18">
        <f>'Grid_TheoreticalStock'!AS33</f>
        <v/>
      </c>
      <c r="BC69" s="18">
        <f>'Grid_TheoreticalStock'!AT33</f>
        <v/>
      </c>
      <c r="BD69" s="18">
        <f>'Grid_TheoreticalStock'!AU33</f>
        <v/>
      </c>
      <c r="BE69" s="18">
        <f>'Grid_TheoreticalStock'!AV33</f>
        <v/>
      </c>
      <c r="BF69" s="18">
        <f>'Grid_TheoreticalStock'!AW33</f>
        <v/>
      </c>
      <c r="BG69" s="18">
        <f>'Grid_TheoreticalStock'!AX33</f>
        <v/>
      </c>
      <c r="BH69" s="18">
        <f>'Grid_TheoreticalStock'!AY33</f>
        <v/>
      </c>
      <c r="BI69" s="18">
        <f>'Grid_TheoreticalStock'!AZ33</f>
        <v/>
      </c>
      <c r="BJ69" s="18">
        <f>'Grid_TheoreticalStock'!BA33</f>
        <v/>
      </c>
      <c r="BK69" s="18">
        <f>'Grid_TheoreticalStock'!BB33</f>
        <v/>
      </c>
      <c r="BL69" s="18">
        <f>'Grid_TheoreticalStock'!BC33</f>
        <v/>
      </c>
      <c r="BM69" s="18">
        <f>'Grid_TheoreticalStock'!BD33</f>
        <v/>
      </c>
      <c r="BN69" s="18">
        <f>'Grid_TheoreticalStock'!BE33</f>
        <v/>
      </c>
      <c r="BO69" s="18">
        <f>'Grid_TheoreticalStock'!BF33</f>
        <v/>
      </c>
      <c r="BP69" s="18">
        <f>'Grid_TheoreticalStock'!BG33</f>
        <v/>
      </c>
      <c r="BQ69" s="18">
        <f>'Grid_TheoreticalStock'!BH33</f>
        <v/>
      </c>
      <c r="BR69" s="18">
        <f>'Grid_TheoreticalStock'!BI33</f>
        <v/>
      </c>
      <c r="BS69" s="18">
        <f>'Grid_TheoreticalStock'!BJ33</f>
        <v/>
      </c>
      <c r="BT69" s="18">
        <f>'Grid_TheoreticalStock'!BK33</f>
        <v/>
      </c>
      <c r="BU69" s="18">
        <f>'Grid_TheoreticalStock'!BL33</f>
        <v/>
      </c>
      <c r="BV69" s="18">
        <f>'Grid_TheoreticalStock'!BM33</f>
        <v/>
      </c>
      <c r="BW69" s="18">
        <f>'Grid_TheoreticalStock'!BN33</f>
        <v/>
      </c>
      <c r="BX69" s="18">
        <f>'Grid_TheoreticalStock'!BO33</f>
        <v/>
      </c>
      <c r="BY69" s="18">
        <f>'Grid_TheoreticalStock'!BP33</f>
        <v/>
      </c>
      <c r="BZ69" s="18">
        <f>'Grid_TheoreticalStock'!BQ33</f>
        <v/>
      </c>
      <c r="CA69" s="18">
        <f>'Grid_TheoreticalStock'!BR33</f>
        <v/>
      </c>
      <c r="CB69" s="18">
        <f>'Grid_TheoreticalStock'!BS33</f>
        <v/>
      </c>
      <c r="CC69" s="18">
        <f>'Grid_TheoreticalStock'!BT33</f>
        <v/>
      </c>
      <c r="CD69" s="18">
        <f>'Grid_TheoreticalStock'!BU33</f>
        <v/>
      </c>
      <c r="CE69" s="18">
        <f>'Grid_TheoreticalStock'!BV33</f>
        <v/>
      </c>
      <c r="CF69" s="18">
        <f>'Grid_TheoreticalStock'!BW33</f>
        <v/>
      </c>
      <c r="CG69" s="18">
        <f>'Grid_TheoreticalStock'!BX33</f>
        <v/>
      </c>
      <c r="CH69" s="18">
        <f>'Grid_TheoreticalStock'!BY33</f>
        <v/>
      </c>
      <c r="CI69" s="18">
        <f>'Grid_TheoreticalStock'!BZ33</f>
        <v/>
      </c>
      <c r="CJ69" s="18">
        <f>'Grid_TheoreticalStock'!CA33</f>
        <v/>
      </c>
      <c r="CK69" s="18">
        <f>'Grid_TheoreticalStock'!CB33</f>
        <v/>
      </c>
      <c r="CL69" s="18">
        <f>'Grid_TheoreticalStock'!CC33</f>
        <v/>
      </c>
      <c r="CM69" s="18">
        <f>'Grid_TheoreticalStock'!CD33</f>
        <v/>
      </c>
      <c r="CN69" s="18">
        <f>'Grid_TheoreticalStock'!CE33</f>
        <v/>
      </c>
      <c r="CO69" s="18">
        <f>'Grid_TheoreticalStock'!CF33</f>
        <v/>
      </c>
      <c r="CP69" s="18">
        <f>'Grid_TheoreticalStock'!CG33</f>
        <v/>
      </c>
      <c r="CQ69" s="18">
        <f>'Grid_TheoreticalStock'!CH33</f>
        <v/>
      </c>
      <c r="CR69" s="18">
        <f>'Grid_TheoreticalStock'!CI33</f>
        <v/>
      </c>
      <c r="CS69" s="18">
        <f>'Grid_TheoreticalStock'!CJ33</f>
        <v/>
      </c>
      <c r="CT69" s="18">
        <f>'Grid_TheoreticalStock'!CK33</f>
        <v/>
      </c>
      <c r="CU69" s="18">
        <f>'Grid_TheoreticalStock'!CL33</f>
        <v/>
      </c>
      <c r="CV69" s="18">
        <f>'Grid_TheoreticalStock'!CM33</f>
        <v/>
      </c>
      <c r="CW69" s="18">
        <f>'Grid_TheoreticalStock'!CN33</f>
        <v/>
      </c>
      <c r="CX69" s="18">
        <f>'Grid_TheoreticalStock'!CO33</f>
        <v/>
      </c>
      <c r="CY69" s="18">
        <f>'Grid_TheoreticalStock'!CP33</f>
        <v/>
      </c>
      <c r="CZ69" s="18">
        <f>'Grid_TheoreticalStock'!CQ33</f>
        <v/>
      </c>
      <c r="DA69" s="18">
        <f>'Grid_TheoreticalStock'!CR33</f>
        <v/>
      </c>
      <c r="DB69" s="18">
        <f>'Grid_TheoreticalStock'!CS33</f>
        <v/>
      </c>
      <c r="DC69" s="18">
        <f>'Grid_TheoreticalStock'!CT33</f>
        <v/>
      </c>
      <c r="DD69" s="18">
        <f>'Grid_TheoreticalStock'!CU33</f>
        <v/>
      </c>
      <c r="DE69" s="18">
        <f>'Grid_TheoreticalStock'!CV33</f>
        <v/>
      </c>
      <c r="DF69" s="18">
        <f>'Grid_TheoreticalStock'!CW33</f>
        <v/>
      </c>
      <c r="DG69" s="18">
        <f>'Grid_TheoreticalStock'!CX33</f>
        <v/>
      </c>
      <c r="DH69" s="18">
        <f>'Grid_TheoreticalStock'!CY33</f>
        <v/>
      </c>
      <c r="DI69" s="18">
        <f>'Grid_TheoreticalStock'!CZ33</f>
        <v/>
      </c>
      <c r="DJ69" s="18">
        <f>'Grid_TheoreticalStock'!DA33</f>
        <v/>
      </c>
    </row>
    <row r="70">
      <c r="A70" s="19" t="inlineStr">
        <is>
          <t>CHEM-1400</t>
        </is>
      </c>
      <c r="B70" s="19">
        <f>IFERROR(INDEX(M_RawMaterials[Description],MATCH($A70,M_RawMaterials[Part Name],0)),"")</f>
        <v/>
      </c>
      <c r="C70" s="19">
        <f>IFERROR(INDEX(M_RawMaterials[Category],MATCH($A70,M_RawMaterials[Part Name],0)),"")</f>
        <v/>
      </c>
      <c r="D70" s="19">
        <f>IFERROR(INDEX(M_RawMaterials[基準在庫下限_要入力],MATCH($A70,M_RawMaterials[Part Name],0)),0)</f>
        <v/>
      </c>
      <c r="E70" s="19">
        <f>IFERROR(INDEX(M_RawMaterials[基準在庫上限_要入力],MATCH($A70,M_RawMaterials[Part Name],0)),0)</f>
        <v/>
      </c>
      <c r="F70" s="19">
        <f>IFERROR(LOOKUP(2,1/('T_SelfStock'!$B$37:$DA$37&lt;&gt;""),'T_SelfStock'!$B$37:$DA$37),"")</f>
        <v/>
      </c>
      <c r="G70" s="19">
        <f>IFERROR(LOOKUP(2,1/('T_TTAFStock'!$B$37:$DA$37&lt;&gt;""),'T_TTAFStock'!$B$37:$DA$37),"")</f>
        <v/>
      </c>
      <c r="H70" s="19">
        <f>IFERROR(LOOKUP(2,1/('T_SelfStock'!$B$37:$DA$37&lt;&gt;""),'T_SelfStock'!$B$5:$DA$5),"")</f>
        <v/>
      </c>
      <c r="I70" s="20" t="inlineStr">
        <is>
          <t>実在庫</t>
        </is>
      </c>
      <c r="J70" s="19">
        <f>'Grid_Stock'!DA33-'Grid_TheoreticalStock'!DA33</f>
        <v/>
      </c>
      <c r="K70" s="19">
        <f>'Grid_Stock'!B33</f>
        <v/>
      </c>
      <c r="L70" s="19">
        <f>'Grid_Stock'!C33</f>
        <v/>
      </c>
      <c r="M70" s="19">
        <f>'Grid_Stock'!D33</f>
        <v/>
      </c>
      <c r="N70" s="19">
        <f>'Grid_Stock'!E33</f>
        <v/>
      </c>
      <c r="O70" s="19">
        <f>'Grid_Stock'!F33</f>
        <v/>
      </c>
      <c r="P70" s="19">
        <f>'Grid_Stock'!G33</f>
        <v/>
      </c>
      <c r="Q70" s="19">
        <f>'Grid_Stock'!H33</f>
        <v/>
      </c>
      <c r="R70" s="19">
        <f>'Grid_Stock'!I33</f>
        <v/>
      </c>
      <c r="S70" s="19">
        <f>'Grid_Stock'!J33</f>
        <v/>
      </c>
      <c r="T70" s="19">
        <f>'Grid_Stock'!K33</f>
        <v/>
      </c>
      <c r="U70" s="19">
        <f>'Grid_Stock'!L33</f>
        <v/>
      </c>
      <c r="V70" s="19">
        <f>'Grid_Stock'!M33</f>
        <v/>
      </c>
      <c r="W70" s="19">
        <f>'Grid_Stock'!N33</f>
        <v/>
      </c>
      <c r="X70" s="19">
        <f>'Grid_Stock'!O33</f>
        <v/>
      </c>
      <c r="Y70" s="19">
        <f>'Grid_Stock'!P33</f>
        <v/>
      </c>
      <c r="Z70" s="19">
        <f>'Grid_Stock'!Q33</f>
        <v/>
      </c>
      <c r="AA70" s="19">
        <f>'Grid_Stock'!R33</f>
        <v/>
      </c>
      <c r="AB70" s="19">
        <f>'Grid_Stock'!S33</f>
        <v/>
      </c>
      <c r="AC70" s="19">
        <f>'Grid_Stock'!T33</f>
        <v/>
      </c>
      <c r="AD70" s="19">
        <f>'Grid_Stock'!U33</f>
        <v/>
      </c>
      <c r="AE70" s="19">
        <f>'Grid_Stock'!V33</f>
        <v/>
      </c>
      <c r="AF70" s="19">
        <f>'Grid_Stock'!W33</f>
        <v/>
      </c>
      <c r="AG70" s="19">
        <f>'Grid_Stock'!X33</f>
        <v/>
      </c>
      <c r="AH70" s="19">
        <f>'Grid_Stock'!Y33</f>
        <v/>
      </c>
      <c r="AI70" s="19">
        <f>'Grid_Stock'!Z33</f>
        <v/>
      </c>
      <c r="AJ70" s="19">
        <f>'Grid_Stock'!AA33</f>
        <v/>
      </c>
      <c r="AK70" s="19">
        <f>'Grid_Stock'!AB33</f>
        <v/>
      </c>
      <c r="AL70" s="19">
        <f>'Grid_Stock'!AC33</f>
        <v/>
      </c>
      <c r="AM70" s="19">
        <f>'Grid_Stock'!AD33</f>
        <v/>
      </c>
      <c r="AN70" s="19">
        <f>'Grid_Stock'!AE33</f>
        <v/>
      </c>
      <c r="AO70" s="19">
        <f>'Grid_Stock'!AF33</f>
        <v/>
      </c>
      <c r="AP70" s="19">
        <f>'Grid_Stock'!AG33</f>
        <v/>
      </c>
      <c r="AQ70" s="19">
        <f>'Grid_Stock'!AH33</f>
        <v/>
      </c>
      <c r="AR70" s="19">
        <f>'Grid_Stock'!AI33</f>
        <v/>
      </c>
      <c r="AS70" s="19">
        <f>'Grid_Stock'!AJ33</f>
        <v/>
      </c>
      <c r="AT70" s="19">
        <f>'Grid_Stock'!AK33</f>
        <v/>
      </c>
      <c r="AU70" s="19">
        <f>'Grid_Stock'!AL33</f>
        <v/>
      </c>
      <c r="AV70" s="19">
        <f>'Grid_Stock'!AM33</f>
        <v/>
      </c>
      <c r="AW70" s="19">
        <f>'Grid_Stock'!AN33</f>
        <v/>
      </c>
      <c r="AX70" s="19">
        <f>'Grid_Stock'!AO33</f>
        <v/>
      </c>
      <c r="AY70" s="19">
        <f>'Grid_Stock'!AP33</f>
        <v/>
      </c>
      <c r="AZ70" s="19">
        <f>'Grid_Stock'!AQ33</f>
        <v/>
      </c>
      <c r="BA70" s="19">
        <f>'Grid_Stock'!AR33</f>
        <v/>
      </c>
      <c r="BB70" s="19">
        <f>'Grid_Stock'!AS33</f>
        <v/>
      </c>
      <c r="BC70" s="19">
        <f>'Grid_Stock'!AT33</f>
        <v/>
      </c>
      <c r="BD70" s="19">
        <f>'Grid_Stock'!AU33</f>
        <v/>
      </c>
      <c r="BE70" s="19">
        <f>'Grid_Stock'!AV33</f>
        <v/>
      </c>
      <c r="BF70" s="19">
        <f>'Grid_Stock'!AW33</f>
        <v/>
      </c>
      <c r="BG70" s="19">
        <f>'Grid_Stock'!AX33</f>
        <v/>
      </c>
      <c r="BH70" s="19">
        <f>'Grid_Stock'!AY33</f>
        <v/>
      </c>
      <c r="BI70" s="19">
        <f>'Grid_Stock'!AZ33</f>
        <v/>
      </c>
      <c r="BJ70" s="19">
        <f>'Grid_Stock'!BA33</f>
        <v/>
      </c>
      <c r="BK70" s="19">
        <f>'Grid_Stock'!BB33</f>
        <v/>
      </c>
      <c r="BL70" s="19">
        <f>'Grid_Stock'!BC33</f>
        <v/>
      </c>
      <c r="BM70" s="19">
        <f>'Grid_Stock'!BD33</f>
        <v/>
      </c>
      <c r="BN70" s="19">
        <f>'Grid_Stock'!BE33</f>
        <v/>
      </c>
      <c r="BO70" s="19">
        <f>'Grid_Stock'!BF33</f>
        <v/>
      </c>
      <c r="BP70" s="19">
        <f>'Grid_Stock'!BG33</f>
        <v/>
      </c>
      <c r="BQ70" s="19">
        <f>'Grid_Stock'!BH33</f>
        <v/>
      </c>
      <c r="BR70" s="19">
        <f>'Grid_Stock'!BI33</f>
        <v/>
      </c>
      <c r="BS70" s="19">
        <f>'Grid_Stock'!BJ33</f>
        <v/>
      </c>
      <c r="BT70" s="19">
        <f>'Grid_Stock'!BK33</f>
        <v/>
      </c>
      <c r="BU70" s="19">
        <f>'Grid_Stock'!BL33</f>
        <v/>
      </c>
      <c r="BV70" s="19">
        <f>'Grid_Stock'!BM33</f>
        <v/>
      </c>
      <c r="BW70" s="19">
        <f>'Grid_Stock'!BN33</f>
        <v/>
      </c>
      <c r="BX70" s="19">
        <f>'Grid_Stock'!BO33</f>
        <v/>
      </c>
      <c r="BY70" s="19">
        <f>'Grid_Stock'!BP33</f>
        <v/>
      </c>
      <c r="BZ70" s="19">
        <f>'Grid_Stock'!BQ33</f>
        <v/>
      </c>
      <c r="CA70" s="19">
        <f>'Grid_Stock'!BR33</f>
        <v/>
      </c>
      <c r="CB70" s="19">
        <f>'Grid_Stock'!BS33</f>
        <v/>
      </c>
      <c r="CC70" s="19">
        <f>'Grid_Stock'!BT33</f>
        <v/>
      </c>
      <c r="CD70" s="19">
        <f>'Grid_Stock'!BU33</f>
        <v/>
      </c>
      <c r="CE70" s="19">
        <f>'Grid_Stock'!BV33</f>
        <v/>
      </c>
      <c r="CF70" s="19">
        <f>'Grid_Stock'!BW33</f>
        <v/>
      </c>
      <c r="CG70" s="19">
        <f>'Grid_Stock'!BX33</f>
        <v/>
      </c>
      <c r="CH70" s="19">
        <f>'Grid_Stock'!BY33</f>
        <v/>
      </c>
      <c r="CI70" s="19">
        <f>'Grid_Stock'!BZ33</f>
        <v/>
      </c>
      <c r="CJ70" s="19">
        <f>'Grid_Stock'!CA33</f>
        <v/>
      </c>
      <c r="CK70" s="19">
        <f>'Grid_Stock'!CB33</f>
        <v/>
      </c>
      <c r="CL70" s="19">
        <f>'Grid_Stock'!CC33</f>
        <v/>
      </c>
      <c r="CM70" s="19">
        <f>'Grid_Stock'!CD33</f>
        <v/>
      </c>
      <c r="CN70" s="19">
        <f>'Grid_Stock'!CE33</f>
        <v/>
      </c>
      <c r="CO70" s="19">
        <f>'Grid_Stock'!CF33</f>
        <v/>
      </c>
      <c r="CP70" s="19">
        <f>'Grid_Stock'!CG33</f>
        <v/>
      </c>
      <c r="CQ70" s="19">
        <f>'Grid_Stock'!CH33</f>
        <v/>
      </c>
      <c r="CR70" s="19">
        <f>'Grid_Stock'!CI33</f>
        <v/>
      </c>
      <c r="CS70" s="19">
        <f>'Grid_Stock'!CJ33</f>
        <v/>
      </c>
      <c r="CT70" s="19">
        <f>'Grid_Stock'!CK33</f>
        <v/>
      </c>
      <c r="CU70" s="19">
        <f>'Grid_Stock'!CL33</f>
        <v/>
      </c>
      <c r="CV70" s="19">
        <f>'Grid_Stock'!CM33</f>
        <v/>
      </c>
      <c r="CW70" s="19">
        <f>'Grid_Stock'!CN33</f>
        <v/>
      </c>
      <c r="CX70" s="19">
        <f>'Grid_Stock'!CO33</f>
        <v/>
      </c>
      <c r="CY70" s="19">
        <f>'Grid_Stock'!CP33</f>
        <v/>
      </c>
      <c r="CZ70" s="19">
        <f>'Grid_Stock'!CQ33</f>
        <v/>
      </c>
      <c r="DA70" s="19">
        <f>'Grid_Stock'!CR33</f>
        <v/>
      </c>
      <c r="DB70" s="19">
        <f>'Grid_Stock'!CS33</f>
        <v/>
      </c>
      <c r="DC70" s="19">
        <f>'Grid_Stock'!CT33</f>
        <v/>
      </c>
      <c r="DD70" s="19">
        <f>'Grid_Stock'!CU33</f>
        <v/>
      </c>
      <c r="DE70" s="19">
        <f>'Grid_Stock'!CV33</f>
        <v/>
      </c>
      <c r="DF70" s="19">
        <f>'Grid_Stock'!CW33</f>
        <v/>
      </c>
      <c r="DG70" s="19">
        <f>'Grid_Stock'!CX33</f>
        <v/>
      </c>
      <c r="DH70" s="19">
        <f>'Grid_Stock'!CY33</f>
        <v/>
      </c>
      <c r="DI70" s="19">
        <f>'Grid_Stock'!CZ33</f>
        <v/>
      </c>
      <c r="DJ70" s="19">
        <f>'Grid_Stock'!DA33</f>
        <v/>
      </c>
    </row>
    <row r="71">
      <c r="A71" s="17" t="inlineStr">
        <is>
          <t>CHEM-1650</t>
        </is>
      </c>
      <c r="B71" s="17">
        <f>IFERROR(INDEX(M_RawMaterials[Description],MATCH($A71,M_RawMaterials[Part Name],0)),"")</f>
        <v/>
      </c>
      <c r="C71" s="17">
        <f>IFERROR(INDEX(M_RawMaterials[Category],MATCH($A71,M_RawMaterials[Part Name],0)),"")</f>
        <v/>
      </c>
      <c r="D71" s="17">
        <f>IFERROR(INDEX(M_RawMaterials[基準在庫下限_要入力],MATCH($A71,M_RawMaterials[Part Name],0)),0)</f>
        <v/>
      </c>
      <c r="E71" s="17">
        <f>IFERROR(INDEX(M_RawMaterials[基準在庫上限_要入力],MATCH($A71,M_RawMaterials[Part Name],0)),0)</f>
        <v/>
      </c>
      <c r="F71" s="17">
        <f>IFERROR(LOOKUP(2,1/('T_SelfStock'!$B$38:$DA$38&lt;&gt;""),'T_SelfStock'!$B$38:$DA$38),"")</f>
        <v/>
      </c>
      <c r="G71" s="17">
        <f>IFERROR(LOOKUP(2,1/('T_TTAFStock'!$B$38:$DA$38&lt;&gt;""),'T_TTAFStock'!$B$38:$DA$38),"")</f>
        <v/>
      </c>
      <c r="H71" s="17">
        <f>IFERROR(LOOKUP(2,1/('T_SelfStock'!$B$38:$DA$38&lt;&gt;""),'T_SelfStock'!$B$5:$DA$5),"")</f>
        <v/>
      </c>
      <c r="I71" s="18" t="inlineStr">
        <is>
          <t>理論在庫</t>
        </is>
      </c>
      <c r="J71" s="17">
        <f>'Grid_Stock'!DA34-'Grid_TheoreticalStock'!DA34</f>
        <v/>
      </c>
      <c r="K71" s="18">
        <f>'Grid_TheoreticalStock'!B34</f>
        <v/>
      </c>
      <c r="L71" s="18">
        <f>'Grid_TheoreticalStock'!C34</f>
        <v/>
      </c>
      <c r="M71" s="18">
        <f>'Grid_TheoreticalStock'!D34</f>
        <v/>
      </c>
      <c r="N71" s="18">
        <f>'Grid_TheoreticalStock'!E34</f>
        <v/>
      </c>
      <c r="O71" s="18">
        <f>'Grid_TheoreticalStock'!F34</f>
        <v/>
      </c>
      <c r="P71" s="18">
        <f>'Grid_TheoreticalStock'!G34</f>
        <v/>
      </c>
      <c r="Q71" s="18">
        <f>'Grid_TheoreticalStock'!H34</f>
        <v/>
      </c>
      <c r="R71" s="18">
        <f>'Grid_TheoreticalStock'!I34</f>
        <v/>
      </c>
      <c r="S71" s="18">
        <f>'Grid_TheoreticalStock'!J34</f>
        <v/>
      </c>
      <c r="T71" s="18">
        <f>'Grid_TheoreticalStock'!K34</f>
        <v/>
      </c>
      <c r="U71" s="18">
        <f>'Grid_TheoreticalStock'!L34</f>
        <v/>
      </c>
      <c r="V71" s="18">
        <f>'Grid_TheoreticalStock'!M34</f>
        <v/>
      </c>
      <c r="W71" s="18">
        <f>'Grid_TheoreticalStock'!N34</f>
        <v/>
      </c>
      <c r="X71" s="18">
        <f>'Grid_TheoreticalStock'!O34</f>
        <v/>
      </c>
      <c r="Y71" s="18">
        <f>'Grid_TheoreticalStock'!P34</f>
        <v/>
      </c>
      <c r="Z71" s="18">
        <f>'Grid_TheoreticalStock'!Q34</f>
        <v/>
      </c>
      <c r="AA71" s="18">
        <f>'Grid_TheoreticalStock'!R34</f>
        <v/>
      </c>
      <c r="AB71" s="18">
        <f>'Grid_TheoreticalStock'!S34</f>
        <v/>
      </c>
      <c r="AC71" s="18">
        <f>'Grid_TheoreticalStock'!T34</f>
        <v/>
      </c>
      <c r="AD71" s="18">
        <f>'Grid_TheoreticalStock'!U34</f>
        <v/>
      </c>
      <c r="AE71" s="18">
        <f>'Grid_TheoreticalStock'!V34</f>
        <v/>
      </c>
      <c r="AF71" s="18">
        <f>'Grid_TheoreticalStock'!W34</f>
        <v/>
      </c>
      <c r="AG71" s="18">
        <f>'Grid_TheoreticalStock'!X34</f>
        <v/>
      </c>
      <c r="AH71" s="18">
        <f>'Grid_TheoreticalStock'!Y34</f>
        <v/>
      </c>
      <c r="AI71" s="18">
        <f>'Grid_TheoreticalStock'!Z34</f>
        <v/>
      </c>
      <c r="AJ71" s="18">
        <f>'Grid_TheoreticalStock'!AA34</f>
        <v/>
      </c>
      <c r="AK71" s="18">
        <f>'Grid_TheoreticalStock'!AB34</f>
        <v/>
      </c>
      <c r="AL71" s="18">
        <f>'Grid_TheoreticalStock'!AC34</f>
        <v/>
      </c>
      <c r="AM71" s="18">
        <f>'Grid_TheoreticalStock'!AD34</f>
        <v/>
      </c>
      <c r="AN71" s="18">
        <f>'Grid_TheoreticalStock'!AE34</f>
        <v/>
      </c>
      <c r="AO71" s="18">
        <f>'Grid_TheoreticalStock'!AF34</f>
        <v/>
      </c>
      <c r="AP71" s="18">
        <f>'Grid_TheoreticalStock'!AG34</f>
        <v/>
      </c>
      <c r="AQ71" s="18">
        <f>'Grid_TheoreticalStock'!AH34</f>
        <v/>
      </c>
      <c r="AR71" s="18">
        <f>'Grid_TheoreticalStock'!AI34</f>
        <v/>
      </c>
      <c r="AS71" s="18">
        <f>'Grid_TheoreticalStock'!AJ34</f>
        <v/>
      </c>
      <c r="AT71" s="18">
        <f>'Grid_TheoreticalStock'!AK34</f>
        <v/>
      </c>
      <c r="AU71" s="18">
        <f>'Grid_TheoreticalStock'!AL34</f>
        <v/>
      </c>
      <c r="AV71" s="18">
        <f>'Grid_TheoreticalStock'!AM34</f>
        <v/>
      </c>
      <c r="AW71" s="18">
        <f>'Grid_TheoreticalStock'!AN34</f>
        <v/>
      </c>
      <c r="AX71" s="18">
        <f>'Grid_TheoreticalStock'!AO34</f>
        <v/>
      </c>
      <c r="AY71" s="18">
        <f>'Grid_TheoreticalStock'!AP34</f>
        <v/>
      </c>
      <c r="AZ71" s="18">
        <f>'Grid_TheoreticalStock'!AQ34</f>
        <v/>
      </c>
      <c r="BA71" s="18">
        <f>'Grid_TheoreticalStock'!AR34</f>
        <v/>
      </c>
      <c r="BB71" s="18">
        <f>'Grid_TheoreticalStock'!AS34</f>
        <v/>
      </c>
      <c r="BC71" s="18">
        <f>'Grid_TheoreticalStock'!AT34</f>
        <v/>
      </c>
      <c r="BD71" s="18">
        <f>'Grid_TheoreticalStock'!AU34</f>
        <v/>
      </c>
      <c r="BE71" s="18">
        <f>'Grid_TheoreticalStock'!AV34</f>
        <v/>
      </c>
      <c r="BF71" s="18">
        <f>'Grid_TheoreticalStock'!AW34</f>
        <v/>
      </c>
      <c r="BG71" s="18">
        <f>'Grid_TheoreticalStock'!AX34</f>
        <v/>
      </c>
      <c r="BH71" s="18">
        <f>'Grid_TheoreticalStock'!AY34</f>
        <v/>
      </c>
      <c r="BI71" s="18">
        <f>'Grid_TheoreticalStock'!AZ34</f>
        <v/>
      </c>
      <c r="BJ71" s="18">
        <f>'Grid_TheoreticalStock'!BA34</f>
        <v/>
      </c>
      <c r="BK71" s="18">
        <f>'Grid_TheoreticalStock'!BB34</f>
        <v/>
      </c>
      <c r="BL71" s="18">
        <f>'Grid_TheoreticalStock'!BC34</f>
        <v/>
      </c>
      <c r="BM71" s="18">
        <f>'Grid_TheoreticalStock'!BD34</f>
        <v/>
      </c>
      <c r="BN71" s="18">
        <f>'Grid_TheoreticalStock'!BE34</f>
        <v/>
      </c>
      <c r="BO71" s="18">
        <f>'Grid_TheoreticalStock'!BF34</f>
        <v/>
      </c>
      <c r="BP71" s="18">
        <f>'Grid_TheoreticalStock'!BG34</f>
        <v/>
      </c>
      <c r="BQ71" s="18">
        <f>'Grid_TheoreticalStock'!BH34</f>
        <v/>
      </c>
      <c r="BR71" s="18">
        <f>'Grid_TheoreticalStock'!BI34</f>
        <v/>
      </c>
      <c r="BS71" s="18">
        <f>'Grid_TheoreticalStock'!BJ34</f>
        <v/>
      </c>
      <c r="BT71" s="18">
        <f>'Grid_TheoreticalStock'!BK34</f>
        <v/>
      </c>
      <c r="BU71" s="18">
        <f>'Grid_TheoreticalStock'!BL34</f>
        <v/>
      </c>
      <c r="BV71" s="18">
        <f>'Grid_TheoreticalStock'!BM34</f>
        <v/>
      </c>
      <c r="BW71" s="18">
        <f>'Grid_TheoreticalStock'!BN34</f>
        <v/>
      </c>
      <c r="BX71" s="18">
        <f>'Grid_TheoreticalStock'!BO34</f>
        <v/>
      </c>
      <c r="BY71" s="18">
        <f>'Grid_TheoreticalStock'!BP34</f>
        <v/>
      </c>
      <c r="BZ71" s="18">
        <f>'Grid_TheoreticalStock'!BQ34</f>
        <v/>
      </c>
      <c r="CA71" s="18">
        <f>'Grid_TheoreticalStock'!BR34</f>
        <v/>
      </c>
      <c r="CB71" s="18">
        <f>'Grid_TheoreticalStock'!BS34</f>
        <v/>
      </c>
      <c r="CC71" s="18">
        <f>'Grid_TheoreticalStock'!BT34</f>
        <v/>
      </c>
      <c r="CD71" s="18">
        <f>'Grid_TheoreticalStock'!BU34</f>
        <v/>
      </c>
      <c r="CE71" s="18">
        <f>'Grid_TheoreticalStock'!BV34</f>
        <v/>
      </c>
      <c r="CF71" s="18">
        <f>'Grid_TheoreticalStock'!BW34</f>
        <v/>
      </c>
      <c r="CG71" s="18">
        <f>'Grid_TheoreticalStock'!BX34</f>
        <v/>
      </c>
      <c r="CH71" s="18">
        <f>'Grid_TheoreticalStock'!BY34</f>
        <v/>
      </c>
      <c r="CI71" s="18">
        <f>'Grid_TheoreticalStock'!BZ34</f>
        <v/>
      </c>
      <c r="CJ71" s="18">
        <f>'Grid_TheoreticalStock'!CA34</f>
        <v/>
      </c>
      <c r="CK71" s="18">
        <f>'Grid_TheoreticalStock'!CB34</f>
        <v/>
      </c>
      <c r="CL71" s="18">
        <f>'Grid_TheoreticalStock'!CC34</f>
        <v/>
      </c>
      <c r="CM71" s="18">
        <f>'Grid_TheoreticalStock'!CD34</f>
        <v/>
      </c>
      <c r="CN71" s="18">
        <f>'Grid_TheoreticalStock'!CE34</f>
        <v/>
      </c>
      <c r="CO71" s="18">
        <f>'Grid_TheoreticalStock'!CF34</f>
        <v/>
      </c>
      <c r="CP71" s="18">
        <f>'Grid_TheoreticalStock'!CG34</f>
        <v/>
      </c>
      <c r="CQ71" s="18">
        <f>'Grid_TheoreticalStock'!CH34</f>
        <v/>
      </c>
      <c r="CR71" s="18">
        <f>'Grid_TheoreticalStock'!CI34</f>
        <v/>
      </c>
      <c r="CS71" s="18">
        <f>'Grid_TheoreticalStock'!CJ34</f>
        <v/>
      </c>
      <c r="CT71" s="18">
        <f>'Grid_TheoreticalStock'!CK34</f>
        <v/>
      </c>
      <c r="CU71" s="18">
        <f>'Grid_TheoreticalStock'!CL34</f>
        <v/>
      </c>
      <c r="CV71" s="18">
        <f>'Grid_TheoreticalStock'!CM34</f>
        <v/>
      </c>
      <c r="CW71" s="18">
        <f>'Grid_TheoreticalStock'!CN34</f>
        <v/>
      </c>
      <c r="CX71" s="18">
        <f>'Grid_TheoreticalStock'!CO34</f>
        <v/>
      </c>
      <c r="CY71" s="18">
        <f>'Grid_TheoreticalStock'!CP34</f>
        <v/>
      </c>
      <c r="CZ71" s="18">
        <f>'Grid_TheoreticalStock'!CQ34</f>
        <v/>
      </c>
      <c r="DA71" s="18">
        <f>'Grid_TheoreticalStock'!CR34</f>
        <v/>
      </c>
      <c r="DB71" s="18">
        <f>'Grid_TheoreticalStock'!CS34</f>
        <v/>
      </c>
      <c r="DC71" s="18">
        <f>'Grid_TheoreticalStock'!CT34</f>
        <v/>
      </c>
      <c r="DD71" s="18">
        <f>'Grid_TheoreticalStock'!CU34</f>
        <v/>
      </c>
      <c r="DE71" s="18">
        <f>'Grid_TheoreticalStock'!CV34</f>
        <v/>
      </c>
      <c r="DF71" s="18">
        <f>'Grid_TheoreticalStock'!CW34</f>
        <v/>
      </c>
      <c r="DG71" s="18">
        <f>'Grid_TheoreticalStock'!CX34</f>
        <v/>
      </c>
      <c r="DH71" s="18">
        <f>'Grid_TheoreticalStock'!CY34</f>
        <v/>
      </c>
      <c r="DI71" s="18">
        <f>'Grid_TheoreticalStock'!CZ34</f>
        <v/>
      </c>
      <c r="DJ71" s="18">
        <f>'Grid_TheoreticalStock'!DA34</f>
        <v/>
      </c>
    </row>
    <row r="72">
      <c r="A72" s="19" t="inlineStr">
        <is>
          <t>CHEM-1650</t>
        </is>
      </c>
      <c r="B72" s="19">
        <f>IFERROR(INDEX(M_RawMaterials[Description],MATCH($A72,M_RawMaterials[Part Name],0)),"")</f>
        <v/>
      </c>
      <c r="C72" s="19">
        <f>IFERROR(INDEX(M_RawMaterials[Category],MATCH($A72,M_RawMaterials[Part Name],0)),"")</f>
        <v/>
      </c>
      <c r="D72" s="19">
        <f>IFERROR(INDEX(M_RawMaterials[基準在庫下限_要入力],MATCH($A72,M_RawMaterials[Part Name],0)),0)</f>
        <v/>
      </c>
      <c r="E72" s="19">
        <f>IFERROR(INDEX(M_RawMaterials[基準在庫上限_要入力],MATCH($A72,M_RawMaterials[Part Name],0)),0)</f>
        <v/>
      </c>
      <c r="F72" s="19">
        <f>IFERROR(LOOKUP(2,1/('T_SelfStock'!$B$38:$DA$38&lt;&gt;""),'T_SelfStock'!$B$38:$DA$38),"")</f>
        <v/>
      </c>
      <c r="G72" s="19">
        <f>IFERROR(LOOKUP(2,1/('T_TTAFStock'!$B$38:$DA$38&lt;&gt;""),'T_TTAFStock'!$B$38:$DA$38),"")</f>
        <v/>
      </c>
      <c r="H72" s="19">
        <f>IFERROR(LOOKUP(2,1/('T_SelfStock'!$B$38:$DA$38&lt;&gt;""),'T_SelfStock'!$B$5:$DA$5),"")</f>
        <v/>
      </c>
      <c r="I72" s="20" t="inlineStr">
        <is>
          <t>実在庫</t>
        </is>
      </c>
      <c r="J72" s="19">
        <f>'Grid_Stock'!DA34-'Grid_TheoreticalStock'!DA34</f>
        <v/>
      </c>
      <c r="K72" s="19">
        <f>'Grid_Stock'!B34</f>
        <v/>
      </c>
      <c r="L72" s="19">
        <f>'Grid_Stock'!C34</f>
        <v/>
      </c>
      <c r="M72" s="19">
        <f>'Grid_Stock'!D34</f>
        <v/>
      </c>
      <c r="N72" s="19">
        <f>'Grid_Stock'!E34</f>
        <v/>
      </c>
      <c r="O72" s="19">
        <f>'Grid_Stock'!F34</f>
        <v/>
      </c>
      <c r="P72" s="19">
        <f>'Grid_Stock'!G34</f>
        <v/>
      </c>
      <c r="Q72" s="19">
        <f>'Grid_Stock'!H34</f>
        <v/>
      </c>
      <c r="R72" s="19">
        <f>'Grid_Stock'!I34</f>
        <v/>
      </c>
      <c r="S72" s="19">
        <f>'Grid_Stock'!J34</f>
        <v/>
      </c>
      <c r="T72" s="19">
        <f>'Grid_Stock'!K34</f>
        <v/>
      </c>
      <c r="U72" s="19">
        <f>'Grid_Stock'!L34</f>
        <v/>
      </c>
      <c r="V72" s="19">
        <f>'Grid_Stock'!M34</f>
        <v/>
      </c>
      <c r="W72" s="19">
        <f>'Grid_Stock'!N34</f>
        <v/>
      </c>
      <c r="X72" s="19">
        <f>'Grid_Stock'!O34</f>
        <v/>
      </c>
      <c r="Y72" s="19">
        <f>'Grid_Stock'!P34</f>
        <v/>
      </c>
      <c r="Z72" s="19">
        <f>'Grid_Stock'!Q34</f>
        <v/>
      </c>
      <c r="AA72" s="19">
        <f>'Grid_Stock'!R34</f>
        <v/>
      </c>
      <c r="AB72" s="19">
        <f>'Grid_Stock'!S34</f>
        <v/>
      </c>
      <c r="AC72" s="19">
        <f>'Grid_Stock'!T34</f>
        <v/>
      </c>
      <c r="AD72" s="19">
        <f>'Grid_Stock'!U34</f>
        <v/>
      </c>
      <c r="AE72" s="19">
        <f>'Grid_Stock'!V34</f>
        <v/>
      </c>
      <c r="AF72" s="19">
        <f>'Grid_Stock'!W34</f>
        <v/>
      </c>
      <c r="AG72" s="19">
        <f>'Grid_Stock'!X34</f>
        <v/>
      </c>
      <c r="AH72" s="19">
        <f>'Grid_Stock'!Y34</f>
        <v/>
      </c>
      <c r="AI72" s="19">
        <f>'Grid_Stock'!Z34</f>
        <v/>
      </c>
      <c r="AJ72" s="19">
        <f>'Grid_Stock'!AA34</f>
        <v/>
      </c>
      <c r="AK72" s="19">
        <f>'Grid_Stock'!AB34</f>
        <v/>
      </c>
      <c r="AL72" s="19">
        <f>'Grid_Stock'!AC34</f>
        <v/>
      </c>
      <c r="AM72" s="19">
        <f>'Grid_Stock'!AD34</f>
        <v/>
      </c>
      <c r="AN72" s="19">
        <f>'Grid_Stock'!AE34</f>
        <v/>
      </c>
      <c r="AO72" s="19">
        <f>'Grid_Stock'!AF34</f>
        <v/>
      </c>
      <c r="AP72" s="19">
        <f>'Grid_Stock'!AG34</f>
        <v/>
      </c>
      <c r="AQ72" s="19">
        <f>'Grid_Stock'!AH34</f>
        <v/>
      </c>
      <c r="AR72" s="19">
        <f>'Grid_Stock'!AI34</f>
        <v/>
      </c>
      <c r="AS72" s="19">
        <f>'Grid_Stock'!AJ34</f>
        <v/>
      </c>
      <c r="AT72" s="19">
        <f>'Grid_Stock'!AK34</f>
        <v/>
      </c>
      <c r="AU72" s="19">
        <f>'Grid_Stock'!AL34</f>
        <v/>
      </c>
      <c r="AV72" s="19">
        <f>'Grid_Stock'!AM34</f>
        <v/>
      </c>
      <c r="AW72" s="19">
        <f>'Grid_Stock'!AN34</f>
        <v/>
      </c>
      <c r="AX72" s="19">
        <f>'Grid_Stock'!AO34</f>
        <v/>
      </c>
      <c r="AY72" s="19">
        <f>'Grid_Stock'!AP34</f>
        <v/>
      </c>
      <c r="AZ72" s="19">
        <f>'Grid_Stock'!AQ34</f>
        <v/>
      </c>
      <c r="BA72" s="19">
        <f>'Grid_Stock'!AR34</f>
        <v/>
      </c>
      <c r="BB72" s="19">
        <f>'Grid_Stock'!AS34</f>
        <v/>
      </c>
      <c r="BC72" s="19">
        <f>'Grid_Stock'!AT34</f>
        <v/>
      </c>
      <c r="BD72" s="19">
        <f>'Grid_Stock'!AU34</f>
        <v/>
      </c>
      <c r="BE72" s="19">
        <f>'Grid_Stock'!AV34</f>
        <v/>
      </c>
      <c r="BF72" s="19">
        <f>'Grid_Stock'!AW34</f>
        <v/>
      </c>
      <c r="BG72" s="19">
        <f>'Grid_Stock'!AX34</f>
        <v/>
      </c>
      <c r="BH72" s="19">
        <f>'Grid_Stock'!AY34</f>
        <v/>
      </c>
      <c r="BI72" s="19">
        <f>'Grid_Stock'!AZ34</f>
        <v/>
      </c>
      <c r="BJ72" s="19">
        <f>'Grid_Stock'!BA34</f>
        <v/>
      </c>
      <c r="BK72" s="19">
        <f>'Grid_Stock'!BB34</f>
        <v/>
      </c>
      <c r="BL72" s="19">
        <f>'Grid_Stock'!BC34</f>
        <v/>
      </c>
      <c r="BM72" s="19">
        <f>'Grid_Stock'!BD34</f>
        <v/>
      </c>
      <c r="BN72" s="19">
        <f>'Grid_Stock'!BE34</f>
        <v/>
      </c>
      <c r="BO72" s="19">
        <f>'Grid_Stock'!BF34</f>
        <v/>
      </c>
      <c r="BP72" s="19">
        <f>'Grid_Stock'!BG34</f>
        <v/>
      </c>
      <c r="BQ72" s="19">
        <f>'Grid_Stock'!BH34</f>
        <v/>
      </c>
      <c r="BR72" s="19">
        <f>'Grid_Stock'!BI34</f>
        <v/>
      </c>
      <c r="BS72" s="19">
        <f>'Grid_Stock'!BJ34</f>
        <v/>
      </c>
      <c r="BT72" s="19">
        <f>'Grid_Stock'!BK34</f>
        <v/>
      </c>
      <c r="BU72" s="19">
        <f>'Grid_Stock'!BL34</f>
        <v/>
      </c>
      <c r="BV72" s="19">
        <f>'Grid_Stock'!BM34</f>
        <v/>
      </c>
      <c r="BW72" s="19">
        <f>'Grid_Stock'!BN34</f>
        <v/>
      </c>
      <c r="BX72" s="19">
        <f>'Grid_Stock'!BO34</f>
        <v/>
      </c>
      <c r="BY72" s="19">
        <f>'Grid_Stock'!BP34</f>
        <v/>
      </c>
      <c r="BZ72" s="19">
        <f>'Grid_Stock'!BQ34</f>
        <v/>
      </c>
      <c r="CA72" s="19">
        <f>'Grid_Stock'!BR34</f>
        <v/>
      </c>
      <c r="CB72" s="19">
        <f>'Grid_Stock'!BS34</f>
        <v/>
      </c>
      <c r="CC72" s="19">
        <f>'Grid_Stock'!BT34</f>
        <v/>
      </c>
      <c r="CD72" s="19">
        <f>'Grid_Stock'!BU34</f>
        <v/>
      </c>
      <c r="CE72" s="19">
        <f>'Grid_Stock'!BV34</f>
        <v/>
      </c>
      <c r="CF72" s="19">
        <f>'Grid_Stock'!BW34</f>
        <v/>
      </c>
      <c r="CG72" s="19">
        <f>'Grid_Stock'!BX34</f>
        <v/>
      </c>
      <c r="CH72" s="19">
        <f>'Grid_Stock'!BY34</f>
        <v/>
      </c>
      <c r="CI72" s="19">
        <f>'Grid_Stock'!BZ34</f>
        <v/>
      </c>
      <c r="CJ72" s="19">
        <f>'Grid_Stock'!CA34</f>
        <v/>
      </c>
      <c r="CK72" s="19">
        <f>'Grid_Stock'!CB34</f>
        <v/>
      </c>
      <c r="CL72" s="19">
        <f>'Grid_Stock'!CC34</f>
        <v/>
      </c>
      <c r="CM72" s="19">
        <f>'Grid_Stock'!CD34</f>
        <v/>
      </c>
      <c r="CN72" s="19">
        <f>'Grid_Stock'!CE34</f>
        <v/>
      </c>
      <c r="CO72" s="19">
        <f>'Grid_Stock'!CF34</f>
        <v/>
      </c>
      <c r="CP72" s="19">
        <f>'Grid_Stock'!CG34</f>
        <v/>
      </c>
      <c r="CQ72" s="19">
        <f>'Grid_Stock'!CH34</f>
        <v/>
      </c>
      <c r="CR72" s="19">
        <f>'Grid_Stock'!CI34</f>
        <v/>
      </c>
      <c r="CS72" s="19">
        <f>'Grid_Stock'!CJ34</f>
        <v/>
      </c>
      <c r="CT72" s="19">
        <f>'Grid_Stock'!CK34</f>
        <v/>
      </c>
      <c r="CU72" s="19">
        <f>'Grid_Stock'!CL34</f>
        <v/>
      </c>
      <c r="CV72" s="19">
        <f>'Grid_Stock'!CM34</f>
        <v/>
      </c>
      <c r="CW72" s="19">
        <f>'Grid_Stock'!CN34</f>
        <v/>
      </c>
      <c r="CX72" s="19">
        <f>'Grid_Stock'!CO34</f>
        <v/>
      </c>
      <c r="CY72" s="19">
        <f>'Grid_Stock'!CP34</f>
        <v/>
      </c>
      <c r="CZ72" s="19">
        <f>'Grid_Stock'!CQ34</f>
        <v/>
      </c>
      <c r="DA72" s="19">
        <f>'Grid_Stock'!CR34</f>
        <v/>
      </c>
      <c r="DB72" s="19">
        <f>'Grid_Stock'!CS34</f>
        <v/>
      </c>
      <c r="DC72" s="19">
        <f>'Grid_Stock'!CT34</f>
        <v/>
      </c>
      <c r="DD72" s="19">
        <f>'Grid_Stock'!CU34</f>
        <v/>
      </c>
      <c r="DE72" s="19">
        <f>'Grid_Stock'!CV34</f>
        <v/>
      </c>
      <c r="DF72" s="19">
        <f>'Grid_Stock'!CW34</f>
        <v/>
      </c>
      <c r="DG72" s="19">
        <f>'Grid_Stock'!CX34</f>
        <v/>
      </c>
      <c r="DH72" s="19">
        <f>'Grid_Stock'!CY34</f>
        <v/>
      </c>
      <c r="DI72" s="19">
        <f>'Grid_Stock'!CZ34</f>
        <v/>
      </c>
      <c r="DJ72" s="19">
        <f>'Grid_Stock'!DA34</f>
        <v/>
      </c>
    </row>
    <row r="73">
      <c r="A73" s="17" t="inlineStr">
        <is>
          <t>CHEM-1660</t>
        </is>
      </c>
      <c r="B73" s="17">
        <f>IFERROR(INDEX(M_RawMaterials[Description],MATCH($A73,M_RawMaterials[Part Name],0)),"")</f>
        <v/>
      </c>
      <c r="C73" s="17">
        <f>IFERROR(INDEX(M_RawMaterials[Category],MATCH($A73,M_RawMaterials[Part Name],0)),"")</f>
        <v/>
      </c>
      <c r="D73" s="17">
        <f>IFERROR(INDEX(M_RawMaterials[基準在庫下限_要入力],MATCH($A73,M_RawMaterials[Part Name],0)),0)</f>
        <v/>
      </c>
      <c r="E73" s="17">
        <f>IFERROR(INDEX(M_RawMaterials[基準在庫上限_要入力],MATCH($A73,M_RawMaterials[Part Name],0)),0)</f>
        <v/>
      </c>
      <c r="F73" s="17">
        <f>IFERROR(LOOKUP(2,1/('T_SelfStock'!$B$39:$DA$39&lt;&gt;""),'T_SelfStock'!$B$39:$DA$39),"")</f>
        <v/>
      </c>
      <c r="G73" s="17">
        <f>IFERROR(LOOKUP(2,1/('T_TTAFStock'!$B$39:$DA$39&lt;&gt;""),'T_TTAFStock'!$B$39:$DA$39),"")</f>
        <v/>
      </c>
      <c r="H73" s="17">
        <f>IFERROR(LOOKUP(2,1/('T_SelfStock'!$B$39:$DA$39&lt;&gt;""),'T_SelfStock'!$B$5:$DA$5),"")</f>
        <v/>
      </c>
      <c r="I73" s="18" t="inlineStr">
        <is>
          <t>理論在庫</t>
        </is>
      </c>
      <c r="J73" s="17">
        <f>'Grid_Stock'!DA35-'Grid_TheoreticalStock'!DA35</f>
        <v/>
      </c>
      <c r="K73" s="18">
        <f>'Grid_TheoreticalStock'!B35</f>
        <v/>
      </c>
      <c r="L73" s="18">
        <f>'Grid_TheoreticalStock'!C35</f>
        <v/>
      </c>
      <c r="M73" s="18">
        <f>'Grid_TheoreticalStock'!D35</f>
        <v/>
      </c>
      <c r="N73" s="18">
        <f>'Grid_TheoreticalStock'!E35</f>
        <v/>
      </c>
      <c r="O73" s="18">
        <f>'Grid_TheoreticalStock'!F35</f>
        <v/>
      </c>
      <c r="P73" s="18">
        <f>'Grid_TheoreticalStock'!G35</f>
        <v/>
      </c>
      <c r="Q73" s="18">
        <f>'Grid_TheoreticalStock'!H35</f>
        <v/>
      </c>
      <c r="R73" s="18">
        <f>'Grid_TheoreticalStock'!I35</f>
        <v/>
      </c>
      <c r="S73" s="18">
        <f>'Grid_TheoreticalStock'!J35</f>
        <v/>
      </c>
      <c r="T73" s="18">
        <f>'Grid_TheoreticalStock'!K35</f>
        <v/>
      </c>
      <c r="U73" s="18">
        <f>'Grid_TheoreticalStock'!L35</f>
        <v/>
      </c>
      <c r="V73" s="18">
        <f>'Grid_TheoreticalStock'!M35</f>
        <v/>
      </c>
      <c r="W73" s="18">
        <f>'Grid_TheoreticalStock'!N35</f>
        <v/>
      </c>
      <c r="X73" s="18">
        <f>'Grid_TheoreticalStock'!O35</f>
        <v/>
      </c>
      <c r="Y73" s="18">
        <f>'Grid_TheoreticalStock'!P35</f>
        <v/>
      </c>
      <c r="Z73" s="18">
        <f>'Grid_TheoreticalStock'!Q35</f>
        <v/>
      </c>
      <c r="AA73" s="18">
        <f>'Grid_TheoreticalStock'!R35</f>
        <v/>
      </c>
      <c r="AB73" s="18">
        <f>'Grid_TheoreticalStock'!S35</f>
        <v/>
      </c>
      <c r="AC73" s="18">
        <f>'Grid_TheoreticalStock'!T35</f>
        <v/>
      </c>
      <c r="AD73" s="18">
        <f>'Grid_TheoreticalStock'!U35</f>
        <v/>
      </c>
      <c r="AE73" s="18">
        <f>'Grid_TheoreticalStock'!V35</f>
        <v/>
      </c>
      <c r="AF73" s="18">
        <f>'Grid_TheoreticalStock'!W35</f>
        <v/>
      </c>
      <c r="AG73" s="18">
        <f>'Grid_TheoreticalStock'!X35</f>
        <v/>
      </c>
      <c r="AH73" s="18">
        <f>'Grid_TheoreticalStock'!Y35</f>
        <v/>
      </c>
      <c r="AI73" s="18">
        <f>'Grid_TheoreticalStock'!Z35</f>
        <v/>
      </c>
      <c r="AJ73" s="18">
        <f>'Grid_TheoreticalStock'!AA35</f>
        <v/>
      </c>
      <c r="AK73" s="18">
        <f>'Grid_TheoreticalStock'!AB35</f>
        <v/>
      </c>
      <c r="AL73" s="18">
        <f>'Grid_TheoreticalStock'!AC35</f>
        <v/>
      </c>
      <c r="AM73" s="18">
        <f>'Grid_TheoreticalStock'!AD35</f>
        <v/>
      </c>
      <c r="AN73" s="18">
        <f>'Grid_TheoreticalStock'!AE35</f>
        <v/>
      </c>
      <c r="AO73" s="18">
        <f>'Grid_TheoreticalStock'!AF35</f>
        <v/>
      </c>
      <c r="AP73" s="18">
        <f>'Grid_TheoreticalStock'!AG35</f>
        <v/>
      </c>
      <c r="AQ73" s="18">
        <f>'Grid_TheoreticalStock'!AH35</f>
        <v/>
      </c>
      <c r="AR73" s="18">
        <f>'Grid_TheoreticalStock'!AI35</f>
        <v/>
      </c>
      <c r="AS73" s="18">
        <f>'Grid_TheoreticalStock'!AJ35</f>
        <v/>
      </c>
      <c r="AT73" s="18">
        <f>'Grid_TheoreticalStock'!AK35</f>
        <v/>
      </c>
      <c r="AU73" s="18">
        <f>'Grid_TheoreticalStock'!AL35</f>
        <v/>
      </c>
      <c r="AV73" s="18">
        <f>'Grid_TheoreticalStock'!AM35</f>
        <v/>
      </c>
      <c r="AW73" s="18">
        <f>'Grid_TheoreticalStock'!AN35</f>
        <v/>
      </c>
      <c r="AX73" s="18">
        <f>'Grid_TheoreticalStock'!AO35</f>
        <v/>
      </c>
      <c r="AY73" s="18">
        <f>'Grid_TheoreticalStock'!AP35</f>
        <v/>
      </c>
      <c r="AZ73" s="18">
        <f>'Grid_TheoreticalStock'!AQ35</f>
        <v/>
      </c>
      <c r="BA73" s="18">
        <f>'Grid_TheoreticalStock'!AR35</f>
        <v/>
      </c>
      <c r="BB73" s="18">
        <f>'Grid_TheoreticalStock'!AS35</f>
        <v/>
      </c>
      <c r="BC73" s="18">
        <f>'Grid_TheoreticalStock'!AT35</f>
        <v/>
      </c>
      <c r="BD73" s="18">
        <f>'Grid_TheoreticalStock'!AU35</f>
        <v/>
      </c>
      <c r="BE73" s="18">
        <f>'Grid_TheoreticalStock'!AV35</f>
        <v/>
      </c>
      <c r="BF73" s="18">
        <f>'Grid_TheoreticalStock'!AW35</f>
        <v/>
      </c>
      <c r="BG73" s="18">
        <f>'Grid_TheoreticalStock'!AX35</f>
        <v/>
      </c>
      <c r="BH73" s="18">
        <f>'Grid_TheoreticalStock'!AY35</f>
        <v/>
      </c>
      <c r="BI73" s="18">
        <f>'Grid_TheoreticalStock'!AZ35</f>
        <v/>
      </c>
      <c r="BJ73" s="18">
        <f>'Grid_TheoreticalStock'!BA35</f>
        <v/>
      </c>
      <c r="BK73" s="18">
        <f>'Grid_TheoreticalStock'!BB35</f>
        <v/>
      </c>
      <c r="BL73" s="18">
        <f>'Grid_TheoreticalStock'!BC35</f>
        <v/>
      </c>
      <c r="BM73" s="18">
        <f>'Grid_TheoreticalStock'!BD35</f>
        <v/>
      </c>
      <c r="BN73" s="18">
        <f>'Grid_TheoreticalStock'!BE35</f>
        <v/>
      </c>
      <c r="BO73" s="18">
        <f>'Grid_TheoreticalStock'!BF35</f>
        <v/>
      </c>
      <c r="BP73" s="18">
        <f>'Grid_TheoreticalStock'!BG35</f>
        <v/>
      </c>
      <c r="BQ73" s="18">
        <f>'Grid_TheoreticalStock'!BH35</f>
        <v/>
      </c>
      <c r="BR73" s="18">
        <f>'Grid_TheoreticalStock'!BI35</f>
        <v/>
      </c>
      <c r="BS73" s="18">
        <f>'Grid_TheoreticalStock'!BJ35</f>
        <v/>
      </c>
      <c r="BT73" s="18">
        <f>'Grid_TheoreticalStock'!BK35</f>
        <v/>
      </c>
      <c r="BU73" s="18">
        <f>'Grid_TheoreticalStock'!BL35</f>
        <v/>
      </c>
      <c r="BV73" s="18">
        <f>'Grid_TheoreticalStock'!BM35</f>
        <v/>
      </c>
      <c r="BW73" s="18">
        <f>'Grid_TheoreticalStock'!BN35</f>
        <v/>
      </c>
      <c r="BX73" s="18">
        <f>'Grid_TheoreticalStock'!BO35</f>
        <v/>
      </c>
      <c r="BY73" s="18">
        <f>'Grid_TheoreticalStock'!BP35</f>
        <v/>
      </c>
      <c r="BZ73" s="18">
        <f>'Grid_TheoreticalStock'!BQ35</f>
        <v/>
      </c>
      <c r="CA73" s="18">
        <f>'Grid_TheoreticalStock'!BR35</f>
        <v/>
      </c>
      <c r="CB73" s="18">
        <f>'Grid_TheoreticalStock'!BS35</f>
        <v/>
      </c>
      <c r="CC73" s="18">
        <f>'Grid_TheoreticalStock'!BT35</f>
        <v/>
      </c>
      <c r="CD73" s="18">
        <f>'Grid_TheoreticalStock'!BU35</f>
        <v/>
      </c>
      <c r="CE73" s="18">
        <f>'Grid_TheoreticalStock'!BV35</f>
        <v/>
      </c>
      <c r="CF73" s="18">
        <f>'Grid_TheoreticalStock'!BW35</f>
        <v/>
      </c>
      <c r="CG73" s="18">
        <f>'Grid_TheoreticalStock'!BX35</f>
        <v/>
      </c>
      <c r="CH73" s="18">
        <f>'Grid_TheoreticalStock'!BY35</f>
        <v/>
      </c>
      <c r="CI73" s="18">
        <f>'Grid_TheoreticalStock'!BZ35</f>
        <v/>
      </c>
      <c r="CJ73" s="18">
        <f>'Grid_TheoreticalStock'!CA35</f>
        <v/>
      </c>
      <c r="CK73" s="18">
        <f>'Grid_TheoreticalStock'!CB35</f>
        <v/>
      </c>
      <c r="CL73" s="18">
        <f>'Grid_TheoreticalStock'!CC35</f>
        <v/>
      </c>
      <c r="CM73" s="18">
        <f>'Grid_TheoreticalStock'!CD35</f>
        <v/>
      </c>
      <c r="CN73" s="18">
        <f>'Grid_TheoreticalStock'!CE35</f>
        <v/>
      </c>
      <c r="CO73" s="18">
        <f>'Grid_TheoreticalStock'!CF35</f>
        <v/>
      </c>
      <c r="CP73" s="18">
        <f>'Grid_TheoreticalStock'!CG35</f>
        <v/>
      </c>
      <c r="CQ73" s="18">
        <f>'Grid_TheoreticalStock'!CH35</f>
        <v/>
      </c>
      <c r="CR73" s="18">
        <f>'Grid_TheoreticalStock'!CI35</f>
        <v/>
      </c>
      <c r="CS73" s="18">
        <f>'Grid_TheoreticalStock'!CJ35</f>
        <v/>
      </c>
      <c r="CT73" s="18">
        <f>'Grid_TheoreticalStock'!CK35</f>
        <v/>
      </c>
      <c r="CU73" s="18">
        <f>'Grid_TheoreticalStock'!CL35</f>
        <v/>
      </c>
      <c r="CV73" s="18">
        <f>'Grid_TheoreticalStock'!CM35</f>
        <v/>
      </c>
      <c r="CW73" s="18">
        <f>'Grid_TheoreticalStock'!CN35</f>
        <v/>
      </c>
      <c r="CX73" s="18">
        <f>'Grid_TheoreticalStock'!CO35</f>
        <v/>
      </c>
      <c r="CY73" s="18">
        <f>'Grid_TheoreticalStock'!CP35</f>
        <v/>
      </c>
      <c r="CZ73" s="18">
        <f>'Grid_TheoreticalStock'!CQ35</f>
        <v/>
      </c>
      <c r="DA73" s="18">
        <f>'Grid_TheoreticalStock'!CR35</f>
        <v/>
      </c>
      <c r="DB73" s="18">
        <f>'Grid_TheoreticalStock'!CS35</f>
        <v/>
      </c>
      <c r="DC73" s="18">
        <f>'Grid_TheoreticalStock'!CT35</f>
        <v/>
      </c>
      <c r="DD73" s="18">
        <f>'Grid_TheoreticalStock'!CU35</f>
        <v/>
      </c>
      <c r="DE73" s="18">
        <f>'Grid_TheoreticalStock'!CV35</f>
        <v/>
      </c>
      <c r="DF73" s="18">
        <f>'Grid_TheoreticalStock'!CW35</f>
        <v/>
      </c>
      <c r="DG73" s="18">
        <f>'Grid_TheoreticalStock'!CX35</f>
        <v/>
      </c>
      <c r="DH73" s="18">
        <f>'Grid_TheoreticalStock'!CY35</f>
        <v/>
      </c>
      <c r="DI73" s="18">
        <f>'Grid_TheoreticalStock'!CZ35</f>
        <v/>
      </c>
      <c r="DJ73" s="18">
        <f>'Grid_TheoreticalStock'!DA35</f>
        <v/>
      </c>
    </row>
    <row r="74">
      <c r="A74" s="19" t="inlineStr">
        <is>
          <t>CHEM-1660</t>
        </is>
      </c>
      <c r="B74" s="19">
        <f>IFERROR(INDEX(M_RawMaterials[Description],MATCH($A74,M_RawMaterials[Part Name],0)),"")</f>
        <v/>
      </c>
      <c r="C74" s="19">
        <f>IFERROR(INDEX(M_RawMaterials[Category],MATCH($A74,M_RawMaterials[Part Name],0)),"")</f>
        <v/>
      </c>
      <c r="D74" s="19">
        <f>IFERROR(INDEX(M_RawMaterials[基準在庫下限_要入力],MATCH($A74,M_RawMaterials[Part Name],0)),0)</f>
        <v/>
      </c>
      <c r="E74" s="19">
        <f>IFERROR(INDEX(M_RawMaterials[基準在庫上限_要入力],MATCH($A74,M_RawMaterials[Part Name],0)),0)</f>
        <v/>
      </c>
      <c r="F74" s="19">
        <f>IFERROR(LOOKUP(2,1/('T_SelfStock'!$B$39:$DA$39&lt;&gt;""),'T_SelfStock'!$B$39:$DA$39),"")</f>
        <v/>
      </c>
      <c r="G74" s="19">
        <f>IFERROR(LOOKUP(2,1/('T_TTAFStock'!$B$39:$DA$39&lt;&gt;""),'T_TTAFStock'!$B$39:$DA$39),"")</f>
        <v/>
      </c>
      <c r="H74" s="19">
        <f>IFERROR(LOOKUP(2,1/('T_SelfStock'!$B$39:$DA$39&lt;&gt;""),'T_SelfStock'!$B$5:$DA$5),"")</f>
        <v/>
      </c>
      <c r="I74" s="20" t="inlineStr">
        <is>
          <t>実在庫</t>
        </is>
      </c>
      <c r="J74" s="19">
        <f>'Grid_Stock'!DA35-'Grid_TheoreticalStock'!DA35</f>
        <v/>
      </c>
      <c r="K74" s="19">
        <f>'Grid_Stock'!B35</f>
        <v/>
      </c>
      <c r="L74" s="19">
        <f>'Grid_Stock'!C35</f>
        <v/>
      </c>
      <c r="M74" s="19">
        <f>'Grid_Stock'!D35</f>
        <v/>
      </c>
      <c r="N74" s="19">
        <f>'Grid_Stock'!E35</f>
        <v/>
      </c>
      <c r="O74" s="19">
        <f>'Grid_Stock'!F35</f>
        <v/>
      </c>
      <c r="P74" s="19">
        <f>'Grid_Stock'!G35</f>
        <v/>
      </c>
      <c r="Q74" s="19">
        <f>'Grid_Stock'!H35</f>
        <v/>
      </c>
      <c r="R74" s="19">
        <f>'Grid_Stock'!I35</f>
        <v/>
      </c>
      <c r="S74" s="19">
        <f>'Grid_Stock'!J35</f>
        <v/>
      </c>
      <c r="T74" s="19">
        <f>'Grid_Stock'!K35</f>
        <v/>
      </c>
      <c r="U74" s="19">
        <f>'Grid_Stock'!L35</f>
        <v/>
      </c>
      <c r="V74" s="19">
        <f>'Grid_Stock'!M35</f>
        <v/>
      </c>
      <c r="W74" s="19">
        <f>'Grid_Stock'!N35</f>
        <v/>
      </c>
      <c r="X74" s="19">
        <f>'Grid_Stock'!O35</f>
        <v/>
      </c>
      <c r="Y74" s="19">
        <f>'Grid_Stock'!P35</f>
        <v/>
      </c>
      <c r="Z74" s="19">
        <f>'Grid_Stock'!Q35</f>
        <v/>
      </c>
      <c r="AA74" s="19">
        <f>'Grid_Stock'!R35</f>
        <v/>
      </c>
      <c r="AB74" s="19">
        <f>'Grid_Stock'!S35</f>
        <v/>
      </c>
      <c r="AC74" s="19">
        <f>'Grid_Stock'!T35</f>
        <v/>
      </c>
      <c r="AD74" s="19">
        <f>'Grid_Stock'!U35</f>
        <v/>
      </c>
      <c r="AE74" s="19">
        <f>'Grid_Stock'!V35</f>
        <v/>
      </c>
      <c r="AF74" s="19">
        <f>'Grid_Stock'!W35</f>
        <v/>
      </c>
      <c r="AG74" s="19">
        <f>'Grid_Stock'!X35</f>
        <v/>
      </c>
      <c r="AH74" s="19">
        <f>'Grid_Stock'!Y35</f>
        <v/>
      </c>
      <c r="AI74" s="19">
        <f>'Grid_Stock'!Z35</f>
        <v/>
      </c>
      <c r="AJ74" s="19">
        <f>'Grid_Stock'!AA35</f>
        <v/>
      </c>
      <c r="AK74" s="19">
        <f>'Grid_Stock'!AB35</f>
        <v/>
      </c>
      <c r="AL74" s="19">
        <f>'Grid_Stock'!AC35</f>
        <v/>
      </c>
      <c r="AM74" s="19">
        <f>'Grid_Stock'!AD35</f>
        <v/>
      </c>
      <c r="AN74" s="19">
        <f>'Grid_Stock'!AE35</f>
        <v/>
      </c>
      <c r="AO74" s="19">
        <f>'Grid_Stock'!AF35</f>
        <v/>
      </c>
      <c r="AP74" s="19">
        <f>'Grid_Stock'!AG35</f>
        <v/>
      </c>
      <c r="AQ74" s="19">
        <f>'Grid_Stock'!AH35</f>
        <v/>
      </c>
      <c r="AR74" s="19">
        <f>'Grid_Stock'!AI35</f>
        <v/>
      </c>
      <c r="AS74" s="19">
        <f>'Grid_Stock'!AJ35</f>
        <v/>
      </c>
      <c r="AT74" s="19">
        <f>'Grid_Stock'!AK35</f>
        <v/>
      </c>
      <c r="AU74" s="19">
        <f>'Grid_Stock'!AL35</f>
        <v/>
      </c>
      <c r="AV74" s="19">
        <f>'Grid_Stock'!AM35</f>
        <v/>
      </c>
      <c r="AW74" s="19">
        <f>'Grid_Stock'!AN35</f>
        <v/>
      </c>
      <c r="AX74" s="19">
        <f>'Grid_Stock'!AO35</f>
        <v/>
      </c>
      <c r="AY74" s="19">
        <f>'Grid_Stock'!AP35</f>
        <v/>
      </c>
      <c r="AZ74" s="19">
        <f>'Grid_Stock'!AQ35</f>
        <v/>
      </c>
      <c r="BA74" s="19">
        <f>'Grid_Stock'!AR35</f>
        <v/>
      </c>
      <c r="BB74" s="19">
        <f>'Grid_Stock'!AS35</f>
        <v/>
      </c>
      <c r="BC74" s="19">
        <f>'Grid_Stock'!AT35</f>
        <v/>
      </c>
      <c r="BD74" s="19">
        <f>'Grid_Stock'!AU35</f>
        <v/>
      </c>
      <c r="BE74" s="19">
        <f>'Grid_Stock'!AV35</f>
        <v/>
      </c>
      <c r="BF74" s="19">
        <f>'Grid_Stock'!AW35</f>
        <v/>
      </c>
      <c r="BG74" s="19">
        <f>'Grid_Stock'!AX35</f>
        <v/>
      </c>
      <c r="BH74" s="19">
        <f>'Grid_Stock'!AY35</f>
        <v/>
      </c>
      <c r="BI74" s="19">
        <f>'Grid_Stock'!AZ35</f>
        <v/>
      </c>
      <c r="BJ74" s="19">
        <f>'Grid_Stock'!BA35</f>
        <v/>
      </c>
      <c r="BK74" s="19">
        <f>'Grid_Stock'!BB35</f>
        <v/>
      </c>
      <c r="BL74" s="19">
        <f>'Grid_Stock'!BC35</f>
        <v/>
      </c>
      <c r="BM74" s="19">
        <f>'Grid_Stock'!BD35</f>
        <v/>
      </c>
      <c r="BN74" s="19">
        <f>'Grid_Stock'!BE35</f>
        <v/>
      </c>
      <c r="BO74" s="19">
        <f>'Grid_Stock'!BF35</f>
        <v/>
      </c>
      <c r="BP74" s="19">
        <f>'Grid_Stock'!BG35</f>
        <v/>
      </c>
      <c r="BQ74" s="19">
        <f>'Grid_Stock'!BH35</f>
        <v/>
      </c>
      <c r="BR74" s="19">
        <f>'Grid_Stock'!BI35</f>
        <v/>
      </c>
      <c r="BS74" s="19">
        <f>'Grid_Stock'!BJ35</f>
        <v/>
      </c>
      <c r="BT74" s="19">
        <f>'Grid_Stock'!BK35</f>
        <v/>
      </c>
      <c r="BU74" s="19">
        <f>'Grid_Stock'!BL35</f>
        <v/>
      </c>
      <c r="BV74" s="19">
        <f>'Grid_Stock'!BM35</f>
        <v/>
      </c>
      <c r="BW74" s="19">
        <f>'Grid_Stock'!BN35</f>
        <v/>
      </c>
      <c r="BX74" s="19">
        <f>'Grid_Stock'!BO35</f>
        <v/>
      </c>
      <c r="BY74" s="19">
        <f>'Grid_Stock'!BP35</f>
        <v/>
      </c>
      <c r="BZ74" s="19">
        <f>'Grid_Stock'!BQ35</f>
        <v/>
      </c>
      <c r="CA74" s="19">
        <f>'Grid_Stock'!BR35</f>
        <v/>
      </c>
      <c r="CB74" s="19">
        <f>'Grid_Stock'!BS35</f>
        <v/>
      </c>
      <c r="CC74" s="19">
        <f>'Grid_Stock'!BT35</f>
        <v/>
      </c>
      <c r="CD74" s="19">
        <f>'Grid_Stock'!BU35</f>
        <v/>
      </c>
      <c r="CE74" s="19">
        <f>'Grid_Stock'!BV35</f>
        <v/>
      </c>
      <c r="CF74" s="19">
        <f>'Grid_Stock'!BW35</f>
        <v/>
      </c>
      <c r="CG74" s="19">
        <f>'Grid_Stock'!BX35</f>
        <v/>
      </c>
      <c r="CH74" s="19">
        <f>'Grid_Stock'!BY35</f>
        <v/>
      </c>
      <c r="CI74" s="19">
        <f>'Grid_Stock'!BZ35</f>
        <v/>
      </c>
      <c r="CJ74" s="19">
        <f>'Grid_Stock'!CA35</f>
        <v/>
      </c>
      <c r="CK74" s="19">
        <f>'Grid_Stock'!CB35</f>
        <v/>
      </c>
      <c r="CL74" s="19">
        <f>'Grid_Stock'!CC35</f>
        <v/>
      </c>
      <c r="CM74" s="19">
        <f>'Grid_Stock'!CD35</f>
        <v/>
      </c>
      <c r="CN74" s="19">
        <f>'Grid_Stock'!CE35</f>
        <v/>
      </c>
      <c r="CO74" s="19">
        <f>'Grid_Stock'!CF35</f>
        <v/>
      </c>
      <c r="CP74" s="19">
        <f>'Grid_Stock'!CG35</f>
        <v/>
      </c>
      <c r="CQ74" s="19">
        <f>'Grid_Stock'!CH35</f>
        <v/>
      </c>
      <c r="CR74" s="19">
        <f>'Grid_Stock'!CI35</f>
        <v/>
      </c>
      <c r="CS74" s="19">
        <f>'Grid_Stock'!CJ35</f>
        <v/>
      </c>
      <c r="CT74" s="19">
        <f>'Grid_Stock'!CK35</f>
        <v/>
      </c>
      <c r="CU74" s="19">
        <f>'Grid_Stock'!CL35</f>
        <v/>
      </c>
      <c r="CV74" s="19">
        <f>'Grid_Stock'!CM35</f>
        <v/>
      </c>
      <c r="CW74" s="19">
        <f>'Grid_Stock'!CN35</f>
        <v/>
      </c>
      <c r="CX74" s="19">
        <f>'Grid_Stock'!CO35</f>
        <v/>
      </c>
      <c r="CY74" s="19">
        <f>'Grid_Stock'!CP35</f>
        <v/>
      </c>
      <c r="CZ74" s="19">
        <f>'Grid_Stock'!CQ35</f>
        <v/>
      </c>
      <c r="DA74" s="19">
        <f>'Grid_Stock'!CR35</f>
        <v/>
      </c>
      <c r="DB74" s="19">
        <f>'Grid_Stock'!CS35</f>
        <v/>
      </c>
      <c r="DC74" s="19">
        <f>'Grid_Stock'!CT35</f>
        <v/>
      </c>
      <c r="DD74" s="19">
        <f>'Grid_Stock'!CU35</f>
        <v/>
      </c>
      <c r="DE74" s="19">
        <f>'Grid_Stock'!CV35</f>
        <v/>
      </c>
      <c r="DF74" s="19">
        <f>'Grid_Stock'!CW35</f>
        <v/>
      </c>
      <c r="DG74" s="19">
        <f>'Grid_Stock'!CX35</f>
        <v/>
      </c>
      <c r="DH74" s="19">
        <f>'Grid_Stock'!CY35</f>
        <v/>
      </c>
      <c r="DI74" s="19">
        <f>'Grid_Stock'!CZ35</f>
        <v/>
      </c>
      <c r="DJ74" s="19">
        <f>'Grid_Stock'!DA35</f>
        <v/>
      </c>
    </row>
    <row r="75">
      <c r="A75" s="17" t="inlineStr">
        <is>
          <t>CHEM-1420</t>
        </is>
      </c>
      <c r="B75" s="17">
        <f>IFERROR(INDEX(M_RawMaterials[Description],MATCH($A75,M_RawMaterials[Part Name],0)),"")</f>
        <v/>
      </c>
      <c r="C75" s="17">
        <f>IFERROR(INDEX(M_RawMaterials[Category],MATCH($A75,M_RawMaterials[Part Name],0)),"")</f>
        <v/>
      </c>
      <c r="D75" s="17">
        <f>IFERROR(INDEX(M_RawMaterials[基準在庫下限_要入力],MATCH($A75,M_RawMaterials[Part Name],0)),0)</f>
        <v/>
      </c>
      <c r="E75" s="17">
        <f>IFERROR(INDEX(M_RawMaterials[基準在庫上限_要入力],MATCH($A75,M_RawMaterials[Part Name],0)),0)</f>
        <v/>
      </c>
      <c r="F75" s="17">
        <f>IFERROR(LOOKUP(2,1/('T_SelfStock'!$B$40:$DA$40&lt;&gt;""),'T_SelfStock'!$B$40:$DA$40),"")</f>
        <v/>
      </c>
      <c r="G75" s="17">
        <f>IFERROR(LOOKUP(2,1/('T_TTAFStock'!$B$40:$DA$40&lt;&gt;""),'T_TTAFStock'!$B$40:$DA$40),"")</f>
        <v/>
      </c>
      <c r="H75" s="17">
        <f>IFERROR(LOOKUP(2,1/('T_SelfStock'!$B$40:$DA$40&lt;&gt;""),'T_SelfStock'!$B$5:$DA$5),"")</f>
        <v/>
      </c>
      <c r="I75" s="18" t="inlineStr">
        <is>
          <t>理論在庫</t>
        </is>
      </c>
      <c r="J75" s="17">
        <f>'Grid_Stock'!DA36-'Grid_TheoreticalStock'!DA36</f>
        <v/>
      </c>
      <c r="K75" s="18">
        <f>'Grid_TheoreticalStock'!B36</f>
        <v/>
      </c>
      <c r="L75" s="18">
        <f>'Grid_TheoreticalStock'!C36</f>
        <v/>
      </c>
      <c r="M75" s="18">
        <f>'Grid_TheoreticalStock'!D36</f>
        <v/>
      </c>
      <c r="N75" s="18">
        <f>'Grid_TheoreticalStock'!E36</f>
        <v/>
      </c>
      <c r="O75" s="18">
        <f>'Grid_TheoreticalStock'!F36</f>
        <v/>
      </c>
      <c r="P75" s="18">
        <f>'Grid_TheoreticalStock'!G36</f>
        <v/>
      </c>
      <c r="Q75" s="18">
        <f>'Grid_TheoreticalStock'!H36</f>
        <v/>
      </c>
      <c r="R75" s="18">
        <f>'Grid_TheoreticalStock'!I36</f>
        <v/>
      </c>
      <c r="S75" s="18">
        <f>'Grid_TheoreticalStock'!J36</f>
        <v/>
      </c>
      <c r="T75" s="18">
        <f>'Grid_TheoreticalStock'!K36</f>
        <v/>
      </c>
      <c r="U75" s="18">
        <f>'Grid_TheoreticalStock'!L36</f>
        <v/>
      </c>
      <c r="V75" s="18">
        <f>'Grid_TheoreticalStock'!M36</f>
        <v/>
      </c>
      <c r="W75" s="18">
        <f>'Grid_TheoreticalStock'!N36</f>
        <v/>
      </c>
      <c r="X75" s="18">
        <f>'Grid_TheoreticalStock'!O36</f>
        <v/>
      </c>
      <c r="Y75" s="18">
        <f>'Grid_TheoreticalStock'!P36</f>
        <v/>
      </c>
      <c r="Z75" s="18">
        <f>'Grid_TheoreticalStock'!Q36</f>
        <v/>
      </c>
      <c r="AA75" s="18">
        <f>'Grid_TheoreticalStock'!R36</f>
        <v/>
      </c>
      <c r="AB75" s="18">
        <f>'Grid_TheoreticalStock'!S36</f>
        <v/>
      </c>
      <c r="AC75" s="18">
        <f>'Grid_TheoreticalStock'!T36</f>
        <v/>
      </c>
      <c r="AD75" s="18">
        <f>'Grid_TheoreticalStock'!U36</f>
        <v/>
      </c>
      <c r="AE75" s="18">
        <f>'Grid_TheoreticalStock'!V36</f>
        <v/>
      </c>
      <c r="AF75" s="18">
        <f>'Grid_TheoreticalStock'!W36</f>
        <v/>
      </c>
      <c r="AG75" s="18">
        <f>'Grid_TheoreticalStock'!X36</f>
        <v/>
      </c>
      <c r="AH75" s="18">
        <f>'Grid_TheoreticalStock'!Y36</f>
        <v/>
      </c>
      <c r="AI75" s="18">
        <f>'Grid_TheoreticalStock'!Z36</f>
        <v/>
      </c>
      <c r="AJ75" s="18">
        <f>'Grid_TheoreticalStock'!AA36</f>
        <v/>
      </c>
      <c r="AK75" s="18">
        <f>'Grid_TheoreticalStock'!AB36</f>
        <v/>
      </c>
      <c r="AL75" s="18">
        <f>'Grid_TheoreticalStock'!AC36</f>
        <v/>
      </c>
      <c r="AM75" s="18">
        <f>'Grid_TheoreticalStock'!AD36</f>
        <v/>
      </c>
      <c r="AN75" s="18">
        <f>'Grid_TheoreticalStock'!AE36</f>
        <v/>
      </c>
      <c r="AO75" s="18">
        <f>'Grid_TheoreticalStock'!AF36</f>
        <v/>
      </c>
      <c r="AP75" s="18">
        <f>'Grid_TheoreticalStock'!AG36</f>
        <v/>
      </c>
      <c r="AQ75" s="18">
        <f>'Grid_TheoreticalStock'!AH36</f>
        <v/>
      </c>
      <c r="AR75" s="18">
        <f>'Grid_TheoreticalStock'!AI36</f>
        <v/>
      </c>
      <c r="AS75" s="18">
        <f>'Grid_TheoreticalStock'!AJ36</f>
        <v/>
      </c>
      <c r="AT75" s="18">
        <f>'Grid_TheoreticalStock'!AK36</f>
        <v/>
      </c>
      <c r="AU75" s="18">
        <f>'Grid_TheoreticalStock'!AL36</f>
        <v/>
      </c>
      <c r="AV75" s="18">
        <f>'Grid_TheoreticalStock'!AM36</f>
        <v/>
      </c>
      <c r="AW75" s="18">
        <f>'Grid_TheoreticalStock'!AN36</f>
        <v/>
      </c>
      <c r="AX75" s="18">
        <f>'Grid_TheoreticalStock'!AO36</f>
        <v/>
      </c>
      <c r="AY75" s="18">
        <f>'Grid_TheoreticalStock'!AP36</f>
        <v/>
      </c>
      <c r="AZ75" s="18">
        <f>'Grid_TheoreticalStock'!AQ36</f>
        <v/>
      </c>
      <c r="BA75" s="18">
        <f>'Grid_TheoreticalStock'!AR36</f>
        <v/>
      </c>
      <c r="BB75" s="18">
        <f>'Grid_TheoreticalStock'!AS36</f>
        <v/>
      </c>
      <c r="BC75" s="18">
        <f>'Grid_TheoreticalStock'!AT36</f>
        <v/>
      </c>
      <c r="BD75" s="18">
        <f>'Grid_TheoreticalStock'!AU36</f>
        <v/>
      </c>
      <c r="BE75" s="18">
        <f>'Grid_TheoreticalStock'!AV36</f>
        <v/>
      </c>
      <c r="BF75" s="18">
        <f>'Grid_TheoreticalStock'!AW36</f>
        <v/>
      </c>
      <c r="BG75" s="18">
        <f>'Grid_TheoreticalStock'!AX36</f>
        <v/>
      </c>
      <c r="BH75" s="18">
        <f>'Grid_TheoreticalStock'!AY36</f>
        <v/>
      </c>
      <c r="BI75" s="18">
        <f>'Grid_TheoreticalStock'!AZ36</f>
        <v/>
      </c>
      <c r="BJ75" s="18">
        <f>'Grid_TheoreticalStock'!BA36</f>
        <v/>
      </c>
      <c r="BK75" s="18">
        <f>'Grid_TheoreticalStock'!BB36</f>
        <v/>
      </c>
      <c r="BL75" s="18">
        <f>'Grid_TheoreticalStock'!BC36</f>
        <v/>
      </c>
      <c r="BM75" s="18">
        <f>'Grid_TheoreticalStock'!BD36</f>
        <v/>
      </c>
      <c r="BN75" s="18">
        <f>'Grid_TheoreticalStock'!BE36</f>
        <v/>
      </c>
      <c r="BO75" s="18">
        <f>'Grid_TheoreticalStock'!BF36</f>
        <v/>
      </c>
      <c r="BP75" s="18">
        <f>'Grid_TheoreticalStock'!BG36</f>
        <v/>
      </c>
      <c r="BQ75" s="18">
        <f>'Grid_TheoreticalStock'!BH36</f>
        <v/>
      </c>
      <c r="BR75" s="18">
        <f>'Grid_TheoreticalStock'!BI36</f>
        <v/>
      </c>
      <c r="BS75" s="18">
        <f>'Grid_TheoreticalStock'!BJ36</f>
        <v/>
      </c>
      <c r="BT75" s="18">
        <f>'Grid_TheoreticalStock'!BK36</f>
        <v/>
      </c>
      <c r="BU75" s="18">
        <f>'Grid_TheoreticalStock'!BL36</f>
        <v/>
      </c>
      <c r="BV75" s="18">
        <f>'Grid_TheoreticalStock'!BM36</f>
        <v/>
      </c>
      <c r="BW75" s="18">
        <f>'Grid_TheoreticalStock'!BN36</f>
        <v/>
      </c>
      <c r="BX75" s="18">
        <f>'Grid_TheoreticalStock'!BO36</f>
        <v/>
      </c>
      <c r="BY75" s="18">
        <f>'Grid_TheoreticalStock'!BP36</f>
        <v/>
      </c>
      <c r="BZ75" s="18">
        <f>'Grid_TheoreticalStock'!BQ36</f>
        <v/>
      </c>
      <c r="CA75" s="18">
        <f>'Grid_TheoreticalStock'!BR36</f>
        <v/>
      </c>
      <c r="CB75" s="18">
        <f>'Grid_TheoreticalStock'!BS36</f>
        <v/>
      </c>
      <c r="CC75" s="18">
        <f>'Grid_TheoreticalStock'!BT36</f>
        <v/>
      </c>
      <c r="CD75" s="18">
        <f>'Grid_TheoreticalStock'!BU36</f>
        <v/>
      </c>
      <c r="CE75" s="18">
        <f>'Grid_TheoreticalStock'!BV36</f>
        <v/>
      </c>
      <c r="CF75" s="18">
        <f>'Grid_TheoreticalStock'!BW36</f>
        <v/>
      </c>
      <c r="CG75" s="18">
        <f>'Grid_TheoreticalStock'!BX36</f>
        <v/>
      </c>
      <c r="CH75" s="18">
        <f>'Grid_TheoreticalStock'!BY36</f>
        <v/>
      </c>
      <c r="CI75" s="18">
        <f>'Grid_TheoreticalStock'!BZ36</f>
        <v/>
      </c>
      <c r="CJ75" s="18">
        <f>'Grid_TheoreticalStock'!CA36</f>
        <v/>
      </c>
      <c r="CK75" s="18">
        <f>'Grid_TheoreticalStock'!CB36</f>
        <v/>
      </c>
      <c r="CL75" s="18">
        <f>'Grid_TheoreticalStock'!CC36</f>
        <v/>
      </c>
      <c r="CM75" s="18">
        <f>'Grid_TheoreticalStock'!CD36</f>
        <v/>
      </c>
      <c r="CN75" s="18">
        <f>'Grid_TheoreticalStock'!CE36</f>
        <v/>
      </c>
      <c r="CO75" s="18">
        <f>'Grid_TheoreticalStock'!CF36</f>
        <v/>
      </c>
      <c r="CP75" s="18">
        <f>'Grid_TheoreticalStock'!CG36</f>
        <v/>
      </c>
      <c r="CQ75" s="18">
        <f>'Grid_TheoreticalStock'!CH36</f>
        <v/>
      </c>
      <c r="CR75" s="18">
        <f>'Grid_TheoreticalStock'!CI36</f>
        <v/>
      </c>
      <c r="CS75" s="18">
        <f>'Grid_TheoreticalStock'!CJ36</f>
        <v/>
      </c>
      <c r="CT75" s="18">
        <f>'Grid_TheoreticalStock'!CK36</f>
        <v/>
      </c>
      <c r="CU75" s="18">
        <f>'Grid_TheoreticalStock'!CL36</f>
        <v/>
      </c>
      <c r="CV75" s="18">
        <f>'Grid_TheoreticalStock'!CM36</f>
        <v/>
      </c>
      <c r="CW75" s="18">
        <f>'Grid_TheoreticalStock'!CN36</f>
        <v/>
      </c>
      <c r="CX75" s="18">
        <f>'Grid_TheoreticalStock'!CO36</f>
        <v/>
      </c>
      <c r="CY75" s="18">
        <f>'Grid_TheoreticalStock'!CP36</f>
        <v/>
      </c>
      <c r="CZ75" s="18">
        <f>'Grid_TheoreticalStock'!CQ36</f>
        <v/>
      </c>
      <c r="DA75" s="18">
        <f>'Grid_TheoreticalStock'!CR36</f>
        <v/>
      </c>
      <c r="DB75" s="18">
        <f>'Grid_TheoreticalStock'!CS36</f>
        <v/>
      </c>
      <c r="DC75" s="18">
        <f>'Grid_TheoreticalStock'!CT36</f>
        <v/>
      </c>
      <c r="DD75" s="18">
        <f>'Grid_TheoreticalStock'!CU36</f>
        <v/>
      </c>
      <c r="DE75" s="18">
        <f>'Grid_TheoreticalStock'!CV36</f>
        <v/>
      </c>
      <c r="DF75" s="18">
        <f>'Grid_TheoreticalStock'!CW36</f>
        <v/>
      </c>
      <c r="DG75" s="18">
        <f>'Grid_TheoreticalStock'!CX36</f>
        <v/>
      </c>
      <c r="DH75" s="18">
        <f>'Grid_TheoreticalStock'!CY36</f>
        <v/>
      </c>
      <c r="DI75" s="18">
        <f>'Grid_TheoreticalStock'!CZ36</f>
        <v/>
      </c>
      <c r="DJ75" s="18">
        <f>'Grid_TheoreticalStock'!DA36</f>
        <v/>
      </c>
    </row>
    <row r="76">
      <c r="A76" s="19" t="inlineStr">
        <is>
          <t>CHEM-1420</t>
        </is>
      </c>
      <c r="B76" s="19">
        <f>IFERROR(INDEX(M_RawMaterials[Description],MATCH($A76,M_RawMaterials[Part Name],0)),"")</f>
        <v/>
      </c>
      <c r="C76" s="19">
        <f>IFERROR(INDEX(M_RawMaterials[Category],MATCH($A76,M_RawMaterials[Part Name],0)),"")</f>
        <v/>
      </c>
      <c r="D76" s="19">
        <f>IFERROR(INDEX(M_RawMaterials[基準在庫下限_要入力],MATCH($A76,M_RawMaterials[Part Name],0)),0)</f>
        <v/>
      </c>
      <c r="E76" s="19">
        <f>IFERROR(INDEX(M_RawMaterials[基準在庫上限_要入力],MATCH($A76,M_RawMaterials[Part Name],0)),0)</f>
        <v/>
      </c>
      <c r="F76" s="19">
        <f>IFERROR(LOOKUP(2,1/('T_SelfStock'!$B$40:$DA$40&lt;&gt;""),'T_SelfStock'!$B$40:$DA$40),"")</f>
        <v/>
      </c>
      <c r="G76" s="19">
        <f>IFERROR(LOOKUP(2,1/('T_TTAFStock'!$B$40:$DA$40&lt;&gt;""),'T_TTAFStock'!$B$40:$DA$40),"")</f>
        <v/>
      </c>
      <c r="H76" s="19">
        <f>IFERROR(LOOKUP(2,1/('T_SelfStock'!$B$40:$DA$40&lt;&gt;""),'T_SelfStock'!$B$5:$DA$5),"")</f>
        <v/>
      </c>
      <c r="I76" s="20" t="inlineStr">
        <is>
          <t>実在庫</t>
        </is>
      </c>
      <c r="J76" s="19">
        <f>'Grid_Stock'!DA36-'Grid_TheoreticalStock'!DA36</f>
        <v/>
      </c>
      <c r="K76" s="19">
        <f>'Grid_Stock'!B36</f>
        <v/>
      </c>
      <c r="L76" s="19">
        <f>'Grid_Stock'!C36</f>
        <v/>
      </c>
      <c r="M76" s="19">
        <f>'Grid_Stock'!D36</f>
        <v/>
      </c>
      <c r="N76" s="19">
        <f>'Grid_Stock'!E36</f>
        <v/>
      </c>
      <c r="O76" s="19">
        <f>'Grid_Stock'!F36</f>
        <v/>
      </c>
      <c r="P76" s="19">
        <f>'Grid_Stock'!G36</f>
        <v/>
      </c>
      <c r="Q76" s="19">
        <f>'Grid_Stock'!H36</f>
        <v/>
      </c>
      <c r="R76" s="19">
        <f>'Grid_Stock'!I36</f>
        <v/>
      </c>
      <c r="S76" s="19">
        <f>'Grid_Stock'!J36</f>
        <v/>
      </c>
      <c r="T76" s="19">
        <f>'Grid_Stock'!K36</f>
        <v/>
      </c>
      <c r="U76" s="19">
        <f>'Grid_Stock'!L36</f>
        <v/>
      </c>
      <c r="V76" s="19">
        <f>'Grid_Stock'!M36</f>
        <v/>
      </c>
      <c r="W76" s="19">
        <f>'Grid_Stock'!N36</f>
        <v/>
      </c>
      <c r="X76" s="19">
        <f>'Grid_Stock'!O36</f>
        <v/>
      </c>
      <c r="Y76" s="19">
        <f>'Grid_Stock'!P36</f>
        <v/>
      </c>
      <c r="Z76" s="19">
        <f>'Grid_Stock'!Q36</f>
        <v/>
      </c>
      <c r="AA76" s="19">
        <f>'Grid_Stock'!R36</f>
        <v/>
      </c>
      <c r="AB76" s="19">
        <f>'Grid_Stock'!S36</f>
        <v/>
      </c>
      <c r="AC76" s="19">
        <f>'Grid_Stock'!T36</f>
        <v/>
      </c>
      <c r="AD76" s="19">
        <f>'Grid_Stock'!U36</f>
        <v/>
      </c>
      <c r="AE76" s="19">
        <f>'Grid_Stock'!V36</f>
        <v/>
      </c>
      <c r="AF76" s="19">
        <f>'Grid_Stock'!W36</f>
        <v/>
      </c>
      <c r="AG76" s="19">
        <f>'Grid_Stock'!X36</f>
        <v/>
      </c>
      <c r="AH76" s="19">
        <f>'Grid_Stock'!Y36</f>
        <v/>
      </c>
      <c r="AI76" s="19">
        <f>'Grid_Stock'!Z36</f>
        <v/>
      </c>
      <c r="AJ76" s="19">
        <f>'Grid_Stock'!AA36</f>
        <v/>
      </c>
      <c r="AK76" s="19">
        <f>'Grid_Stock'!AB36</f>
        <v/>
      </c>
      <c r="AL76" s="19">
        <f>'Grid_Stock'!AC36</f>
        <v/>
      </c>
      <c r="AM76" s="19">
        <f>'Grid_Stock'!AD36</f>
        <v/>
      </c>
      <c r="AN76" s="19">
        <f>'Grid_Stock'!AE36</f>
        <v/>
      </c>
      <c r="AO76" s="19">
        <f>'Grid_Stock'!AF36</f>
        <v/>
      </c>
      <c r="AP76" s="19">
        <f>'Grid_Stock'!AG36</f>
        <v/>
      </c>
      <c r="AQ76" s="19">
        <f>'Grid_Stock'!AH36</f>
        <v/>
      </c>
      <c r="AR76" s="19">
        <f>'Grid_Stock'!AI36</f>
        <v/>
      </c>
      <c r="AS76" s="19">
        <f>'Grid_Stock'!AJ36</f>
        <v/>
      </c>
      <c r="AT76" s="19">
        <f>'Grid_Stock'!AK36</f>
        <v/>
      </c>
      <c r="AU76" s="19">
        <f>'Grid_Stock'!AL36</f>
        <v/>
      </c>
      <c r="AV76" s="19">
        <f>'Grid_Stock'!AM36</f>
        <v/>
      </c>
      <c r="AW76" s="19">
        <f>'Grid_Stock'!AN36</f>
        <v/>
      </c>
      <c r="AX76" s="19">
        <f>'Grid_Stock'!AO36</f>
        <v/>
      </c>
      <c r="AY76" s="19">
        <f>'Grid_Stock'!AP36</f>
        <v/>
      </c>
      <c r="AZ76" s="19">
        <f>'Grid_Stock'!AQ36</f>
        <v/>
      </c>
      <c r="BA76" s="19">
        <f>'Grid_Stock'!AR36</f>
        <v/>
      </c>
      <c r="BB76" s="19">
        <f>'Grid_Stock'!AS36</f>
        <v/>
      </c>
      <c r="BC76" s="19">
        <f>'Grid_Stock'!AT36</f>
        <v/>
      </c>
      <c r="BD76" s="19">
        <f>'Grid_Stock'!AU36</f>
        <v/>
      </c>
      <c r="BE76" s="19">
        <f>'Grid_Stock'!AV36</f>
        <v/>
      </c>
      <c r="BF76" s="19">
        <f>'Grid_Stock'!AW36</f>
        <v/>
      </c>
      <c r="BG76" s="19">
        <f>'Grid_Stock'!AX36</f>
        <v/>
      </c>
      <c r="BH76" s="19">
        <f>'Grid_Stock'!AY36</f>
        <v/>
      </c>
      <c r="BI76" s="19">
        <f>'Grid_Stock'!AZ36</f>
        <v/>
      </c>
      <c r="BJ76" s="19">
        <f>'Grid_Stock'!BA36</f>
        <v/>
      </c>
      <c r="BK76" s="19">
        <f>'Grid_Stock'!BB36</f>
        <v/>
      </c>
      <c r="BL76" s="19">
        <f>'Grid_Stock'!BC36</f>
        <v/>
      </c>
      <c r="BM76" s="19">
        <f>'Grid_Stock'!BD36</f>
        <v/>
      </c>
      <c r="BN76" s="19">
        <f>'Grid_Stock'!BE36</f>
        <v/>
      </c>
      <c r="BO76" s="19">
        <f>'Grid_Stock'!BF36</f>
        <v/>
      </c>
      <c r="BP76" s="19">
        <f>'Grid_Stock'!BG36</f>
        <v/>
      </c>
      <c r="BQ76" s="19">
        <f>'Grid_Stock'!BH36</f>
        <v/>
      </c>
      <c r="BR76" s="19">
        <f>'Grid_Stock'!BI36</f>
        <v/>
      </c>
      <c r="BS76" s="19">
        <f>'Grid_Stock'!BJ36</f>
        <v/>
      </c>
      <c r="BT76" s="19">
        <f>'Grid_Stock'!BK36</f>
        <v/>
      </c>
      <c r="BU76" s="19">
        <f>'Grid_Stock'!BL36</f>
        <v/>
      </c>
      <c r="BV76" s="19">
        <f>'Grid_Stock'!BM36</f>
        <v/>
      </c>
      <c r="BW76" s="19">
        <f>'Grid_Stock'!BN36</f>
        <v/>
      </c>
      <c r="BX76" s="19">
        <f>'Grid_Stock'!BO36</f>
        <v/>
      </c>
      <c r="BY76" s="19">
        <f>'Grid_Stock'!BP36</f>
        <v/>
      </c>
      <c r="BZ76" s="19">
        <f>'Grid_Stock'!BQ36</f>
        <v/>
      </c>
      <c r="CA76" s="19">
        <f>'Grid_Stock'!BR36</f>
        <v/>
      </c>
      <c r="CB76" s="19">
        <f>'Grid_Stock'!BS36</f>
        <v/>
      </c>
      <c r="CC76" s="19">
        <f>'Grid_Stock'!BT36</f>
        <v/>
      </c>
      <c r="CD76" s="19">
        <f>'Grid_Stock'!BU36</f>
        <v/>
      </c>
      <c r="CE76" s="19">
        <f>'Grid_Stock'!BV36</f>
        <v/>
      </c>
      <c r="CF76" s="19">
        <f>'Grid_Stock'!BW36</f>
        <v/>
      </c>
      <c r="CG76" s="19">
        <f>'Grid_Stock'!BX36</f>
        <v/>
      </c>
      <c r="CH76" s="19">
        <f>'Grid_Stock'!BY36</f>
        <v/>
      </c>
      <c r="CI76" s="19">
        <f>'Grid_Stock'!BZ36</f>
        <v/>
      </c>
      <c r="CJ76" s="19">
        <f>'Grid_Stock'!CA36</f>
        <v/>
      </c>
      <c r="CK76" s="19">
        <f>'Grid_Stock'!CB36</f>
        <v/>
      </c>
      <c r="CL76" s="19">
        <f>'Grid_Stock'!CC36</f>
        <v/>
      </c>
      <c r="CM76" s="19">
        <f>'Grid_Stock'!CD36</f>
        <v/>
      </c>
      <c r="CN76" s="19">
        <f>'Grid_Stock'!CE36</f>
        <v/>
      </c>
      <c r="CO76" s="19">
        <f>'Grid_Stock'!CF36</f>
        <v/>
      </c>
      <c r="CP76" s="19">
        <f>'Grid_Stock'!CG36</f>
        <v/>
      </c>
      <c r="CQ76" s="19">
        <f>'Grid_Stock'!CH36</f>
        <v/>
      </c>
      <c r="CR76" s="19">
        <f>'Grid_Stock'!CI36</f>
        <v/>
      </c>
      <c r="CS76" s="19">
        <f>'Grid_Stock'!CJ36</f>
        <v/>
      </c>
      <c r="CT76" s="19">
        <f>'Grid_Stock'!CK36</f>
        <v/>
      </c>
      <c r="CU76" s="19">
        <f>'Grid_Stock'!CL36</f>
        <v/>
      </c>
      <c r="CV76" s="19">
        <f>'Grid_Stock'!CM36</f>
        <v/>
      </c>
      <c r="CW76" s="19">
        <f>'Grid_Stock'!CN36</f>
        <v/>
      </c>
      <c r="CX76" s="19">
        <f>'Grid_Stock'!CO36</f>
        <v/>
      </c>
      <c r="CY76" s="19">
        <f>'Grid_Stock'!CP36</f>
        <v/>
      </c>
      <c r="CZ76" s="19">
        <f>'Grid_Stock'!CQ36</f>
        <v/>
      </c>
      <c r="DA76" s="19">
        <f>'Grid_Stock'!CR36</f>
        <v/>
      </c>
      <c r="DB76" s="19">
        <f>'Grid_Stock'!CS36</f>
        <v/>
      </c>
      <c r="DC76" s="19">
        <f>'Grid_Stock'!CT36</f>
        <v/>
      </c>
      <c r="DD76" s="19">
        <f>'Grid_Stock'!CU36</f>
        <v/>
      </c>
      <c r="DE76" s="19">
        <f>'Grid_Stock'!CV36</f>
        <v/>
      </c>
      <c r="DF76" s="19">
        <f>'Grid_Stock'!CW36</f>
        <v/>
      </c>
      <c r="DG76" s="19">
        <f>'Grid_Stock'!CX36</f>
        <v/>
      </c>
      <c r="DH76" s="19">
        <f>'Grid_Stock'!CY36</f>
        <v/>
      </c>
      <c r="DI76" s="19">
        <f>'Grid_Stock'!CZ36</f>
        <v/>
      </c>
      <c r="DJ76" s="19">
        <f>'Grid_Stock'!DA36</f>
        <v/>
      </c>
    </row>
    <row r="77">
      <c r="A77" s="17" t="inlineStr">
        <is>
          <t>CHEM-1530</t>
        </is>
      </c>
      <c r="B77" s="17">
        <f>IFERROR(INDEX(M_RawMaterials[Description],MATCH($A77,M_RawMaterials[Part Name],0)),"")</f>
        <v/>
      </c>
      <c r="C77" s="17">
        <f>IFERROR(INDEX(M_RawMaterials[Category],MATCH($A77,M_RawMaterials[Part Name],0)),"")</f>
        <v/>
      </c>
      <c r="D77" s="17">
        <f>IFERROR(INDEX(M_RawMaterials[基準在庫下限_要入力],MATCH($A77,M_RawMaterials[Part Name],0)),0)</f>
        <v/>
      </c>
      <c r="E77" s="17">
        <f>IFERROR(INDEX(M_RawMaterials[基準在庫上限_要入力],MATCH($A77,M_RawMaterials[Part Name],0)),0)</f>
        <v/>
      </c>
      <c r="F77" s="17">
        <f>IFERROR(LOOKUP(2,1/('T_SelfStock'!$B$41:$DA$41&lt;&gt;""),'T_SelfStock'!$B$41:$DA$41),"")</f>
        <v/>
      </c>
      <c r="G77" s="17">
        <f>IFERROR(LOOKUP(2,1/('T_TTAFStock'!$B$41:$DA$41&lt;&gt;""),'T_TTAFStock'!$B$41:$DA$41),"")</f>
        <v/>
      </c>
      <c r="H77" s="17">
        <f>IFERROR(LOOKUP(2,1/('T_SelfStock'!$B$41:$DA$41&lt;&gt;""),'T_SelfStock'!$B$5:$DA$5),"")</f>
        <v/>
      </c>
      <c r="I77" s="18" t="inlineStr">
        <is>
          <t>理論在庫</t>
        </is>
      </c>
      <c r="J77" s="17">
        <f>'Grid_Stock'!DA37-'Grid_TheoreticalStock'!DA37</f>
        <v/>
      </c>
      <c r="K77" s="18">
        <f>'Grid_TheoreticalStock'!B37</f>
        <v/>
      </c>
      <c r="L77" s="18">
        <f>'Grid_TheoreticalStock'!C37</f>
        <v/>
      </c>
      <c r="M77" s="18">
        <f>'Grid_TheoreticalStock'!D37</f>
        <v/>
      </c>
      <c r="N77" s="18">
        <f>'Grid_TheoreticalStock'!E37</f>
        <v/>
      </c>
      <c r="O77" s="18">
        <f>'Grid_TheoreticalStock'!F37</f>
        <v/>
      </c>
      <c r="P77" s="18">
        <f>'Grid_TheoreticalStock'!G37</f>
        <v/>
      </c>
      <c r="Q77" s="18">
        <f>'Grid_TheoreticalStock'!H37</f>
        <v/>
      </c>
      <c r="R77" s="18">
        <f>'Grid_TheoreticalStock'!I37</f>
        <v/>
      </c>
      <c r="S77" s="18">
        <f>'Grid_TheoreticalStock'!J37</f>
        <v/>
      </c>
      <c r="T77" s="18">
        <f>'Grid_TheoreticalStock'!K37</f>
        <v/>
      </c>
      <c r="U77" s="18">
        <f>'Grid_TheoreticalStock'!L37</f>
        <v/>
      </c>
      <c r="V77" s="18">
        <f>'Grid_TheoreticalStock'!M37</f>
        <v/>
      </c>
      <c r="W77" s="18">
        <f>'Grid_TheoreticalStock'!N37</f>
        <v/>
      </c>
      <c r="X77" s="18">
        <f>'Grid_TheoreticalStock'!O37</f>
        <v/>
      </c>
      <c r="Y77" s="18">
        <f>'Grid_TheoreticalStock'!P37</f>
        <v/>
      </c>
      <c r="Z77" s="18">
        <f>'Grid_TheoreticalStock'!Q37</f>
        <v/>
      </c>
      <c r="AA77" s="18">
        <f>'Grid_TheoreticalStock'!R37</f>
        <v/>
      </c>
      <c r="AB77" s="18">
        <f>'Grid_TheoreticalStock'!S37</f>
        <v/>
      </c>
      <c r="AC77" s="18">
        <f>'Grid_TheoreticalStock'!T37</f>
        <v/>
      </c>
      <c r="AD77" s="18">
        <f>'Grid_TheoreticalStock'!U37</f>
        <v/>
      </c>
      <c r="AE77" s="18">
        <f>'Grid_TheoreticalStock'!V37</f>
        <v/>
      </c>
      <c r="AF77" s="18">
        <f>'Grid_TheoreticalStock'!W37</f>
        <v/>
      </c>
      <c r="AG77" s="18">
        <f>'Grid_TheoreticalStock'!X37</f>
        <v/>
      </c>
      <c r="AH77" s="18">
        <f>'Grid_TheoreticalStock'!Y37</f>
        <v/>
      </c>
      <c r="AI77" s="18">
        <f>'Grid_TheoreticalStock'!Z37</f>
        <v/>
      </c>
      <c r="AJ77" s="18">
        <f>'Grid_TheoreticalStock'!AA37</f>
        <v/>
      </c>
      <c r="AK77" s="18">
        <f>'Grid_TheoreticalStock'!AB37</f>
        <v/>
      </c>
      <c r="AL77" s="18">
        <f>'Grid_TheoreticalStock'!AC37</f>
        <v/>
      </c>
      <c r="AM77" s="18">
        <f>'Grid_TheoreticalStock'!AD37</f>
        <v/>
      </c>
      <c r="AN77" s="18">
        <f>'Grid_TheoreticalStock'!AE37</f>
        <v/>
      </c>
      <c r="AO77" s="18">
        <f>'Grid_TheoreticalStock'!AF37</f>
        <v/>
      </c>
      <c r="AP77" s="18">
        <f>'Grid_TheoreticalStock'!AG37</f>
        <v/>
      </c>
      <c r="AQ77" s="18">
        <f>'Grid_TheoreticalStock'!AH37</f>
        <v/>
      </c>
      <c r="AR77" s="18">
        <f>'Grid_TheoreticalStock'!AI37</f>
        <v/>
      </c>
      <c r="AS77" s="18">
        <f>'Grid_TheoreticalStock'!AJ37</f>
        <v/>
      </c>
      <c r="AT77" s="18">
        <f>'Grid_TheoreticalStock'!AK37</f>
        <v/>
      </c>
      <c r="AU77" s="18">
        <f>'Grid_TheoreticalStock'!AL37</f>
        <v/>
      </c>
      <c r="AV77" s="18">
        <f>'Grid_TheoreticalStock'!AM37</f>
        <v/>
      </c>
      <c r="AW77" s="18">
        <f>'Grid_TheoreticalStock'!AN37</f>
        <v/>
      </c>
      <c r="AX77" s="18">
        <f>'Grid_TheoreticalStock'!AO37</f>
        <v/>
      </c>
      <c r="AY77" s="18">
        <f>'Grid_TheoreticalStock'!AP37</f>
        <v/>
      </c>
      <c r="AZ77" s="18">
        <f>'Grid_TheoreticalStock'!AQ37</f>
        <v/>
      </c>
      <c r="BA77" s="18">
        <f>'Grid_TheoreticalStock'!AR37</f>
        <v/>
      </c>
      <c r="BB77" s="18">
        <f>'Grid_TheoreticalStock'!AS37</f>
        <v/>
      </c>
      <c r="BC77" s="18">
        <f>'Grid_TheoreticalStock'!AT37</f>
        <v/>
      </c>
      <c r="BD77" s="18">
        <f>'Grid_TheoreticalStock'!AU37</f>
        <v/>
      </c>
      <c r="BE77" s="18">
        <f>'Grid_TheoreticalStock'!AV37</f>
        <v/>
      </c>
      <c r="BF77" s="18">
        <f>'Grid_TheoreticalStock'!AW37</f>
        <v/>
      </c>
      <c r="BG77" s="18">
        <f>'Grid_TheoreticalStock'!AX37</f>
        <v/>
      </c>
      <c r="BH77" s="18">
        <f>'Grid_TheoreticalStock'!AY37</f>
        <v/>
      </c>
      <c r="BI77" s="18">
        <f>'Grid_TheoreticalStock'!AZ37</f>
        <v/>
      </c>
      <c r="BJ77" s="18">
        <f>'Grid_TheoreticalStock'!BA37</f>
        <v/>
      </c>
      <c r="BK77" s="18">
        <f>'Grid_TheoreticalStock'!BB37</f>
        <v/>
      </c>
      <c r="BL77" s="18">
        <f>'Grid_TheoreticalStock'!BC37</f>
        <v/>
      </c>
      <c r="BM77" s="18">
        <f>'Grid_TheoreticalStock'!BD37</f>
        <v/>
      </c>
      <c r="BN77" s="18">
        <f>'Grid_TheoreticalStock'!BE37</f>
        <v/>
      </c>
      <c r="BO77" s="18">
        <f>'Grid_TheoreticalStock'!BF37</f>
        <v/>
      </c>
      <c r="BP77" s="18">
        <f>'Grid_TheoreticalStock'!BG37</f>
        <v/>
      </c>
      <c r="BQ77" s="18">
        <f>'Grid_TheoreticalStock'!BH37</f>
        <v/>
      </c>
      <c r="BR77" s="18">
        <f>'Grid_TheoreticalStock'!BI37</f>
        <v/>
      </c>
      <c r="BS77" s="18">
        <f>'Grid_TheoreticalStock'!BJ37</f>
        <v/>
      </c>
      <c r="BT77" s="18">
        <f>'Grid_TheoreticalStock'!BK37</f>
        <v/>
      </c>
      <c r="BU77" s="18">
        <f>'Grid_TheoreticalStock'!BL37</f>
        <v/>
      </c>
      <c r="BV77" s="18">
        <f>'Grid_TheoreticalStock'!BM37</f>
        <v/>
      </c>
      <c r="BW77" s="18">
        <f>'Grid_TheoreticalStock'!BN37</f>
        <v/>
      </c>
      <c r="BX77" s="18">
        <f>'Grid_TheoreticalStock'!BO37</f>
        <v/>
      </c>
      <c r="BY77" s="18">
        <f>'Grid_TheoreticalStock'!BP37</f>
        <v/>
      </c>
      <c r="BZ77" s="18">
        <f>'Grid_TheoreticalStock'!BQ37</f>
        <v/>
      </c>
      <c r="CA77" s="18">
        <f>'Grid_TheoreticalStock'!BR37</f>
        <v/>
      </c>
      <c r="CB77" s="18">
        <f>'Grid_TheoreticalStock'!BS37</f>
        <v/>
      </c>
      <c r="CC77" s="18">
        <f>'Grid_TheoreticalStock'!BT37</f>
        <v/>
      </c>
      <c r="CD77" s="18">
        <f>'Grid_TheoreticalStock'!BU37</f>
        <v/>
      </c>
      <c r="CE77" s="18">
        <f>'Grid_TheoreticalStock'!BV37</f>
        <v/>
      </c>
      <c r="CF77" s="18">
        <f>'Grid_TheoreticalStock'!BW37</f>
        <v/>
      </c>
      <c r="CG77" s="18">
        <f>'Grid_TheoreticalStock'!BX37</f>
        <v/>
      </c>
      <c r="CH77" s="18">
        <f>'Grid_TheoreticalStock'!BY37</f>
        <v/>
      </c>
      <c r="CI77" s="18">
        <f>'Grid_TheoreticalStock'!BZ37</f>
        <v/>
      </c>
      <c r="CJ77" s="18">
        <f>'Grid_TheoreticalStock'!CA37</f>
        <v/>
      </c>
      <c r="CK77" s="18">
        <f>'Grid_TheoreticalStock'!CB37</f>
        <v/>
      </c>
      <c r="CL77" s="18">
        <f>'Grid_TheoreticalStock'!CC37</f>
        <v/>
      </c>
      <c r="CM77" s="18">
        <f>'Grid_TheoreticalStock'!CD37</f>
        <v/>
      </c>
      <c r="CN77" s="18">
        <f>'Grid_TheoreticalStock'!CE37</f>
        <v/>
      </c>
      <c r="CO77" s="18">
        <f>'Grid_TheoreticalStock'!CF37</f>
        <v/>
      </c>
      <c r="CP77" s="18">
        <f>'Grid_TheoreticalStock'!CG37</f>
        <v/>
      </c>
      <c r="CQ77" s="18">
        <f>'Grid_TheoreticalStock'!CH37</f>
        <v/>
      </c>
      <c r="CR77" s="18">
        <f>'Grid_TheoreticalStock'!CI37</f>
        <v/>
      </c>
      <c r="CS77" s="18">
        <f>'Grid_TheoreticalStock'!CJ37</f>
        <v/>
      </c>
      <c r="CT77" s="18">
        <f>'Grid_TheoreticalStock'!CK37</f>
        <v/>
      </c>
      <c r="CU77" s="18">
        <f>'Grid_TheoreticalStock'!CL37</f>
        <v/>
      </c>
      <c r="CV77" s="18">
        <f>'Grid_TheoreticalStock'!CM37</f>
        <v/>
      </c>
      <c r="CW77" s="18">
        <f>'Grid_TheoreticalStock'!CN37</f>
        <v/>
      </c>
      <c r="CX77" s="18">
        <f>'Grid_TheoreticalStock'!CO37</f>
        <v/>
      </c>
      <c r="CY77" s="18">
        <f>'Grid_TheoreticalStock'!CP37</f>
        <v/>
      </c>
      <c r="CZ77" s="18">
        <f>'Grid_TheoreticalStock'!CQ37</f>
        <v/>
      </c>
      <c r="DA77" s="18">
        <f>'Grid_TheoreticalStock'!CR37</f>
        <v/>
      </c>
      <c r="DB77" s="18">
        <f>'Grid_TheoreticalStock'!CS37</f>
        <v/>
      </c>
      <c r="DC77" s="18">
        <f>'Grid_TheoreticalStock'!CT37</f>
        <v/>
      </c>
      <c r="DD77" s="18">
        <f>'Grid_TheoreticalStock'!CU37</f>
        <v/>
      </c>
      <c r="DE77" s="18">
        <f>'Grid_TheoreticalStock'!CV37</f>
        <v/>
      </c>
      <c r="DF77" s="18">
        <f>'Grid_TheoreticalStock'!CW37</f>
        <v/>
      </c>
      <c r="DG77" s="18">
        <f>'Grid_TheoreticalStock'!CX37</f>
        <v/>
      </c>
      <c r="DH77" s="18">
        <f>'Grid_TheoreticalStock'!CY37</f>
        <v/>
      </c>
      <c r="DI77" s="18">
        <f>'Grid_TheoreticalStock'!CZ37</f>
        <v/>
      </c>
      <c r="DJ77" s="18">
        <f>'Grid_TheoreticalStock'!DA37</f>
        <v/>
      </c>
    </row>
    <row r="78">
      <c r="A78" s="19" t="inlineStr">
        <is>
          <t>CHEM-1530</t>
        </is>
      </c>
      <c r="B78" s="19">
        <f>IFERROR(INDEX(M_RawMaterials[Description],MATCH($A78,M_RawMaterials[Part Name],0)),"")</f>
        <v/>
      </c>
      <c r="C78" s="19">
        <f>IFERROR(INDEX(M_RawMaterials[Category],MATCH($A78,M_RawMaterials[Part Name],0)),"")</f>
        <v/>
      </c>
      <c r="D78" s="19">
        <f>IFERROR(INDEX(M_RawMaterials[基準在庫下限_要入力],MATCH($A78,M_RawMaterials[Part Name],0)),0)</f>
        <v/>
      </c>
      <c r="E78" s="19">
        <f>IFERROR(INDEX(M_RawMaterials[基準在庫上限_要入力],MATCH($A78,M_RawMaterials[Part Name],0)),0)</f>
        <v/>
      </c>
      <c r="F78" s="19">
        <f>IFERROR(LOOKUP(2,1/('T_SelfStock'!$B$41:$DA$41&lt;&gt;""),'T_SelfStock'!$B$41:$DA$41),"")</f>
        <v/>
      </c>
      <c r="G78" s="19">
        <f>IFERROR(LOOKUP(2,1/('T_TTAFStock'!$B$41:$DA$41&lt;&gt;""),'T_TTAFStock'!$B$41:$DA$41),"")</f>
        <v/>
      </c>
      <c r="H78" s="19">
        <f>IFERROR(LOOKUP(2,1/('T_SelfStock'!$B$41:$DA$41&lt;&gt;""),'T_SelfStock'!$B$5:$DA$5),"")</f>
        <v/>
      </c>
      <c r="I78" s="20" t="inlineStr">
        <is>
          <t>実在庫</t>
        </is>
      </c>
      <c r="J78" s="19">
        <f>'Grid_Stock'!DA37-'Grid_TheoreticalStock'!DA37</f>
        <v/>
      </c>
      <c r="K78" s="19">
        <f>'Grid_Stock'!B37</f>
        <v/>
      </c>
      <c r="L78" s="19">
        <f>'Grid_Stock'!C37</f>
        <v/>
      </c>
      <c r="M78" s="19">
        <f>'Grid_Stock'!D37</f>
        <v/>
      </c>
      <c r="N78" s="19">
        <f>'Grid_Stock'!E37</f>
        <v/>
      </c>
      <c r="O78" s="19">
        <f>'Grid_Stock'!F37</f>
        <v/>
      </c>
      <c r="P78" s="19">
        <f>'Grid_Stock'!G37</f>
        <v/>
      </c>
      <c r="Q78" s="19">
        <f>'Grid_Stock'!H37</f>
        <v/>
      </c>
      <c r="R78" s="19">
        <f>'Grid_Stock'!I37</f>
        <v/>
      </c>
      <c r="S78" s="19">
        <f>'Grid_Stock'!J37</f>
        <v/>
      </c>
      <c r="T78" s="19">
        <f>'Grid_Stock'!K37</f>
        <v/>
      </c>
      <c r="U78" s="19">
        <f>'Grid_Stock'!L37</f>
        <v/>
      </c>
      <c r="V78" s="19">
        <f>'Grid_Stock'!M37</f>
        <v/>
      </c>
      <c r="W78" s="19">
        <f>'Grid_Stock'!N37</f>
        <v/>
      </c>
      <c r="X78" s="19">
        <f>'Grid_Stock'!O37</f>
        <v/>
      </c>
      <c r="Y78" s="19">
        <f>'Grid_Stock'!P37</f>
        <v/>
      </c>
      <c r="Z78" s="19">
        <f>'Grid_Stock'!Q37</f>
        <v/>
      </c>
      <c r="AA78" s="19">
        <f>'Grid_Stock'!R37</f>
        <v/>
      </c>
      <c r="AB78" s="19">
        <f>'Grid_Stock'!S37</f>
        <v/>
      </c>
      <c r="AC78" s="19">
        <f>'Grid_Stock'!T37</f>
        <v/>
      </c>
      <c r="AD78" s="19">
        <f>'Grid_Stock'!U37</f>
        <v/>
      </c>
      <c r="AE78" s="19">
        <f>'Grid_Stock'!V37</f>
        <v/>
      </c>
      <c r="AF78" s="19">
        <f>'Grid_Stock'!W37</f>
        <v/>
      </c>
      <c r="AG78" s="19">
        <f>'Grid_Stock'!X37</f>
        <v/>
      </c>
      <c r="AH78" s="19">
        <f>'Grid_Stock'!Y37</f>
        <v/>
      </c>
      <c r="AI78" s="19">
        <f>'Grid_Stock'!Z37</f>
        <v/>
      </c>
      <c r="AJ78" s="19">
        <f>'Grid_Stock'!AA37</f>
        <v/>
      </c>
      <c r="AK78" s="19">
        <f>'Grid_Stock'!AB37</f>
        <v/>
      </c>
      <c r="AL78" s="19">
        <f>'Grid_Stock'!AC37</f>
        <v/>
      </c>
      <c r="AM78" s="19">
        <f>'Grid_Stock'!AD37</f>
        <v/>
      </c>
      <c r="AN78" s="19">
        <f>'Grid_Stock'!AE37</f>
        <v/>
      </c>
      <c r="AO78" s="19">
        <f>'Grid_Stock'!AF37</f>
        <v/>
      </c>
      <c r="AP78" s="19">
        <f>'Grid_Stock'!AG37</f>
        <v/>
      </c>
      <c r="AQ78" s="19">
        <f>'Grid_Stock'!AH37</f>
        <v/>
      </c>
      <c r="AR78" s="19">
        <f>'Grid_Stock'!AI37</f>
        <v/>
      </c>
      <c r="AS78" s="19">
        <f>'Grid_Stock'!AJ37</f>
        <v/>
      </c>
      <c r="AT78" s="19">
        <f>'Grid_Stock'!AK37</f>
        <v/>
      </c>
      <c r="AU78" s="19">
        <f>'Grid_Stock'!AL37</f>
        <v/>
      </c>
      <c r="AV78" s="19">
        <f>'Grid_Stock'!AM37</f>
        <v/>
      </c>
      <c r="AW78" s="19">
        <f>'Grid_Stock'!AN37</f>
        <v/>
      </c>
      <c r="AX78" s="19">
        <f>'Grid_Stock'!AO37</f>
        <v/>
      </c>
      <c r="AY78" s="19">
        <f>'Grid_Stock'!AP37</f>
        <v/>
      </c>
      <c r="AZ78" s="19">
        <f>'Grid_Stock'!AQ37</f>
        <v/>
      </c>
      <c r="BA78" s="19">
        <f>'Grid_Stock'!AR37</f>
        <v/>
      </c>
      <c r="BB78" s="19">
        <f>'Grid_Stock'!AS37</f>
        <v/>
      </c>
      <c r="BC78" s="19">
        <f>'Grid_Stock'!AT37</f>
        <v/>
      </c>
      <c r="BD78" s="19">
        <f>'Grid_Stock'!AU37</f>
        <v/>
      </c>
      <c r="BE78" s="19">
        <f>'Grid_Stock'!AV37</f>
        <v/>
      </c>
      <c r="BF78" s="19">
        <f>'Grid_Stock'!AW37</f>
        <v/>
      </c>
      <c r="BG78" s="19">
        <f>'Grid_Stock'!AX37</f>
        <v/>
      </c>
      <c r="BH78" s="19">
        <f>'Grid_Stock'!AY37</f>
        <v/>
      </c>
      <c r="BI78" s="19">
        <f>'Grid_Stock'!AZ37</f>
        <v/>
      </c>
      <c r="BJ78" s="19">
        <f>'Grid_Stock'!BA37</f>
        <v/>
      </c>
      <c r="BK78" s="19">
        <f>'Grid_Stock'!BB37</f>
        <v/>
      </c>
      <c r="BL78" s="19">
        <f>'Grid_Stock'!BC37</f>
        <v/>
      </c>
      <c r="BM78" s="19">
        <f>'Grid_Stock'!BD37</f>
        <v/>
      </c>
      <c r="BN78" s="19">
        <f>'Grid_Stock'!BE37</f>
        <v/>
      </c>
      <c r="BO78" s="19">
        <f>'Grid_Stock'!BF37</f>
        <v/>
      </c>
      <c r="BP78" s="19">
        <f>'Grid_Stock'!BG37</f>
        <v/>
      </c>
      <c r="BQ78" s="19">
        <f>'Grid_Stock'!BH37</f>
        <v/>
      </c>
      <c r="BR78" s="19">
        <f>'Grid_Stock'!BI37</f>
        <v/>
      </c>
      <c r="BS78" s="19">
        <f>'Grid_Stock'!BJ37</f>
        <v/>
      </c>
      <c r="BT78" s="19">
        <f>'Grid_Stock'!BK37</f>
        <v/>
      </c>
      <c r="BU78" s="19">
        <f>'Grid_Stock'!BL37</f>
        <v/>
      </c>
      <c r="BV78" s="19">
        <f>'Grid_Stock'!BM37</f>
        <v/>
      </c>
      <c r="BW78" s="19">
        <f>'Grid_Stock'!BN37</f>
        <v/>
      </c>
      <c r="BX78" s="19">
        <f>'Grid_Stock'!BO37</f>
        <v/>
      </c>
      <c r="BY78" s="19">
        <f>'Grid_Stock'!BP37</f>
        <v/>
      </c>
      <c r="BZ78" s="19">
        <f>'Grid_Stock'!BQ37</f>
        <v/>
      </c>
      <c r="CA78" s="19">
        <f>'Grid_Stock'!BR37</f>
        <v/>
      </c>
      <c r="CB78" s="19">
        <f>'Grid_Stock'!BS37</f>
        <v/>
      </c>
      <c r="CC78" s="19">
        <f>'Grid_Stock'!BT37</f>
        <v/>
      </c>
      <c r="CD78" s="19">
        <f>'Grid_Stock'!BU37</f>
        <v/>
      </c>
      <c r="CE78" s="19">
        <f>'Grid_Stock'!BV37</f>
        <v/>
      </c>
      <c r="CF78" s="19">
        <f>'Grid_Stock'!BW37</f>
        <v/>
      </c>
      <c r="CG78" s="19">
        <f>'Grid_Stock'!BX37</f>
        <v/>
      </c>
      <c r="CH78" s="19">
        <f>'Grid_Stock'!BY37</f>
        <v/>
      </c>
      <c r="CI78" s="19">
        <f>'Grid_Stock'!BZ37</f>
        <v/>
      </c>
      <c r="CJ78" s="19">
        <f>'Grid_Stock'!CA37</f>
        <v/>
      </c>
      <c r="CK78" s="19">
        <f>'Grid_Stock'!CB37</f>
        <v/>
      </c>
      <c r="CL78" s="19">
        <f>'Grid_Stock'!CC37</f>
        <v/>
      </c>
      <c r="CM78" s="19">
        <f>'Grid_Stock'!CD37</f>
        <v/>
      </c>
      <c r="CN78" s="19">
        <f>'Grid_Stock'!CE37</f>
        <v/>
      </c>
      <c r="CO78" s="19">
        <f>'Grid_Stock'!CF37</f>
        <v/>
      </c>
      <c r="CP78" s="19">
        <f>'Grid_Stock'!CG37</f>
        <v/>
      </c>
      <c r="CQ78" s="19">
        <f>'Grid_Stock'!CH37</f>
        <v/>
      </c>
      <c r="CR78" s="19">
        <f>'Grid_Stock'!CI37</f>
        <v/>
      </c>
      <c r="CS78" s="19">
        <f>'Grid_Stock'!CJ37</f>
        <v/>
      </c>
      <c r="CT78" s="19">
        <f>'Grid_Stock'!CK37</f>
        <v/>
      </c>
      <c r="CU78" s="19">
        <f>'Grid_Stock'!CL37</f>
        <v/>
      </c>
      <c r="CV78" s="19">
        <f>'Grid_Stock'!CM37</f>
        <v/>
      </c>
      <c r="CW78" s="19">
        <f>'Grid_Stock'!CN37</f>
        <v/>
      </c>
      <c r="CX78" s="19">
        <f>'Grid_Stock'!CO37</f>
        <v/>
      </c>
      <c r="CY78" s="19">
        <f>'Grid_Stock'!CP37</f>
        <v/>
      </c>
      <c r="CZ78" s="19">
        <f>'Grid_Stock'!CQ37</f>
        <v/>
      </c>
      <c r="DA78" s="19">
        <f>'Grid_Stock'!CR37</f>
        <v/>
      </c>
      <c r="DB78" s="19">
        <f>'Grid_Stock'!CS37</f>
        <v/>
      </c>
      <c r="DC78" s="19">
        <f>'Grid_Stock'!CT37</f>
        <v/>
      </c>
      <c r="DD78" s="19">
        <f>'Grid_Stock'!CU37</f>
        <v/>
      </c>
      <c r="DE78" s="19">
        <f>'Grid_Stock'!CV37</f>
        <v/>
      </c>
      <c r="DF78" s="19">
        <f>'Grid_Stock'!CW37</f>
        <v/>
      </c>
      <c r="DG78" s="19">
        <f>'Grid_Stock'!CX37</f>
        <v/>
      </c>
      <c r="DH78" s="19">
        <f>'Grid_Stock'!CY37</f>
        <v/>
      </c>
      <c r="DI78" s="19">
        <f>'Grid_Stock'!CZ37</f>
        <v/>
      </c>
      <c r="DJ78" s="19">
        <f>'Grid_Stock'!DA37</f>
        <v/>
      </c>
    </row>
    <row r="79">
      <c r="A79" s="17" t="inlineStr">
        <is>
          <t>CHEM-1480</t>
        </is>
      </c>
      <c r="B79" s="17">
        <f>IFERROR(INDEX(M_RawMaterials[Description],MATCH($A79,M_RawMaterials[Part Name],0)),"")</f>
        <v/>
      </c>
      <c r="C79" s="17">
        <f>IFERROR(INDEX(M_RawMaterials[Category],MATCH($A79,M_RawMaterials[Part Name],0)),"")</f>
        <v/>
      </c>
      <c r="D79" s="17">
        <f>IFERROR(INDEX(M_RawMaterials[基準在庫下限_要入力],MATCH($A79,M_RawMaterials[Part Name],0)),0)</f>
        <v/>
      </c>
      <c r="E79" s="17">
        <f>IFERROR(INDEX(M_RawMaterials[基準在庫上限_要入力],MATCH($A79,M_RawMaterials[Part Name],0)),0)</f>
        <v/>
      </c>
      <c r="F79" s="17">
        <f>IFERROR(LOOKUP(2,1/('T_SelfStock'!$B$42:$DA$42&lt;&gt;""),'T_SelfStock'!$B$42:$DA$42),"")</f>
        <v/>
      </c>
      <c r="G79" s="17">
        <f>IFERROR(LOOKUP(2,1/('T_TTAFStock'!$B$42:$DA$42&lt;&gt;""),'T_TTAFStock'!$B$42:$DA$42),"")</f>
        <v/>
      </c>
      <c r="H79" s="17">
        <f>IFERROR(LOOKUP(2,1/('T_SelfStock'!$B$42:$DA$42&lt;&gt;""),'T_SelfStock'!$B$5:$DA$5),"")</f>
        <v/>
      </c>
      <c r="I79" s="18" t="inlineStr">
        <is>
          <t>理論在庫</t>
        </is>
      </c>
      <c r="J79" s="17">
        <f>'Grid_Stock'!DA38-'Grid_TheoreticalStock'!DA38</f>
        <v/>
      </c>
      <c r="K79" s="18">
        <f>'Grid_TheoreticalStock'!B38</f>
        <v/>
      </c>
      <c r="L79" s="18">
        <f>'Grid_TheoreticalStock'!C38</f>
        <v/>
      </c>
      <c r="M79" s="18">
        <f>'Grid_TheoreticalStock'!D38</f>
        <v/>
      </c>
      <c r="N79" s="18">
        <f>'Grid_TheoreticalStock'!E38</f>
        <v/>
      </c>
      <c r="O79" s="18">
        <f>'Grid_TheoreticalStock'!F38</f>
        <v/>
      </c>
      <c r="P79" s="18">
        <f>'Grid_TheoreticalStock'!G38</f>
        <v/>
      </c>
      <c r="Q79" s="18">
        <f>'Grid_TheoreticalStock'!H38</f>
        <v/>
      </c>
      <c r="R79" s="18">
        <f>'Grid_TheoreticalStock'!I38</f>
        <v/>
      </c>
      <c r="S79" s="18">
        <f>'Grid_TheoreticalStock'!J38</f>
        <v/>
      </c>
      <c r="T79" s="18">
        <f>'Grid_TheoreticalStock'!K38</f>
        <v/>
      </c>
      <c r="U79" s="18">
        <f>'Grid_TheoreticalStock'!L38</f>
        <v/>
      </c>
      <c r="V79" s="18">
        <f>'Grid_TheoreticalStock'!M38</f>
        <v/>
      </c>
      <c r="W79" s="18">
        <f>'Grid_TheoreticalStock'!N38</f>
        <v/>
      </c>
      <c r="X79" s="18">
        <f>'Grid_TheoreticalStock'!O38</f>
        <v/>
      </c>
      <c r="Y79" s="18">
        <f>'Grid_TheoreticalStock'!P38</f>
        <v/>
      </c>
      <c r="Z79" s="18">
        <f>'Grid_TheoreticalStock'!Q38</f>
        <v/>
      </c>
      <c r="AA79" s="18">
        <f>'Grid_TheoreticalStock'!R38</f>
        <v/>
      </c>
      <c r="AB79" s="18">
        <f>'Grid_TheoreticalStock'!S38</f>
        <v/>
      </c>
      <c r="AC79" s="18">
        <f>'Grid_TheoreticalStock'!T38</f>
        <v/>
      </c>
      <c r="AD79" s="18">
        <f>'Grid_TheoreticalStock'!U38</f>
        <v/>
      </c>
      <c r="AE79" s="18">
        <f>'Grid_TheoreticalStock'!V38</f>
        <v/>
      </c>
      <c r="AF79" s="18">
        <f>'Grid_TheoreticalStock'!W38</f>
        <v/>
      </c>
      <c r="AG79" s="18">
        <f>'Grid_TheoreticalStock'!X38</f>
        <v/>
      </c>
      <c r="AH79" s="18">
        <f>'Grid_TheoreticalStock'!Y38</f>
        <v/>
      </c>
      <c r="AI79" s="18">
        <f>'Grid_TheoreticalStock'!Z38</f>
        <v/>
      </c>
      <c r="AJ79" s="18">
        <f>'Grid_TheoreticalStock'!AA38</f>
        <v/>
      </c>
      <c r="AK79" s="18">
        <f>'Grid_TheoreticalStock'!AB38</f>
        <v/>
      </c>
      <c r="AL79" s="18">
        <f>'Grid_TheoreticalStock'!AC38</f>
        <v/>
      </c>
      <c r="AM79" s="18">
        <f>'Grid_TheoreticalStock'!AD38</f>
        <v/>
      </c>
      <c r="AN79" s="18">
        <f>'Grid_TheoreticalStock'!AE38</f>
        <v/>
      </c>
      <c r="AO79" s="18">
        <f>'Grid_TheoreticalStock'!AF38</f>
        <v/>
      </c>
      <c r="AP79" s="18">
        <f>'Grid_TheoreticalStock'!AG38</f>
        <v/>
      </c>
      <c r="AQ79" s="18">
        <f>'Grid_TheoreticalStock'!AH38</f>
        <v/>
      </c>
      <c r="AR79" s="18">
        <f>'Grid_TheoreticalStock'!AI38</f>
        <v/>
      </c>
      <c r="AS79" s="18">
        <f>'Grid_TheoreticalStock'!AJ38</f>
        <v/>
      </c>
      <c r="AT79" s="18">
        <f>'Grid_TheoreticalStock'!AK38</f>
        <v/>
      </c>
      <c r="AU79" s="18">
        <f>'Grid_TheoreticalStock'!AL38</f>
        <v/>
      </c>
      <c r="AV79" s="18">
        <f>'Grid_TheoreticalStock'!AM38</f>
        <v/>
      </c>
      <c r="AW79" s="18">
        <f>'Grid_TheoreticalStock'!AN38</f>
        <v/>
      </c>
      <c r="AX79" s="18">
        <f>'Grid_TheoreticalStock'!AO38</f>
        <v/>
      </c>
      <c r="AY79" s="18">
        <f>'Grid_TheoreticalStock'!AP38</f>
        <v/>
      </c>
      <c r="AZ79" s="18">
        <f>'Grid_TheoreticalStock'!AQ38</f>
        <v/>
      </c>
      <c r="BA79" s="18">
        <f>'Grid_TheoreticalStock'!AR38</f>
        <v/>
      </c>
      <c r="BB79" s="18">
        <f>'Grid_TheoreticalStock'!AS38</f>
        <v/>
      </c>
      <c r="BC79" s="18">
        <f>'Grid_TheoreticalStock'!AT38</f>
        <v/>
      </c>
      <c r="BD79" s="18">
        <f>'Grid_TheoreticalStock'!AU38</f>
        <v/>
      </c>
      <c r="BE79" s="18">
        <f>'Grid_TheoreticalStock'!AV38</f>
        <v/>
      </c>
      <c r="BF79" s="18">
        <f>'Grid_TheoreticalStock'!AW38</f>
        <v/>
      </c>
      <c r="BG79" s="18">
        <f>'Grid_TheoreticalStock'!AX38</f>
        <v/>
      </c>
      <c r="BH79" s="18">
        <f>'Grid_TheoreticalStock'!AY38</f>
        <v/>
      </c>
      <c r="BI79" s="18">
        <f>'Grid_TheoreticalStock'!AZ38</f>
        <v/>
      </c>
      <c r="BJ79" s="18">
        <f>'Grid_TheoreticalStock'!BA38</f>
        <v/>
      </c>
      <c r="BK79" s="18">
        <f>'Grid_TheoreticalStock'!BB38</f>
        <v/>
      </c>
      <c r="BL79" s="18">
        <f>'Grid_TheoreticalStock'!BC38</f>
        <v/>
      </c>
      <c r="BM79" s="18">
        <f>'Grid_TheoreticalStock'!BD38</f>
        <v/>
      </c>
      <c r="BN79" s="18">
        <f>'Grid_TheoreticalStock'!BE38</f>
        <v/>
      </c>
      <c r="BO79" s="18">
        <f>'Grid_TheoreticalStock'!BF38</f>
        <v/>
      </c>
      <c r="BP79" s="18">
        <f>'Grid_TheoreticalStock'!BG38</f>
        <v/>
      </c>
      <c r="BQ79" s="18">
        <f>'Grid_TheoreticalStock'!BH38</f>
        <v/>
      </c>
      <c r="BR79" s="18">
        <f>'Grid_TheoreticalStock'!BI38</f>
        <v/>
      </c>
      <c r="BS79" s="18">
        <f>'Grid_TheoreticalStock'!BJ38</f>
        <v/>
      </c>
      <c r="BT79" s="18">
        <f>'Grid_TheoreticalStock'!BK38</f>
        <v/>
      </c>
      <c r="BU79" s="18">
        <f>'Grid_TheoreticalStock'!BL38</f>
        <v/>
      </c>
      <c r="BV79" s="18">
        <f>'Grid_TheoreticalStock'!BM38</f>
        <v/>
      </c>
      <c r="BW79" s="18">
        <f>'Grid_TheoreticalStock'!BN38</f>
        <v/>
      </c>
      <c r="BX79" s="18">
        <f>'Grid_TheoreticalStock'!BO38</f>
        <v/>
      </c>
      <c r="BY79" s="18">
        <f>'Grid_TheoreticalStock'!BP38</f>
        <v/>
      </c>
      <c r="BZ79" s="18">
        <f>'Grid_TheoreticalStock'!BQ38</f>
        <v/>
      </c>
      <c r="CA79" s="18">
        <f>'Grid_TheoreticalStock'!BR38</f>
        <v/>
      </c>
      <c r="CB79" s="18">
        <f>'Grid_TheoreticalStock'!BS38</f>
        <v/>
      </c>
      <c r="CC79" s="18">
        <f>'Grid_TheoreticalStock'!BT38</f>
        <v/>
      </c>
      <c r="CD79" s="18">
        <f>'Grid_TheoreticalStock'!BU38</f>
        <v/>
      </c>
      <c r="CE79" s="18">
        <f>'Grid_TheoreticalStock'!BV38</f>
        <v/>
      </c>
      <c r="CF79" s="18">
        <f>'Grid_TheoreticalStock'!BW38</f>
        <v/>
      </c>
      <c r="CG79" s="18">
        <f>'Grid_TheoreticalStock'!BX38</f>
        <v/>
      </c>
      <c r="CH79" s="18">
        <f>'Grid_TheoreticalStock'!BY38</f>
        <v/>
      </c>
      <c r="CI79" s="18">
        <f>'Grid_TheoreticalStock'!BZ38</f>
        <v/>
      </c>
      <c r="CJ79" s="18">
        <f>'Grid_TheoreticalStock'!CA38</f>
        <v/>
      </c>
      <c r="CK79" s="18">
        <f>'Grid_TheoreticalStock'!CB38</f>
        <v/>
      </c>
      <c r="CL79" s="18">
        <f>'Grid_TheoreticalStock'!CC38</f>
        <v/>
      </c>
      <c r="CM79" s="18">
        <f>'Grid_TheoreticalStock'!CD38</f>
        <v/>
      </c>
      <c r="CN79" s="18">
        <f>'Grid_TheoreticalStock'!CE38</f>
        <v/>
      </c>
      <c r="CO79" s="18">
        <f>'Grid_TheoreticalStock'!CF38</f>
        <v/>
      </c>
      <c r="CP79" s="18">
        <f>'Grid_TheoreticalStock'!CG38</f>
        <v/>
      </c>
      <c r="CQ79" s="18">
        <f>'Grid_TheoreticalStock'!CH38</f>
        <v/>
      </c>
      <c r="CR79" s="18">
        <f>'Grid_TheoreticalStock'!CI38</f>
        <v/>
      </c>
      <c r="CS79" s="18">
        <f>'Grid_TheoreticalStock'!CJ38</f>
        <v/>
      </c>
      <c r="CT79" s="18">
        <f>'Grid_TheoreticalStock'!CK38</f>
        <v/>
      </c>
      <c r="CU79" s="18">
        <f>'Grid_TheoreticalStock'!CL38</f>
        <v/>
      </c>
      <c r="CV79" s="18">
        <f>'Grid_TheoreticalStock'!CM38</f>
        <v/>
      </c>
      <c r="CW79" s="18">
        <f>'Grid_TheoreticalStock'!CN38</f>
        <v/>
      </c>
      <c r="CX79" s="18">
        <f>'Grid_TheoreticalStock'!CO38</f>
        <v/>
      </c>
      <c r="CY79" s="18">
        <f>'Grid_TheoreticalStock'!CP38</f>
        <v/>
      </c>
      <c r="CZ79" s="18">
        <f>'Grid_TheoreticalStock'!CQ38</f>
        <v/>
      </c>
      <c r="DA79" s="18">
        <f>'Grid_TheoreticalStock'!CR38</f>
        <v/>
      </c>
      <c r="DB79" s="18">
        <f>'Grid_TheoreticalStock'!CS38</f>
        <v/>
      </c>
      <c r="DC79" s="18">
        <f>'Grid_TheoreticalStock'!CT38</f>
        <v/>
      </c>
      <c r="DD79" s="18">
        <f>'Grid_TheoreticalStock'!CU38</f>
        <v/>
      </c>
      <c r="DE79" s="18">
        <f>'Grid_TheoreticalStock'!CV38</f>
        <v/>
      </c>
      <c r="DF79" s="18">
        <f>'Grid_TheoreticalStock'!CW38</f>
        <v/>
      </c>
      <c r="DG79" s="18">
        <f>'Grid_TheoreticalStock'!CX38</f>
        <v/>
      </c>
      <c r="DH79" s="18">
        <f>'Grid_TheoreticalStock'!CY38</f>
        <v/>
      </c>
      <c r="DI79" s="18">
        <f>'Grid_TheoreticalStock'!CZ38</f>
        <v/>
      </c>
      <c r="DJ79" s="18">
        <f>'Grid_TheoreticalStock'!DA38</f>
        <v/>
      </c>
    </row>
    <row r="80">
      <c r="A80" s="19" t="inlineStr">
        <is>
          <t>CHEM-1480</t>
        </is>
      </c>
      <c r="B80" s="19">
        <f>IFERROR(INDEX(M_RawMaterials[Description],MATCH($A80,M_RawMaterials[Part Name],0)),"")</f>
        <v/>
      </c>
      <c r="C80" s="19">
        <f>IFERROR(INDEX(M_RawMaterials[Category],MATCH($A80,M_RawMaterials[Part Name],0)),"")</f>
        <v/>
      </c>
      <c r="D80" s="19">
        <f>IFERROR(INDEX(M_RawMaterials[基準在庫下限_要入力],MATCH($A80,M_RawMaterials[Part Name],0)),0)</f>
        <v/>
      </c>
      <c r="E80" s="19">
        <f>IFERROR(INDEX(M_RawMaterials[基準在庫上限_要入力],MATCH($A80,M_RawMaterials[Part Name],0)),0)</f>
        <v/>
      </c>
      <c r="F80" s="19">
        <f>IFERROR(LOOKUP(2,1/('T_SelfStock'!$B$42:$DA$42&lt;&gt;""),'T_SelfStock'!$B$42:$DA$42),"")</f>
        <v/>
      </c>
      <c r="G80" s="19">
        <f>IFERROR(LOOKUP(2,1/('T_TTAFStock'!$B$42:$DA$42&lt;&gt;""),'T_TTAFStock'!$B$42:$DA$42),"")</f>
        <v/>
      </c>
      <c r="H80" s="19">
        <f>IFERROR(LOOKUP(2,1/('T_SelfStock'!$B$42:$DA$42&lt;&gt;""),'T_SelfStock'!$B$5:$DA$5),"")</f>
        <v/>
      </c>
      <c r="I80" s="20" t="inlineStr">
        <is>
          <t>実在庫</t>
        </is>
      </c>
      <c r="J80" s="19">
        <f>'Grid_Stock'!DA38-'Grid_TheoreticalStock'!DA38</f>
        <v/>
      </c>
      <c r="K80" s="19">
        <f>'Grid_Stock'!B38</f>
        <v/>
      </c>
      <c r="L80" s="19">
        <f>'Grid_Stock'!C38</f>
        <v/>
      </c>
      <c r="M80" s="19">
        <f>'Grid_Stock'!D38</f>
        <v/>
      </c>
      <c r="N80" s="19">
        <f>'Grid_Stock'!E38</f>
        <v/>
      </c>
      <c r="O80" s="19">
        <f>'Grid_Stock'!F38</f>
        <v/>
      </c>
      <c r="P80" s="19">
        <f>'Grid_Stock'!G38</f>
        <v/>
      </c>
      <c r="Q80" s="19">
        <f>'Grid_Stock'!H38</f>
        <v/>
      </c>
      <c r="R80" s="19">
        <f>'Grid_Stock'!I38</f>
        <v/>
      </c>
      <c r="S80" s="19">
        <f>'Grid_Stock'!J38</f>
        <v/>
      </c>
      <c r="T80" s="19">
        <f>'Grid_Stock'!K38</f>
        <v/>
      </c>
      <c r="U80" s="19">
        <f>'Grid_Stock'!L38</f>
        <v/>
      </c>
      <c r="V80" s="19">
        <f>'Grid_Stock'!M38</f>
        <v/>
      </c>
      <c r="W80" s="19">
        <f>'Grid_Stock'!N38</f>
        <v/>
      </c>
      <c r="X80" s="19">
        <f>'Grid_Stock'!O38</f>
        <v/>
      </c>
      <c r="Y80" s="19">
        <f>'Grid_Stock'!P38</f>
        <v/>
      </c>
      <c r="Z80" s="19">
        <f>'Grid_Stock'!Q38</f>
        <v/>
      </c>
      <c r="AA80" s="19">
        <f>'Grid_Stock'!R38</f>
        <v/>
      </c>
      <c r="AB80" s="19">
        <f>'Grid_Stock'!S38</f>
        <v/>
      </c>
      <c r="AC80" s="19">
        <f>'Grid_Stock'!T38</f>
        <v/>
      </c>
      <c r="AD80" s="19">
        <f>'Grid_Stock'!U38</f>
        <v/>
      </c>
      <c r="AE80" s="19">
        <f>'Grid_Stock'!V38</f>
        <v/>
      </c>
      <c r="AF80" s="19">
        <f>'Grid_Stock'!W38</f>
        <v/>
      </c>
      <c r="AG80" s="19">
        <f>'Grid_Stock'!X38</f>
        <v/>
      </c>
      <c r="AH80" s="19">
        <f>'Grid_Stock'!Y38</f>
        <v/>
      </c>
      <c r="AI80" s="19">
        <f>'Grid_Stock'!Z38</f>
        <v/>
      </c>
      <c r="AJ80" s="19">
        <f>'Grid_Stock'!AA38</f>
        <v/>
      </c>
      <c r="AK80" s="19">
        <f>'Grid_Stock'!AB38</f>
        <v/>
      </c>
      <c r="AL80" s="19">
        <f>'Grid_Stock'!AC38</f>
        <v/>
      </c>
      <c r="AM80" s="19">
        <f>'Grid_Stock'!AD38</f>
        <v/>
      </c>
      <c r="AN80" s="19">
        <f>'Grid_Stock'!AE38</f>
        <v/>
      </c>
      <c r="AO80" s="19">
        <f>'Grid_Stock'!AF38</f>
        <v/>
      </c>
      <c r="AP80" s="19">
        <f>'Grid_Stock'!AG38</f>
        <v/>
      </c>
      <c r="AQ80" s="19">
        <f>'Grid_Stock'!AH38</f>
        <v/>
      </c>
      <c r="AR80" s="19">
        <f>'Grid_Stock'!AI38</f>
        <v/>
      </c>
      <c r="AS80" s="19">
        <f>'Grid_Stock'!AJ38</f>
        <v/>
      </c>
      <c r="AT80" s="19">
        <f>'Grid_Stock'!AK38</f>
        <v/>
      </c>
      <c r="AU80" s="19">
        <f>'Grid_Stock'!AL38</f>
        <v/>
      </c>
      <c r="AV80" s="19">
        <f>'Grid_Stock'!AM38</f>
        <v/>
      </c>
      <c r="AW80" s="19">
        <f>'Grid_Stock'!AN38</f>
        <v/>
      </c>
      <c r="AX80" s="19">
        <f>'Grid_Stock'!AO38</f>
        <v/>
      </c>
      <c r="AY80" s="19">
        <f>'Grid_Stock'!AP38</f>
        <v/>
      </c>
      <c r="AZ80" s="19">
        <f>'Grid_Stock'!AQ38</f>
        <v/>
      </c>
      <c r="BA80" s="19">
        <f>'Grid_Stock'!AR38</f>
        <v/>
      </c>
      <c r="BB80" s="19">
        <f>'Grid_Stock'!AS38</f>
        <v/>
      </c>
      <c r="BC80" s="19">
        <f>'Grid_Stock'!AT38</f>
        <v/>
      </c>
      <c r="BD80" s="19">
        <f>'Grid_Stock'!AU38</f>
        <v/>
      </c>
      <c r="BE80" s="19">
        <f>'Grid_Stock'!AV38</f>
        <v/>
      </c>
      <c r="BF80" s="19">
        <f>'Grid_Stock'!AW38</f>
        <v/>
      </c>
      <c r="BG80" s="19">
        <f>'Grid_Stock'!AX38</f>
        <v/>
      </c>
      <c r="BH80" s="19">
        <f>'Grid_Stock'!AY38</f>
        <v/>
      </c>
      <c r="BI80" s="19">
        <f>'Grid_Stock'!AZ38</f>
        <v/>
      </c>
      <c r="BJ80" s="19">
        <f>'Grid_Stock'!BA38</f>
        <v/>
      </c>
      <c r="BK80" s="19">
        <f>'Grid_Stock'!BB38</f>
        <v/>
      </c>
      <c r="BL80" s="19">
        <f>'Grid_Stock'!BC38</f>
        <v/>
      </c>
      <c r="BM80" s="19">
        <f>'Grid_Stock'!BD38</f>
        <v/>
      </c>
      <c r="BN80" s="19">
        <f>'Grid_Stock'!BE38</f>
        <v/>
      </c>
      <c r="BO80" s="19">
        <f>'Grid_Stock'!BF38</f>
        <v/>
      </c>
      <c r="BP80" s="19">
        <f>'Grid_Stock'!BG38</f>
        <v/>
      </c>
      <c r="BQ80" s="19">
        <f>'Grid_Stock'!BH38</f>
        <v/>
      </c>
      <c r="BR80" s="19">
        <f>'Grid_Stock'!BI38</f>
        <v/>
      </c>
      <c r="BS80" s="19">
        <f>'Grid_Stock'!BJ38</f>
        <v/>
      </c>
      <c r="BT80" s="19">
        <f>'Grid_Stock'!BK38</f>
        <v/>
      </c>
      <c r="BU80" s="19">
        <f>'Grid_Stock'!BL38</f>
        <v/>
      </c>
      <c r="BV80" s="19">
        <f>'Grid_Stock'!BM38</f>
        <v/>
      </c>
      <c r="BW80" s="19">
        <f>'Grid_Stock'!BN38</f>
        <v/>
      </c>
      <c r="BX80" s="19">
        <f>'Grid_Stock'!BO38</f>
        <v/>
      </c>
      <c r="BY80" s="19">
        <f>'Grid_Stock'!BP38</f>
        <v/>
      </c>
      <c r="BZ80" s="19">
        <f>'Grid_Stock'!BQ38</f>
        <v/>
      </c>
      <c r="CA80" s="19">
        <f>'Grid_Stock'!BR38</f>
        <v/>
      </c>
      <c r="CB80" s="19">
        <f>'Grid_Stock'!BS38</f>
        <v/>
      </c>
      <c r="CC80" s="19">
        <f>'Grid_Stock'!BT38</f>
        <v/>
      </c>
      <c r="CD80" s="19">
        <f>'Grid_Stock'!BU38</f>
        <v/>
      </c>
      <c r="CE80" s="19">
        <f>'Grid_Stock'!BV38</f>
        <v/>
      </c>
      <c r="CF80" s="19">
        <f>'Grid_Stock'!BW38</f>
        <v/>
      </c>
      <c r="CG80" s="19">
        <f>'Grid_Stock'!BX38</f>
        <v/>
      </c>
      <c r="CH80" s="19">
        <f>'Grid_Stock'!BY38</f>
        <v/>
      </c>
      <c r="CI80" s="19">
        <f>'Grid_Stock'!BZ38</f>
        <v/>
      </c>
      <c r="CJ80" s="19">
        <f>'Grid_Stock'!CA38</f>
        <v/>
      </c>
      <c r="CK80" s="19">
        <f>'Grid_Stock'!CB38</f>
        <v/>
      </c>
      <c r="CL80" s="19">
        <f>'Grid_Stock'!CC38</f>
        <v/>
      </c>
      <c r="CM80" s="19">
        <f>'Grid_Stock'!CD38</f>
        <v/>
      </c>
      <c r="CN80" s="19">
        <f>'Grid_Stock'!CE38</f>
        <v/>
      </c>
      <c r="CO80" s="19">
        <f>'Grid_Stock'!CF38</f>
        <v/>
      </c>
      <c r="CP80" s="19">
        <f>'Grid_Stock'!CG38</f>
        <v/>
      </c>
      <c r="CQ80" s="19">
        <f>'Grid_Stock'!CH38</f>
        <v/>
      </c>
      <c r="CR80" s="19">
        <f>'Grid_Stock'!CI38</f>
        <v/>
      </c>
      <c r="CS80" s="19">
        <f>'Grid_Stock'!CJ38</f>
        <v/>
      </c>
      <c r="CT80" s="19">
        <f>'Grid_Stock'!CK38</f>
        <v/>
      </c>
      <c r="CU80" s="19">
        <f>'Grid_Stock'!CL38</f>
        <v/>
      </c>
      <c r="CV80" s="19">
        <f>'Grid_Stock'!CM38</f>
        <v/>
      </c>
      <c r="CW80" s="19">
        <f>'Grid_Stock'!CN38</f>
        <v/>
      </c>
      <c r="CX80" s="19">
        <f>'Grid_Stock'!CO38</f>
        <v/>
      </c>
      <c r="CY80" s="19">
        <f>'Grid_Stock'!CP38</f>
        <v/>
      </c>
      <c r="CZ80" s="19">
        <f>'Grid_Stock'!CQ38</f>
        <v/>
      </c>
      <c r="DA80" s="19">
        <f>'Grid_Stock'!CR38</f>
        <v/>
      </c>
      <c r="DB80" s="19">
        <f>'Grid_Stock'!CS38</f>
        <v/>
      </c>
      <c r="DC80" s="19">
        <f>'Grid_Stock'!CT38</f>
        <v/>
      </c>
      <c r="DD80" s="19">
        <f>'Grid_Stock'!CU38</f>
        <v/>
      </c>
      <c r="DE80" s="19">
        <f>'Grid_Stock'!CV38</f>
        <v/>
      </c>
      <c r="DF80" s="19">
        <f>'Grid_Stock'!CW38</f>
        <v/>
      </c>
      <c r="DG80" s="19">
        <f>'Grid_Stock'!CX38</f>
        <v/>
      </c>
      <c r="DH80" s="19">
        <f>'Grid_Stock'!CY38</f>
        <v/>
      </c>
      <c r="DI80" s="19">
        <f>'Grid_Stock'!CZ38</f>
        <v/>
      </c>
      <c r="DJ80" s="19">
        <f>'Grid_Stock'!DA38</f>
        <v/>
      </c>
    </row>
    <row r="81">
      <c r="A81" s="17" t="inlineStr">
        <is>
          <t>CHEM-1540</t>
        </is>
      </c>
      <c r="B81" s="17">
        <f>IFERROR(INDEX(M_RawMaterials[Description],MATCH($A81,M_RawMaterials[Part Name],0)),"")</f>
        <v/>
      </c>
      <c r="C81" s="17">
        <f>IFERROR(INDEX(M_RawMaterials[Category],MATCH($A81,M_RawMaterials[Part Name],0)),"")</f>
        <v/>
      </c>
      <c r="D81" s="17">
        <f>IFERROR(INDEX(M_RawMaterials[基準在庫下限_要入力],MATCH($A81,M_RawMaterials[Part Name],0)),0)</f>
        <v/>
      </c>
      <c r="E81" s="17">
        <f>IFERROR(INDEX(M_RawMaterials[基準在庫上限_要入力],MATCH($A81,M_RawMaterials[Part Name],0)),0)</f>
        <v/>
      </c>
      <c r="F81" s="17">
        <f>IFERROR(LOOKUP(2,1/('T_SelfStock'!$B$43:$DA$43&lt;&gt;""),'T_SelfStock'!$B$43:$DA$43),"")</f>
        <v/>
      </c>
      <c r="G81" s="17">
        <f>IFERROR(LOOKUP(2,1/('T_TTAFStock'!$B$43:$DA$43&lt;&gt;""),'T_TTAFStock'!$B$43:$DA$43),"")</f>
        <v/>
      </c>
      <c r="H81" s="17">
        <f>IFERROR(LOOKUP(2,1/('T_SelfStock'!$B$43:$DA$43&lt;&gt;""),'T_SelfStock'!$B$5:$DA$5),"")</f>
        <v/>
      </c>
      <c r="I81" s="18" t="inlineStr">
        <is>
          <t>理論在庫</t>
        </is>
      </c>
      <c r="J81" s="17">
        <f>'Grid_Stock'!DA39-'Grid_TheoreticalStock'!DA39</f>
        <v/>
      </c>
      <c r="K81" s="18">
        <f>'Grid_TheoreticalStock'!B39</f>
        <v/>
      </c>
      <c r="L81" s="18">
        <f>'Grid_TheoreticalStock'!C39</f>
        <v/>
      </c>
      <c r="M81" s="18">
        <f>'Grid_TheoreticalStock'!D39</f>
        <v/>
      </c>
      <c r="N81" s="18">
        <f>'Grid_TheoreticalStock'!E39</f>
        <v/>
      </c>
      <c r="O81" s="18">
        <f>'Grid_TheoreticalStock'!F39</f>
        <v/>
      </c>
      <c r="P81" s="18">
        <f>'Grid_TheoreticalStock'!G39</f>
        <v/>
      </c>
      <c r="Q81" s="18">
        <f>'Grid_TheoreticalStock'!H39</f>
        <v/>
      </c>
      <c r="R81" s="18">
        <f>'Grid_TheoreticalStock'!I39</f>
        <v/>
      </c>
      <c r="S81" s="18">
        <f>'Grid_TheoreticalStock'!J39</f>
        <v/>
      </c>
      <c r="T81" s="18">
        <f>'Grid_TheoreticalStock'!K39</f>
        <v/>
      </c>
      <c r="U81" s="18">
        <f>'Grid_TheoreticalStock'!L39</f>
        <v/>
      </c>
      <c r="V81" s="18">
        <f>'Grid_TheoreticalStock'!M39</f>
        <v/>
      </c>
      <c r="W81" s="18">
        <f>'Grid_TheoreticalStock'!N39</f>
        <v/>
      </c>
      <c r="X81" s="18">
        <f>'Grid_TheoreticalStock'!O39</f>
        <v/>
      </c>
      <c r="Y81" s="18">
        <f>'Grid_TheoreticalStock'!P39</f>
        <v/>
      </c>
      <c r="Z81" s="18">
        <f>'Grid_TheoreticalStock'!Q39</f>
        <v/>
      </c>
      <c r="AA81" s="18">
        <f>'Grid_TheoreticalStock'!R39</f>
        <v/>
      </c>
      <c r="AB81" s="18">
        <f>'Grid_TheoreticalStock'!S39</f>
        <v/>
      </c>
      <c r="AC81" s="18">
        <f>'Grid_TheoreticalStock'!T39</f>
        <v/>
      </c>
      <c r="AD81" s="18">
        <f>'Grid_TheoreticalStock'!U39</f>
        <v/>
      </c>
      <c r="AE81" s="18">
        <f>'Grid_TheoreticalStock'!V39</f>
        <v/>
      </c>
      <c r="AF81" s="18">
        <f>'Grid_TheoreticalStock'!W39</f>
        <v/>
      </c>
      <c r="AG81" s="18">
        <f>'Grid_TheoreticalStock'!X39</f>
        <v/>
      </c>
      <c r="AH81" s="18">
        <f>'Grid_TheoreticalStock'!Y39</f>
        <v/>
      </c>
      <c r="AI81" s="18">
        <f>'Grid_TheoreticalStock'!Z39</f>
        <v/>
      </c>
      <c r="AJ81" s="18">
        <f>'Grid_TheoreticalStock'!AA39</f>
        <v/>
      </c>
      <c r="AK81" s="18">
        <f>'Grid_TheoreticalStock'!AB39</f>
        <v/>
      </c>
      <c r="AL81" s="18">
        <f>'Grid_TheoreticalStock'!AC39</f>
        <v/>
      </c>
      <c r="AM81" s="18">
        <f>'Grid_TheoreticalStock'!AD39</f>
        <v/>
      </c>
      <c r="AN81" s="18">
        <f>'Grid_TheoreticalStock'!AE39</f>
        <v/>
      </c>
      <c r="AO81" s="18">
        <f>'Grid_TheoreticalStock'!AF39</f>
        <v/>
      </c>
      <c r="AP81" s="18">
        <f>'Grid_TheoreticalStock'!AG39</f>
        <v/>
      </c>
      <c r="AQ81" s="18">
        <f>'Grid_TheoreticalStock'!AH39</f>
        <v/>
      </c>
      <c r="AR81" s="18">
        <f>'Grid_TheoreticalStock'!AI39</f>
        <v/>
      </c>
      <c r="AS81" s="18">
        <f>'Grid_TheoreticalStock'!AJ39</f>
        <v/>
      </c>
      <c r="AT81" s="18">
        <f>'Grid_TheoreticalStock'!AK39</f>
        <v/>
      </c>
      <c r="AU81" s="18">
        <f>'Grid_TheoreticalStock'!AL39</f>
        <v/>
      </c>
      <c r="AV81" s="18">
        <f>'Grid_TheoreticalStock'!AM39</f>
        <v/>
      </c>
      <c r="AW81" s="18">
        <f>'Grid_TheoreticalStock'!AN39</f>
        <v/>
      </c>
      <c r="AX81" s="18">
        <f>'Grid_TheoreticalStock'!AO39</f>
        <v/>
      </c>
      <c r="AY81" s="18">
        <f>'Grid_TheoreticalStock'!AP39</f>
        <v/>
      </c>
      <c r="AZ81" s="18">
        <f>'Grid_TheoreticalStock'!AQ39</f>
        <v/>
      </c>
      <c r="BA81" s="18">
        <f>'Grid_TheoreticalStock'!AR39</f>
        <v/>
      </c>
      <c r="BB81" s="18">
        <f>'Grid_TheoreticalStock'!AS39</f>
        <v/>
      </c>
      <c r="BC81" s="18">
        <f>'Grid_TheoreticalStock'!AT39</f>
        <v/>
      </c>
      <c r="BD81" s="18">
        <f>'Grid_TheoreticalStock'!AU39</f>
        <v/>
      </c>
      <c r="BE81" s="18">
        <f>'Grid_TheoreticalStock'!AV39</f>
        <v/>
      </c>
      <c r="BF81" s="18">
        <f>'Grid_TheoreticalStock'!AW39</f>
        <v/>
      </c>
      <c r="BG81" s="18">
        <f>'Grid_TheoreticalStock'!AX39</f>
        <v/>
      </c>
      <c r="BH81" s="18">
        <f>'Grid_TheoreticalStock'!AY39</f>
        <v/>
      </c>
      <c r="BI81" s="18">
        <f>'Grid_TheoreticalStock'!AZ39</f>
        <v/>
      </c>
      <c r="BJ81" s="18">
        <f>'Grid_TheoreticalStock'!BA39</f>
        <v/>
      </c>
      <c r="BK81" s="18">
        <f>'Grid_TheoreticalStock'!BB39</f>
        <v/>
      </c>
      <c r="BL81" s="18">
        <f>'Grid_TheoreticalStock'!BC39</f>
        <v/>
      </c>
      <c r="BM81" s="18">
        <f>'Grid_TheoreticalStock'!BD39</f>
        <v/>
      </c>
      <c r="BN81" s="18">
        <f>'Grid_TheoreticalStock'!BE39</f>
        <v/>
      </c>
      <c r="BO81" s="18">
        <f>'Grid_TheoreticalStock'!BF39</f>
        <v/>
      </c>
      <c r="BP81" s="18">
        <f>'Grid_TheoreticalStock'!BG39</f>
        <v/>
      </c>
      <c r="BQ81" s="18">
        <f>'Grid_TheoreticalStock'!BH39</f>
        <v/>
      </c>
      <c r="BR81" s="18">
        <f>'Grid_TheoreticalStock'!BI39</f>
        <v/>
      </c>
      <c r="BS81" s="18">
        <f>'Grid_TheoreticalStock'!BJ39</f>
        <v/>
      </c>
      <c r="BT81" s="18">
        <f>'Grid_TheoreticalStock'!BK39</f>
        <v/>
      </c>
      <c r="BU81" s="18">
        <f>'Grid_TheoreticalStock'!BL39</f>
        <v/>
      </c>
      <c r="BV81" s="18">
        <f>'Grid_TheoreticalStock'!BM39</f>
        <v/>
      </c>
      <c r="BW81" s="18">
        <f>'Grid_TheoreticalStock'!BN39</f>
        <v/>
      </c>
      <c r="BX81" s="18">
        <f>'Grid_TheoreticalStock'!BO39</f>
        <v/>
      </c>
      <c r="BY81" s="18">
        <f>'Grid_TheoreticalStock'!BP39</f>
        <v/>
      </c>
      <c r="BZ81" s="18">
        <f>'Grid_TheoreticalStock'!BQ39</f>
        <v/>
      </c>
      <c r="CA81" s="18">
        <f>'Grid_TheoreticalStock'!BR39</f>
        <v/>
      </c>
      <c r="CB81" s="18">
        <f>'Grid_TheoreticalStock'!BS39</f>
        <v/>
      </c>
      <c r="CC81" s="18">
        <f>'Grid_TheoreticalStock'!BT39</f>
        <v/>
      </c>
      <c r="CD81" s="18">
        <f>'Grid_TheoreticalStock'!BU39</f>
        <v/>
      </c>
      <c r="CE81" s="18">
        <f>'Grid_TheoreticalStock'!BV39</f>
        <v/>
      </c>
      <c r="CF81" s="18">
        <f>'Grid_TheoreticalStock'!BW39</f>
        <v/>
      </c>
      <c r="CG81" s="18">
        <f>'Grid_TheoreticalStock'!BX39</f>
        <v/>
      </c>
      <c r="CH81" s="18">
        <f>'Grid_TheoreticalStock'!BY39</f>
        <v/>
      </c>
      <c r="CI81" s="18">
        <f>'Grid_TheoreticalStock'!BZ39</f>
        <v/>
      </c>
      <c r="CJ81" s="18">
        <f>'Grid_TheoreticalStock'!CA39</f>
        <v/>
      </c>
      <c r="CK81" s="18">
        <f>'Grid_TheoreticalStock'!CB39</f>
        <v/>
      </c>
      <c r="CL81" s="18">
        <f>'Grid_TheoreticalStock'!CC39</f>
        <v/>
      </c>
      <c r="CM81" s="18">
        <f>'Grid_TheoreticalStock'!CD39</f>
        <v/>
      </c>
      <c r="CN81" s="18">
        <f>'Grid_TheoreticalStock'!CE39</f>
        <v/>
      </c>
      <c r="CO81" s="18">
        <f>'Grid_TheoreticalStock'!CF39</f>
        <v/>
      </c>
      <c r="CP81" s="18">
        <f>'Grid_TheoreticalStock'!CG39</f>
        <v/>
      </c>
      <c r="CQ81" s="18">
        <f>'Grid_TheoreticalStock'!CH39</f>
        <v/>
      </c>
      <c r="CR81" s="18">
        <f>'Grid_TheoreticalStock'!CI39</f>
        <v/>
      </c>
      <c r="CS81" s="18">
        <f>'Grid_TheoreticalStock'!CJ39</f>
        <v/>
      </c>
      <c r="CT81" s="18">
        <f>'Grid_TheoreticalStock'!CK39</f>
        <v/>
      </c>
      <c r="CU81" s="18">
        <f>'Grid_TheoreticalStock'!CL39</f>
        <v/>
      </c>
      <c r="CV81" s="18">
        <f>'Grid_TheoreticalStock'!CM39</f>
        <v/>
      </c>
      <c r="CW81" s="18">
        <f>'Grid_TheoreticalStock'!CN39</f>
        <v/>
      </c>
      <c r="CX81" s="18">
        <f>'Grid_TheoreticalStock'!CO39</f>
        <v/>
      </c>
      <c r="CY81" s="18">
        <f>'Grid_TheoreticalStock'!CP39</f>
        <v/>
      </c>
      <c r="CZ81" s="18">
        <f>'Grid_TheoreticalStock'!CQ39</f>
        <v/>
      </c>
      <c r="DA81" s="18">
        <f>'Grid_TheoreticalStock'!CR39</f>
        <v/>
      </c>
      <c r="DB81" s="18">
        <f>'Grid_TheoreticalStock'!CS39</f>
        <v/>
      </c>
      <c r="DC81" s="18">
        <f>'Grid_TheoreticalStock'!CT39</f>
        <v/>
      </c>
      <c r="DD81" s="18">
        <f>'Grid_TheoreticalStock'!CU39</f>
        <v/>
      </c>
      <c r="DE81" s="18">
        <f>'Grid_TheoreticalStock'!CV39</f>
        <v/>
      </c>
      <c r="DF81" s="18">
        <f>'Grid_TheoreticalStock'!CW39</f>
        <v/>
      </c>
      <c r="DG81" s="18">
        <f>'Grid_TheoreticalStock'!CX39</f>
        <v/>
      </c>
      <c r="DH81" s="18">
        <f>'Grid_TheoreticalStock'!CY39</f>
        <v/>
      </c>
      <c r="DI81" s="18">
        <f>'Grid_TheoreticalStock'!CZ39</f>
        <v/>
      </c>
      <c r="DJ81" s="18">
        <f>'Grid_TheoreticalStock'!DA39</f>
        <v/>
      </c>
    </row>
    <row r="82">
      <c r="A82" s="19" t="inlineStr">
        <is>
          <t>CHEM-1540</t>
        </is>
      </c>
      <c r="B82" s="19">
        <f>IFERROR(INDEX(M_RawMaterials[Description],MATCH($A82,M_RawMaterials[Part Name],0)),"")</f>
        <v/>
      </c>
      <c r="C82" s="19">
        <f>IFERROR(INDEX(M_RawMaterials[Category],MATCH($A82,M_RawMaterials[Part Name],0)),"")</f>
        <v/>
      </c>
      <c r="D82" s="19">
        <f>IFERROR(INDEX(M_RawMaterials[基準在庫下限_要入力],MATCH($A82,M_RawMaterials[Part Name],0)),0)</f>
        <v/>
      </c>
      <c r="E82" s="19">
        <f>IFERROR(INDEX(M_RawMaterials[基準在庫上限_要入力],MATCH($A82,M_RawMaterials[Part Name],0)),0)</f>
        <v/>
      </c>
      <c r="F82" s="19">
        <f>IFERROR(LOOKUP(2,1/('T_SelfStock'!$B$43:$DA$43&lt;&gt;""),'T_SelfStock'!$B$43:$DA$43),"")</f>
        <v/>
      </c>
      <c r="G82" s="19">
        <f>IFERROR(LOOKUP(2,1/('T_TTAFStock'!$B$43:$DA$43&lt;&gt;""),'T_TTAFStock'!$B$43:$DA$43),"")</f>
        <v/>
      </c>
      <c r="H82" s="19">
        <f>IFERROR(LOOKUP(2,1/('T_SelfStock'!$B$43:$DA$43&lt;&gt;""),'T_SelfStock'!$B$5:$DA$5),"")</f>
        <v/>
      </c>
      <c r="I82" s="20" t="inlineStr">
        <is>
          <t>実在庫</t>
        </is>
      </c>
      <c r="J82" s="19">
        <f>'Grid_Stock'!DA39-'Grid_TheoreticalStock'!DA39</f>
        <v/>
      </c>
      <c r="K82" s="19">
        <f>'Grid_Stock'!B39</f>
        <v/>
      </c>
      <c r="L82" s="19">
        <f>'Grid_Stock'!C39</f>
        <v/>
      </c>
      <c r="M82" s="19">
        <f>'Grid_Stock'!D39</f>
        <v/>
      </c>
      <c r="N82" s="19">
        <f>'Grid_Stock'!E39</f>
        <v/>
      </c>
      <c r="O82" s="19">
        <f>'Grid_Stock'!F39</f>
        <v/>
      </c>
      <c r="P82" s="19">
        <f>'Grid_Stock'!G39</f>
        <v/>
      </c>
      <c r="Q82" s="19">
        <f>'Grid_Stock'!H39</f>
        <v/>
      </c>
      <c r="R82" s="19">
        <f>'Grid_Stock'!I39</f>
        <v/>
      </c>
      <c r="S82" s="19">
        <f>'Grid_Stock'!J39</f>
        <v/>
      </c>
      <c r="T82" s="19">
        <f>'Grid_Stock'!K39</f>
        <v/>
      </c>
      <c r="U82" s="19">
        <f>'Grid_Stock'!L39</f>
        <v/>
      </c>
      <c r="V82" s="19">
        <f>'Grid_Stock'!M39</f>
        <v/>
      </c>
      <c r="W82" s="19">
        <f>'Grid_Stock'!N39</f>
        <v/>
      </c>
      <c r="X82" s="19">
        <f>'Grid_Stock'!O39</f>
        <v/>
      </c>
      <c r="Y82" s="19">
        <f>'Grid_Stock'!P39</f>
        <v/>
      </c>
      <c r="Z82" s="19">
        <f>'Grid_Stock'!Q39</f>
        <v/>
      </c>
      <c r="AA82" s="19">
        <f>'Grid_Stock'!R39</f>
        <v/>
      </c>
      <c r="AB82" s="19">
        <f>'Grid_Stock'!S39</f>
        <v/>
      </c>
      <c r="AC82" s="19">
        <f>'Grid_Stock'!T39</f>
        <v/>
      </c>
      <c r="AD82" s="19">
        <f>'Grid_Stock'!U39</f>
        <v/>
      </c>
      <c r="AE82" s="19">
        <f>'Grid_Stock'!V39</f>
        <v/>
      </c>
      <c r="AF82" s="19">
        <f>'Grid_Stock'!W39</f>
        <v/>
      </c>
      <c r="AG82" s="19">
        <f>'Grid_Stock'!X39</f>
        <v/>
      </c>
      <c r="AH82" s="19">
        <f>'Grid_Stock'!Y39</f>
        <v/>
      </c>
      <c r="AI82" s="19">
        <f>'Grid_Stock'!Z39</f>
        <v/>
      </c>
      <c r="AJ82" s="19">
        <f>'Grid_Stock'!AA39</f>
        <v/>
      </c>
      <c r="AK82" s="19">
        <f>'Grid_Stock'!AB39</f>
        <v/>
      </c>
      <c r="AL82" s="19">
        <f>'Grid_Stock'!AC39</f>
        <v/>
      </c>
      <c r="AM82" s="19">
        <f>'Grid_Stock'!AD39</f>
        <v/>
      </c>
      <c r="AN82" s="19">
        <f>'Grid_Stock'!AE39</f>
        <v/>
      </c>
      <c r="AO82" s="19">
        <f>'Grid_Stock'!AF39</f>
        <v/>
      </c>
      <c r="AP82" s="19">
        <f>'Grid_Stock'!AG39</f>
        <v/>
      </c>
      <c r="AQ82" s="19">
        <f>'Grid_Stock'!AH39</f>
        <v/>
      </c>
      <c r="AR82" s="19">
        <f>'Grid_Stock'!AI39</f>
        <v/>
      </c>
      <c r="AS82" s="19">
        <f>'Grid_Stock'!AJ39</f>
        <v/>
      </c>
      <c r="AT82" s="19">
        <f>'Grid_Stock'!AK39</f>
        <v/>
      </c>
      <c r="AU82" s="19">
        <f>'Grid_Stock'!AL39</f>
        <v/>
      </c>
      <c r="AV82" s="19">
        <f>'Grid_Stock'!AM39</f>
        <v/>
      </c>
      <c r="AW82" s="19">
        <f>'Grid_Stock'!AN39</f>
        <v/>
      </c>
      <c r="AX82" s="19">
        <f>'Grid_Stock'!AO39</f>
        <v/>
      </c>
      <c r="AY82" s="19">
        <f>'Grid_Stock'!AP39</f>
        <v/>
      </c>
      <c r="AZ82" s="19">
        <f>'Grid_Stock'!AQ39</f>
        <v/>
      </c>
      <c r="BA82" s="19">
        <f>'Grid_Stock'!AR39</f>
        <v/>
      </c>
      <c r="BB82" s="19">
        <f>'Grid_Stock'!AS39</f>
        <v/>
      </c>
      <c r="BC82" s="19">
        <f>'Grid_Stock'!AT39</f>
        <v/>
      </c>
      <c r="BD82" s="19">
        <f>'Grid_Stock'!AU39</f>
        <v/>
      </c>
      <c r="BE82" s="19">
        <f>'Grid_Stock'!AV39</f>
        <v/>
      </c>
      <c r="BF82" s="19">
        <f>'Grid_Stock'!AW39</f>
        <v/>
      </c>
      <c r="BG82" s="19">
        <f>'Grid_Stock'!AX39</f>
        <v/>
      </c>
      <c r="BH82" s="19">
        <f>'Grid_Stock'!AY39</f>
        <v/>
      </c>
      <c r="BI82" s="19">
        <f>'Grid_Stock'!AZ39</f>
        <v/>
      </c>
      <c r="BJ82" s="19">
        <f>'Grid_Stock'!BA39</f>
        <v/>
      </c>
      <c r="BK82" s="19">
        <f>'Grid_Stock'!BB39</f>
        <v/>
      </c>
      <c r="BL82" s="19">
        <f>'Grid_Stock'!BC39</f>
        <v/>
      </c>
      <c r="BM82" s="19">
        <f>'Grid_Stock'!BD39</f>
        <v/>
      </c>
      <c r="BN82" s="19">
        <f>'Grid_Stock'!BE39</f>
        <v/>
      </c>
      <c r="BO82" s="19">
        <f>'Grid_Stock'!BF39</f>
        <v/>
      </c>
      <c r="BP82" s="19">
        <f>'Grid_Stock'!BG39</f>
        <v/>
      </c>
      <c r="BQ82" s="19">
        <f>'Grid_Stock'!BH39</f>
        <v/>
      </c>
      <c r="BR82" s="19">
        <f>'Grid_Stock'!BI39</f>
        <v/>
      </c>
      <c r="BS82" s="19">
        <f>'Grid_Stock'!BJ39</f>
        <v/>
      </c>
      <c r="BT82" s="19">
        <f>'Grid_Stock'!BK39</f>
        <v/>
      </c>
      <c r="BU82" s="19">
        <f>'Grid_Stock'!BL39</f>
        <v/>
      </c>
      <c r="BV82" s="19">
        <f>'Grid_Stock'!BM39</f>
        <v/>
      </c>
      <c r="BW82" s="19">
        <f>'Grid_Stock'!BN39</f>
        <v/>
      </c>
      <c r="BX82" s="19">
        <f>'Grid_Stock'!BO39</f>
        <v/>
      </c>
      <c r="BY82" s="19">
        <f>'Grid_Stock'!BP39</f>
        <v/>
      </c>
      <c r="BZ82" s="19">
        <f>'Grid_Stock'!BQ39</f>
        <v/>
      </c>
      <c r="CA82" s="19">
        <f>'Grid_Stock'!BR39</f>
        <v/>
      </c>
      <c r="CB82" s="19">
        <f>'Grid_Stock'!BS39</f>
        <v/>
      </c>
      <c r="CC82" s="19">
        <f>'Grid_Stock'!BT39</f>
        <v/>
      </c>
      <c r="CD82" s="19">
        <f>'Grid_Stock'!BU39</f>
        <v/>
      </c>
      <c r="CE82" s="19">
        <f>'Grid_Stock'!BV39</f>
        <v/>
      </c>
      <c r="CF82" s="19">
        <f>'Grid_Stock'!BW39</f>
        <v/>
      </c>
      <c r="CG82" s="19">
        <f>'Grid_Stock'!BX39</f>
        <v/>
      </c>
      <c r="CH82" s="19">
        <f>'Grid_Stock'!BY39</f>
        <v/>
      </c>
      <c r="CI82" s="19">
        <f>'Grid_Stock'!BZ39</f>
        <v/>
      </c>
      <c r="CJ82" s="19">
        <f>'Grid_Stock'!CA39</f>
        <v/>
      </c>
      <c r="CK82" s="19">
        <f>'Grid_Stock'!CB39</f>
        <v/>
      </c>
      <c r="CL82" s="19">
        <f>'Grid_Stock'!CC39</f>
        <v/>
      </c>
      <c r="CM82" s="19">
        <f>'Grid_Stock'!CD39</f>
        <v/>
      </c>
      <c r="CN82" s="19">
        <f>'Grid_Stock'!CE39</f>
        <v/>
      </c>
      <c r="CO82" s="19">
        <f>'Grid_Stock'!CF39</f>
        <v/>
      </c>
      <c r="CP82" s="19">
        <f>'Grid_Stock'!CG39</f>
        <v/>
      </c>
      <c r="CQ82" s="19">
        <f>'Grid_Stock'!CH39</f>
        <v/>
      </c>
      <c r="CR82" s="19">
        <f>'Grid_Stock'!CI39</f>
        <v/>
      </c>
      <c r="CS82" s="19">
        <f>'Grid_Stock'!CJ39</f>
        <v/>
      </c>
      <c r="CT82" s="19">
        <f>'Grid_Stock'!CK39</f>
        <v/>
      </c>
      <c r="CU82" s="19">
        <f>'Grid_Stock'!CL39</f>
        <v/>
      </c>
      <c r="CV82" s="19">
        <f>'Grid_Stock'!CM39</f>
        <v/>
      </c>
      <c r="CW82" s="19">
        <f>'Grid_Stock'!CN39</f>
        <v/>
      </c>
      <c r="CX82" s="19">
        <f>'Grid_Stock'!CO39</f>
        <v/>
      </c>
      <c r="CY82" s="19">
        <f>'Grid_Stock'!CP39</f>
        <v/>
      </c>
      <c r="CZ82" s="19">
        <f>'Grid_Stock'!CQ39</f>
        <v/>
      </c>
      <c r="DA82" s="19">
        <f>'Grid_Stock'!CR39</f>
        <v/>
      </c>
      <c r="DB82" s="19">
        <f>'Grid_Stock'!CS39</f>
        <v/>
      </c>
      <c r="DC82" s="19">
        <f>'Grid_Stock'!CT39</f>
        <v/>
      </c>
      <c r="DD82" s="19">
        <f>'Grid_Stock'!CU39</f>
        <v/>
      </c>
      <c r="DE82" s="19">
        <f>'Grid_Stock'!CV39</f>
        <v/>
      </c>
      <c r="DF82" s="19">
        <f>'Grid_Stock'!CW39</f>
        <v/>
      </c>
      <c r="DG82" s="19">
        <f>'Grid_Stock'!CX39</f>
        <v/>
      </c>
      <c r="DH82" s="19">
        <f>'Grid_Stock'!CY39</f>
        <v/>
      </c>
      <c r="DI82" s="19">
        <f>'Grid_Stock'!CZ39</f>
        <v/>
      </c>
      <c r="DJ82" s="19">
        <f>'Grid_Stock'!DA39</f>
        <v/>
      </c>
    </row>
    <row r="83">
      <c r="A83" s="17" t="inlineStr">
        <is>
          <t>CHEM-1680</t>
        </is>
      </c>
      <c r="B83" s="17">
        <f>IFERROR(INDEX(M_RawMaterials[Description],MATCH($A83,M_RawMaterials[Part Name],0)),"")</f>
        <v/>
      </c>
      <c r="C83" s="17">
        <f>IFERROR(INDEX(M_RawMaterials[Category],MATCH($A83,M_RawMaterials[Part Name],0)),"")</f>
        <v/>
      </c>
      <c r="D83" s="17">
        <f>IFERROR(INDEX(M_RawMaterials[基準在庫下限_要入力],MATCH($A83,M_RawMaterials[Part Name],0)),0)</f>
        <v/>
      </c>
      <c r="E83" s="17">
        <f>IFERROR(INDEX(M_RawMaterials[基準在庫上限_要入力],MATCH($A83,M_RawMaterials[Part Name],0)),0)</f>
        <v/>
      </c>
      <c r="F83" s="17">
        <f>IFERROR(LOOKUP(2,1/('T_SelfStock'!$B$44:$DA$44&lt;&gt;""),'T_SelfStock'!$B$44:$DA$44),"")</f>
        <v/>
      </c>
      <c r="G83" s="17">
        <f>IFERROR(LOOKUP(2,1/('T_TTAFStock'!$B$44:$DA$44&lt;&gt;""),'T_TTAFStock'!$B$44:$DA$44),"")</f>
        <v/>
      </c>
      <c r="H83" s="17">
        <f>IFERROR(LOOKUP(2,1/('T_SelfStock'!$B$44:$DA$44&lt;&gt;""),'T_SelfStock'!$B$5:$DA$5),"")</f>
        <v/>
      </c>
      <c r="I83" s="18" t="inlineStr">
        <is>
          <t>理論在庫</t>
        </is>
      </c>
      <c r="J83" s="17">
        <f>'Grid_Stock'!DA40-'Grid_TheoreticalStock'!DA40</f>
        <v/>
      </c>
      <c r="K83" s="18">
        <f>'Grid_TheoreticalStock'!B40</f>
        <v/>
      </c>
      <c r="L83" s="18">
        <f>'Grid_TheoreticalStock'!C40</f>
        <v/>
      </c>
      <c r="M83" s="18">
        <f>'Grid_TheoreticalStock'!D40</f>
        <v/>
      </c>
      <c r="N83" s="18">
        <f>'Grid_TheoreticalStock'!E40</f>
        <v/>
      </c>
      <c r="O83" s="18">
        <f>'Grid_TheoreticalStock'!F40</f>
        <v/>
      </c>
      <c r="P83" s="18">
        <f>'Grid_TheoreticalStock'!G40</f>
        <v/>
      </c>
      <c r="Q83" s="18">
        <f>'Grid_TheoreticalStock'!H40</f>
        <v/>
      </c>
      <c r="R83" s="18">
        <f>'Grid_TheoreticalStock'!I40</f>
        <v/>
      </c>
      <c r="S83" s="18">
        <f>'Grid_TheoreticalStock'!J40</f>
        <v/>
      </c>
      <c r="T83" s="18">
        <f>'Grid_TheoreticalStock'!K40</f>
        <v/>
      </c>
      <c r="U83" s="18">
        <f>'Grid_TheoreticalStock'!L40</f>
        <v/>
      </c>
      <c r="V83" s="18">
        <f>'Grid_TheoreticalStock'!M40</f>
        <v/>
      </c>
      <c r="W83" s="18">
        <f>'Grid_TheoreticalStock'!N40</f>
        <v/>
      </c>
      <c r="X83" s="18">
        <f>'Grid_TheoreticalStock'!O40</f>
        <v/>
      </c>
      <c r="Y83" s="18">
        <f>'Grid_TheoreticalStock'!P40</f>
        <v/>
      </c>
      <c r="Z83" s="18">
        <f>'Grid_TheoreticalStock'!Q40</f>
        <v/>
      </c>
      <c r="AA83" s="18">
        <f>'Grid_TheoreticalStock'!R40</f>
        <v/>
      </c>
      <c r="AB83" s="18">
        <f>'Grid_TheoreticalStock'!S40</f>
        <v/>
      </c>
      <c r="AC83" s="18">
        <f>'Grid_TheoreticalStock'!T40</f>
        <v/>
      </c>
      <c r="AD83" s="18">
        <f>'Grid_TheoreticalStock'!U40</f>
        <v/>
      </c>
      <c r="AE83" s="18">
        <f>'Grid_TheoreticalStock'!V40</f>
        <v/>
      </c>
      <c r="AF83" s="18">
        <f>'Grid_TheoreticalStock'!W40</f>
        <v/>
      </c>
      <c r="AG83" s="18">
        <f>'Grid_TheoreticalStock'!X40</f>
        <v/>
      </c>
      <c r="AH83" s="18">
        <f>'Grid_TheoreticalStock'!Y40</f>
        <v/>
      </c>
      <c r="AI83" s="18">
        <f>'Grid_TheoreticalStock'!Z40</f>
        <v/>
      </c>
      <c r="AJ83" s="18">
        <f>'Grid_TheoreticalStock'!AA40</f>
        <v/>
      </c>
      <c r="AK83" s="18">
        <f>'Grid_TheoreticalStock'!AB40</f>
        <v/>
      </c>
      <c r="AL83" s="18">
        <f>'Grid_TheoreticalStock'!AC40</f>
        <v/>
      </c>
      <c r="AM83" s="18">
        <f>'Grid_TheoreticalStock'!AD40</f>
        <v/>
      </c>
      <c r="AN83" s="18">
        <f>'Grid_TheoreticalStock'!AE40</f>
        <v/>
      </c>
      <c r="AO83" s="18">
        <f>'Grid_TheoreticalStock'!AF40</f>
        <v/>
      </c>
      <c r="AP83" s="18">
        <f>'Grid_TheoreticalStock'!AG40</f>
        <v/>
      </c>
      <c r="AQ83" s="18">
        <f>'Grid_TheoreticalStock'!AH40</f>
        <v/>
      </c>
      <c r="AR83" s="18">
        <f>'Grid_TheoreticalStock'!AI40</f>
        <v/>
      </c>
      <c r="AS83" s="18">
        <f>'Grid_TheoreticalStock'!AJ40</f>
        <v/>
      </c>
      <c r="AT83" s="18">
        <f>'Grid_TheoreticalStock'!AK40</f>
        <v/>
      </c>
      <c r="AU83" s="18">
        <f>'Grid_TheoreticalStock'!AL40</f>
        <v/>
      </c>
      <c r="AV83" s="18">
        <f>'Grid_TheoreticalStock'!AM40</f>
        <v/>
      </c>
      <c r="AW83" s="18">
        <f>'Grid_TheoreticalStock'!AN40</f>
        <v/>
      </c>
      <c r="AX83" s="18">
        <f>'Grid_TheoreticalStock'!AO40</f>
        <v/>
      </c>
      <c r="AY83" s="18">
        <f>'Grid_TheoreticalStock'!AP40</f>
        <v/>
      </c>
      <c r="AZ83" s="18">
        <f>'Grid_TheoreticalStock'!AQ40</f>
        <v/>
      </c>
      <c r="BA83" s="18">
        <f>'Grid_TheoreticalStock'!AR40</f>
        <v/>
      </c>
      <c r="BB83" s="18">
        <f>'Grid_TheoreticalStock'!AS40</f>
        <v/>
      </c>
      <c r="BC83" s="18">
        <f>'Grid_TheoreticalStock'!AT40</f>
        <v/>
      </c>
      <c r="BD83" s="18">
        <f>'Grid_TheoreticalStock'!AU40</f>
        <v/>
      </c>
      <c r="BE83" s="18">
        <f>'Grid_TheoreticalStock'!AV40</f>
        <v/>
      </c>
      <c r="BF83" s="18">
        <f>'Grid_TheoreticalStock'!AW40</f>
        <v/>
      </c>
      <c r="BG83" s="18">
        <f>'Grid_TheoreticalStock'!AX40</f>
        <v/>
      </c>
      <c r="BH83" s="18">
        <f>'Grid_TheoreticalStock'!AY40</f>
        <v/>
      </c>
      <c r="BI83" s="18">
        <f>'Grid_TheoreticalStock'!AZ40</f>
        <v/>
      </c>
      <c r="BJ83" s="18">
        <f>'Grid_TheoreticalStock'!BA40</f>
        <v/>
      </c>
      <c r="BK83" s="18">
        <f>'Grid_TheoreticalStock'!BB40</f>
        <v/>
      </c>
      <c r="BL83" s="18">
        <f>'Grid_TheoreticalStock'!BC40</f>
        <v/>
      </c>
      <c r="BM83" s="18">
        <f>'Grid_TheoreticalStock'!BD40</f>
        <v/>
      </c>
      <c r="BN83" s="18">
        <f>'Grid_TheoreticalStock'!BE40</f>
        <v/>
      </c>
      <c r="BO83" s="18">
        <f>'Grid_TheoreticalStock'!BF40</f>
        <v/>
      </c>
      <c r="BP83" s="18">
        <f>'Grid_TheoreticalStock'!BG40</f>
        <v/>
      </c>
      <c r="BQ83" s="18">
        <f>'Grid_TheoreticalStock'!BH40</f>
        <v/>
      </c>
      <c r="BR83" s="18">
        <f>'Grid_TheoreticalStock'!BI40</f>
        <v/>
      </c>
      <c r="BS83" s="18">
        <f>'Grid_TheoreticalStock'!BJ40</f>
        <v/>
      </c>
      <c r="BT83" s="18">
        <f>'Grid_TheoreticalStock'!BK40</f>
        <v/>
      </c>
      <c r="BU83" s="18">
        <f>'Grid_TheoreticalStock'!BL40</f>
        <v/>
      </c>
      <c r="BV83" s="18">
        <f>'Grid_TheoreticalStock'!BM40</f>
        <v/>
      </c>
      <c r="BW83" s="18">
        <f>'Grid_TheoreticalStock'!BN40</f>
        <v/>
      </c>
      <c r="BX83" s="18">
        <f>'Grid_TheoreticalStock'!BO40</f>
        <v/>
      </c>
      <c r="BY83" s="18">
        <f>'Grid_TheoreticalStock'!BP40</f>
        <v/>
      </c>
      <c r="BZ83" s="18">
        <f>'Grid_TheoreticalStock'!BQ40</f>
        <v/>
      </c>
      <c r="CA83" s="18">
        <f>'Grid_TheoreticalStock'!BR40</f>
        <v/>
      </c>
      <c r="CB83" s="18">
        <f>'Grid_TheoreticalStock'!BS40</f>
        <v/>
      </c>
      <c r="CC83" s="18">
        <f>'Grid_TheoreticalStock'!BT40</f>
        <v/>
      </c>
      <c r="CD83" s="18">
        <f>'Grid_TheoreticalStock'!BU40</f>
        <v/>
      </c>
      <c r="CE83" s="18">
        <f>'Grid_TheoreticalStock'!BV40</f>
        <v/>
      </c>
      <c r="CF83" s="18">
        <f>'Grid_TheoreticalStock'!BW40</f>
        <v/>
      </c>
      <c r="CG83" s="18">
        <f>'Grid_TheoreticalStock'!BX40</f>
        <v/>
      </c>
      <c r="CH83" s="18">
        <f>'Grid_TheoreticalStock'!BY40</f>
        <v/>
      </c>
      <c r="CI83" s="18">
        <f>'Grid_TheoreticalStock'!BZ40</f>
        <v/>
      </c>
      <c r="CJ83" s="18">
        <f>'Grid_TheoreticalStock'!CA40</f>
        <v/>
      </c>
      <c r="CK83" s="18">
        <f>'Grid_TheoreticalStock'!CB40</f>
        <v/>
      </c>
      <c r="CL83" s="18">
        <f>'Grid_TheoreticalStock'!CC40</f>
        <v/>
      </c>
      <c r="CM83" s="18">
        <f>'Grid_TheoreticalStock'!CD40</f>
        <v/>
      </c>
      <c r="CN83" s="18">
        <f>'Grid_TheoreticalStock'!CE40</f>
        <v/>
      </c>
      <c r="CO83" s="18">
        <f>'Grid_TheoreticalStock'!CF40</f>
        <v/>
      </c>
      <c r="CP83" s="18">
        <f>'Grid_TheoreticalStock'!CG40</f>
        <v/>
      </c>
      <c r="CQ83" s="18">
        <f>'Grid_TheoreticalStock'!CH40</f>
        <v/>
      </c>
      <c r="CR83" s="18">
        <f>'Grid_TheoreticalStock'!CI40</f>
        <v/>
      </c>
      <c r="CS83" s="18">
        <f>'Grid_TheoreticalStock'!CJ40</f>
        <v/>
      </c>
      <c r="CT83" s="18">
        <f>'Grid_TheoreticalStock'!CK40</f>
        <v/>
      </c>
      <c r="CU83" s="18">
        <f>'Grid_TheoreticalStock'!CL40</f>
        <v/>
      </c>
      <c r="CV83" s="18">
        <f>'Grid_TheoreticalStock'!CM40</f>
        <v/>
      </c>
      <c r="CW83" s="18">
        <f>'Grid_TheoreticalStock'!CN40</f>
        <v/>
      </c>
      <c r="CX83" s="18">
        <f>'Grid_TheoreticalStock'!CO40</f>
        <v/>
      </c>
      <c r="CY83" s="18">
        <f>'Grid_TheoreticalStock'!CP40</f>
        <v/>
      </c>
      <c r="CZ83" s="18">
        <f>'Grid_TheoreticalStock'!CQ40</f>
        <v/>
      </c>
      <c r="DA83" s="18">
        <f>'Grid_TheoreticalStock'!CR40</f>
        <v/>
      </c>
      <c r="DB83" s="18">
        <f>'Grid_TheoreticalStock'!CS40</f>
        <v/>
      </c>
      <c r="DC83" s="18">
        <f>'Grid_TheoreticalStock'!CT40</f>
        <v/>
      </c>
      <c r="DD83" s="18">
        <f>'Grid_TheoreticalStock'!CU40</f>
        <v/>
      </c>
      <c r="DE83" s="18">
        <f>'Grid_TheoreticalStock'!CV40</f>
        <v/>
      </c>
      <c r="DF83" s="18">
        <f>'Grid_TheoreticalStock'!CW40</f>
        <v/>
      </c>
      <c r="DG83" s="18">
        <f>'Grid_TheoreticalStock'!CX40</f>
        <v/>
      </c>
      <c r="DH83" s="18">
        <f>'Grid_TheoreticalStock'!CY40</f>
        <v/>
      </c>
      <c r="DI83" s="18">
        <f>'Grid_TheoreticalStock'!CZ40</f>
        <v/>
      </c>
      <c r="DJ83" s="18">
        <f>'Grid_TheoreticalStock'!DA40</f>
        <v/>
      </c>
    </row>
    <row r="84">
      <c r="A84" s="19" t="inlineStr">
        <is>
          <t>CHEM-1680</t>
        </is>
      </c>
      <c r="B84" s="19">
        <f>IFERROR(INDEX(M_RawMaterials[Description],MATCH($A84,M_RawMaterials[Part Name],0)),"")</f>
        <v/>
      </c>
      <c r="C84" s="19">
        <f>IFERROR(INDEX(M_RawMaterials[Category],MATCH($A84,M_RawMaterials[Part Name],0)),"")</f>
        <v/>
      </c>
      <c r="D84" s="19">
        <f>IFERROR(INDEX(M_RawMaterials[基準在庫下限_要入力],MATCH($A84,M_RawMaterials[Part Name],0)),0)</f>
        <v/>
      </c>
      <c r="E84" s="19">
        <f>IFERROR(INDEX(M_RawMaterials[基準在庫上限_要入力],MATCH($A84,M_RawMaterials[Part Name],0)),0)</f>
        <v/>
      </c>
      <c r="F84" s="19">
        <f>IFERROR(LOOKUP(2,1/('T_SelfStock'!$B$44:$DA$44&lt;&gt;""),'T_SelfStock'!$B$44:$DA$44),"")</f>
        <v/>
      </c>
      <c r="G84" s="19">
        <f>IFERROR(LOOKUP(2,1/('T_TTAFStock'!$B$44:$DA$44&lt;&gt;""),'T_TTAFStock'!$B$44:$DA$44),"")</f>
        <v/>
      </c>
      <c r="H84" s="19">
        <f>IFERROR(LOOKUP(2,1/('T_SelfStock'!$B$44:$DA$44&lt;&gt;""),'T_SelfStock'!$B$5:$DA$5),"")</f>
        <v/>
      </c>
      <c r="I84" s="20" t="inlineStr">
        <is>
          <t>実在庫</t>
        </is>
      </c>
      <c r="J84" s="19">
        <f>'Grid_Stock'!DA40-'Grid_TheoreticalStock'!DA40</f>
        <v/>
      </c>
      <c r="K84" s="19">
        <f>'Grid_Stock'!B40</f>
        <v/>
      </c>
      <c r="L84" s="19">
        <f>'Grid_Stock'!C40</f>
        <v/>
      </c>
      <c r="M84" s="19">
        <f>'Grid_Stock'!D40</f>
        <v/>
      </c>
      <c r="N84" s="19">
        <f>'Grid_Stock'!E40</f>
        <v/>
      </c>
      <c r="O84" s="19">
        <f>'Grid_Stock'!F40</f>
        <v/>
      </c>
      <c r="P84" s="19">
        <f>'Grid_Stock'!G40</f>
        <v/>
      </c>
      <c r="Q84" s="19">
        <f>'Grid_Stock'!H40</f>
        <v/>
      </c>
      <c r="R84" s="19">
        <f>'Grid_Stock'!I40</f>
        <v/>
      </c>
      <c r="S84" s="19">
        <f>'Grid_Stock'!J40</f>
        <v/>
      </c>
      <c r="T84" s="19">
        <f>'Grid_Stock'!K40</f>
        <v/>
      </c>
      <c r="U84" s="19">
        <f>'Grid_Stock'!L40</f>
        <v/>
      </c>
      <c r="V84" s="19">
        <f>'Grid_Stock'!M40</f>
        <v/>
      </c>
      <c r="W84" s="19">
        <f>'Grid_Stock'!N40</f>
        <v/>
      </c>
      <c r="X84" s="19">
        <f>'Grid_Stock'!O40</f>
        <v/>
      </c>
      <c r="Y84" s="19">
        <f>'Grid_Stock'!P40</f>
        <v/>
      </c>
      <c r="Z84" s="19">
        <f>'Grid_Stock'!Q40</f>
        <v/>
      </c>
      <c r="AA84" s="19">
        <f>'Grid_Stock'!R40</f>
        <v/>
      </c>
      <c r="AB84" s="19">
        <f>'Grid_Stock'!S40</f>
        <v/>
      </c>
      <c r="AC84" s="19">
        <f>'Grid_Stock'!T40</f>
        <v/>
      </c>
      <c r="AD84" s="19">
        <f>'Grid_Stock'!U40</f>
        <v/>
      </c>
      <c r="AE84" s="19">
        <f>'Grid_Stock'!V40</f>
        <v/>
      </c>
      <c r="AF84" s="19">
        <f>'Grid_Stock'!W40</f>
        <v/>
      </c>
      <c r="AG84" s="19">
        <f>'Grid_Stock'!X40</f>
        <v/>
      </c>
      <c r="AH84" s="19">
        <f>'Grid_Stock'!Y40</f>
        <v/>
      </c>
      <c r="AI84" s="19">
        <f>'Grid_Stock'!Z40</f>
        <v/>
      </c>
      <c r="AJ84" s="19">
        <f>'Grid_Stock'!AA40</f>
        <v/>
      </c>
      <c r="AK84" s="19">
        <f>'Grid_Stock'!AB40</f>
        <v/>
      </c>
      <c r="AL84" s="19">
        <f>'Grid_Stock'!AC40</f>
        <v/>
      </c>
      <c r="AM84" s="19">
        <f>'Grid_Stock'!AD40</f>
        <v/>
      </c>
      <c r="AN84" s="19">
        <f>'Grid_Stock'!AE40</f>
        <v/>
      </c>
      <c r="AO84" s="19">
        <f>'Grid_Stock'!AF40</f>
        <v/>
      </c>
      <c r="AP84" s="19">
        <f>'Grid_Stock'!AG40</f>
        <v/>
      </c>
      <c r="AQ84" s="19">
        <f>'Grid_Stock'!AH40</f>
        <v/>
      </c>
      <c r="AR84" s="19">
        <f>'Grid_Stock'!AI40</f>
        <v/>
      </c>
      <c r="AS84" s="19">
        <f>'Grid_Stock'!AJ40</f>
        <v/>
      </c>
      <c r="AT84" s="19">
        <f>'Grid_Stock'!AK40</f>
        <v/>
      </c>
      <c r="AU84" s="19">
        <f>'Grid_Stock'!AL40</f>
        <v/>
      </c>
      <c r="AV84" s="19">
        <f>'Grid_Stock'!AM40</f>
        <v/>
      </c>
      <c r="AW84" s="19">
        <f>'Grid_Stock'!AN40</f>
        <v/>
      </c>
      <c r="AX84" s="19">
        <f>'Grid_Stock'!AO40</f>
        <v/>
      </c>
      <c r="AY84" s="19">
        <f>'Grid_Stock'!AP40</f>
        <v/>
      </c>
      <c r="AZ84" s="19">
        <f>'Grid_Stock'!AQ40</f>
        <v/>
      </c>
      <c r="BA84" s="19">
        <f>'Grid_Stock'!AR40</f>
        <v/>
      </c>
      <c r="BB84" s="19">
        <f>'Grid_Stock'!AS40</f>
        <v/>
      </c>
      <c r="BC84" s="19">
        <f>'Grid_Stock'!AT40</f>
        <v/>
      </c>
      <c r="BD84" s="19">
        <f>'Grid_Stock'!AU40</f>
        <v/>
      </c>
      <c r="BE84" s="19">
        <f>'Grid_Stock'!AV40</f>
        <v/>
      </c>
      <c r="BF84" s="19">
        <f>'Grid_Stock'!AW40</f>
        <v/>
      </c>
      <c r="BG84" s="19">
        <f>'Grid_Stock'!AX40</f>
        <v/>
      </c>
      <c r="BH84" s="19">
        <f>'Grid_Stock'!AY40</f>
        <v/>
      </c>
      <c r="BI84" s="19">
        <f>'Grid_Stock'!AZ40</f>
        <v/>
      </c>
      <c r="BJ84" s="19">
        <f>'Grid_Stock'!BA40</f>
        <v/>
      </c>
      <c r="BK84" s="19">
        <f>'Grid_Stock'!BB40</f>
        <v/>
      </c>
      <c r="BL84" s="19">
        <f>'Grid_Stock'!BC40</f>
        <v/>
      </c>
      <c r="BM84" s="19">
        <f>'Grid_Stock'!BD40</f>
        <v/>
      </c>
      <c r="BN84" s="19">
        <f>'Grid_Stock'!BE40</f>
        <v/>
      </c>
      <c r="BO84" s="19">
        <f>'Grid_Stock'!BF40</f>
        <v/>
      </c>
      <c r="BP84" s="19">
        <f>'Grid_Stock'!BG40</f>
        <v/>
      </c>
      <c r="BQ84" s="19">
        <f>'Grid_Stock'!BH40</f>
        <v/>
      </c>
      <c r="BR84" s="19">
        <f>'Grid_Stock'!BI40</f>
        <v/>
      </c>
      <c r="BS84" s="19">
        <f>'Grid_Stock'!BJ40</f>
        <v/>
      </c>
      <c r="BT84" s="19">
        <f>'Grid_Stock'!BK40</f>
        <v/>
      </c>
      <c r="BU84" s="19">
        <f>'Grid_Stock'!BL40</f>
        <v/>
      </c>
      <c r="BV84" s="19">
        <f>'Grid_Stock'!BM40</f>
        <v/>
      </c>
      <c r="BW84" s="19">
        <f>'Grid_Stock'!BN40</f>
        <v/>
      </c>
      <c r="BX84" s="19">
        <f>'Grid_Stock'!BO40</f>
        <v/>
      </c>
      <c r="BY84" s="19">
        <f>'Grid_Stock'!BP40</f>
        <v/>
      </c>
      <c r="BZ84" s="19">
        <f>'Grid_Stock'!BQ40</f>
        <v/>
      </c>
      <c r="CA84" s="19">
        <f>'Grid_Stock'!BR40</f>
        <v/>
      </c>
      <c r="CB84" s="19">
        <f>'Grid_Stock'!BS40</f>
        <v/>
      </c>
      <c r="CC84" s="19">
        <f>'Grid_Stock'!BT40</f>
        <v/>
      </c>
      <c r="CD84" s="19">
        <f>'Grid_Stock'!BU40</f>
        <v/>
      </c>
      <c r="CE84" s="19">
        <f>'Grid_Stock'!BV40</f>
        <v/>
      </c>
      <c r="CF84" s="19">
        <f>'Grid_Stock'!BW40</f>
        <v/>
      </c>
      <c r="CG84" s="19">
        <f>'Grid_Stock'!BX40</f>
        <v/>
      </c>
      <c r="CH84" s="19">
        <f>'Grid_Stock'!BY40</f>
        <v/>
      </c>
      <c r="CI84" s="19">
        <f>'Grid_Stock'!BZ40</f>
        <v/>
      </c>
      <c r="CJ84" s="19">
        <f>'Grid_Stock'!CA40</f>
        <v/>
      </c>
      <c r="CK84" s="19">
        <f>'Grid_Stock'!CB40</f>
        <v/>
      </c>
      <c r="CL84" s="19">
        <f>'Grid_Stock'!CC40</f>
        <v/>
      </c>
      <c r="CM84" s="19">
        <f>'Grid_Stock'!CD40</f>
        <v/>
      </c>
      <c r="CN84" s="19">
        <f>'Grid_Stock'!CE40</f>
        <v/>
      </c>
      <c r="CO84" s="19">
        <f>'Grid_Stock'!CF40</f>
        <v/>
      </c>
      <c r="CP84" s="19">
        <f>'Grid_Stock'!CG40</f>
        <v/>
      </c>
      <c r="CQ84" s="19">
        <f>'Grid_Stock'!CH40</f>
        <v/>
      </c>
      <c r="CR84" s="19">
        <f>'Grid_Stock'!CI40</f>
        <v/>
      </c>
      <c r="CS84" s="19">
        <f>'Grid_Stock'!CJ40</f>
        <v/>
      </c>
      <c r="CT84" s="19">
        <f>'Grid_Stock'!CK40</f>
        <v/>
      </c>
      <c r="CU84" s="19">
        <f>'Grid_Stock'!CL40</f>
        <v/>
      </c>
      <c r="CV84" s="19">
        <f>'Grid_Stock'!CM40</f>
        <v/>
      </c>
      <c r="CW84" s="19">
        <f>'Grid_Stock'!CN40</f>
        <v/>
      </c>
      <c r="CX84" s="19">
        <f>'Grid_Stock'!CO40</f>
        <v/>
      </c>
      <c r="CY84" s="19">
        <f>'Grid_Stock'!CP40</f>
        <v/>
      </c>
      <c r="CZ84" s="19">
        <f>'Grid_Stock'!CQ40</f>
        <v/>
      </c>
      <c r="DA84" s="19">
        <f>'Grid_Stock'!CR40</f>
        <v/>
      </c>
      <c r="DB84" s="19">
        <f>'Grid_Stock'!CS40</f>
        <v/>
      </c>
      <c r="DC84" s="19">
        <f>'Grid_Stock'!CT40</f>
        <v/>
      </c>
      <c r="DD84" s="19">
        <f>'Grid_Stock'!CU40</f>
        <v/>
      </c>
      <c r="DE84" s="19">
        <f>'Grid_Stock'!CV40</f>
        <v/>
      </c>
      <c r="DF84" s="19">
        <f>'Grid_Stock'!CW40</f>
        <v/>
      </c>
      <c r="DG84" s="19">
        <f>'Grid_Stock'!CX40</f>
        <v/>
      </c>
      <c r="DH84" s="19">
        <f>'Grid_Stock'!CY40</f>
        <v/>
      </c>
      <c r="DI84" s="19">
        <f>'Grid_Stock'!CZ40</f>
        <v/>
      </c>
      <c r="DJ84" s="19">
        <f>'Grid_Stock'!DA40</f>
        <v/>
      </c>
    </row>
    <row r="85">
      <c r="A85" s="17" t="inlineStr">
        <is>
          <t>CHEM-1730</t>
        </is>
      </c>
      <c r="B85" s="17">
        <f>IFERROR(INDEX(M_RawMaterials[Description],MATCH($A85,M_RawMaterials[Part Name],0)),"")</f>
        <v/>
      </c>
      <c r="C85" s="17">
        <f>IFERROR(INDEX(M_RawMaterials[Category],MATCH($A85,M_RawMaterials[Part Name],0)),"")</f>
        <v/>
      </c>
      <c r="D85" s="17">
        <f>IFERROR(INDEX(M_RawMaterials[基準在庫下限_要入力],MATCH($A85,M_RawMaterials[Part Name],0)),0)</f>
        <v/>
      </c>
      <c r="E85" s="17">
        <f>IFERROR(INDEX(M_RawMaterials[基準在庫上限_要入力],MATCH($A85,M_RawMaterials[Part Name],0)),0)</f>
        <v/>
      </c>
      <c r="F85" s="17">
        <f>IFERROR(LOOKUP(2,1/('T_SelfStock'!$B$45:$DA$45&lt;&gt;""),'T_SelfStock'!$B$45:$DA$45),"")</f>
        <v/>
      </c>
      <c r="G85" s="17">
        <f>IFERROR(LOOKUP(2,1/('T_TTAFStock'!$B$45:$DA$45&lt;&gt;""),'T_TTAFStock'!$B$45:$DA$45),"")</f>
        <v/>
      </c>
      <c r="H85" s="17">
        <f>IFERROR(LOOKUP(2,1/('T_SelfStock'!$B$45:$DA$45&lt;&gt;""),'T_SelfStock'!$B$5:$DA$5),"")</f>
        <v/>
      </c>
      <c r="I85" s="18" t="inlineStr">
        <is>
          <t>理論在庫</t>
        </is>
      </c>
      <c r="J85" s="17">
        <f>'Grid_Stock'!DA41-'Grid_TheoreticalStock'!DA41</f>
        <v/>
      </c>
      <c r="K85" s="18">
        <f>'Grid_TheoreticalStock'!B41</f>
        <v/>
      </c>
      <c r="L85" s="18">
        <f>'Grid_TheoreticalStock'!C41</f>
        <v/>
      </c>
      <c r="M85" s="18">
        <f>'Grid_TheoreticalStock'!D41</f>
        <v/>
      </c>
      <c r="N85" s="18">
        <f>'Grid_TheoreticalStock'!E41</f>
        <v/>
      </c>
      <c r="O85" s="18">
        <f>'Grid_TheoreticalStock'!F41</f>
        <v/>
      </c>
      <c r="P85" s="18">
        <f>'Grid_TheoreticalStock'!G41</f>
        <v/>
      </c>
      <c r="Q85" s="18">
        <f>'Grid_TheoreticalStock'!H41</f>
        <v/>
      </c>
      <c r="R85" s="18">
        <f>'Grid_TheoreticalStock'!I41</f>
        <v/>
      </c>
      <c r="S85" s="18">
        <f>'Grid_TheoreticalStock'!J41</f>
        <v/>
      </c>
      <c r="T85" s="18">
        <f>'Grid_TheoreticalStock'!K41</f>
        <v/>
      </c>
      <c r="U85" s="18">
        <f>'Grid_TheoreticalStock'!L41</f>
        <v/>
      </c>
      <c r="V85" s="18">
        <f>'Grid_TheoreticalStock'!M41</f>
        <v/>
      </c>
      <c r="W85" s="18">
        <f>'Grid_TheoreticalStock'!N41</f>
        <v/>
      </c>
      <c r="X85" s="18">
        <f>'Grid_TheoreticalStock'!O41</f>
        <v/>
      </c>
      <c r="Y85" s="18">
        <f>'Grid_TheoreticalStock'!P41</f>
        <v/>
      </c>
      <c r="Z85" s="18">
        <f>'Grid_TheoreticalStock'!Q41</f>
        <v/>
      </c>
      <c r="AA85" s="18">
        <f>'Grid_TheoreticalStock'!R41</f>
        <v/>
      </c>
      <c r="AB85" s="18">
        <f>'Grid_TheoreticalStock'!S41</f>
        <v/>
      </c>
      <c r="AC85" s="18">
        <f>'Grid_TheoreticalStock'!T41</f>
        <v/>
      </c>
      <c r="AD85" s="18">
        <f>'Grid_TheoreticalStock'!U41</f>
        <v/>
      </c>
      <c r="AE85" s="18">
        <f>'Grid_TheoreticalStock'!V41</f>
        <v/>
      </c>
      <c r="AF85" s="18">
        <f>'Grid_TheoreticalStock'!W41</f>
        <v/>
      </c>
      <c r="AG85" s="18">
        <f>'Grid_TheoreticalStock'!X41</f>
        <v/>
      </c>
      <c r="AH85" s="18">
        <f>'Grid_TheoreticalStock'!Y41</f>
        <v/>
      </c>
      <c r="AI85" s="18">
        <f>'Grid_TheoreticalStock'!Z41</f>
        <v/>
      </c>
      <c r="AJ85" s="18">
        <f>'Grid_TheoreticalStock'!AA41</f>
        <v/>
      </c>
      <c r="AK85" s="18">
        <f>'Grid_TheoreticalStock'!AB41</f>
        <v/>
      </c>
      <c r="AL85" s="18">
        <f>'Grid_TheoreticalStock'!AC41</f>
        <v/>
      </c>
      <c r="AM85" s="18">
        <f>'Grid_TheoreticalStock'!AD41</f>
        <v/>
      </c>
      <c r="AN85" s="18">
        <f>'Grid_TheoreticalStock'!AE41</f>
        <v/>
      </c>
      <c r="AO85" s="18">
        <f>'Grid_TheoreticalStock'!AF41</f>
        <v/>
      </c>
      <c r="AP85" s="18">
        <f>'Grid_TheoreticalStock'!AG41</f>
        <v/>
      </c>
      <c r="AQ85" s="18">
        <f>'Grid_TheoreticalStock'!AH41</f>
        <v/>
      </c>
      <c r="AR85" s="18">
        <f>'Grid_TheoreticalStock'!AI41</f>
        <v/>
      </c>
      <c r="AS85" s="18">
        <f>'Grid_TheoreticalStock'!AJ41</f>
        <v/>
      </c>
      <c r="AT85" s="18">
        <f>'Grid_TheoreticalStock'!AK41</f>
        <v/>
      </c>
      <c r="AU85" s="18">
        <f>'Grid_TheoreticalStock'!AL41</f>
        <v/>
      </c>
      <c r="AV85" s="18">
        <f>'Grid_TheoreticalStock'!AM41</f>
        <v/>
      </c>
      <c r="AW85" s="18">
        <f>'Grid_TheoreticalStock'!AN41</f>
        <v/>
      </c>
      <c r="AX85" s="18">
        <f>'Grid_TheoreticalStock'!AO41</f>
        <v/>
      </c>
      <c r="AY85" s="18">
        <f>'Grid_TheoreticalStock'!AP41</f>
        <v/>
      </c>
      <c r="AZ85" s="18">
        <f>'Grid_TheoreticalStock'!AQ41</f>
        <v/>
      </c>
      <c r="BA85" s="18">
        <f>'Grid_TheoreticalStock'!AR41</f>
        <v/>
      </c>
      <c r="BB85" s="18">
        <f>'Grid_TheoreticalStock'!AS41</f>
        <v/>
      </c>
      <c r="BC85" s="18">
        <f>'Grid_TheoreticalStock'!AT41</f>
        <v/>
      </c>
      <c r="BD85" s="18">
        <f>'Grid_TheoreticalStock'!AU41</f>
        <v/>
      </c>
      <c r="BE85" s="18">
        <f>'Grid_TheoreticalStock'!AV41</f>
        <v/>
      </c>
      <c r="BF85" s="18">
        <f>'Grid_TheoreticalStock'!AW41</f>
        <v/>
      </c>
      <c r="BG85" s="18">
        <f>'Grid_TheoreticalStock'!AX41</f>
        <v/>
      </c>
      <c r="BH85" s="18">
        <f>'Grid_TheoreticalStock'!AY41</f>
        <v/>
      </c>
      <c r="BI85" s="18">
        <f>'Grid_TheoreticalStock'!AZ41</f>
        <v/>
      </c>
      <c r="BJ85" s="18">
        <f>'Grid_TheoreticalStock'!BA41</f>
        <v/>
      </c>
      <c r="BK85" s="18">
        <f>'Grid_TheoreticalStock'!BB41</f>
        <v/>
      </c>
      <c r="BL85" s="18">
        <f>'Grid_TheoreticalStock'!BC41</f>
        <v/>
      </c>
      <c r="BM85" s="18">
        <f>'Grid_TheoreticalStock'!BD41</f>
        <v/>
      </c>
      <c r="BN85" s="18">
        <f>'Grid_TheoreticalStock'!BE41</f>
        <v/>
      </c>
      <c r="BO85" s="18">
        <f>'Grid_TheoreticalStock'!BF41</f>
        <v/>
      </c>
      <c r="BP85" s="18">
        <f>'Grid_TheoreticalStock'!BG41</f>
        <v/>
      </c>
      <c r="BQ85" s="18">
        <f>'Grid_TheoreticalStock'!BH41</f>
        <v/>
      </c>
      <c r="BR85" s="18">
        <f>'Grid_TheoreticalStock'!BI41</f>
        <v/>
      </c>
      <c r="BS85" s="18">
        <f>'Grid_TheoreticalStock'!BJ41</f>
        <v/>
      </c>
      <c r="BT85" s="18">
        <f>'Grid_TheoreticalStock'!BK41</f>
        <v/>
      </c>
      <c r="BU85" s="18">
        <f>'Grid_TheoreticalStock'!BL41</f>
        <v/>
      </c>
      <c r="BV85" s="18">
        <f>'Grid_TheoreticalStock'!BM41</f>
        <v/>
      </c>
      <c r="BW85" s="18">
        <f>'Grid_TheoreticalStock'!BN41</f>
        <v/>
      </c>
      <c r="BX85" s="18">
        <f>'Grid_TheoreticalStock'!BO41</f>
        <v/>
      </c>
      <c r="BY85" s="18">
        <f>'Grid_TheoreticalStock'!BP41</f>
        <v/>
      </c>
      <c r="BZ85" s="18">
        <f>'Grid_TheoreticalStock'!BQ41</f>
        <v/>
      </c>
      <c r="CA85" s="18">
        <f>'Grid_TheoreticalStock'!BR41</f>
        <v/>
      </c>
      <c r="CB85" s="18">
        <f>'Grid_TheoreticalStock'!BS41</f>
        <v/>
      </c>
      <c r="CC85" s="18">
        <f>'Grid_TheoreticalStock'!BT41</f>
        <v/>
      </c>
      <c r="CD85" s="18">
        <f>'Grid_TheoreticalStock'!BU41</f>
        <v/>
      </c>
      <c r="CE85" s="18">
        <f>'Grid_TheoreticalStock'!BV41</f>
        <v/>
      </c>
      <c r="CF85" s="18">
        <f>'Grid_TheoreticalStock'!BW41</f>
        <v/>
      </c>
      <c r="CG85" s="18">
        <f>'Grid_TheoreticalStock'!BX41</f>
        <v/>
      </c>
      <c r="CH85" s="18">
        <f>'Grid_TheoreticalStock'!BY41</f>
        <v/>
      </c>
      <c r="CI85" s="18">
        <f>'Grid_TheoreticalStock'!BZ41</f>
        <v/>
      </c>
      <c r="CJ85" s="18">
        <f>'Grid_TheoreticalStock'!CA41</f>
        <v/>
      </c>
      <c r="CK85" s="18">
        <f>'Grid_TheoreticalStock'!CB41</f>
        <v/>
      </c>
      <c r="CL85" s="18">
        <f>'Grid_TheoreticalStock'!CC41</f>
        <v/>
      </c>
      <c r="CM85" s="18">
        <f>'Grid_TheoreticalStock'!CD41</f>
        <v/>
      </c>
      <c r="CN85" s="18">
        <f>'Grid_TheoreticalStock'!CE41</f>
        <v/>
      </c>
      <c r="CO85" s="18">
        <f>'Grid_TheoreticalStock'!CF41</f>
        <v/>
      </c>
      <c r="CP85" s="18">
        <f>'Grid_TheoreticalStock'!CG41</f>
        <v/>
      </c>
      <c r="CQ85" s="18">
        <f>'Grid_TheoreticalStock'!CH41</f>
        <v/>
      </c>
      <c r="CR85" s="18">
        <f>'Grid_TheoreticalStock'!CI41</f>
        <v/>
      </c>
      <c r="CS85" s="18">
        <f>'Grid_TheoreticalStock'!CJ41</f>
        <v/>
      </c>
      <c r="CT85" s="18">
        <f>'Grid_TheoreticalStock'!CK41</f>
        <v/>
      </c>
      <c r="CU85" s="18">
        <f>'Grid_TheoreticalStock'!CL41</f>
        <v/>
      </c>
      <c r="CV85" s="18">
        <f>'Grid_TheoreticalStock'!CM41</f>
        <v/>
      </c>
      <c r="CW85" s="18">
        <f>'Grid_TheoreticalStock'!CN41</f>
        <v/>
      </c>
      <c r="CX85" s="18">
        <f>'Grid_TheoreticalStock'!CO41</f>
        <v/>
      </c>
      <c r="CY85" s="18">
        <f>'Grid_TheoreticalStock'!CP41</f>
        <v/>
      </c>
      <c r="CZ85" s="18">
        <f>'Grid_TheoreticalStock'!CQ41</f>
        <v/>
      </c>
      <c r="DA85" s="18">
        <f>'Grid_TheoreticalStock'!CR41</f>
        <v/>
      </c>
      <c r="DB85" s="18">
        <f>'Grid_TheoreticalStock'!CS41</f>
        <v/>
      </c>
      <c r="DC85" s="18">
        <f>'Grid_TheoreticalStock'!CT41</f>
        <v/>
      </c>
      <c r="DD85" s="18">
        <f>'Grid_TheoreticalStock'!CU41</f>
        <v/>
      </c>
      <c r="DE85" s="18">
        <f>'Grid_TheoreticalStock'!CV41</f>
        <v/>
      </c>
      <c r="DF85" s="18">
        <f>'Grid_TheoreticalStock'!CW41</f>
        <v/>
      </c>
      <c r="DG85" s="18">
        <f>'Grid_TheoreticalStock'!CX41</f>
        <v/>
      </c>
      <c r="DH85" s="18">
        <f>'Grid_TheoreticalStock'!CY41</f>
        <v/>
      </c>
      <c r="DI85" s="18">
        <f>'Grid_TheoreticalStock'!CZ41</f>
        <v/>
      </c>
      <c r="DJ85" s="18">
        <f>'Grid_TheoreticalStock'!DA41</f>
        <v/>
      </c>
    </row>
    <row r="86">
      <c r="A86" s="19" t="inlineStr">
        <is>
          <t>CHEM-1730</t>
        </is>
      </c>
      <c r="B86" s="19">
        <f>IFERROR(INDEX(M_RawMaterials[Description],MATCH($A86,M_RawMaterials[Part Name],0)),"")</f>
        <v/>
      </c>
      <c r="C86" s="19">
        <f>IFERROR(INDEX(M_RawMaterials[Category],MATCH($A86,M_RawMaterials[Part Name],0)),"")</f>
        <v/>
      </c>
      <c r="D86" s="19">
        <f>IFERROR(INDEX(M_RawMaterials[基準在庫下限_要入力],MATCH($A86,M_RawMaterials[Part Name],0)),0)</f>
        <v/>
      </c>
      <c r="E86" s="19">
        <f>IFERROR(INDEX(M_RawMaterials[基準在庫上限_要入力],MATCH($A86,M_RawMaterials[Part Name],0)),0)</f>
        <v/>
      </c>
      <c r="F86" s="19">
        <f>IFERROR(LOOKUP(2,1/('T_SelfStock'!$B$45:$DA$45&lt;&gt;""),'T_SelfStock'!$B$45:$DA$45),"")</f>
        <v/>
      </c>
      <c r="G86" s="19">
        <f>IFERROR(LOOKUP(2,1/('T_TTAFStock'!$B$45:$DA$45&lt;&gt;""),'T_TTAFStock'!$B$45:$DA$45),"")</f>
        <v/>
      </c>
      <c r="H86" s="19">
        <f>IFERROR(LOOKUP(2,1/('T_SelfStock'!$B$45:$DA$45&lt;&gt;""),'T_SelfStock'!$B$5:$DA$5),"")</f>
        <v/>
      </c>
      <c r="I86" s="20" t="inlineStr">
        <is>
          <t>実在庫</t>
        </is>
      </c>
      <c r="J86" s="19">
        <f>'Grid_Stock'!DA41-'Grid_TheoreticalStock'!DA41</f>
        <v/>
      </c>
      <c r="K86" s="19">
        <f>'Grid_Stock'!B41</f>
        <v/>
      </c>
      <c r="L86" s="19">
        <f>'Grid_Stock'!C41</f>
        <v/>
      </c>
      <c r="M86" s="19">
        <f>'Grid_Stock'!D41</f>
        <v/>
      </c>
      <c r="N86" s="19">
        <f>'Grid_Stock'!E41</f>
        <v/>
      </c>
      <c r="O86" s="19">
        <f>'Grid_Stock'!F41</f>
        <v/>
      </c>
      <c r="P86" s="19">
        <f>'Grid_Stock'!G41</f>
        <v/>
      </c>
      <c r="Q86" s="19">
        <f>'Grid_Stock'!H41</f>
        <v/>
      </c>
      <c r="R86" s="19">
        <f>'Grid_Stock'!I41</f>
        <v/>
      </c>
      <c r="S86" s="19">
        <f>'Grid_Stock'!J41</f>
        <v/>
      </c>
      <c r="T86" s="19">
        <f>'Grid_Stock'!K41</f>
        <v/>
      </c>
      <c r="U86" s="19">
        <f>'Grid_Stock'!L41</f>
        <v/>
      </c>
      <c r="V86" s="19">
        <f>'Grid_Stock'!M41</f>
        <v/>
      </c>
      <c r="W86" s="19">
        <f>'Grid_Stock'!N41</f>
        <v/>
      </c>
      <c r="X86" s="19">
        <f>'Grid_Stock'!O41</f>
        <v/>
      </c>
      <c r="Y86" s="19">
        <f>'Grid_Stock'!P41</f>
        <v/>
      </c>
      <c r="Z86" s="19">
        <f>'Grid_Stock'!Q41</f>
        <v/>
      </c>
      <c r="AA86" s="19">
        <f>'Grid_Stock'!R41</f>
        <v/>
      </c>
      <c r="AB86" s="19">
        <f>'Grid_Stock'!S41</f>
        <v/>
      </c>
      <c r="AC86" s="19">
        <f>'Grid_Stock'!T41</f>
        <v/>
      </c>
      <c r="AD86" s="19">
        <f>'Grid_Stock'!U41</f>
        <v/>
      </c>
      <c r="AE86" s="19">
        <f>'Grid_Stock'!V41</f>
        <v/>
      </c>
      <c r="AF86" s="19">
        <f>'Grid_Stock'!W41</f>
        <v/>
      </c>
      <c r="AG86" s="19">
        <f>'Grid_Stock'!X41</f>
        <v/>
      </c>
      <c r="AH86" s="19">
        <f>'Grid_Stock'!Y41</f>
        <v/>
      </c>
      <c r="AI86" s="19">
        <f>'Grid_Stock'!Z41</f>
        <v/>
      </c>
      <c r="AJ86" s="19">
        <f>'Grid_Stock'!AA41</f>
        <v/>
      </c>
      <c r="AK86" s="19">
        <f>'Grid_Stock'!AB41</f>
        <v/>
      </c>
      <c r="AL86" s="19">
        <f>'Grid_Stock'!AC41</f>
        <v/>
      </c>
      <c r="AM86" s="19">
        <f>'Grid_Stock'!AD41</f>
        <v/>
      </c>
      <c r="AN86" s="19">
        <f>'Grid_Stock'!AE41</f>
        <v/>
      </c>
      <c r="AO86" s="19">
        <f>'Grid_Stock'!AF41</f>
        <v/>
      </c>
      <c r="AP86" s="19">
        <f>'Grid_Stock'!AG41</f>
        <v/>
      </c>
      <c r="AQ86" s="19">
        <f>'Grid_Stock'!AH41</f>
        <v/>
      </c>
      <c r="AR86" s="19">
        <f>'Grid_Stock'!AI41</f>
        <v/>
      </c>
      <c r="AS86" s="19">
        <f>'Grid_Stock'!AJ41</f>
        <v/>
      </c>
      <c r="AT86" s="19">
        <f>'Grid_Stock'!AK41</f>
        <v/>
      </c>
      <c r="AU86" s="19">
        <f>'Grid_Stock'!AL41</f>
        <v/>
      </c>
      <c r="AV86" s="19">
        <f>'Grid_Stock'!AM41</f>
        <v/>
      </c>
      <c r="AW86" s="19">
        <f>'Grid_Stock'!AN41</f>
        <v/>
      </c>
      <c r="AX86" s="19">
        <f>'Grid_Stock'!AO41</f>
        <v/>
      </c>
      <c r="AY86" s="19">
        <f>'Grid_Stock'!AP41</f>
        <v/>
      </c>
      <c r="AZ86" s="19">
        <f>'Grid_Stock'!AQ41</f>
        <v/>
      </c>
      <c r="BA86" s="19">
        <f>'Grid_Stock'!AR41</f>
        <v/>
      </c>
      <c r="BB86" s="19">
        <f>'Grid_Stock'!AS41</f>
        <v/>
      </c>
      <c r="BC86" s="19">
        <f>'Grid_Stock'!AT41</f>
        <v/>
      </c>
      <c r="BD86" s="19">
        <f>'Grid_Stock'!AU41</f>
        <v/>
      </c>
      <c r="BE86" s="19">
        <f>'Grid_Stock'!AV41</f>
        <v/>
      </c>
      <c r="BF86" s="19">
        <f>'Grid_Stock'!AW41</f>
        <v/>
      </c>
      <c r="BG86" s="19">
        <f>'Grid_Stock'!AX41</f>
        <v/>
      </c>
      <c r="BH86" s="19">
        <f>'Grid_Stock'!AY41</f>
        <v/>
      </c>
      <c r="BI86" s="19">
        <f>'Grid_Stock'!AZ41</f>
        <v/>
      </c>
      <c r="BJ86" s="19">
        <f>'Grid_Stock'!BA41</f>
        <v/>
      </c>
      <c r="BK86" s="19">
        <f>'Grid_Stock'!BB41</f>
        <v/>
      </c>
      <c r="BL86" s="19">
        <f>'Grid_Stock'!BC41</f>
        <v/>
      </c>
      <c r="BM86" s="19">
        <f>'Grid_Stock'!BD41</f>
        <v/>
      </c>
      <c r="BN86" s="19">
        <f>'Grid_Stock'!BE41</f>
        <v/>
      </c>
      <c r="BO86" s="19">
        <f>'Grid_Stock'!BF41</f>
        <v/>
      </c>
      <c r="BP86" s="19">
        <f>'Grid_Stock'!BG41</f>
        <v/>
      </c>
      <c r="BQ86" s="19">
        <f>'Grid_Stock'!BH41</f>
        <v/>
      </c>
      <c r="BR86" s="19">
        <f>'Grid_Stock'!BI41</f>
        <v/>
      </c>
      <c r="BS86" s="19">
        <f>'Grid_Stock'!BJ41</f>
        <v/>
      </c>
      <c r="BT86" s="19">
        <f>'Grid_Stock'!BK41</f>
        <v/>
      </c>
      <c r="BU86" s="19">
        <f>'Grid_Stock'!BL41</f>
        <v/>
      </c>
      <c r="BV86" s="19">
        <f>'Grid_Stock'!BM41</f>
        <v/>
      </c>
      <c r="BW86" s="19">
        <f>'Grid_Stock'!BN41</f>
        <v/>
      </c>
      <c r="BX86" s="19">
        <f>'Grid_Stock'!BO41</f>
        <v/>
      </c>
      <c r="BY86" s="19">
        <f>'Grid_Stock'!BP41</f>
        <v/>
      </c>
      <c r="BZ86" s="19">
        <f>'Grid_Stock'!BQ41</f>
        <v/>
      </c>
      <c r="CA86" s="19">
        <f>'Grid_Stock'!BR41</f>
        <v/>
      </c>
      <c r="CB86" s="19">
        <f>'Grid_Stock'!BS41</f>
        <v/>
      </c>
      <c r="CC86" s="19">
        <f>'Grid_Stock'!BT41</f>
        <v/>
      </c>
      <c r="CD86" s="19">
        <f>'Grid_Stock'!BU41</f>
        <v/>
      </c>
      <c r="CE86" s="19">
        <f>'Grid_Stock'!BV41</f>
        <v/>
      </c>
      <c r="CF86" s="19">
        <f>'Grid_Stock'!BW41</f>
        <v/>
      </c>
      <c r="CG86" s="19">
        <f>'Grid_Stock'!BX41</f>
        <v/>
      </c>
      <c r="CH86" s="19">
        <f>'Grid_Stock'!BY41</f>
        <v/>
      </c>
      <c r="CI86" s="19">
        <f>'Grid_Stock'!BZ41</f>
        <v/>
      </c>
      <c r="CJ86" s="19">
        <f>'Grid_Stock'!CA41</f>
        <v/>
      </c>
      <c r="CK86" s="19">
        <f>'Grid_Stock'!CB41</f>
        <v/>
      </c>
      <c r="CL86" s="19">
        <f>'Grid_Stock'!CC41</f>
        <v/>
      </c>
      <c r="CM86" s="19">
        <f>'Grid_Stock'!CD41</f>
        <v/>
      </c>
      <c r="CN86" s="19">
        <f>'Grid_Stock'!CE41</f>
        <v/>
      </c>
      <c r="CO86" s="19">
        <f>'Grid_Stock'!CF41</f>
        <v/>
      </c>
      <c r="CP86" s="19">
        <f>'Grid_Stock'!CG41</f>
        <v/>
      </c>
      <c r="CQ86" s="19">
        <f>'Grid_Stock'!CH41</f>
        <v/>
      </c>
      <c r="CR86" s="19">
        <f>'Grid_Stock'!CI41</f>
        <v/>
      </c>
      <c r="CS86" s="19">
        <f>'Grid_Stock'!CJ41</f>
        <v/>
      </c>
      <c r="CT86" s="19">
        <f>'Grid_Stock'!CK41</f>
        <v/>
      </c>
      <c r="CU86" s="19">
        <f>'Grid_Stock'!CL41</f>
        <v/>
      </c>
      <c r="CV86" s="19">
        <f>'Grid_Stock'!CM41</f>
        <v/>
      </c>
      <c r="CW86" s="19">
        <f>'Grid_Stock'!CN41</f>
        <v/>
      </c>
      <c r="CX86" s="19">
        <f>'Grid_Stock'!CO41</f>
        <v/>
      </c>
      <c r="CY86" s="19">
        <f>'Grid_Stock'!CP41</f>
        <v/>
      </c>
      <c r="CZ86" s="19">
        <f>'Grid_Stock'!CQ41</f>
        <v/>
      </c>
      <c r="DA86" s="19">
        <f>'Grid_Stock'!CR41</f>
        <v/>
      </c>
      <c r="DB86" s="19">
        <f>'Grid_Stock'!CS41</f>
        <v/>
      </c>
      <c r="DC86" s="19">
        <f>'Grid_Stock'!CT41</f>
        <v/>
      </c>
      <c r="DD86" s="19">
        <f>'Grid_Stock'!CU41</f>
        <v/>
      </c>
      <c r="DE86" s="19">
        <f>'Grid_Stock'!CV41</f>
        <v/>
      </c>
      <c r="DF86" s="19">
        <f>'Grid_Stock'!CW41</f>
        <v/>
      </c>
      <c r="DG86" s="19">
        <f>'Grid_Stock'!CX41</f>
        <v/>
      </c>
      <c r="DH86" s="19">
        <f>'Grid_Stock'!CY41</f>
        <v/>
      </c>
      <c r="DI86" s="19">
        <f>'Grid_Stock'!CZ41</f>
        <v/>
      </c>
      <c r="DJ86" s="19">
        <f>'Grid_Stock'!DA41</f>
        <v/>
      </c>
    </row>
    <row r="87">
      <c r="A87" s="17" t="inlineStr">
        <is>
          <t>CHEM-1280</t>
        </is>
      </c>
      <c r="B87" s="17">
        <f>IFERROR(INDEX(M_RawMaterials[Description],MATCH($A87,M_RawMaterials[Part Name],0)),"")</f>
        <v/>
      </c>
      <c r="C87" s="17">
        <f>IFERROR(INDEX(M_RawMaterials[Category],MATCH($A87,M_RawMaterials[Part Name],0)),"")</f>
        <v/>
      </c>
      <c r="D87" s="17">
        <f>IFERROR(INDEX(M_RawMaterials[基準在庫下限_要入力],MATCH($A87,M_RawMaterials[Part Name],0)),0)</f>
        <v/>
      </c>
      <c r="E87" s="17">
        <f>IFERROR(INDEX(M_RawMaterials[基準在庫上限_要入力],MATCH($A87,M_RawMaterials[Part Name],0)),0)</f>
        <v/>
      </c>
      <c r="F87" s="17">
        <f>IFERROR(LOOKUP(2,1/('T_SelfStock'!$B$46:$DA$46&lt;&gt;""),'T_SelfStock'!$B$46:$DA$46),"")</f>
        <v/>
      </c>
      <c r="G87" s="17">
        <f>IFERROR(LOOKUP(2,1/('T_TTAFStock'!$B$46:$DA$46&lt;&gt;""),'T_TTAFStock'!$B$46:$DA$46),"")</f>
        <v/>
      </c>
      <c r="H87" s="17">
        <f>IFERROR(LOOKUP(2,1/('T_SelfStock'!$B$46:$DA$46&lt;&gt;""),'T_SelfStock'!$B$5:$DA$5),"")</f>
        <v/>
      </c>
      <c r="I87" s="18" t="inlineStr">
        <is>
          <t>理論在庫</t>
        </is>
      </c>
      <c r="J87" s="17">
        <f>'Grid_Stock'!DA42-'Grid_TheoreticalStock'!DA42</f>
        <v/>
      </c>
      <c r="K87" s="18">
        <f>'Grid_TheoreticalStock'!B42</f>
        <v/>
      </c>
      <c r="L87" s="18">
        <f>'Grid_TheoreticalStock'!C42</f>
        <v/>
      </c>
      <c r="M87" s="18">
        <f>'Grid_TheoreticalStock'!D42</f>
        <v/>
      </c>
      <c r="N87" s="18">
        <f>'Grid_TheoreticalStock'!E42</f>
        <v/>
      </c>
      <c r="O87" s="18">
        <f>'Grid_TheoreticalStock'!F42</f>
        <v/>
      </c>
      <c r="P87" s="18">
        <f>'Grid_TheoreticalStock'!G42</f>
        <v/>
      </c>
      <c r="Q87" s="18">
        <f>'Grid_TheoreticalStock'!H42</f>
        <v/>
      </c>
      <c r="R87" s="18">
        <f>'Grid_TheoreticalStock'!I42</f>
        <v/>
      </c>
      <c r="S87" s="18">
        <f>'Grid_TheoreticalStock'!J42</f>
        <v/>
      </c>
      <c r="T87" s="18">
        <f>'Grid_TheoreticalStock'!K42</f>
        <v/>
      </c>
      <c r="U87" s="18">
        <f>'Grid_TheoreticalStock'!L42</f>
        <v/>
      </c>
      <c r="V87" s="18">
        <f>'Grid_TheoreticalStock'!M42</f>
        <v/>
      </c>
      <c r="W87" s="18">
        <f>'Grid_TheoreticalStock'!N42</f>
        <v/>
      </c>
      <c r="X87" s="18">
        <f>'Grid_TheoreticalStock'!O42</f>
        <v/>
      </c>
      <c r="Y87" s="18">
        <f>'Grid_TheoreticalStock'!P42</f>
        <v/>
      </c>
      <c r="Z87" s="18">
        <f>'Grid_TheoreticalStock'!Q42</f>
        <v/>
      </c>
      <c r="AA87" s="18">
        <f>'Grid_TheoreticalStock'!R42</f>
        <v/>
      </c>
      <c r="AB87" s="18">
        <f>'Grid_TheoreticalStock'!S42</f>
        <v/>
      </c>
      <c r="AC87" s="18">
        <f>'Grid_TheoreticalStock'!T42</f>
        <v/>
      </c>
      <c r="AD87" s="18">
        <f>'Grid_TheoreticalStock'!U42</f>
        <v/>
      </c>
      <c r="AE87" s="18">
        <f>'Grid_TheoreticalStock'!V42</f>
        <v/>
      </c>
      <c r="AF87" s="18">
        <f>'Grid_TheoreticalStock'!W42</f>
        <v/>
      </c>
      <c r="AG87" s="18">
        <f>'Grid_TheoreticalStock'!X42</f>
        <v/>
      </c>
      <c r="AH87" s="18">
        <f>'Grid_TheoreticalStock'!Y42</f>
        <v/>
      </c>
      <c r="AI87" s="18">
        <f>'Grid_TheoreticalStock'!Z42</f>
        <v/>
      </c>
      <c r="AJ87" s="18">
        <f>'Grid_TheoreticalStock'!AA42</f>
        <v/>
      </c>
      <c r="AK87" s="18">
        <f>'Grid_TheoreticalStock'!AB42</f>
        <v/>
      </c>
      <c r="AL87" s="18">
        <f>'Grid_TheoreticalStock'!AC42</f>
        <v/>
      </c>
      <c r="AM87" s="18">
        <f>'Grid_TheoreticalStock'!AD42</f>
        <v/>
      </c>
      <c r="AN87" s="18">
        <f>'Grid_TheoreticalStock'!AE42</f>
        <v/>
      </c>
      <c r="AO87" s="18">
        <f>'Grid_TheoreticalStock'!AF42</f>
        <v/>
      </c>
      <c r="AP87" s="18">
        <f>'Grid_TheoreticalStock'!AG42</f>
        <v/>
      </c>
      <c r="AQ87" s="18">
        <f>'Grid_TheoreticalStock'!AH42</f>
        <v/>
      </c>
      <c r="AR87" s="18">
        <f>'Grid_TheoreticalStock'!AI42</f>
        <v/>
      </c>
      <c r="AS87" s="18">
        <f>'Grid_TheoreticalStock'!AJ42</f>
        <v/>
      </c>
      <c r="AT87" s="18">
        <f>'Grid_TheoreticalStock'!AK42</f>
        <v/>
      </c>
      <c r="AU87" s="18">
        <f>'Grid_TheoreticalStock'!AL42</f>
        <v/>
      </c>
      <c r="AV87" s="18">
        <f>'Grid_TheoreticalStock'!AM42</f>
        <v/>
      </c>
      <c r="AW87" s="18">
        <f>'Grid_TheoreticalStock'!AN42</f>
        <v/>
      </c>
      <c r="AX87" s="18">
        <f>'Grid_TheoreticalStock'!AO42</f>
        <v/>
      </c>
      <c r="AY87" s="18">
        <f>'Grid_TheoreticalStock'!AP42</f>
        <v/>
      </c>
      <c r="AZ87" s="18">
        <f>'Grid_TheoreticalStock'!AQ42</f>
        <v/>
      </c>
      <c r="BA87" s="18">
        <f>'Grid_TheoreticalStock'!AR42</f>
        <v/>
      </c>
      <c r="BB87" s="18">
        <f>'Grid_TheoreticalStock'!AS42</f>
        <v/>
      </c>
      <c r="BC87" s="18">
        <f>'Grid_TheoreticalStock'!AT42</f>
        <v/>
      </c>
      <c r="BD87" s="18">
        <f>'Grid_TheoreticalStock'!AU42</f>
        <v/>
      </c>
      <c r="BE87" s="18">
        <f>'Grid_TheoreticalStock'!AV42</f>
        <v/>
      </c>
      <c r="BF87" s="18">
        <f>'Grid_TheoreticalStock'!AW42</f>
        <v/>
      </c>
      <c r="BG87" s="18">
        <f>'Grid_TheoreticalStock'!AX42</f>
        <v/>
      </c>
      <c r="BH87" s="18">
        <f>'Grid_TheoreticalStock'!AY42</f>
        <v/>
      </c>
      <c r="BI87" s="18">
        <f>'Grid_TheoreticalStock'!AZ42</f>
        <v/>
      </c>
      <c r="BJ87" s="18">
        <f>'Grid_TheoreticalStock'!BA42</f>
        <v/>
      </c>
      <c r="BK87" s="18">
        <f>'Grid_TheoreticalStock'!BB42</f>
        <v/>
      </c>
      <c r="BL87" s="18">
        <f>'Grid_TheoreticalStock'!BC42</f>
        <v/>
      </c>
      <c r="BM87" s="18">
        <f>'Grid_TheoreticalStock'!BD42</f>
        <v/>
      </c>
      <c r="BN87" s="18">
        <f>'Grid_TheoreticalStock'!BE42</f>
        <v/>
      </c>
      <c r="BO87" s="18">
        <f>'Grid_TheoreticalStock'!BF42</f>
        <v/>
      </c>
      <c r="BP87" s="18">
        <f>'Grid_TheoreticalStock'!BG42</f>
        <v/>
      </c>
      <c r="BQ87" s="18">
        <f>'Grid_TheoreticalStock'!BH42</f>
        <v/>
      </c>
      <c r="BR87" s="18">
        <f>'Grid_TheoreticalStock'!BI42</f>
        <v/>
      </c>
      <c r="BS87" s="18">
        <f>'Grid_TheoreticalStock'!BJ42</f>
        <v/>
      </c>
      <c r="BT87" s="18">
        <f>'Grid_TheoreticalStock'!BK42</f>
        <v/>
      </c>
      <c r="BU87" s="18">
        <f>'Grid_TheoreticalStock'!BL42</f>
        <v/>
      </c>
      <c r="BV87" s="18">
        <f>'Grid_TheoreticalStock'!BM42</f>
        <v/>
      </c>
      <c r="BW87" s="18">
        <f>'Grid_TheoreticalStock'!BN42</f>
        <v/>
      </c>
      <c r="BX87" s="18">
        <f>'Grid_TheoreticalStock'!BO42</f>
        <v/>
      </c>
      <c r="BY87" s="18">
        <f>'Grid_TheoreticalStock'!BP42</f>
        <v/>
      </c>
      <c r="BZ87" s="18">
        <f>'Grid_TheoreticalStock'!BQ42</f>
        <v/>
      </c>
      <c r="CA87" s="18">
        <f>'Grid_TheoreticalStock'!BR42</f>
        <v/>
      </c>
      <c r="CB87" s="18">
        <f>'Grid_TheoreticalStock'!BS42</f>
        <v/>
      </c>
      <c r="CC87" s="18">
        <f>'Grid_TheoreticalStock'!BT42</f>
        <v/>
      </c>
      <c r="CD87" s="18">
        <f>'Grid_TheoreticalStock'!BU42</f>
        <v/>
      </c>
      <c r="CE87" s="18">
        <f>'Grid_TheoreticalStock'!BV42</f>
        <v/>
      </c>
      <c r="CF87" s="18">
        <f>'Grid_TheoreticalStock'!BW42</f>
        <v/>
      </c>
      <c r="CG87" s="18">
        <f>'Grid_TheoreticalStock'!BX42</f>
        <v/>
      </c>
      <c r="CH87" s="18">
        <f>'Grid_TheoreticalStock'!BY42</f>
        <v/>
      </c>
      <c r="CI87" s="18">
        <f>'Grid_TheoreticalStock'!BZ42</f>
        <v/>
      </c>
      <c r="CJ87" s="18">
        <f>'Grid_TheoreticalStock'!CA42</f>
        <v/>
      </c>
      <c r="CK87" s="18">
        <f>'Grid_TheoreticalStock'!CB42</f>
        <v/>
      </c>
      <c r="CL87" s="18">
        <f>'Grid_TheoreticalStock'!CC42</f>
        <v/>
      </c>
      <c r="CM87" s="18">
        <f>'Grid_TheoreticalStock'!CD42</f>
        <v/>
      </c>
      <c r="CN87" s="18">
        <f>'Grid_TheoreticalStock'!CE42</f>
        <v/>
      </c>
      <c r="CO87" s="18">
        <f>'Grid_TheoreticalStock'!CF42</f>
        <v/>
      </c>
      <c r="CP87" s="18">
        <f>'Grid_TheoreticalStock'!CG42</f>
        <v/>
      </c>
      <c r="CQ87" s="18">
        <f>'Grid_TheoreticalStock'!CH42</f>
        <v/>
      </c>
      <c r="CR87" s="18">
        <f>'Grid_TheoreticalStock'!CI42</f>
        <v/>
      </c>
      <c r="CS87" s="18">
        <f>'Grid_TheoreticalStock'!CJ42</f>
        <v/>
      </c>
      <c r="CT87" s="18">
        <f>'Grid_TheoreticalStock'!CK42</f>
        <v/>
      </c>
      <c r="CU87" s="18">
        <f>'Grid_TheoreticalStock'!CL42</f>
        <v/>
      </c>
      <c r="CV87" s="18">
        <f>'Grid_TheoreticalStock'!CM42</f>
        <v/>
      </c>
      <c r="CW87" s="18">
        <f>'Grid_TheoreticalStock'!CN42</f>
        <v/>
      </c>
      <c r="CX87" s="18">
        <f>'Grid_TheoreticalStock'!CO42</f>
        <v/>
      </c>
      <c r="CY87" s="18">
        <f>'Grid_TheoreticalStock'!CP42</f>
        <v/>
      </c>
      <c r="CZ87" s="18">
        <f>'Grid_TheoreticalStock'!CQ42</f>
        <v/>
      </c>
      <c r="DA87" s="18">
        <f>'Grid_TheoreticalStock'!CR42</f>
        <v/>
      </c>
      <c r="DB87" s="18">
        <f>'Grid_TheoreticalStock'!CS42</f>
        <v/>
      </c>
      <c r="DC87" s="18">
        <f>'Grid_TheoreticalStock'!CT42</f>
        <v/>
      </c>
      <c r="DD87" s="18">
        <f>'Grid_TheoreticalStock'!CU42</f>
        <v/>
      </c>
      <c r="DE87" s="18">
        <f>'Grid_TheoreticalStock'!CV42</f>
        <v/>
      </c>
      <c r="DF87" s="18">
        <f>'Grid_TheoreticalStock'!CW42</f>
        <v/>
      </c>
      <c r="DG87" s="18">
        <f>'Grid_TheoreticalStock'!CX42</f>
        <v/>
      </c>
      <c r="DH87" s="18">
        <f>'Grid_TheoreticalStock'!CY42</f>
        <v/>
      </c>
      <c r="DI87" s="18">
        <f>'Grid_TheoreticalStock'!CZ42</f>
        <v/>
      </c>
      <c r="DJ87" s="18">
        <f>'Grid_TheoreticalStock'!DA42</f>
        <v/>
      </c>
    </row>
    <row r="88">
      <c r="A88" s="19" t="inlineStr">
        <is>
          <t>CHEM-1280</t>
        </is>
      </c>
      <c r="B88" s="19">
        <f>IFERROR(INDEX(M_RawMaterials[Description],MATCH($A88,M_RawMaterials[Part Name],0)),"")</f>
        <v/>
      </c>
      <c r="C88" s="19">
        <f>IFERROR(INDEX(M_RawMaterials[Category],MATCH($A88,M_RawMaterials[Part Name],0)),"")</f>
        <v/>
      </c>
      <c r="D88" s="19">
        <f>IFERROR(INDEX(M_RawMaterials[基準在庫下限_要入力],MATCH($A88,M_RawMaterials[Part Name],0)),0)</f>
        <v/>
      </c>
      <c r="E88" s="19">
        <f>IFERROR(INDEX(M_RawMaterials[基準在庫上限_要入力],MATCH($A88,M_RawMaterials[Part Name],0)),0)</f>
        <v/>
      </c>
      <c r="F88" s="19">
        <f>IFERROR(LOOKUP(2,1/('T_SelfStock'!$B$46:$DA$46&lt;&gt;""),'T_SelfStock'!$B$46:$DA$46),"")</f>
        <v/>
      </c>
      <c r="G88" s="19">
        <f>IFERROR(LOOKUP(2,1/('T_TTAFStock'!$B$46:$DA$46&lt;&gt;""),'T_TTAFStock'!$B$46:$DA$46),"")</f>
        <v/>
      </c>
      <c r="H88" s="19">
        <f>IFERROR(LOOKUP(2,1/('T_SelfStock'!$B$46:$DA$46&lt;&gt;""),'T_SelfStock'!$B$5:$DA$5),"")</f>
        <v/>
      </c>
      <c r="I88" s="20" t="inlineStr">
        <is>
          <t>実在庫</t>
        </is>
      </c>
      <c r="J88" s="19">
        <f>'Grid_Stock'!DA42-'Grid_TheoreticalStock'!DA42</f>
        <v/>
      </c>
      <c r="K88" s="19">
        <f>'Grid_Stock'!B42</f>
        <v/>
      </c>
      <c r="L88" s="19">
        <f>'Grid_Stock'!C42</f>
        <v/>
      </c>
      <c r="M88" s="19">
        <f>'Grid_Stock'!D42</f>
        <v/>
      </c>
      <c r="N88" s="19">
        <f>'Grid_Stock'!E42</f>
        <v/>
      </c>
      <c r="O88" s="19">
        <f>'Grid_Stock'!F42</f>
        <v/>
      </c>
      <c r="P88" s="19">
        <f>'Grid_Stock'!G42</f>
        <v/>
      </c>
      <c r="Q88" s="19">
        <f>'Grid_Stock'!H42</f>
        <v/>
      </c>
      <c r="R88" s="19">
        <f>'Grid_Stock'!I42</f>
        <v/>
      </c>
      <c r="S88" s="19">
        <f>'Grid_Stock'!J42</f>
        <v/>
      </c>
      <c r="T88" s="19">
        <f>'Grid_Stock'!K42</f>
        <v/>
      </c>
      <c r="U88" s="19">
        <f>'Grid_Stock'!L42</f>
        <v/>
      </c>
      <c r="V88" s="19">
        <f>'Grid_Stock'!M42</f>
        <v/>
      </c>
      <c r="W88" s="19">
        <f>'Grid_Stock'!N42</f>
        <v/>
      </c>
      <c r="X88" s="19">
        <f>'Grid_Stock'!O42</f>
        <v/>
      </c>
      <c r="Y88" s="19">
        <f>'Grid_Stock'!P42</f>
        <v/>
      </c>
      <c r="Z88" s="19">
        <f>'Grid_Stock'!Q42</f>
        <v/>
      </c>
      <c r="AA88" s="19">
        <f>'Grid_Stock'!R42</f>
        <v/>
      </c>
      <c r="AB88" s="19">
        <f>'Grid_Stock'!S42</f>
        <v/>
      </c>
      <c r="AC88" s="19">
        <f>'Grid_Stock'!T42</f>
        <v/>
      </c>
      <c r="AD88" s="19">
        <f>'Grid_Stock'!U42</f>
        <v/>
      </c>
      <c r="AE88" s="19">
        <f>'Grid_Stock'!V42</f>
        <v/>
      </c>
      <c r="AF88" s="19">
        <f>'Grid_Stock'!W42</f>
        <v/>
      </c>
      <c r="AG88" s="19">
        <f>'Grid_Stock'!X42</f>
        <v/>
      </c>
      <c r="AH88" s="19">
        <f>'Grid_Stock'!Y42</f>
        <v/>
      </c>
      <c r="AI88" s="19">
        <f>'Grid_Stock'!Z42</f>
        <v/>
      </c>
      <c r="AJ88" s="19">
        <f>'Grid_Stock'!AA42</f>
        <v/>
      </c>
      <c r="AK88" s="19">
        <f>'Grid_Stock'!AB42</f>
        <v/>
      </c>
      <c r="AL88" s="19">
        <f>'Grid_Stock'!AC42</f>
        <v/>
      </c>
      <c r="AM88" s="19">
        <f>'Grid_Stock'!AD42</f>
        <v/>
      </c>
      <c r="AN88" s="19">
        <f>'Grid_Stock'!AE42</f>
        <v/>
      </c>
      <c r="AO88" s="19">
        <f>'Grid_Stock'!AF42</f>
        <v/>
      </c>
      <c r="AP88" s="19">
        <f>'Grid_Stock'!AG42</f>
        <v/>
      </c>
      <c r="AQ88" s="19">
        <f>'Grid_Stock'!AH42</f>
        <v/>
      </c>
      <c r="AR88" s="19">
        <f>'Grid_Stock'!AI42</f>
        <v/>
      </c>
      <c r="AS88" s="19">
        <f>'Grid_Stock'!AJ42</f>
        <v/>
      </c>
      <c r="AT88" s="19">
        <f>'Grid_Stock'!AK42</f>
        <v/>
      </c>
      <c r="AU88" s="19">
        <f>'Grid_Stock'!AL42</f>
        <v/>
      </c>
      <c r="AV88" s="19">
        <f>'Grid_Stock'!AM42</f>
        <v/>
      </c>
      <c r="AW88" s="19">
        <f>'Grid_Stock'!AN42</f>
        <v/>
      </c>
      <c r="AX88" s="19">
        <f>'Grid_Stock'!AO42</f>
        <v/>
      </c>
      <c r="AY88" s="19">
        <f>'Grid_Stock'!AP42</f>
        <v/>
      </c>
      <c r="AZ88" s="19">
        <f>'Grid_Stock'!AQ42</f>
        <v/>
      </c>
      <c r="BA88" s="19">
        <f>'Grid_Stock'!AR42</f>
        <v/>
      </c>
      <c r="BB88" s="19">
        <f>'Grid_Stock'!AS42</f>
        <v/>
      </c>
      <c r="BC88" s="19">
        <f>'Grid_Stock'!AT42</f>
        <v/>
      </c>
      <c r="BD88" s="19">
        <f>'Grid_Stock'!AU42</f>
        <v/>
      </c>
      <c r="BE88" s="19">
        <f>'Grid_Stock'!AV42</f>
        <v/>
      </c>
      <c r="BF88" s="19">
        <f>'Grid_Stock'!AW42</f>
        <v/>
      </c>
      <c r="BG88" s="19">
        <f>'Grid_Stock'!AX42</f>
        <v/>
      </c>
      <c r="BH88" s="19">
        <f>'Grid_Stock'!AY42</f>
        <v/>
      </c>
      <c r="BI88" s="19">
        <f>'Grid_Stock'!AZ42</f>
        <v/>
      </c>
      <c r="BJ88" s="19">
        <f>'Grid_Stock'!BA42</f>
        <v/>
      </c>
      <c r="BK88" s="19">
        <f>'Grid_Stock'!BB42</f>
        <v/>
      </c>
      <c r="BL88" s="19">
        <f>'Grid_Stock'!BC42</f>
        <v/>
      </c>
      <c r="BM88" s="19">
        <f>'Grid_Stock'!BD42</f>
        <v/>
      </c>
      <c r="BN88" s="19">
        <f>'Grid_Stock'!BE42</f>
        <v/>
      </c>
      <c r="BO88" s="19">
        <f>'Grid_Stock'!BF42</f>
        <v/>
      </c>
      <c r="BP88" s="19">
        <f>'Grid_Stock'!BG42</f>
        <v/>
      </c>
      <c r="BQ88" s="19">
        <f>'Grid_Stock'!BH42</f>
        <v/>
      </c>
      <c r="BR88" s="19">
        <f>'Grid_Stock'!BI42</f>
        <v/>
      </c>
      <c r="BS88" s="19">
        <f>'Grid_Stock'!BJ42</f>
        <v/>
      </c>
      <c r="BT88" s="19">
        <f>'Grid_Stock'!BK42</f>
        <v/>
      </c>
      <c r="BU88" s="19">
        <f>'Grid_Stock'!BL42</f>
        <v/>
      </c>
      <c r="BV88" s="19">
        <f>'Grid_Stock'!BM42</f>
        <v/>
      </c>
      <c r="BW88" s="19">
        <f>'Grid_Stock'!BN42</f>
        <v/>
      </c>
      <c r="BX88" s="19">
        <f>'Grid_Stock'!BO42</f>
        <v/>
      </c>
      <c r="BY88" s="19">
        <f>'Grid_Stock'!BP42</f>
        <v/>
      </c>
      <c r="BZ88" s="19">
        <f>'Grid_Stock'!BQ42</f>
        <v/>
      </c>
      <c r="CA88" s="19">
        <f>'Grid_Stock'!BR42</f>
        <v/>
      </c>
      <c r="CB88" s="19">
        <f>'Grid_Stock'!BS42</f>
        <v/>
      </c>
      <c r="CC88" s="19">
        <f>'Grid_Stock'!BT42</f>
        <v/>
      </c>
      <c r="CD88" s="19">
        <f>'Grid_Stock'!BU42</f>
        <v/>
      </c>
      <c r="CE88" s="19">
        <f>'Grid_Stock'!BV42</f>
        <v/>
      </c>
      <c r="CF88" s="19">
        <f>'Grid_Stock'!BW42</f>
        <v/>
      </c>
      <c r="CG88" s="19">
        <f>'Grid_Stock'!BX42</f>
        <v/>
      </c>
      <c r="CH88" s="19">
        <f>'Grid_Stock'!BY42</f>
        <v/>
      </c>
      <c r="CI88" s="19">
        <f>'Grid_Stock'!BZ42</f>
        <v/>
      </c>
      <c r="CJ88" s="19">
        <f>'Grid_Stock'!CA42</f>
        <v/>
      </c>
      <c r="CK88" s="19">
        <f>'Grid_Stock'!CB42</f>
        <v/>
      </c>
      <c r="CL88" s="19">
        <f>'Grid_Stock'!CC42</f>
        <v/>
      </c>
      <c r="CM88" s="19">
        <f>'Grid_Stock'!CD42</f>
        <v/>
      </c>
      <c r="CN88" s="19">
        <f>'Grid_Stock'!CE42</f>
        <v/>
      </c>
      <c r="CO88" s="19">
        <f>'Grid_Stock'!CF42</f>
        <v/>
      </c>
      <c r="CP88" s="19">
        <f>'Grid_Stock'!CG42</f>
        <v/>
      </c>
      <c r="CQ88" s="19">
        <f>'Grid_Stock'!CH42</f>
        <v/>
      </c>
      <c r="CR88" s="19">
        <f>'Grid_Stock'!CI42</f>
        <v/>
      </c>
      <c r="CS88" s="19">
        <f>'Grid_Stock'!CJ42</f>
        <v/>
      </c>
      <c r="CT88" s="19">
        <f>'Grid_Stock'!CK42</f>
        <v/>
      </c>
      <c r="CU88" s="19">
        <f>'Grid_Stock'!CL42</f>
        <v/>
      </c>
      <c r="CV88" s="19">
        <f>'Grid_Stock'!CM42</f>
        <v/>
      </c>
      <c r="CW88" s="19">
        <f>'Grid_Stock'!CN42</f>
        <v/>
      </c>
      <c r="CX88" s="19">
        <f>'Grid_Stock'!CO42</f>
        <v/>
      </c>
      <c r="CY88" s="19">
        <f>'Grid_Stock'!CP42</f>
        <v/>
      </c>
      <c r="CZ88" s="19">
        <f>'Grid_Stock'!CQ42</f>
        <v/>
      </c>
      <c r="DA88" s="19">
        <f>'Grid_Stock'!CR42</f>
        <v/>
      </c>
      <c r="DB88" s="19">
        <f>'Grid_Stock'!CS42</f>
        <v/>
      </c>
      <c r="DC88" s="19">
        <f>'Grid_Stock'!CT42</f>
        <v/>
      </c>
      <c r="DD88" s="19">
        <f>'Grid_Stock'!CU42</f>
        <v/>
      </c>
      <c r="DE88" s="19">
        <f>'Grid_Stock'!CV42</f>
        <v/>
      </c>
      <c r="DF88" s="19">
        <f>'Grid_Stock'!CW42</f>
        <v/>
      </c>
      <c r="DG88" s="19">
        <f>'Grid_Stock'!CX42</f>
        <v/>
      </c>
      <c r="DH88" s="19">
        <f>'Grid_Stock'!CY42</f>
        <v/>
      </c>
      <c r="DI88" s="19">
        <f>'Grid_Stock'!CZ42</f>
        <v/>
      </c>
      <c r="DJ88" s="19">
        <f>'Grid_Stock'!DA42</f>
        <v/>
      </c>
    </row>
    <row r="89">
      <c r="A89" s="17" t="inlineStr">
        <is>
          <t>CHEM-1570</t>
        </is>
      </c>
      <c r="B89" s="17">
        <f>IFERROR(INDEX(M_RawMaterials[Description],MATCH($A89,M_RawMaterials[Part Name],0)),"")</f>
        <v/>
      </c>
      <c r="C89" s="17">
        <f>IFERROR(INDEX(M_RawMaterials[Category],MATCH($A89,M_RawMaterials[Part Name],0)),"")</f>
        <v/>
      </c>
      <c r="D89" s="17">
        <f>IFERROR(INDEX(M_RawMaterials[基準在庫下限_要入力],MATCH($A89,M_RawMaterials[Part Name],0)),0)</f>
        <v/>
      </c>
      <c r="E89" s="17">
        <f>IFERROR(INDEX(M_RawMaterials[基準在庫上限_要入力],MATCH($A89,M_RawMaterials[Part Name],0)),0)</f>
        <v/>
      </c>
      <c r="F89" s="17">
        <f>IFERROR(LOOKUP(2,1/('T_SelfStock'!$B$47:$DA$47&lt;&gt;""),'T_SelfStock'!$B$47:$DA$47),"")</f>
        <v/>
      </c>
      <c r="G89" s="17">
        <f>IFERROR(LOOKUP(2,1/('T_TTAFStock'!$B$47:$DA$47&lt;&gt;""),'T_TTAFStock'!$B$47:$DA$47),"")</f>
        <v/>
      </c>
      <c r="H89" s="17">
        <f>IFERROR(LOOKUP(2,1/('T_SelfStock'!$B$47:$DA$47&lt;&gt;""),'T_SelfStock'!$B$5:$DA$5),"")</f>
        <v/>
      </c>
      <c r="I89" s="18" t="inlineStr">
        <is>
          <t>理論在庫</t>
        </is>
      </c>
      <c r="J89" s="17">
        <f>'Grid_Stock'!DA43-'Grid_TheoreticalStock'!DA43</f>
        <v/>
      </c>
      <c r="K89" s="18">
        <f>'Grid_TheoreticalStock'!B43</f>
        <v/>
      </c>
      <c r="L89" s="18">
        <f>'Grid_TheoreticalStock'!C43</f>
        <v/>
      </c>
      <c r="M89" s="18">
        <f>'Grid_TheoreticalStock'!D43</f>
        <v/>
      </c>
      <c r="N89" s="18">
        <f>'Grid_TheoreticalStock'!E43</f>
        <v/>
      </c>
      <c r="O89" s="18">
        <f>'Grid_TheoreticalStock'!F43</f>
        <v/>
      </c>
      <c r="P89" s="18">
        <f>'Grid_TheoreticalStock'!G43</f>
        <v/>
      </c>
      <c r="Q89" s="18">
        <f>'Grid_TheoreticalStock'!H43</f>
        <v/>
      </c>
      <c r="R89" s="18">
        <f>'Grid_TheoreticalStock'!I43</f>
        <v/>
      </c>
      <c r="S89" s="18">
        <f>'Grid_TheoreticalStock'!J43</f>
        <v/>
      </c>
      <c r="T89" s="18">
        <f>'Grid_TheoreticalStock'!K43</f>
        <v/>
      </c>
      <c r="U89" s="18">
        <f>'Grid_TheoreticalStock'!L43</f>
        <v/>
      </c>
      <c r="V89" s="18">
        <f>'Grid_TheoreticalStock'!M43</f>
        <v/>
      </c>
      <c r="W89" s="18">
        <f>'Grid_TheoreticalStock'!N43</f>
        <v/>
      </c>
      <c r="X89" s="18">
        <f>'Grid_TheoreticalStock'!O43</f>
        <v/>
      </c>
      <c r="Y89" s="18">
        <f>'Grid_TheoreticalStock'!P43</f>
        <v/>
      </c>
      <c r="Z89" s="18">
        <f>'Grid_TheoreticalStock'!Q43</f>
        <v/>
      </c>
      <c r="AA89" s="18">
        <f>'Grid_TheoreticalStock'!R43</f>
        <v/>
      </c>
      <c r="AB89" s="18">
        <f>'Grid_TheoreticalStock'!S43</f>
        <v/>
      </c>
      <c r="AC89" s="18">
        <f>'Grid_TheoreticalStock'!T43</f>
        <v/>
      </c>
      <c r="AD89" s="18">
        <f>'Grid_TheoreticalStock'!U43</f>
        <v/>
      </c>
      <c r="AE89" s="18">
        <f>'Grid_TheoreticalStock'!V43</f>
        <v/>
      </c>
      <c r="AF89" s="18">
        <f>'Grid_TheoreticalStock'!W43</f>
        <v/>
      </c>
      <c r="AG89" s="18">
        <f>'Grid_TheoreticalStock'!X43</f>
        <v/>
      </c>
      <c r="AH89" s="18">
        <f>'Grid_TheoreticalStock'!Y43</f>
        <v/>
      </c>
      <c r="AI89" s="18">
        <f>'Grid_TheoreticalStock'!Z43</f>
        <v/>
      </c>
      <c r="AJ89" s="18">
        <f>'Grid_TheoreticalStock'!AA43</f>
        <v/>
      </c>
      <c r="AK89" s="18">
        <f>'Grid_TheoreticalStock'!AB43</f>
        <v/>
      </c>
      <c r="AL89" s="18">
        <f>'Grid_TheoreticalStock'!AC43</f>
        <v/>
      </c>
      <c r="AM89" s="18">
        <f>'Grid_TheoreticalStock'!AD43</f>
        <v/>
      </c>
      <c r="AN89" s="18">
        <f>'Grid_TheoreticalStock'!AE43</f>
        <v/>
      </c>
      <c r="AO89" s="18">
        <f>'Grid_TheoreticalStock'!AF43</f>
        <v/>
      </c>
      <c r="AP89" s="18">
        <f>'Grid_TheoreticalStock'!AG43</f>
        <v/>
      </c>
      <c r="AQ89" s="18">
        <f>'Grid_TheoreticalStock'!AH43</f>
        <v/>
      </c>
      <c r="AR89" s="18">
        <f>'Grid_TheoreticalStock'!AI43</f>
        <v/>
      </c>
      <c r="AS89" s="18">
        <f>'Grid_TheoreticalStock'!AJ43</f>
        <v/>
      </c>
      <c r="AT89" s="18">
        <f>'Grid_TheoreticalStock'!AK43</f>
        <v/>
      </c>
      <c r="AU89" s="18">
        <f>'Grid_TheoreticalStock'!AL43</f>
        <v/>
      </c>
      <c r="AV89" s="18">
        <f>'Grid_TheoreticalStock'!AM43</f>
        <v/>
      </c>
      <c r="AW89" s="18">
        <f>'Grid_TheoreticalStock'!AN43</f>
        <v/>
      </c>
      <c r="AX89" s="18">
        <f>'Grid_TheoreticalStock'!AO43</f>
        <v/>
      </c>
      <c r="AY89" s="18">
        <f>'Grid_TheoreticalStock'!AP43</f>
        <v/>
      </c>
      <c r="AZ89" s="18">
        <f>'Grid_TheoreticalStock'!AQ43</f>
        <v/>
      </c>
      <c r="BA89" s="18">
        <f>'Grid_TheoreticalStock'!AR43</f>
        <v/>
      </c>
      <c r="BB89" s="18">
        <f>'Grid_TheoreticalStock'!AS43</f>
        <v/>
      </c>
      <c r="BC89" s="18">
        <f>'Grid_TheoreticalStock'!AT43</f>
        <v/>
      </c>
      <c r="BD89" s="18">
        <f>'Grid_TheoreticalStock'!AU43</f>
        <v/>
      </c>
      <c r="BE89" s="18">
        <f>'Grid_TheoreticalStock'!AV43</f>
        <v/>
      </c>
      <c r="BF89" s="18">
        <f>'Grid_TheoreticalStock'!AW43</f>
        <v/>
      </c>
      <c r="BG89" s="18">
        <f>'Grid_TheoreticalStock'!AX43</f>
        <v/>
      </c>
      <c r="BH89" s="18">
        <f>'Grid_TheoreticalStock'!AY43</f>
        <v/>
      </c>
      <c r="BI89" s="18">
        <f>'Grid_TheoreticalStock'!AZ43</f>
        <v/>
      </c>
      <c r="BJ89" s="18">
        <f>'Grid_TheoreticalStock'!BA43</f>
        <v/>
      </c>
      <c r="BK89" s="18">
        <f>'Grid_TheoreticalStock'!BB43</f>
        <v/>
      </c>
      <c r="BL89" s="18">
        <f>'Grid_TheoreticalStock'!BC43</f>
        <v/>
      </c>
      <c r="BM89" s="18">
        <f>'Grid_TheoreticalStock'!BD43</f>
        <v/>
      </c>
      <c r="BN89" s="18">
        <f>'Grid_TheoreticalStock'!BE43</f>
        <v/>
      </c>
      <c r="BO89" s="18">
        <f>'Grid_TheoreticalStock'!BF43</f>
        <v/>
      </c>
      <c r="BP89" s="18">
        <f>'Grid_TheoreticalStock'!BG43</f>
        <v/>
      </c>
      <c r="BQ89" s="18">
        <f>'Grid_TheoreticalStock'!BH43</f>
        <v/>
      </c>
      <c r="BR89" s="18">
        <f>'Grid_TheoreticalStock'!BI43</f>
        <v/>
      </c>
      <c r="BS89" s="18">
        <f>'Grid_TheoreticalStock'!BJ43</f>
        <v/>
      </c>
      <c r="BT89" s="18">
        <f>'Grid_TheoreticalStock'!BK43</f>
        <v/>
      </c>
      <c r="BU89" s="18">
        <f>'Grid_TheoreticalStock'!BL43</f>
        <v/>
      </c>
      <c r="BV89" s="18">
        <f>'Grid_TheoreticalStock'!BM43</f>
        <v/>
      </c>
      <c r="BW89" s="18">
        <f>'Grid_TheoreticalStock'!BN43</f>
        <v/>
      </c>
      <c r="BX89" s="18">
        <f>'Grid_TheoreticalStock'!BO43</f>
        <v/>
      </c>
      <c r="BY89" s="18">
        <f>'Grid_TheoreticalStock'!BP43</f>
        <v/>
      </c>
      <c r="BZ89" s="18">
        <f>'Grid_TheoreticalStock'!BQ43</f>
        <v/>
      </c>
      <c r="CA89" s="18">
        <f>'Grid_TheoreticalStock'!BR43</f>
        <v/>
      </c>
      <c r="CB89" s="18">
        <f>'Grid_TheoreticalStock'!BS43</f>
        <v/>
      </c>
      <c r="CC89" s="18">
        <f>'Grid_TheoreticalStock'!BT43</f>
        <v/>
      </c>
      <c r="CD89" s="18">
        <f>'Grid_TheoreticalStock'!BU43</f>
        <v/>
      </c>
      <c r="CE89" s="18">
        <f>'Grid_TheoreticalStock'!BV43</f>
        <v/>
      </c>
      <c r="CF89" s="18">
        <f>'Grid_TheoreticalStock'!BW43</f>
        <v/>
      </c>
      <c r="CG89" s="18">
        <f>'Grid_TheoreticalStock'!BX43</f>
        <v/>
      </c>
      <c r="CH89" s="18">
        <f>'Grid_TheoreticalStock'!BY43</f>
        <v/>
      </c>
      <c r="CI89" s="18">
        <f>'Grid_TheoreticalStock'!BZ43</f>
        <v/>
      </c>
      <c r="CJ89" s="18">
        <f>'Grid_TheoreticalStock'!CA43</f>
        <v/>
      </c>
      <c r="CK89" s="18">
        <f>'Grid_TheoreticalStock'!CB43</f>
        <v/>
      </c>
      <c r="CL89" s="18">
        <f>'Grid_TheoreticalStock'!CC43</f>
        <v/>
      </c>
      <c r="CM89" s="18">
        <f>'Grid_TheoreticalStock'!CD43</f>
        <v/>
      </c>
      <c r="CN89" s="18">
        <f>'Grid_TheoreticalStock'!CE43</f>
        <v/>
      </c>
      <c r="CO89" s="18">
        <f>'Grid_TheoreticalStock'!CF43</f>
        <v/>
      </c>
      <c r="CP89" s="18">
        <f>'Grid_TheoreticalStock'!CG43</f>
        <v/>
      </c>
      <c r="CQ89" s="18">
        <f>'Grid_TheoreticalStock'!CH43</f>
        <v/>
      </c>
      <c r="CR89" s="18">
        <f>'Grid_TheoreticalStock'!CI43</f>
        <v/>
      </c>
      <c r="CS89" s="18">
        <f>'Grid_TheoreticalStock'!CJ43</f>
        <v/>
      </c>
      <c r="CT89" s="18">
        <f>'Grid_TheoreticalStock'!CK43</f>
        <v/>
      </c>
      <c r="CU89" s="18">
        <f>'Grid_TheoreticalStock'!CL43</f>
        <v/>
      </c>
      <c r="CV89" s="18">
        <f>'Grid_TheoreticalStock'!CM43</f>
        <v/>
      </c>
      <c r="CW89" s="18">
        <f>'Grid_TheoreticalStock'!CN43</f>
        <v/>
      </c>
      <c r="CX89" s="18">
        <f>'Grid_TheoreticalStock'!CO43</f>
        <v/>
      </c>
      <c r="CY89" s="18">
        <f>'Grid_TheoreticalStock'!CP43</f>
        <v/>
      </c>
      <c r="CZ89" s="18">
        <f>'Grid_TheoreticalStock'!CQ43</f>
        <v/>
      </c>
      <c r="DA89" s="18">
        <f>'Grid_TheoreticalStock'!CR43</f>
        <v/>
      </c>
      <c r="DB89" s="18">
        <f>'Grid_TheoreticalStock'!CS43</f>
        <v/>
      </c>
      <c r="DC89" s="18">
        <f>'Grid_TheoreticalStock'!CT43</f>
        <v/>
      </c>
      <c r="DD89" s="18">
        <f>'Grid_TheoreticalStock'!CU43</f>
        <v/>
      </c>
      <c r="DE89" s="18">
        <f>'Grid_TheoreticalStock'!CV43</f>
        <v/>
      </c>
      <c r="DF89" s="18">
        <f>'Grid_TheoreticalStock'!CW43</f>
        <v/>
      </c>
      <c r="DG89" s="18">
        <f>'Grid_TheoreticalStock'!CX43</f>
        <v/>
      </c>
      <c r="DH89" s="18">
        <f>'Grid_TheoreticalStock'!CY43</f>
        <v/>
      </c>
      <c r="DI89" s="18">
        <f>'Grid_TheoreticalStock'!CZ43</f>
        <v/>
      </c>
      <c r="DJ89" s="18">
        <f>'Grid_TheoreticalStock'!DA43</f>
        <v/>
      </c>
    </row>
    <row r="90">
      <c r="A90" s="19" t="inlineStr">
        <is>
          <t>CHEM-1570</t>
        </is>
      </c>
      <c r="B90" s="19">
        <f>IFERROR(INDEX(M_RawMaterials[Description],MATCH($A90,M_RawMaterials[Part Name],0)),"")</f>
        <v/>
      </c>
      <c r="C90" s="19">
        <f>IFERROR(INDEX(M_RawMaterials[Category],MATCH($A90,M_RawMaterials[Part Name],0)),"")</f>
        <v/>
      </c>
      <c r="D90" s="19">
        <f>IFERROR(INDEX(M_RawMaterials[基準在庫下限_要入力],MATCH($A90,M_RawMaterials[Part Name],0)),0)</f>
        <v/>
      </c>
      <c r="E90" s="19">
        <f>IFERROR(INDEX(M_RawMaterials[基準在庫上限_要入力],MATCH($A90,M_RawMaterials[Part Name],0)),0)</f>
        <v/>
      </c>
      <c r="F90" s="19">
        <f>IFERROR(LOOKUP(2,1/('T_SelfStock'!$B$47:$DA$47&lt;&gt;""),'T_SelfStock'!$B$47:$DA$47),"")</f>
        <v/>
      </c>
      <c r="G90" s="19">
        <f>IFERROR(LOOKUP(2,1/('T_TTAFStock'!$B$47:$DA$47&lt;&gt;""),'T_TTAFStock'!$B$47:$DA$47),"")</f>
        <v/>
      </c>
      <c r="H90" s="19">
        <f>IFERROR(LOOKUP(2,1/('T_SelfStock'!$B$47:$DA$47&lt;&gt;""),'T_SelfStock'!$B$5:$DA$5),"")</f>
        <v/>
      </c>
      <c r="I90" s="20" t="inlineStr">
        <is>
          <t>実在庫</t>
        </is>
      </c>
      <c r="J90" s="19">
        <f>'Grid_Stock'!DA43-'Grid_TheoreticalStock'!DA43</f>
        <v/>
      </c>
      <c r="K90" s="19">
        <f>'Grid_Stock'!B43</f>
        <v/>
      </c>
      <c r="L90" s="19">
        <f>'Grid_Stock'!C43</f>
        <v/>
      </c>
      <c r="M90" s="19">
        <f>'Grid_Stock'!D43</f>
        <v/>
      </c>
      <c r="N90" s="19">
        <f>'Grid_Stock'!E43</f>
        <v/>
      </c>
      <c r="O90" s="19">
        <f>'Grid_Stock'!F43</f>
        <v/>
      </c>
      <c r="P90" s="19">
        <f>'Grid_Stock'!G43</f>
        <v/>
      </c>
      <c r="Q90" s="19">
        <f>'Grid_Stock'!H43</f>
        <v/>
      </c>
      <c r="R90" s="19">
        <f>'Grid_Stock'!I43</f>
        <v/>
      </c>
      <c r="S90" s="19">
        <f>'Grid_Stock'!J43</f>
        <v/>
      </c>
      <c r="T90" s="19">
        <f>'Grid_Stock'!K43</f>
        <v/>
      </c>
      <c r="U90" s="19">
        <f>'Grid_Stock'!L43</f>
        <v/>
      </c>
      <c r="V90" s="19">
        <f>'Grid_Stock'!M43</f>
        <v/>
      </c>
      <c r="W90" s="19">
        <f>'Grid_Stock'!N43</f>
        <v/>
      </c>
      <c r="X90" s="19">
        <f>'Grid_Stock'!O43</f>
        <v/>
      </c>
      <c r="Y90" s="19">
        <f>'Grid_Stock'!P43</f>
        <v/>
      </c>
      <c r="Z90" s="19">
        <f>'Grid_Stock'!Q43</f>
        <v/>
      </c>
      <c r="AA90" s="19">
        <f>'Grid_Stock'!R43</f>
        <v/>
      </c>
      <c r="AB90" s="19">
        <f>'Grid_Stock'!S43</f>
        <v/>
      </c>
      <c r="AC90" s="19">
        <f>'Grid_Stock'!T43</f>
        <v/>
      </c>
      <c r="AD90" s="19">
        <f>'Grid_Stock'!U43</f>
        <v/>
      </c>
      <c r="AE90" s="19">
        <f>'Grid_Stock'!V43</f>
        <v/>
      </c>
      <c r="AF90" s="19">
        <f>'Grid_Stock'!W43</f>
        <v/>
      </c>
      <c r="AG90" s="19">
        <f>'Grid_Stock'!X43</f>
        <v/>
      </c>
      <c r="AH90" s="19">
        <f>'Grid_Stock'!Y43</f>
        <v/>
      </c>
      <c r="AI90" s="19">
        <f>'Grid_Stock'!Z43</f>
        <v/>
      </c>
      <c r="AJ90" s="19">
        <f>'Grid_Stock'!AA43</f>
        <v/>
      </c>
      <c r="AK90" s="19">
        <f>'Grid_Stock'!AB43</f>
        <v/>
      </c>
      <c r="AL90" s="19">
        <f>'Grid_Stock'!AC43</f>
        <v/>
      </c>
      <c r="AM90" s="19">
        <f>'Grid_Stock'!AD43</f>
        <v/>
      </c>
      <c r="AN90" s="19">
        <f>'Grid_Stock'!AE43</f>
        <v/>
      </c>
      <c r="AO90" s="19">
        <f>'Grid_Stock'!AF43</f>
        <v/>
      </c>
      <c r="AP90" s="19">
        <f>'Grid_Stock'!AG43</f>
        <v/>
      </c>
      <c r="AQ90" s="19">
        <f>'Grid_Stock'!AH43</f>
        <v/>
      </c>
      <c r="AR90" s="19">
        <f>'Grid_Stock'!AI43</f>
        <v/>
      </c>
      <c r="AS90" s="19">
        <f>'Grid_Stock'!AJ43</f>
        <v/>
      </c>
      <c r="AT90" s="19">
        <f>'Grid_Stock'!AK43</f>
        <v/>
      </c>
      <c r="AU90" s="19">
        <f>'Grid_Stock'!AL43</f>
        <v/>
      </c>
      <c r="AV90" s="19">
        <f>'Grid_Stock'!AM43</f>
        <v/>
      </c>
      <c r="AW90" s="19">
        <f>'Grid_Stock'!AN43</f>
        <v/>
      </c>
      <c r="AX90" s="19">
        <f>'Grid_Stock'!AO43</f>
        <v/>
      </c>
      <c r="AY90" s="19">
        <f>'Grid_Stock'!AP43</f>
        <v/>
      </c>
      <c r="AZ90" s="19">
        <f>'Grid_Stock'!AQ43</f>
        <v/>
      </c>
      <c r="BA90" s="19">
        <f>'Grid_Stock'!AR43</f>
        <v/>
      </c>
      <c r="BB90" s="19">
        <f>'Grid_Stock'!AS43</f>
        <v/>
      </c>
      <c r="BC90" s="19">
        <f>'Grid_Stock'!AT43</f>
        <v/>
      </c>
      <c r="BD90" s="19">
        <f>'Grid_Stock'!AU43</f>
        <v/>
      </c>
      <c r="BE90" s="19">
        <f>'Grid_Stock'!AV43</f>
        <v/>
      </c>
      <c r="BF90" s="19">
        <f>'Grid_Stock'!AW43</f>
        <v/>
      </c>
      <c r="BG90" s="19">
        <f>'Grid_Stock'!AX43</f>
        <v/>
      </c>
      <c r="BH90" s="19">
        <f>'Grid_Stock'!AY43</f>
        <v/>
      </c>
      <c r="BI90" s="19">
        <f>'Grid_Stock'!AZ43</f>
        <v/>
      </c>
      <c r="BJ90" s="19">
        <f>'Grid_Stock'!BA43</f>
        <v/>
      </c>
      <c r="BK90" s="19">
        <f>'Grid_Stock'!BB43</f>
        <v/>
      </c>
      <c r="BL90" s="19">
        <f>'Grid_Stock'!BC43</f>
        <v/>
      </c>
      <c r="BM90" s="19">
        <f>'Grid_Stock'!BD43</f>
        <v/>
      </c>
      <c r="BN90" s="19">
        <f>'Grid_Stock'!BE43</f>
        <v/>
      </c>
      <c r="BO90" s="19">
        <f>'Grid_Stock'!BF43</f>
        <v/>
      </c>
      <c r="BP90" s="19">
        <f>'Grid_Stock'!BG43</f>
        <v/>
      </c>
      <c r="BQ90" s="19">
        <f>'Grid_Stock'!BH43</f>
        <v/>
      </c>
      <c r="BR90" s="19">
        <f>'Grid_Stock'!BI43</f>
        <v/>
      </c>
      <c r="BS90" s="19">
        <f>'Grid_Stock'!BJ43</f>
        <v/>
      </c>
      <c r="BT90" s="19">
        <f>'Grid_Stock'!BK43</f>
        <v/>
      </c>
      <c r="BU90" s="19">
        <f>'Grid_Stock'!BL43</f>
        <v/>
      </c>
      <c r="BV90" s="19">
        <f>'Grid_Stock'!BM43</f>
        <v/>
      </c>
      <c r="BW90" s="19">
        <f>'Grid_Stock'!BN43</f>
        <v/>
      </c>
      <c r="BX90" s="19">
        <f>'Grid_Stock'!BO43</f>
        <v/>
      </c>
      <c r="BY90" s="19">
        <f>'Grid_Stock'!BP43</f>
        <v/>
      </c>
      <c r="BZ90" s="19">
        <f>'Grid_Stock'!BQ43</f>
        <v/>
      </c>
      <c r="CA90" s="19">
        <f>'Grid_Stock'!BR43</f>
        <v/>
      </c>
      <c r="CB90" s="19">
        <f>'Grid_Stock'!BS43</f>
        <v/>
      </c>
      <c r="CC90" s="19">
        <f>'Grid_Stock'!BT43</f>
        <v/>
      </c>
      <c r="CD90" s="19">
        <f>'Grid_Stock'!BU43</f>
        <v/>
      </c>
      <c r="CE90" s="19">
        <f>'Grid_Stock'!BV43</f>
        <v/>
      </c>
      <c r="CF90" s="19">
        <f>'Grid_Stock'!BW43</f>
        <v/>
      </c>
      <c r="CG90" s="19">
        <f>'Grid_Stock'!BX43</f>
        <v/>
      </c>
      <c r="CH90" s="19">
        <f>'Grid_Stock'!BY43</f>
        <v/>
      </c>
      <c r="CI90" s="19">
        <f>'Grid_Stock'!BZ43</f>
        <v/>
      </c>
      <c r="CJ90" s="19">
        <f>'Grid_Stock'!CA43</f>
        <v/>
      </c>
      <c r="CK90" s="19">
        <f>'Grid_Stock'!CB43</f>
        <v/>
      </c>
      <c r="CL90" s="19">
        <f>'Grid_Stock'!CC43</f>
        <v/>
      </c>
      <c r="CM90" s="19">
        <f>'Grid_Stock'!CD43</f>
        <v/>
      </c>
      <c r="CN90" s="19">
        <f>'Grid_Stock'!CE43</f>
        <v/>
      </c>
      <c r="CO90" s="19">
        <f>'Grid_Stock'!CF43</f>
        <v/>
      </c>
      <c r="CP90" s="19">
        <f>'Grid_Stock'!CG43</f>
        <v/>
      </c>
      <c r="CQ90" s="19">
        <f>'Grid_Stock'!CH43</f>
        <v/>
      </c>
      <c r="CR90" s="19">
        <f>'Grid_Stock'!CI43</f>
        <v/>
      </c>
      <c r="CS90" s="19">
        <f>'Grid_Stock'!CJ43</f>
        <v/>
      </c>
      <c r="CT90" s="19">
        <f>'Grid_Stock'!CK43</f>
        <v/>
      </c>
      <c r="CU90" s="19">
        <f>'Grid_Stock'!CL43</f>
        <v/>
      </c>
      <c r="CV90" s="19">
        <f>'Grid_Stock'!CM43</f>
        <v/>
      </c>
      <c r="CW90" s="19">
        <f>'Grid_Stock'!CN43</f>
        <v/>
      </c>
      <c r="CX90" s="19">
        <f>'Grid_Stock'!CO43</f>
        <v/>
      </c>
      <c r="CY90" s="19">
        <f>'Grid_Stock'!CP43</f>
        <v/>
      </c>
      <c r="CZ90" s="19">
        <f>'Grid_Stock'!CQ43</f>
        <v/>
      </c>
      <c r="DA90" s="19">
        <f>'Grid_Stock'!CR43</f>
        <v/>
      </c>
      <c r="DB90" s="19">
        <f>'Grid_Stock'!CS43</f>
        <v/>
      </c>
      <c r="DC90" s="19">
        <f>'Grid_Stock'!CT43</f>
        <v/>
      </c>
      <c r="DD90" s="19">
        <f>'Grid_Stock'!CU43</f>
        <v/>
      </c>
      <c r="DE90" s="19">
        <f>'Grid_Stock'!CV43</f>
        <v/>
      </c>
      <c r="DF90" s="19">
        <f>'Grid_Stock'!CW43</f>
        <v/>
      </c>
      <c r="DG90" s="19">
        <f>'Grid_Stock'!CX43</f>
        <v/>
      </c>
      <c r="DH90" s="19">
        <f>'Grid_Stock'!CY43</f>
        <v/>
      </c>
      <c r="DI90" s="19">
        <f>'Grid_Stock'!CZ43</f>
        <v/>
      </c>
      <c r="DJ90" s="19">
        <f>'Grid_Stock'!DA43</f>
        <v/>
      </c>
    </row>
    <row r="91">
      <c r="A91" s="17" t="inlineStr">
        <is>
          <t>CHEM-1450</t>
        </is>
      </c>
      <c r="B91" s="17">
        <f>IFERROR(INDEX(M_RawMaterials[Description],MATCH($A91,M_RawMaterials[Part Name],0)),"")</f>
        <v/>
      </c>
      <c r="C91" s="17">
        <f>IFERROR(INDEX(M_RawMaterials[Category],MATCH($A91,M_RawMaterials[Part Name],0)),"")</f>
        <v/>
      </c>
      <c r="D91" s="17">
        <f>IFERROR(INDEX(M_RawMaterials[基準在庫下限_要入力],MATCH($A91,M_RawMaterials[Part Name],0)),0)</f>
        <v/>
      </c>
      <c r="E91" s="17">
        <f>IFERROR(INDEX(M_RawMaterials[基準在庫上限_要入力],MATCH($A91,M_RawMaterials[Part Name],0)),0)</f>
        <v/>
      </c>
      <c r="F91" s="17">
        <f>IFERROR(LOOKUP(2,1/('T_SelfStock'!$B$48:$DA$48&lt;&gt;""),'T_SelfStock'!$B$48:$DA$48),"")</f>
        <v/>
      </c>
      <c r="G91" s="17">
        <f>IFERROR(LOOKUP(2,1/('T_TTAFStock'!$B$48:$DA$48&lt;&gt;""),'T_TTAFStock'!$B$48:$DA$48),"")</f>
        <v/>
      </c>
      <c r="H91" s="17">
        <f>IFERROR(LOOKUP(2,1/('T_SelfStock'!$B$48:$DA$48&lt;&gt;""),'T_SelfStock'!$B$5:$DA$5),"")</f>
        <v/>
      </c>
      <c r="I91" s="18" t="inlineStr">
        <is>
          <t>理論在庫</t>
        </is>
      </c>
      <c r="J91" s="17">
        <f>'Grid_Stock'!DA44-'Grid_TheoreticalStock'!DA44</f>
        <v/>
      </c>
      <c r="K91" s="18">
        <f>'Grid_TheoreticalStock'!B44</f>
        <v/>
      </c>
      <c r="L91" s="18">
        <f>'Grid_TheoreticalStock'!C44</f>
        <v/>
      </c>
      <c r="M91" s="18">
        <f>'Grid_TheoreticalStock'!D44</f>
        <v/>
      </c>
      <c r="N91" s="18">
        <f>'Grid_TheoreticalStock'!E44</f>
        <v/>
      </c>
      <c r="O91" s="18">
        <f>'Grid_TheoreticalStock'!F44</f>
        <v/>
      </c>
      <c r="P91" s="18">
        <f>'Grid_TheoreticalStock'!G44</f>
        <v/>
      </c>
      <c r="Q91" s="18">
        <f>'Grid_TheoreticalStock'!H44</f>
        <v/>
      </c>
      <c r="R91" s="18">
        <f>'Grid_TheoreticalStock'!I44</f>
        <v/>
      </c>
      <c r="S91" s="18">
        <f>'Grid_TheoreticalStock'!J44</f>
        <v/>
      </c>
      <c r="T91" s="18">
        <f>'Grid_TheoreticalStock'!K44</f>
        <v/>
      </c>
      <c r="U91" s="18">
        <f>'Grid_TheoreticalStock'!L44</f>
        <v/>
      </c>
      <c r="V91" s="18">
        <f>'Grid_TheoreticalStock'!M44</f>
        <v/>
      </c>
      <c r="W91" s="18">
        <f>'Grid_TheoreticalStock'!N44</f>
        <v/>
      </c>
      <c r="X91" s="18">
        <f>'Grid_TheoreticalStock'!O44</f>
        <v/>
      </c>
      <c r="Y91" s="18">
        <f>'Grid_TheoreticalStock'!P44</f>
        <v/>
      </c>
      <c r="Z91" s="18">
        <f>'Grid_TheoreticalStock'!Q44</f>
        <v/>
      </c>
      <c r="AA91" s="18">
        <f>'Grid_TheoreticalStock'!R44</f>
        <v/>
      </c>
      <c r="AB91" s="18">
        <f>'Grid_TheoreticalStock'!S44</f>
        <v/>
      </c>
      <c r="AC91" s="18">
        <f>'Grid_TheoreticalStock'!T44</f>
        <v/>
      </c>
      <c r="AD91" s="18">
        <f>'Grid_TheoreticalStock'!U44</f>
        <v/>
      </c>
      <c r="AE91" s="18">
        <f>'Grid_TheoreticalStock'!V44</f>
        <v/>
      </c>
      <c r="AF91" s="18">
        <f>'Grid_TheoreticalStock'!W44</f>
        <v/>
      </c>
      <c r="AG91" s="18">
        <f>'Grid_TheoreticalStock'!X44</f>
        <v/>
      </c>
      <c r="AH91" s="18">
        <f>'Grid_TheoreticalStock'!Y44</f>
        <v/>
      </c>
      <c r="AI91" s="18">
        <f>'Grid_TheoreticalStock'!Z44</f>
        <v/>
      </c>
      <c r="AJ91" s="18">
        <f>'Grid_TheoreticalStock'!AA44</f>
        <v/>
      </c>
      <c r="AK91" s="18">
        <f>'Grid_TheoreticalStock'!AB44</f>
        <v/>
      </c>
      <c r="AL91" s="18">
        <f>'Grid_TheoreticalStock'!AC44</f>
        <v/>
      </c>
      <c r="AM91" s="18">
        <f>'Grid_TheoreticalStock'!AD44</f>
        <v/>
      </c>
      <c r="AN91" s="18">
        <f>'Grid_TheoreticalStock'!AE44</f>
        <v/>
      </c>
      <c r="AO91" s="18">
        <f>'Grid_TheoreticalStock'!AF44</f>
        <v/>
      </c>
      <c r="AP91" s="18">
        <f>'Grid_TheoreticalStock'!AG44</f>
        <v/>
      </c>
      <c r="AQ91" s="18">
        <f>'Grid_TheoreticalStock'!AH44</f>
        <v/>
      </c>
      <c r="AR91" s="18">
        <f>'Grid_TheoreticalStock'!AI44</f>
        <v/>
      </c>
      <c r="AS91" s="18">
        <f>'Grid_TheoreticalStock'!AJ44</f>
        <v/>
      </c>
      <c r="AT91" s="18">
        <f>'Grid_TheoreticalStock'!AK44</f>
        <v/>
      </c>
      <c r="AU91" s="18">
        <f>'Grid_TheoreticalStock'!AL44</f>
        <v/>
      </c>
      <c r="AV91" s="18">
        <f>'Grid_TheoreticalStock'!AM44</f>
        <v/>
      </c>
      <c r="AW91" s="18">
        <f>'Grid_TheoreticalStock'!AN44</f>
        <v/>
      </c>
      <c r="AX91" s="18">
        <f>'Grid_TheoreticalStock'!AO44</f>
        <v/>
      </c>
      <c r="AY91" s="18">
        <f>'Grid_TheoreticalStock'!AP44</f>
        <v/>
      </c>
      <c r="AZ91" s="18">
        <f>'Grid_TheoreticalStock'!AQ44</f>
        <v/>
      </c>
      <c r="BA91" s="18">
        <f>'Grid_TheoreticalStock'!AR44</f>
        <v/>
      </c>
      <c r="BB91" s="18">
        <f>'Grid_TheoreticalStock'!AS44</f>
        <v/>
      </c>
      <c r="BC91" s="18">
        <f>'Grid_TheoreticalStock'!AT44</f>
        <v/>
      </c>
      <c r="BD91" s="18">
        <f>'Grid_TheoreticalStock'!AU44</f>
        <v/>
      </c>
      <c r="BE91" s="18">
        <f>'Grid_TheoreticalStock'!AV44</f>
        <v/>
      </c>
      <c r="BF91" s="18">
        <f>'Grid_TheoreticalStock'!AW44</f>
        <v/>
      </c>
      <c r="BG91" s="18">
        <f>'Grid_TheoreticalStock'!AX44</f>
        <v/>
      </c>
      <c r="BH91" s="18">
        <f>'Grid_TheoreticalStock'!AY44</f>
        <v/>
      </c>
      <c r="BI91" s="18">
        <f>'Grid_TheoreticalStock'!AZ44</f>
        <v/>
      </c>
      <c r="BJ91" s="18">
        <f>'Grid_TheoreticalStock'!BA44</f>
        <v/>
      </c>
      <c r="BK91" s="18">
        <f>'Grid_TheoreticalStock'!BB44</f>
        <v/>
      </c>
      <c r="BL91" s="18">
        <f>'Grid_TheoreticalStock'!BC44</f>
        <v/>
      </c>
      <c r="BM91" s="18">
        <f>'Grid_TheoreticalStock'!BD44</f>
        <v/>
      </c>
      <c r="BN91" s="18">
        <f>'Grid_TheoreticalStock'!BE44</f>
        <v/>
      </c>
      <c r="BO91" s="18">
        <f>'Grid_TheoreticalStock'!BF44</f>
        <v/>
      </c>
      <c r="BP91" s="18">
        <f>'Grid_TheoreticalStock'!BG44</f>
        <v/>
      </c>
      <c r="BQ91" s="18">
        <f>'Grid_TheoreticalStock'!BH44</f>
        <v/>
      </c>
      <c r="BR91" s="18">
        <f>'Grid_TheoreticalStock'!BI44</f>
        <v/>
      </c>
      <c r="BS91" s="18">
        <f>'Grid_TheoreticalStock'!BJ44</f>
        <v/>
      </c>
      <c r="BT91" s="18">
        <f>'Grid_TheoreticalStock'!BK44</f>
        <v/>
      </c>
      <c r="BU91" s="18">
        <f>'Grid_TheoreticalStock'!BL44</f>
        <v/>
      </c>
      <c r="BV91" s="18">
        <f>'Grid_TheoreticalStock'!BM44</f>
        <v/>
      </c>
      <c r="BW91" s="18">
        <f>'Grid_TheoreticalStock'!BN44</f>
        <v/>
      </c>
      <c r="BX91" s="18">
        <f>'Grid_TheoreticalStock'!BO44</f>
        <v/>
      </c>
      <c r="BY91" s="18">
        <f>'Grid_TheoreticalStock'!BP44</f>
        <v/>
      </c>
      <c r="BZ91" s="18">
        <f>'Grid_TheoreticalStock'!BQ44</f>
        <v/>
      </c>
      <c r="CA91" s="18">
        <f>'Grid_TheoreticalStock'!BR44</f>
        <v/>
      </c>
      <c r="CB91" s="18">
        <f>'Grid_TheoreticalStock'!BS44</f>
        <v/>
      </c>
      <c r="CC91" s="18">
        <f>'Grid_TheoreticalStock'!BT44</f>
        <v/>
      </c>
      <c r="CD91" s="18">
        <f>'Grid_TheoreticalStock'!BU44</f>
        <v/>
      </c>
      <c r="CE91" s="18">
        <f>'Grid_TheoreticalStock'!BV44</f>
        <v/>
      </c>
      <c r="CF91" s="18">
        <f>'Grid_TheoreticalStock'!BW44</f>
        <v/>
      </c>
      <c r="CG91" s="18">
        <f>'Grid_TheoreticalStock'!BX44</f>
        <v/>
      </c>
      <c r="CH91" s="18">
        <f>'Grid_TheoreticalStock'!BY44</f>
        <v/>
      </c>
      <c r="CI91" s="18">
        <f>'Grid_TheoreticalStock'!BZ44</f>
        <v/>
      </c>
      <c r="CJ91" s="18">
        <f>'Grid_TheoreticalStock'!CA44</f>
        <v/>
      </c>
      <c r="CK91" s="18">
        <f>'Grid_TheoreticalStock'!CB44</f>
        <v/>
      </c>
      <c r="CL91" s="18">
        <f>'Grid_TheoreticalStock'!CC44</f>
        <v/>
      </c>
      <c r="CM91" s="18">
        <f>'Grid_TheoreticalStock'!CD44</f>
        <v/>
      </c>
      <c r="CN91" s="18">
        <f>'Grid_TheoreticalStock'!CE44</f>
        <v/>
      </c>
      <c r="CO91" s="18">
        <f>'Grid_TheoreticalStock'!CF44</f>
        <v/>
      </c>
      <c r="CP91" s="18">
        <f>'Grid_TheoreticalStock'!CG44</f>
        <v/>
      </c>
      <c r="CQ91" s="18">
        <f>'Grid_TheoreticalStock'!CH44</f>
        <v/>
      </c>
      <c r="CR91" s="18">
        <f>'Grid_TheoreticalStock'!CI44</f>
        <v/>
      </c>
      <c r="CS91" s="18">
        <f>'Grid_TheoreticalStock'!CJ44</f>
        <v/>
      </c>
      <c r="CT91" s="18">
        <f>'Grid_TheoreticalStock'!CK44</f>
        <v/>
      </c>
      <c r="CU91" s="18">
        <f>'Grid_TheoreticalStock'!CL44</f>
        <v/>
      </c>
      <c r="CV91" s="18">
        <f>'Grid_TheoreticalStock'!CM44</f>
        <v/>
      </c>
      <c r="CW91" s="18">
        <f>'Grid_TheoreticalStock'!CN44</f>
        <v/>
      </c>
      <c r="CX91" s="18">
        <f>'Grid_TheoreticalStock'!CO44</f>
        <v/>
      </c>
      <c r="CY91" s="18">
        <f>'Grid_TheoreticalStock'!CP44</f>
        <v/>
      </c>
      <c r="CZ91" s="18">
        <f>'Grid_TheoreticalStock'!CQ44</f>
        <v/>
      </c>
      <c r="DA91" s="18">
        <f>'Grid_TheoreticalStock'!CR44</f>
        <v/>
      </c>
      <c r="DB91" s="18">
        <f>'Grid_TheoreticalStock'!CS44</f>
        <v/>
      </c>
      <c r="DC91" s="18">
        <f>'Grid_TheoreticalStock'!CT44</f>
        <v/>
      </c>
      <c r="DD91" s="18">
        <f>'Grid_TheoreticalStock'!CU44</f>
        <v/>
      </c>
      <c r="DE91" s="18">
        <f>'Grid_TheoreticalStock'!CV44</f>
        <v/>
      </c>
      <c r="DF91" s="18">
        <f>'Grid_TheoreticalStock'!CW44</f>
        <v/>
      </c>
      <c r="DG91" s="18">
        <f>'Grid_TheoreticalStock'!CX44</f>
        <v/>
      </c>
      <c r="DH91" s="18">
        <f>'Grid_TheoreticalStock'!CY44</f>
        <v/>
      </c>
      <c r="DI91" s="18">
        <f>'Grid_TheoreticalStock'!CZ44</f>
        <v/>
      </c>
      <c r="DJ91" s="18">
        <f>'Grid_TheoreticalStock'!DA44</f>
        <v/>
      </c>
    </row>
    <row r="92">
      <c r="A92" s="19" t="inlineStr">
        <is>
          <t>CHEM-1450</t>
        </is>
      </c>
      <c r="B92" s="19">
        <f>IFERROR(INDEX(M_RawMaterials[Description],MATCH($A92,M_RawMaterials[Part Name],0)),"")</f>
        <v/>
      </c>
      <c r="C92" s="19">
        <f>IFERROR(INDEX(M_RawMaterials[Category],MATCH($A92,M_RawMaterials[Part Name],0)),"")</f>
        <v/>
      </c>
      <c r="D92" s="19">
        <f>IFERROR(INDEX(M_RawMaterials[基準在庫下限_要入力],MATCH($A92,M_RawMaterials[Part Name],0)),0)</f>
        <v/>
      </c>
      <c r="E92" s="19">
        <f>IFERROR(INDEX(M_RawMaterials[基準在庫上限_要入力],MATCH($A92,M_RawMaterials[Part Name],0)),0)</f>
        <v/>
      </c>
      <c r="F92" s="19">
        <f>IFERROR(LOOKUP(2,1/('T_SelfStock'!$B$48:$DA$48&lt;&gt;""),'T_SelfStock'!$B$48:$DA$48),"")</f>
        <v/>
      </c>
      <c r="G92" s="19">
        <f>IFERROR(LOOKUP(2,1/('T_TTAFStock'!$B$48:$DA$48&lt;&gt;""),'T_TTAFStock'!$B$48:$DA$48),"")</f>
        <v/>
      </c>
      <c r="H92" s="19">
        <f>IFERROR(LOOKUP(2,1/('T_SelfStock'!$B$48:$DA$48&lt;&gt;""),'T_SelfStock'!$B$5:$DA$5),"")</f>
        <v/>
      </c>
      <c r="I92" s="20" t="inlineStr">
        <is>
          <t>実在庫</t>
        </is>
      </c>
      <c r="J92" s="19">
        <f>'Grid_Stock'!DA44-'Grid_TheoreticalStock'!DA44</f>
        <v/>
      </c>
      <c r="K92" s="19">
        <f>'Grid_Stock'!B44</f>
        <v/>
      </c>
      <c r="L92" s="19">
        <f>'Grid_Stock'!C44</f>
        <v/>
      </c>
      <c r="M92" s="19">
        <f>'Grid_Stock'!D44</f>
        <v/>
      </c>
      <c r="N92" s="19">
        <f>'Grid_Stock'!E44</f>
        <v/>
      </c>
      <c r="O92" s="19">
        <f>'Grid_Stock'!F44</f>
        <v/>
      </c>
      <c r="P92" s="19">
        <f>'Grid_Stock'!G44</f>
        <v/>
      </c>
      <c r="Q92" s="19">
        <f>'Grid_Stock'!H44</f>
        <v/>
      </c>
      <c r="R92" s="19">
        <f>'Grid_Stock'!I44</f>
        <v/>
      </c>
      <c r="S92" s="19">
        <f>'Grid_Stock'!J44</f>
        <v/>
      </c>
      <c r="T92" s="19">
        <f>'Grid_Stock'!K44</f>
        <v/>
      </c>
      <c r="U92" s="19">
        <f>'Grid_Stock'!L44</f>
        <v/>
      </c>
      <c r="V92" s="19">
        <f>'Grid_Stock'!M44</f>
        <v/>
      </c>
      <c r="W92" s="19">
        <f>'Grid_Stock'!N44</f>
        <v/>
      </c>
      <c r="X92" s="19">
        <f>'Grid_Stock'!O44</f>
        <v/>
      </c>
      <c r="Y92" s="19">
        <f>'Grid_Stock'!P44</f>
        <v/>
      </c>
      <c r="Z92" s="19">
        <f>'Grid_Stock'!Q44</f>
        <v/>
      </c>
      <c r="AA92" s="19">
        <f>'Grid_Stock'!R44</f>
        <v/>
      </c>
      <c r="AB92" s="19">
        <f>'Grid_Stock'!S44</f>
        <v/>
      </c>
      <c r="AC92" s="19">
        <f>'Grid_Stock'!T44</f>
        <v/>
      </c>
      <c r="AD92" s="19">
        <f>'Grid_Stock'!U44</f>
        <v/>
      </c>
      <c r="AE92" s="19">
        <f>'Grid_Stock'!V44</f>
        <v/>
      </c>
      <c r="AF92" s="19">
        <f>'Grid_Stock'!W44</f>
        <v/>
      </c>
      <c r="AG92" s="19">
        <f>'Grid_Stock'!X44</f>
        <v/>
      </c>
      <c r="AH92" s="19">
        <f>'Grid_Stock'!Y44</f>
        <v/>
      </c>
      <c r="AI92" s="19">
        <f>'Grid_Stock'!Z44</f>
        <v/>
      </c>
      <c r="AJ92" s="19">
        <f>'Grid_Stock'!AA44</f>
        <v/>
      </c>
      <c r="AK92" s="19">
        <f>'Grid_Stock'!AB44</f>
        <v/>
      </c>
      <c r="AL92" s="19">
        <f>'Grid_Stock'!AC44</f>
        <v/>
      </c>
      <c r="AM92" s="19">
        <f>'Grid_Stock'!AD44</f>
        <v/>
      </c>
      <c r="AN92" s="19">
        <f>'Grid_Stock'!AE44</f>
        <v/>
      </c>
      <c r="AO92" s="19">
        <f>'Grid_Stock'!AF44</f>
        <v/>
      </c>
      <c r="AP92" s="19">
        <f>'Grid_Stock'!AG44</f>
        <v/>
      </c>
      <c r="AQ92" s="19">
        <f>'Grid_Stock'!AH44</f>
        <v/>
      </c>
      <c r="AR92" s="19">
        <f>'Grid_Stock'!AI44</f>
        <v/>
      </c>
      <c r="AS92" s="19">
        <f>'Grid_Stock'!AJ44</f>
        <v/>
      </c>
      <c r="AT92" s="19">
        <f>'Grid_Stock'!AK44</f>
        <v/>
      </c>
      <c r="AU92" s="19">
        <f>'Grid_Stock'!AL44</f>
        <v/>
      </c>
      <c r="AV92" s="19">
        <f>'Grid_Stock'!AM44</f>
        <v/>
      </c>
      <c r="AW92" s="19">
        <f>'Grid_Stock'!AN44</f>
        <v/>
      </c>
      <c r="AX92" s="19">
        <f>'Grid_Stock'!AO44</f>
        <v/>
      </c>
      <c r="AY92" s="19">
        <f>'Grid_Stock'!AP44</f>
        <v/>
      </c>
      <c r="AZ92" s="19">
        <f>'Grid_Stock'!AQ44</f>
        <v/>
      </c>
      <c r="BA92" s="19">
        <f>'Grid_Stock'!AR44</f>
        <v/>
      </c>
      <c r="BB92" s="19">
        <f>'Grid_Stock'!AS44</f>
        <v/>
      </c>
      <c r="BC92" s="19">
        <f>'Grid_Stock'!AT44</f>
        <v/>
      </c>
      <c r="BD92" s="19">
        <f>'Grid_Stock'!AU44</f>
        <v/>
      </c>
      <c r="BE92" s="19">
        <f>'Grid_Stock'!AV44</f>
        <v/>
      </c>
      <c r="BF92" s="19">
        <f>'Grid_Stock'!AW44</f>
        <v/>
      </c>
      <c r="BG92" s="19">
        <f>'Grid_Stock'!AX44</f>
        <v/>
      </c>
      <c r="BH92" s="19">
        <f>'Grid_Stock'!AY44</f>
        <v/>
      </c>
      <c r="BI92" s="19">
        <f>'Grid_Stock'!AZ44</f>
        <v/>
      </c>
      <c r="BJ92" s="19">
        <f>'Grid_Stock'!BA44</f>
        <v/>
      </c>
      <c r="BK92" s="19">
        <f>'Grid_Stock'!BB44</f>
        <v/>
      </c>
      <c r="BL92" s="19">
        <f>'Grid_Stock'!BC44</f>
        <v/>
      </c>
      <c r="BM92" s="19">
        <f>'Grid_Stock'!BD44</f>
        <v/>
      </c>
      <c r="BN92" s="19">
        <f>'Grid_Stock'!BE44</f>
        <v/>
      </c>
      <c r="BO92" s="19">
        <f>'Grid_Stock'!BF44</f>
        <v/>
      </c>
      <c r="BP92" s="19">
        <f>'Grid_Stock'!BG44</f>
        <v/>
      </c>
      <c r="BQ92" s="19">
        <f>'Grid_Stock'!BH44</f>
        <v/>
      </c>
      <c r="BR92" s="19">
        <f>'Grid_Stock'!BI44</f>
        <v/>
      </c>
      <c r="BS92" s="19">
        <f>'Grid_Stock'!BJ44</f>
        <v/>
      </c>
      <c r="BT92" s="19">
        <f>'Grid_Stock'!BK44</f>
        <v/>
      </c>
      <c r="BU92" s="19">
        <f>'Grid_Stock'!BL44</f>
        <v/>
      </c>
      <c r="BV92" s="19">
        <f>'Grid_Stock'!BM44</f>
        <v/>
      </c>
      <c r="BW92" s="19">
        <f>'Grid_Stock'!BN44</f>
        <v/>
      </c>
      <c r="BX92" s="19">
        <f>'Grid_Stock'!BO44</f>
        <v/>
      </c>
      <c r="BY92" s="19">
        <f>'Grid_Stock'!BP44</f>
        <v/>
      </c>
      <c r="BZ92" s="19">
        <f>'Grid_Stock'!BQ44</f>
        <v/>
      </c>
      <c r="CA92" s="19">
        <f>'Grid_Stock'!BR44</f>
        <v/>
      </c>
      <c r="CB92" s="19">
        <f>'Grid_Stock'!BS44</f>
        <v/>
      </c>
      <c r="CC92" s="19">
        <f>'Grid_Stock'!BT44</f>
        <v/>
      </c>
      <c r="CD92" s="19">
        <f>'Grid_Stock'!BU44</f>
        <v/>
      </c>
      <c r="CE92" s="19">
        <f>'Grid_Stock'!BV44</f>
        <v/>
      </c>
      <c r="CF92" s="19">
        <f>'Grid_Stock'!BW44</f>
        <v/>
      </c>
      <c r="CG92" s="19">
        <f>'Grid_Stock'!BX44</f>
        <v/>
      </c>
      <c r="CH92" s="19">
        <f>'Grid_Stock'!BY44</f>
        <v/>
      </c>
      <c r="CI92" s="19">
        <f>'Grid_Stock'!BZ44</f>
        <v/>
      </c>
      <c r="CJ92" s="19">
        <f>'Grid_Stock'!CA44</f>
        <v/>
      </c>
      <c r="CK92" s="19">
        <f>'Grid_Stock'!CB44</f>
        <v/>
      </c>
      <c r="CL92" s="19">
        <f>'Grid_Stock'!CC44</f>
        <v/>
      </c>
      <c r="CM92" s="19">
        <f>'Grid_Stock'!CD44</f>
        <v/>
      </c>
      <c r="CN92" s="19">
        <f>'Grid_Stock'!CE44</f>
        <v/>
      </c>
      <c r="CO92" s="19">
        <f>'Grid_Stock'!CF44</f>
        <v/>
      </c>
      <c r="CP92" s="19">
        <f>'Grid_Stock'!CG44</f>
        <v/>
      </c>
      <c r="CQ92" s="19">
        <f>'Grid_Stock'!CH44</f>
        <v/>
      </c>
      <c r="CR92" s="19">
        <f>'Grid_Stock'!CI44</f>
        <v/>
      </c>
      <c r="CS92" s="19">
        <f>'Grid_Stock'!CJ44</f>
        <v/>
      </c>
      <c r="CT92" s="19">
        <f>'Grid_Stock'!CK44</f>
        <v/>
      </c>
      <c r="CU92" s="19">
        <f>'Grid_Stock'!CL44</f>
        <v/>
      </c>
      <c r="CV92" s="19">
        <f>'Grid_Stock'!CM44</f>
        <v/>
      </c>
      <c r="CW92" s="19">
        <f>'Grid_Stock'!CN44</f>
        <v/>
      </c>
      <c r="CX92" s="19">
        <f>'Grid_Stock'!CO44</f>
        <v/>
      </c>
      <c r="CY92" s="19">
        <f>'Grid_Stock'!CP44</f>
        <v/>
      </c>
      <c r="CZ92" s="19">
        <f>'Grid_Stock'!CQ44</f>
        <v/>
      </c>
      <c r="DA92" s="19">
        <f>'Grid_Stock'!CR44</f>
        <v/>
      </c>
      <c r="DB92" s="19">
        <f>'Grid_Stock'!CS44</f>
        <v/>
      </c>
      <c r="DC92" s="19">
        <f>'Grid_Stock'!CT44</f>
        <v/>
      </c>
      <c r="DD92" s="19">
        <f>'Grid_Stock'!CU44</f>
        <v/>
      </c>
      <c r="DE92" s="19">
        <f>'Grid_Stock'!CV44</f>
        <v/>
      </c>
      <c r="DF92" s="19">
        <f>'Grid_Stock'!CW44</f>
        <v/>
      </c>
      <c r="DG92" s="19">
        <f>'Grid_Stock'!CX44</f>
        <v/>
      </c>
      <c r="DH92" s="19">
        <f>'Grid_Stock'!CY44</f>
        <v/>
      </c>
      <c r="DI92" s="19">
        <f>'Grid_Stock'!CZ44</f>
        <v/>
      </c>
      <c r="DJ92" s="19">
        <f>'Grid_Stock'!DA44</f>
        <v/>
      </c>
    </row>
    <row r="93">
      <c r="A93" s="17" t="inlineStr">
        <is>
          <t>CHEM-1770</t>
        </is>
      </c>
      <c r="B93" s="17">
        <f>IFERROR(INDEX(M_RawMaterials[Description],MATCH($A93,M_RawMaterials[Part Name],0)),"")</f>
        <v/>
      </c>
      <c r="C93" s="17">
        <f>IFERROR(INDEX(M_RawMaterials[Category],MATCH($A93,M_RawMaterials[Part Name],0)),"")</f>
        <v/>
      </c>
      <c r="D93" s="17">
        <f>IFERROR(INDEX(M_RawMaterials[基準在庫下限_要入力],MATCH($A93,M_RawMaterials[Part Name],0)),0)</f>
        <v/>
      </c>
      <c r="E93" s="17">
        <f>IFERROR(INDEX(M_RawMaterials[基準在庫上限_要入力],MATCH($A93,M_RawMaterials[Part Name],0)),0)</f>
        <v/>
      </c>
      <c r="F93" s="17">
        <f>IFERROR(LOOKUP(2,1/('T_SelfStock'!$B$49:$DA$49&lt;&gt;""),'T_SelfStock'!$B$49:$DA$49),"")</f>
        <v/>
      </c>
      <c r="G93" s="17">
        <f>IFERROR(LOOKUP(2,1/('T_TTAFStock'!$B$49:$DA$49&lt;&gt;""),'T_TTAFStock'!$B$49:$DA$49),"")</f>
        <v/>
      </c>
      <c r="H93" s="17">
        <f>IFERROR(LOOKUP(2,1/('T_SelfStock'!$B$49:$DA$49&lt;&gt;""),'T_SelfStock'!$B$5:$DA$5),"")</f>
        <v/>
      </c>
      <c r="I93" s="18" t="inlineStr">
        <is>
          <t>理論在庫</t>
        </is>
      </c>
      <c r="J93" s="17">
        <f>'Grid_Stock'!DA45-'Grid_TheoreticalStock'!DA45</f>
        <v/>
      </c>
      <c r="K93" s="18">
        <f>'Grid_TheoreticalStock'!B45</f>
        <v/>
      </c>
      <c r="L93" s="18">
        <f>'Grid_TheoreticalStock'!C45</f>
        <v/>
      </c>
      <c r="M93" s="18">
        <f>'Grid_TheoreticalStock'!D45</f>
        <v/>
      </c>
      <c r="N93" s="18">
        <f>'Grid_TheoreticalStock'!E45</f>
        <v/>
      </c>
      <c r="O93" s="18">
        <f>'Grid_TheoreticalStock'!F45</f>
        <v/>
      </c>
      <c r="P93" s="18">
        <f>'Grid_TheoreticalStock'!G45</f>
        <v/>
      </c>
      <c r="Q93" s="18">
        <f>'Grid_TheoreticalStock'!H45</f>
        <v/>
      </c>
      <c r="R93" s="18">
        <f>'Grid_TheoreticalStock'!I45</f>
        <v/>
      </c>
      <c r="S93" s="18">
        <f>'Grid_TheoreticalStock'!J45</f>
        <v/>
      </c>
      <c r="T93" s="18">
        <f>'Grid_TheoreticalStock'!K45</f>
        <v/>
      </c>
      <c r="U93" s="18">
        <f>'Grid_TheoreticalStock'!L45</f>
        <v/>
      </c>
      <c r="V93" s="18">
        <f>'Grid_TheoreticalStock'!M45</f>
        <v/>
      </c>
      <c r="W93" s="18">
        <f>'Grid_TheoreticalStock'!N45</f>
        <v/>
      </c>
      <c r="X93" s="18">
        <f>'Grid_TheoreticalStock'!O45</f>
        <v/>
      </c>
      <c r="Y93" s="18">
        <f>'Grid_TheoreticalStock'!P45</f>
        <v/>
      </c>
      <c r="Z93" s="18">
        <f>'Grid_TheoreticalStock'!Q45</f>
        <v/>
      </c>
      <c r="AA93" s="18">
        <f>'Grid_TheoreticalStock'!R45</f>
        <v/>
      </c>
      <c r="AB93" s="18">
        <f>'Grid_TheoreticalStock'!S45</f>
        <v/>
      </c>
      <c r="AC93" s="18">
        <f>'Grid_TheoreticalStock'!T45</f>
        <v/>
      </c>
      <c r="AD93" s="18">
        <f>'Grid_TheoreticalStock'!U45</f>
        <v/>
      </c>
      <c r="AE93" s="18">
        <f>'Grid_TheoreticalStock'!V45</f>
        <v/>
      </c>
      <c r="AF93" s="18">
        <f>'Grid_TheoreticalStock'!W45</f>
        <v/>
      </c>
      <c r="AG93" s="18">
        <f>'Grid_TheoreticalStock'!X45</f>
        <v/>
      </c>
      <c r="AH93" s="18">
        <f>'Grid_TheoreticalStock'!Y45</f>
        <v/>
      </c>
      <c r="AI93" s="18">
        <f>'Grid_TheoreticalStock'!Z45</f>
        <v/>
      </c>
      <c r="AJ93" s="18">
        <f>'Grid_TheoreticalStock'!AA45</f>
        <v/>
      </c>
      <c r="AK93" s="18">
        <f>'Grid_TheoreticalStock'!AB45</f>
        <v/>
      </c>
      <c r="AL93" s="18">
        <f>'Grid_TheoreticalStock'!AC45</f>
        <v/>
      </c>
      <c r="AM93" s="18">
        <f>'Grid_TheoreticalStock'!AD45</f>
        <v/>
      </c>
      <c r="AN93" s="18">
        <f>'Grid_TheoreticalStock'!AE45</f>
        <v/>
      </c>
      <c r="AO93" s="18">
        <f>'Grid_TheoreticalStock'!AF45</f>
        <v/>
      </c>
      <c r="AP93" s="18">
        <f>'Grid_TheoreticalStock'!AG45</f>
        <v/>
      </c>
      <c r="AQ93" s="18">
        <f>'Grid_TheoreticalStock'!AH45</f>
        <v/>
      </c>
      <c r="AR93" s="18">
        <f>'Grid_TheoreticalStock'!AI45</f>
        <v/>
      </c>
      <c r="AS93" s="18">
        <f>'Grid_TheoreticalStock'!AJ45</f>
        <v/>
      </c>
      <c r="AT93" s="18">
        <f>'Grid_TheoreticalStock'!AK45</f>
        <v/>
      </c>
      <c r="AU93" s="18">
        <f>'Grid_TheoreticalStock'!AL45</f>
        <v/>
      </c>
      <c r="AV93" s="18">
        <f>'Grid_TheoreticalStock'!AM45</f>
        <v/>
      </c>
      <c r="AW93" s="18">
        <f>'Grid_TheoreticalStock'!AN45</f>
        <v/>
      </c>
      <c r="AX93" s="18">
        <f>'Grid_TheoreticalStock'!AO45</f>
        <v/>
      </c>
      <c r="AY93" s="18">
        <f>'Grid_TheoreticalStock'!AP45</f>
        <v/>
      </c>
      <c r="AZ93" s="18">
        <f>'Grid_TheoreticalStock'!AQ45</f>
        <v/>
      </c>
      <c r="BA93" s="18">
        <f>'Grid_TheoreticalStock'!AR45</f>
        <v/>
      </c>
      <c r="BB93" s="18">
        <f>'Grid_TheoreticalStock'!AS45</f>
        <v/>
      </c>
      <c r="BC93" s="18">
        <f>'Grid_TheoreticalStock'!AT45</f>
        <v/>
      </c>
      <c r="BD93" s="18">
        <f>'Grid_TheoreticalStock'!AU45</f>
        <v/>
      </c>
      <c r="BE93" s="18">
        <f>'Grid_TheoreticalStock'!AV45</f>
        <v/>
      </c>
      <c r="BF93" s="18">
        <f>'Grid_TheoreticalStock'!AW45</f>
        <v/>
      </c>
      <c r="BG93" s="18">
        <f>'Grid_TheoreticalStock'!AX45</f>
        <v/>
      </c>
      <c r="BH93" s="18">
        <f>'Grid_TheoreticalStock'!AY45</f>
        <v/>
      </c>
      <c r="BI93" s="18">
        <f>'Grid_TheoreticalStock'!AZ45</f>
        <v/>
      </c>
      <c r="BJ93" s="18">
        <f>'Grid_TheoreticalStock'!BA45</f>
        <v/>
      </c>
      <c r="BK93" s="18">
        <f>'Grid_TheoreticalStock'!BB45</f>
        <v/>
      </c>
      <c r="BL93" s="18">
        <f>'Grid_TheoreticalStock'!BC45</f>
        <v/>
      </c>
      <c r="BM93" s="18">
        <f>'Grid_TheoreticalStock'!BD45</f>
        <v/>
      </c>
      <c r="BN93" s="18">
        <f>'Grid_TheoreticalStock'!BE45</f>
        <v/>
      </c>
      <c r="BO93" s="18">
        <f>'Grid_TheoreticalStock'!BF45</f>
        <v/>
      </c>
      <c r="BP93" s="18">
        <f>'Grid_TheoreticalStock'!BG45</f>
        <v/>
      </c>
      <c r="BQ93" s="18">
        <f>'Grid_TheoreticalStock'!BH45</f>
        <v/>
      </c>
      <c r="BR93" s="18">
        <f>'Grid_TheoreticalStock'!BI45</f>
        <v/>
      </c>
      <c r="BS93" s="18">
        <f>'Grid_TheoreticalStock'!BJ45</f>
        <v/>
      </c>
      <c r="BT93" s="18">
        <f>'Grid_TheoreticalStock'!BK45</f>
        <v/>
      </c>
      <c r="BU93" s="18">
        <f>'Grid_TheoreticalStock'!BL45</f>
        <v/>
      </c>
      <c r="BV93" s="18">
        <f>'Grid_TheoreticalStock'!BM45</f>
        <v/>
      </c>
      <c r="BW93" s="18">
        <f>'Grid_TheoreticalStock'!BN45</f>
        <v/>
      </c>
      <c r="BX93" s="18">
        <f>'Grid_TheoreticalStock'!BO45</f>
        <v/>
      </c>
      <c r="BY93" s="18">
        <f>'Grid_TheoreticalStock'!BP45</f>
        <v/>
      </c>
      <c r="BZ93" s="18">
        <f>'Grid_TheoreticalStock'!BQ45</f>
        <v/>
      </c>
      <c r="CA93" s="18">
        <f>'Grid_TheoreticalStock'!BR45</f>
        <v/>
      </c>
      <c r="CB93" s="18">
        <f>'Grid_TheoreticalStock'!BS45</f>
        <v/>
      </c>
      <c r="CC93" s="18">
        <f>'Grid_TheoreticalStock'!BT45</f>
        <v/>
      </c>
      <c r="CD93" s="18">
        <f>'Grid_TheoreticalStock'!BU45</f>
        <v/>
      </c>
      <c r="CE93" s="18">
        <f>'Grid_TheoreticalStock'!BV45</f>
        <v/>
      </c>
      <c r="CF93" s="18">
        <f>'Grid_TheoreticalStock'!BW45</f>
        <v/>
      </c>
      <c r="CG93" s="18">
        <f>'Grid_TheoreticalStock'!BX45</f>
        <v/>
      </c>
      <c r="CH93" s="18">
        <f>'Grid_TheoreticalStock'!BY45</f>
        <v/>
      </c>
      <c r="CI93" s="18">
        <f>'Grid_TheoreticalStock'!BZ45</f>
        <v/>
      </c>
      <c r="CJ93" s="18">
        <f>'Grid_TheoreticalStock'!CA45</f>
        <v/>
      </c>
      <c r="CK93" s="18">
        <f>'Grid_TheoreticalStock'!CB45</f>
        <v/>
      </c>
      <c r="CL93" s="18">
        <f>'Grid_TheoreticalStock'!CC45</f>
        <v/>
      </c>
      <c r="CM93" s="18">
        <f>'Grid_TheoreticalStock'!CD45</f>
        <v/>
      </c>
      <c r="CN93" s="18">
        <f>'Grid_TheoreticalStock'!CE45</f>
        <v/>
      </c>
      <c r="CO93" s="18">
        <f>'Grid_TheoreticalStock'!CF45</f>
        <v/>
      </c>
      <c r="CP93" s="18">
        <f>'Grid_TheoreticalStock'!CG45</f>
        <v/>
      </c>
      <c r="CQ93" s="18">
        <f>'Grid_TheoreticalStock'!CH45</f>
        <v/>
      </c>
      <c r="CR93" s="18">
        <f>'Grid_TheoreticalStock'!CI45</f>
        <v/>
      </c>
      <c r="CS93" s="18">
        <f>'Grid_TheoreticalStock'!CJ45</f>
        <v/>
      </c>
      <c r="CT93" s="18">
        <f>'Grid_TheoreticalStock'!CK45</f>
        <v/>
      </c>
      <c r="CU93" s="18">
        <f>'Grid_TheoreticalStock'!CL45</f>
        <v/>
      </c>
      <c r="CV93" s="18">
        <f>'Grid_TheoreticalStock'!CM45</f>
        <v/>
      </c>
      <c r="CW93" s="18">
        <f>'Grid_TheoreticalStock'!CN45</f>
        <v/>
      </c>
      <c r="CX93" s="18">
        <f>'Grid_TheoreticalStock'!CO45</f>
        <v/>
      </c>
      <c r="CY93" s="18">
        <f>'Grid_TheoreticalStock'!CP45</f>
        <v/>
      </c>
      <c r="CZ93" s="18">
        <f>'Grid_TheoreticalStock'!CQ45</f>
        <v/>
      </c>
      <c r="DA93" s="18">
        <f>'Grid_TheoreticalStock'!CR45</f>
        <v/>
      </c>
      <c r="DB93" s="18">
        <f>'Grid_TheoreticalStock'!CS45</f>
        <v/>
      </c>
      <c r="DC93" s="18">
        <f>'Grid_TheoreticalStock'!CT45</f>
        <v/>
      </c>
      <c r="DD93" s="18">
        <f>'Grid_TheoreticalStock'!CU45</f>
        <v/>
      </c>
      <c r="DE93" s="18">
        <f>'Grid_TheoreticalStock'!CV45</f>
        <v/>
      </c>
      <c r="DF93" s="18">
        <f>'Grid_TheoreticalStock'!CW45</f>
        <v/>
      </c>
      <c r="DG93" s="18">
        <f>'Grid_TheoreticalStock'!CX45</f>
        <v/>
      </c>
      <c r="DH93" s="18">
        <f>'Grid_TheoreticalStock'!CY45</f>
        <v/>
      </c>
      <c r="DI93" s="18">
        <f>'Grid_TheoreticalStock'!CZ45</f>
        <v/>
      </c>
      <c r="DJ93" s="18">
        <f>'Grid_TheoreticalStock'!DA45</f>
        <v/>
      </c>
    </row>
    <row r="94">
      <c r="A94" s="19" t="inlineStr">
        <is>
          <t>CHEM-1770</t>
        </is>
      </c>
      <c r="B94" s="19">
        <f>IFERROR(INDEX(M_RawMaterials[Description],MATCH($A94,M_RawMaterials[Part Name],0)),"")</f>
        <v/>
      </c>
      <c r="C94" s="19">
        <f>IFERROR(INDEX(M_RawMaterials[Category],MATCH($A94,M_RawMaterials[Part Name],0)),"")</f>
        <v/>
      </c>
      <c r="D94" s="19">
        <f>IFERROR(INDEX(M_RawMaterials[基準在庫下限_要入力],MATCH($A94,M_RawMaterials[Part Name],0)),0)</f>
        <v/>
      </c>
      <c r="E94" s="19">
        <f>IFERROR(INDEX(M_RawMaterials[基準在庫上限_要入力],MATCH($A94,M_RawMaterials[Part Name],0)),0)</f>
        <v/>
      </c>
      <c r="F94" s="19">
        <f>IFERROR(LOOKUP(2,1/('T_SelfStock'!$B$49:$DA$49&lt;&gt;""),'T_SelfStock'!$B$49:$DA$49),"")</f>
        <v/>
      </c>
      <c r="G94" s="19">
        <f>IFERROR(LOOKUP(2,1/('T_TTAFStock'!$B$49:$DA$49&lt;&gt;""),'T_TTAFStock'!$B$49:$DA$49),"")</f>
        <v/>
      </c>
      <c r="H94" s="19">
        <f>IFERROR(LOOKUP(2,1/('T_SelfStock'!$B$49:$DA$49&lt;&gt;""),'T_SelfStock'!$B$5:$DA$5),"")</f>
        <v/>
      </c>
      <c r="I94" s="20" t="inlineStr">
        <is>
          <t>実在庫</t>
        </is>
      </c>
      <c r="J94" s="19">
        <f>'Grid_Stock'!DA45-'Grid_TheoreticalStock'!DA45</f>
        <v/>
      </c>
      <c r="K94" s="19">
        <f>'Grid_Stock'!B45</f>
        <v/>
      </c>
      <c r="L94" s="19">
        <f>'Grid_Stock'!C45</f>
        <v/>
      </c>
      <c r="M94" s="19">
        <f>'Grid_Stock'!D45</f>
        <v/>
      </c>
      <c r="N94" s="19">
        <f>'Grid_Stock'!E45</f>
        <v/>
      </c>
      <c r="O94" s="19">
        <f>'Grid_Stock'!F45</f>
        <v/>
      </c>
      <c r="P94" s="19">
        <f>'Grid_Stock'!G45</f>
        <v/>
      </c>
      <c r="Q94" s="19">
        <f>'Grid_Stock'!H45</f>
        <v/>
      </c>
      <c r="R94" s="19">
        <f>'Grid_Stock'!I45</f>
        <v/>
      </c>
      <c r="S94" s="19">
        <f>'Grid_Stock'!J45</f>
        <v/>
      </c>
      <c r="T94" s="19">
        <f>'Grid_Stock'!K45</f>
        <v/>
      </c>
      <c r="U94" s="19">
        <f>'Grid_Stock'!L45</f>
        <v/>
      </c>
      <c r="V94" s="19">
        <f>'Grid_Stock'!M45</f>
        <v/>
      </c>
      <c r="W94" s="19">
        <f>'Grid_Stock'!N45</f>
        <v/>
      </c>
      <c r="X94" s="19">
        <f>'Grid_Stock'!O45</f>
        <v/>
      </c>
      <c r="Y94" s="19">
        <f>'Grid_Stock'!P45</f>
        <v/>
      </c>
      <c r="Z94" s="19">
        <f>'Grid_Stock'!Q45</f>
        <v/>
      </c>
      <c r="AA94" s="19">
        <f>'Grid_Stock'!R45</f>
        <v/>
      </c>
      <c r="AB94" s="19">
        <f>'Grid_Stock'!S45</f>
        <v/>
      </c>
      <c r="AC94" s="19">
        <f>'Grid_Stock'!T45</f>
        <v/>
      </c>
      <c r="AD94" s="19">
        <f>'Grid_Stock'!U45</f>
        <v/>
      </c>
      <c r="AE94" s="19">
        <f>'Grid_Stock'!V45</f>
        <v/>
      </c>
      <c r="AF94" s="19">
        <f>'Grid_Stock'!W45</f>
        <v/>
      </c>
      <c r="AG94" s="19">
        <f>'Grid_Stock'!X45</f>
        <v/>
      </c>
      <c r="AH94" s="19">
        <f>'Grid_Stock'!Y45</f>
        <v/>
      </c>
      <c r="AI94" s="19">
        <f>'Grid_Stock'!Z45</f>
        <v/>
      </c>
      <c r="AJ94" s="19">
        <f>'Grid_Stock'!AA45</f>
        <v/>
      </c>
      <c r="AK94" s="19">
        <f>'Grid_Stock'!AB45</f>
        <v/>
      </c>
      <c r="AL94" s="19">
        <f>'Grid_Stock'!AC45</f>
        <v/>
      </c>
      <c r="AM94" s="19">
        <f>'Grid_Stock'!AD45</f>
        <v/>
      </c>
      <c r="AN94" s="19">
        <f>'Grid_Stock'!AE45</f>
        <v/>
      </c>
      <c r="AO94" s="19">
        <f>'Grid_Stock'!AF45</f>
        <v/>
      </c>
      <c r="AP94" s="19">
        <f>'Grid_Stock'!AG45</f>
        <v/>
      </c>
      <c r="AQ94" s="19">
        <f>'Grid_Stock'!AH45</f>
        <v/>
      </c>
      <c r="AR94" s="19">
        <f>'Grid_Stock'!AI45</f>
        <v/>
      </c>
      <c r="AS94" s="19">
        <f>'Grid_Stock'!AJ45</f>
        <v/>
      </c>
      <c r="AT94" s="19">
        <f>'Grid_Stock'!AK45</f>
        <v/>
      </c>
      <c r="AU94" s="19">
        <f>'Grid_Stock'!AL45</f>
        <v/>
      </c>
      <c r="AV94" s="19">
        <f>'Grid_Stock'!AM45</f>
        <v/>
      </c>
      <c r="AW94" s="19">
        <f>'Grid_Stock'!AN45</f>
        <v/>
      </c>
      <c r="AX94" s="19">
        <f>'Grid_Stock'!AO45</f>
        <v/>
      </c>
      <c r="AY94" s="19">
        <f>'Grid_Stock'!AP45</f>
        <v/>
      </c>
      <c r="AZ94" s="19">
        <f>'Grid_Stock'!AQ45</f>
        <v/>
      </c>
      <c r="BA94" s="19">
        <f>'Grid_Stock'!AR45</f>
        <v/>
      </c>
      <c r="BB94" s="19">
        <f>'Grid_Stock'!AS45</f>
        <v/>
      </c>
      <c r="BC94" s="19">
        <f>'Grid_Stock'!AT45</f>
        <v/>
      </c>
      <c r="BD94" s="19">
        <f>'Grid_Stock'!AU45</f>
        <v/>
      </c>
      <c r="BE94" s="19">
        <f>'Grid_Stock'!AV45</f>
        <v/>
      </c>
      <c r="BF94" s="19">
        <f>'Grid_Stock'!AW45</f>
        <v/>
      </c>
      <c r="BG94" s="19">
        <f>'Grid_Stock'!AX45</f>
        <v/>
      </c>
      <c r="BH94" s="19">
        <f>'Grid_Stock'!AY45</f>
        <v/>
      </c>
      <c r="BI94" s="19">
        <f>'Grid_Stock'!AZ45</f>
        <v/>
      </c>
      <c r="BJ94" s="19">
        <f>'Grid_Stock'!BA45</f>
        <v/>
      </c>
      <c r="BK94" s="19">
        <f>'Grid_Stock'!BB45</f>
        <v/>
      </c>
      <c r="BL94" s="19">
        <f>'Grid_Stock'!BC45</f>
        <v/>
      </c>
      <c r="BM94" s="19">
        <f>'Grid_Stock'!BD45</f>
        <v/>
      </c>
      <c r="BN94" s="19">
        <f>'Grid_Stock'!BE45</f>
        <v/>
      </c>
      <c r="BO94" s="19">
        <f>'Grid_Stock'!BF45</f>
        <v/>
      </c>
      <c r="BP94" s="19">
        <f>'Grid_Stock'!BG45</f>
        <v/>
      </c>
      <c r="BQ94" s="19">
        <f>'Grid_Stock'!BH45</f>
        <v/>
      </c>
      <c r="BR94" s="19">
        <f>'Grid_Stock'!BI45</f>
        <v/>
      </c>
      <c r="BS94" s="19">
        <f>'Grid_Stock'!BJ45</f>
        <v/>
      </c>
      <c r="BT94" s="19">
        <f>'Grid_Stock'!BK45</f>
        <v/>
      </c>
      <c r="BU94" s="19">
        <f>'Grid_Stock'!BL45</f>
        <v/>
      </c>
      <c r="BV94" s="19">
        <f>'Grid_Stock'!BM45</f>
        <v/>
      </c>
      <c r="BW94" s="19">
        <f>'Grid_Stock'!BN45</f>
        <v/>
      </c>
      <c r="BX94" s="19">
        <f>'Grid_Stock'!BO45</f>
        <v/>
      </c>
      <c r="BY94" s="19">
        <f>'Grid_Stock'!BP45</f>
        <v/>
      </c>
      <c r="BZ94" s="19">
        <f>'Grid_Stock'!BQ45</f>
        <v/>
      </c>
      <c r="CA94" s="19">
        <f>'Grid_Stock'!BR45</f>
        <v/>
      </c>
      <c r="CB94" s="19">
        <f>'Grid_Stock'!BS45</f>
        <v/>
      </c>
      <c r="CC94" s="19">
        <f>'Grid_Stock'!BT45</f>
        <v/>
      </c>
      <c r="CD94" s="19">
        <f>'Grid_Stock'!BU45</f>
        <v/>
      </c>
      <c r="CE94" s="19">
        <f>'Grid_Stock'!BV45</f>
        <v/>
      </c>
      <c r="CF94" s="19">
        <f>'Grid_Stock'!BW45</f>
        <v/>
      </c>
      <c r="CG94" s="19">
        <f>'Grid_Stock'!BX45</f>
        <v/>
      </c>
      <c r="CH94" s="19">
        <f>'Grid_Stock'!BY45</f>
        <v/>
      </c>
      <c r="CI94" s="19">
        <f>'Grid_Stock'!BZ45</f>
        <v/>
      </c>
      <c r="CJ94" s="19">
        <f>'Grid_Stock'!CA45</f>
        <v/>
      </c>
      <c r="CK94" s="19">
        <f>'Grid_Stock'!CB45</f>
        <v/>
      </c>
      <c r="CL94" s="19">
        <f>'Grid_Stock'!CC45</f>
        <v/>
      </c>
      <c r="CM94" s="19">
        <f>'Grid_Stock'!CD45</f>
        <v/>
      </c>
      <c r="CN94" s="19">
        <f>'Grid_Stock'!CE45</f>
        <v/>
      </c>
      <c r="CO94" s="19">
        <f>'Grid_Stock'!CF45</f>
        <v/>
      </c>
      <c r="CP94" s="19">
        <f>'Grid_Stock'!CG45</f>
        <v/>
      </c>
      <c r="CQ94" s="19">
        <f>'Grid_Stock'!CH45</f>
        <v/>
      </c>
      <c r="CR94" s="19">
        <f>'Grid_Stock'!CI45</f>
        <v/>
      </c>
      <c r="CS94" s="19">
        <f>'Grid_Stock'!CJ45</f>
        <v/>
      </c>
      <c r="CT94" s="19">
        <f>'Grid_Stock'!CK45</f>
        <v/>
      </c>
      <c r="CU94" s="19">
        <f>'Grid_Stock'!CL45</f>
        <v/>
      </c>
      <c r="CV94" s="19">
        <f>'Grid_Stock'!CM45</f>
        <v/>
      </c>
      <c r="CW94" s="19">
        <f>'Grid_Stock'!CN45</f>
        <v/>
      </c>
      <c r="CX94" s="19">
        <f>'Grid_Stock'!CO45</f>
        <v/>
      </c>
      <c r="CY94" s="19">
        <f>'Grid_Stock'!CP45</f>
        <v/>
      </c>
      <c r="CZ94" s="19">
        <f>'Grid_Stock'!CQ45</f>
        <v/>
      </c>
      <c r="DA94" s="19">
        <f>'Grid_Stock'!CR45</f>
        <v/>
      </c>
      <c r="DB94" s="19">
        <f>'Grid_Stock'!CS45</f>
        <v/>
      </c>
      <c r="DC94" s="19">
        <f>'Grid_Stock'!CT45</f>
        <v/>
      </c>
      <c r="DD94" s="19">
        <f>'Grid_Stock'!CU45</f>
        <v/>
      </c>
      <c r="DE94" s="19">
        <f>'Grid_Stock'!CV45</f>
        <v/>
      </c>
      <c r="DF94" s="19">
        <f>'Grid_Stock'!CW45</f>
        <v/>
      </c>
      <c r="DG94" s="19">
        <f>'Grid_Stock'!CX45</f>
        <v/>
      </c>
      <c r="DH94" s="19">
        <f>'Grid_Stock'!CY45</f>
        <v/>
      </c>
      <c r="DI94" s="19">
        <f>'Grid_Stock'!CZ45</f>
        <v/>
      </c>
      <c r="DJ94" s="19">
        <f>'Grid_Stock'!DA45</f>
        <v/>
      </c>
    </row>
    <row r="95">
      <c r="A95" s="17" t="inlineStr">
        <is>
          <t>CHEM-1430</t>
        </is>
      </c>
      <c r="B95" s="17">
        <f>IFERROR(INDEX(M_RawMaterials[Description],MATCH($A95,M_RawMaterials[Part Name],0)),"")</f>
        <v/>
      </c>
      <c r="C95" s="17">
        <f>IFERROR(INDEX(M_RawMaterials[Category],MATCH($A95,M_RawMaterials[Part Name],0)),"")</f>
        <v/>
      </c>
      <c r="D95" s="17">
        <f>IFERROR(INDEX(M_RawMaterials[基準在庫下限_要入力],MATCH($A95,M_RawMaterials[Part Name],0)),0)</f>
        <v/>
      </c>
      <c r="E95" s="17">
        <f>IFERROR(INDEX(M_RawMaterials[基準在庫上限_要入力],MATCH($A95,M_RawMaterials[Part Name],0)),0)</f>
        <v/>
      </c>
      <c r="F95" s="17">
        <f>IFERROR(LOOKUP(2,1/('T_SelfStock'!$B$50:$DA$50&lt;&gt;""),'T_SelfStock'!$B$50:$DA$50),"")</f>
        <v/>
      </c>
      <c r="G95" s="17">
        <f>IFERROR(LOOKUP(2,1/('T_TTAFStock'!$B$50:$DA$50&lt;&gt;""),'T_TTAFStock'!$B$50:$DA$50),"")</f>
        <v/>
      </c>
      <c r="H95" s="17">
        <f>IFERROR(LOOKUP(2,1/('T_SelfStock'!$B$50:$DA$50&lt;&gt;""),'T_SelfStock'!$B$5:$DA$5),"")</f>
        <v/>
      </c>
      <c r="I95" s="18" t="inlineStr">
        <is>
          <t>理論在庫</t>
        </is>
      </c>
      <c r="J95" s="17">
        <f>'Grid_Stock'!DA46-'Grid_TheoreticalStock'!DA46</f>
        <v/>
      </c>
      <c r="K95" s="18">
        <f>'Grid_TheoreticalStock'!B46</f>
        <v/>
      </c>
      <c r="L95" s="18">
        <f>'Grid_TheoreticalStock'!C46</f>
        <v/>
      </c>
      <c r="M95" s="18">
        <f>'Grid_TheoreticalStock'!D46</f>
        <v/>
      </c>
      <c r="N95" s="18">
        <f>'Grid_TheoreticalStock'!E46</f>
        <v/>
      </c>
      <c r="O95" s="18">
        <f>'Grid_TheoreticalStock'!F46</f>
        <v/>
      </c>
      <c r="P95" s="18">
        <f>'Grid_TheoreticalStock'!G46</f>
        <v/>
      </c>
      <c r="Q95" s="18">
        <f>'Grid_TheoreticalStock'!H46</f>
        <v/>
      </c>
      <c r="R95" s="18">
        <f>'Grid_TheoreticalStock'!I46</f>
        <v/>
      </c>
      <c r="S95" s="18">
        <f>'Grid_TheoreticalStock'!J46</f>
        <v/>
      </c>
      <c r="T95" s="18">
        <f>'Grid_TheoreticalStock'!K46</f>
        <v/>
      </c>
      <c r="U95" s="18">
        <f>'Grid_TheoreticalStock'!L46</f>
        <v/>
      </c>
      <c r="V95" s="18">
        <f>'Grid_TheoreticalStock'!M46</f>
        <v/>
      </c>
      <c r="W95" s="18">
        <f>'Grid_TheoreticalStock'!N46</f>
        <v/>
      </c>
      <c r="X95" s="18">
        <f>'Grid_TheoreticalStock'!O46</f>
        <v/>
      </c>
      <c r="Y95" s="18">
        <f>'Grid_TheoreticalStock'!P46</f>
        <v/>
      </c>
      <c r="Z95" s="18">
        <f>'Grid_TheoreticalStock'!Q46</f>
        <v/>
      </c>
      <c r="AA95" s="18">
        <f>'Grid_TheoreticalStock'!R46</f>
        <v/>
      </c>
      <c r="AB95" s="18">
        <f>'Grid_TheoreticalStock'!S46</f>
        <v/>
      </c>
      <c r="AC95" s="18">
        <f>'Grid_TheoreticalStock'!T46</f>
        <v/>
      </c>
      <c r="AD95" s="18">
        <f>'Grid_TheoreticalStock'!U46</f>
        <v/>
      </c>
      <c r="AE95" s="18">
        <f>'Grid_TheoreticalStock'!V46</f>
        <v/>
      </c>
      <c r="AF95" s="18">
        <f>'Grid_TheoreticalStock'!W46</f>
        <v/>
      </c>
      <c r="AG95" s="18">
        <f>'Grid_TheoreticalStock'!X46</f>
        <v/>
      </c>
      <c r="AH95" s="18">
        <f>'Grid_TheoreticalStock'!Y46</f>
        <v/>
      </c>
      <c r="AI95" s="18">
        <f>'Grid_TheoreticalStock'!Z46</f>
        <v/>
      </c>
      <c r="AJ95" s="18">
        <f>'Grid_TheoreticalStock'!AA46</f>
        <v/>
      </c>
      <c r="AK95" s="18">
        <f>'Grid_TheoreticalStock'!AB46</f>
        <v/>
      </c>
      <c r="AL95" s="18">
        <f>'Grid_TheoreticalStock'!AC46</f>
        <v/>
      </c>
      <c r="AM95" s="18">
        <f>'Grid_TheoreticalStock'!AD46</f>
        <v/>
      </c>
      <c r="AN95" s="18">
        <f>'Grid_TheoreticalStock'!AE46</f>
        <v/>
      </c>
      <c r="AO95" s="18">
        <f>'Grid_TheoreticalStock'!AF46</f>
        <v/>
      </c>
      <c r="AP95" s="18">
        <f>'Grid_TheoreticalStock'!AG46</f>
        <v/>
      </c>
      <c r="AQ95" s="18">
        <f>'Grid_TheoreticalStock'!AH46</f>
        <v/>
      </c>
      <c r="AR95" s="18">
        <f>'Grid_TheoreticalStock'!AI46</f>
        <v/>
      </c>
      <c r="AS95" s="18">
        <f>'Grid_TheoreticalStock'!AJ46</f>
        <v/>
      </c>
      <c r="AT95" s="18">
        <f>'Grid_TheoreticalStock'!AK46</f>
        <v/>
      </c>
      <c r="AU95" s="18">
        <f>'Grid_TheoreticalStock'!AL46</f>
        <v/>
      </c>
      <c r="AV95" s="18">
        <f>'Grid_TheoreticalStock'!AM46</f>
        <v/>
      </c>
      <c r="AW95" s="18">
        <f>'Grid_TheoreticalStock'!AN46</f>
        <v/>
      </c>
      <c r="AX95" s="18">
        <f>'Grid_TheoreticalStock'!AO46</f>
        <v/>
      </c>
      <c r="AY95" s="18">
        <f>'Grid_TheoreticalStock'!AP46</f>
        <v/>
      </c>
      <c r="AZ95" s="18">
        <f>'Grid_TheoreticalStock'!AQ46</f>
        <v/>
      </c>
      <c r="BA95" s="18">
        <f>'Grid_TheoreticalStock'!AR46</f>
        <v/>
      </c>
      <c r="BB95" s="18">
        <f>'Grid_TheoreticalStock'!AS46</f>
        <v/>
      </c>
      <c r="BC95" s="18">
        <f>'Grid_TheoreticalStock'!AT46</f>
        <v/>
      </c>
      <c r="BD95" s="18">
        <f>'Grid_TheoreticalStock'!AU46</f>
        <v/>
      </c>
      <c r="BE95" s="18">
        <f>'Grid_TheoreticalStock'!AV46</f>
        <v/>
      </c>
      <c r="BF95" s="18">
        <f>'Grid_TheoreticalStock'!AW46</f>
        <v/>
      </c>
      <c r="BG95" s="18">
        <f>'Grid_TheoreticalStock'!AX46</f>
        <v/>
      </c>
      <c r="BH95" s="18">
        <f>'Grid_TheoreticalStock'!AY46</f>
        <v/>
      </c>
      <c r="BI95" s="18">
        <f>'Grid_TheoreticalStock'!AZ46</f>
        <v/>
      </c>
      <c r="BJ95" s="18">
        <f>'Grid_TheoreticalStock'!BA46</f>
        <v/>
      </c>
      <c r="BK95" s="18">
        <f>'Grid_TheoreticalStock'!BB46</f>
        <v/>
      </c>
      <c r="BL95" s="18">
        <f>'Grid_TheoreticalStock'!BC46</f>
        <v/>
      </c>
      <c r="BM95" s="18">
        <f>'Grid_TheoreticalStock'!BD46</f>
        <v/>
      </c>
      <c r="BN95" s="18">
        <f>'Grid_TheoreticalStock'!BE46</f>
        <v/>
      </c>
      <c r="BO95" s="18">
        <f>'Grid_TheoreticalStock'!BF46</f>
        <v/>
      </c>
      <c r="BP95" s="18">
        <f>'Grid_TheoreticalStock'!BG46</f>
        <v/>
      </c>
      <c r="BQ95" s="18">
        <f>'Grid_TheoreticalStock'!BH46</f>
        <v/>
      </c>
      <c r="BR95" s="18">
        <f>'Grid_TheoreticalStock'!BI46</f>
        <v/>
      </c>
      <c r="BS95" s="18">
        <f>'Grid_TheoreticalStock'!BJ46</f>
        <v/>
      </c>
      <c r="BT95" s="18">
        <f>'Grid_TheoreticalStock'!BK46</f>
        <v/>
      </c>
      <c r="BU95" s="18">
        <f>'Grid_TheoreticalStock'!BL46</f>
        <v/>
      </c>
      <c r="BV95" s="18">
        <f>'Grid_TheoreticalStock'!BM46</f>
        <v/>
      </c>
      <c r="BW95" s="18">
        <f>'Grid_TheoreticalStock'!BN46</f>
        <v/>
      </c>
      <c r="BX95" s="18">
        <f>'Grid_TheoreticalStock'!BO46</f>
        <v/>
      </c>
      <c r="BY95" s="18">
        <f>'Grid_TheoreticalStock'!BP46</f>
        <v/>
      </c>
      <c r="BZ95" s="18">
        <f>'Grid_TheoreticalStock'!BQ46</f>
        <v/>
      </c>
      <c r="CA95" s="18">
        <f>'Grid_TheoreticalStock'!BR46</f>
        <v/>
      </c>
      <c r="CB95" s="18">
        <f>'Grid_TheoreticalStock'!BS46</f>
        <v/>
      </c>
      <c r="CC95" s="18">
        <f>'Grid_TheoreticalStock'!BT46</f>
        <v/>
      </c>
      <c r="CD95" s="18">
        <f>'Grid_TheoreticalStock'!BU46</f>
        <v/>
      </c>
      <c r="CE95" s="18">
        <f>'Grid_TheoreticalStock'!BV46</f>
        <v/>
      </c>
      <c r="CF95" s="18">
        <f>'Grid_TheoreticalStock'!BW46</f>
        <v/>
      </c>
      <c r="CG95" s="18">
        <f>'Grid_TheoreticalStock'!BX46</f>
        <v/>
      </c>
      <c r="CH95" s="18">
        <f>'Grid_TheoreticalStock'!BY46</f>
        <v/>
      </c>
      <c r="CI95" s="18">
        <f>'Grid_TheoreticalStock'!BZ46</f>
        <v/>
      </c>
      <c r="CJ95" s="18">
        <f>'Grid_TheoreticalStock'!CA46</f>
        <v/>
      </c>
      <c r="CK95" s="18">
        <f>'Grid_TheoreticalStock'!CB46</f>
        <v/>
      </c>
      <c r="CL95" s="18">
        <f>'Grid_TheoreticalStock'!CC46</f>
        <v/>
      </c>
      <c r="CM95" s="18">
        <f>'Grid_TheoreticalStock'!CD46</f>
        <v/>
      </c>
      <c r="CN95" s="18">
        <f>'Grid_TheoreticalStock'!CE46</f>
        <v/>
      </c>
      <c r="CO95" s="18">
        <f>'Grid_TheoreticalStock'!CF46</f>
        <v/>
      </c>
      <c r="CP95" s="18">
        <f>'Grid_TheoreticalStock'!CG46</f>
        <v/>
      </c>
      <c r="CQ95" s="18">
        <f>'Grid_TheoreticalStock'!CH46</f>
        <v/>
      </c>
      <c r="CR95" s="18">
        <f>'Grid_TheoreticalStock'!CI46</f>
        <v/>
      </c>
      <c r="CS95" s="18">
        <f>'Grid_TheoreticalStock'!CJ46</f>
        <v/>
      </c>
      <c r="CT95" s="18">
        <f>'Grid_TheoreticalStock'!CK46</f>
        <v/>
      </c>
      <c r="CU95" s="18">
        <f>'Grid_TheoreticalStock'!CL46</f>
        <v/>
      </c>
      <c r="CV95" s="18">
        <f>'Grid_TheoreticalStock'!CM46</f>
        <v/>
      </c>
      <c r="CW95" s="18">
        <f>'Grid_TheoreticalStock'!CN46</f>
        <v/>
      </c>
      <c r="CX95" s="18">
        <f>'Grid_TheoreticalStock'!CO46</f>
        <v/>
      </c>
      <c r="CY95" s="18">
        <f>'Grid_TheoreticalStock'!CP46</f>
        <v/>
      </c>
      <c r="CZ95" s="18">
        <f>'Grid_TheoreticalStock'!CQ46</f>
        <v/>
      </c>
      <c r="DA95" s="18">
        <f>'Grid_TheoreticalStock'!CR46</f>
        <v/>
      </c>
      <c r="DB95" s="18">
        <f>'Grid_TheoreticalStock'!CS46</f>
        <v/>
      </c>
      <c r="DC95" s="18">
        <f>'Grid_TheoreticalStock'!CT46</f>
        <v/>
      </c>
      <c r="DD95" s="18">
        <f>'Grid_TheoreticalStock'!CU46</f>
        <v/>
      </c>
      <c r="DE95" s="18">
        <f>'Grid_TheoreticalStock'!CV46</f>
        <v/>
      </c>
      <c r="DF95" s="18">
        <f>'Grid_TheoreticalStock'!CW46</f>
        <v/>
      </c>
      <c r="DG95" s="18">
        <f>'Grid_TheoreticalStock'!CX46</f>
        <v/>
      </c>
      <c r="DH95" s="18">
        <f>'Grid_TheoreticalStock'!CY46</f>
        <v/>
      </c>
      <c r="DI95" s="18">
        <f>'Grid_TheoreticalStock'!CZ46</f>
        <v/>
      </c>
      <c r="DJ95" s="18">
        <f>'Grid_TheoreticalStock'!DA46</f>
        <v/>
      </c>
    </row>
    <row r="96">
      <c r="A96" s="19" t="inlineStr">
        <is>
          <t>CHEM-1430</t>
        </is>
      </c>
      <c r="B96" s="19">
        <f>IFERROR(INDEX(M_RawMaterials[Description],MATCH($A96,M_RawMaterials[Part Name],0)),"")</f>
        <v/>
      </c>
      <c r="C96" s="19">
        <f>IFERROR(INDEX(M_RawMaterials[Category],MATCH($A96,M_RawMaterials[Part Name],0)),"")</f>
        <v/>
      </c>
      <c r="D96" s="19">
        <f>IFERROR(INDEX(M_RawMaterials[基準在庫下限_要入力],MATCH($A96,M_RawMaterials[Part Name],0)),0)</f>
        <v/>
      </c>
      <c r="E96" s="19">
        <f>IFERROR(INDEX(M_RawMaterials[基準在庫上限_要入力],MATCH($A96,M_RawMaterials[Part Name],0)),0)</f>
        <v/>
      </c>
      <c r="F96" s="19">
        <f>IFERROR(LOOKUP(2,1/('T_SelfStock'!$B$50:$DA$50&lt;&gt;""),'T_SelfStock'!$B$50:$DA$50),"")</f>
        <v/>
      </c>
      <c r="G96" s="19">
        <f>IFERROR(LOOKUP(2,1/('T_TTAFStock'!$B$50:$DA$50&lt;&gt;""),'T_TTAFStock'!$B$50:$DA$50),"")</f>
        <v/>
      </c>
      <c r="H96" s="19">
        <f>IFERROR(LOOKUP(2,1/('T_SelfStock'!$B$50:$DA$50&lt;&gt;""),'T_SelfStock'!$B$5:$DA$5),"")</f>
        <v/>
      </c>
      <c r="I96" s="20" t="inlineStr">
        <is>
          <t>実在庫</t>
        </is>
      </c>
      <c r="J96" s="19">
        <f>'Grid_Stock'!DA46-'Grid_TheoreticalStock'!DA46</f>
        <v/>
      </c>
      <c r="K96" s="19">
        <f>'Grid_Stock'!B46</f>
        <v/>
      </c>
      <c r="L96" s="19">
        <f>'Grid_Stock'!C46</f>
        <v/>
      </c>
      <c r="M96" s="19">
        <f>'Grid_Stock'!D46</f>
        <v/>
      </c>
      <c r="N96" s="19">
        <f>'Grid_Stock'!E46</f>
        <v/>
      </c>
      <c r="O96" s="19">
        <f>'Grid_Stock'!F46</f>
        <v/>
      </c>
      <c r="P96" s="19">
        <f>'Grid_Stock'!G46</f>
        <v/>
      </c>
      <c r="Q96" s="19">
        <f>'Grid_Stock'!H46</f>
        <v/>
      </c>
      <c r="R96" s="19">
        <f>'Grid_Stock'!I46</f>
        <v/>
      </c>
      <c r="S96" s="19">
        <f>'Grid_Stock'!J46</f>
        <v/>
      </c>
      <c r="T96" s="19">
        <f>'Grid_Stock'!K46</f>
        <v/>
      </c>
      <c r="U96" s="19">
        <f>'Grid_Stock'!L46</f>
        <v/>
      </c>
      <c r="V96" s="19">
        <f>'Grid_Stock'!M46</f>
        <v/>
      </c>
      <c r="W96" s="19">
        <f>'Grid_Stock'!N46</f>
        <v/>
      </c>
      <c r="X96" s="19">
        <f>'Grid_Stock'!O46</f>
        <v/>
      </c>
      <c r="Y96" s="19">
        <f>'Grid_Stock'!P46</f>
        <v/>
      </c>
      <c r="Z96" s="19">
        <f>'Grid_Stock'!Q46</f>
        <v/>
      </c>
      <c r="AA96" s="19">
        <f>'Grid_Stock'!R46</f>
        <v/>
      </c>
      <c r="AB96" s="19">
        <f>'Grid_Stock'!S46</f>
        <v/>
      </c>
      <c r="AC96" s="19">
        <f>'Grid_Stock'!T46</f>
        <v/>
      </c>
      <c r="AD96" s="19">
        <f>'Grid_Stock'!U46</f>
        <v/>
      </c>
      <c r="AE96" s="19">
        <f>'Grid_Stock'!V46</f>
        <v/>
      </c>
      <c r="AF96" s="19">
        <f>'Grid_Stock'!W46</f>
        <v/>
      </c>
      <c r="AG96" s="19">
        <f>'Grid_Stock'!X46</f>
        <v/>
      </c>
      <c r="AH96" s="19">
        <f>'Grid_Stock'!Y46</f>
        <v/>
      </c>
      <c r="AI96" s="19">
        <f>'Grid_Stock'!Z46</f>
        <v/>
      </c>
      <c r="AJ96" s="19">
        <f>'Grid_Stock'!AA46</f>
        <v/>
      </c>
      <c r="AK96" s="19">
        <f>'Grid_Stock'!AB46</f>
        <v/>
      </c>
      <c r="AL96" s="19">
        <f>'Grid_Stock'!AC46</f>
        <v/>
      </c>
      <c r="AM96" s="19">
        <f>'Grid_Stock'!AD46</f>
        <v/>
      </c>
      <c r="AN96" s="19">
        <f>'Grid_Stock'!AE46</f>
        <v/>
      </c>
      <c r="AO96" s="19">
        <f>'Grid_Stock'!AF46</f>
        <v/>
      </c>
      <c r="AP96" s="19">
        <f>'Grid_Stock'!AG46</f>
        <v/>
      </c>
      <c r="AQ96" s="19">
        <f>'Grid_Stock'!AH46</f>
        <v/>
      </c>
      <c r="AR96" s="19">
        <f>'Grid_Stock'!AI46</f>
        <v/>
      </c>
      <c r="AS96" s="19">
        <f>'Grid_Stock'!AJ46</f>
        <v/>
      </c>
      <c r="AT96" s="19">
        <f>'Grid_Stock'!AK46</f>
        <v/>
      </c>
      <c r="AU96" s="19">
        <f>'Grid_Stock'!AL46</f>
        <v/>
      </c>
      <c r="AV96" s="19">
        <f>'Grid_Stock'!AM46</f>
        <v/>
      </c>
      <c r="AW96" s="19">
        <f>'Grid_Stock'!AN46</f>
        <v/>
      </c>
      <c r="AX96" s="19">
        <f>'Grid_Stock'!AO46</f>
        <v/>
      </c>
      <c r="AY96" s="19">
        <f>'Grid_Stock'!AP46</f>
        <v/>
      </c>
      <c r="AZ96" s="19">
        <f>'Grid_Stock'!AQ46</f>
        <v/>
      </c>
      <c r="BA96" s="19">
        <f>'Grid_Stock'!AR46</f>
        <v/>
      </c>
      <c r="BB96" s="19">
        <f>'Grid_Stock'!AS46</f>
        <v/>
      </c>
      <c r="BC96" s="19">
        <f>'Grid_Stock'!AT46</f>
        <v/>
      </c>
      <c r="BD96" s="19">
        <f>'Grid_Stock'!AU46</f>
        <v/>
      </c>
      <c r="BE96" s="19">
        <f>'Grid_Stock'!AV46</f>
        <v/>
      </c>
      <c r="BF96" s="19">
        <f>'Grid_Stock'!AW46</f>
        <v/>
      </c>
      <c r="BG96" s="19">
        <f>'Grid_Stock'!AX46</f>
        <v/>
      </c>
      <c r="BH96" s="19">
        <f>'Grid_Stock'!AY46</f>
        <v/>
      </c>
      <c r="BI96" s="19">
        <f>'Grid_Stock'!AZ46</f>
        <v/>
      </c>
      <c r="BJ96" s="19">
        <f>'Grid_Stock'!BA46</f>
        <v/>
      </c>
      <c r="BK96" s="19">
        <f>'Grid_Stock'!BB46</f>
        <v/>
      </c>
      <c r="BL96" s="19">
        <f>'Grid_Stock'!BC46</f>
        <v/>
      </c>
      <c r="BM96" s="19">
        <f>'Grid_Stock'!BD46</f>
        <v/>
      </c>
      <c r="BN96" s="19">
        <f>'Grid_Stock'!BE46</f>
        <v/>
      </c>
      <c r="BO96" s="19">
        <f>'Grid_Stock'!BF46</f>
        <v/>
      </c>
      <c r="BP96" s="19">
        <f>'Grid_Stock'!BG46</f>
        <v/>
      </c>
      <c r="BQ96" s="19">
        <f>'Grid_Stock'!BH46</f>
        <v/>
      </c>
      <c r="BR96" s="19">
        <f>'Grid_Stock'!BI46</f>
        <v/>
      </c>
      <c r="BS96" s="19">
        <f>'Grid_Stock'!BJ46</f>
        <v/>
      </c>
      <c r="BT96" s="19">
        <f>'Grid_Stock'!BK46</f>
        <v/>
      </c>
      <c r="BU96" s="19">
        <f>'Grid_Stock'!BL46</f>
        <v/>
      </c>
      <c r="BV96" s="19">
        <f>'Grid_Stock'!BM46</f>
        <v/>
      </c>
      <c r="BW96" s="19">
        <f>'Grid_Stock'!BN46</f>
        <v/>
      </c>
      <c r="BX96" s="19">
        <f>'Grid_Stock'!BO46</f>
        <v/>
      </c>
      <c r="BY96" s="19">
        <f>'Grid_Stock'!BP46</f>
        <v/>
      </c>
      <c r="BZ96" s="19">
        <f>'Grid_Stock'!BQ46</f>
        <v/>
      </c>
      <c r="CA96" s="19">
        <f>'Grid_Stock'!BR46</f>
        <v/>
      </c>
      <c r="CB96" s="19">
        <f>'Grid_Stock'!BS46</f>
        <v/>
      </c>
      <c r="CC96" s="19">
        <f>'Grid_Stock'!BT46</f>
        <v/>
      </c>
      <c r="CD96" s="19">
        <f>'Grid_Stock'!BU46</f>
        <v/>
      </c>
      <c r="CE96" s="19">
        <f>'Grid_Stock'!BV46</f>
        <v/>
      </c>
      <c r="CF96" s="19">
        <f>'Grid_Stock'!BW46</f>
        <v/>
      </c>
      <c r="CG96" s="19">
        <f>'Grid_Stock'!BX46</f>
        <v/>
      </c>
      <c r="CH96" s="19">
        <f>'Grid_Stock'!BY46</f>
        <v/>
      </c>
      <c r="CI96" s="19">
        <f>'Grid_Stock'!BZ46</f>
        <v/>
      </c>
      <c r="CJ96" s="19">
        <f>'Grid_Stock'!CA46</f>
        <v/>
      </c>
      <c r="CK96" s="19">
        <f>'Grid_Stock'!CB46</f>
        <v/>
      </c>
      <c r="CL96" s="19">
        <f>'Grid_Stock'!CC46</f>
        <v/>
      </c>
      <c r="CM96" s="19">
        <f>'Grid_Stock'!CD46</f>
        <v/>
      </c>
      <c r="CN96" s="19">
        <f>'Grid_Stock'!CE46</f>
        <v/>
      </c>
      <c r="CO96" s="19">
        <f>'Grid_Stock'!CF46</f>
        <v/>
      </c>
      <c r="CP96" s="19">
        <f>'Grid_Stock'!CG46</f>
        <v/>
      </c>
      <c r="CQ96" s="19">
        <f>'Grid_Stock'!CH46</f>
        <v/>
      </c>
      <c r="CR96" s="19">
        <f>'Grid_Stock'!CI46</f>
        <v/>
      </c>
      <c r="CS96" s="19">
        <f>'Grid_Stock'!CJ46</f>
        <v/>
      </c>
      <c r="CT96" s="19">
        <f>'Grid_Stock'!CK46</f>
        <v/>
      </c>
      <c r="CU96" s="19">
        <f>'Grid_Stock'!CL46</f>
        <v/>
      </c>
      <c r="CV96" s="19">
        <f>'Grid_Stock'!CM46</f>
        <v/>
      </c>
      <c r="CW96" s="19">
        <f>'Grid_Stock'!CN46</f>
        <v/>
      </c>
      <c r="CX96" s="19">
        <f>'Grid_Stock'!CO46</f>
        <v/>
      </c>
      <c r="CY96" s="19">
        <f>'Grid_Stock'!CP46</f>
        <v/>
      </c>
      <c r="CZ96" s="19">
        <f>'Grid_Stock'!CQ46</f>
        <v/>
      </c>
      <c r="DA96" s="19">
        <f>'Grid_Stock'!CR46</f>
        <v/>
      </c>
      <c r="DB96" s="19">
        <f>'Grid_Stock'!CS46</f>
        <v/>
      </c>
      <c r="DC96" s="19">
        <f>'Grid_Stock'!CT46</f>
        <v/>
      </c>
      <c r="DD96" s="19">
        <f>'Grid_Stock'!CU46</f>
        <v/>
      </c>
      <c r="DE96" s="19">
        <f>'Grid_Stock'!CV46</f>
        <v/>
      </c>
      <c r="DF96" s="19">
        <f>'Grid_Stock'!CW46</f>
        <v/>
      </c>
      <c r="DG96" s="19">
        <f>'Grid_Stock'!CX46</f>
        <v/>
      </c>
      <c r="DH96" s="19">
        <f>'Grid_Stock'!CY46</f>
        <v/>
      </c>
      <c r="DI96" s="19">
        <f>'Grid_Stock'!CZ46</f>
        <v/>
      </c>
      <c r="DJ96" s="19">
        <f>'Grid_Stock'!DA46</f>
        <v/>
      </c>
    </row>
    <row r="97">
      <c r="A97" s="17" t="inlineStr">
        <is>
          <t>CHEM-1470</t>
        </is>
      </c>
      <c r="B97" s="17">
        <f>IFERROR(INDEX(M_RawMaterials[Description],MATCH($A97,M_RawMaterials[Part Name],0)),"")</f>
        <v/>
      </c>
      <c r="C97" s="17">
        <f>IFERROR(INDEX(M_RawMaterials[Category],MATCH($A97,M_RawMaterials[Part Name],0)),"")</f>
        <v/>
      </c>
      <c r="D97" s="17">
        <f>IFERROR(INDEX(M_RawMaterials[基準在庫下限_要入力],MATCH($A97,M_RawMaterials[Part Name],0)),0)</f>
        <v/>
      </c>
      <c r="E97" s="17">
        <f>IFERROR(INDEX(M_RawMaterials[基準在庫上限_要入力],MATCH($A97,M_RawMaterials[Part Name],0)),0)</f>
        <v/>
      </c>
      <c r="F97" s="17">
        <f>IFERROR(LOOKUP(2,1/('T_SelfStock'!$B$51:$DA$51&lt;&gt;""),'T_SelfStock'!$B$51:$DA$51),"")</f>
        <v/>
      </c>
      <c r="G97" s="17">
        <f>IFERROR(LOOKUP(2,1/('T_TTAFStock'!$B$51:$DA$51&lt;&gt;""),'T_TTAFStock'!$B$51:$DA$51),"")</f>
        <v/>
      </c>
      <c r="H97" s="17">
        <f>IFERROR(LOOKUP(2,1/('T_SelfStock'!$B$51:$DA$51&lt;&gt;""),'T_SelfStock'!$B$5:$DA$5),"")</f>
        <v/>
      </c>
      <c r="I97" s="18" t="inlineStr">
        <is>
          <t>理論在庫</t>
        </is>
      </c>
      <c r="J97" s="17">
        <f>'Grid_Stock'!DA47-'Grid_TheoreticalStock'!DA47</f>
        <v/>
      </c>
      <c r="K97" s="18">
        <f>'Grid_TheoreticalStock'!B47</f>
        <v/>
      </c>
      <c r="L97" s="18">
        <f>'Grid_TheoreticalStock'!C47</f>
        <v/>
      </c>
      <c r="M97" s="18">
        <f>'Grid_TheoreticalStock'!D47</f>
        <v/>
      </c>
      <c r="N97" s="18">
        <f>'Grid_TheoreticalStock'!E47</f>
        <v/>
      </c>
      <c r="O97" s="18">
        <f>'Grid_TheoreticalStock'!F47</f>
        <v/>
      </c>
      <c r="P97" s="18">
        <f>'Grid_TheoreticalStock'!G47</f>
        <v/>
      </c>
      <c r="Q97" s="18">
        <f>'Grid_TheoreticalStock'!H47</f>
        <v/>
      </c>
      <c r="R97" s="18">
        <f>'Grid_TheoreticalStock'!I47</f>
        <v/>
      </c>
      <c r="S97" s="18">
        <f>'Grid_TheoreticalStock'!J47</f>
        <v/>
      </c>
      <c r="T97" s="18">
        <f>'Grid_TheoreticalStock'!K47</f>
        <v/>
      </c>
      <c r="U97" s="18">
        <f>'Grid_TheoreticalStock'!L47</f>
        <v/>
      </c>
      <c r="V97" s="18">
        <f>'Grid_TheoreticalStock'!M47</f>
        <v/>
      </c>
      <c r="W97" s="18">
        <f>'Grid_TheoreticalStock'!N47</f>
        <v/>
      </c>
      <c r="X97" s="18">
        <f>'Grid_TheoreticalStock'!O47</f>
        <v/>
      </c>
      <c r="Y97" s="18">
        <f>'Grid_TheoreticalStock'!P47</f>
        <v/>
      </c>
      <c r="Z97" s="18">
        <f>'Grid_TheoreticalStock'!Q47</f>
        <v/>
      </c>
      <c r="AA97" s="18">
        <f>'Grid_TheoreticalStock'!R47</f>
        <v/>
      </c>
      <c r="AB97" s="18">
        <f>'Grid_TheoreticalStock'!S47</f>
        <v/>
      </c>
      <c r="AC97" s="18">
        <f>'Grid_TheoreticalStock'!T47</f>
        <v/>
      </c>
      <c r="AD97" s="18">
        <f>'Grid_TheoreticalStock'!U47</f>
        <v/>
      </c>
      <c r="AE97" s="18">
        <f>'Grid_TheoreticalStock'!V47</f>
        <v/>
      </c>
      <c r="AF97" s="18">
        <f>'Grid_TheoreticalStock'!W47</f>
        <v/>
      </c>
      <c r="AG97" s="18">
        <f>'Grid_TheoreticalStock'!X47</f>
        <v/>
      </c>
      <c r="AH97" s="18">
        <f>'Grid_TheoreticalStock'!Y47</f>
        <v/>
      </c>
      <c r="AI97" s="18">
        <f>'Grid_TheoreticalStock'!Z47</f>
        <v/>
      </c>
      <c r="AJ97" s="18">
        <f>'Grid_TheoreticalStock'!AA47</f>
        <v/>
      </c>
      <c r="AK97" s="18">
        <f>'Grid_TheoreticalStock'!AB47</f>
        <v/>
      </c>
      <c r="AL97" s="18">
        <f>'Grid_TheoreticalStock'!AC47</f>
        <v/>
      </c>
      <c r="AM97" s="18">
        <f>'Grid_TheoreticalStock'!AD47</f>
        <v/>
      </c>
      <c r="AN97" s="18">
        <f>'Grid_TheoreticalStock'!AE47</f>
        <v/>
      </c>
      <c r="AO97" s="18">
        <f>'Grid_TheoreticalStock'!AF47</f>
        <v/>
      </c>
      <c r="AP97" s="18">
        <f>'Grid_TheoreticalStock'!AG47</f>
        <v/>
      </c>
      <c r="AQ97" s="18">
        <f>'Grid_TheoreticalStock'!AH47</f>
        <v/>
      </c>
      <c r="AR97" s="18">
        <f>'Grid_TheoreticalStock'!AI47</f>
        <v/>
      </c>
      <c r="AS97" s="18">
        <f>'Grid_TheoreticalStock'!AJ47</f>
        <v/>
      </c>
      <c r="AT97" s="18">
        <f>'Grid_TheoreticalStock'!AK47</f>
        <v/>
      </c>
      <c r="AU97" s="18">
        <f>'Grid_TheoreticalStock'!AL47</f>
        <v/>
      </c>
      <c r="AV97" s="18">
        <f>'Grid_TheoreticalStock'!AM47</f>
        <v/>
      </c>
      <c r="AW97" s="18">
        <f>'Grid_TheoreticalStock'!AN47</f>
        <v/>
      </c>
      <c r="AX97" s="18">
        <f>'Grid_TheoreticalStock'!AO47</f>
        <v/>
      </c>
      <c r="AY97" s="18">
        <f>'Grid_TheoreticalStock'!AP47</f>
        <v/>
      </c>
      <c r="AZ97" s="18">
        <f>'Grid_TheoreticalStock'!AQ47</f>
        <v/>
      </c>
      <c r="BA97" s="18">
        <f>'Grid_TheoreticalStock'!AR47</f>
        <v/>
      </c>
      <c r="BB97" s="18">
        <f>'Grid_TheoreticalStock'!AS47</f>
        <v/>
      </c>
      <c r="BC97" s="18">
        <f>'Grid_TheoreticalStock'!AT47</f>
        <v/>
      </c>
      <c r="BD97" s="18">
        <f>'Grid_TheoreticalStock'!AU47</f>
        <v/>
      </c>
      <c r="BE97" s="18">
        <f>'Grid_TheoreticalStock'!AV47</f>
        <v/>
      </c>
      <c r="BF97" s="18">
        <f>'Grid_TheoreticalStock'!AW47</f>
        <v/>
      </c>
      <c r="BG97" s="18">
        <f>'Grid_TheoreticalStock'!AX47</f>
        <v/>
      </c>
      <c r="BH97" s="18">
        <f>'Grid_TheoreticalStock'!AY47</f>
        <v/>
      </c>
      <c r="BI97" s="18">
        <f>'Grid_TheoreticalStock'!AZ47</f>
        <v/>
      </c>
      <c r="BJ97" s="18">
        <f>'Grid_TheoreticalStock'!BA47</f>
        <v/>
      </c>
      <c r="BK97" s="18">
        <f>'Grid_TheoreticalStock'!BB47</f>
        <v/>
      </c>
      <c r="BL97" s="18">
        <f>'Grid_TheoreticalStock'!BC47</f>
        <v/>
      </c>
      <c r="BM97" s="18">
        <f>'Grid_TheoreticalStock'!BD47</f>
        <v/>
      </c>
      <c r="BN97" s="18">
        <f>'Grid_TheoreticalStock'!BE47</f>
        <v/>
      </c>
      <c r="BO97" s="18">
        <f>'Grid_TheoreticalStock'!BF47</f>
        <v/>
      </c>
      <c r="BP97" s="18">
        <f>'Grid_TheoreticalStock'!BG47</f>
        <v/>
      </c>
      <c r="BQ97" s="18">
        <f>'Grid_TheoreticalStock'!BH47</f>
        <v/>
      </c>
      <c r="BR97" s="18">
        <f>'Grid_TheoreticalStock'!BI47</f>
        <v/>
      </c>
      <c r="BS97" s="18">
        <f>'Grid_TheoreticalStock'!BJ47</f>
        <v/>
      </c>
      <c r="BT97" s="18">
        <f>'Grid_TheoreticalStock'!BK47</f>
        <v/>
      </c>
      <c r="BU97" s="18">
        <f>'Grid_TheoreticalStock'!BL47</f>
        <v/>
      </c>
      <c r="BV97" s="18">
        <f>'Grid_TheoreticalStock'!BM47</f>
        <v/>
      </c>
      <c r="BW97" s="18">
        <f>'Grid_TheoreticalStock'!BN47</f>
        <v/>
      </c>
      <c r="BX97" s="18">
        <f>'Grid_TheoreticalStock'!BO47</f>
        <v/>
      </c>
      <c r="BY97" s="18">
        <f>'Grid_TheoreticalStock'!BP47</f>
        <v/>
      </c>
      <c r="BZ97" s="18">
        <f>'Grid_TheoreticalStock'!BQ47</f>
        <v/>
      </c>
      <c r="CA97" s="18">
        <f>'Grid_TheoreticalStock'!BR47</f>
        <v/>
      </c>
      <c r="CB97" s="18">
        <f>'Grid_TheoreticalStock'!BS47</f>
        <v/>
      </c>
      <c r="CC97" s="18">
        <f>'Grid_TheoreticalStock'!BT47</f>
        <v/>
      </c>
      <c r="CD97" s="18">
        <f>'Grid_TheoreticalStock'!BU47</f>
        <v/>
      </c>
      <c r="CE97" s="18">
        <f>'Grid_TheoreticalStock'!BV47</f>
        <v/>
      </c>
      <c r="CF97" s="18">
        <f>'Grid_TheoreticalStock'!BW47</f>
        <v/>
      </c>
      <c r="CG97" s="18">
        <f>'Grid_TheoreticalStock'!BX47</f>
        <v/>
      </c>
      <c r="CH97" s="18">
        <f>'Grid_TheoreticalStock'!BY47</f>
        <v/>
      </c>
      <c r="CI97" s="18">
        <f>'Grid_TheoreticalStock'!BZ47</f>
        <v/>
      </c>
      <c r="CJ97" s="18">
        <f>'Grid_TheoreticalStock'!CA47</f>
        <v/>
      </c>
      <c r="CK97" s="18">
        <f>'Grid_TheoreticalStock'!CB47</f>
        <v/>
      </c>
      <c r="CL97" s="18">
        <f>'Grid_TheoreticalStock'!CC47</f>
        <v/>
      </c>
      <c r="CM97" s="18">
        <f>'Grid_TheoreticalStock'!CD47</f>
        <v/>
      </c>
      <c r="CN97" s="18">
        <f>'Grid_TheoreticalStock'!CE47</f>
        <v/>
      </c>
      <c r="CO97" s="18">
        <f>'Grid_TheoreticalStock'!CF47</f>
        <v/>
      </c>
      <c r="CP97" s="18">
        <f>'Grid_TheoreticalStock'!CG47</f>
        <v/>
      </c>
      <c r="CQ97" s="18">
        <f>'Grid_TheoreticalStock'!CH47</f>
        <v/>
      </c>
      <c r="CR97" s="18">
        <f>'Grid_TheoreticalStock'!CI47</f>
        <v/>
      </c>
      <c r="CS97" s="18">
        <f>'Grid_TheoreticalStock'!CJ47</f>
        <v/>
      </c>
      <c r="CT97" s="18">
        <f>'Grid_TheoreticalStock'!CK47</f>
        <v/>
      </c>
      <c r="CU97" s="18">
        <f>'Grid_TheoreticalStock'!CL47</f>
        <v/>
      </c>
      <c r="CV97" s="18">
        <f>'Grid_TheoreticalStock'!CM47</f>
        <v/>
      </c>
      <c r="CW97" s="18">
        <f>'Grid_TheoreticalStock'!CN47</f>
        <v/>
      </c>
      <c r="CX97" s="18">
        <f>'Grid_TheoreticalStock'!CO47</f>
        <v/>
      </c>
      <c r="CY97" s="18">
        <f>'Grid_TheoreticalStock'!CP47</f>
        <v/>
      </c>
      <c r="CZ97" s="18">
        <f>'Grid_TheoreticalStock'!CQ47</f>
        <v/>
      </c>
      <c r="DA97" s="18">
        <f>'Grid_TheoreticalStock'!CR47</f>
        <v/>
      </c>
      <c r="DB97" s="18">
        <f>'Grid_TheoreticalStock'!CS47</f>
        <v/>
      </c>
      <c r="DC97" s="18">
        <f>'Grid_TheoreticalStock'!CT47</f>
        <v/>
      </c>
      <c r="DD97" s="18">
        <f>'Grid_TheoreticalStock'!CU47</f>
        <v/>
      </c>
      <c r="DE97" s="18">
        <f>'Grid_TheoreticalStock'!CV47</f>
        <v/>
      </c>
      <c r="DF97" s="18">
        <f>'Grid_TheoreticalStock'!CW47</f>
        <v/>
      </c>
      <c r="DG97" s="18">
        <f>'Grid_TheoreticalStock'!CX47</f>
        <v/>
      </c>
      <c r="DH97" s="18">
        <f>'Grid_TheoreticalStock'!CY47</f>
        <v/>
      </c>
      <c r="DI97" s="18">
        <f>'Grid_TheoreticalStock'!CZ47</f>
        <v/>
      </c>
      <c r="DJ97" s="18">
        <f>'Grid_TheoreticalStock'!DA47</f>
        <v/>
      </c>
    </row>
    <row r="98">
      <c r="A98" s="19" t="inlineStr">
        <is>
          <t>CHEM-1470</t>
        </is>
      </c>
      <c r="B98" s="19">
        <f>IFERROR(INDEX(M_RawMaterials[Description],MATCH($A98,M_RawMaterials[Part Name],0)),"")</f>
        <v/>
      </c>
      <c r="C98" s="19">
        <f>IFERROR(INDEX(M_RawMaterials[Category],MATCH($A98,M_RawMaterials[Part Name],0)),"")</f>
        <v/>
      </c>
      <c r="D98" s="19">
        <f>IFERROR(INDEX(M_RawMaterials[基準在庫下限_要入力],MATCH($A98,M_RawMaterials[Part Name],0)),0)</f>
        <v/>
      </c>
      <c r="E98" s="19">
        <f>IFERROR(INDEX(M_RawMaterials[基準在庫上限_要入力],MATCH($A98,M_RawMaterials[Part Name],0)),0)</f>
        <v/>
      </c>
      <c r="F98" s="19">
        <f>IFERROR(LOOKUP(2,1/('T_SelfStock'!$B$51:$DA$51&lt;&gt;""),'T_SelfStock'!$B$51:$DA$51),"")</f>
        <v/>
      </c>
      <c r="G98" s="19">
        <f>IFERROR(LOOKUP(2,1/('T_TTAFStock'!$B$51:$DA$51&lt;&gt;""),'T_TTAFStock'!$B$51:$DA$51),"")</f>
        <v/>
      </c>
      <c r="H98" s="19">
        <f>IFERROR(LOOKUP(2,1/('T_SelfStock'!$B$51:$DA$51&lt;&gt;""),'T_SelfStock'!$B$5:$DA$5),"")</f>
        <v/>
      </c>
      <c r="I98" s="20" t="inlineStr">
        <is>
          <t>実在庫</t>
        </is>
      </c>
      <c r="J98" s="19">
        <f>'Grid_Stock'!DA47-'Grid_TheoreticalStock'!DA47</f>
        <v/>
      </c>
      <c r="K98" s="19">
        <f>'Grid_Stock'!B47</f>
        <v/>
      </c>
      <c r="L98" s="19">
        <f>'Grid_Stock'!C47</f>
        <v/>
      </c>
      <c r="M98" s="19">
        <f>'Grid_Stock'!D47</f>
        <v/>
      </c>
      <c r="N98" s="19">
        <f>'Grid_Stock'!E47</f>
        <v/>
      </c>
      <c r="O98" s="19">
        <f>'Grid_Stock'!F47</f>
        <v/>
      </c>
      <c r="P98" s="19">
        <f>'Grid_Stock'!G47</f>
        <v/>
      </c>
      <c r="Q98" s="19">
        <f>'Grid_Stock'!H47</f>
        <v/>
      </c>
      <c r="R98" s="19">
        <f>'Grid_Stock'!I47</f>
        <v/>
      </c>
      <c r="S98" s="19">
        <f>'Grid_Stock'!J47</f>
        <v/>
      </c>
      <c r="T98" s="19">
        <f>'Grid_Stock'!K47</f>
        <v/>
      </c>
      <c r="U98" s="19">
        <f>'Grid_Stock'!L47</f>
        <v/>
      </c>
      <c r="V98" s="19">
        <f>'Grid_Stock'!M47</f>
        <v/>
      </c>
      <c r="W98" s="19">
        <f>'Grid_Stock'!N47</f>
        <v/>
      </c>
      <c r="X98" s="19">
        <f>'Grid_Stock'!O47</f>
        <v/>
      </c>
      <c r="Y98" s="19">
        <f>'Grid_Stock'!P47</f>
        <v/>
      </c>
      <c r="Z98" s="19">
        <f>'Grid_Stock'!Q47</f>
        <v/>
      </c>
      <c r="AA98" s="19">
        <f>'Grid_Stock'!R47</f>
        <v/>
      </c>
      <c r="AB98" s="19">
        <f>'Grid_Stock'!S47</f>
        <v/>
      </c>
      <c r="AC98" s="19">
        <f>'Grid_Stock'!T47</f>
        <v/>
      </c>
      <c r="AD98" s="19">
        <f>'Grid_Stock'!U47</f>
        <v/>
      </c>
      <c r="AE98" s="19">
        <f>'Grid_Stock'!V47</f>
        <v/>
      </c>
      <c r="AF98" s="19">
        <f>'Grid_Stock'!W47</f>
        <v/>
      </c>
      <c r="AG98" s="19">
        <f>'Grid_Stock'!X47</f>
        <v/>
      </c>
      <c r="AH98" s="19">
        <f>'Grid_Stock'!Y47</f>
        <v/>
      </c>
      <c r="AI98" s="19">
        <f>'Grid_Stock'!Z47</f>
        <v/>
      </c>
      <c r="AJ98" s="19">
        <f>'Grid_Stock'!AA47</f>
        <v/>
      </c>
      <c r="AK98" s="19">
        <f>'Grid_Stock'!AB47</f>
        <v/>
      </c>
      <c r="AL98" s="19">
        <f>'Grid_Stock'!AC47</f>
        <v/>
      </c>
      <c r="AM98" s="19">
        <f>'Grid_Stock'!AD47</f>
        <v/>
      </c>
      <c r="AN98" s="19">
        <f>'Grid_Stock'!AE47</f>
        <v/>
      </c>
      <c r="AO98" s="19">
        <f>'Grid_Stock'!AF47</f>
        <v/>
      </c>
      <c r="AP98" s="19">
        <f>'Grid_Stock'!AG47</f>
        <v/>
      </c>
      <c r="AQ98" s="19">
        <f>'Grid_Stock'!AH47</f>
        <v/>
      </c>
      <c r="AR98" s="19">
        <f>'Grid_Stock'!AI47</f>
        <v/>
      </c>
      <c r="AS98" s="19">
        <f>'Grid_Stock'!AJ47</f>
        <v/>
      </c>
      <c r="AT98" s="19">
        <f>'Grid_Stock'!AK47</f>
        <v/>
      </c>
      <c r="AU98" s="19">
        <f>'Grid_Stock'!AL47</f>
        <v/>
      </c>
      <c r="AV98" s="19">
        <f>'Grid_Stock'!AM47</f>
        <v/>
      </c>
      <c r="AW98" s="19">
        <f>'Grid_Stock'!AN47</f>
        <v/>
      </c>
      <c r="AX98" s="19">
        <f>'Grid_Stock'!AO47</f>
        <v/>
      </c>
      <c r="AY98" s="19">
        <f>'Grid_Stock'!AP47</f>
        <v/>
      </c>
      <c r="AZ98" s="19">
        <f>'Grid_Stock'!AQ47</f>
        <v/>
      </c>
      <c r="BA98" s="19">
        <f>'Grid_Stock'!AR47</f>
        <v/>
      </c>
      <c r="BB98" s="19">
        <f>'Grid_Stock'!AS47</f>
        <v/>
      </c>
      <c r="BC98" s="19">
        <f>'Grid_Stock'!AT47</f>
        <v/>
      </c>
      <c r="BD98" s="19">
        <f>'Grid_Stock'!AU47</f>
        <v/>
      </c>
      <c r="BE98" s="19">
        <f>'Grid_Stock'!AV47</f>
        <v/>
      </c>
      <c r="BF98" s="19">
        <f>'Grid_Stock'!AW47</f>
        <v/>
      </c>
      <c r="BG98" s="19">
        <f>'Grid_Stock'!AX47</f>
        <v/>
      </c>
      <c r="BH98" s="19">
        <f>'Grid_Stock'!AY47</f>
        <v/>
      </c>
      <c r="BI98" s="19">
        <f>'Grid_Stock'!AZ47</f>
        <v/>
      </c>
      <c r="BJ98" s="19">
        <f>'Grid_Stock'!BA47</f>
        <v/>
      </c>
      <c r="BK98" s="19">
        <f>'Grid_Stock'!BB47</f>
        <v/>
      </c>
      <c r="BL98" s="19">
        <f>'Grid_Stock'!BC47</f>
        <v/>
      </c>
      <c r="BM98" s="19">
        <f>'Grid_Stock'!BD47</f>
        <v/>
      </c>
      <c r="BN98" s="19">
        <f>'Grid_Stock'!BE47</f>
        <v/>
      </c>
      <c r="BO98" s="19">
        <f>'Grid_Stock'!BF47</f>
        <v/>
      </c>
      <c r="BP98" s="19">
        <f>'Grid_Stock'!BG47</f>
        <v/>
      </c>
      <c r="BQ98" s="19">
        <f>'Grid_Stock'!BH47</f>
        <v/>
      </c>
      <c r="BR98" s="19">
        <f>'Grid_Stock'!BI47</f>
        <v/>
      </c>
      <c r="BS98" s="19">
        <f>'Grid_Stock'!BJ47</f>
        <v/>
      </c>
      <c r="BT98" s="19">
        <f>'Grid_Stock'!BK47</f>
        <v/>
      </c>
      <c r="BU98" s="19">
        <f>'Grid_Stock'!BL47</f>
        <v/>
      </c>
      <c r="BV98" s="19">
        <f>'Grid_Stock'!BM47</f>
        <v/>
      </c>
      <c r="BW98" s="19">
        <f>'Grid_Stock'!BN47</f>
        <v/>
      </c>
      <c r="BX98" s="19">
        <f>'Grid_Stock'!BO47</f>
        <v/>
      </c>
      <c r="BY98" s="19">
        <f>'Grid_Stock'!BP47</f>
        <v/>
      </c>
      <c r="BZ98" s="19">
        <f>'Grid_Stock'!BQ47</f>
        <v/>
      </c>
      <c r="CA98" s="19">
        <f>'Grid_Stock'!BR47</f>
        <v/>
      </c>
      <c r="CB98" s="19">
        <f>'Grid_Stock'!BS47</f>
        <v/>
      </c>
      <c r="CC98" s="19">
        <f>'Grid_Stock'!BT47</f>
        <v/>
      </c>
      <c r="CD98" s="19">
        <f>'Grid_Stock'!BU47</f>
        <v/>
      </c>
      <c r="CE98" s="19">
        <f>'Grid_Stock'!BV47</f>
        <v/>
      </c>
      <c r="CF98" s="19">
        <f>'Grid_Stock'!BW47</f>
        <v/>
      </c>
      <c r="CG98" s="19">
        <f>'Grid_Stock'!BX47</f>
        <v/>
      </c>
      <c r="CH98" s="19">
        <f>'Grid_Stock'!BY47</f>
        <v/>
      </c>
      <c r="CI98" s="19">
        <f>'Grid_Stock'!BZ47</f>
        <v/>
      </c>
      <c r="CJ98" s="19">
        <f>'Grid_Stock'!CA47</f>
        <v/>
      </c>
      <c r="CK98" s="19">
        <f>'Grid_Stock'!CB47</f>
        <v/>
      </c>
      <c r="CL98" s="19">
        <f>'Grid_Stock'!CC47</f>
        <v/>
      </c>
      <c r="CM98" s="19">
        <f>'Grid_Stock'!CD47</f>
        <v/>
      </c>
      <c r="CN98" s="19">
        <f>'Grid_Stock'!CE47</f>
        <v/>
      </c>
      <c r="CO98" s="19">
        <f>'Grid_Stock'!CF47</f>
        <v/>
      </c>
      <c r="CP98" s="19">
        <f>'Grid_Stock'!CG47</f>
        <v/>
      </c>
      <c r="CQ98" s="19">
        <f>'Grid_Stock'!CH47</f>
        <v/>
      </c>
      <c r="CR98" s="19">
        <f>'Grid_Stock'!CI47</f>
        <v/>
      </c>
      <c r="CS98" s="19">
        <f>'Grid_Stock'!CJ47</f>
        <v/>
      </c>
      <c r="CT98" s="19">
        <f>'Grid_Stock'!CK47</f>
        <v/>
      </c>
      <c r="CU98" s="19">
        <f>'Grid_Stock'!CL47</f>
        <v/>
      </c>
      <c r="CV98" s="19">
        <f>'Grid_Stock'!CM47</f>
        <v/>
      </c>
      <c r="CW98" s="19">
        <f>'Grid_Stock'!CN47</f>
        <v/>
      </c>
      <c r="CX98" s="19">
        <f>'Grid_Stock'!CO47</f>
        <v/>
      </c>
      <c r="CY98" s="19">
        <f>'Grid_Stock'!CP47</f>
        <v/>
      </c>
      <c r="CZ98" s="19">
        <f>'Grid_Stock'!CQ47</f>
        <v/>
      </c>
      <c r="DA98" s="19">
        <f>'Grid_Stock'!CR47</f>
        <v/>
      </c>
      <c r="DB98" s="19">
        <f>'Grid_Stock'!CS47</f>
        <v/>
      </c>
      <c r="DC98" s="19">
        <f>'Grid_Stock'!CT47</f>
        <v/>
      </c>
      <c r="DD98" s="19">
        <f>'Grid_Stock'!CU47</f>
        <v/>
      </c>
      <c r="DE98" s="19">
        <f>'Grid_Stock'!CV47</f>
        <v/>
      </c>
      <c r="DF98" s="19">
        <f>'Grid_Stock'!CW47</f>
        <v/>
      </c>
      <c r="DG98" s="19">
        <f>'Grid_Stock'!CX47</f>
        <v/>
      </c>
      <c r="DH98" s="19">
        <f>'Grid_Stock'!CY47</f>
        <v/>
      </c>
      <c r="DI98" s="19">
        <f>'Grid_Stock'!CZ47</f>
        <v/>
      </c>
      <c r="DJ98" s="19">
        <f>'Grid_Stock'!DA47</f>
        <v/>
      </c>
    </row>
    <row r="99">
      <c r="A99" s="17" t="inlineStr">
        <is>
          <t>CHEM-1010</t>
        </is>
      </c>
      <c r="B99" s="17">
        <f>IFERROR(INDEX(M_RawMaterials[Description],MATCH($A99,M_RawMaterials[Part Name],0)),"")</f>
        <v/>
      </c>
      <c r="C99" s="17">
        <f>IFERROR(INDEX(M_RawMaterials[Category],MATCH($A99,M_RawMaterials[Part Name],0)),"")</f>
        <v/>
      </c>
      <c r="D99" s="17">
        <f>IFERROR(INDEX(M_RawMaterials[基準在庫下限_要入力],MATCH($A99,M_RawMaterials[Part Name],0)),0)</f>
        <v/>
      </c>
      <c r="E99" s="17">
        <f>IFERROR(INDEX(M_RawMaterials[基準在庫上限_要入力],MATCH($A99,M_RawMaterials[Part Name],0)),0)</f>
        <v/>
      </c>
      <c r="F99" s="17">
        <f>IFERROR(LOOKUP(2,1/('T_SelfStock'!$B$52:$DA$52&lt;&gt;""),'T_SelfStock'!$B$52:$DA$52),"")</f>
        <v/>
      </c>
      <c r="G99" s="17">
        <f>IFERROR(LOOKUP(2,1/('T_TTAFStock'!$B$52:$DA$52&lt;&gt;""),'T_TTAFStock'!$B$52:$DA$52),"")</f>
        <v/>
      </c>
      <c r="H99" s="17">
        <f>IFERROR(LOOKUP(2,1/('T_SelfStock'!$B$52:$DA$52&lt;&gt;""),'T_SelfStock'!$B$5:$DA$5),"")</f>
        <v/>
      </c>
      <c r="I99" s="18" t="inlineStr">
        <is>
          <t>理論在庫</t>
        </is>
      </c>
      <c r="J99" s="17">
        <f>'Grid_Stock'!DA48-'Grid_TheoreticalStock'!DA48</f>
        <v/>
      </c>
      <c r="K99" s="18">
        <f>'Grid_TheoreticalStock'!B48</f>
        <v/>
      </c>
      <c r="L99" s="18">
        <f>'Grid_TheoreticalStock'!C48</f>
        <v/>
      </c>
      <c r="M99" s="18">
        <f>'Grid_TheoreticalStock'!D48</f>
        <v/>
      </c>
      <c r="N99" s="18">
        <f>'Grid_TheoreticalStock'!E48</f>
        <v/>
      </c>
      <c r="O99" s="18">
        <f>'Grid_TheoreticalStock'!F48</f>
        <v/>
      </c>
      <c r="P99" s="18">
        <f>'Grid_TheoreticalStock'!G48</f>
        <v/>
      </c>
      <c r="Q99" s="18">
        <f>'Grid_TheoreticalStock'!H48</f>
        <v/>
      </c>
      <c r="R99" s="18">
        <f>'Grid_TheoreticalStock'!I48</f>
        <v/>
      </c>
      <c r="S99" s="18">
        <f>'Grid_TheoreticalStock'!J48</f>
        <v/>
      </c>
      <c r="T99" s="18">
        <f>'Grid_TheoreticalStock'!K48</f>
        <v/>
      </c>
      <c r="U99" s="18">
        <f>'Grid_TheoreticalStock'!L48</f>
        <v/>
      </c>
      <c r="V99" s="18">
        <f>'Grid_TheoreticalStock'!M48</f>
        <v/>
      </c>
      <c r="W99" s="18">
        <f>'Grid_TheoreticalStock'!N48</f>
        <v/>
      </c>
      <c r="X99" s="18">
        <f>'Grid_TheoreticalStock'!O48</f>
        <v/>
      </c>
      <c r="Y99" s="18">
        <f>'Grid_TheoreticalStock'!P48</f>
        <v/>
      </c>
      <c r="Z99" s="18">
        <f>'Grid_TheoreticalStock'!Q48</f>
        <v/>
      </c>
      <c r="AA99" s="18">
        <f>'Grid_TheoreticalStock'!R48</f>
        <v/>
      </c>
      <c r="AB99" s="18">
        <f>'Grid_TheoreticalStock'!S48</f>
        <v/>
      </c>
      <c r="AC99" s="18">
        <f>'Grid_TheoreticalStock'!T48</f>
        <v/>
      </c>
      <c r="AD99" s="18">
        <f>'Grid_TheoreticalStock'!U48</f>
        <v/>
      </c>
      <c r="AE99" s="18">
        <f>'Grid_TheoreticalStock'!V48</f>
        <v/>
      </c>
      <c r="AF99" s="18">
        <f>'Grid_TheoreticalStock'!W48</f>
        <v/>
      </c>
      <c r="AG99" s="18">
        <f>'Grid_TheoreticalStock'!X48</f>
        <v/>
      </c>
      <c r="AH99" s="18">
        <f>'Grid_TheoreticalStock'!Y48</f>
        <v/>
      </c>
      <c r="AI99" s="18">
        <f>'Grid_TheoreticalStock'!Z48</f>
        <v/>
      </c>
      <c r="AJ99" s="18">
        <f>'Grid_TheoreticalStock'!AA48</f>
        <v/>
      </c>
      <c r="AK99" s="18">
        <f>'Grid_TheoreticalStock'!AB48</f>
        <v/>
      </c>
      <c r="AL99" s="18">
        <f>'Grid_TheoreticalStock'!AC48</f>
        <v/>
      </c>
      <c r="AM99" s="18">
        <f>'Grid_TheoreticalStock'!AD48</f>
        <v/>
      </c>
      <c r="AN99" s="18">
        <f>'Grid_TheoreticalStock'!AE48</f>
        <v/>
      </c>
      <c r="AO99" s="18">
        <f>'Grid_TheoreticalStock'!AF48</f>
        <v/>
      </c>
      <c r="AP99" s="18">
        <f>'Grid_TheoreticalStock'!AG48</f>
        <v/>
      </c>
      <c r="AQ99" s="18">
        <f>'Grid_TheoreticalStock'!AH48</f>
        <v/>
      </c>
      <c r="AR99" s="18">
        <f>'Grid_TheoreticalStock'!AI48</f>
        <v/>
      </c>
      <c r="AS99" s="18">
        <f>'Grid_TheoreticalStock'!AJ48</f>
        <v/>
      </c>
      <c r="AT99" s="18">
        <f>'Grid_TheoreticalStock'!AK48</f>
        <v/>
      </c>
      <c r="AU99" s="18">
        <f>'Grid_TheoreticalStock'!AL48</f>
        <v/>
      </c>
      <c r="AV99" s="18">
        <f>'Grid_TheoreticalStock'!AM48</f>
        <v/>
      </c>
      <c r="AW99" s="18">
        <f>'Grid_TheoreticalStock'!AN48</f>
        <v/>
      </c>
      <c r="AX99" s="18">
        <f>'Grid_TheoreticalStock'!AO48</f>
        <v/>
      </c>
      <c r="AY99" s="18">
        <f>'Grid_TheoreticalStock'!AP48</f>
        <v/>
      </c>
      <c r="AZ99" s="18">
        <f>'Grid_TheoreticalStock'!AQ48</f>
        <v/>
      </c>
      <c r="BA99" s="18">
        <f>'Grid_TheoreticalStock'!AR48</f>
        <v/>
      </c>
      <c r="BB99" s="18">
        <f>'Grid_TheoreticalStock'!AS48</f>
        <v/>
      </c>
      <c r="BC99" s="18">
        <f>'Grid_TheoreticalStock'!AT48</f>
        <v/>
      </c>
      <c r="BD99" s="18">
        <f>'Grid_TheoreticalStock'!AU48</f>
        <v/>
      </c>
      <c r="BE99" s="18">
        <f>'Grid_TheoreticalStock'!AV48</f>
        <v/>
      </c>
      <c r="BF99" s="18">
        <f>'Grid_TheoreticalStock'!AW48</f>
        <v/>
      </c>
      <c r="BG99" s="18">
        <f>'Grid_TheoreticalStock'!AX48</f>
        <v/>
      </c>
      <c r="BH99" s="18">
        <f>'Grid_TheoreticalStock'!AY48</f>
        <v/>
      </c>
      <c r="BI99" s="18">
        <f>'Grid_TheoreticalStock'!AZ48</f>
        <v/>
      </c>
      <c r="BJ99" s="18">
        <f>'Grid_TheoreticalStock'!BA48</f>
        <v/>
      </c>
      <c r="BK99" s="18">
        <f>'Grid_TheoreticalStock'!BB48</f>
        <v/>
      </c>
      <c r="BL99" s="18">
        <f>'Grid_TheoreticalStock'!BC48</f>
        <v/>
      </c>
      <c r="BM99" s="18">
        <f>'Grid_TheoreticalStock'!BD48</f>
        <v/>
      </c>
      <c r="BN99" s="18">
        <f>'Grid_TheoreticalStock'!BE48</f>
        <v/>
      </c>
      <c r="BO99" s="18">
        <f>'Grid_TheoreticalStock'!BF48</f>
        <v/>
      </c>
      <c r="BP99" s="18">
        <f>'Grid_TheoreticalStock'!BG48</f>
        <v/>
      </c>
      <c r="BQ99" s="18">
        <f>'Grid_TheoreticalStock'!BH48</f>
        <v/>
      </c>
      <c r="BR99" s="18">
        <f>'Grid_TheoreticalStock'!BI48</f>
        <v/>
      </c>
      <c r="BS99" s="18">
        <f>'Grid_TheoreticalStock'!BJ48</f>
        <v/>
      </c>
      <c r="BT99" s="18">
        <f>'Grid_TheoreticalStock'!BK48</f>
        <v/>
      </c>
      <c r="BU99" s="18">
        <f>'Grid_TheoreticalStock'!BL48</f>
        <v/>
      </c>
      <c r="BV99" s="18">
        <f>'Grid_TheoreticalStock'!BM48</f>
        <v/>
      </c>
      <c r="BW99" s="18">
        <f>'Grid_TheoreticalStock'!BN48</f>
        <v/>
      </c>
      <c r="BX99" s="18">
        <f>'Grid_TheoreticalStock'!BO48</f>
        <v/>
      </c>
      <c r="BY99" s="18">
        <f>'Grid_TheoreticalStock'!BP48</f>
        <v/>
      </c>
      <c r="BZ99" s="18">
        <f>'Grid_TheoreticalStock'!BQ48</f>
        <v/>
      </c>
      <c r="CA99" s="18">
        <f>'Grid_TheoreticalStock'!BR48</f>
        <v/>
      </c>
      <c r="CB99" s="18">
        <f>'Grid_TheoreticalStock'!BS48</f>
        <v/>
      </c>
      <c r="CC99" s="18">
        <f>'Grid_TheoreticalStock'!BT48</f>
        <v/>
      </c>
      <c r="CD99" s="18">
        <f>'Grid_TheoreticalStock'!BU48</f>
        <v/>
      </c>
      <c r="CE99" s="18">
        <f>'Grid_TheoreticalStock'!BV48</f>
        <v/>
      </c>
      <c r="CF99" s="18">
        <f>'Grid_TheoreticalStock'!BW48</f>
        <v/>
      </c>
      <c r="CG99" s="18">
        <f>'Grid_TheoreticalStock'!BX48</f>
        <v/>
      </c>
      <c r="CH99" s="18">
        <f>'Grid_TheoreticalStock'!BY48</f>
        <v/>
      </c>
      <c r="CI99" s="18">
        <f>'Grid_TheoreticalStock'!BZ48</f>
        <v/>
      </c>
      <c r="CJ99" s="18">
        <f>'Grid_TheoreticalStock'!CA48</f>
        <v/>
      </c>
      <c r="CK99" s="18">
        <f>'Grid_TheoreticalStock'!CB48</f>
        <v/>
      </c>
      <c r="CL99" s="18">
        <f>'Grid_TheoreticalStock'!CC48</f>
        <v/>
      </c>
      <c r="CM99" s="18">
        <f>'Grid_TheoreticalStock'!CD48</f>
        <v/>
      </c>
      <c r="CN99" s="18">
        <f>'Grid_TheoreticalStock'!CE48</f>
        <v/>
      </c>
      <c r="CO99" s="18">
        <f>'Grid_TheoreticalStock'!CF48</f>
        <v/>
      </c>
      <c r="CP99" s="18">
        <f>'Grid_TheoreticalStock'!CG48</f>
        <v/>
      </c>
      <c r="CQ99" s="18">
        <f>'Grid_TheoreticalStock'!CH48</f>
        <v/>
      </c>
      <c r="CR99" s="18">
        <f>'Grid_TheoreticalStock'!CI48</f>
        <v/>
      </c>
      <c r="CS99" s="18">
        <f>'Grid_TheoreticalStock'!CJ48</f>
        <v/>
      </c>
      <c r="CT99" s="18">
        <f>'Grid_TheoreticalStock'!CK48</f>
        <v/>
      </c>
      <c r="CU99" s="18">
        <f>'Grid_TheoreticalStock'!CL48</f>
        <v/>
      </c>
      <c r="CV99" s="18">
        <f>'Grid_TheoreticalStock'!CM48</f>
        <v/>
      </c>
      <c r="CW99" s="18">
        <f>'Grid_TheoreticalStock'!CN48</f>
        <v/>
      </c>
      <c r="CX99" s="18">
        <f>'Grid_TheoreticalStock'!CO48</f>
        <v/>
      </c>
      <c r="CY99" s="18">
        <f>'Grid_TheoreticalStock'!CP48</f>
        <v/>
      </c>
      <c r="CZ99" s="18">
        <f>'Grid_TheoreticalStock'!CQ48</f>
        <v/>
      </c>
      <c r="DA99" s="18">
        <f>'Grid_TheoreticalStock'!CR48</f>
        <v/>
      </c>
      <c r="DB99" s="18">
        <f>'Grid_TheoreticalStock'!CS48</f>
        <v/>
      </c>
      <c r="DC99" s="18">
        <f>'Grid_TheoreticalStock'!CT48</f>
        <v/>
      </c>
      <c r="DD99" s="18">
        <f>'Grid_TheoreticalStock'!CU48</f>
        <v/>
      </c>
      <c r="DE99" s="18">
        <f>'Grid_TheoreticalStock'!CV48</f>
        <v/>
      </c>
      <c r="DF99" s="18">
        <f>'Grid_TheoreticalStock'!CW48</f>
        <v/>
      </c>
      <c r="DG99" s="18">
        <f>'Grid_TheoreticalStock'!CX48</f>
        <v/>
      </c>
      <c r="DH99" s="18">
        <f>'Grid_TheoreticalStock'!CY48</f>
        <v/>
      </c>
      <c r="DI99" s="18">
        <f>'Grid_TheoreticalStock'!CZ48</f>
        <v/>
      </c>
      <c r="DJ99" s="18">
        <f>'Grid_TheoreticalStock'!DA48</f>
        <v/>
      </c>
    </row>
    <row r="100">
      <c r="A100" s="19" t="inlineStr">
        <is>
          <t>CHEM-1010</t>
        </is>
      </c>
      <c r="B100" s="19">
        <f>IFERROR(INDEX(M_RawMaterials[Description],MATCH($A100,M_RawMaterials[Part Name],0)),"")</f>
        <v/>
      </c>
      <c r="C100" s="19">
        <f>IFERROR(INDEX(M_RawMaterials[Category],MATCH($A100,M_RawMaterials[Part Name],0)),"")</f>
        <v/>
      </c>
      <c r="D100" s="19">
        <f>IFERROR(INDEX(M_RawMaterials[基準在庫下限_要入力],MATCH($A100,M_RawMaterials[Part Name],0)),0)</f>
        <v/>
      </c>
      <c r="E100" s="19">
        <f>IFERROR(INDEX(M_RawMaterials[基準在庫上限_要入力],MATCH($A100,M_RawMaterials[Part Name],0)),0)</f>
        <v/>
      </c>
      <c r="F100" s="19">
        <f>IFERROR(LOOKUP(2,1/('T_SelfStock'!$B$52:$DA$52&lt;&gt;""),'T_SelfStock'!$B$52:$DA$52),"")</f>
        <v/>
      </c>
      <c r="G100" s="19">
        <f>IFERROR(LOOKUP(2,1/('T_TTAFStock'!$B$52:$DA$52&lt;&gt;""),'T_TTAFStock'!$B$52:$DA$52),"")</f>
        <v/>
      </c>
      <c r="H100" s="19">
        <f>IFERROR(LOOKUP(2,1/('T_SelfStock'!$B$52:$DA$52&lt;&gt;""),'T_SelfStock'!$B$5:$DA$5),"")</f>
        <v/>
      </c>
      <c r="I100" s="20" t="inlineStr">
        <is>
          <t>実在庫</t>
        </is>
      </c>
      <c r="J100" s="19">
        <f>'Grid_Stock'!DA48-'Grid_TheoreticalStock'!DA48</f>
        <v/>
      </c>
      <c r="K100" s="19">
        <f>'Grid_Stock'!B48</f>
        <v/>
      </c>
      <c r="L100" s="19">
        <f>'Grid_Stock'!C48</f>
        <v/>
      </c>
      <c r="M100" s="19">
        <f>'Grid_Stock'!D48</f>
        <v/>
      </c>
      <c r="N100" s="19">
        <f>'Grid_Stock'!E48</f>
        <v/>
      </c>
      <c r="O100" s="19">
        <f>'Grid_Stock'!F48</f>
        <v/>
      </c>
      <c r="P100" s="19">
        <f>'Grid_Stock'!G48</f>
        <v/>
      </c>
      <c r="Q100" s="19">
        <f>'Grid_Stock'!H48</f>
        <v/>
      </c>
      <c r="R100" s="19">
        <f>'Grid_Stock'!I48</f>
        <v/>
      </c>
      <c r="S100" s="19">
        <f>'Grid_Stock'!J48</f>
        <v/>
      </c>
      <c r="T100" s="19">
        <f>'Grid_Stock'!K48</f>
        <v/>
      </c>
      <c r="U100" s="19">
        <f>'Grid_Stock'!L48</f>
        <v/>
      </c>
      <c r="V100" s="19">
        <f>'Grid_Stock'!M48</f>
        <v/>
      </c>
      <c r="W100" s="19">
        <f>'Grid_Stock'!N48</f>
        <v/>
      </c>
      <c r="X100" s="19">
        <f>'Grid_Stock'!O48</f>
        <v/>
      </c>
      <c r="Y100" s="19">
        <f>'Grid_Stock'!P48</f>
        <v/>
      </c>
      <c r="Z100" s="19">
        <f>'Grid_Stock'!Q48</f>
        <v/>
      </c>
      <c r="AA100" s="19">
        <f>'Grid_Stock'!R48</f>
        <v/>
      </c>
      <c r="AB100" s="19">
        <f>'Grid_Stock'!S48</f>
        <v/>
      </c>
      <c r="AC100" s="19">
        <f>'Grid_Stock'!T48</f>
        <v/>
      </c>
      <c r="AD100" s="19">
        <f>'Grid_Stock'!U48</f>
        <v/>
      </c>
      <c r="AE100" s="19">
        <f>'Grid_Stock'!V48</f>
        <v/>
      </c>
      <c r="AF100" s="19">
        <f>'Grid_Stock'!W48</f>
        <v/>
      </c>
      <c r="AG100" s="19">
        <f>'Grid_Stock'!X48</f>
        <v/>
      </c>
      <c r="AH100" s="19">
        <f>'Grid_Stock'!Y48</f>
        <v/>
      </c>
      <c r="AI100" s="19">
        <f>'Grid_Stock'!Z48</f>
        <v/>
      </c>
      <c r="AJ100" s="19">
        <f>'Grid_Stock'!AA48</f>
        <v/>
      </c>
      <c r="AK100" s="19">
        <f>'Grid_Stock'!AB48</f>
        <v/>
      </c>
      <c r="AL100" s="19">
        <f>'Grid_Stock'!AC48</f>
        <v/>
      </c>
      <c r="AM100" s="19">
        <f>'Grid_Stock'!AD48</f>
        <v/>
      </c>
      <c r="AN100" s="19">
        <f>'Grid_Stock'!AE48</f>
        <v/>
      </c>
      <c r="AO100" s="19">
        <f>'Grid_Stock'!AF48</f>
        <v/>
      </c>
      <c r="AP100" s="19">
        <f>'Grid_Stock'!AG48</f>
        <v/>
      </c>
      <c r="AQ100" s="19">
        <f>'Grid_Stock'!AH48</f>
        <v/>
      </c>
      <c r="AR100" s="19">
        <f>'Grid_Stock'!AI48</f>
        <v/>
      </c>
      <c r="AS100" s="19">
        <f>'Grid_Stock'!AJ48</f>
        <v/>
      </c>
      <c r="AT100" s="19">
        <f>'Grid_Stock'!AK48</f>
        <v/>
      </c>
      <c r="AU100" s="19">
        <f>'Grid_Stock'!AL48</f>
        <v/>
      </c>
      <c r="AV100" s="19">
        <f>'Grid_Stock'!AM48</f>
        <v/>
      </c>
      <c r="AW100" s="19">
        <f>'Grid_Stock'!AN48</f>
        <v/>
      </c>
      <c r="AX100" s="19">
        <f>'Grid_Stock'!AO48</f>
        <v/>
      </c>
      <c r="AY100" s="19">
        <f>'Grid_Stock'!AP48</f>
        <v/>
      </c>
      <c r="AZ100" s="19">
        <f>'Grid_Stock'!AQ48</f>
        <v/>
      </c>
      <c r="BA100" s="19">
        <f>'Grid_Stock'!AR48</f>
        <v/>
      </c>
      <c r="BB100" s="19">
        <f>'Grid_Stock'!AS48</f>
        <v/>
      </c>
      <c r="BC100" s="19">
        <f>'Grid_Stock'!AT48</f>
        <v/>
      </c>
      <c r="BD100" s="19">
        <f>'Grid_Stock'!AU48</f>
        <v/>
      </c>
      <c r="BE100" s="19">
        <f>'Grid_Stock'!AV48</f>
        <v/>
      </c>
      <c r="BF100" s="19">
        <f>'Grid_Stock'!AW48</f>
        <v/>
      </c>
      <c r="BG100" s="19">
        <f>'Grid_Stock'!AX48</f>
        <v/>
      </c>
      <c r="BH100" s="19">
        <f>'Grid_Stock'!AY48</f>
        <v/>
      </c>
      <c r="BI100" s="19">
        <f>'Grid_Stock'!AZ48</f>
        <v/>
      </c>
      <c r="BJ100" s="19">
        <f>'Grid_Stock'!BA48</f>
        <v/>
      </c>
      <c r="BK100" s="19">
        <f>'Grid_Stock'!BB48</f>
        <v/>
      </c>
      <c r="BL100" s="19">
        <f>'Grid_Stock'!BC48</f>
        <v/>
      </c>
      <c r="BM100" s="19">
        <f>'Grid_Stock'!BD48</f>
        <v/>
      </c>
      <c r="BN100" s="19">
        <f>'Grid_Stock'!BE48</f>
        <v/>
      </c>
      <c r="BO100" s="19">
        <f>'Grid_Stock'!BF48</f>
        <v/>
      </c>
      <c r="BP100" s="19">
        <f>'Grid_Stock'!BG48</f>
        <v/>
      </c>
      <c r="BQ100" s="19">
        <f>'Grid_Stock'!BH48</f>
        <v/>
      </c>
      <c r="BR100" s="19">
        <f>'Grid_Stock'!BI48</f>
        <v/>
      </c>
      <c r="BS100" s="19">
        <f>'Grid_Stock'!BJ48</f>
        <v/>
      </c>
      <c r="BT100" s="19">
        <f>'Grid_Stock'!BK48</f>
        <v/>
      </c>
      <c r="BU100" s="19">
        <f>'Grid_Stock'!BL48</f>
        <v/>
      </c>
      <c r="BV100" s="19">
        <f>'Grid_Stock'!BM48</f>
        <v/>
      </c>
      <c r="BW100" s="19">
        <f>'Grid_Stock'!BN48</f>
        <v/>
      </c>
      <c r="BX100" s="19">
        <f>'Grid_Stock'!BO48</f>
        <v/>
      </c>
      <c r="BY100" s="19">
        <f>'Grid_Stock'!BP48</f>
        <v/>
      </c>
      <c r="BZ100" s="19">
        <f>'Grid_Stock'!BQ48</f>
        <v/>
      </c>
      <c r="CA100" s="19">
        <f>'Grid_Stock'!BR48</f>
        <v/>
      </c>
      <c r="CB100" s="19">
        <f>'Grid_Stock'!BS48</f>
        <v/>
      </c>
      <c r="CC100" s="19">
        <f>'Grid_Stock'!BT48</f>
        <v/>
      </c>
      <c r="CD100" s="19">
        <f>'Grid_Stock'!BU48</f>
        <v/>
      </c>
      <c r="CE100" s="19">
        <f>'Grid_Stock'!BV48</f>
        <v/>
      </c>
      <c r="CF100" s="19">
        <f>'Grid_Stock'!BW48</f>
        <v/>
      </c>
      <c r="CG100" s="19">
        <f>'Grid_Stock'!BX48</f>
        <v/>
      </c>
      <c r="CH100" s="19">
        <f>'Grid_Stock'!BY48</f>
        <v/>
      </c>
      <c r="CI100" s="19">
        <f>'Grid_Stock'!BZ48</f>
        <v/>
      </c>
      <c r="CJ100" s="19">
        <f>'Grid_Stock'!CA48</f>
        <v/>
      </c>
      <c r="CK100" s="19">
        <f>'Grid_Stock'!CB48</f>
        <v/>
      </c>
      <c r="CL100" s="19">
        <f>'Grid_Stock'!CC48</f>
        <v/>
      </c>
      <c r="CM100" s="19">
        <f>'Grid_Stock'!CD48</f>
        <v/>
      </c>
      <c r="CN100" s="19">
        <f>'Grid_Stock'!CE48</f>
        <v/>
      </c>
      <c r="CO100" s="19">
        <f>'Grid_Stock'!CF48</f>
        <v/>
      </c>
      <c r="CP100" s="19">
        <f>'Grid_Stock'!CG48</f>
        <v/>
      </c>
      <c r="CQ100" s="19">
        <f>'Grid_Stock'!CH48</f>
        <v/>
      </c>
      <c r="CR100" s="19">
        <f>'Grid_Stock'!CI48</f>
        <v/>
      </c>
      <c r="CS100" s="19">
        <f>'Grid_Stock'!CJ48</f>
        <v/>
      </c>
      <c r="CT100" s="19">
        <f>'Grid_Stock'!CK48</f>
        <v/>
      </c>
      <c r="CU100" s="19">
        <f>'Grid_Stock'!CL48</f>
        <v/>
      </c>
      <c r="CV100" s="19">
        <f>'Grid_Stock'!CM48</f>
        <v/>
      </c>
      <c r="CW100" s="19">
        <f>'Grid_Stock'!CN48</f>
        <v/>
      </c>
      <c r="CX100" s="19">
        <f>'Grid_Stock'!CO48</f>
        <v/>
      </c>
      <c r="CY100" s="19">
        <f>'Grid_Stock'!CP48</f>
        <v/>
      </c>
      <c r="CZ100" s="19">
        <f>'Grid_Stock'!CQ48</f>
        <v/>
      </c>
      <c r="DA100" s="19">
        <f>'Grid_Stock'!CR48</f>
        <v/>
      </c>
      <c r="DB100" s="19">
        <f>'Grid_Stock'!CS48</f>
        <v/>
      </c>
      <c r="DC100" s="19">
        <f>'Grid_Stock'!CT48</f>
        <v/>
      </c>
      <c r="DD100" s="19">
        <f>'Grid_Stock'!CU48</f>
        <v/>
      </c>
      <c r="DE100" s="19">
        <f>'Grid_Stock'!CV48</f>
        <v/>
      </c>
      <c r="DF100" s="19">
        <f>'Grid_Stock'!CW48</f>
        <v/>
      </c>
      <c r="DG100" s="19">
        <f>'Grid_Stock'!CX48</f>
        <v/>
      </c>
      <c r="DH100" s="19">
        <f>'Grid_Stock'!CY48</f>
        <v/>
      </c>
      <c r="DI100" s="19">
        <f>'Grid_Stock'!CZ48</f>
        <v/>
      </c>
      <c r="DJ100" s="19">
        <f>'Grid_Stock'!DA48</f>
        <v/>
      </c>
    </row>
    <row r="101">
      <c r="A101" s="17" t="inlineStr">
        <is>
          <t>CHEM-1760</t>
        </is>
      </c>
      <c r="B101" s="17">
        <f>IFERROR(INDEX(M_RawMaterials[Description],MATCH($A101,M_RawMaterials[Part Name],0)),"")</f>
        <v/>
      </c>
      <c r="C101" s="17">
        <f>IFERROR(INDEX(M_RawMaterials[Category],MATCH($A101,M_RawMaterials[Part Name],0)),"")</f>
        <v/>
      </c>
      <c r="D101" s="17">
        <f>IFERROR(INDEX(M_RawMaterials[基準在庫下限_要入力],MATCH($A101,M_RawMaterials[Part Name],0)),0)</f>
        <v/>
      </c>
      <c r="E101" s="17">
        <f>IFERROR(INDEX(M_RawMaterials[基準在庫上限_要入力],MATCH($A101,M_RawMaterials[Part Name],0)),0)</f>
        <v/>
      </c>
      <c r="F101" s="17">
        <f>IFERROR(LOOKUP(2,1/('T_SelfStock'!$B$53:$DA$53&lt;&gt;""),'T_SelfStock'!$B$53:$DA$53),"")</f>
        <v/>
      </c>
      <c r="G101" s="17">
        <f>IFERROR(LOOKUP(2,1/('T_TTAFStock'!$B$53:$DA$53&lt;&gt;""),'T_TTAFStock'!$B$53:$DA$53),"")</f>
        <v/>
      </c>
      <c r="H101" s="17">
        <f>IFERROR(LOOKUP(2,1/('T_SelfStock'!$B$53:$DA$53&lt;&gt;""),'T_SelfStock'!$B$5:$DA$5),"")</f>
        <v/>
      </c>
      <c r="I101" s="18" t="inlineStr">
        <is>
          <t>理論在庫</t>
        </is>
      </c>
      <c r="J101" s="17">
        <f>'Grid_Stock'!DA49-'Grid_TheoreticalStock'!DA49</f>
        <v/>
      </c>
      <c r="K101" s="18">
        <f>'Grid_TheoreticalStock'!B49</f>
        <v/>
      </c>
      <c r="L101" s="18">
        <f>'Grid_TheoreticalStock'!C49</f>
        <v/>
      </c>
      <c r="M101" s="18">
        <f>'Grid_TheoreticalStock'!D49</f>
        <v/>
      </c>
      <c r="N101" s="18">
        <f>'Grid_TheoreticalStock'!E49</f>
        <v/>
      </c>
      <c r="O101" s="18">
        <f>'Grid_TheoreticalStock'!F49</f>
        <v/>
      </c>
      <c r="P101" s="18">
        <f>'Grid_TheoreticalStock'!G49</f>
        <v/>
      </c>
      <c r="Q101" s="18">
        <f>'Grid_TheoreticalStock'!H49</f>
        <v/>
      </c>
      <c r="R101" s="18">
        <f>'Grid_TheoreticalStock'!I49</f>
        <v/>
      </c>
      <c r="S101" s="18">
        <f>'Grid_TheoreticalStock'!J49</f>
        <v/>
      </c>
      <c r="T101" s="18">
        <f>'Grid_TheoreticalStock'!K49</f>
        <v/>
      </c>
      <c r="U101" s="18">
        <f>'Grid_TheoreticalStock'!L49</f>
        <v/>
      </c>
      <c r="V101" s="18">
        <f>'Grid_TheoreticalStock'!M49</f>
        <v/>
      </c>
      <c r="W101" s="18">
        <f>'Grid_TheoreticalStock'!N49</f>
        <v/>
      </c>
      <c r="X101" s="18">
        <f>'Grid_TheoreticalStock'!O49</f>
        <v/>
      </c>
      <c r="Y101" s="18">
        <f>'Grid_TheoreticalStock'!P49</f>
        <v/>
      </c>
      <c r="Z101" s="18">
        <f>'Grid_TheoreticalStock'!Q49</f>
        <v/>
      </c>
      <c r="AA101" s="18">
        <f>'Grid_TheoreticalStock'!R49</f>
        <v/>
      </c>
      <c r="AB101" s="18">
        <f>'Grid_TheoreticalStock'!S49</f>
        <v/>
      </c>
      <c r="AC101" s="18">
        <f>'Grid_TheoreticalStock'!T49</f>
        <v/>
      </c>
      <c r="AD101" s="18">
        <f>'Grid_TheoreticalStock'!U49</f>
        <v/>
      </c>
      <c r="AE101" s="18">
        <f>'Grid_TheoreticalStock'!V49</f>
        <v/>
      </c>
      <c r="AF101" s="18">
        <f>'Grid_TheoreticalStock'!W49</f>
        <v/>
      </c>
      <c r="AG101" s="18">
        <f>'Grid_TheoreticalStock'!X49</f>
        <v/>
      </c>
      <c r="AH101" s="18">
        <f>'Grid_TheoreticalStock'!Y49</f>
        <v/>
      </c>
      <c r="AI101" s="18">
        <f>'Grid_TheoreticalStock'!Z49</f>
        <v/>
      </c>
      <c r="AJ101" s="18">
        <f>'Grid_TheoreticalStock'!AA49</f>
        <v/>
      </c>
      <c r="AK101" s="18">
        <f>'Grid_TheoreticalStock'!AB49</f>
        <v/>
      </c>
      <c r="AL101" s="18">
        <f>'Grid_TheoreticalStock'!AC49</f>
        <v/>
      </c>
      <c r="AM101" s="18">
        <f>'Grid_TheoreticalStock'!AD49</f>
        <v/>
      </c>
      <c r="AN101" s="18">
        <f>'Grid_TheoreticalStock'!AE49</f>
        <v/>
      </c>
      <c r="AO101" s="18">
        <f>'Grid_TheoreticalStock'!AF49</f>
        <v/>
      </c>
      <c r="AP101" s="18">
        <f>'Grid_TheoreticalStock'!AG49</f>
        <v/>
      </c>
      <c r="AQ101" s="18">
        <f>'Grid_TheoreticalStock'!AH49</f>
        <v/>
      </c>
      <c r="AR101" s="18">
        <f>'Grid_TheoreticalStock'!AI49</f>
        <v/>
      </c>
      <c r="AS101" s="18">
        <f>'Grid_TheoreticalStock'!AJ49</f>
        <v/>
      </c>
      <c r="AT101" s="18">
        <f>'Grid_TheoreticalStock'!AK49</f>
        <v/>
      </c>
      <c r="AU101" s="18">
        <f>'Grid_TheoreticalStock'!AL49</f>
        <v/>
      </c>
      <c r="AV101" s="18">
        <f>'Grid_TheoreticalStock'!AM49</f>
        <v/>
      </c>
      <c r="AW101" s="18">
        <f>'Grid_TheoreticalStock'!AN49</f>
        <v/>
      </c>
      <c r="AX101" s="18">
        <f>'Grid_TheoreticalStock'!AO49</f>
        <v/>
      </c>
      <c r="AY101" s="18">
        <f>'Grid_TheoreticalStock'!AP49</f>
        <v/>
      </c>
      <c r="AZ101" s="18">
        <f>'Grid_TheoreticalStock'!AQ49</f>
        <v/>
      </c>
      <c r="BA101" s="18">
        <f>'Grid_TheoreticalStock'!AR49</f>
        <v/>
      </c>
      <c r="BB101" s="18">
        <f>'Grid_TheoreticalStock'!AS49</f>
        <v/>
      </c>
      <c r="BC101" s="18">
        <f>'Grid_TheoreticalStock'!AT49</f>
        <v/>
      </c>
      <c r="BD101" s="18">
        <f>'Grid_TheoreticalStock'!AU49</f>
        <v/>
      </c>
      <c r="BE101" s="18">
        <f>'Grid_TheoreticalStock'!AV49</f>
        <v/>
      </c>
      <c r="BF101" s="18">
        <f>'Grid_TheoreticalStock'!AW49</f>
        <v/>
      </c>
      <c r="BG101" s="18">
        <f>'Grid_TheoreticalStock'!AX49</f>
        <v/>
      </c>
      <c r="BH101" s="18">
        <f>'Grid_TheoreticalStock'!AY49</f>
        <v/>
      </c>
      <c r="BI101" s="18">
        <f>'Grid_TheoreticalStock'!AZ49</f>
        <v/>
      </c>
      <c r="BJ101" s="18">
        <f>'Grid_TheoreticalStock'!BA49</f>
        <v/>
      </c>
      <c r="BK101" s="18">
        <f>'Grid_TheoreticalStock'!BB49</f>
        <v/>
      </c>
      <c r="BL101" s="18">
        <f>'Grid_TheoreticalStock'!BC49</f>
        <v/>
      </c>
      <c r="BM101" s="18">
        <f>'Grid_TheoreticalStock'!BD49</f>
        <v/>
      </c>
      <c r="BN101" s="18">
        <f>'Grid_TheoreticalStock'!BE49</f>
        <v/>
      </c>
      <c r="BO101" s="18">
        <f>'Grid_TheoreticalStock'!BF49</f>
        <v/>
      </c>
      <c r="BP101" s="18">
        <f>'Grid_TheoreticalStock'!BG49</f>
        <v/>
      </c>
      <c r="BQ101" s="18">
        <f>'Grid_TheoreticalStock'!BH49</f>
        <v/>
      </c>
      <c r="BR101" s="18">
        <f>'Grid_TheoreticalStock'!BI49</f>
        <v/>
      </c>
      <c r="BS101" s="18">
        <f>'Grid_TheoreticalStock'!BJ49</f>
        <v/>
      </c>
      <c r="BT101" s="18">
        <f>'Grid_TheoreticalStock'!BK49</f>
        <v/>
      </c>
      <c r="BU101" s="18">
        <f>'Grid_TheoreticalStock'!BL49</f>
        <v/>
      </c>
      <c r="BV101" s="18">
        <f>'Grid_TheoreticalStock'!BM49</f>
        <v/>
      </c>
      <c r="BW101" s="18">
        <f>'Grid_TheoreticalStock'!BN49</f>
        <v/>
      </c>
      <c r="BX101" s="18">
        <f>'Grid_TheoreticalStock'!BO49</f>
        <v/>
      </c>
      <c r="BY101" s="18">
        <f>'Grid_TheoreticalStock'!BP49</f>
        <v/>
      </c>
      <c r="BZ101" s="18">
        <f>'Grid_TheoreticalStock'!BQ49</f>
        <v/>
      </c>
      <c r="CA101" s="18">
        <f>'Grid_TheoreticalStock'!BR49</f>
        <v/>
      </c>
      <c r="CB101" s="18">
        <f>'Grid_TheoreticalStock'!BS49</f>
        <v/>
      </c>
      <c r="CC101" s="18">
        <f>'Grid_TheoreticalStock'!BT49</f>
        <v/>
      </c>
      <c r="CD101" s="18">
        <f>'Grid_TheoreticalStock'!BU49</f>
        <v/>
      </c>
      <c r="CE101" s="18">
        <f>'Grid_TheoreticalStock'!BV49</f>
        <v/>
      </c>
      <c r="CF101" s="18">
        <f>'Grid_TheoreticalStock'!BW49</f>
        <v/>
      </c>
      <c r="CG101" s="18">
        <f>'Grid_TheoreticalStock'!BX49</f>
        <v/>
      </c>
      <c r="CH101" s="18">
        <f>'Grid_TheoreticalStock'!BY49</f>
        <v/>
      </c>
      <c r="CI101" s="18">
        <f>'Grid_TheoreticalStock'!BZ49</f>
        <v/>
      </c>
      <c r="CJ101" s="18">
        <f>'Grid_TheoreticalStock'!CA49</f>
        <v/>
      </c>
      <c r="CK101" s="18">
        <f>'Grid_TheoreticalStock'!CB49</f>
        <v/>
      </c>
      <c r="CL101" s="18">
        <f>'Grid_TheoreticalStock'!CC49</f>
        <v/>
      </c>
      <c r="CM101" s="18">
        <f>'Grid_TheoreticalStock'!CD49</f>
        <v/>
      </c>
      <c r="CN101" s="18">
        <f>'Grid_TheoreticalStock'!CE49</f>
        <v/>
      </c>
      <c r="CO101" s="18">
        <f>'Grid_TheoreticalStock'!CF49</f>
        <v/>
      </c>
      <c r="CP101" s="18">
        <f>'Grid_TheoreticalStock'!CG49</f>
        <v/>
      </c>
      <c r="CQ101" s="18">
        <f>'Grid_TheoreticalStock'!CH49</f>
        <v/>
      </c>
      <c r="CR101" s="18">
        <f>'Grid_TheoreticalStock'!CI49</f>
        <v/>
      </c>
      <c r="CS101" s="18">
        <f>'Grid_TheoreticalStock'!CJ49</f>
        <v/>
      </c>
      <c r="CT101" s="18">
        <f>'Grid_TheoreticalStock'!CK49</f>
        <v/>
      </c>
      <c r="CU101" s="18">
        <f>'Grid_TheoreticalStock'!CL49</f>
        <v/>
      </c>
      <c r="CV101" s="18">
        <f>'Grid_TheoreticalStock'!CM49</f>
        <v/>
      </c>
      <c r="CW101" s="18">
        <f>'Grid_TheoreticalStock'!CN49</f>
        <v/>
      </c>
      <c r="CX101" s="18">
        <f>'Grid_TheoreticalStock'!CO49</f>
        <v/>
      </c>
      <c r="CY101" s="18">
        <f>'Grid_TheoreticalStock'!CP49</f>
        <v/>
      </c>
      <c r="CZ101" s="18">
        <f>'Grid_TheoreticalStock'!CQ49</f>
        <v/>
      </c>
      <c r="DA101" s="18">
        <f>'Grid_TheoreticalStock'!CR49</f>
        <v/>
      </c>
      <c r="DB101" s="18">
        <f>'Grid_TheoreticalStock'!CS49</f>
        <v/>
      </c>
      <c r="DC101" s="18">
        <f>'Grid_TheoreticalStock'!CT49</f>
        <v/>
      </c>
      <c r="DD101" s="18">
        <f>'Grid_TheoreticalStock'!CU49</f>
        <v/>
      </c>
      <c r="DE101" s="18">
        <f>'Grid_TheoreticalStock'!CV49</f>
        <v/>
      </c>
      <c r="DF101" s="18">
        <f>'Grid_TheoreticalStock'!CW49</f>
        <v/>
      </c>
      <c r="DG101" s="18">
        <f>'Grid_TheoreticalStock'!CX49</f>
        <v/>
      </c>
      <c r="DH101" s="18">
        <f>'Grid_TheoreticalStock'!CY49</f>
        <v/>
      </c>
      <c r="DI101" s="18">
        <f>'Grid_TheoreticalStock'!CZ49</f>
        <v/>
      </c>
      <c r="DJ101" s="18">
        <f>'Grid_TheoreticalStock'!DA49</f>
        <v/>
      </c>
    </row>
    <row r="102">
      <c r="A102" s="19" t="inlineStr">
        <is>
          <t>CHEM-1760</t>
        </is>
      </c>
      <c r="B102" s="19">
        <f>IFERROR(INDEX(M_RawMaterials[Description],MATCH($A102,M_RawMaterials[Part Name],0)),"")</f>
        <v/>
      </c>
      <c r="C102" s="19">
        <f>IFERROR(INDEX(M_RawMaterials[Category],MATCH($A102,M_RawMaterials[Part Name],0)),"")</f>
        <v/>
      </c>
      <c r="D102" s="19">
        <f>IFERROR(INDEX(M_RawMaterials[基準在庫下限_要入力],MATCH($A102,M_RawMaterials[Part Name],0)),0)</f>
        <v/>
      </c>
      <c r="E102" s="19">
        <f>IFERROR(INDEX(M_RawMaterials[基準在庫上限_要入力],MATCH($A102,M_RawMaterials[Part Name],0)),0)</f>
        <v/>
      </c>
      <c r="F102" s="19">
        <f>IFERROR(LOOKUP(2,1/('T_SelfStock'!$B$53:$DA$53&lt;&gt;""),'T_SelfStock'!$B$53:$DA$53),"")</f>
        <v/>
      </c>
      <c r="G102" s="19">
        <f>IFERROR(LOOKUP(2,1/('T_TTAFStock'!$B$53:$DA$53&lt;&gt;""),'T_TTAFStock'!$B$53:$DA$53),"")</f>
        <v/>
      </c>
      <c r="H102" s="19">
        <f>IFERROR(LOOKUP(2,1/('T_SelfStock'!$B$53:$DA$53&lt;&gt;""),'T_SelfStock'!$B$5:$DA$5),"")</f>
        <v/>
      </c>
      <c r="I102" s="20" t="inlineStr">
        <is>
          <t>実在庫</t>
        </is>
      </c>
      <c r="J102" s="19">
        <f>'Grid_Stock'!DA49-'Grid_TheoreticalStock'!DA49</f>
        <v/>
      </c>
      <c r="K102" s="19">
        <f>'Grid_Stock'!B49</f>
        <v/>
      </c>
      <c r="L102" s="19">
        <f>'Grid_Stock'!C49</f>
        <v/>
      </c>
      <c r="M102" s="19">
        <f>'Grid_Stock'!D49</f>
        <v/>
      </c>
      <c r="N102" s="19">
        <f>'Grid_Stock'!E49</f>
        <v/>
      </c>
      <c r="O102" s="19">
        <f>'Grid_Stock'!F49</f>
        <v/>
      </c>
      <c r="P102" s="19">
        <f>'Grid_Stock'!G49</f>
        <v/>
      </c>
      <c r="Q102" s="19">
        <f>'Grid_Stock'!H49</f>
        <v/>
      </c>
      <c r="R102" s="19">
        <f>'Grid_Stock'!I49</f>
        <v/>
      </c>
      <c r="S102" s="19">
        <f>'Grid_Stock'!J49</f>
        <v/>
      </c>
      <c r="T102" s="19">
        <f>'Grid_Stock'!K49</f>
        <v/>
      </c>
      <c r="U102" s="19">
        <f>'Grid_Stock'!L49</f>
        <v/>
      </c>
      <c r="V102" s="19">
        <f>'Grid_Stock'!M49</f>
        <v/>
      </c>
      <c r="W102" s="19">
        <f>'Grid_Stock'!N49</f>
        <v/>
      </c>
      <c r="X102" s="19">
        <f>'Grid_Stock'!O49</f>
        <v/>
      </c>
      <c r="Y102" s="19">
        <f>'Grid_Stock'!P49</f>
        <v/>
      </c>
      <c r="Z102" s="19">
        <f>'Grid_Stock'!Q49</f>
        <v/>
      </c>
      <c r="AA102" s="19">
        <f>'Grid_Stock'!R49</f>
        <v/>
      </c>
      <c r="AB102" s="19">
        <f>'Grid_Stock'!S49</f>
        <v/>
      </c>
      <c r="AC102" s="19">
        <f>'Grid_Stock'!T49</f>
        <v/>
      </c>
      <c r="AD102" s="19">
        <f>'Grid_Stock'!U49</f>
        <v/>
      </c>
      <c r="AE102" s="19">
        <f>'Grid_Stock'!V49</f>
        <v/>
      </c>
      <c r="AF102" s="19">
        <f>'Grid_Stock'!W49</f>
        <v/>
      </c>
      <c r="AG102" s="19">
        <f>'Grid_Stock'!X49</f>
        <v/>
      </c>
      <c r="AH102" s="19">
        <f>'Grid_Stock'!Y49</f>
        <v/>
      </c>
      <c r="AI102" s="19">
        <f>'Grid_Stock'!Z49</f>
        <v/>
      </c>
      <c r="AJ102" s="19">
        <f>'Grid_Stock'!AA49</f>
        <v/>
      </c>
      <c r="AK102" s="19">
        <f>'Grid_Stock'!AB49</f>
        <v/>
      </c>
      <c r="AL102" s="19">
        <f>'Grid_Stock'!AC49</f>
        <v/>
      </c>
      <c r="AM102" s="19">
        <f>'Grid_Stock'!AD49</f>
        <v/>
      </c>
      <c r="AN102" s="19">
        <f>'Grid_Stock'!AE49</f>
        <v/>
      </c>
      <c r="AO102" s="19">
        <f>'Grid_Stock'!AF49</f>
        <v/>
      </c>
      <c r="AP102" s="19">
        <f>'Grid_Stock'!AG49</f>
        <v/>
      </c>
      <c r="AQ102" s="19">
        <f>'Grid_Stock'!AH49</f>
        <v/>
      </c>
      <c r="AR102" s="19">
        <f>'Grid_Stock'!AI49</f>
        <v/>
      </c>
      <c r="AS102" s="19">
        <f>'Grid_Stock'!AJ49</f>
        <v/>
      </c>
      <c r="AT102" s="19">
        <f>'Grid_Stock'!AK49</f>
        <v/>
      </c>
      <c r="AU102" s="19">
        <f>'Grid_Stock'!AL49</f>
        <v/>
      </c>
      <c r="AV102" s="19">
        <f>'Grid_Stock'!AM49</f>
        <v/>
      </c>
      <c r="AW102" s="19">
        <f>'Grid_Stock'!AN49</f>
        <v/>
      </c>
      <c r="AX102" s="19">
        <f>'Grid_Stock'!AO49</f>
        <v/>
      </c>
      <c r="AY102" s="19">
        <f>'Grid_Stock'!AP49</f>
        <v/>
      </c>
      <c r="AZ102" s="19">
        <f>'Grid_Stock'!AQ49</f>
        <v/>
      </c>
      <c r="BA102" s="19">
        <f>'Grid_Stock'!AR49</f>
        <v/>
      </c>
      <c r="BB102" s="19">
        <f>'Grid_Stock'!AS49</f>
        <v/>
      </c>
      <c r="BC102" s="19">
        <f>'Grid_Stock'!AT49</f>
        <v/>
      </c>
      <c r="BD102" s="19">
        <f>'Grid_Stock'!AU49</f>
        <v/>
      </c>
      <c r="BE102" s="19">
        <f>'Grid_Stock'!AV49</f>
        <v/>
      </c>
      <c r="BF102" s="19">
        <f>'Grid_Stock'!AW49</f>
        <v/>
      </c>
      <c r="BG102" s="19">
        <f>'Grid_Stock'!AX49</f>
        <v/>
      </c>
      <c r="BH102" s="19">
        <f>'Grid_Stock'!AY49</f>
        <v/>
      </c>
      <c r="BI102" s="19">
        <f>'Grid_Stock'!AZ49</f>
        <v/>
      </c>
      <c r="BJ102" s="19">
        <f>'Grid_Stock'!BA49</f>
        <v/>
      </c>
      <c r="BK102" s="19">
        <f>'Grid_Stock'!BB49</f>
        <v/>
      </c>
      <c r="BL102" s="19">
        <f>'Grid_Stock'!BC49</f>
        <v/>
      </c>
      <c r="BM102" s="19">
        <f>'Grid_Stock'!BD49</f>
        <v/>
      </c>
      <c r="BN102" s="19">
        <f>'Grid_Stock'!BE49</f>
        <v/>
      </c>
      <c r="BO102" s="19">
        <f>'Grid_Stock'!BF49</f>
        <v/>
      </c>
      <c r="BP102" s="19">
        <f>'Grid_Stock'!BG49</f>
        <v/>
      </c>
      <c r="BQ102" s="19">
        <f>'Grid_Stock'!BH49</f>
        <v/>
      </c>
      <c r="BR102" s="19">
        <f>'Grid_Stock'!BI49</f>
        <v/>
      </c>
      <c r="BS102" s="19">
        <f>'Grid_Stock'!BJ49</f>
        <v/>
      </c>
      <c r="BT102" s="19">
        <f>'Grid_Stock'!BK49</f>
        <v/>
      </c>
      <c r="BU102" s="19">
        <f>'Grid_Stock'!BL49</f>
        <v/>
      </c>
      <c r="BV102" s="19">
        <f>'Grid_Stock'!BM49</f>
        <v/>
      </c>
      <c r="BW102" s="19">
        <f>'Grid_Stock'!BN49</f>
        <v/>
      </c>
      <c r="BX102" s="19">
        <f>'Grid_Stock'!BO49</f>
        <v/>
      </c>
      <c r="BY102" s="19">
        <f>'Grid_Stock'!BP49</f>
        <v/>
      </c>
      <c r="BZ102" s="19">
        <f>'Grid_Stock'!BQ49</f>
        <v/>
      </c>
      <c r="CA102" s="19">
        <f>'Grid_Stock'!BR49</f>
        <v/>
      </c>
      <c r="CB102" s="19">
        <f>'Grid_Stock'!BS49</f>
        <v/>
      </c>
      <c r="CC102" s="19">
        <f>'Grid_Stock'!BT49</f>
        <v/>
      </c>
      <c r="CD102" s="19">
        <f>'Grid_Stock'!BU49</f>
        <v/>
      </c>
      <c r="CE102" s="19">
        <f>'Grid_Stock'!BV49</f>
        <v/>
      </c>
      <c r="CF102" s="19">
        <f>'Grid_Stock'!BW49</f>
        <v/>
      </c>
      <c r="CG102" s="19">
        <f>'Grid_Stock'!BX49</f>
        <v/>
      </c>
      <c r="CH102" s="19">
        <f>'Grid_Stock'!BY49</f>
        <v/>
      </c>
      <c r="CI102" s="19">
        <f>'Grid_Stock'!BZ49</f>
        <v/>
      </c>
      <c r="CJ102" s="19">
        <f>'Grid_Stock'!CA49</f>
        <v/>
      </c>
      <c r="CK102" s="19">
        <f>'Grid_Stock'!CB49</f>
        <v/>
      </c>
      <c r="CL102" s="19">
        <f>'Grid_Stock'!CC49</f>
        <v/>
      </c>
      <c r="CM102" s="19">
        <f>'Grid_Stock'!CD49</f>
        <v/>
      </c>
      <c r="CN102" s="19">
        <f>'Grid_Stock'!CE49</f>
        <v/>
      </c>
      <c r="CO102" s="19">
        <f>'Grid_Stock'!CF49</f>
        <v/>
      </c>
      <c r="CP102" s="19">
        <f>'Grid_Stock'!CG49</f>
        <v/>
      </c>
      <c r="CQ102" s="19">
        <f>'Grid_Stock'!CH49</f>
        <v/>
      </c>
      <c r="CR102" s="19">
        <f>'Grid_Stock'!CI49</f>
        <v/>
      </c>
      <c r="CS102" s="19">
        <f>'Grid_Stock'!CJ49</f>
        <v/>
      </c>
      <c r="CT102" s="19">
        <f>'Grid_Stock'!CK49</f>
        <v/>
      </c>
      <c r="CU102" s="19">
        <f>'Grid_Stock'!CL49</f>
        <v/>
      </c>
      <c r="CV102" s="19">
        <f>'Grid_Stock'!CM49</f>
        <v/>
      </c>
      <c r="CW102" s="19">
        <f>'Grid_Stock'!CN49</f>
        <v/>
      </c>
      <c r="CX102" s="19">
        <f>'Grid_Stock'!CO49</f>
        <v/>
      </c>
      <c r="CY102" s="19">
        <f>'Grid_Stock'!CP49</f>
        <v/>
      </c>
      <c r="CZ102" s="19">
        <f>'Grid_Stock'!CQ49</f>
        <v/>
      </c>
      <c r="DA102" s="19">
        <f>'Grid_Stock'!CR49</f>
        <v/>
      </c>
      <c r="DB102" s="19">
        <f>'Grid_Stock'!CS49</f>
        <v/>
      </c>
      <c r="DC102" s="19">
        <f>'Grid_Stock'!CT49</f>
        <v/>
      </c>
      <c r="DD102" s="19">
        <f>'Grid_Stock'!CU49</f>
        <v/>
      </c>
      <c r="DE102" s="19">
        <f>'Grid_Stock'!CV49</f>
        <v/>
      </c>
      <c r="DF102" s="19">
        <f>'Grid_Stock'!CW49</f>
        <v/>
      </c>
      <c r="DG102" s="19">
        <f>'Grid_Stock'!CX49</f>
        <v/>
      </c>
      <c r="DH102" s="19">
        <f>'Grid_Stock'!CY49</f>
        <v/>
      </c>
      <c r="DI102" s="19">
        <f>'Grid_Stock'!CZ49</f>
        <v/>
      </c>
      <c r="DJ102" s="19">
        <f>'Grid_Stock'!DA49</f>
        <v/>
      </c>
    </row>
    <row r="103">
      <c r="A103" s="17" t="inlineStr">
        <is>
          <t>CHEM-1700</t>
        </is>
      </c>
      <c r="B103" s="17">
        <f>IFERROR(INDEX(M_RawMaterials[Description],MATCH($A103,M_RawMaterials[Part Name],0)),"")</f>
        <v/>
      </c>
      <c r="C103" s="17">
        <f>IFERROR(INDEX(M_RawMaterials[Category],MATCH($A103,M_RawMaterials[Part Name],0)),"")</f>
        <v/>
      </c>
      <c r="D103" s="17">
        <f>IFERROR(INDEX(M_RawMaterials[基準在庫下限_要入力],MATCH($A103,M_RawMaterials[Part Name],0)),0)</f>
        <v/>
      </c>
      <c r="E103" s="17">
        <f>IFERROR(INDEX(M_RawMaterials[基準在庫上限_要入力],MATCH($A103,M_RawMaterials[Part Name],0)),0)</f>
        <v/>
      </c>
      <c r="F103" s="17">
        <f>IFERROR(LOOKUP(2,1/('T_SelfStock'!$B$54:$DA$54&lt;&gt;""),'T_SelfStock'!$B$54:$DA$54),"")</f>
        <v/>
      </c>
      <c r="G103" s="17">
        <f>IFERROR(LOOKUP(2,1/('T_TTAFStock'!$B$54:$DA$54&lt;&gt;""),'T_TTAFStock'!$B$54:$DA$54),"")</f>
        <v/>
      </c>
      <c r="H103" s="17">
        <f>IFERROR(LOOKUP(2,1/('T_SelfStock'!$B$54:$DA$54&lt;&gt;""),'T_SelfStock'!$B$5:$DA$5),"")</f>
        <v/>
      </c>
      <c r="I103" s="18" t="inlineStr">
        <is>
          <t>理論在庫</t>
        </is>
      </c>
      <c r="J103" s="17">
        <f>'Grid_Stock'!DA50-'Grid_TheoreticalStock'!DA50</f>
        <v/>
      </c>
      <c r="K103" s="18">
        <f>'Grid_TheoreticalStock'!B50</f>
        <v/>
      </c>
      <c r="L103" s="18">
        <f>'Grid_TheoreticalStock'!C50</f>
        <v/>
      </c>
      <c r="M103" s="18">
        <f>'Grid_TheoreticalStock'!D50</f>
        <v/>
      </c>
      <c r="N103" s="18">
        <f>'Grid_TheoreticalStock'!E50</f>
        <v/>
      </c>
      <c r="O103" s="18">
        <f>'Grid_TheoreticalStock'!F50</f>
        <v/>
      </c>
      <c r="P103" s="18">
        <f>'Grid_TheoreticalStock'!G50</f>
        <v/>
      </c>
      <c r="Q103" s="18">
        <f>'Grid_TheoreticalStock'!H50</f>
        <v/>
      </c>
      <c r="R103" s="18">
        <f>'Grid_TheoreticalStock'!I50</f>
        <v/>
      </c>
      <c r="S103" s="18">
        <f>'Grid_TheoreticalStock'!J50</f>
        <v/>
      </c>
      <c r="T103" s="18">
        <f>'Grid_TheoreticalStock'!K50</f>
        <v/>
      </c>
      <c r="U103" s="18">
        <f>'Grid_TheoreticalStock'!L50</f>
        <v/>
      </c>
      <c r="V103" s="18">
        <f>'Grid_TheoreticalStock'!M50</f>
        <v/>
      </c>
      <c r="W103" s="18">
        <f>'Grid_TheoreticalStock'!N50</f>
        <v/>
      </c>
      <c r="X103" s="18">
        <f>'Grid_TheoreticalStock'!O50</f>
        <v/>
      </c>
      <c r="Y103" s="18">
        <f>'Grid_TheoreticalStock'!P50</f>
        <v/>
      </c>
      <c r="Z103" s="18">
        <f>'Grid_TheoreticalStock'!Q50</f>
        <v/>
      </c>
      <c r="AA103" s="18">
        <f>'Grid_TheoreticalStock'!R50</f>
        <v/>
      </c>
      <c r="AB103" s="18">
        <f>'Grid_TheoreticalStock'!S50</f>
        <v/>
      </c>
      <c r="AC103" s="18">
        <f>'Grid_TheoreticalStock'!T50</f>
        <v/>
      </c>
      <c r="AD103" s="18">
        <f>'Grid_TheoreticalStock'!U50</f>
        <v/>
      </c>
      <c r="AE103" s="18">
        <f>'Grid_TheoreticalStock'!V50</f>
        <v/>
      </c>
      <c r="AF103" s="18">
        <f>'Grid_TheoreticalStock'!W50</f>
        <v/>
      </c>
      <c r="AG103" s="18">
        <f>'Grid_TheoreticalStock'!X50</f>
        <v/>
      </c>
      <c r="AH103" s="18">
        <f>'Grid_TheoreticalStock'!Y50</f>
        <v/>
      </c>
      <c r="AI103" s="18">
        <f>'Grid_TheoreticalStock'!Z50</f>
        <v/>
      </c>
      <c r="AJ103" s="18">
        <f>'Grid_TheoreticalStock'!AA50</f>
        <v/>
      </c>
      <c r="AK103" s="18">
        <f>'Grid_TheoreticalStock'!AB50</f>
        <v/>
      </c>
      <c r="AL103" s="18">
        <f>'Grid_TheoreticalStock'!AC50</f>
        <v/>
      </c>
      <c r="AM103" s="18">
        <f>'Grid_TheoreticalStock'!AD50</f>
        <v/>
      </c>
      <c r="AN103" s="18">
        <f>'Grid_TheoreticalStock'!AE50</f>
        <v/>
      </c>
      <c r="AO103" s="18">
        <f>'Grid_TheoreticalStock'!AF50</f>
        <v/>
      </c>
      <c r="AP103" s="18">
        <f>'Grid_TheoreticalStock'!AG50</f>
        <v/>
      </c>
      <c r="AQ103" s="18">
        <f>'Grid_TheoreticalStock'!AH50</f>
        <v/>
      </c>
      <c r="AR103" s="18">
        <f>'Grid_TheoreticalStock'!AI50</f>
        <v/>
      </c>
      <c r="AS103" s="18">
        <f>'Grid_TheoreticalStock'!AJ50</f>
        <v/>
      </c>
      <c r="AT103" s="18">
        <f>'Grid_TheoreticalStock'!AK50</f>
        <v/>
      </c>
      <c r="AU103" s="18">
        <f>'Grid_TheoreticalStock'!AL50</f>
        <v/>
      </c>
      <c r="AV103" s="18">
        <f>'Grid_TheoreticalStock'!AM50</f>
        <v/>
      </c>
      <c r="AW103" s="18">
        <f>'Grid_TheoreticalStock'!AN50</f>
        <v/>
      </c>
      <c r="AX103" s="18">
        <f>'Grid_TheoreticalStock'!AO50</f>
        <v/>
      </c>
      <c r="AY103" s="18">
        <f>'Grid_TheoreticalStock'!AP50</f>
        <v/>
      </c>
      <c r="AZ103" s="18">
        <f>'Grid_TheoreticalStock'!AQ50</f>
        <v/>
      </c>
      <c r="BA103" s="18">
        <f>'Grid_TheoreticalStock'!AR50</f>
        <v/>
      </c>
      <c r="BB103" s="18">
        <f>'Grid_TheoreticalStock'!AS50</f>
        <v/>
      </c>
      <c r="BC103" s="18">
        <f>'Grid_TheoreticalStock'!AT50</f>
        <v/>
      </c>
      <c r="BD103" s="18">
        <f>'Grid_TheoreticalStock'!AU50</f>
        <v/>
      </c>
      <c r="BE103" s="18">
        <f>'Grid_TheoreticalStock'!AV50</f>
        <v/>
      </c>
      <c r="BF103" s="18">
        <f>'Grid_TheoreticalStock'!AW50</f>
        <v/>
      </c>
      <c r="BG103" s="18">
        <f>'Grid_TheoreticalStock'!AX50</f>
        <v/>
      </c>
      <c r="BH103" s="18">
        <f>'Grid_TheoreticalStock'!AY50</f>
        <v/>
      </c>
      <c r="BI103" s="18">
        <f>'Grid_TheoreticalStock'!AZ50</f>
        <v/>
      </c>
      <c r="BJ103" s="18">
        <f>'Grid_TheoreticalStock'!BA50</f>
        <v/>
      </c>
      <c r="BK103" s="18">
        <f>'Grid_TheoreticalStock'!BB50</f>
        <v/>
      </c>
      <c r="BL103" s="18">
        <f>'Grid_TheoreticalStock'!BC50</f>
        <v/>
      </c>
      <c r="BM103" s="18">
        <f>'Grid_TheoreticalStock'!BD50</f>
        <v/>
      </c>
      <c r="BN103" s="18">
        <f>'Grid_TheoreticalStock'!BE50</f>
        <v/>
      </c>
      <c r="BO103" s="18">
        <f>'Grid_TheoreticalStock'!BF50</f>
        <v/>
      </c>
      <c r="BP103" s="18">
        <f>'Grid_TheoreticalStock'!BG50</f>
        <v/>
      </c>
      <c r="BQ103" s="18">
        <f>'Grid_TheoreticalStock'!BH50</f>
        <v/>
      </c>
      <c r="BR103" s="18">
        <f>'Grid_TheoreticalStock'!BI50</f>
        <v/>
      </c>
      <c r="BS103" s="18">
        <f>'Grid_TheoreticalStock'!BJ50</f>
        <v/>
      </c>
      <c r="BT103" s="18">
        <f>'Grid_TheoreticalStock'!BK50</f>
        <v/>
      </c>
      <c r="BU103" s="18">
        <f>'Grid_TheoreticalStock'!BL50</f>
        <v/>
      </c>
      <c r="BV103" s="18">
        <f>'Grid_TheoreticalStock'!BM50</f>
        <v/>
      </c>
      <c r="BW103" s="18">
        <f>'Grid_TheoreticalStock'!BN50</f>
        <v/>
      </c>
      <c r="BX103" s="18">
        <f>'Grid_TheoreticalStock'!BO50</f>
        <v/>
      </c>
      <c r="BY103" s="18">
        <f>'Grid_TheoreticalStock'!BP50</f>
        <v/>
      </c>
      <c r="BZ103" s="18">
        <f>'Grid_TheoreticalStock'!BQ50</f>
        <v/>
      </c>
      <c r="CA103" s="18">
        <f>'Grid_TheoreticalStock'!BR50</f>
        <v/>
      </c>
      <c r="CB103" s="18">
        <f>'Grid_TheoreticalStock'!BS50</f>
        <v/>
      </c>
      <c r="CC103" s="18">
        <f>'Grid_TheoreticalStock'!BT50</f>
        <v/>
      </c>
      <c r="CD103" s="18">
        <f>'Grid_TheoreticalStock'!BU50</f>
        <v/>
      </c>
      <c r="CE103" s="18">
        <f>'Grid_TheoreticalStock'!BV50</f>
        <v/>
      </c>
      <c r="CF103" s="18">
        <f>'Grid_TheoreticalStock'!BW50</f>
        <v/>
      </c>
      <c r="CG103" s="18">
        <f>'Grid_TheoreticalStock'!BX50</f>
        <v/>
      </c>
      <c r="CH103" s="18">
        <f>'Grid_TheoreticalStock'!BY50</f>
        <v/>
      </c>
      <c r="CI103" s="18">
        <f>'Grid_TheoreticalStock'!BZ50</f>
        <v/>
      </c>
      <c r="CJ103" s="18">
        <f>'Grid_TheoreticalStock'!CA50</f>
        <v/>
      </c>
      <c r="CK103" s="18">
        <f>'Grid_TheoreticalStock'!CB50</f>
        <v/>
      </c>
      <c r="CL103" s="18">
        <f>'Grid_TheoreticalStock'!CC50</f>
        <v/>
      </c>
      <c r="CM103" s="18">
        <f>'Grid_TheoreticalStock'!CD50</f>
        <v/>
      </c>
      <c r="CN103" s="18">
        <f>'Grid_TheoreticalStock'!CE50</f>
        <v/>
      </c>
      <c r="CO103" s="18">
        <f>'Grid_TheoreticalStock'!CF50</f>
        <v/>
      </c>
      <c r="CP103" s="18">
        <f>'Grid_TheoreticalStock'!CG50</f>
        <v/>
      </c>
      <c r="CQ103" s="18">
        <f>'Grid_TheoreticalStock'!CH50</f>
        <v/>
      </c>
      <c r="CR103" s="18">
        <f>'Grid_TheoreticalStock'!CI50</f>
        <v/>
      </c>
      <c r="CS103" s="18">
        <f>'Grid_TheoreticalStock'!CJ50</f>
        <v/>
      </c>
      <c r="CT103" s="18">
        <f>'Grid_TheoreticalStock'!CK50</f>
        <v/>
      </c>
      <c r="CU103" s="18">
        <f>'Grid_TheoreticalStock'!CL50</f>
        <v/>
      </c>
      <c r="CV103" s="18">
        <f>'Grid_TheoreticalStock'!CM50</f>
        <v/>
      </c>
      <c r="CW103" s="18">
        <f>'Grid_TheoreticalStock'!CN50</f>
        <v/>
      </c>
      <c r="CX103" s="18">
        <f>'Grid_TheoreticalStock'!CO50</f>
        <v/>
      </c>
      <c r="CY103" s="18">
        <f>'Grid_TheoreticalStock'!CP50</f>
        <v/>
      </c>
      <c r="CZ103" s="18">
        <f>'Grid_TheoreticalStock'!CQ50</f>
        <v/>
      </c>
      <c r="DA103" s="18">
        <f>'Grid_TheoreticalStock'!CR50</f>
        <v/>
      </c>
      <c r="DB103" s="18">
        <f>'Grid_TheoreticalStock'!CS50</f>
        <v/>
      </c>
      <c r="DC103" s="18">
        <f>'Grid_TheoreticalStock'!CT50</f>
        <v/>
      </c>
      <c r="DD103" s="18">
        <f>'Grid_TheoreticalStock'!CU50</f>
        <v/>
      </c>
      <c r="DE103" s="18">
        <f>'Grid_TheoreticalStock'!CV50</f>
        <v/>
      </c>
      <c r="DF103" s="18">
        <f>'Grid_TheoreticalStock'!CW50</f>
        <v/>
      </c>
      <c r="DG103" s="18">
        <f>'Grid_TheoreticalStock'!CX50</f>
        <v/>
      </c>
      <c r="DH103" s="18">
        <f>'Grid_TheoreticalStock'!CY50</f>
        <v/>
      </c>
      <c r="DI103" s="18">
        <f>'Grid_TheoreticalStock'!CZ50</f>
        <v/>
      </c>
      <c r="DJ103" s="18">
        <f>'Grid_TheoreticalStock'!DA50</f>
        <v/>
      </c>
    </row>
    <row r="104">
      <c r="A104" s="19" t="inlineStr">
        <is>
          <t>CHEM-1700</t>
        </is>
      </c>
      <c r="B104" s="19">
        <f>IFERROR(INDEX(M_RawMaterials[Description],MATCH($A104,M_RawMaterials[Part Name],0)),"")</f>
        <v/>
      </c>
      <c r="C104" s="19">
        <f>IFERROR(INDEX(M_RawMaterials[Category],MATCH($A104,M_RawMaterials[Part Name],0)),"")</f>
        <v/>
      </c>
      <c r="D104" s="19">
        <f>IFERROR(INDEX(M_RawMaterials[基準在庫下限_要入力],MATCH($A104,M_RawMaterials[Part Name],0)),0)</f>
        <v/>
      </c>
      <c r="E104" s="19">
        <f>IFERROR(INDEX(M_RawMaterials[基準在庫上限_要入力],MATCH($A104,M_RawMaterials[Part Name],0)),0)</f>
        <v/>
      </c>
      <c r="F104" s="19">
        <f>IFERROR(LOOKUP(2,1/('T_SelfStock'!$B$54:$DA$54&lt;&gt;""),'T_SelfStock'!$B$54:$DA$54),"")</f>
        <v/>
      </c>
      <c r="G104" s="19">
        <f>IFERROR(LOOKUP(2,1/('T_TTAFStock'!$B$54:$DA$54&lt;&gt;""),'T_TTAFStock'!$B$54:$DA$54),"")</f>
        <v/>
      </c>
      <c r="H104" s="19">
        <f>IFERROR(LOOKUP(2,1/('T_SelfStock'!$B$54:$DA$54&lt;&gt;""),'T_SelfStock'!$B$5:$DA$5),"")</f>
        <v/>
      </c>
      <c r="I104" s="20" t="inlineStr">
        <is>
          <t>実在庫</t>
        </is>
      </c>
      <c r="J104" s="19">
        <f>'Grid_Stock'!DA50-'Grid_TheoreticalStock'!DA50</f>
        <v/>
      </c>
      <c r="K104" s="19">
        <f>'Grid_Stock'!B50</f>
        <v/>
      </c>
      <c r="L104" s="19">
        <f>'Grid_Stock'!C50</f>
        <v/>
      </c>
      <c r="M104" s="19">
        <f>'Grid_Stock'!D50</f>
        <v/>
      </c>
      <c r="N104" s="19">
        <f>'Grid_Stock'!E50</f>
        <v/>
      </c>
      <c r="O104" s="19">
        <f>'Grid_Stock'!F50</f>
        <v/>
      </c>
      <c r="P104" s="19">
        <f>'Grid_Stock'!G50</f>
        <v/>
      </c>
      <c r="Q104" s="19">
        <f>'Grid_Stock'!H50</f>
        <v/>
      </c>
      <c r="R104" s="19">
        <f>'Grid_Stock'!I50</f>
        <v/>
      </c>
      <c r="S104" s="19">
        <f>'Grid_Stock'!J50</f>
        <v/>
      </c>
      <c r="T104" s="19">
        <f>'Grid_Stock'!K50</f>
        <v/>
      </c>
      <c r="U104" s="19">
        <f>'Grid_Stock'!L50</f>
        <v/>
      </c>
      <c r="V104" s="19">
        <f>'Grid_Stock'!M50</f>
        <v/>
      </c>
      <c r="W104" s="19">
        <f>'Grid_Stock'!N50</f>
        <v/>
      </c>
      <c r="X104" s="19">
        <f>'Grid_Stock'!O50</f>
        <v/>
      </c>
      <c r="Y104" s="19">
        <f>'Grid_Stock'!P50</f>
        <v/>
      </c>
      <c r="Z104" s="19">
        <f>'Grid_Stock'!Q50</f>
        <v/>
      </c>
      <c r="AA104" s="19">
        <f>'Grid_Stock'!R50</f>
        <v/>
      </c>
      <c r="AB104" s="19">
        <f>'Grid_Stock'!S50</f>
        <v/>
      </c>
      <c r="AC104" s="19">
        <f>'Grid_Stock'!T50</f>
        <v/>
      </c>
      <c r="AD104" s="19">
        <f>'Grid_Stock'!U50</f>
        <v/>
      </c>
      <c r="AE104" s="19">
        <f>'Grid_Stock'!V50</f>
        <v/>
      </c>
      <c r="AF104" s="19">
        <f>'Grid_Stock'!W50</f>
        <v/>
      </c>
      <c r="AG104" s="19">
        <f>'Grid_Stock'!X50</f>
        <v/>
      </c>
      <c r="AH104" s="19">
        <f>'Grid_Stock'!Y50</f>
        <v/>
      </c>
      <c r="AI104" s="19">
        <f>'Grid_Stock'!Z50</f>
        <v/>
      </c>
      <c r="AJ104" s="19">
        <f>'Grid_Stock'!AA50</f>
        <v/>
      </c>
      <c r="AK104" s="19">
        <f>'Grid_Stock'!AB50</f>
        <v/>
      </c>
      <c r="AL104" s="19">
        <f>'Grid_Stock'!AC50</f>
        <v/>
      </c>
      <c r="AM104" s="19">
        <f>'Grid_Stock'!AD50</f>
        <v/>
      </c>
      <c r="AN104" s="19">
        <f>'Grid_Stock'!AE50</f>
        <v/>
      </c>
      <c r="AO104" s="19">
        <f>'Grid_Stock'!AF50</f>
        <v/>
      </c>
      <c r="AP104" s="19">
        <f>'Grid_Stock'!AG50</f>
        <v/>
      </c>
      <c r="AQ104" s="19">
        <f>'Grid_Stock'!AH50</f>
        <v/>
      </c>
      <c r="AR104" s="19">
        <f>'Grid_Stock'!AI50</f>
        <v/>
      </c>
      <c r="AS104" s="19">
        <f>'Grid_Stock'!AJ50</f>
        <v/>
      </c>
      <c r="AT104" s="19">
        <f>'Grid_Stock'!AK50</f>
        <v/>
      </c>
      <c r="AU104" s="19">
        <f>'Grid_Stock'!AL50</f>
        <v/>
      </c>
      <c r="AV104" s="19">
        <f>'Grid_Stock'!AM50</f>
        <v/>
      </c>
      <c r="AW104" s="19">
        <f>'Grid_Stock'!AN50</f>
        <v/>
      </c>
      <c r="AX104" s="19">
        <f>'Grid_Stock'!AO50</f>
        <v/>
      </c>
      <c r="AY104" s="19">
        <f>'Grid_Stock'!AP50</f>
        <v/>
      </c>
      <c r="AZ104" s="19">
        <f>'Grid_Stock'!AQ50</f>
        <v/>
      </c>
      <c r="BA104" s="19">
        <f>'Grid_Stock'!AR50</f>
        <v/>
      </c>
      <c r="BB104" s="19">
        <f>'Grid_Stock'!AS50</f>
        <v/>
      </c>
      <c r="BC104" s="19">
        <f>'Grid_Stock'!AT50</f>
        <v/>
      </c>
      <c r="BD104" s="19">
        <f>'Grid_Stock'!AU50</f>
        <v/>
      </c>
      <c r="BE104" s="19">
        <f>'Grid_Stock'!AV50</f>
        <v/>
      </c>
      <c r="BF104" s="19">
        <f>'Grid_Stock'!AW50</f>
        <v/>
      </c>
      <c r="BG104" s="19">
        <f>'Grid_Stock'!AX50</f>
        <v/>
      </c>
      <c r="BH104" s="19">
        <f>'Grid_Stock'!AY50</f>
        <v/>
      </c>
      <c r="BI104" s="19">
        <f>'Grid_Stock'!AZ50</f>
        <v/>
      </c>
      <c r="BJ104" s="19">
        <f>'Grid_Stock'!BA50</f>
        <v/>
      </c>
      <c r="BK104" s="19">
        <f>'Grid_Stock'!BB50</f>
        <v/>
      </c>
      <c r="BL104" s="19">
        <f>'Grid_Stock'!BC50</f>
        <v/>
      </c>
      <c r="BM104" s="19">
        <f>'Grid_Stock'!BD50</f>
        <v/>
      </c>
      <c r="BN104" s="19">
        <f>'Grid_Stock'!BE50</f>
        <v/>
      </c>
      <c r="BO104" s="19">
        <f>'Grid_Stock'!BF50</f>
        <v/>
      </c>
      <c r="BP104" s="19">
        <f>'Grid_Stock'!BG50</f>
        <v/>
      </c>
      <c r="BQ104" s="19">
        <f>'Grid_Stock'!BH50</f>
        <v/>
      </c>
      <c r="BR104" s="19">
        <f>'Grid_Stock'!BI50</f>
        <v/>
      </c>
      <c r="BS104" s="19">
        <f>'Grid_Stock'!BJ50</f>
        <v/>
      </c>
      <c r="BT104" s="19">
        <f>'Grid_Stock'!BK50</f>
        <v/>
      </c>
      <c r="BU104" s="19">
        <f>'Grid_Stock'!BL50</f>
        <v/>
      </c>
      <c r="BV104" s="19">
        <f>'Grid_Stock'!BM50</f>
        <v/>
      </c>
      <c r="BW104" s="19">
        <f>'Grid_Stock'!BN50</f>
        <v/>
      </c>
      <c r="BX104" s="19">
        <f>'Grid_Stock'!BO50</f>
        <v/>
      </c>
      <c r="BY104" s="19">
        <f>'Grid_Stock'!BP50</f>
        <v/>
      </c>
      <c r="BZ104" s="19">
        <f>'Grid_Stock'!BQ50</f>
        <v/>
      </c>
      <c r="CA104" s="19">
        <f>'Grid_Stock'!BR50</f>
        <v/>
      </c>
      <c r="CB104" s="19">
        <f>'Grid_Stock'!BS50</f>
        <v/>
      </c>
      <c r="CC104" s="19">
        <f>'Grid_Stock'!BT50</f>
        <v/>
      </c>
      <c r="CD104" s="19">
        <f>'Grid_Stock'!BU50</f>
        <v/>
      </c>
      <c r="CE104" s="19">
        <f>'Grid_Stock'!BV50</f>
        <v/>
      </c>
      <c r="CF104" s="19">
        <f>'Grid_Stock'!BW50</f>
        <v/>
      </c>
      <c r="CG104" s="19">
        <f>'Grid_Stock'!BX50</f>
        <v/>
      </c>
      <c r="CH104" s="19">
        <f>'Grid_Stock'!BY50</f>
        <v/>
      </c>
      <c r="CI104" s="19">
        <f>'Grid_Stock'!BZ50</f>
        <v/>
      </c>
      <c r="CJ104" s="19">
        <f>'Grid_Stock'!CA50</f>
        <v/>
      </c>
      <c r="CK104" s="19">
        <f>'Grid_Stock'!CB50</f>
        <v/>
      </c>
      <c r="CL104" s="19">
        <f>'Grid_Stock'!CC50</f>
        <v/>
      </c>
      <c r="CM104" s="19">
        <f>'Grid_Stock'!CD50</f>
        <v/>
      </c>
      <c r="CN104" s="19">
        <f>'Grid_Stock'!CE50</f>
        <v/>
      </c>
      <c r="CO104" s="19">
        <f>'Grid_Stock'!CF50</f>
        <v/>
      </c>
      <c r="CP104" s="19">
        <f>'Grid_Stock'!CG50</f>
        <v/>
      </c>
      <c r="CQ104" s="19">
        <f>'Grid_Stock'!CH50</f>
        <v/>
      </c>
      <c r="CR104" s="19">
        <f>'Grid_Stock'!CI50</f>
        <v/>
      </c>
      <c r="CS104" s="19">
        <f>'Grid_Stock'!CJ50</f>
        <v/>
      </c>
      <c r="CT104" s="19">
        <f>'Grid_Stock'!CK50</f>
        <v/>
      </c>
      <c r="CU104" s="19">
        <f>'Grid_Stock'!CL50</f>
        <v/>
      </c>
      <c r="CV104" s="19">
        <f>'Grid_Stock'!CM50</f>
        <v/>
      </c>
      <c r="CW104" s="19">
        <f>'Grid_Stock'!CN50</f>
        <v/>
      </c>
      <c r="CX104" s="19">
        <f>'Grid_Stock'!CO50</f>
        <v/>
      </c>
      <c r="CY104" s="19">
        <f>'Grid_Stock'!CP50</f>
        <v/>
      </c>
      <c r="CZ104" s="19">
        <f>'Grid_Stock'!CQ50</f>
        <v/>
      </c>
      <c r="DA104" s="19">
        <f>'Grid_Stock'!CR50</f>
        <v/>
      </c>
      <c r="DB104" s="19">
        <f>'Grid_Stock'!CS50</f>
        <v/>
      </c>
      <c r="DC104" s="19">
        <f>'Grid_Stock'!CT50</f>
        <v/>
      </c>
      <c r="DD104" s="19">
        <f>'Grid_Stock'!CU50</f>
        <v/>
      </c>
      <c r="DE104" s="19">
        <f>'Grid_Stock'!CV50</f>
        <v/>
      </c>
      <c r="DF104" s="19">
        <f>'Grid_Stock'!CW50</f>
        <v/>
      </c>
      <c r="DG104" s="19">
        <f>'Grid_Stock'!CX50</f>
        <v/>
      </c>
      <c r="DH104" s="19">
        <f>'Grid_Stock'!CY50</f>
        <v/>
      </c>
      <c r="DI104" s="19">
        <f>'Grid_Stock'!CZ50</f>
        <v/>
      </c>
      <c r="DJ104" s="19">
        <f>'Grid_Stock'!DA50</f>
        <v/>
      </c>
    </row>
    <row r="105">
      <c r="A105" s="17" t="inlineStr">
        <is>
          <t>CHEM-1850</t>
        </is>
      </c>
      <c r="B105" s="17">
        <f>IFERROR(INDEX(M_RawMaterials[Description],MATCH($A105,M_RawMaterials[Part Name],0)),"")</f>
        <v/>
      </c>
      <c r="C105" s="17">
        <f>IFERROR(INDEX(M_RawMaterials[Category],MATCH($A105,M_RawMaterials[Part Name],0)),"")</f>
        <v/>
      </c>
      <c r="D105" s="17">
        <f>IFERROR(INDEX(M_RawMaterials[基準在庫下限_要入力],MATCH($A105,M_RawMaterials[Part Name],0)),0)</f>
        <v/>
      </c>
      <c r="E105" s="17">
        <f>IFERROR(INDEX(M_RawMaterials[基準在庫上限_要入力],MATCH($A105,M_RawMaterials[Part Name],0)),0)</f>
        <v/>
      </c>
      <c r="F105" s="17">
        <f>IFERROR(LOOKUP(2,1/('T_SelfStock'!$B$55:$DA$55&lt;&gt;""),'T_SelfStock'!$B$55:$DA$55),"")</f>
        <v/>
      </c>
      <c r="G105" s="17">
        <f>IFERROR(LOOKUP(2,1/('T_TTAFStock'!$B$55:$DA$55&lt;&gt;""),'T_TTAFStock'!$B$55:$DA$55),"")</f>
        <v/>
      </c>
      <c r="H105" s="17">
        <f>IFERROR(LOOKUP(2,1/('T_SelfStock'!$B$55:$DA$55&lt;&gt;""),'T_SelfStock'!$B$5:$DA$5),"")</f>
        <v/>
      </c>
      <c r="I105" s="18" t="inlineStr">
        <is>
          <t>理論在庫</t>
        </is>
      </c>
      <c r="J105" s="17">
        <f>'Grid_Stock'!DA51-'Grid_TheoreticalStock'!DA51</f>
        <v/>
      </c>
      <c r="K105" s="18">
        <f>'Grid_TheoreticalStock'!B51</f>
        <v/>
      </c>
      <c r="L105" s="18">
        <f>'Grid_TheoreticalStock'!C51</f>
        <v/>
      </c>
      <c r="M105" s="18">
        <f>'Grid_TheoreticalStock'!D51</f>
        <v/>
      </c>
      <c r="N105" s="18">
        <f>'Grid_TheoreticalStock'!E51</f>
        <v/>
      </c>
      <c r="O105" s="18">
        <f>'Grid_TheoreticalStock'!F51</f>
        <v/>
      </c>
      <c r="P105" s="18">
        <f>'Grid_TheoreticalStock'!G51</f>
        <v/>
      </c>
      <c r="Q105" s="18">
        <f>'Grid_TheoreticalStock'!H51</f>
        <v/>
      </c>
      <c r="R105" s="18">
        <f>'Grid_TheoreticalStock'!I51</f>
        <v/>
      </c>
      <c r="S105" s="18">
        <f>'Grid_TheoreticalStock'!J51</f>
        <v/>
      </c>
      <c r="T105" s="18">
        <f>'Grid_TheoreticalStock'!K51</f>
        <v/>
      </c>
      <c r="U105" s="18">
        <f>'Grid_TheoreticalStock'!L51</f>
        <v/>
      </c>
      <c r="V105" s="18">
        <f>'Grid_TheoreticalStock'!M51</f>
        <v/>
      </c>
      <c r="W105" s="18">
        <f>'Grid_TheoreticalStock'!N51</f>
        <v/>
      </c>
      <c r="X105" s="18">
        <f>'Grid_TheoreticalStock'!O51</f>
        <v/>
      </c>
      <c r="Y105" s="18">
        <f>'Grid_TheoreticalStock'!P51</f>
        <v/>
      </c>
      <c r="Z105" s="18">
        <f>'Grid_TheoreticalStock'!Q51</f>
        <v/>
      </c>
      <c r="AA105" s="18">
        <f>'Grid_TheoreticalStock'!R51</f>
        <v/>
      </c>
      <c r="AB105" s="18">
        <f>'Grid_TheoreticalStock'!S51</f>
        <v/>
      </c>
      <c r="AC105" s="18">
        <f>'Grid_TheoreticalStock'!T51</f>
        <v/>
      </c>
      <c r="AD105" s="18">
        <f>'Grid_TheoreticalStock'!U51</f>
        <v/>
      </c>
      <c r="AE105" s="18">
        <f>'Grid_TheoreticalStock'!V51</f>
        <v/>
      </c>
      <c r="AF105" s="18">
        <f>'Grid_TheoreticalStock'!W51</f>
        <v/>
      </c>
      <c r="AG105" s="18">
        <f>'Grid_TheoreticalStock'!X51</f>
        <v/>
      </c>
      <c r="AH105" s="18">
        <f>'Grid_TheoreticalStock'!Y51</f>
        <v/>
      </c>
      <c r="AI105" s="18">
        <f>'Grid_TheoreticalStock'!Z51</f>
        <v/>
      </c>
      <c r="AJ105" s="18">
        <f>'Grid_TheoreticalStock'!AA51</f>
        <v/>
      </c>
      <c r="AK105" s="18">
        <f>'Grid_TheoreticalStock'!AB51</f>
        <v/>
      </c>
      <c r="AL105" s="18">
        <f>'Grid_TheoreticalStock'!AC51</f>
        <v/>
      </c>
      <c r="AM105" s="18">
        <f>'Grid_TheoreticalStock'!AD51</f>
        <v/>
      </c>
      <c r="AN105" s="18">
        <f>'Grid_TheoreticalStock'!AE51</f>
        <v/>
      </c>
      <c r="AO105" s="18">
        <f>'Grid_TheoreticalStock'!AF51</f>
        <v/>
      </c>
      <c r="AP105" s="18">
        <f>'Grid_TheoreticalStock'!AG51</f>
        <v/>
      </c>
      <c r="AQ105" s="18">
        <f>'Grid_TheoreticalStock'!AH51</f>
        <v/>
      </c>
      <c r="AR105" s="18">
        <f>'Grid_TheoreticalStock'!AI51</f>
        <v/>
      </c>
      <c r="AS105" s="18">
        <f>'Grid_TheoreticalStock'!AJ51</f>
        <v/>
      </c>
      <c r="AT105" s="18">
        <f>'Grid_TheoreticalStock'!AK51</f>
        <v/>
      </c>
      <c r="AU105" s="18">
        <f>'Grid_TheoreticalStock'!AL51</f>
        <v/>
      </c>
      <c r="AV105" s="18">
        <f>'Grid_TheoreticalStock'!AM51</f>
        <v/>
      </c>
      <c r="AW105" s="18">
        <f>'Grid_TheoreticalStock'!AN51</f>
        <v/>
      </c>
      <c r="AX105" s="18">
        <f>'Grid_TheoreticalStock'!AO51</f>
        <v/>
      </c>
      <c r="AY105" s="18">
        <f>'Grid_TheoreticalStock'!AP51</f>
        <v/>
      </c>
      <c r="AZ105" s="18">
        <f>'Grid_TheoreticalStock'!AQ51</f>
        <v/>
      </c>
      <c r="BA105" s="18">
        <f>'Grid_TheoreticalStock'!AR51</f>
        <v/>
      </c>
      <c r="BB105" s="18">
        <f>'Grid_TheoreticalStock'!AS51</f>
        <v/>
      </c>
      <c r="BC105" s="18">
        <f>'Grid_TheoreticalStock'!AT51</f>
        <v/>
      </c>
      <c r="BD105" s="18">
        <f>'Grid_TheoreticalStock'!AU51</f>
        <v/>
      </c>
      <c r="BE105" s="18">
        <f>'Grid_TheoreticalStock'!AV51</f>
        <v/>
      </c>
      <c r="BF105" s="18">
        <f>'Grid_TheoreticalStock'!AW51</f>
        <v/>
      </c>
      <c r="BG105" s="18">
        <f>'Grid_TheoreticalStock'!AX51</f>
        <v/>
      </c>
      <c r="BH105" s="18">
        <f>'Grid_TheoreticalStock'!AY51</f>
        <v/>
      </c>
      <c r="BI105" s="18">
        <f>'Grid_TheoreticalStock'!AZ51</f>
        <v/>
      </c>
      <c r="BJ105" s="18">
        <f>'Grid_TheoreticalStock'!BA51</f>
        <v/>
      </c>
      <c r="BK105" s="18">
        <f>'Grid_TheoreticalStock'!BB51</f>
        <v/>
      </c>
      <c r="BL105" s="18">
        <f>'Grid_TheoreticalStock'!BC51</f>
        <v/>
      </c>
      <c r="BM105" s="18">
        <f>'Grid_TheoreticalStock'!BD51</f>
        <v/>
      </c>
      <c r="BN105" s="18">
        <f>'Grid_TheoreticalStock'!BE51</f>
        <v/>
      </c>
      <c r="BO105" s="18">
        <f>'Grid_TheoreticalStock'!BF51</f>
        <v/>
      </c>
      <c r="BP105" s="18">
        <f>'Grid_TheoreticalStock'!BG51</f>
        <v/>
      </c>
      <c r="BQ105" s="18">
        <f>'Grid_TheoreticalStock'!BH51</f>
        <v/>
      </c>
      <c r="BR105" s="18">
        <f>'Grid_TheoreticalStock'!BI51</f>
        <v/>
      </c>
      <c r="BS105" s="18">
        <f>'Grid_TheoreticalStock'!BJ51</f>
        <v/>
      </c>
      <c r="BT105" s="18">
        <f>'Grid_TheoreticalStock'!BK51</f>
        <v/>
      </c>
      <c r="BU105" s="18">
        <f>'Grid_TheoreticalStock'!BL51</f>
        <v/>
      </c>
      <c r="BV105" s="18">
        <f>'Grid_TheoreticalStock'!BM51</f>
        <v/>
      </c>
      <c r="BW105" s="18">
        <f>'Grid_TheoreticalStock'!BN51</f>
        <v/>
      </c>
      <c r="BX105" s="18">
        <f>'Grid_TheoreticalStock'!BO51</f>
        <v/>
      </c>
      <c r="BY105" s="18">
        <f>'Grid_TheoreticalStock'!BP51</f>
        <v/>
      </c>
      <c r="BZ105" s="18">
        <f>'Grid_TheoreticalStock'!BQ51</f>
        <v/>
      </c>
      <c r="CA105" s="18">
        <f>'Grid_TheoreticalStock'!BR51</f>
        <v/>
      </c>
      <c r="CB105" s="18">
        <f>'Grid_TheoreticalStock'!BS51</f>
        <v/>
      </c>
      <c r="CC105" s="18">
        <f>'Grid_TheoreticalStock'!BT51</f>
        <v/>
      </c>
      <c r="CD105" s="18">
        <f>'Grid_TheoreticalStock'!BU51</f>
        <v/>
      </c>
      <c r="CE105" s="18">
        <f>'Grid_TheoreticalStock'!BV51</f>
        <v/>
      </c>
      <c r="CF105" s="18">
        <f>'Grid_TheoreticalStock'!BW51</f>
        <v/>
      </c>
      <c r="CG105" s="18">
        <f>'Grid_TheoreticalStock'!BX51</f>
        <v/>
      </c>
      <c r="CH105" s="18">
        <f>'Grid_TheoreticalStock'!BY51</f>
        <v/>
      </c>
      <c r="CI105" s="18">
        <f>'Grid_TheoreticalStock'!BZ51</f>
        <v/>
      </c>
      <c r="CJ105" s="18">
        <f>'Grid_TheoreticalStock'!CA51</f>
        <v/>
      </c>
      <c r="CK105" s="18">
        <f>'Grid_TheoreticalStock'!CB51</f>
        <v/>
      </c>
      <c r="CL105" s="18">
        <f>'Grid_TheoreticalStock'!CC51</f>
        <v/>
      </c>
      <c r="CM105" s="18">
        <f>'Grid_TheoreticalStock'!CD51</f>
        <v/>
      </c>
      <c r="CN105" s="18">
        <f>'Grid_TheoreticalStock'!CE51</f>
        <v/>
      </c>
      <c r="CO105" s="18">
        <f>'Grid_TheoreticalStock'!CF51</f>
        <v/>
      </c>
      <c r="CP105" s="18">
        <f>'Grid_TheoreticalStock'!CG51</f>
        <v/>
      </c>
      <c r="CQ105" s="18">
        <f>'Grid_TheoreticalStock'!CH51</f>
        <v/>
      </c>
      <c r="CR105" s="18">
        <f>'Grid_TheoreticalStock'!CI51</f>
        <v/>
      </c>
      <c r="CS105" s="18">
        <f>'Grid_TheoreticalStock'!CJ51</f>
        <v/>
      </c>
      <c r="CT105" s="18">
        <f>'Grid_TheoreticalStock'!CK51</f>
        <v/>
      </c>
      <c r="CU105" s="18">
        <f>'Grid_TheoreticalStock'!CL51</f>
        <v/>
      </c>
      <c r="CV105" s="18">
        <f>'Grid_TheoreticalStock'!CM51</f>
        <v/>
      </c>
      <c r="CW105" s="18">
        <f>'Grid_TheoreticalStock'!CN51</f>
        <v/>
      </c>
      <c r="CX105" s="18">
        <f>'Grid_TheoreticalStock'!CO51</f>
        <v/>
      </c>
      <c r="CY105" s="18">
        <f>'Grid_TheoreticalStock'!CP51</f>
        <v/>
      </c>
      <c r="CZ105" s="18">
        <f>'Grid_TheoreticalStock'!CQ51</f>
        <v/>
      </c>
      <c r="DA105" s="18">
        <f>'Grid_TheoreticalStock'!CR51</f>
        <v/>
      </c>
      <c r="DB105" s="18">
        <f>'Grid_TheoreticalStock'!CS51</f>
        <v/>
      </c>
      <c r="DC105" s="18">
        <f>'Grid_TheoreticalStock'!CT51</f>
        <v/>
      </c>
      <c r="DD105" s="18">
        <f>'Grid_TheoreticalStock'!CU51</f>
        <v/>
      </c>
      <c r="DE105" s="18">
        <f>'Grid_TheoreticalStock'!CV51</f>
        <v/>
      </c>
      <c r="DF105" s="18">
        <f>'Grid_TheoreticalStock'!CW51</f>
        <v/>
      </c>
      <c r="DG105" s="18">
        <f>'Grid_TheoreticalStock'!CX51</f>
        <v/>
      </c>
      <c r="DH105" s="18">
        <f>'Grid_TheoreticalStock'!CY51</f>
        <v/>
      </c>
      <c r="DI105" s="18">
        <f>'Grid_TheoreticalStock'!CZ51</f>
        <v/>
      </c>
      <c r="DJ105" s="18">
        <f>'Grid_TheoreticalStock'!DA51</f>
        <v/>
      </c>
    </row>
    <row r="106">
      <c r="A106" s="19" t="inlineStr">
        <is>
          <t>CHEM-1850</t>
        </is>
      </c>
      <c r="B106" s="19">
        <f>IFERROR(INDEX(M_RawMaterials[Description],MATCH($A106,M_RawMaterials[Part Name],0)),"")</f>
        <v/>
      </c>
      <c r="C106" s="19">
        <f>IFERROR(INDEX(M_RawMaterials[Category],MATCH($A106,M_RawMaterials[Part Name],0)),"")</f>
        <v/>
      </c>
      <c r="D106" s="19">
        <f>IFERROR(INDEX(M_RawMaterials[基準在庫下限_要入力],MATCH($A106,M_RawMaterials[Part Name],0)),0)</f>
        <v/>
      </c>
      <c r="E106" s="19">
        <f>IFERROR(INDEX(M_RawMaterials[基準在庫上限_要入力],MATCH($A106,M_RawMaterials[Part Name],0)),0)</f>
        <v/>
      </c>
      <c r="F106" s="19">
        <f>IFERROR(LOOKUP(2,1/('T_SelfStock'!$B$55:$DA$55&lt;&gt;""),'T_SelfStock'!$B$55:$DA$55),"")</f>
        <v/>
      </c>
      <c r="G106" s="19">
        <f>IFERROR(LOOKUP(2,1/('T_TTAFStock'!$B$55:$DA$55&lt;&gt;""),'T_TTAFStock'!$B$55:$DA$55),"")</f>
        <v/>
      </c>
      <c r="H106" s="19">
        <f>IFERROR(LOOKUP(2,1/('T_SelfStock'!$B$55:$DA$55&lt;&gt;""),'T_SelfStock'!$B$5:$DA$5),"")</f>
        <v/>
      </c>
      <c r="I106" s="20" t="inlineStr">
        <is>
          <t>実在庫</t>
        </is>
      </c>
      <c r="J106" s="19">
        <f>'Grid_Stock'!DA51-'Grid_TheoreticalStock'!DA51</f>
        <v/>
      </c>
      <c r="K106" s="19">
        <f>'Grid_Stock'!B51</f>
        <v/>
      </c>
      <c r="L106" s="19">
        <f>'Grid_Stock'!C51</f>
        <v/>
      </c>
      <c r="M106" s="19">
        <f>'Grid_Stock'!D51</f>
        <v/>
      </c>
      <c r="N106" s="19">
        <f>'Grid_Stock'!E51</f>
        <v/>
      </c>
      <c r="O106" s="19">
        <f>'Grid_Stock'!F51</f>
        <v/>
      </c>
      <c r="P106" s="19">
        <f>'Grid_Stock'!G51</f>
        <v/>
      </c>
      <c r="Q106" s="19">
        <f>'Grid_Stock'!H51</f>
        <v/>
      </c>
      <c r="R106" s="19">
        <f>'Grid_Stock'!I51</f>
        <v/>
      </c>
      <c r="S106" s="19">
        <f>'Grid_Stock'!J51</f>
        <v/>
      </c>
      <c r="T106" s="19">
        <f>'Grid_Stock'!K51</f>
        <v/>
      </c>
      <c r="U106" s="19">
        <f>'Grid_Stock'!L51</f>
        <v/>
      </c>
      <c r="V106" s="19">
        <f>'Grid_Stock'!M51</f>
        <v/>
      </c>
      <c r="W106" s="19">
        <f>'Grid_Stock'!N51</f>
        <v/>
      </c>
      <c r="X106" s="19">
        <f>'Grid_Stock'!O51</f>
        <v/>
      </c>
      <c r="Y106" s="19">
        <f>'Grid_Stock'!P51</f>
        <v/>
      </c>
      <c r="Z106" s="19">
        <f>'Grid_Stock'!Q51</f>
        <v/>
      </c>
      <c r="AA106" s="19">
        <f>'Grid_Stock'!R51</f>
        <v/>
      </c>
      <c r="AB106" s="19">
        <f>'Grid_Stock'!S51</f>
        <v/>
      </c>
      <c r="AC106" s="19">
        <f>'Grid_Stock'!T51</f>
        <v/>
      </c>
      <c r="AD106" s="19">
        <f>'Grid_Stock'!U51</f>
        <v/>
      </c>
      <c r="AE106" s="19">
        <f>'Grid_Stock'!V51</f>
        <v/>
      </c>
      <c r="AF106" s="19">
        <f>'Grid_Stock'!W51</f>
        <v/>
      </c>
      <c r="AG106" s="19">
        <f>'Grid_Stock'!X51</f>
        <v/>
      </c>
      <c r="AH106" s="19">
        <f>'Grid_Stock'!Y51</f>
        <v/>
      </c>
      <c r="AI106" s="19">
        <f>'Grid_Stock'!Z51</f>
        <v/>
      </c>
      <c r="AJ106" s="19">
        <f>'Grid_Stock'!AA51</f>
        <v/>
      </c>
      <c r="AK106" s="19">
        <f>'Grid_Stock'!AB51</f>
        <v/>
      </c>
      <c r="AL106" s="19">
        <f>'Grid_Stock'!AC51</f>
        <v/>
      </c>
      <c r="AM106" s="19">
        <f>'Grid_Stock'!AD51</f>
        <v/>
      </c>
      <c r="AN106" s="19">
        <f>'Grid_Stock'!AE51</f>
        <v/>
      </c>
      <c r="AO106" s="19">
        <f>'Grid_Stock'!AF51</f>
        <v/>
      </c>
      <c r="AP106" s="19">
        <f>'Grid_Stock'!AG51</f>
        <v/>
      </c>
      <c r="AQ106" s="19">
        <f>'Grid_Stock'!AH51</f>
        <v/>
      </c>
      <c r="AR106" s="19">
        <f>'Grid_Stock'!AI51</f>
        <v/>
      </c>
      <c r="AS106" s="19">
        <f>'Grid_Stock'!AJ51</f>
        <v/>
      </c>
      <c r="AT106" s="19">
        <f>'Grid_Stock'!AK51</f>
        <v/>
      </c>
      <c r="AU106" s="19">
        <f>'Grid_Stock'!AL51</f>
        <v/>
      </c>
      <c r="AV106" s="19">
        <f>'Grid_Stock'!AM51</f>
        <v/>
      </c>
      <c r="AW106" s="19">
        <f>'Grid_Stock'!AN51</f>
        <v/>
      </c>
      <c r="AX106" s="19">
        <f>'Grid_Stock'!AO51</f>
        <v/>
      </c>
      <c r="AY106" s="19">
        <f>'Grid_Stock'!AP51</f>
        <v/>
      </c>
      <c r="AZ106" s="19">
        <f>'Grid_Stock'!AQ51</f>
        <v/>
      </c>
      <c r="BA106" s="19">
        <f>'Grid_Stock'!AR51</f>
        <v/>
      </c>
      <c r="BB106" s="19">
        <f>'Grid_Stock'!AS51</f>
        <v/>
      </c>
      <c r="BC106" s="19">
        <f>'Grid_Stock'!AT51</f>
        <v/>
      </c>
      <c r="BD106" s="19">
        <f>'Grid_Stock'!AU51</f>
        <v/>
      </c>
      <c r="BE106" s="19">
        <f>'Grid_Stock'!AV51</f>
        <v/>
      </c>
      <c r="BF106" s="19">
        <f>'Grid_Stock'!AW51</f>
        <v/>
      </c>
      <c r="BG106" s="19">
        <f>'Grid_Stock'!AX51</f>
        <v/>
      </c>
      <c r="BH106" s="19">
        <f>'Grid_Stock'!AY51</f>
        <v/>
      </c>
      <c r="BI106" s="19">
        <f>'Grid_Stock'!AZ51</f>
        <v/>
      </c>
      <c r="BJ106" s="19">
        <f>'Grid_Stock'!BA51</f>
        <v/>
      </c>
      <c r="BK106" s="19">
        <f>'Grid_Stock'!BB51</f>
        <v/>
      </c>
      <c r="BL106" s="19">
        <f>'Grid_Stock'!BC51</f>
        <v/>
      </c>
      <c r="BM106" s="19">
        <f>'Grid_Stock'!BD51</f>
        <v/>
      </c>
      <c r="BN106" s="19">
        <f>'Grid_Stock'!BE51</f>
        <v/>
      </c>
      <c r="BO106" s="19">
        <f>'Grid_Stock'!BF51</f>
        <v/>
      </c>
      <c r="BP106" s="19">
        <f>'Grid_Stock'!BG51</f>
        <v/>
      </c>
      <c r="BQ106" s="19">
        <f>'Grid_Stock'!BH51</f>
        <v/>
      </c>
      <c r="BR106" s="19">
        <f>'Grid_Stock'!BI51</f>
        <v/>
      </c>
      <c r="BS106" s="19">
        <f>'Grid_Stock'!BJ51</f>
        <v/>
      </c>
      <c r="BT106" s="19">
        <f>'Grid_Stock'!BK51</f>
        <v/>
      </c>
      <c r="BU106" s="19">
        <f>'Grid_Stock'!BL51</f>
        <v/>
      </c>
      <c r="BV106" s="19">
        <f>'Grid_Stock'!BM51</f>
        <v/>
      </c>
      <c r="BW106" s="19">
        <f>'Grid_Stock'!BN51</f>
        <v/>
      </c>
      <c r="BX106" s="19">
        <f>'Grid_Stock'!BO51</f>
        <v/>
      </c>
      <c r="BY106" s="19">
        <f>'Grid_Stock'!BP51</f>
        <v/>
      </c>
      <c r="BZ106" s="19">
        <f>'Grid_Stock'!BQ51</f>
        <v/>
      </c>
      <c r="CA106" s="19">
        <f>'Grid_Stock'!BR51</f>
        <v/>
      </c>
      <c r="CB106" s="19">
        <f>'Grid_Stock'!BS51</f>
        <v/>
      </c>
      <c r="CC106" s="19">
        <f>'Grid_Stock'!BT51</f>
        <v/>
      </c>
      <c r="CD106" s="19">
        <f>'Grid_Stock'!BU51</f>
        <v/>
      </c>
      <c r="CE106" s="19">
        <f>'Grid_Stock'!BV51</f>
        <v/>
      </c>
      <c r="CF106" s="19">
        <f>'Grid_Stock'!BW51</f>
        <v/>
      </c>
      <c r="CG106" s="19">
        <f>'Grid_Stock'!BX51</f>
        <v/>
      </c>
      <c r="CH106" s="19">
        <f>'Grid_Stock'!BY51</f>
        <v/>
      </c>
      <c r="CI106" s="19">
        <f>'Grid_Stock'!BZ51</f>
        <v/>
      </c>
      <c r="CJ106" s="19">
        <f>'Grid_Stock'!CA51</f>
        <v/>
      </c>
      <c r="CK106" s="19">
        <f>'Grid_Stock'!CB51</f>
        <v/>
      </c>
      <c r="CL106" s="19">
        <f>'Grid_Stock'!CC51</f>
        <v/>
      </c>
      <c r="CM106" s="19">
        <f>'Grid_Stock'!CD51</f>
        <v/>
      </c>
      <c r="CN106" s="19">
        <f>'Grid_Stock'!CE51</f>
        <v/>
      </c>
      <c r="CO106" s="19">
        <f>'Grid_Stock'!CF51</f>
        <v/>
      </c>
      <c r="CP106" s="19">
        <f>'Grid_Stock'!CG51</f>
        <v/>
      </c>
      <c r="CQ106" s="19">
        <f>'Grid_Stock'!CH51</f>
        <v/>
      </c>
      <c r="CR106" s="19">
        <f>'Grid_Stock'!CI51</f>
        <v/>
      </c>
      <c r="CS106" s="19">
        <f>'Grid_Stock'!CJ51</f>
        <v/>
      </c>
      <c r="CT106" s="19">
        <f>'Grid_Stock'!CK51</f>
        <v/>
      </c>
      <c r="CU106" s="19">
        <f>'Grid_Stock'!CL51</f>
        <v/>
      </c>
      <c r="CV106" s="19">
        <f>'Grid_Stock'!CM51</f>
        <v/>
      </c>
      <c r="CW106" s="19">
        <f>'Grid_Stock'!CN51</f>
        <v/>
      </c>
      <c r="CX106" s="19">
        <f>'Grid_Stock'!CO51</f>
        <v/>
      </c>
      <c r="CY106" s="19">
        <f>'Grid_Stock'!CP51</f>
        <v/>
      </c>
      <c r="CZ106" s="19">
        <f>'Grid_Stock'!CQ51</f>
        <v/>
      </c>
      <c r="DA106" s="19">
        <f>'Grid_Stock'!CR51</f>
        <v/>
      </c>
      <c r="DB106" s="19">
        <f>'Grid_Stock'!CS51</f>
        <v/>
      </c>
      <c r="DC106" s="19">
        <f>'Grid_Stock'!CT51</f>
        <v/>
      </c>
      <c r="DD106" s="19">
        <f>'Grid_Stock'!CU51</f>
        <v/>
      </c>
      <c r="DE106" s="19">
        <f>'Grid_Stock'!CV51</f>
        <v/>
      </c>
      <c r="DF106" s="19">
        <f>'Grid_Stock'!CW51</f>
        <v/>
      </c>
      <c r="DG106" s="19">
        <f>'Grid_Stock'!CX51</f>
        <v/>
      </c>
      <c r="DH106" s="19">
        <f>'Grid_Stock'!CY51</f>
        <v/>
      </c>
      <c r="DI106" s="19">
        <f>'Grid_Stock'!CZ51</f>
        <v/>
      </c>
      <c r="DJ106" s="19">
        <f>'Grid_Stock'!DA51</f>
        <v/>
      </c>
    </row>
    <row r="107">
      <c r="A107" s="17" t="inlineStr">
        <is>
          <t>Original Towel</t>
        </is>
      </c>
      <c r="B107" s="17">
        <f>IFERROR(INDEX(M_RawMaterials[Description],MATCH($A107,M_RawMaterials[Part Name],0)),"")</f>
        <v/>
      </c>
      <c r="C107" s="17">
        <f>IFERROR(INDEX(M_RawMaterials[Category],MATCH($A107,M_RawMaterials[Part Name],0)),"")</f>
        <v/>
      </c>
      <c r="D107" s="17">
        <f>IFERROR(INDEX(M_RawMaterials[基準在庫下限_要入力],MATCH($A107,M_RawMaterials[Part Name],0)),0)</f>
        <v/>
      </c>
      <c r="E107" s="17">
        <f>IFERROR(INDEX(M_RawMaterials[基準在庫上限_要入力],MATCH($A107,M_RawMaterials[Part Name],0)),0)</f>
        <v/>
      </c>
      <c r="F107" s="17">
        <f>IFERROR(LOOKUP(2,1/('T_SelfStock'!$B$56:$DA$56&lt;&gt;""),'T_SelfStock'!$B$56:$DA$56),"")</f>
        <v/>
      </c>
      <c r="G107" s="17">
        <f>IFERROR(LOOKUP(2,1/('T_TTAFStock'!$B$56:$DA$56&lt;&gt;""),'T_TTAFStock'!$B$56:$DA$56),"")</f>
        <v/>
      </c>
      <c r="H107" s="17">
        <f>IFERROR(LOOKUP(2,1/('T_SelfStock'!$B$56:$DA$56&lt;&gt;""),'T_SelfStock'!$B$5:$DA$5),"")</f>
        <v/>
      </c>
      <c r="I107" s="18" t="inlineStr">
        <is>
          <t>理論在庫</t>
        </is>
      </c>
      <c r="J107" s="17">
        <f>'Grid_Stock'!DA52-'Grid_TheoreticalStock'!DA52</f>
        <v/>
      </c>
      <c r="K107" s="18">
        <f>'Grid_TheoreticalStock'!B52</f>
        <v/>
      </c>
      <c r="L107" s="18">
        <f>'Grid_TheoreticalStock'!C52</f>
        <v/>
      </c>
      <c r="M107" s="18">
        <f>'Grid_TheoreticalStock'!D52</f>
        <v/>
      </c>
      <c r="N107" s="18">
        <f>'Grid_TheoreticalStock'!E52</f>
        <v/>
      </c>
      <c r="O107" s="18">
        <f>'Grid_TheoreticalStock'!F52</f>
        <v/>
      </c>
      <c r="P107" s="18">
        <f>'Grid_TheoreticalStock'!G52</f>
        <v/>
      </c>
      <c r="Q107" s="18">
        <f>'Grid_TheoreticalStock'!H52</f>
        <v/>
      </c>
      <c r="R107" s="18">
        <f>'Grid_TheoreticalStock'!I52</f>
        <v/>
      </c>
      <c r="S107" s="18">
        <f>'Grid_TheoreticalStock'!J52</f>
        <v/>
      </c>
      <c r="T107" s="18">
        <f>'Grid_TheoreticalStock'!K52</f>
        <v/>
      </c>
      <c r="U107" s="18">
        <f>'Grid_TheoreticalStock'!L52</f>
        <v/>
      </c>
      <c r="V107" s="18">
        <f>'Grid_TheoreticalStock'!M52</f>
        <v/>
      </c>
      <c r="W107" s="18">
        <f>'Grid_TheoreticalStock'!N52</f>
        <v/>
      </c>
      <c r="X107" s="18">
        <f>'Grid_TheoreticalStock'!O52</f>
        <v/>
      </c>
      <c r="Y107" s="18">
        <f>'Grid_TheoreticalStock'!P52</f>
        <v/>
      </c>
      <c r="Z107" s="18">
        <f>'Grid_TheoreticalStock'!Q52</f>
        <v/>
      </c>
      <c r="AA107" s="18">
        <f>'Grid_TheoreticalStock'!R52</f>
        <v/>
      </c>
      <c r="AB107" s="18">
        <f>'Grid_TheoreticalStock'!S52</f>
        <v/>
      </c>
      <c r="AC107" s="18">
        <f>'Grid_TheoreticalStock'!T52</f>
        <v/>
      </c>
      <c r="AD107" s="18">
        <f>'Grid_TheoreticalStock'!U52</f>
        <v/>
      </c>
      <c r="AE107" s="18">
        <f>'Grid_TheoreticalStock'!V52</f>
        <v/>
      </c>
      <c r="AF107" s="18">
        <f>'Grid_TheoreticalStock'!W52</f>
        <v/>
      </c>
      <c r="AG107" s="18">
        <f>'Grid_TheoreticalStock'!X52</f>
        <v/>
      </c>
      <c r="AH107" s="18">
        <f>'Grid_TheoreticalStock'!Y52</f>
        <v/>
      </c>
      <c r="AI107" s="18">
        <f>'Grid_TheoreticalStock'!Z52</f>
        <v/>
      </c>
      <c r="AJ107" s="18">
        <f>'Grid_TheoreticalStock'!AA52</f>
        <v/>
      </c>
      <c r="AK107" s="18">
        <f>'Grid_TheoreticalStock'!AB52</f>
        <v/>
      </c>
      <c r="AL107" s="18">
        <f>'Grid_TheoreticalStock'!AC52</f>
        <v/>
      </c>
      <c r="AM107" s="18">
        <f>'Grid_TheoreticalStock'!AD52</f>
        <v/>
      </c>
      <c r="AN107" s="18">
        <f>'Grid_TheoreticalStock'!AE52</f>
        <v/>
      </c>
      <c r="AO107" s="18">
        <f>'Grid_TheoreticalStock'!AF52</f>
        <v/>
      </c>
      <c r="AP107" s="18">
        <f>'Grid_TheoreticalStock'!AG52</f>
        <v/>
      </c>
      <c r="AQ107" s="18">
        <f>'Grid_TheoreticalStock'!AH52</f>
        <v/>
      </c>
      <c r="AR107" s="18">
        <f>'Grid_TheoreticalStock'!AI52</f>
        <v/>
      </c>
      <c r="AS107" s="18">
        <f>'Grid_TheoreticalStock'!AJ52</f>
        <v/>
      </c>
      <c r="AT107" s="18">
        <f>'Grid_TheoreticalStock'!AK52</f>
        <v/>
      </c>
      <c r="AU107" s="18">
        <f>'Grid_TheoreticalStock'!AL52</f>
        <v/>
      </c>
      <c r="AV107" s="18">
        <f>'Grid_TheoreticalStock'!AM52</f>
        <v/>
      </c>
      <c r="AW107" s="18">
        <f>'Grid_TheoreticalStock'!AN52</f>
        <v/>
      </c>
      <c r="AX107" s="18">
        <f>'Grid_TheoreticalStock'!AO52</f>
        <v/>
      </c>
      <c r="AY107" s="18">
        <f>'Grid_TheoreticalStock'!AP52</f>
        <v/>
      </c>
      <c r="AZ107" s="18">
        <f>'Grid_TheoreticalStock'!AQ52</f>
        <v/>
      </c>
      <c r="BA107" s="18">
        <f>'Grid_TheoreticalStock'!AR52</f>
        <v/>
      </c>
      <c r="BB107" s="18">
        <f>'Grid_TheoreticalStock'!AS52</f>
        <v/>
      </c>
      <c r="BC107" s="18">
        <f>'Grid_TheoreticalStock'!AT52</f>
        <v/>
      </c>
      <c r="BD107" s="18">
        <f>'Grid_TheoreticalStock'!AU52</f>
        <v/>
      </c>
      <c r="BE107" s="18">
        <f>'Grid_TheoreticalStock'!AV52</f>
        <v/>
      </c>
      <c r="BF107" s="18">
        <f>'Grid_TheoreticalStock'!AW52</f>
        <v/>
      </c>
      <c r="BG107" s="18">
        <f>'Grid_TheoreticalStock'!AX52</f>
        <v/>
      </c>
      <c r="BH107" s="18">
        <f>'Grid_TheoreticalStock'!AY52</f>
        <v/>
      </c>
      <c r="BI107" s="18">
        <f>'Grid_TheoreticalStock'!AZ52</f>
        <v/>
      </c>
      <c r="BJ107" s="18">
        <f>'Grid_TheoreticalStock'!BA52</f>
        <v/>
      </c>
      <c r="BK107" s="18">
        <f>'Grid_TheoreticalStock'!BB52</f>
        <v/>
      </c>
      <c r="BL107" s="18">
        <f>'Grid_TheoreticalStock'!BC52</f>
        <v/>
      </c>
      <c r="BM107" s="18">
        <f>'Grid_TheoreticalStock'!BD52</f>
        <v/>
      </c>
      <c r="BN107" s="18">
        <f>'Grid_TheoreticalStock'!BE52</f>
        <v/>
      </c>
      <c r="BO107" s="18">
        <f>'Grid_TheoreticalStock'!BF52</f>
        <v/>
      </c>
      <c r="BP107" s="18">
        <f>'Grid_TheoreticalStock'!BG52</f>
        <v/>
      </c>
      <c r="BQ107" s="18">
        <f>'Grid_TheoreticalStock'!BH52</f>
        <v/>
      </c>
      <c r="BR107" s="18">
        <f>'Grid_TheoreticalStock'!BI52</f>
        <v/>
      </c>
      <c r="BS107" s="18">
        <f>'Grid_TheoreticalStock'!BJ52</f>
        <v/>
      </c>
      <c r="BT107" s="18">
        <f>'Grid_TheoreticalStock'!BK52</f>
        <v/>
      </c>
      <c r="BU107" s="18">
        <f>'Grid_TheoreticalStock'!BL52</f>
        <v/>
      </c>
      <c r="BV107" s="18">
        <f>'Grid_TheoreticalStock'!BM52</f>
        <v/>
      </c>
      <c r="BW107" s="18">
        <f>'Grid_TheoreticalStock'!BN52</f>
        <v/>
      </c>
      <c r="BX107" s="18">
        <f>'Grid_TheoreticalStock'!BO52</f>
        <v/>
      </c>
      <c r="BY107" s="18">
        <f>'Grid_TheoreticalStock'!BP52</f>
        <v/>
      </c>
      <c r="BZ107" s="18">
        <f>'Grid_TheoreticalStock'!BQ52</f>
        <v/>
      </c>
      <c r="CA107" s="18">
        <f>'Grid_TheoreticalStock'!BR52</f>
        <v/>
      </c>
      <c r="CB107" s="18">
        <f>'Grid_TheoreticalStock'!BS52</f>
        <v/>
      </c>
      <c r="CC107" s="18">
        <f>'Grid_TheoreticalStock'!BT52</f>
        <v/>
      </c>
      <c r="CD107" s="18">
        <f>'Grid_TheoreticalStock'!BU52</f>
        <v/>
      </c>
      <c r="CE107" s="18">
        <f>'Grid_TheoreticalStock'!BV52</f>
        <v/>
      </c>
      <c r="CF107" s="18">
        <f>'Grid_TheoreticalStock'!BW52</f>
        <v/>
      </c>
      <c r="CG107" s="18">
        <f>'Grid_TheoreticalStock'!BX52</f>
        <v/>
      </c>
      <c r="CH107" s="18">
        <f>'Grid_TheoreticalStock'!BY52</f>
        <v/>
      </c>
      <c r="CI107" s="18">
        <f>'Grid_TheoreticalStock'!BZ52</f>
        <v/>
      </c>
      <c r="CJ107" s="18">
        <f>'Grid_TheoreticalStock'!CA52</f>
        <v/>
      </c>
      <c r="CK107" s="18">
        <f>'Grid_TheoreticalStock'!CB52</f>
        <v/>
      </c>
      <c r="CL107" s="18">
        <f>'Grid_TheoreticalStock'!CC52</f>
        <v/>
      </c>
      <c r="CM107" s="18">
        <f>'Grid_TheoreticalStock'!CD52</f>
        <v/>
      </c>
      <c r="CN107" s="18">
        <f>'Grid_TheoreticalStock'!CE52</f>
        <v/>
      </c>
      <c r="CO107" s="18">
        <f>'Grid_TheoreticalStock'!CF52</f>
        <v/>
      </c>
      <c r="CP107" s="18">
        <f>'Grid_TheoreticalStock'!CG52</f>
        <v/>
      </c>
      <c r="CQ107" s="18">
        <f>'Grid_TheoreticalStock'!CH52</f>
        <v/>
      </c>
      <c r="CR107" s="18">
        <f>'Grid_TheoreticalStock'!CI52</f>
        <v/>
      </c>
      <c r="CS107" s="18">
        <f>'Grid_TheoreticalStock'!CJ52</f>
        <v/>
      </c>
      <c r="CT107" s="18">
        <f>'Grid_TheoreticalStock'!CK52</f>
        <v/>
      </c>
      <c r="CU107" s="18">
        <f>'Grid_TheoreticalStock'!CL52</f>
        <v/>
      </c>
      <c r="CV107" s="18">
        <f>'Grid_TheoreticalStock'!CM52</f>
        <v/>
      </c>
      <c r="CW107" s="18">
        <f>'Grid_TheoreticalStock'!CN52</f>
        <v/>
      </c>
      <c r="CX107" s="18">
        <f>'Grid_TheoreticalStock'!CO52</f>
        <v/>
      </c>
      <c r="CY107" s="18">
        <f>'Grid_TheoreticalStock'!CP52</f>
        <v/>
      </c>
      <c r="CZ107" s="18">
        <f>'Grid_TheoreticalStock'!CQ52</f>
        <v/>
      </c>
      <c r="DA107" s="18">
        <f>'Grid_TheoreticalStock'!CR52</f>
        <v/>
      </c>
      <c r="DB107" s="18">
        <f>'Grid_TheoreticalStock'!CS52</f>
        <v/>
      </c>
      <c r="DC107" s="18">
        <f>'Grid_TheoreticalStock'!CT52</f>
        <v/>
      </c>
      <c r="DD107" s="18">
        <f>'Grid_TheoreticalStock'!CU52</f>
        <v/>
      </c>
      <c r="DE107" s="18">
        <f>'Grid_TheoreticalStock'!CV52</f>
        <v/>
      </c>
      <c r="DF107" s="18">
        <f>'Grid_TheoreticalStock'!CW52</f>
        <v/>
      </c>
      <c r="DG107" s="18">
        <f>'Grid_TheoreticalStock'!CX52</f>
        <v/>
      </c>
      <c r="DH107" s="18">
        <f>'Grid_TheoreticalStock'!CY52</f>
        <v/>
      </c>
      <c r="DI107" s="18">
        <f>'Grid_TheoreticalStock'!CZ52</f>
        <v/>
      </c>
      <c r="DJ107" s="18">
        <f>'Grid_TheoreticalStock'!DA52</f>
        <v/>
      </c>
    </row>
    <row r="108">
      <c r="A108" s="19" t="inlineStr">
        <is>
          <t>Original Towel</t>
        </is>
      </c>
      <c r="B108" s="19">
        <f>IFERROR(INDEX(M_RawMaterials[Description],MATCH($A108,M_RawMaterials[Part Name],0)),"")</f>
        <v/>
      </c>
      <c r="C108" s="19">
        <f>IFERROR(INDEX(M_RawMaterials[Category],MATCH($A108,M_RawMaterials[Part Name],0)),"")</f>
        <v/>
      </c>
      <c r="D108" s="19">
        <f>IFERROR(INDEX(M_RawMaterials[基準在庫下限_要入力],MATCH($A108,M_RawMaterials[Part Name],0)),0)</f>
        <v/>
      </c>
      <c r="E108" s="19">
        <f>IFERROR(INDEX(M_RawMaterials[基準在庫上限_要入力],MATCH($A108,M_RawMaterials[Part Name],0)),0)</f>
        <v/>
      </c>
      <c r="F108" s="19">
        <f>IFERROR(LOOKUP(2,1/('T_SelfStock'!$B$56:$DA$56&lt;&gt;""),'T_SelfStock'!$B$56:$DA$56),"")</f>
        <v/>
      </c>
      <c r="G108" s="19">
        <f>IFERROR(LOOKUP(2,1/('T_TTAFStock'!$B$56:$DA$56&lt;&gt;""),'T_TTAFStock'!$B$56:$DA$56),"")</f>
        <v/>
      </c>
      <c r="H108" s="19">
        <f>IFERROR(LOOKUP(2,1/('T_SelfStock'!$B$56:$DA$56&lt;&gt;""),'T_SelfStock'!$B$5:$DA$5),"")</f>
        <v/>
      </c>
      <c r="I108" s="20" t="inlineStr">
        <is>
          <t>実在庫</t>
        </is>
      </c>
      <c r="J108" s="19">
        <f>'Grid_Stock'!DA52-'Grid_TheoreticalStock'!DA52</f>
        <v/>
      </c>
      <c r="K108" s="19">
        <f>'Grid_Stock'!B52</f>
        <v/>
      </c>
      <c r="L108" s="19">
        <f>'Grid_Stock'!C52</f>
        <v/>
      </c>
      <c r="M108" s="19">
        <f>'Grid_Stock'!D52</f>
        <v/>
      </c>
      <c r="N108" s="19">
        <f>'Grid_Stock'!E52</f>
        <v/>
      </c>
      <c r="O108" s="19">
        <f>'Grid_Stock'!F52</f>
        <v/>
      </c>
      <c r="P108" s="19">
        <f>'Grid_Stock'!G52</f>
        <v/>
      </c>
      <c r="Q108" s="19">
        <f>'Grid_Stock'!H52</f>
        <v/>
      </c>
      <c r="R108" s="19">
        <f>'Grid_Stock'!I52</f>
        <v/>
      </c>
      <c r="S108" s="19">
        <f>'Grid_Stock'!J52</f>
        <v/>
      </c>
      <c r="T108" s="19">
        <f>'Grid_Stock'!K52</f>
        <v/>
      </c>
      <c r="U108" s="19">
        <f>'Grid_Stock'!L52</f>
        <v/>
      </c>
      <c r="V108" s="19">
        <f>'Grid_Stock'!M52</f>
        <v/>
      </c>
      <c r="W108" s="19">
        <f>'Grid_Stock'!N52</f>
        <v/>
      </c>
      <c r="X108" s="19">
        <f>'Grid_Stock'!O52</f>
        <v/>
      </c>
      <c r="Y108" s="19">
        <f>'Grid_Stock'!P52</f>
        <v/>
      </c>
      <c r="Z108" s="19">
        <f>'Grid_Stock'!Q52</f>
        <v/>
      </c>
      <c r="AA108" s="19">
        <f>'Grid_Stock'!R52</f>
        <v/>
      </c>
      <c r="AB108" s="19">
        <f>'Grid_Stock'!S52</f>
        <v/>
      </c>
      <c r="AC108" s="19">
        <f>'Grid_Stock'!T52</f>
        <v/>
      </c>
      <c r="AD108" s="19">
        <f>'Grid_Stock'!U52</f>
        <v/>
      </c>
      <c r="AE108" s="19">
        <f>'Grid_Stock'!V52</f>
        <v/>
      </c>
      <c r="AF108" s="19">
        <f>'Grid_Stock'!W52</f>
        <v/>
      </c>
      <c r="AG108" s="19">
        <f>'Grid_Stock'!X52</f>
        <v/>
      </c>
      <c r="AH108" s="19">
        <f>'Grid_Stock'!Y52</f>
        <v/>
      </c>
      <c r="AI108" s="19">
        <f>'Grid_Stock'!Z52</f>
        <v/>
      </c>
      <c r="AJ108" s="19">
        <f>'Grid_Stock'!AA52</f>
        <v/>
      </c>
      <c r="AK108" s="19">
        <f>'Grid_Stock'!AB52</f>
        <v/>
      </c>
      <c r="AL108" s="19">
        <f>'Grid_Stock'!AC52</f>
        <v/>
      </c>
      <c r="AM108" s="19">
        <f>'Grid_Stock'!AD52</f>
        <v/>
      </c>
      <c r="AN108" s="19">
        <f>'Grid_Stock'!AE52</f>
        <v/>
      </c>
      <c r="AO108" s="19">
        <f>'Grid_Stock'!AF52</f>
        <v/>
      </c>
      <c r="AP108" s="19">
        <f>'Grid_Stock'!AG52</f>
        <v/>
      </c>
      <c r="AQ108" s="19">
        <f>'Grid_Stock'!AH52</f>
        <v/>
      </c>
      <c r="AR108" s="19">
        <f>'Grid_Stock'!AI52</f>
        <v/>
      </c>
      <c r="AS108" s="19">
        <f>'Grid_Stock'!AJ52</f>
        <v/>
      </c>
      <c r="AT108" s="19">
        <f>'Grid_Stock'!AK52</f>
        <v/>
      </c>
      <c r="AU108" s="19">
        <f>'Grid_Stock'!AL52</f>
        <v/>
      </c>
      <c r="AV108" s="19">
        <f>'Grid_Stock'!AM52</f>
        <v/>
      </c>
      <c r="AW108" s="19">
        <f>'Grid_Stock'!AN52</f>
        <v/>
      </c>
      <c r="AX108" s="19">
        <f>'Grid_Stock'!AO52</f>
        <v/>
      </c>
      <c r="AY108" s="19">
        <f>'Grid_Stock'!AP52</f>
        <v/>
      </c>
      <c r="AZ108" s="19">
        <f>'Grid_Stock'!AQ52</f>
        <v/>
      </c>
      <c r="BA108" s="19">
        <f>'Grid_Stock'!AR52</f>
        <v/>
      </c>
      <c r="BB108" s="19">
        <f>'Grid_Stock'!AS52</f>
        <v/>
      </c>
      <c r="BC108" s="19">
        <f>'Grid_Stock'!AT52</f>
        <v/>
      </c>
      <c r="BD108" s="19">
        <f>'Grid_Stock'!AU52</f>
        <v/>
      </c>
      <c r="BE108" s="19">
        <f>'Grid_Stock'!AV52</f>
        <v/>
      </c>
      <c r="BF108" s="19">
        <f>'Grid_Stock'!AW52</f>
        <v/>
      </c>
      <c r="BG108" s="19">
        <f>'Grid_Stock'!AX52</f>
        <v/>
      </c>
      <c r="BH108" s="19">
        <f>'Grid_Stock'!AY52</f>
        <v/>
      </c>
      <c r="BI108" s="19">
        <f>'Grid_Stock'!AZ52</f>
        <v/>
      </c>
      <c r="BJ108" s="19">
        <f>'Grid_Stock'!BA52</f>
        <v/>
      </c>
      <c r="BK108" s="19">
        <f>'Grid_Stock'!BB52</f>
        <v/>
      </c>
      <c r="BL108" s="19">
        <f>'Grid_Stock'!BC52</f>
        <v/>
      </c>
      <c r="BM108" s="19">
        <f>'Grid_Stock'!BD52</f>
        <v/>
      </c>
      <c r="BN108" s="19">
        <f>'Grid_Stock'!BE52</f>
        <v/>
      </c>
      <c r="BO108" s="19">
        <f>'Grid_Stock'!BF52</f>
        <v/>
      </c>
      <c r="BP108" s="19">
        <f>'Grid_Stock'!BG52</f>
        <v/>
      </c>
      <c r="BQ108" s="19">
        <f>'Grid_Stock'!BH52</f>
        <v/>
      </c>
      <c r="BR108" s="19">
        <f>'Grid_Stock'!BI52</f>
        <v/>
      </c>
      <c r="BS108" s="19">
        <f>'Grid_Stock'!BJ52</f>
        <v/>
      </c>
      <c r="BT108" s="19">
        <f>'Grid_Stock'!BK52</f>
        <v/>
      </c>
      <c r="BU108" s="19">
        <f>'Grid_Stock'!BL52</f>
        <v/>
      </c>
      <c r="BV108" s="19">
        <f>'Grid_Stock'!BM52</f>
        <v/>
      </c>
      <c r="BW108" s="19">
        <f>'Grid_Stock'!BN52</f>
        <v/>
      </c>
      <c r="BX108" s="19">
        <f>'Grid_Stock'!BO52</f>
        <v/>
      </c>
      <c r="BY108" s="19">
        <f>'Grid_Stock'!BP52</f>
        <v/>
      </c>
      <c r="BZ108" s="19">
        <f>'Grid_Stock'!BQ52</f>
        <v/>
      </c>
      <c r="CA108" s="19">
        <f>'Grid_Stock'!BR52</f>
        <v/>
      </c>
      <c r="CB108" s="19">
        <f>'Grid_Stock'!BS52</f>
        <v/>
      </c>
      <c r="CC108" s="19">
        <f>'Grid_Stock'!BT52</f>
        <v/>
      </c>
      <c r="CD108" s="19">
        <f>'Grid_Stock'!BU52</f>
        <v/>
      </c>
      <c r="CE108" s="19">
        <f>'Grid_Stock'!BV52</f>
        <v/>
      </c>
      <c r="CF108" s="19">
        <f>'Grid_Stock'!BW52</f>
        <v/>
      </c>
      <c r="CG108" s="19">
        <f>'Grid_Stock'!BX52</f>
        <v/>
      </c>
      <c r="CH108" s="19">
        <f>'Grid_Stock'!BY52</f>
        <v/>
      </c>
      <c r="CI108" s="19">
        <f>'Grid_Stock'!BZ52</f>
        <v/>
      </c>
      <c r="CJ108" s="19">
        <f>'Grid_Stock'!CA52</f>
        <v/>
      </c>
      <c r="CK108" s="19">
        <f>'Grid_Stock'!CB52</f>
        <v/>
      </c>
      <c r="CL108" s="19">
        <f>'Grid_Stock'!CC52</f>
        <v/>
      </c>
      <c r="CM108" s="19">
        <f>'Grid_Stock'!CD52</f>
        <v/>
      </c>
      <c r="CN108" s="19">
        <f>'Grid_Stock'!CE52</f>
        <v/>
      </c>
      <c r="CO108" s="19">
        <f>'Grid_Stock'!CF52</f>
        <v/>
      </c>
      <c r="CP108" s="19">
        <f>'Grid_Stock'!CG52</f>
        <v/>
      </c>
      <c r="CQ108" s="19">
        <f>'Grid_Stock'!CH52</f>
        <v/>
      </c>
      <c r="CR108" s="19">
        <f>'Grid_Stock'!CI52</f>
        <v/>
      </c>
      <c r="CS108" s="19">
        <f>'Grid_Stock'!CJ52</f>
        <v/>
      </c>
      <c r="CT108" s="19">
        <f>'Grid_Stock'!CK52</f>
        <v/>
      </c>
      <c r="CU108" s="19">
        <f>'Grid_Stock'!CL52</f>
        <v/>
      </c>
      <c r="CV108" s="19">
        <f>'Grid_Stock'!CM52</f>
        <v/>
      </c>
      <c r="CW108" s="19">
        <f>'Grid_Stock'!CN52</f>
        <v/>
      </c>
      <c r="CX108" s="19">
        <f>'Grid_Stock'!CO52</f>
        <v/>
      </c>
      <c r="CY108" s="19">
        <f>'Grid_Stock'!CP52</f>
        <v/>
      </c>
      <c r="CZ108" s="19">
        <f>'Grid_Stock'!CQ52</f>
        <v/>
      </c>
      <c r="DA108" s="19">
        <f>'Grid_Stock'!CR52</f>
        <v/>
      </c>
      <c r="DB108" s="19">
        <f>'Grid_Stock'!CS52</f>
        <v/>
      </c>
      <c r="DC108" s="19">
        <f>'Grid_Stock'!CT52</f>
        <v/>
      </c>
      <c r="DD108" s="19">
        <f>'Grid_Stock'!CU52</f>
        <v/>
      </c>
      <c r="DE108" s="19">
        <f>'Grid_Stock'!CV52</f>
        <v/>
      </c>
      <c r="DF108" s="19">
        <f>'Grid_Stock'!CW52</f>
        <v/>
      </c>
      <c r="DG108" s="19">
        <f>'Grid_Stock'!CX52</f>
        <v/>
      </c>
      <c r="DH108" s="19">
        <f>'Grid_Stock'!CY52</f>
        <v/>
      </c>
      <c r="DI108" s="19">
        <f>'Grid_Stock'!CZ52</f>
        <v/>
      </c>
      <c r="DJ108" s="19">
        <f>'Grid_Stock'!DA52</f>
        <v/>
      </c>
    </row>
    <row r="109">
      <c r="A109" s="17" t="inlineStr">
        <is>
          <t>Ester Film</t>
        </is>
      </c>
      <c r="B109" s="17">
        <f>IFERROR(INDEX(M_RawMaterials[Description],MATCH($A109,M_RawMaterials[Part Name],0)),"")</f>
        <v/>
      </c>
      <c r="C109" s="17">
        <f>IFERROR(INDEX(M_RawMaterials[Category],MATCH($A109,M_RawMaterials[Part Name],0)),"")</f>
        <v/>
      </c>
      <c r="D109" s="17">
        <f>IFERROR(INDEX(M_RawMaterials[基準在庫下限_要入力],MATCH($A109,M_RawMaterials[Part Name],0)),0)</f>
        <v/>
      </c>
      <c r="E109" s="17">
        <f>IFERROR(INDEX(M_RawMaterials[基準在庫上限_要入力],MATCH($A109,M_RawMaterials[Part Name],0)),0)</f>
        <v/>
      </c>
      <c r="F109" s="17">
        <f>IFERROR(LOOKUP(2,1/('T_SelfStock'!$B$57:$DA$57&lt;&gt;""),'T_SelfStock'!$B$57:$DA$57),"")</f>
        <v/>
      </c>
      <c r="G109" s="17">
        <f>IFERROR(LOOKUP(2,1/('T_TTAFStock'!$B$57:$DA$57&lt;&gt;""),'T_TTAFStock'!$B$57:$DA$57),"")</f>
        <v/>
      </c>
      <c r="H109" s="17">
        <f>IFERROR(LOOKUP(2,1/('T_SelfStock'!$B$57:$DA$57&lt;&gt;""),'T_SelfStock'!$B$5:$DA$5),"")</f>
        <v/>
      </c>
      <c r="I109" s="18" t="inlineStr">
        <is>
          <t>理論在庫</t>
        </is>
      </c>
      <c r="J109" s="17">
        <f>'Grid_Stock'!DA53-'Grid_TheoreticalStock'!DA53</f>
        <v/>
      </c>
      <c r="K109" s="18">
        <f>'Grid_TheoreticalStock'!B53</f>
        <v/>
      </c>
      <c r="L109" s="18">
        <f>'Grid_TheoreticalStock'!C53</f>
        <v/>
      </c>
      <c r="M109" s="18">
        <f>'Grid_TheoreticalStock'!D53</f>
        <v/>
      </c>
      <c r="N109" s="18">
        <f>'Grid_TheoreticalStock'!E53</f>
        <v/>
      </c>
      <c r="O109" s="18">
        <f>'Grid_TheoreticalStock'!F53</f>
        <v/>
      </c>
      <c r="P109" s="18">
        <f>'Grid_TheoreticalStock'!G53</f>
        <v/>
      </c>
      <c r="Q109" s="18">
        <f>'Grid_TheoreticalStock'!H53</f>
        <v/>
      </c>
      <c r="R109" s="18">
        <f>'Grid_TheoreticalStock'!I53</f>
        <v/>
      </c>
      <c r="S109" s="18">
        <f>'Grid_TheoreticalStock'!J53</f>
        <v/>
      </c>
      <c r="T109" s="18">
        <f>'Grid_TheoreticalStock'!K53</f>
        <v/>
      </c>
      <c r="U109" s="18">
        <f>'Grid_TheoreticalStock'!L53</f>
        <v/>
      </c>
      <c r="V109" s="18">
        <f>'Grid_TheoreticalStock'!M53</f>
        <v/>
      </c>
      <c r="W109" s="18">
        <f>'Grid_TheoreticalStock'!N53</f>
        <v/>
      </c>
      <c r="X109" s="18">
        <f>'Grid_TheoreticalStock'!O53</f>
        <v/>
      </c>
      <c r="Y109" s="18">
        <f>'Grid_TheoreticalStock'!P53</f>
        <v/>
      </c>
      <c r="Z109" s="18">
        <f>'Grid_TheoreticalStock'!Q53</f>
        <v/>
      </c>
      <c r="AA109" s="18">
        <f>'Grid_TheoreticalStock'!R53</f>
        <v/>
      </c>
      <c r="AB109" s="18">
        <f>'Grid_TheoreticalStock'!S53</f>
        <v/>
      </c>
      <c r="AC109" s="18">
        <f>'Grid_TheoreticalStock'!T53</f>
        <v/>
      </c>
      <c r="AD109" s="18">
        <f>'Grid_TheoreticalStock'!U53</f>
        <v/>
      </c>
      <c r="AE109" s="18">
        <f>'Grid_TheoreticalStock'!V53</f>
        <v/>
      </c>
      <c r="AF109" s="18">
        <f>'Grid_TheoreticalStock'!W53</f>
        <v/>
      </c>
      <c r="AG109" s="18">
        <f>'Grid_TheoreticalStock'!X53</f>
        <v/>
      </c>
      <c r="AH109" s="18">
        <f>'Grid_TheoreticalStock'!Y53</f>
        <v/>
      </c>
      <c r="AI109" s="18">
        <f>'Grid_TheoreticalStock'!Z53</f>
        <v/>
      </c>
      <c r="AJ109" s="18">
        <f>'Grid_TheoreticalStock'!AA53</f>
        <v/>
      </c>
      <c r="AK109" s="18">
        <f>'Grid_TheoreticalStock'!AB53</f>
        <v/>
      </c>
      <c r="AL109" s="18">
        <f>'Grid_TheoreticalStock'!AC53</f>
        <v/>
      </c>
      <c r="AM109" s="18">
        <f>'Grid_TheoreticalStock'!AD53</f>
        <v/>
      </c>
      <c r="AN109" s="18">
        <f>'Grid_TheoreticalStock'!AE53</f>
        <v/>
      </c>
      <c r="AO109" s="18">
        <f>'Grid_TheoreticalStock'!AF53</f>
        <v/>
      </c>
      <c r="AP109" s="18">
        <f>'Grid_TheoreticalStock'!AG53</f>
        <v/>
      </c>
      <c r="AQ109" s="18">
        <f>'Grid_TheoreticalStock'!AH53</f>
        <v/>
      </c>
      <c r="AR109" s="18">
        <f>'Grid_TheoreticalStock'!AI53</f>
        <v/>
      </c>
      <c r="AS109" s="18">
        <f>'Grid_TheoreticalStock'!AJ53</f>
        <v/>
      </c>
      <c r="AT109" s="18">
        <f>'Grid_TheoreticalStock'!AK53</f>
        <v/>
      </c>
      <c r="AU109" s="18">
        <f>'Grid_TheoreticalStock'!AL53</f>
        <v/>
      </c>
      <c r="AV109" s="18">
        <f>'Grid_TheoreticalStock'!AM53</f>
        <v/>
      </c>
      <c r="AW109" s="18">
        <f>'Grid_TheoreticalStock'!AN53</f>
        <v/>
      </c>
      <c r="AX109" s="18">
        <f>'Grid_TheoreticalStock'!AO53</f>
        <v/>
      </c>
      <c r="AY109" s="18">
        <f>'Grid_TheoreticalStock'!AP53</f>
        <v/>
      </c>
      <c r="AZ109" s="18">
        <f>'Grid_TheoreticalStock'!AQ53</f>
        <v/>
      </c>
      <c r="BA109" s="18">
        <f>'Grid_TheoreticalStock'!AR53</f>
        <v/>
      </c>
      <c r="BB109" s="18">
        <f>'Grid_TheoreticalStock'!AS53</f>
        <v/>
      </c>
      <c r="BC109" s="18">
        <f>'Grid_TheoreticalStock'!AT53</f>
        <v/>
      </c>
      <c r="BD109" s="18">
        <f>'Grid_TheoreticalStock'!AU53</f>
        <v/>
      </c>
      <c r="BE109" s="18">
        <f>'Grid_TheoreticalStock'!AV53</f>
        <v/>
      </c>
      <c r="BF109" s="18">
        <f>'Grid_TheoreticalStock'!AW53</f>
        <v/>
      </c>
      <c r="BG109" s="18">
        <f>'Grid_TheoreticalStock'!AX53</f>
        <v/>
      </c>
      <c r="BH109" s="18">
        <f>'Grid_TheoreticalStock'!AY53</f>
        <v/>
      </c>
      <c r="BI109" s="18">
        <f>'Grid_TheoreticalStock'!AZ53</f>
        <v/>
      </c>
      <c r="BJ109" s="18">
        <f>'Grid_TheoreticalStock'!BA53</f>
        <v/>
      </c>
      <c r="BK109" s="18">
        <f>'Grid_TheoreticalStock'!BB53</f>
        <v/>
      </c>
      <c r="BL109" s="18">
        <f>'Grid_TheoreticalStock'!BC53</f>
        <v/>
      </c>
      <c r="BM109" s="18">
        <f>'Grid_TheoreticalStock'!BD53</f>
        <v/>
      </c>
      <c r="BN109" s="18">
        <f>'Grid_TheoreticalStock'!BE53</f>
        <v/>
      </c>
      <c r="BO109" s="18">
        <f>'Grid_TheoreticalStock'!BF53</f>
        <v/>
      </c>
      <c r="BP109" s="18">
        <f>'Grid_TheoreticalStock'!BG53</f>
        <v/>
      </c>
      <c r="BQ109" s="18">
        <f>'Grid_TheoreticalStock'!BH53</f>
        <v/>
      </c>
      <c r="BR109" s="18">
        <f>'Grid_TheoreticalStock'!BI53</f>
        <v/>
      </c>
      <c r="BS109" s="18">
        <f>'Grid_TheoreticalStock'!BJ53</f>
        <v/>
      </c>
      <c r="BT109" s="18">
        <f>'Grid_TheoreticalStock'!BK53</f>
        <v/>
      </c>
      <c r="BU109" s="18">
        <f>'Grid_TheoreticalStock'!BL53</f>
        <v/>
      </c>
      <c r="BV109" s="18">
        <f>'Grid_TheoreticalStock'!BM53</f>
        <v/>
      </c>
      <c r="BW109" s="18">
        <f>'Grid_TheoreticalStock'!BN53</f>
        <v/>
      </c>
      <c r="BX109" s="18">
        <f>'Grid_TheoreticalStock'!BO53</f>
        <v/>
      </c>
      <c r="BY109" s="18">
        <f>'Grid_TheoreticalStock'!BP53</f>
        <v/>
      </c>
      <c r="BZ109" s="18">
        <f>'Grid_TheoreticalStock'!BQ53</f>
        <v/>
      </c>
      <c r="CA109" s="18">
        <f>'Grid_TheoreticalStock'!BR53</f>
        <v/>
      </c>
      <c r="CB109" s="18">
        <f>'Grid_TheoreticalStock'!BS53</f>
        <v/>
      </c>
      <c r="CC109" s="18">
        <f>'Grid_TheoreticalStock'!BT53</f>
        <v/>
      </c>
      <c r="CD109" s="18">
        <f>'Grid_TheoreticalStock'!BU53</f>
        <v/>
      </c>
      <c r="CE109" s="18">
        <f>'Grid_TheoreticalStock'!BV53</f>
        <v/>
      </c>
      <c r="CF109" s="18">
        <f>'Grid_TheoreticalStock'!BW53</f>
        <v/>
      </c>
      <c r="CG109" s="18">
        <f>'Grid_TheoreticalStock'!BX53</f>
        <v/>
      </c>
      <c r="CH109" s="18">
        <f>'Grid_TheoreticalStock'!BY53</f>
        <v/>
      </c>
      <c r="CI109" s="18">
        <f>'Grid_TheoreticalStock'!BZ53</f>
        <v/>
      </c>
      <c r="CJ109" s="18">
        <f>'Grid_TheoreticalStock'!CA53</f>
        <v/>
      </c>
      <c r="CK109" s="18">
        <f>'Grid_TheoreticalStock'!CB53</f>
        <v/>
      </c>
      <c r="CL109" s="18">
        <f>'Grid_TheoreticalStock'!CC53</f>
        <v/>
      </c>
      <c r="CM109" s="18">
        <f>'Grid_TheoreticalStock'!CD53</f>
        <v/>
      </c>
      <c r="CN109" s="18">
        <f>'Grid_TheoreticalStock'!CE53</f>
        <v/>
      </c>
      <c r="CO109" s="18">
        <f>'Grid_TheoreticalStock'!CF53</f>
        <v/>
      </c>
      <c r="CP109" s="18">
        <f>'Grid_TheoreticalStock'!CG53</f>
        <v/>
      </c>
      <c r="CQ109" s="18">
        <f>'Grid_TheoreticalStock'!CH53</f>
        <v/>
      </c>
      <c r="CR109" s="18">
        <f>'Grid_TheoreticalStock'!CI53</f>
        <v/>
      </c>
      <c r="CS109" s="18">
        <f>'Grid_TheoreticalStock'!CJ53</f>
        <v/>
      </c>
      <c r="CT109" s="18">
        <f>'Grid_TheoreticalStock'!CK53</f>
        <v/>
      </c>
      <c r="CU109" s="18">
        <f>'Grid_TheoreticalStock'!CL53</f>
        <v/>
      </c>
      <c r="CV109" s="18">
        <f>'Grid_TheoreticalStock'!CM53</f>
        <v/>
      </c>
      <c r="CW109" s="18">
        <f>'Grid_TheoreticalStock'!CN53</f>
        <v/>
      </c>
      <c r="CX109" s="18">
        <f>'Grid_TheoreticalStock'!CO53</f>
        <v/>
      </c>
      <c r="CY109" s="18">
        <f>'Grid_TheoreticalStock'!CP53</f>
        <v/>
      </c>
      <c r="CZ109" s="18">
        <f>'Grid_TheoreticalStock'!CQ53</f>
        <v/>
      </c>
      <c r="DA109" s="18">
        <f>'Grid_TheoreticalStock'!CR53</f>
        <v/>
      </c>
      <c r="DB109" s="18">
        <f>'Grid_TheoreticalStock'!CS53</f>
        <v/>
      </c>
      <c r="DC109" s="18">
        <f>'Grid_TheoreticalStock'!CT53</f>
        <v/>
      </c>
      <c r="DD109" s="18">
        <f>'Grid_TheoreticalStock'!CU53</f>
        <v/>
      </c>
      <c r="DE109" s="18">
        <f>'Grid_TheoreticalStock'!CV53</f>
        <v/>
      </c>
      <c r="DF109" s="18">
        <f>'Grid_TheoreticalStock'!CW53</f>
        <v/>
      </c>
      <c r="DG109" s="18">
        <f>'Grid_TheoreticalStock'!CX53</f>
        <v/>
      </c>
      <c r="DH109" s="18">
        <f>'Grid_TheoreticalStock'!CY53</f>
        <v/>
      </c>
      <c r="DI109" s="18">
        <f>'Grid_TheoreticalStock'!CZ53</f>
        <v/>
      </c>
      <c r="DJ109" s="18">
        <f>'Grid_TheoreticalStock'!DA53</f>
        <v/>
      </c>
    </row>
    <row r="110">
      <c r="A110" s="19" t="inlineStr">
        <is>
          <t>Ester Film</t>
        </is>
      </c>
      <c r="B110" s="19">
        <f>IFERROR(INDEX(M_RawMaterials[Description],MATCH($A110,M_RawMaterials[Part Name],0)),"")</f>
        <v/>
      </c>
      <c r="C110" s="19">
        <f>IFERROR(INDEX(M_RawMaterials[Category],MATCH($A110,M_RawMaterials[Part Name],0)),"")</f>
        <v/>
      </c>
      <c r="D110" s="19">
        <f>IFERROR(INDEX(M_RawMaterials[基準在庫下限_要入力],MATCH($A110,M_RawMaterials[Part Name],0)),0)</f>
        <v/>
      </c>
      <c r="E110" s="19">
        <f>IFERROR(INDEX(M_RawMaterials[基準在庫上限_要入力],MATCH($A110,M_RawMaterials[Part Name],0)),0)</f>
        <v/>
      </c>
      <c r="F110" s="19">
        <f>IFERROR(LOOKUP(2,1/('T_SelfStock'!$B$57:$DA$57&lt;&gt;""),'T_SelfStock'!$B$57:$DA$57),"")</f>
        <v/>
      </c>
      <c r="G110" s="19">
        <f>IFERROR(LOOKUP(2,1/('T_TTAFStock'!$B$57:$DA$57&lt;&gt;""),'T_TTAFStock'!$B$57:$DA$57),"")</f>
        <v/>
      </c>
      <c r="H110" s="19">
        <f>IFERROR(LOOKUP(2,1/('T_SelfStock'!$B$57:$DA$57&lt;&gt;""),'T_SelfStock'!$B$5:$DA$5),"")</f>
        <v/>
      </c>
      <c r="I110" s="20" t="inlineStr">
        <is>
          <t>実在庫</t>
        </is>
      </c>
      <c r="J110" s="19">
        <f>'Grid_Stock'!DA53-'Grid_TheoreticalStock'!DA53</f>
        <v/>
      </c>
      <c r="K110" s="19">
        <f>'Grid_Stock'!B53</f>
        <v/>
      </c>
      <c r="L110" s="19">
        <f>'Grid_Stock'!C53</f>
        <v/>
      </c>
      <c r="M110" s="19">
        <f>'Grid_Stock'!D53</f>
        <v/>
      </c>
      <c r="N110" s="19">
        <f>'Grid_Stock'!E53</f>
        <v/>
      </c>
      <c r="O110" s="19">
        <f>'Grid_Stock'!F53</f>
        <v/>
      </c>
      <c r="P110" s="19">
        <f>'Grid_Stock'!G53</f>
        <v/>
      </c>
      <c r="Q110" s="19">
        <f>'Grid_Stock'!H53</f>
        <v/>
      </c>
      <c r="R110" s="19">
        <f>'Grid_Stock'!I53</f>
        <v/>
      </c>
      <c r="S110" s="19">
        <f>'Grid_Stock'!J53</f>
        <v/>
      </c>
      <c r="T110" s="19">
        <f>'Grid_Stock'!K53</f>
        <v/>
      </c>
      <c r="U110" s="19">
        <f>'Grid_Stock'!L53</f>
        <v/>
      </c>
      <c r="V110" s="19">
        <f>'Grid_Stock'!M53</f>
        <v/>
      </c>
      <c r="W110" s="19">
        <f>'Grid_Stock'!N53</f>
        <v/>
      </c>
      <c r="X110" s="19">
        <f>'Grid_Stock'!O53</f>
        <v/>
      </c>
      <c r="Y110" s="19">
        <f>'Grid_Stock'!P53</f>
        <v/>
      </c>
      <c r="Z110" s="19">
        <f>'Grid_Stock'!Q53</f>
        <v/>
      </c>
      <c r="AA110" s="19">
        <f>'Grid_Stock'!R53</f>
        <v/>
      </c>
      <c r="AB110" s="19">
        <f>'Grid_Stock'!S53</f>
        <v/>
      </c>
      <c r="AC110" s="19">
        <f>'Grid_Stock'!T53</f>
        <v/>
      </c>
      <c r="AD110" s="19">
        <f>'Grid_Stock'!U53</f>
        <v/>
      </c>
      <c r="AE110" s="19">
        <f>'Grid_Stock'!V53</f>
        <v/>
      </c>
      <c r="AF110" s="19">
        <f>'Grid_Stock'!W53</f>
        <v/>
      </c>
      <c r="AG110" s="19">
        <f>'Grid_Stock'!X53</f>
        <v/>
      </c>
      <c r="AH110" s="19">
        <f>'Grid_Stock'!Y53</f>
        <v/>
      </c>
      <c r="AI110" s="19">
        <f>'Grid_Stock'!Z53</f>
        <v/>
      </c>
      <c r="AJ110" s="19">
        <f>'Grid_Stock'!AA53</f>
        <v/>
      </c>
      <c r="AK110" s="19">
        <f>'Grid_Stock'!AB53</f>
        <v/>
      </c>
      <c r="AL110" s="19">
        <f>'Grid_Stock'!AC53</f>
        <v/>
      </c>
      <c r="AM110" s="19">
        <f>'Grid_Stock'!AD53</f>
        <v/>
      </c>
      <c r="AN110" s="19">
        <f>'Grid_Stock'!AE53</f>
        <v/>
      </c>
      <c r="AO110" s="19">
        <f>'Grid_Stock'!AF53</f>
        <v/>
      </c>
      <c r="AP110" s="19">
        <f>'Grid_Stock'!AG53</f>
        <v/>
      </c>
      <c r="AQ110" s="19">
        <f>'Grid_Stock'!AH53</f>
        <v/>
      </c>
      <c r="AR110" s="19">
        <f>'Grid_Stock'!AI53</f>
        <v/>
      </c>
      <c r="AS110" s="19">
        <f>'Grid_Stock'!AJ53</f>
        <v/>
      </c>
      <c r="AT110" s="19">
        <f>'Grid_Stock'!AK53</f>
        <v/>
      </c>
      <c r="AU110" s="19">
        <f>'Grid_Stock'!AL53</f>
        <v/>
      </c>
      <c r="AV110" s="19">
        <f>'Grid_Stock'!AM53</f>
        <v/>
      </c>
      <c r="AW110" s="19">
        <f>'Grid_Stock'!AN53</f>
        <v/>
      </c>
      <c r="AX110" s="19">
        <f>'Grid_Stock'!AO53</f>
        <v/>
      </c>
      <c r="AY110" s="19">
        <f>'Grid_Stock'!AP53</f>
        <v/>
      </c>
      <c r="AZ110" s="19">
        <f>'Grid_Stock'!AQ53</f>
        <v/>
      </c>
      <c r="BA110" s="19">
        <f>'Grid_Stock'!AR53</f>
        <v/>
      </c>
      <c r="BB110" s="19">
        <f>'Grid_Stock'!AS53</f>
        <v/>
      </c>
      <c r="BC110" s="19">
        <f>'Grid_Stock'!AT53</f>
        <v/>
      </c>
      <c r="BD110" s="19">
        <f>'Grid_Stock'!AU53</f>
        <v/>
      </c>
      <c r="BE110" s="19">
        <f>'Grid_Stock'!AV53</f>
        <v/>
      </c>
      <c r="BF110" s="19">
        <f>'Grid_Stock'!AW53</f>
        <v/>
      </c>
      <c r="BG110" s="19">
        <f>'Grid_Stock'!AX53</f>
        <v/>
      </c>
      <c r="BH110" s="19">
        <f>'Grid_Stock'!AY53</f>
        <v/>
      </c>
      <c r="BI110" s="19">
        <f>'Grid_Stock'!AZ53</f>
        <v/>
      </c>
      <c r="BJ110" s="19">
        <f>'Grid_Stock'!BA53</f>
        <v/>
      </c>
      <c r="BK110" s="19">
        <f>'Grid_Stock'!BB53</f>
        <v/>
      </c>
      <c r="BL110" s="19">
        <f>'Grid_Stock'!BC53</f>
        <v/>
      </c>
      <c r="BM110" s="19">
        <f>'Grid_Stock'!BD53</f>
        <v/>
      </c>
      <c r="BN110" s="19">
        <f>'Grid_Stock'!BE53</f>
        <v/>
      </c>
      <c r="BO110" s="19">
        <f>'Grid_Stock'!BF53</f>
        <v/>
      </c>
      <c r="BP110" s="19">
        <f>'Grid_Stock'!BG53</f>
        <v/>
      </c>
      <c r="BQ110" s="19">
        <f>'Grid_Stock'!BH53</f>
        <v/>
      </c>
      <c r="BR110" s="19">
        <f>'Grid_Stock'!BI53</f>
        <v/>
      </c>
      <c r="BS110" s="19">
        <f>'Grid_Stock'!BJ53</f>
        <v/>
      </c>
      <c r="BT110" s="19">
        <f>'Grid_Stock'!BK53</f>
        <v/>
      </c>
      <c r="BU110" s="19">
        <f>'Grid_Stock'!BL53</f>
        <v/>
      </c>
      <c r="BV110" s="19">
        <f>'Grid_Stock'!BM53</f>
        <v/>
      </c>
      <c r="BW110" s="19">
        <f>'Grid_Stock'!BN53</f>
        <v/>
      </c>
      <c r="BX110" s="19">
        <f>'Grid_Stock'!BO53</f>
        <v/>
      </c>
      <c r="BY110" s="19">
        <f>'Grid_Stock'!BP53</f>
        <v/>
      </c>
      <c r="BZ110" s="19">
        <f>'Grid_Stock'!BQ53</f>
        <v/>
      </c>
      <c r="CA110" s="19">
        <f>'Grid_Stock'!BR53</f>
        <v/>
      </c>
      <c r="CB110" s="19">
        <f>'Grid_Stock'!BS53</f>
        <v/>
      </c>
      <c r="CC110" s="19">
        <f>'Grid_Stock'!BT53</f>
        <v/>
      </c>
      <c r="CD110" s="19">
        <f>'Grid_Stock'!BU53</f>
        <v/>
      </c>
      <c r="CE110" s="19">
        <f>'Grid_Stock'!BV53</f>
        <v/>
      </c>
      <c r="CF110" s="19">
        <f>'Grid_Stock'!BW53</f>
        <v/>
      </c>
      <c r="CG110" s="19">
        <f>'Grid_Stock'!BX53</f>
        <v/>
      </c>
      <c r="CH110" s="19">
        <f>'Grid_Stock'!BY53</f>
        <v/>
      </c>
      <c r="CI110" s="19">
        <f>'Grid_Stock'!BZ53</f>
        <v/>
      </c>
      <c r="CJ110" s="19">
        <f>'Grid_Stock'!CA53</f>
        <v/>
      </c>
      <c r="CK110" s="19">
        <f>'Grid_Stock'!CB53</f>
        <v/>
      </c>
      <c r="CL110" s="19">
        <f>'Grid_Stock'!CC53</f>
        <v/>
      </c>
      <c r="CM110" s="19">
        <f>'Grid_Stock'!CD53</f>
        <v/>
      </c>
      <c r="CN110" s="19">
        <f>'Grid_Stock'!CE53</f>
        <v/>
      </c>
      <c r="CO110" s="19">
        <f>'Grid_Stock'!CF53</f>
        <v/>
      </c>
      <c r="CP110" s="19">
        <f>'Grid_Stock'!CG53</f>
        <v/>
      </c>
      <c r="CQ110" s="19">
        <f>'Grid_Stock'!CH53</f>
        <v/>
      </c>
      <c r="CR110" s="19">
        <f>'Grid_Stock'!CI53</f>
        <v/>
      </c>
      <c r="CS110" s="19">
        <f>'Grid_Stock'!CJ53</f>
        <v/>
      </c>
      <c r="CT110" s="19">
        <f>'Grid_Stock'!CK53</f>
        <v/>
      </c>
      <c r="CU110" s="19">
        <f>'Grid_Stock'!CL53</f>
        <v/>
      </c>
      <c r="CV110" s="19">
        <f>'Grid_Stock'!CM53</f>
        <v/>
      </c>
      <c r="CW110" s="19">
        <f>'Grid_Stock'!CN53</f>
        <v/>
      </c>
      <c r="CX110" s="19">
        <f>'Grid_Stock'!CO53</f>
        <v/>
      </c>
      <c r="CY110" s="19">
        <f>'Grid_Stock'!CP53</f>
        <v/>
      </c>
      <c r="CZ110" s="19">
        <f>'Grid_Stock'!CQ53</f>
        <v/>
      </c>
      <c r="DA110" s="19">
        <f>'Grid_Stock'!CR53</f>
        <v/>
      </c>
      <c r="DB110" s="19">
        <f>'Grid_Stock'!CS53</f>
        <v/>
      </c>
      <c r="DC110" s="19">
        <f>'Grid_Stock'!CT53</f>
        <v/>
      </c>
      <c r="DD110" s="19">
        <f>'Grid_Stock'!CU53</f>
        <v/>
      </c>
      <c r="DE110" s="19">
        <f>'Grid_Stock'!CV53</f>
        <v/>
      </c>
      <c r="DF110" s="19">
        <f>'Grid_Stock'!CW53</f>
        <v/>
      </c>
      <c r="DG110" s="19">
        <f>'Grid_Stock'!CX53</f>
        <v/>
      </c>
      <c r="DH110" s="19">
        <f>'Grid_Stock'!CY53</f>
        <v/>
      </c>
      <c r="DI110" s="19">
        <f>'Grid_Stock'!CZ53</f>
        <v/>
      </c>
      <c r="DJ110" s="19">
        <f>'Grid_Stock'!DA53</f>
        <v/>
      </c>
    </row>
    <row r="111">
      <c r="A111" s="17" t="inlineStr">
        <is>
          <t>PP Film</t>
        </is>
      </c>
      <c r="B111" s="17">
        <f>IFERROR(INDEX(M_RawMaterials[Description],MATCH($A111,M_RawMaterials[Part Name],0)),"")</f>
        <v/>
      </c>
      <c r="C111" s="17">
        <f>IFERROR(INDEX(M_RawMaterials[Category],MATCH($A111,M_RawMaterials[Part Name],0)),"")</f>
        <v/>
      </c>
      <c r="D111" s="17">
        <f>IFERROR(INDEX(M_RawMaterials[基準在庫下限_要入力],MATCH($A111,M_RawMaterials[Part Name],0)),0)</f>
        <v/>
      </c>
      <c r="E111" s="17">
        <f>IFERROR(INDEX(M_RawMaterials[基準在庫上限_要入力],MATCH($A111,M_RawMaterials[Part Name],0)),0)</f>
        <v/>
      </c>
      <c r="F111" s="17">
        <f>IFERROR(LOOKUP(2,1/('T_SelfStock'!$B$58:$DA$58&lt;&gt;""),'T_SelfStock'!$B$58:$DA$58),"")</f>
        <v/>
      </c>
      <c r="G111" s="17">
        <f>IFERROR(LOOKUP(2,1/('T_TTAFStock'!$B$58:$DA$58&lt;&gt;""),'T_TTAFStock'!$B$58:$DA$58),"")</f>
        <v/>
      </c>
      <c r="H111" s="17">
        <f>IFERROR(LOOKUP(2,1/('T_SelfStock'!$B$58:$DA$58&lt;&gt;""),'T_SelfStock'!$B$5:$DA$5),"")</f>
        <v/>
      </c>
      <c r="I111" s="18" t="inlineStr">
        <is>
          <t>理論在庫</t>
        </is>
      </c>
      <c r="J111" s="17">
        <f>'Grid_Stock'!DA54-'Grid_TheoreticalStock'!DA54</f>
        <v/>
      </c>
      <c r="K111" s="18">
        <f>'Grid_TheoreticalStock'!B54</f>
        <v/>
      </c>
      <c r="L111" s="18">
        <f>'Grid_TheoreticalStock'!C54</f>
        <v/>
      </c>
      <c r="M111" s="18">
        <f>'Grid_TheoreticalStock'!D54</f>
        <v/>
      </c>
      <c r="N111" s="18">
        <f>'Grid_TheoreticalStock'!E54</f>
        <v/>
      </c>
      <c r="O111" s="18">
        <f>'Grid_TheoreticalStock'!F54</f>
        <v/>
      </c>
      <c r="P111" s="18">
        <f>'Grid_TheoreticalStock'!G54</f>
        <v/>
      </c>
      <c r="Q111" s="18">
        <f>'Grid_TheoreticalStock'!H54</f>
        <v/>
      </c>
      <c r="R111" s="18">
        <f>'Grid_TheoreticalStock'!I54</f>
        <v/>
      </c>
      <c r="S111" s="18">
        <f>'Grid_TheoreticalStock'!J54</f>
        <v/>
      </c>
      <c r="T111" s="18">
        <f>'Grid_TheoreticalStock'!K54</f>
        <v/>
      </c>
      <c r="U111" s="18">
        <f>'Grid_TheoreticalStock'!L54</f>
        <v/>
      </c>
      <c r="V111" s="18">
        <f>'Grid_TheoreticalStock'!M54</f>
        <v/>
      </c>
      <c r="W111" s="18">
        <f>'Grid_TheoreticalStock'!N54</f>
        <v/>
      </c>
      <c r="X111" s="18">
        <f>'Grid_TheoreticalStock'!O54</f>
        <v/>
      </c>
      <c r="Y111" s="18">
        <f>'Grid_TheoreticalStock'!P54</f>
        <v/>
      </c>
      <c r="Z111" s="18">
        <f>'Grid_TheoreticalStock'!Q54</f>
        <v/>
      </c>
      <c r="AA111" s="18">
        <f>'Grid_TheoreticalStock'!R54</f>
        <v/>
      </c>
      <c r="AB111" s="18">
        <f>'Grid_TheoreticalStock'!S54</f>
        <v/>
      </c>
      <c r="AC111" s="18">
        <f>'Grid_TheoreticalStock'!T54</f>
        <v/>
      </c>
      <c r="AD111" s="18">
        <f>'Grid_TheoreticalStock'!U54</f>
        <v/>
      </c>
      <c r="AE111" s="18">
        <f>'Grid_TheoreticalStock'!V54</f>
        <v/>
      </c>
      <c r="AF111" s="18">
        <f>'Grid_TheoreticalStock'!W54</f>
        <v/>
      </c>
      <c r="AG111" s="18">
        <f>'Grid_TheoreticalStock'!X54</f>
        <v/>
      </c>
      <c r="AH111" s="18">
        <f>'Grid_TheoreticalStock'!Y54</f>
        <v/>
      </c>
      <c r="AI111" s="18">
        <f>'Grid_TheoreticalStock'!Z54</f>
        <v/>
      </c>
      <c r="AJ111" s="18">
        <f>'Grid_TheoreticalStock'!AA54</f>
        <v/>
      </c>
      <c r="AK111" s="18">
        <f>'Grid_TheoreticalStock'!AB54</f>
        <v/>
      </c>
      <c r="AL111" s="18">
        <f>'Grid_TheoreticalStock'!AC54</f>
        <v/>
      </c>
      <c r="AM111" s="18">
        <f>'Grid_TheoreticalStock'!AD54</f>
        <v/>
      </c>
      <c r="AN111" s="18">
        <f>'Grid_TheoreticalStock'!AE54</f>
        <v/>
      </c>
      <c r="AO111" s="18">
        <f>'Grid_TheoreticalStock'!AF54</f>
        <v/>
      </c>
      <c r="AP111" s="18">
        <f>'Grid_TheoreticalStock'!AG54</f>
        <v/>
      </c>
      <c r="AQ111" s="18">
        <f>'Grid_TheoreticalStock'!AH54</f>
        <v/>
      </c>
      <c r="AR111" s="18">
        <f>'Grid_TheoreticalStock'!AI54</f>
        <v/>
      </c>
      <c r="AS111" s="18">
        <f>'Grid_TheoreticalStock'!AJ54</f>
        <v/>
      </c>
      <c r="AT111" s="18">
        <f>'Grid_TheoreticalStock'!AK54</f>
        <v/>
      </c>
      <c r="AU111" s="18">
        <f>'Grid_TheoreticalStock'!AL54</f>
        <v/>
      </c>
      <c r="AV111" s="18">
        <f>'Grid_TheoreticalStock'!AM54</f>
        <v/>
      </c>
      <c r="AW111" s="18">
        <f>'Grid_TheoreticalStock'!AN54</f>
        <v/>
      </c>
      <c r="AX111" s="18">
        <f>'Grid_TheoreticalStock'!AO54</f>
        <v/>
      </c>
      <c r="AY111" s="18">
        <f>'Grid_TheoreticalStock'!AP54</f>
        <v/>
      </c>
      <c r="AZ111" s="18">
        <f>'Grid_TheoreticalStock'!AQ54</f>
        <v/>
      </c>
      <c r="BA111" s="18">
        <f>'Grid_TheoreticalStock'!AR54</f>
        <v/>
      </c>
      <c r="BB111" s="18">
        <f>'Grid_TheoreticalStock'!AS54</f>
        <v/>
      </c>
      <c r="BC111" s="18">
        <f>'Grid_TheoreticalStock'!AT54</f>
        <v/>
      </c>
      <c r="BD111" s="18">
        <f>'Grid_TheoreticalStock'!AU54</f>
        <v/>
      </c>
      <c r="BE111" s="18">
        <f>'Grid_TheoreticalStock'!AV54</f>
        <v/>
      </c>
      <c r="BF111" s="18">
        <f>'Grid_TheoreticalStock'!AW54</f>
        <v/>
      </c>
      <c r="BG111" s="18">
        <f>'Grid_TheoreticalStock'!AX54</f>
        <v/>
      </c>
      <c r="BH111" s="18">
        <f>'Grid_TheoreticalStock'!AY54</f>
        <v/>
      </c>
      <c r="BI111" s="18">
        <f>'Grid_TheoreticalStock'!AZ54</f>
        <v/>
      </c>
      <c r="BJ111" s="18">
        <f>'Grid_TheoreticalStock'!BA54</f>
        <v/>
      </c>
      <c r="BK111" s="18">
        <f>'Grid_TheoreticalStock'!BB54</f>
        <v/>
      </c>
      <c r="BL111" s="18">
        <f>'Grid_TheoreticalStock'!BC54</f>
        <v/>
      </c>
      <c r="BM111" s="18">
        <f>'Grid_TheoreticalStock'!BD54</f>
        <v/>
      </c>
      <c r="BN111" s="18">
        <f>'Grid_TheoreticalStock'!BE54</f>
        <v/>
      </c>
      <c r="BO111" s="18">
        <f>'Grid_TheoreticalStock'!BF54</f>
        <v/>
      </c>
      <c r="BP111" s="18">
        <f>'Grid_TheoreticalStock'!BG54</f>
        <v/>
      </c>
      <c r="BQ111" s="18">
        <f>'Grid_TheoreticalStock'!BH54</f>
        <v/>
      </c>
      <c r="BR111" s="18">
        <f>'Grid_TheoreticalStock'!BI54</f>
        <v/>
      </c>
      <c r="BS111" s="18">
        <f>'Grid_TheoreticalStock'!BJ54</f>
        <v/>
      </c>
      <c r="BT111" s="18">
        <f>'Grid_TheoreticalStock'!BK54</f>
        <v/>
      </c>
      <c r="BU111" s="18">
        <f>'Grid_TheoreticalStock'!BL54</f>
        <v/>
      </c>
      <c r="BV111" s="18">
        <f>'Grid_TheoreticalStock'!BM54</f>
        <v/>
      </c>
      <c r="BW111" s="18">
        <f>'Grid_TheoreticalStock'!BN54</f>
        <v/>
      </c>
      <c r="BX111" s="18">
        <f>'Grid_TheoreticalStock'!BO54</f>
        <v/>
      </c>
      <c r="BY111" s="18">
        <f>'Grid_TheoreticalStock'!BP54</f>
        <v/>
      </c>
      <c r="BZ111" s="18">
        <f>'Grid_TheoreticalStock'!BQ54</f>
        <v/>
      </c>
      <c r="CA111" s="18">
        <f>'Grid_TheoreticalStock'!BR54</f>
        <v/>
      </c>
      <c r="CB111" s="18">
        <f>'Grid_TheoreticalStock'!BS54</f>
        <v/>
      </c>
      <c r="CC111" s="18">
        <f>'Grid_TheoreticalStock'!BT54</f>
        <v/>
      </c>
      <c r="CD111" s="18">
        <f>'Grid_TheoreticalStock'!BU54</f>
        <v/>
      </c>
      <c r="CE111" s="18">
        <f>'Grid_TheoreticalStock'!BV54</f>
        <v/>
      </c>
      <c r="CF111" s="18">
        <f>'Grid_TheoreticalStock'!BW54</f>
        <v/>
      </c>
      <c r="CG111" s="18">
        <f>'Grid_TheoreticalStock'!BX54</f>
        <v/>
      </c>
      <c r="CH111" s="18">
        <f>'Grid_TheoreticalStock'!BY54</f>
        <v/>
      </c>
      <c r="CI111" s="18">
        <f>'Grid_TheoreticalStock'!BZ54</f>
        <v/>
      </c>
      <c r="CJ111" s="18">
        <f>'Grid_TheoreticalStock'!CA54</f>
        <v/>
      </c>
      <c r="CK111" s="18">
        <f>'Grid_TheoreticalStock'!CB54</f>
        <v/>
      </c>
      <c r="CL111" s="18">
        <f>'Grid_TheoreticalStock'!CC54</f>
        <v/>
      </c>
      <c r="CM111" s="18">
        <f>'Grid_TheoreticalStock'!CD54</f>
        <v/>
      </c>
      <c r="CN111" s="18">
        <f>'Grid_TheoreticalStock'!CE54</f>
        <v/>
      </c>
      <c r="CO111" s="18">
        <f>'Grid_TheoreticalStock'!CF54</f>
        <v/>
      </c>
      <c r="CP111" s="18">
        <f>'Grid_TheoreticalStock'!CG54</f>
        <v/>
      </c>
      <c r="CQ111" s="18">
        <f>'Grid_TheoreticalStock'!CH54</f>
        <v/>
      </c>
      <c r="CR111" s="18">
        <f>'Grid_TheoreticalStock'!CI54</f>
        <v/>
      </c>
      <c r="CS111" s="18">
        <f>'Grid_TheoreticalStock'!CJ54</f>
        <v/>
      </c>
      <c r="CT111" s="18">
        <f>'Grid_TheoreticalStock'!CK54</f>
        <v/>
      </c>
      <c r="CU111" s="18">
        <f>'Grid_TheoreticalStock'!CL54</f>
        <v/>
      </c>
      <c r="CV111" s="18">
        <f>'Grid_TheoreticalStock'!CM54</f>
        <v/>
      </c>
      <c r="CW111" s="18">
        <f>'Grid_TheoreticalStock'!CN54</f>
        <v/>
      </c>
      <c r="CX111" s="18">
        <f>'Grid_TheoreticalStock'!CO54</f>
        <v/>
      </c>
      <c r="CY111" s="18">
        <f>'Grid_TheoreticalStock'!CP54</f>
        <v/>
      </c>
      <c r="CZ111" s="18">
        <f>'Grid_TheoreticalStock'!CQ54</f>
        <v/>
      </c>
      <c r="DA111" s="18">
        <f>'Grid_TheoreticalStock'!CR54</f>
        <v/>
      </c>
      <c r="DB111" s="18">
        <f>'Grid_TheoreticalStock'!CS54</f>
        <v/>
      </c>
      <c r="DC111" s="18">
        <f>'Grid_TheoreticalStock'!CT54</f>
        <v/>
      </c>
      <c r="DD111" s="18">
        <f>'Grid_TheoreticalStock'!CU54</f>
        <v/>
      </c>
      <c r="DE111" s="18">
        <f>'Grid_TheoreticalStock'!CV54</f>
        <v/>
      </c>
      <c r="DF111" s="18">
        <f>'Grid_TheoreticalStock'!CW54</f>
        <v/>
      </c>
      <c r="DG111" s="18">
        <f>'Grid_TheoreticalStock'!CX54</f>
        <v/>
      </c>
      <c r="DH111" s="18">
        <f>'Grid_TheoreticalStock'!CY54</f>
        <v/>
      </c>
      <c r="DI111" s="18">
        <f>'Grid_TheoreticalStock'!CZ54</f>
        <v/>
      </c>
      <c r="DJ111" s="18">
        <f>'Grid_TheoreticalStock'!DA54</f>
        <v/>
      </c>
    </row>
    <row r="112">
      <c r="A112" s="19" t="inlineStr">
        <is>
          <t>PP Film</t>
        </is>
      </c>
      <c r="B112" s="19">
        <f>IFERROR(INDEX(M_RawMaterials[Description],MATCH($A112,M_RawMaterials[Part Name],0)),"")</f>
        <v/>
      </c>
      <c r="C112" s="19">
        <f>IFERROR(INDEX(M_RawMaterials[Category],MATCH($A112,M_RawMaterials[Part Name],0)),"")</f>
        <v/>
      </c>
      <c r="D112" s="19">
        <f>IFERROR(INDEX(M_RawMaterials[基準在庫下限_要入力],MATCH($A112,M_RawMaterials[Part Name],0)),0)</f>
        <v/>
      </c>
      <c r="E112" s="19">
        <f>IFERROR(INDEX(M_RawMaterials[基準在庫上限_要入力],MATCH($A112,M_RawMaterials[Part Name],0)),0)</f>
        <v/>
      </c>
      <c r="F112" s="19">
        <f>IFERROR(LOOKUP(2,1/('T_SelfStock'!$B$58:$DA$58&lt;&gt;""),'T_SelfStock'!$B$58:$DA$58),"")</f>
        <v/>
      </c>
      <c r="G112" s="19">
        <f>IFERROR(LOOKUP(2,1/('T_TTAFStock'!$B$58:$DA$58&lt;&gt;""),'T_TTAFStock'!$B$58:$DA$58),"")</f>
        <v/>
      </c>
      <c r="H112" s="19">
        <f>IFERROR(LOOKUP(2,1/('T_SelfStock'!$B$58:$DA$58&lt;&gt;""),'T_SelfStock'!$B$5:$DA$5),"")</f>
        <v/>
      </c>
      <c r="I112" s="20" t="inlineStr">
        <is>
          <t>実在庫</t>
        </is>
      </c>
      <c r="J112" s="19">
        <f>'Grid_Stock'!DA54-'Grid_TheoreticalStock'!DA54</f>
        <v/>
      </c>
      <c r="K112" s="19">
        <f>'Grid_Stock'!B54</f>
        <v/>
      </c>
      <c r="L112" s="19">
        <f>'Grid_Stock'!C54</f>
        <v/>
      </c>
      <c r="M112" s="19">
        <f>'Grid_Stock'!D54</f>
        <v/>
      </c>
      <c r="N112" s="19">
        <f>'Grid_Stock'!E54</f>
        <v/>
      </c>
      <c r="O112" s="19">
        <f>'Grid_Stock'!F54</f>
        <v/>
      </c>
      <c r="P112" s="19">
        <f>'Grid_Stock'!G54</f>
        <v/>
      </c>
      <c r="Q112" s="19">
        <f>'Grid_Stock'!H54</f>
        <v/>
      </c>
      <c r="R112" s="19">
        <f>'Grid_Stock'!I54</f>
        <v/>
      </c>
      <c r="S112" s="19">
        <f>'Grid_Stock'!J54</f>
        <v/>
      </c>
      <c r="T112" s="19">
        <f>'Grid_Stock'!K54</f>
        <v/>
      </c>
      <c r="U112" s="19">
        <f>'Grid_Stock'!L54</f>
        <v/>
      </c>
      <c r="V112" s="19">
        <f>'Grid_Stock'!M54</f>
        <v/>
      </c>
      <c r="W112" s="19">
        <f>'Grid_Stock'!N54</f>
        <v/>
      </c>
      <c r="X112" s="19">
        <f>'Grid_Stock'!O54</f>
        <v/>
      </c>
      <c r="Y112" s="19">
        <f>'Grid_Stock'!P54</f>
        <v/>
      </c>
      <c r="Z112" s="19">
        <f>'Grid_Stock'!Q54</f>
        <v/>
      </c>
      <c r="AA112" s="19">
        <f>'Grid_Stock'!R54</f>
        <v/>
      </c>
      <c r="AB112" s="19">
        <f>'Grid_Stock'!S54</f>
        <v/>
      </c>
      <c r="AC112" s="19">
        <f>'Grid_Stock'!T54</f>
        <v/>
      </c>
      <c r="AD112" s="19">
        <f>'Grid_Stock'!U54</f>
        <v/>
      </c>
      <c r="AE112" s="19">
        <f>'Grid_Stock'!V54</f>
        <v/>
      </c>
      <c r="AF112" s="19">
        <f>'Grid_Stock'!W54</f>
        <v/>
      </c>
      <c r="AG112" s="19">
        <f>'Grid_Stock'!X54</f>
        <v/>
      </c>
      <c r="AH112" s="19">
        <f>'Grid_Stock'!Y54</f>
        <v/>
      </c>
      <c r="AI112" s="19">
        <f>'Grid_Stock'!Z54</f>
        <v/>
      </c>
      <c r="AJ112" s="19">
        <f>'Grid_Stock'!AA54</f>
        <v/>
      </c>
      <c r="AK112" s="19">
        <f>'Grid_Stock'!AB54</f>
        <v/>
      </c>
      <c r="AL112" s="19">
        <f>'Grid_Stock'!AC54</f>
        <v/>
      </c>
      <c r="AM112" s="19">
        <f>'Grid_Stock'!AD54</f>
        <v/>
      </c>
      <c r="AN112" s="19">
        <f>'Grid_Stock'!AE54</f>
        <v/>
      </c>
      <c r="AO112" s="19">
        <f>'Grid_Stock'!AF54</f>
        <v/>
      </c>
      <c r="AP112" s="19">
        <f>'Grid_Stock'!AG54</f>
        <v/>
      </c>
      <c r="AQ112" s="19">
        <f>'Grid_Stock'!AH54</f>
        <v/>
      </c>
      <c r="AR112" s="19">
        <f>'Grid_Stock'!AI54</f>
        <v/>
      </c>
      <c r="AS112" s="19">
        <f>'Grid_Stock'!AJ54</f>
        <v/>
      </c>
      <c r="AT112" s="19">
        <f>'Grid_Stock'!AK54</f>
        <v/>
      </c>
      <c r="AU112" s="19">
        <f>'Grid_Stock'!AL54</f>
        <v/>
      </c>
      <c r="AV112" s="19">
        <f>'Grid_Stock'!AM54</f>
        <v/>
      </c>
      <c r="AW112" s="19">
        <f>'Grid_Stock'!AN54</f>
        <v/>
      </c>
      <c r="AX112" s="19">
        <f>'Grid_Stock'!AO54</f>
        <v/>
      </c>
      <c r="AY112" s="19">
        <f>'Grid_Stock'!AP54</f>
        <v/>
      </c>
      <c r="AZ112" s="19">
        <f>'Grid_Stock'!AQ54</f>
        <v/>
      </c>
      <c r="BA112" s="19">
        <f>'Grid_Stock'!AR54</f>
        <v/>
      </c>
      <c r="BB112" s="19">
        <f>'Grid_Stock'!AS54</f>
        <v/>
      </c>
      <c r="BC112" s="19">
        <f>'Grid_Stock'!AT54</f>
        <v/>
      </c>
      <c r="BD112" s="19">
        <f>'Grid_Stock'!AU54</f>
        <v/>
      </c>
      <c r="BE112" s="19">
        <f>'Grid_Stock'!AV54</f>
        <v/>
      </c>
      <c r="BF112" s="19">
        <f>'Grid_Stock'!AW54</f>
        <v/>
      </c>
      <c r="BG112" s="19">
        <f>'Grid_Stock'!AX54</f>
        <v/>
      </c>
      <c r="BH112" s="19">
        <f>'Grid_Stock'!AY54</f>
        <v/>
      </c>
      <c r="BI112" s="19">
        <f>'Grid_Stock'!AZ54</f>
        <v/>
      </c>
      <c r="BJ112" s="19">
        <f>'Grid_Stock'!BA54</f>
        <v/>
      </c>
      <c r="BK112" s="19">
        <f>'Grid_Stock'!BB54</f>
        <v/>
      </c>
      <c r="BL112" s="19">
        <f>'Grid_Stock'!BC54</f>
        <v/>
      </c>
      <c r="BM112" s="19">
        <f>'Grid_Stock'!BD54</f>
        <v/>
      </c>
      <c r="BN112" s="19">
        <f>'Grid_Stock'!BE54</f>
        <v/>
      </c>
      <c r="BO112" s="19">
        <f>'Grid_Stock'!BF54</f>
        <v/>
      </c>
      <c r="BP112" s="19">
        <f>'Grid_Stock'!BG54</f>
        <v/>
      </c>
      <c r="BQ112" s="19">
        <f>'Grid_Stock'!BH54</f>
        <v/>
      </c>
      <c r="BR112" s="19">
        <f>'Grid_Stock'!BI54</f>
        <v/>
      </c>
      <c r="BS112" s="19">
        <f>'Grid_Stock'!BJ54</f>
        <v/>
      </c>
      <c r="BT112" s="19">
        <f>'Grid_Stock'!BK54</f>
        <v/>
      </c>
      <c r="BU112" s="19">
        <f>'Grid_Stock'!BL54</f>
        <v/>
      </c>
      <c r="BV112" s="19">
        <f>'Grid_Stock'!BM54</f>
        <v/>
      </c>
      <c r="BW112" s="19">
        <f>'Grid_Stock'!BN54</f>
        <v/>
      </c>
      <c r="BX112" s="19">
        <f>'Grid_Stock'!BO54</f>
        <v/>
      </c>
      <c r="BY112" s="19">
        <f>'Grid_Stock'!BP54</f>
        <v/>
      </c>
      <c r="BZ112" s="19">
        <f>'Grid_Stock'!BQ54</f>
        <v/>
      </c>
      <c r="CA112" s="19">
        <f>'Grid_Stock'!BR54</f>
        <v/>
      </c>
      <c r="CB112" s="19">
        <f>'Grid_Stock'!BS54</f>
        <v/>
      </c>
      <c r="CC112" s="19">
        <f>'Grid_Stock'!BT54</f>
        <v/>
      </c>
      <c r="CD112" s="19">
        <f>'Grid_Stock'!BU54</f>
        <v/>
      </c>
      <c r="CE112" s="19">
        <f>'Grid_Stock'!BV54</f>
        <v/>
      </c>
      <c r="CF112" s="19">
        <f>'Grid_Stock'!BW54</f>
        <v/>
      </c>
      <c r="CG112" s="19">
        <f>'Grid_Stock'!BX54</f>
        <v/>
      </c>
      <c r="CH112" s="19">
        <f>'Grid_Stock'!BY54</f>
        <v/>
      </c>
      <c r="CI112" s="19">
        <f>'Grid_Stock'!BZ54</f>
        <v/>
      </c>
      <c r="CJ112" s="19">
        <f>'Grid_Stock'!CA54</f>
        <v/>
      </c>
      <c r="CK112" s="19">
        <f>'Grid_Stock'!CB54</f>
        <v/>
      </c>
      <c r="CL112" s="19">
        <f>'Grid_Stock'!CC54</f>
        <v/>
      </c>
      <c r="CM112" s="19">
        <f>'Grid_Stock'!CD54</f>
        <v/>
      </c>
      <c r="CN112" s="19">
        <f>'Grid_Stock'!CE54</f>
        <v/>
      </c>
      <c r="CO112" s="19">
        <f>'Grid_Stock'!CF54</f>
        <v/>
      </c>
      <c r="CP112" s="19">
        <f>'Grid_Stock'!CG54</f>
        <v/>
      </c>
      <c r="CQ112" s="19">
        <f>'Grid_Stock'!CH54</f>
        <v/>
      </c>
      <c r="CR112" s="19">
        <f>'Grid_Stock'!CI54</f>
        <v/>
      </c>
      <c r="CS112" s="19">
        <f>'Grid_Stock'!CJ54</f>
        <v/>
      </c>
      <c r="CT112" s="19">
        <f>'Grid_Stock'!CK54</f>
        <v/>
      </c>
      <c r="CU112" s="19">
        <f>'Grid_Stock'!CL54</f>
        <v/>
      </c>
      <c r="CV112" s="19">
        <f>'Grid_Stock'!CM54</f>
        <v/>
      </c>
      <c r="CW112" s="19">
        <f>'Grid_Stock'!CN54</f>
        <v/>
      </c>
      <c r="CX112" s="19">
        <f>'Grid_Stock'!CO54</f>
        <v/>
      </c>
      <c r="CY112" s="19">
        <f>'Grid_Stock'!CP54</f>
        <v/>
      </c>
      <c r="CZ112" s="19">
        <f>'Grid_Stock'!CQ54</f>
        <v/>
      </c>
      <c r="DA112" s="19">
        <f>'Grid_Stock'!CR54</f>
        <v/>
      </c>
      <c r="DB112" s="19">
        <f>'Grid_Stock'!CS54</f>
        <v/>
      </c>
      <c r="DC112" s="19">
        <f>'Grid_Stock'!CT54</f>
        <v/>
      </c>
      <c r="DD112" s="19">
        <f>'Grid_Stock'!CU54</f>
        <v/>
      </c>
      <c r="DE112" s="19">
        <f>'Grid_Stock'!CV54</f>
        <v/>
      </c>
      <c r="DF112" s="19">
        <f>'Grid_Stock'!CW54</f>
        <v/>
      </c>
      <c r="DG112" s="19">
        <f>'Grid_Stock'!CX54</f>
        <v/>
      </c>
      <c r="DH112" s="19">
        <f>'Grid_Stock'!CY54</f>
        <v/>
      </c>
      <c r="DI112" s="19">
        <f>'Grid_Stock'!CZ54</f>
        <v/>
      </c>
      <c r="DJ112" s="19">
        <f>'Grid_Stock'!DA54</f>
        <v/>
      </c>
    </row>
    <row r="113">
      <c r="A113" s="17" t="inlineStr">
        <is>
          <t>CHEM-1560</t>
        </is>
      </c>
      <c r="B113" s="17">
        <f>IFERROR(INDEX(M_RawMaterials[Description],MATCH($A113,M_RawMaterials[Part Name],0)),"")</f>
        <v/>
      </c>
      <c r="C113" s="17">
        <f>IFERROR(INDEX(M_RawMaterials[Category],MATCH($A113,M_RawMaterials[Part Name],0)),"")</f>
        <v/>
      </c>
      <c r="D113" s="17">
        <f>IFERROR(INDEX(M_RawMaterials[基準在庫下限_要入力],MATCH($A113,M_RawMaterials[Part Name],0)),0)</f>
        <v/>
      </c>
      <c r="E113" s="17">
        <f>IFERROR(INDEX(M_RawMaterials[基準在庫上限_要入力],MATCH($A113,M_RawMaterials[Part Name],0)),0)</f>
        <v/>
      </c>
      <c r="F113" s="17">
        <f>IFERROR(LOOKUP(2,1/('T_SelfStock'!$B$59:$DA$59&lt;&gt;""),'T_SelfStock'!$B$59:$DA$59),"")</f>
        <v/>
      </c>
      <c r="G113" s="17">
        <f>IFERROR(LOOKUP(2,1/('T_TTAFStock'!$B$59:$DA$59&lt;&gt;""),'T_TTAFStock'!$B$59:$DA$59),"")</f>
        <v/>
      </c>
      <c r="H113" s="17">
        <f>IFERROR(LOOKUP(2,1/('T_SelfStock'!$B$59:$DA$59&lt;&gt;""),'T_SelfStock'!$B$5:$DA$5),"")</f>
        <v/>
      </c>
      <c r="I113" s="18" t="inlineStr">
        <is>
          <t>理論在庫</t>
        </is>
      </c>
      <c r="J113" s="17">
        <f>'Grid_Stock'!DA55-'Grid_TheoreticalStock'!DA55</f>
        <v/>
      </c>
      <c r="K113" s="18">
        <f>'Grid_TheoreticalStock'!B55</f>
        <v/>
      </c>
      <c r="L113" s="18">
        <f>'Grid_TheoreticalStock'!C55</f>
        <v/>
      </c>
      <c r="M113" s="18">
        <f>'Grid_TheoreticalStock'!D55</f>
        <v/>
      </c>
      <c r="N113" s="18">
        <f>'Grid_TheoreticalStock'!E55</f>
        <v/>
      </c>
      <c r="O113" s="18">
        <f>'Grid_TheoreticalStock'!F55</f>
        <v/>
      </c>
      <c r="P113" s="18">
        <f>'Grid_TheoreticalStock'!G55</f>
        <v/>
      </c>
      <c r="Q113" s="18">
        <f>'Grid_TheoreticalStock'!H55</f>
        <v/>
      </c>
      <c r="R113" s="18">
        <f>'Grid_TheoreticalStock'!I55</f>
        <v/>
      </c>
      <c r="S113" s="18">
        <f>'Grid_TheoreticalStock'!J55</f>
        <v/>
      </c>
      <c r="T113" s="18">
        <f>'Grid_TheoreticalStock'!K55</f>
        <v/>
      </c>
      <c r="U113" s="18">
        <f>'Grid_TheoreticalStock'!L55</f>
        <v/>
      </c>
      <c r="V113" s="18">
        <f>'Grid_TheoreticalStock'!M55</f>
        <v/>
      </c>
      <c r="W113" s="18">
        <f>'Grid_TheoreticalStock'!N55</f>
        <v/>
      </c>
      <c r="X113" s="18">
        <f>'Grid_TheoreticalStock'!O55</f>
        <v/>
      </c>
      <c r="Y113" s="18">
        <f>'Grid_TheoreticalStock'!P55</f>
        <v/>
      </c>
      <c r="Z113" s="18">
        <f>'Grid_TheoreticalStock'!Q55</f>
        <v/>
      </c>
      <c r="AA113" s="18">
        <f>'Grid_TheoreticalStock'!R55</f>
        <v/>
      </c>
      <c r="AB113" s="18">
        <f>'Grid_TheoreticalStock'!S55</f>
        <v/>
      </c>
      <c r="AC113" s="18">
        <f>'Grid_TheoreticalStock'!T55</f>
        <v/>
      </c>
      <c r="AD113" s="18">
        <f>'Grid_TheoreticalStock'!U55</f>
        <v/>
      </c>
      <c r="AE113" s="18">
        <f>'Grid_TheoreticalStock'!V55</f>
        <v/>
      </c>
      <c r="AF113" s="18">
        <f>'Grid_TheoreticalStock'!W55</f>
        <v/>
      </c>
      <c r="AG113" s="18">
        <f>'Grid_TheoreticalStock'!X55</f>
        <v/>
      </c>
      <c r="AH113" s="18">
        <f>'Grid_TheoreticalStock'!Y55</f>
        <v/>
      </c>
      <c r="AI113" s="18">
        <f>'Grid_TheoreticalStock'!Z55</f>
        <v/>
      </c>
      <c r="AJ113" s="18">
        <f>'Grid_TheoreticalStock'!AA55</f>
        <v/>
      </c>
      <c r="AK113" s="18">
        <f>'Grid_TheoreticalStock'!AB55</f>
        <v/>
      </c>
      <c r="AL113" s="18">
        <f>'Grid_TheoreticalStock'!AC55</f>
        <v/>
      </c>
      <c r="AM113" s="18">
        <f>'Grid_TheoreticalStock'!AD55</f>
        <v/>
      </c>
      <c r="AN113" s="18">
        <f>'Grid_TheoreticalStock'!AE55</f>
        <v/>
      </c>
      <c r="AO113" s="18">
        <f>'Grid_TheoreticalStock'!AF55</f>
        <v/>
      </c>
      <c r="AP113" s="18">
        <f>'Grid_TheoreticalStock'!AG55</f>
        <v/>
      </c>
      <c r="AQ113" s="18">
        <f>'Grid_TheoreticalStock'!AH55</f>
        <v/>
      </c>
      <c r="AR113" s="18">
        <f>'Grid_TheoreticalStock'!AI55</f>
        <v/>
      </c>
      <c r="AS113" s="18">
        <f>'Grid_TheoreticalStock'!AJ55</f>
        <v/>
      </c>
      <c r="AT113" s="18">
        <f>'Grid_TheoreticalStock'!AK55</f>
        <v/>
      </c>
      <c r="AU113" s="18">
        <f>'Grid_TheoreticalStock'!AL55</f>
        <v/>
      </c>
      <c r="AV113" s="18">
        <f>'Grid_TheoreticalStock'!AM55</f>
        <v/>
      </c>
      <c r="AW113" s="18">
        <f>'Grid_TheoreticalStock'!AN55</f>
        <v/>
      </c>
      <c r="AX113" s="18">
        <f>'Grid_TheoreticalStock'!AO55</f>
        <v/>
      </c>
      <c r="AY113" s="18">
        <f>'Grid_TheoreticalStock'!AP55</f>
        <v/>
      </c>
      <c r="AZ113" s="18">
        <f>'Grid_TheoreticalStock'!AQ55</f>
        <v/>
      </c>
      <c r="BA113" s="18">
        <f>'Grid_TheoreticalStock'!AR55</f>
        <v/>
      </c>
      <c r="BB113" s="18">
        <f>'Grid_TheoreticalStock'!AS55</f>
        <v/>
      </c>
      <c r="BC113" s="18">
        <f>'Grid_TheoreticalStock'!AT55</f>
        <v/>
      </c>
      <c r="BD113" s="18">
        <f>'Grid_TheoreticalStock'!AU55</f>
        <v/>
      </c>
      <c r="BE113" s="18">
        <f>'Grid_TheoreticalStock'!AV55</f>
        <v/>
      </c>
      <c r="BF113" s="18">
        <f>'Grid_TheoreticalStock'!AW55</f>
        <v/>
      </c>
      <c r="BG113" s="18">
        <f>'Grid_TheoreticalStock'!AX55</f>
        <v/>
      </c>
      <c r="BH113" s="18">
        <f>'Grid_TheoreticalStock'!AY55</f>
        <v/>
      </c>
      <c r="BI113" s="18">
        <f>'Grid_TheoreticalStock'!AZ55</f>
        <v/>
      </c>
      <c r="BJ113" s="18">
        <f>'Grid_TheoreticalStock'!BA55</f>
        <v/>
      </c>
      <c r="BK113" s="18">
        <f>'Grid_TheoreticalStock'!BB55</f>
        <v/>
      </c>
      <c r="BL113" s="18">
        <f>'Grid_TheoreticalStock'!BC55</f>
        <v/>
      </c>
      <c r="BM113" s="18">
        <f>'Grid_TheoreticalStock'!BD55</f>
        <v/>
      </c>
      <c r="BN113" s="18">
        <f>'Grid_TheoreticalStock'!BE55</f>
        <v/>
      </c>
      <c r="BO113" s="18">
        <f>'Grid_TheoreticalStock'!BF55</f>
        <v/>
      </c>
      <c r="BP113" s="18">
        <f>'Grid_TheoreticalStock'!BG55</f>
        <v/>
      </c>
      <c r="BQ113" s="18">
        <f>'Grid_TheoreticalStock'!BH55</f>
        <v/>
      </c>
      <c r="BR113" s="18">
        <f>'Grid_TheoreticalStock'!BI55</f>
        <v/>
      </c>
      <c r="BS113" s="18">
        <f>'Grid_TheoreticalStock'!BJ55</f>
        <v/>
      </c>
      <c r="BT113" s="18">
        <f>'Grid_TheoreticalStock'!BK55</f>
        <v/>
      </c>
      <c r="BU113" s="18">
        <f>'Grid_TheoreticalStock'!BL55</f>
        <v/>
      </c>
      <c r="BV113" s="18">
        <f>'Grid_TheoreticalStock'!BM55</f>
        <v/>
      </c>
      <c r="BW113" s="18">
        <f>'Grid_TheoreticalStock'!BN55</f>
        <v/>
      </c>
      <c r="BX113" s="18">
        <f>'Grid_TheoreticalStock'!BO55</f>
        <v/>
      </c>
      <c r="BY113" s="18">
        <f>'Grid_TheoreticalStock'!BP55</f>
        <v/>
      </c>
      <c r="BZ113" s="18">
        <f>'Grid_TheoreticalStock'!BQ55</f>
        <v/>
      </c>
      <c r="CA113" s="18">
        <f>'Grid_TheoreticalStock'!BR55</f>
        <v/>
      </c>
      <c r="CB113" s="18">
        <f>'Grid_TheoreticalStock'!BS55</f>
        <v/>
      </c>
      <c r="CC113" s="18">
        <f>'Grid_TheoreticalStock'!BT55</f>
        <v/>
      </c>
      <c r="CD113" s="18">
        <f>'Grid_TheoreticalStock'!BU55</f>
        <v/>
      </c>
      <c r="CE113" s="18">
        <f>'Grid_TheoreticalStock'!BV55</f>
        <v/>
      </c>
      <c r="CF113" s="18">
        <f>'Grid_TheoreticalStock'!BW55</f>
        <v/>
      </c>
      <c r="CG113" s="18">
        <f>'Grid_TheoreticalStock'!BX55</f>
        <v/>
      </c>
      <c r="CH113" s="18">
        <f>'Grid_TheoreticalStock'!BY55</f>
        <v/>
      </c>
      <c r="CI113" s="18">
        <f>'Grid_TheoreticalStock'!BZ55</f>
        <v/>
      </c>
      <c r="CJ113" s="18">
        <f>'Grid_TheoreticalStock'!CA55</f>
        <v/>
      </c>
      <c r="CK113" s="18">
        <f>'Grid_TheoreticalStock'!CB55</f>
        <v/>
      </c>
      <c r="CL113" s="18">
        <f>'Grid_TheoreticalStock'!CC55</f>
        <v/>
      </c>
      <c r="CM113" s="18">
        <f>'Grid_TheoreticalStock'!CD55</f>
        <v/>
      </c>
      <c r="CN113" s="18">
        <f>'Grid_TheoreticalStock'!CE55</f>
        <v/>
      </c>
      <c r="CO113" s="18">
        <f>'Grid_TheoreticalStock'!CF55</f>
        <v/>
      </c>
      <c r="CP113" s="18">
        <f>'Grid_TheoreticalStock'!CG55</f>
        <v/>
      </c>
      <c r="CQ113" s="18">
        <f>'Grid_TheoreticalStock'!CH55</f>
        <v/>
      </c>
      <c r="CR113" s="18">
        <f>'Grid_TheoreticalStock'!CI55</f>
        <v/>
      </c>
      <c r="CS113" s="18">
        <f>'Grid_TheoreticalStock'!CJ55</f>
        <v/>
      </c>
      <c r="CT113" s="18">
        <f>'Grid_TheoreticalStock'!CK55</f>
        <v/>
      </c>
      <c r="CU113" s="18">
        <f>'Grid_TheoreticalStock'!CL55</f>
        <v/>
      </c>
      <c r="CV113" s="18">
        <f>'Grid_TheoreticalStock'!CM55</f>
        <v/>
      </c>
      <c r="CW113" s="18">
        <f>'Grid_TheoreticalStock'!CN55</f>
        <v/>
      </c>
      <c r="CX113" s="18">
        <f>'Grid_TheoreticalStock'!CO55</f>
        <v/>
      </c>
      <c r="CY113" s="18">
        <f>'Grid_TheoreticalStock'!CP55</f>
        <v/>
      </c>
      <c r="CZ113" s="18">
        <f>'Grid_TheoreticalStock'!CQ55</f>
        <v/>
      </c>
      <c r="DA113" s="18">
        <f>'Grid_TheoreticalStock'!CR55</f>
        <v/>
      </c>
      <c r="DB113" s="18">
        <f>'Grid_TheoreticalStock'!CS55</f>
        <v/>
      </c>
      <c r="DC113" s="18">
        <f>'Grid_TheoreticalStock'!CT55</f>
        <v/>
      </c>
      <c r="DD113" s="18">
        <f>'Grid_TheoreticalStock'!CU55</f>
        <v/>
      </c>
      <c r="DE113" s="18">
        <f>'Grid_TheoreticalStock'!CV55</f>
        <v/>
      </c>
      <c r="DF113" s="18">
        <f>'Grid_TheoreticalStock'!CW55</f>
        <v/>
      </c>
      <c r="DG113" s="18">
        <f>'Grid_TheoreticalStock'!CX55</f>
        <v/>
      </c>
      <c r="DH113" s="18">
        <f>'Grid_TheoreticalStock'!CY55</f>
        <v/>
      </c>
      <c r="DI113" s="18">
        <f>'Grid_TheoreticalStock'!CZ55</f>
        <v/>
      </c>
      <c r="DJ113" s="18">
        <f>'Grid_TheoreticalStock'!DA55</f>
        <v/>
      </c>
    </row>
    <row r="114">
      <c r="A114" s="19" t="inlineStr">
        <is>
          <t>CHEM-1560</t>
        </is>
      </c>
      <c r="B114" s="19">
        <f>IFERROR(INDEX(M_RawMaterials[Description],MATCH($A114,M_RawMaterials[Part Name],0)),"")</f>
        <v/>
      </c>
      <c r="C114" s="19">
        <f>IFERROR(INDEX(M_RawMaterials[Category],MATCH($A114,M_RawMaterials[Part Name],0)),"")</f>
        <v/>
      </c>
      <c r="D114" s="19">
        <f>IFERROR(INDEX(M_RawMaterials[基準在庫下限_要入力],MATCH($A114,M_RawMaterials[Part Name],0)),0)</f>
        <v/>
      </c>
      <c r="E114" s="19">
        <f>IFERROR(INDEX(M_RawMaterials[基準在庫上限_要入力],MATCH($A114,M_RawMaterials[Part Name],0)),0)</f>
        <v/>
      </c>
      <c r="F114" s="19">
        <f>IFERROR(LOOKUP(2,1/('T_SelfStock'!$B$59:$DA$59&lt;&gt;""),'T_SelfStock'!$B$59:$DA$59),"")</f>
        <v/>
      </c>
      <c r="G114" s="19">
        <f>IFERROR(LOOKUP(2,1/('T_TTAFStock'!$B$59:$DA$59&lt;&gt;""),'T_TTAFStock'!$B$59:$DA$59),"")</f>
        <v/>
      </c>
      <c r="H114" s="19">
        <f>IFERROR(LOOKUP(2,1/('T_SelfStock'!$B$59:$DA$59&lt;&gt;""),'T_SelfStock'!$B$5:$DA$5),"")</f>
        <v/>
      </c>
      <c r="I114" s="20" t="inlineStr">
        <is>
          <t>実在庫</t>
        </is>
      </c>
      <c r="J114" s="19">
        <f>'Grid_Stock'!DA55-'Grid_TheoreticalStock'!DA55</f>
        <v/>
      </c>
      <c r="K114" s="19">
        <f>'Grid_Stock'!B55</f>
        <v/>
      </c>
      <c r="L114" s="19">
        <f>'Grid_Stock'!C55</f>
        <v/>
      </c>
      <c r="M114" s="19">
        <f>'Grid_Stock'!D55</f>
        <v/>
      </c>
      <c r="N114" s="19">
        <f>'Grid_Stock'!E55</f>
        <v/>
      </c>
      <c r="O114" s="19">
        <f>'Grid_Stock'!F55</f>
        <v/>
      </c>
      <c r="P114" s="19">
        <f>'Grid_Stock'!G55</f>
        <v/>
      </c>
      <c r="Q114" s="19">
        <f>'Grid_Stock'!H55</f>
        <v/>
      </c>
      <c r="R114" s="19">
        <f>'Grid_Stock'!I55</f>
        <v/>
      </c>
      <c r="S114" s="19">
        <f>'Grid_Stock'!J55</f>
        <v/>
      </c>
      <c r="T114" s="19">
        <f>'Grid_Stock'!K55</f>
        <v/>
      </c>
      <c r="U114" s="19">
        <f>'Grid_Stock'!L55</f>
        <v/>
      </c>
      <c r="V114" s="19">
        <f>'Grid_Stock'!M55</f>
        <v/>
      </c>
      <c r="W114" s="19">
        <f>'Grid_Stock'!N55</f>
        <v/>
      </c>
      <c r="X114" s="19">
        <f>'Grid_Stock'!O55</f>
        <v/>
      </c>
      <c r="Y114" s="19">
        <f>'Grid_Stock'!P55</f>
        <v/>
      </c>
      <c r="Z114" s="19">
        <f>'Grid_Stock'!Q55</f>
        <v/>
      </c>
      <c r="AA114" s="19">
        <f>'Grid_Stock'!R55</f>
        <v/>
      </c>
      <c r="AB114" s="19">
        <f>'Grid_Stock'!S55</f>
        <v/>
      </c>
      <c r="AC114" s="19">
        <f>'Grid_Stock'!T55</f>
        <v/>
      </c>
      <c r="AD114" s="19">
        <f>'Grid_Stock'!U55</f>
        <v/>
      </c>
      <c r="AE114" s="19">
        <f>'Grid_Stock'!V55</f>
        <v/>
      </c>
      <c r="AF114" s="19">
        <f>'Grid_Stock'!W55</f>
        <v/>
      </c>
      <c r="AG114" s="19">
        <f>'Grid_Stock'!X55</f>
        <v/>
      </c>
      <c r="AH114" s="19">
        <f>'Grid_Stock'!Y55</f>
        <v/>
      </c>
      <c r="AI114" s="19">
        <f>'Grid_Stock'!Z55</f>
        <v/>
      </c>
      <c r="AJ114" s="19">
        <f>'Grid_Stock'!AA55</f>
        <v/>
      </c>
      <c r="AK114" s="19">
        <f>'Grid_Stock'!AB55</f>
        <v/>
      </c>
      <c r="AL114" s="19">
        <f>'Grid_Stock'!AC55</f>
        <v/>
      </c>
      <c r="AM114" s="19">
        <f>'Grid_Stock'!AD55</f>
        <v/>
      </c>
      <c r="AN114" s="19">
        <f>'Grid_Stock'!AE55</f>
        <v/>
      </c>
      <c r="AO114" s="19">
        <f>'Grid_Stock'!AF55</f>
        <v/>
      </c>
      <c r="AP114" s="19">
        <f>'Grid_Stock'!AG55</f>
        <v/>
      </c>
      <c r="AQ114" s="19">
        <f>'Grid_Stock'!AH55</f>
        <v/>
      </c>
      <c r="AR114" s="19">
        <f>'Grid_Stock'!AI55</f>
        <v/>
      </c>
      <c r="AS114" s="19">
        <f>'Grid_Stock'!AJ55</f>
        <v/>
      </c>
      <c r="AT114" s="19">
        <f>'Grid_Stock'!AK55</f>
        <v/>
      </c>
      <c r="AU114" s="19">
        <f>'Grid_Stock'!AL55</f>
        <v/>
      </c>
      <c r="AV114" s="19">
        <f>'Grid_Stock'!AM55</f>
        <v/>
      </c>
      <c r="AW114" s="19">
        <f>'Grid_Stock'!AN55</f>
        <v/>
      </c>
      <c r="AX114" s="19">
        <f>'Grid_Stock'!AO55</f>
        <v/>
      </c>
      <c r="AY114" s="19">
        <f>'Grid_Stock'!AP55</f>
        <v/>
      </c>
      <c r="AZ114" s="19">
        <f>'Grid_Stock'!AQ55</f>
        <v/>
      </c>
      <c r="BA114" s="19">
        <f>'Grid_Stock'!AR55</f>
        <v/>
      </c>
      <c r="BB114" s="19">
        <f>'Grid_Stock'!AS55</f>
        <v/>
      </c>
      <c r="BC114" s="19">
        <f>'Grid_Stock'!AT55</f>
        <v/>
      </c>
      <c r="BD114" s="19">
        <f>'Grid_Stock'!AU55</f>
        <v/>
      </c>
      <c r="BE114" s="19">
        <f>'Grid_Stock'!AV55</f>
        <v/>
      </c>
      <c r="BF114" s="19">
        <f>'Grid_Stock'!AW55</f>
        <v/>
      </c>
      <c r="BG114" s="19">
        <f>'Grid_Stock'!AX55</f>
        <v/>
      </c>
      <c r="BH114" s="19">
        <f>'Grid_Stock'!AY55</f>
        <v/>
      </c>
      <c r="BI114" s="19">
        <f>'Grid_Stock'!AZ55</f>
        <v/>
      </c>
      <c r="BJ114" s="19">
        <f>'Grid_Stock'!BA55</f>
        <v/>
      </c>
      <c r="BK114" s="19">
        <f>'Grid_Stock'!BB55</f>
        <v/>
      </c>
      <c r="BL114" s="19">
        <f>'Grid_Stock'!BC55</f>
        <v/>
      </c>
      <c r="BM114" s="19">
        <f>'Grid_Stock'!BD55</f>
        <v/>
      </c>
      <c r="BN114" s="19">
        <f>'Grid_Stock'!BE55</f>
        <v/>
      </c>
      <c r="BO114" s="19">
        <f>'Grid_Stock'!BF55</f>
        <v/>
      </c>
      <c r="BP114" s="19">
        <f>'Grid_Stock'!BG55</f>
        <v/>
      </c>
      <c r="BQ114" s="19">
        <f>'Grid_Stock'!BH55</f>
        <v/>
      </c>
      <c r="BR114" s="19">
        <f>'Grid_Stock'!BI55</f>
        <v/>
      </c>
      <c r="BS114" s="19">
        <f>'Grid_Stock'!BJ55</f>
        <v/>
      </c>
      <c r="BT114" s="19">
        <f>'Grid_Stock'!BK55</f>
        <v/>
      </c>
      <c r="BU114" s="19">
        <f>'Grid_Stock'!BL55</f>
        <v/>
      </c>
      <c r="BV114" s="19">
        <f>'Grid_Stock'!BM55</f>
        <v/>
      </c>
      <c r="BW114" s="19">
        <f>'Grid_Stock'!BN55</f>
        <v/>
      </c>
      <c r="BX114" s="19">
        <f>'Grid_Stock'!BO55</f>
        <v/>
      </c>
      <c r="BY114" s="19">
        <f>'Grid_Stock'!BP55</f>
        <v/>
      </c>
      <c r="BZ114" s="19">
        <f>'Grid_Stock'!BQ55</f>
        <v/>
      </c>
      <c r="CA114" s="19">
        <f>'Grid_Stock'!BR55</f>
        <v/>
      </c>
      <c r="CB114" s="19">
        <f>'Grid_Stock'!BS55</f>
        <v/>
      </c>
      <c r="CC114" s="19">
        <f>'Grid_Stock'!BT55</f>
        <v/>
      </c>
      <c r="CD114" s="19">
        <f>'Grid_Stock'!BU55</f>
        <v/>
      </c>
      <c r="CE114" s="19">
        <f>'Grid_Stock'!BV55</f>
        <v/>
      </c>
      <c r="CF114" s="19">
        <f>'Grid_Stock'!BW55</f>
        <v/>
      </c>
      <c r="CG114" s="19">
        <f>'Grid_Stock'!BX55</f>
        <v/>
      </c>
      <c r="CH114" s="19">
        <f>'Grid_Stock'!BY55</f>
        <v/>
      </c>
      <c r="CI114" s="19">
        <f>'Grid_Stock'!BZ55</f>
        <v/>
      </c>
      <c r="CJ114" s="19">
        <f>'Grid_Stock'!CA55</f>
        <v/>
      </c>
      <c r="CK114" s="19">
        <f>'Grid_Stock'!CB55</f>
        <v/>
      </c>
      <c r="CL114" s="19">
        <f>'Grid_Stock'!CC55</f>
        <v/>
      </c>
      <c r="CM114" s="19">
        <f>'Grid_Stock'!CD55</f>
        <v/>
      </c>
      <c r="CN114" s="19">
        <f>'Grid_Stock'!CE55</f>
        <v/>
      </c>
      <c r="CO114" s="19">
        <f>'Grid_Stock'!CF55</f>
        <v/>
      </c>
      <c r="CP114" s="19">
        <f>'Grid_Stock'!CG55</f>
        <v/>
      </c>
      <c r="CQ114" s="19">
        <f>'Grid_Stock'!CH55</f>
        <v/>
      </c>
      <c r="CR114" s="19">
        <f>'Grid_Stock'!CI55</f>
        <v/>
      </c>
      <c r="CS114" s="19">
        <f>'Grid_Stock'!CJ55</f>
        <v/>
      </c>
      <c r="CT114" s="19">
        <f>'Grid_Stock'!CK55</f>
        <v/>
      </c>
      <c r="CU114" s="19">
        <f>'Grid_Stock'!CL55</f>
        <v/>
      </c>
      <c r="CV114" s="19">
        <f>'Grid_Stock'!CM55</f>
        <v/>
      </c>
      <c r="CW114" s="19">
        <f>'Grid_Stock'!CN55</f>
        <v/>
      </c>
      <c r="CX114" s="19">
        <f>'Grid_Stock'!CO55</f>
        <v/>
      </c>
      <c r="CY114" s="19">
        <f>'Grid_Stock'!CP55</f>
        <v/>
      </c>
      <c r="CZ114" s="19">
        <f>'Grid_Stock'!CQ55</f>
        <v/>
      </c>
      <c r="DA114" s="19">
        <f>'Grid_Stock'!CR55</f>
        <v/>
      </c>
      <c r="DB114" s="19">
        <f>'Grid_Stock'!CS55</f>
        <v/>
      </c>
      <c r="DC114" s="19">
        <f>'Grid_Stock'!CT55</f>
        <v/>
      </c>
      <c r="DD114" s="19">
        <f>'Grid_Stock'!CU55</f>
        <v/>
      </c>
      <c r="DE114" s="19">
        <f>'Grid_Stock'!CV55</f>
        <v/>
      </c>
      <c r="DF114" s="19">
        <f>'Grid_Stock'!CW55</f>
        <v/>
      </c>
      <c r="DG114" s="19">
        <f>'Grid_Stock'!CX55</f>
        <v/>
      </c>
      <c r="DH114" s="19">
        <f>'Grid_Stock'!CY55</f>
        <v/>
      </c>
      <c r="DI114" s="19">
        <f>'Grid_Stock'!CZ55</f>
        <v/>
      </c>
      <c r="DJ114" s="19">
        <f>'Grid_Stock'!DA55</f>
        <v/>
      </c>
    </row>
    <row r="115">
      <c r="A115" s="17" t="inlineStr">
        <is>
          <t>CHEM-1690</t>
        </is>
      </c>
      <c r="B115" s="17">
        <f>IFERROR(INDEX(M_RawMaterials[Description],MATCH($A115,M_RawMaterials[Part Name],0)),"")</f>
        <v/>
      </c>
      <c r="C115" s="17">
        <f>IFERROR(INDEX(M_RawMaterials[Category],MATCH($A115,M_RawMaterials[Part Name],0)),"")</f>
        <v/>
      </c>
      <c r="D115" s="17">
        <f>IFERROR(INDEX(M_RawMaterials[基準在庫下限_要入力],MATCH($A115,M_RawMaterials[Part Name],0)),0)</f>
        <v/>
      </c>
      <c r="E115" s="17">
        <f>IFERROR(INDEX(M_RawMaterials[基準在庫上限_要入力],MATCH($A115,M_RawMaterials[Part Name],0)),0)</f>
        <v/>
      </c>
      <c r="F115" s="17">
        <f>IFERROR(LOOKUP(2,1/('T_SelfStock'!$B$60:$DA$60&lt;&gt;""),'T_SelfStock'!$B$60:$DA$60),"")</f>
        <v/>
      </c>
      <c r="G115" s="17">
        <f>IFERROR(LOOKUP(2,1/('T_TTAFStock'!$B$60:$DA$60&lt;&gt;""),'T_TTAFStock'!$B$60:$DA$60),"")</f>
        <v/>
      </c>
      <c r="H115" s="17">
        <f>IFERROR(LOOKUP(2,1/('T_SelfStock'!$B$60:$DA$60&lt;&gt;""),'T_SelfStock'!$B$5:$DA$5),"")</f>
        <v/>
      </c>
      <c r="I115" s="18" t="inlineStr">
        <is>
          <t>理論在庫</t>
        </is>
      </c>
      <c r="J115" s="17">
        <f>'Grid_Stock'!DA56-'Grid_TheoreticalStock'!DA56</f>
        <v/>
      </c>
      <c r="K115" s="18">
        <f>'Grid_TheoreticalStock'!B56</f>
        <v/>
      </c>
      <c r="L115" s="18">
        <f>'Grid_TheoreticalStock'!C56</f>
        <v/>
      </c>
      <c r="M115" s="18">
        <f>'Grid_TheoreticalStock'!D56</f>
        <v/>
      </c>
      <c r="N115" s="18">
        <f>'Grid_TheoreticalStock'!E56</f>
        <v/>
      </c>
      <c r="O115" s="18">
        <f>'Grid_TheoreticalStock'!F56</f>
        <v/>
      </c>
      <c r="P115" s="18">
        <f>'Grid_TheoreticalStock'!G56</f>
        <v/>
      </c>
      <c r="Q115" s="18">
        <f>'Grid_TheoreticalStock'!H56</f>
        <v/>
      </c>
      <c r="R115" s="18">
        <f>'Grid_TheoreticalStock'!I56</f>
        <v/>
      </c>
      <c r="S115" s="18">
        <f>'Grid_TheoreticalStock'!J56</f>
        <v/>
      </c>
      <c r="T115" s="18">
        <f>'Grid_TheoreticalStock'!K56</f>
        <v/>
      </c>
      <c r="U115" s="18">
        <f>'Grid_TheoreticalStock'!L56</f>
        <v/>
      </c>
      <c r="V115" s="18">
        <f>'Grid_TheoreticalStock'!M56</f>
        <v/>
      </c>
      <c r="W115" s="18">
        <f>'Grid_TheoreticalStock'!N56</f>
        <v/>
      </c>
      <c r="X115" s="18">
        <f>'Grid_TheoreticalStock'!O56</f>
        <v/>
      </c>
      <c r="Y115" s="18">
        <f>'Grid_TheoreticalStock'!P56</f>
        <v/>
      </c>
      <c r="Z115" s="18">
        <f>'Grid_TheoreticalStock'!Q56</f>
        <v/>
      </c>
      <c r="AA115" s="18">
        <f>'Grid_TheoreticalStock'!R56</f>
        <v/>
      </c>
      <c r="AB115" s="18">
        <f>'Grid_TheoreticalStock'!S56</f>
        <v/>
      </c>
      <c r="AC115" s="18">
        <f>'Grid_TheoreticalStock'!T56</f>
        <v/>
      </c>
      <c r="AD115" s="18">
        <f>'Grid_TheoreticalStock'!U56</f>
        <v/>
      </c>
      <c r="AE115" s="18">
        <f>'Grid_TheoreticalStock'!V56</f>
        <v/>
      </c>
      <c r="AF115" s="18">
        <f>'Grid_TheoreticalStock'!W56</f>
        <v/>
      </c>
      <c r="AG115" s="18">
        <f>'Grid_TheoreticalStock'!X56</f>
        <v/>
      </c>
      <c r="AH115" s="18">
        <f>'Grid_TheoreticalStock'!Y56</f>
        <v/>
      </c>
      <c r="AI115" s="18">
        <f>'Grid_TheoreticalStock'!Z56</f>
        <v/>
      </c>
      <c r="AJ115" s="18">
        <f>'Grid_TheoreticalStock'!AA56</f>
        <v/>
      </c>
      <c r="AK115" s="18">
        <f>'Grid_TheoreticalStock'!AB56</f>
        <v/>
      </c>
      <c r="AL115" s="18">
        <f>'Grid_TheoreticalStock'!AC56</f>
        <v/>
      </c>
      <c r="AM115" s="18">
        <f>'Grid_TheoreticalStock'!AD56</f>
        <v/>
      </c>
      <c r="AN115" s="18">
        <f>'Grid_TheoreticalStock'!AE56</f>
        <v/>
      </c>
      <c r="AO115" s="18">
        <f>'Grid_TheoreticalStock'!AF56</f>
        <v/>
      </c>
      <c r="AP115" s="18">
        <f>'Grid_TheoreticalStock'!AG56</f>
        <v/>
      </c>
      <c r="AQ115" s="18">
        <f>'Grid_TheoreticalStock'!AH56</f>
        <v/>
      </c>
      <c r="AR115" s="18">
        <f>'Grid_TheoreticalStock'!AI56</f>
        <v/>
      </c>
      <c r="AS115" s="18">
        <f>'Grid_TheoreticalStock'!AJ56</f>
        <v/>
      </c>
      <c r="AT115" s="18">
        <f>'Grid_TheoreticalStock'!AK56</f>
        <v/>
      </c>
      <c r="AU115" s="18">
        <f>'Grid_TheoreticalStock'!AL56</f>
        <v/>
      </c>
      <c r="AV115" s="18">
        <f>'Grid_TheoreticalStock'!AM56</f>
        <v/>
      </c>
      <c r="AW115" s="18">
        <f>'Grid_TheoreticalStock'!AN56</f>
        <v/>
      </c>
      <c r="AX115" s="18">
        <f>'Grid_TheoreticalStock'!AO56</f>
        <v/>
      </c>
      <c r="AY115" s="18">
        <f>'Grid_TheoreticalStock'!AP56</f>
        <v/>
      </c>
      <c r="AZ115" s="18">
        <f>'Grid_TheoreticalStock'!AQ56</f>
        <v/>
      </c>
      <c r="BA115" s="18">
        <f>'Grid_TheoreticalStock'!AR56</f>
        <v/>
      </c>
      <c r="BB115" s="18">
        <f>'Grid_TheoreticalStock'!AS56</f>
        <v/>
      </c>
      <c r="BC115" s="18">
        <f>'Grid_TheoreticalStock'!AT56</f>
        <v/>
      </c>
      <c r="BD115" s="18">
        <f>'Grid_TheoreticalStock'!AU56</f>
        <v/>
      </c>
      <c r="BE115" s="18">
        <f>'Grid_TheoreticalStock'!AV56</f>
        <v/>
      </c>
      <c r="BF115" s="18">
        <f>'Grid_TheoreticalStock'!AW56</f>
        <v/>
      </c>
      <c r="BG115" s="18">
        <f>'Grid_TheoreticalStock'!AX56</f>
        <v/>
      </c>
      <c r="BH115" s="18">
        <f>'Grid_TheoreticalStock'!AY56</f>
        <v/>
      </c>
      <c r="BI115" s="18">
        <f>'Grid_TheoreticalStock'!AZ56</f>
        <v/>
      </c>
      <c r="BJ115" s="18">
        <f>'Grid_TheoreticalStock'!BA56</f>
        <v/>
      </c>
      <c r="BK115" s="18">
        <f>'Grid_TheoreticalStock'!BB56</f>
        <v/>
      </c>
      <c r="BL115" s="18">
        <f>'Grid_TheoreticalStock'!BC56</f>
        <v/>
      </c>
      <c r="BM115" s="18">
        <f>'Grid_TheoreticalStock'!BD56</f>
        <v/>
      </c>
      <c r="BN115" s="18">
        <f>'Grid_TheoreticalStock'!BE56</f>
        <v/>
      </c>
      <c r="BO115" s="18">
        <f>'Grid_TheoreticalStock'!BF56</f>
        <v/>
      </c>
      <c r="BP115" s="18">
        <f>'Grid_TheoreticalStock'!BG56</f>
        <v/>
      </c>
      <c r="BQ115" s="18">
        <f>'Grid_TheoreticalStock'!BH56</f>
        <v/>
      </c>
      <c r="BR115" s="18">
        <f>'Grid_TheoreticalStock'!BI56</f>
        <v/>
      </c>
      <c r="BS115" s="18">
        <f>'Grid_TheoreticalStock'!BJ56</f>
        <v/>
      </c>
      <c r="BT115" s="18">
        <f>'Grid_TheoreticalStock'!BK56</f>
        <v/>
      </c>
      <c r="BU115" s="18">
        <f>'Grid_TheoreticalStock'!BL56</f>
        <v/>
      </c>
      <c r="BV115" s="18">
        <f>'Grid_TheoreticalStock'!BM56</f>
        <v/>
      </c>
      <c r="BW115" s="18">
        <f>'Grid_TheoreticalStock'!BN56</f>
        <v/>
      </c>
      <c r="BX115" s="18">
        <f>'Grid_TheoreticalStock'!BO56</f>
        <v/>
      </c>
      <c r="BY115" s="18">
        <f>'Grid_TheoreticalStock'!BP56</f>
        <v/>
      </c>
      <c r="BZ115" s="18">
        <f>'Grid_TheoreticalStock'!BQ56</f>
        <v/>
      </c>
      <c r="CA115" s="18">
        <f>'Grid_TheoreticalStock'!BR56</f>
        <v/>
      </c>
      <c r="CB115" s="18">
        <f>'Grid_TheoreticalStock'!BS56</f>
        <v/>
      </c>
      <c r="CC115" s="18">
        <f>'Grid_TheoreticalStock'!BT56</f>
        <v/>
      </c>
      <c r="CD115" s="18">
        <f>'Grid_TheoreticalStock'!BU56</f>
        <v/>
      </c>
      <c r="CE115" s="18">
        <f>'Grid_TheoreticalStock'!BV56</f>
        <v/>
      </c>
      <c r="CF115" s="18">
        <f>'Grid_TheoreticalStock'!BW56</f>
        <v/>
      </c>
      <c r="CG115" s="18">
        <f>'Grid_TheoreticalStock'!BX56</f>
        <v/>
      </c>
      <c r="CH115" s="18">
        <f>'Grid_TheoreticalStock'!BY56</f>
        <v/>
      </c>
      <c r="CI115" s="18">
        <f>'Grid_TheoreticalStock'!BZ56</f>
        <v/>
      </c>
      <c r="CJ115" s="18">
        <f>'Grid_TheoreticalStock'!CA56</f>
        <v/>
      </c>
      <c r="CK115" s="18">
        <f>'Grid_TheoreticalStock'!CB56</f>
        <v/>
      </c>
      <c r="CL115" s="18">
        <f>'Grid_TheoreticalStock'!CC56</f>
        <v/>
      </c>
      <c r="CM115" s="18">
        <f>'Grid_TheoreticalStock'!CD56</f>
        <v/>
      </c>
      <c r="CN115" s="18">
        <f>'Grid_TheoreticalStock'!CE56</f>
        <v/>
      </c>
      <c r="CO115" s="18">
        <f>'Grid_TheoreticalStock'!CF56</f>
        <v/>
      </c>
      <c r="CP115" s="18">
        <f>'Grid_TheoreticalStock'!CG56</f>
        <v/>
      </c>
      <c r="CQ115" s="18">
        <f>'Grid_TheoreticalStock'!CH56</f>
        <v/>
      </c>
      <c r="CR115" s="18">
        <f>'Grid_TheoreticalStock'!CI56</f>
        <v/>
      </c>
      <c r="CS115" s="18">
        <f>'Grid_TheoreticalStock'!CJ56</f>
        <v/>
      </c>
      <c r="CT115" s="18">
        <f>'Grid_TheoreticalStock'!CK56</f>
        <v/>
      </c>
      <c r="CU115" s="18">
        <f>'Grid_TheoreticalStock'!CL56</f>
        <v/>
      </c>
      <c r="CV115" s="18">
        <f>'Grid_TheoreticalStock'!CM56</f>
        <v/>
      </c>
      <c r="CW115" s="18">
        <f>'Grid_TheoreticalStock'!CN56</f>
        <v/>
      </c>
      <c r="CX115" s="18">
        <f>'Grid_TheoreticalStock'!CO56</f>
        <v/>
      </c>
      <c r="CY115" s="18">
        <f>'Grid_TheoreticalStock'!CP56</f>
        <v/>
      </c>
      <c r="CZ115" s="18">
        <f>'Grid_TheoreticalStock'!CQ56</f>
        <v/>
      </c>
      <c r="DA115" s="18">
        <f>'Grid_TheoreticalStock'!CR56</f>
        <v/>
      </c>
      <c r="DB115" s="18">
        <f>'Grid_TheoreticalStock'!CS56</f>
        <v/>
      </c>
      <c r="DC115" s="18">
        <f>'Grid_TheoreticalStock'!CT56</f>
        <v/>
      </c>
      <c r="DD115" s="18">
        <f>'Grid_TheoreticalStock'!CU56</f>
        <v/>
      </c>
      <c r="DE115" s="18">
        <f>'Grid_TheoreticalStock'!CV56</f>
        <v/>
      </c>
      <c r="DF115" s="18">
        <f>'Grid_TheoreticalStock'!CW56</f>
        <v/>
      </c>
      <c r="DG115" s="18">
        <f>'Grid_TheoreticalStock'!CX56</f>
        <v/>
      </c>
      <c r="DH115" s="18">
        <f>'Grid_TheoreticalStock'!CY56</f>
        <v/>
      </c>
      <c r="DI115" s="18">
        <f>'Grid_TheoreticalStock'!CZ56</f>
        <v/>
      </c>
      <c r="DJ115" s="18">
        <f>'Grid_TheoreticalStock'!DA56</f>
        <v/>
      </c>
    </row>
    <row r="116">
      <c r="A116" s="19" t="inlineStr">
        <is>
          <t>CHEM-1690</t>
        </is>
      </c>
      <c r="B116" s="19">
        <f>IFERROR(INDEX(M_RawMaterials[Description],MATCH($A116,M_RawMaterials[Part Name],0)),"")</f>
        <v/>
      </c>
      <c r="C116" s="19">
        <f>IFERROR(INDEX(M_RawMaterials[Category],MATCH($A116,M_RawMaterials[Part Name],0)),"")</f>
        <v/>
      </c>
      <c r="D116" s="19">
        <f>IFERROR(INDEX(M_RawMaterials[基準在庫下限_要入力],MATCH($A116,M_RawMaterials[Part Name],0)),0)</f>
        <v/>
      </c>
      <c r="E116" s="19">
        <f>IFERROR(INDEX(M_RawMaterials[基準在庫上限_要入力],MATCH($A116,M_RawMaterials[Part Name],0)),0)</f>
        <v/>
      </c>
      <c r="F116" s="19">
        <f>IFERROR(LOOKUP(2,1/('T_SelfStock'!$B$60:$DA$60&lt;&gt;""),'T_SelfStock'!$B$60:$DA$60),"")</f>
        <v/>
      </c>
      <c r="G116" s="19">
        <f>IFERROR(LOOKUP(2,1/('T_TTAFStock'!$B$60:$DA$60&lt;&gt;""),'T_TTAFStock'!$B$60:$DA$60),"")</f>
        <v/>
      </c>
      <c r="H116" s="19">
        <f>IFERROR(LOOKUP(2,1/('T_SelfStock'!$B$60:$DA$60&lt;&gt;""),'T_SelfStock'!$B$5:$DA$5),"")</f>
        <v/>
      </c>
      <c r="I116" s="20" t="inlineStr">
        <is>
          <t>実在庫</t>
        </is>
      </c>
      <c r="J116" s="19">
        <f>'Grid_Stock'!DA56-'Grid_TheoreticalStock'!DA56</f>
        <v/>
      </c>
      <c r="K116" s="19">
        <f>'Grid_Stock'!B56</f>
        <v/>
      </c>
      <c r="L116" s="19">
        <f>'Grid_Stock'!C56</f>
        <v/>
      </c>
      <c r="M116" s="19">
        <f>'Grid_Stock'!D56</f>
        <v/>
      </c>
      <c r="N116" s="19">
        <f>'Grid_Stock'!E56</f>
        <v/>
      </c>
      <c r="O116" s="19">
        <f>'Grid_Stock'!F56</f>
        <v/>
      </c>
      <c r="P116" s="19">
        <f>'Grid_Stock'!G56</f>
        <v/>
      </c>
      <c r="Q116" s="19">
        <f>'Grid_Stock'!H56</f>
        <v/>
      </c>
      <c r="R116" s="19">
        <f>'Grid_Stock'!I56</f>
        <v/>
      </c>
      <c r="S116" s="19">
        <f>'Grid_Stock'!J56</f>
        <v/>
      </c>
      <c r="T116" s="19">
        <f>'Grid_Stock'!K56</f>
        <v/>
      </c>
      <c r="U116" s="19">
        <f>'Grid_Stock'!L56</f>
        <v/>
      </c>
      <c r="V116" s="19">
        <f>'Grid_Stock'!M56</f>
        <v/>
      </c>
      <c r="W116" s="19">
        <f>'Grid_Stock'!N56</f>
        <v/>
      </c>
      <c r="X116" s="19">
        <f>'Grid_Stock'!O56</f>
        <v/>
      </c>
      <c r="Y116" s="19">
        <f>'Grid_Stock'!P56</f>
        <v/>
      </c>
      <c r="Z116" s="19">
        <f>'Grid_Stock'!Q56</f>
        <v/>
      </c>
      <c r="AA116" s="19">
        <f>'Grid_Stock'!R56</f>
        <v/>
      </c>
      <c r="AB116" s="19">
        <f>'Grid_Stock'!S56</f>
        <v/>
      </c>
      <c r="AC116" s="19">
        <f>'Grid_Stock'!T56</f>
        <v/>
      </c>
      <c r="AD116" s="19">
        <f>'Grid_Stock'!U56</f>
        <v/>
      </c>
      <c r="AE116" s="19">
        <f>'Grid_Stock'!V56</f>
        <v/>
      </c>
      <c r="AF116" s="19">
        <f>'Grid_Stock'!W56</f>
        <v/>
      </c>
      <c r="AG116" s="19">
        <f>'Grid_Stock'!X56</f>
        <v/>
      </c>
      <c r="AH116" s="19">
        <f>'Grid_Stock'!Y56</f>
        <v/>
      </c>
      <c r="AI116" s="19">
        <f>'Grid_Stock'!Z56</f>
        <v/>
      </c>
      <c r="AJ116" s="19">
        <f>'Grid_Stock'!AA56</f>
        <v/>
      </c>
      <c r="AK116" s="19">
        <f>'Grid_Stock'!AB56</f>
        <v/>
      </c>
      <c r="AL116" s="19">
        <f>'Grid_Stock'!AC56</f>
        <v/>
      </c>
      <c r="AM116" s="19">
        <f>'Grid_Stock'!AD56</f>
        <v/>
      </c>
      <c r="AN116" s="19">
        <f>'Grid_Stock'!AE56</f>
        <v/>
      </c>
      <c r="AO116" s="19">
        <f>'Grid_Stock'!AF56</f>
        <v/>
      </c>
      <c r="AP116" s="19">
        <f>'Grid_Stock'!AG56</f>
        <v/>
      </c>
      <c r="AQ116" s="19">
        <f>'Grid_Stock'!AH56</f>
        <v/>
      </c>
      <c r="AR116" s="19">
        <f>'Grid_Stock'!AI56</f>
        <v/>
      </c>
      <c r="AS116" s="19">
        <f>'Grid_Stock'!AJ56</f>
        <v/>
      </c>
      <c r="AT116" s="19">
        <f>'Grid_Stock'!AK56</f>
        <v/>
      </c>
      <c r="AU116" s="19">
        <f>'Grid_Stock'!AL56</f>
        <v/>
      </c>
      <c r="AV116" s="19">
        <f>'Grid_Stock'!AM56</f>
        <v/>
      </c>
      <c r="AW116" s="19">
        <f>'Grid_Stock'!AN56</f>
        <v/>
      </c>
      <c r="AX116" s="19">
        <f>'Grid_Stock'!AO56</f>
        <v/>
      </c>
      <c r="AY116" s="19">
        <f>'Grid_Stock'!AP56</f>
        <v/>
      </c>
      <c r="AZ116" s="19">
        <f>'Grid_Stock'!AQ56</f>
        <v/>
      </c>
      <c r="BA116" s="19">
        <f>'Grid_Stock'!AR56</f>
        <v/>
      </c>
      <c r="BB116" s="19">
        <f>'Grid_Stock'!AS56</f>
        <v/>
      </c>
      <c r="BC116" s="19">
        <f>'Grid_Stock'!AT56</f>
        <v/>
      </c>
      <c r="BD116" s="19">
        <f>'Grid_Stock'!AU56</f>
        <v/>
      </c>
      <c r="BE116" s="19">
        <f>'Grid_Stock'!AV56</f>
        <v/>
      </c>
      <c r="BF116" s="19">
        <f>'Grid_Stock'!AW56</f>
        <v/>
      </c>
      <c r="BG116" s="19">
        <f>'Grid_Stock'!AX56</f>
        <v/>
      </c>
      <c r="BH116" s="19">
        <f>'Grid_Stock'!AY56</f>
        <v/>
      </c>
      <c r="BI116" s="19">
        <f>'Grid_Stock'!AZ56</f>
        <v/>
      </c>
      <c r="BJ116" s="19">
        <f>'Grid_Stock'!BA56</f>
        <v/>
      </c>
      <c r="BK116" s="19">
        <f>'Grid_Stock'!BB56</f>
        <v/>
      </c>
      <c r="BL116" s="19">
        <f>'Grid_Stock'!BC56</f>
        <v/>
      </c>
      <c r="BM116" s="19">
        <f>'Grid_Stock'!BD56</f>
        <v/>
      </c>
      <c r="BN116" s="19">
        <f>'Grid_Stock'!BE56</f>
        <v/>
      </c>
      <c r="BO116" s="19">
        <f>'Grid_Stock'!BF56</f>
        <v/>
      </c>
      <c r="BP116" s="19">
        <f>'Grid_Stock'!BG56</f>
        <v/>
      </c>
      <c r="BQ116" s="19">
        <f>'Grid_Stock'!BH56</f>
        <v/>
      </c>
      <c r="BR116" s="19">
        <f>'Grid_Stock'!BI56</f>
        <v/>
      </c>
      <c r="BS116" s="19">
        <f>'Grid_Stock'!BJ56</f>
        <v/>
      </c>
      <c r="BT116" s="19">
        <f>'Grid_Stock'!BK56</f>
        <v/>
      </c>
      <c r="BU116" s="19">
        <f>'Grid_Stock'!BL56</f>
        <v/>
      </c>
      <c r="BV116" s="19">
        <f>'Grid_Stock'!BM56</f>
        <v/>
      </c>
      <c r="BW116" s="19">
        <f>'Grid_Stock'!BN56</f>
        <v/>
      </c>
      <c r="BX116" s="19">
        <f>'Grid_Stock'!BO56</f>
        <v/>
      </c>
      <c r="BY116" s="19">
        <f>'Grid_Stock'!BP56</f>
        <v/>
      </c>
      <c r="BZ116" s="19">
        <f>'Grid_Stock'!BQ56</f>
        <v/>
      </c>
      <c r="CA116" s="19">
        <f>'Grid_Stock'!BR56</f>
        <v/>
      </c>
      <c r="CB116" s="19">
        <f>'Grid_Stock'!BS56</f>
        <v/>
      </c>
      <c r="CC116" s="19">
        <f>'Grid_Stock'!BT56</f>
        <v/>
      </c>
      <c r="CD116" s="19">
        <f>'Grid_Stock'!BU56</f>
        <v/>
      </c>
      <c r="CE116" s="19">
        <f>'Grid_Stock'!BV56</f>
        <v/>
      </c>
      <c r="CF116" s="19">
        <f>'Grid_Stock'!BW56</f>
        <v/>
      </c>
      <c r="CG116" s="19">
        <f>'Grid_Stock'!BX56</f>
        <v/>
      </c>
      <c r="CH116" s="19">
        <f>'Grid_Stock'!BY56</f>
        <v/>
      </c>
      <c r="CI116" s="19">
        <f>'Grid_Stock'!BZ56</f>
        <v/>
      </c>
      <c r="CJ116" s="19">
        <f>'Grid_Stock'!CA56</f>
        <v/>
      </c>
      <c r="CK116" s="19">
        <f>'Grid_Stock'!CB56</f>
        <v/>
      </c>
      <c r="CL116" s="19">
        <f>'Grid_Stock'!CC56</f>
        <v/>
      </c>
      <c r="CM116" s="19">
        <f>'Grid_Stock'!CD56</f>
        <v/>
      </c>
      <c r="CN116" s="19">
        <f>'Grid_Stock'!CE56</f>
        <v/>
      </c>
      <c r="CO116" s="19">
        <f>'Grid_Stock'!CF56</f>
        <v/>
      </c>
      <c r="CP116" s="19">
        <f>'Grid_Stock'!CG56</f>
        <v/>
      </c>
      <c r="CQ116" s="19">
        <f>'Grid_Stock'!CH56</f>
        <v/>
      </c>
      <c r="CR116" s="19">
        <f>'Grid_Stock'!CI56</f>
        <v/>
      </c>
      <c r="CS116" s="19">
        <f>'Grid_Stock'!CJ56</f>
        <v/>
      </c>
      <c r="CT116" s="19">
        <f>'Grid_Stock'!CK56</f>
        <v/>
      </c>
      <c r="CU116" s="19">
        <f>'Grid_Stock'!CL56</f>
        <v/>
      </c>
      <c r="CV116" s="19">
        <f>'Grid_Stock'!CM56</f>
        <v/>
      </c>
      <c r="CW116" s="19">
        <f>'Grid_Stock'!CN56</f>
        <v/>
      </c>
      <c r="CX116" s="19">
        <f>'Grid_Stock'!CO56</f>
        <v/>
      </c>
      <c r="CY116" s="19">
        <f>'Grid_Stock'!CP56</f>
        <v/>
      </c>
      <c r="CZ116" s="19">
        <f>'Grid_Stock'!CQ56</f>
        <v/>
      </c>
      <c r="DA116" s="19">
        <f>'Grid_Stock'!CR56</f>
        <v/>
      </c>
      <c r="DB116" s="19">
        <f>'Grid_Stock'!CS56</f>
        <v/>
      </c>
      <c r="DC116" s="19">
        <f>'Grid_Stock'!CT56</f>
        <v/>
      </c>
      <c r="DD116" s="19">
        <f>'Grid_Stock'!CU56</f>
        <v/>
      </c>
      <c r="DE116" s="19">
        <f>'Grid_Stock'!CV56</f>
        <v/>
      </c>
      <c r="DF116" s="19">
        <f>'Grid_Stock'!CW56</f>
        <v/>
      </c>
      <c r="DG116" s="19">
        <f>'Grid_Stock'!CX56</f>
        <v/>
      </c>
      <c r="DH116" s="19">
        <f>'Grid_Stock'!CY56</f>
        <v/>
      </c>
      <c r="DI116" s="19">
        <f>'Grid_Stock'!CZ56</f>
        <v/>
      </c>
      <c r="DJ116" s="19">
        <f>'Grid_Stock'!DA56</f>
        <v/>
      </c>
    </row>
    <row r="117">
      <c r="A117" s="17" t="inlineStr">
        <is>
          <t>CHEM-1720</t>
        </is>
      </c>
      <c r="B117" s="17">
        <f>IFERROR(INDEX(M_RawMaterials[Description],MATCH($A117,M_RawMaterials[Part Name],0)),"")</f>
        <v/>
      </c>
      <c r="C117" s="17">
        <f>IFERROR(INDEX(M_RawMaterials[Category],MATCH($A117,M_RawMaterials[Part Name],0)),"")</f>
        <v/>
      </c>
      <c r="D117" s="17">
        <f>IFERROR(INDEX(M_RawMaterials[基準在庫下限_要入力],MATCH($A117,M_RawMaterials[Part Name],0)),0)</f>
        <v/>
      </c>
      <c r="E117" s="17">
        <f>IFERROR(INDEX(M_RawMaterials[基準在庫上限_要入力],MATCH($A117,M_RawMaterials[Part Name],0)),0)</f>
        <v/>
      </c>
      <c r="F117" s="17">
        <f>IFERROR(LOOKUP(2,1/('T_SelfStock'!$B$61:$DA$61&lt;&gt;""),'T_SelfStock'!$B$61:$DA$61),"")</f>
        <v/>
      </c>
      <c r="G117" s="17">
        <f>IFERROR(LOOKUP(2,1/('T_TTAFStock'!$B$61:$DA$61&lt;&gt;""),'T_TTAFStock'!$B$61:$DA$61),"")</f>
        <v/>
      </c>
      <c r="H117" s="17">
        <f>IFERROR(LOOKUP(2,1/('T_SelfStock'!$B$61:$DA$61&lt;&gt;""),'T_SelfStock'!$B$5:$DA$5),"")</f>
        <v/>
      </c>
      <c r="I117" s="18" t="inlineStr">
        <is>
          <t>理論在庫</t>
        </is>
      </c>
      <c r="J117" s="17">
        <f>'Grid_Stock'!DA57-'Grid_TheoreticalStock'!DA57</f>
        <v/>
      </c>
      <c r="K117" s="18">
        <f>'Grid_TheoreticalStock'!B57</f>
        <v/>
      </c>
      <c r="L117" s="18">
        <f>'Grid_TheoreticalStock'!C57</f>
        <v/>
      </c>
      <c r="M117" s="18">
        <f>'Grid_TheoreticalStock'!D57</f>
        <v/>
      </c>
      <c r="N117" s="18">
        <f>'Grid_TheoreticalStock'!E57</f>
        <v/>
      </c>
      <c r="O117" s="18">
        <f>'Grid_TheoreticalStock'!F57</f>
        <v/>
      </c>
      <c r="P117" s="18">
        <f>'Grid_TheoreticalStock'!G57</f>
        <v/>
      </c>
      <c r="Q117" s="18">
        <f>'Grid_TheoreticalStock'!H57</f>
        <v/>
      </c>
      <c r="R117" s="18">
        <f>'Grid_TheoreticalStock'!I57</f>
        <v/>
      </c>
      <c r="S117" s="18">
        <f>'Grid_TheoreticalStock'!J57</f>
        <v/>
      </c>
      <c r="T117" s="18">
        <f>'Grid_TheoreticalStock'!K57</f>
        <v/>
      </c>
      <c r="U117" s="18">
        <f>'Grid_TheoreticalStock'!L57</f>
        <v/>
      </c>
      <c r="V117" s="18">
        <f>'Grid_TheoreticalStock'!M57</f>
        <v/>
      </c>
      <c r="W117" s="18">
        <f>'Grid_TheoreticalStock'!N57</f>
        <v/>
      </c>
      <c r="X117" s="18">
        <f>'Grid_TheoreticalStock'!O57</f>
        <v/>
      </c>
      <c r="Y117" s="18">
        <f>'Grid_TheoreticalStock'!P57</f>
        <v/>
      </c>
      <c r="Z117" s="18">
        <f>'Grid_TheoreticalStock'!Q57</f>
        <v/>
      </c>
      <c r="AA117" s="18">
        <f>'Grid_TheoreticalStock'!R57</f>
        <v/>
      </c>
      <c r="AB117" s="18">
        <f>'Grid_TheoreticalStock'!S57</f>
        <v/>
      </c>
      <c r="AC117" s="18">
        <f>'Grid_TheoreticalStock'!T57</f>
        <v/>
      </c>
      <c r="AD117" s="18">
        <f>'Grid_TheoreticalStock'!U57</f>
        <v/>
      </c>
      <c r="AE117" s="18">
        <f>'Grid_TheoreticalStock'!V57</f>
        <v/>
      </c>
      <c r="AF117" s="18">
        <f>'Grid_TheoreticalStock'!W57</f>
        <v/>
      </c>
      <c r="AG117" s="18">
        <f>'Grid_TheoreticalStock'!X57</f>
        <v/>
      </c>
      <c r="AH117" s="18">
        <f>'Grid_TheoreticalStock'!Y57</f>
        <v/>
      </c>
      <c r="AI117" s="18">
        <f>'Grid_TheoreticalStock'!Z57</f>
        <v/>
      </c>
      <c r="AJ117" s="18">
        <f>'Grid_TheoreticalStock'!AA57</f>
        <v/>
      </c>
      <c r="AK117" s="18">
        <f>'Grid_TheoreticalStock'!AB57</f>
        <v/>
      </c>
      <c r="AL117" s="18">
        <f>'Grid_TheoreticalStock'!AC57</f>
        <v/>
      </c>
      <c r="AM117" s="18">
        <f>'Grid_TheoreticalStock'!AD57</f>
        <v/>
      </c>
      <c r="AN117" s="18">
        <f>'Grid_TheoreticalStock'!AE57</f>
        <v/>
      </c>
      <c r="AO117" s="18">
        <f>'Grid_TheoreticalStock'!AF57</f>
        <v/>
      </c>
      <c r="AP117" s="18">
        <f>'Grid_TheoreticalStock'!AG57</f>
        <v/>
      </c>
      <c r="AQ117" s="18">
        <f>'Grid_TheoreticalStock'!AH57</f>
        <v/>
      </c>
      <c r="AR117" s="18">
        <f>'Grid_TheoreticalStock'!AI57</f>
        <v/>
      </c>
      <c r="AS117" s="18">
        <f>'Grid_TheoreticalStock'!AJ57</f>
        <v/>
      </c>
      <c r="AT117" s="18">
        <f>'Grid_TheoreticalStock'!AK57</f>
        <v/>
      </c>
      <c r="AU117" s="18">
        <f>'Grid_TheoreticalStock'!AL57</f>
        <v/>
      </c>
      <c r="AV117" s="18">
        <f>'Grid_TheoreticalStock'!AM57</f>
        <v/>
      </c>
      <c r="AW117" s="18">
        <f>'Grid_TheoreticalStock'!AN57</f>
        <v/>
      </c>
      <c r="AX117" s="18">
        <f>'Grid_TheoreticalStock'!AO57</f>
        <v/>
      </c>
      <c r="AY117" s="18">
        <f>'Grid_TheoreticalStock'!AP57</f>
        <v/>
      </c>
      <c r="AZ117" s="18">
        <f>'Grid_TheoreticalStock'!AQ57</f>
        <v/>
      </c>
      <c r="BA117" s="18">
        <f>'Grid_TheoreticalStock'!AR57</f>
        <v/>
      </c>
      <c r="BB117" s="18">
        <f>'Grid_TheoreticalStock'!AS57</f>
        <v/>
      </c>
      <c r="BC117" s="18">
        <f>'Grid_TheoreticalStock'!AT57</f>
        <v/>
      </c>
      <c r="BD117" s="18">
        <f>'Grid_TheoreticalStock'!AU57</f>
        <v/>
      </c>
      <c r="BE117" s="18">
        <f>'Grid_TheoreticalStock'!AV57</f>
        <v/>
      </c>
      <c r="BF117" s="18">
        <f>'Grid_TheoreticalStock'!AW57</f>
        <v/>
      </c>
      <c r="BG117" s="18">
        <f>'Grid_TheoreticalStock'!AX57</f>
        <v/>
      </c>
      <c r="BH117" s="18">
        <f>'Grid_TheoreticalStock'!AY57</f>
        <v/>
      </c>
      <c r="BI117" s="18">
        <f>'Grid_TheoreticalStock'!AZ57</f>
        <v/>
      </c>
      <c r="BJ117" s="18">
        <f>'Grid_TheoreticalStock'!BA57</f>
        <v/>
      </c>
      <c r="BK117" s="18">
        <f>'Grid_TheoreticalStock'!BB57</f>
        <v/>
      </c>
      <c r="BL117" s="18">
        <f>'Grid_TheoreticalStock'!BC57</f>
        <v/>
      </c>
      <c r="BM117" s="18">
        <f>'Grid_TheoreticalStock'!BD57</f>
        <v/>
      </c>
      <c r="BN117" s="18">
        <f>'Grid_TheoreticalStock'!BE57</f>
        <v/>
      </c>
      <c r="BO117" s="18">
        <f>'Grid_TheoreticalStock'!BF57</f>
        <v/>
      </c>
      <c r="BP117" s="18">
        <f>'Grid_TheoreticalStock'!BG57</f>
        <v/>
      </c>
      <c r="BQ117" s="18">
        <f>'Grid_TheoreticalStock'!BH57</f>
        <v/>
      </c>
      <c r="BR117" s="18">
        <f>'Grid_TheoreticalStock'!BI57</f>
        <v/>
      </c>
      <c r="BS117" s="18">
        <f>'Grid_TheoreticalStock'!BJ57</f>
        <v/>
      </c>
      <c r="BT117" s="18">
        <f>'Grid_TheoreticalStock'!BK57</f>
        <v/>
      </c>
      <c r="BU117" s="18">
        <f>'Grid_TheoreticalStock'!BL57</f>
        <v/>
      </c>
      <c r="BV117" s="18">
        <f>'Grid_TheoreticalStock'!BM57</f>
        <v/>
      </c>
      <c r="BW117" s="18">
        <f>'Grid_TheoreticalStock'!BN57</f>
        <v/>
      </c>
      <c r="BX117" s="18">
        <f>'Grid_TheoreticalStock'!BO57</f>
        <v/>
      </c>
      <c r="BY117" s="18">
        <f>'Grid_TheoreticalStock'!BP57</f>
        <v/>
      </c>
      <c r="BZ117" s="18">
        <f>'Grid_TheoreticalStock'!BQ57</f>
        <v/>
      </c>
      <c r="CA117" s="18">
        <f>'Grid_TheoreticalStock'!BR57</f>
        <v/>
      </c>
      <c r="CB117" s="18">
        <f>'Grid_TheoreticalStock'!BS57</f>
        <v/>
      </c>
      <c r="CC117" s="18">
        <f>'Grid_TheoreticalStock'!BT57</f>
        <v/>
      </c>
      <c r="CD117" s="18">
        <f>'Grid_TheoreticalStock'!BU57</f>
        <v/>
      </c>
      <c r="CE117" s="18">
        <f>'Grid_TheoreticalStock'!BV57</f>
        <v/>
      </c>
      <c r="CF117" s="18">
        <f>'Grid_TheoreticalStock'!BW57</f>
        <v/>
      </c>
      <c r="CG117" s="18">
        <f>'Grid_TheoreticalStock'!BX57</f>
        <v/>
      </c>
      <c r="CH117" s="18">
        <f>'Grid_TheoreticalStock'!BY57</f>
        <v/>
      </c>
      <c r="CI117" s="18">
        <f>'Grid_TheoreticalStock'!BZ57</f>
        <v/>
      </c>
      <c r="CJ117" s="18">
        <f>'Grid_TheoreticalStock'!CA57</f>
        <v/>
      </c>
      <c r="CK117" s="18">
        <f>'Grid_TheoreticalStock'!CB57</f>
        <v/>
      </c>
      <c r="CL117" s="18">
        <f>'Grid_TheoreticalStock'!CC57</f>
        <v/>
      </c>
      <c r="CM117" s="18">
        <f>'Grid_TheoreticalStock'!CD57</f>
        <v/>
      </c>
      <c r="CN117" s="18">
        <f>'Grid_TheoreticalStock'!CE57</f>
        <v/>
      </c>
      <c r="CO117" s="18">
        <f>'Grid_TheoreticalStock'!CF57</f>
        <v/>
      </c>
      <c r="CP117" s="18">
        <f>'Grid_TheoreticalStock'!CG57</f>
        <v/>
      </c>
      <c r="CQ117" s="18">
        <f>'Grid_TheoreticalStock'!CH57</f>
        <v/>
      </c>
      <c r="CR117" s="18">
        <f>'Grid_TheoreticalStock'!CI57</f>
        <v/>
      </c>
      <c r="CS117" s="18">
        <f>'Grid_TheoreticalStock'!CJ57</f>
        <v/>
      </c>
      <c r="CT117" s="18">
        <f>'Grid_TheoreticalStock'!CK57</f>
        <v/>
      </c>
      <c r="CU117" s="18">
        <f>'Grid_TheoreticalStock'!CL57</f>
        <v/>
      </c>
      <c r="CV117" s="18">
        <f>'Grid_TheoreticalStock'!CM57</f>
        <v/>
      </c>
      <c r="CW117" s="18">
        <f>'Grid_TheoreticalStock'!CN57</f>
        <v/>
      </c>
      <c r="CX117" s="18">
        <f>'Grid_TheoreticalStock'!CO57</f>
        <v/>
      </c>
      <c r="CY117" s="18">
        <f>'Grid_TheoreticalStock'!CP57</f>
        <v/>
      </c>
      <c r="CZ117" s="18">
        <f>'Grid_TheoreticalStock'!CQ57</f>
        <v/>
      </c>
      <c r="DA117" s="18">
        <f>'Grid_TheoreticalStock'!CR57</f>
        <v/>
      </c>
      <c r="DB117" s="18">
        <f>'Grid_TheoreticalStock'!CS57</f>
        <v/>
      </c>
      <c r="DC117" s="18">
        <f>'Grid_TheoreticalStock'!CT57</f>
        <v/>
      </c>
      <c r="DD117" s="18">
        <f>'Grid_TheoreticalStock'!CU57</f>
        <v/>
      </c>
      <c r="DE117" s="18">
        <f>'Grid_TheoreticalStock'!CV57</f>
        <v/>
      </c>
      <c r="DF117" s="18">
        <f>'Grid_TheoreticalStock'!CW57</f>
        <v/>
      </c>
      <c r="DG117" s="18">
        <f>'Grid_TheoreticalStock'!CX57</f>
        <v/>
      </c>
      <c r="DH117" s="18">
        <f>'Grid_TheoreticalStock'!CY57</f>
        <v/>
      </c>
      <c r="DI117" s="18">
        <f>'Grid_TheoreticalStock'!CZ57</f>
        <v/>
      </c>
      <c r="DJ117" s="18">
        <f>'Grid_TheoreticalStock'!DA57</f>
        <v/>
      </c>
    </row>
    <row r="118">
      <c r="A118" s="19" t="inlineStr">
        <is>
          <t>CHEM-1720</t>
        </is>
      </c>
      <c r="B118" s="19">
        <f>IFERROR(INDEX(M_RawMaterials[Description],MATCH($A118,M_RawMaterials[Part Name],0)),"")</f>
        <v/>
      </c>
      <c r="C118" s="19">
        <f>IFERROR(INDEX(M_RawMaterials[Category],MATCH($A118,M_RawMaterials[Part Name],0)),"")</f>
        <v/>
      </c>
      <c r="D118" s="19">
        <f>IFERROR(INDEX(M_RawMaterials[基準在庫下限_要入力],MATCH($A118,M_RawMaterials[Part Name],0)),0)</f>
        <v/>
      </c>
      <c r="E118" s="19">
        <f>IFERROR(INDEX(M_RawMaterials[基準在庫上限_要入力],MATCH($A118,M_RawMaterials[Part Name],0)),0)</f>
        <v/>
      </c>
      <c r="F118" s="19">
        <f>IFERROR(LOOKUP(2,1/('T_SelfStock'!$B$61:$DA$61&lt;&gt;""),'T_SelfStock'!$B$61:$DA$61),"")</f>
        <v/>
      </c>
      <c r="G118" s="19">
        <f>IFERROR(LOOKUP(2,1/('T_TTAFStock'!$B$61:$DA$61&lt;&gt;""),'T_TTAFStock'!$B$61:$DA$61),"")</f>
        <v/>
      </c>
      <c r="H118" s="19">
        <f>IFERROR(LOOKUP(2,1/('T_SelfStock'!$B$61:$DA$61&lt;&gt;""),'T_SelfStock'!$B$5:$DA$5),"")</f>
        <v/>
      </c>
      <c r="I118" s="20" t="inlineStr">
        <is>
          <t>実在庫</t>
        </is>
      </c>
      <c r="J118" s="19">
        <f>'Grid_Stock'!DA57-'Grid_TheoreticalStock'!DA57</f>
        <v/>
      </c>
      <c r="K118" s="19">
        <f>'Grid_Stock'!B57</f>
        <v/>
      </c>
      <c r="L118" s="19">
        <f>'Grid_Stock'!C57</f>
        <v/>
      </c>
      <c r="M118" s="19">
        <f>'Grid_Stock'!D57</f>
        <v/>
      </c>
      <c r="N118" s="19">
        <f>'Grid_Stock'!E57</f>
        <v/>
      </c>
      <c r="O118" s="19">
        <f>'Grid_Stock'!F57</f>
        <v/>
      </c>
      <c r="P118" s="19">
        <f>'Grid_Stock'!G57</f>
        <v/>
      </c>
      <c r="Q118" s="19">
        <f>'Grid_Stock'!H57</f>
        <v/>
      </c>
      <c r="R118" s="19">
        <f>'Grid_Stock'!I57</f>
        <v/>
      </c>
      <c r="S118" s="19">
        <f>'Grid_Stock'!J57</f>
        <v/>
      </c>
      <c r="T118" s="19">
        <f>'Grid_Stock'!K57</f>
        <v/>
      </c>
      <c r="U118" s="19">
        <f>'Grid_Stock'!L57</f>
        <v/>
      </c>
      <c r="V118" s="19">
        <f>'Grid_Stock'!M57</f>
        <v/>
      </c>
      <c r="W118" s="19">
        <f>'Grid_Stock'!N57</f>
        <v/>
      </c>
      <c r="X118" s="19">
        <f>'Grid_Stock'!O57</f>
        <v/>
      </c>
      <c r="Y118" s="19">
        <f>'Grid_Stock'!P57</f>
        <v/>
      </c>
      <c r="Z118" s="19">
        <f>'Grid_Stock'!Q57</f>
        <v/>
      </c>
      <c r="AA118" s="19">
        <f>'Grid_Stock'!R57</f>
        <v/>
      </c>
      <c r="AB118" s="19">
        <f>'Grid_Stock'!S57</f>
        <v/>
      </c>
      <c r="AC118" s="19">
        <f>'Grid_Stock'!T57</f>
        <v/>
      </c>
      <c r="AD118" s="19">
        <f>'Grid_Stock'!U57</f>
        <v/>
      </c>
      <c r="AE118" s="19">
        <f>'Grid_Stock'!V57</f>
        <v/>
      </c>
      <c r="AF118" s="19">
        <f>'Grid_Stock'!W57</f>
        <v/>
      </c>
      <c r="AG118" s="19">
        <f>'Grid_Stock'!X57</f>
        <v/>
      </c>
      <c r="AH118" s="19">
        <f>'Grid_Stock'!Y57</f>
        <v/>
      </c>
      <c r="AI118" s="19">
        <f>'Grid_Stock'!Z57</f>
        <v/>
      </c>
      <c r="AJ118" s="19">
        <f>'Grid_Stock'!AA57</f>
        <v/>
      </c>
      <c r="AK118" s="19">
        <f>'Grid_Stock'!AB57</f>
        <v/>
      </c>
      <c r="AL118" s="19">
        <f>'Grid_Stock'!AC57</f>
        <v/>
      </c>
      <c r="AM118" s="19">
        <f>'Grid_Stock'!AD57</f>
        <v/>
      </c>
      <c r="AN118" s="19">
        <f>'Grid_Stock'!AE57</f>
        <v/>
      </c>
      <c r="AO118" s="19">
        <f>'Grid_Stock'!AF57</f>
        <v/>
      </c>
      <c r="AP118" s="19">
        <f>'Grid_Stock'!AG57</f>
        <v/>
      </c>
      <c r="AQ118" s="19">
        <f>'Grid_Stock'!AH57</f>
        <v/>
      </c>
      <c r="AR118" s="19">
        <f>'Grid_Stock'!AI57</f>
        <v/>
      </c>
      <c r="AS118" s="19">
        <f>'Grid_Stock'!AJ57</f>
        <v/>
      </c>
      <c r="AT118" s="19">
        <f>'Grid_Stock'!AK57</f>
        <v/>
      </c>
      <c r="AU118" s="19">
        <f>'Grid_Stock'!AL57</f>
        <v/>
      </c>
      <c r="AV118" s="19">
        <f>'Grid_Stock'!AM57</f>
        <v/>
      </c>
      <c r="AW118" s="19">
        <f>'Grid_Stock'!AN57</f>
        <v/>
      </c>
      <c r="AX118" s="19">
        <f>'Grid_Stock'!AO57</f>
        <v/>
      </c>
      <c r="AY118" s="19">
        <f>'Grid_Stock'!AP57</f>
        <v/>
      </c>
      <c r="AZ118" s="19">
        <f>'Grid_Stock'!AQ57</f>
        <v/>
      </c>
      <c r="BA118" s="19">
        <f>'Grid_Stock'!AR57</f>
        <v/>
      </c>
      <c r="BB118" s="19">
        <f>'Grid_Stock'!AS57</f>
        <v/>
      </c>
      <c r="BC118" s="19">
        <f>'Grid_Stock'!AT57</f>
        <v/>
      </c>
      <c r="BD118" s="19">
        <f>'Grid_Stock'!AU57</f>
        <v/>
      </c>
      <c r="BE118" s="19">
        <f>'Grid_Stock'!AV57</f>
        <v/>
      </c>
      <c r="BF118" s="19">
        <f>'Grid_Stock'!AW57</f>
        <v/>
      </c>
      <c r="BG118" s="19">
        <f>'Grid_Stock'!AX57</f>
        <v/>
      </c>
      <c r="BH118" s="19">
        <f>'Grid_Stock'!AY57</f>
        <v/>
      </c>
      <c r="BI118" s="19">
        <f>'Grid_Stock'!AZ57</f>
        <v/>
      </c>
      <c r="BJ118" s="19">
        <f>'Grid_Stock'!BA57</f>
        <v/>
      </c>
      <c r="BK118" s="19">
        <f>'Grid_Stock'!BB57</f>
        <v/>
      </c>
      <c r="BL118" s="19">
        <f>'Grid_Stock'!BC57</f>
        <v/>
      </c>
      <c r="BM118" s="19">
        <f>'Grid_Stock'!BD57</f>
        <v/>
      </c>
      <c r="BN118" s="19">
        <f>'Grid_Stock'!BE57</f>
        <v/>
      </c>
      <c r="BO118" s="19">
        <f>'Grid_Stock'!BF57</f>
        <v/>
      </c>
      <c r="BP118" s="19">
        <f>'Grid_Stock'!BG57</f>
        <v/>
      </c>
      <c r="BQ118" s="19">
        <f>'Grid_Stock'!BH57</f>
        <v/>
      </c>
      <c r="BR118" s="19">
        <f>'Grid_Stock'!BI57</f>
        <v/>
      </c>
      <c r="BS118" s="19">
        <f>'Grid_Stock'!BJ57</f>
        <v/>
      </c>
      <c r="BT118" s="19">
        <f>'Grid_Stock'!BK57</f>
        <v/>
      </c>
      <c r="BU118" s="19">
        <f>'Grid_Stock'!BL57</f>
        <v/>
      </c>
      <c r="BV118" s="19">
        <f>'Grid_Stock'!BM57</f>
        <v/>
      </c>
      <c r="BW118" s="19">
        <f>'Grid_Stock'!BN57</f>
        <v/>
      </c>
      <c r="BX118" s="19">
        <f>'Grid_Stock'!BO57</f>
        <v/>
      </c>
      <c r="BY118" s="19">
        <f>'Grid_Stock'!BP57</f>
        <v/>
      </c>
      <c r="BZ118" s="19">
        <f>'Grid_Stock'!BQ57</f>
        <v/>
      </c>
      <c r="CA118" s="19">
        <f>'Grid_Stock'!BR57</f>
        <v/>
      </c>
      <c r="CB118" s="19">
        <f>'Grid_Stock'!BS57</f>
        <v/>
      </c>
      <c r="CC118" s="19">
        <f>'Grid_Stock'!BT57</f>
        <v/>
      </c>
      <c r="CD118" s="19">
        <f>'Grid_Stock'!BU57</f>
        <v/>
      </c>
      <c r="CE118" s="19">
        <f>'Grid_Stock'!BV57</f>
        <v/>
      </c>
      <c r="CF118" s="19">
        <f>'Grid_Stock'!BW57</f>
        <v/>
      </c>
      <c r="CG118" s="19">
        <f>'Grid_Stock'!BX57</f>
        <v/>
      </c>
      <c r="CH118" s="19">
        <f>'Grid_Stock'!BY57</f>
        <v/>
      </c>
      <c r="CI118" s="19">
        <f>'Grid_Stock'!BZ57</f>
        <v/>
      </c>
      <c r="CJ118" s="19">
        <f>'Grid_Stock'!CA57</f>
        <v/>
      </c>
      <c r="CK118" s="19">
        <f>'Grid_Stock'!CB57</f>
        <v/>
      </c>
      <c r="CL118" s="19">
        <f>'Grid_Stock'!CC57</f>
        <v/>
      </c>
      <c r="CM118" s="19">
        <f>'Grid_Stock'!CD57</f>
        <v/>
      </c>
      <c r="CN118" s="19">
        <f>'Grid_Stock'!CE57</f>
        <v/>
      </c>
      <c r="CO118" s="19">
        <f>'Grid_Stock'!CF57</f>
        <v/>
      </c>
      <c r="CP118" s="19">
        <f>'Grid_Stock'!CG57</f>
        <v/>
      </c>
      <c r="CQ118" s="19">
        <f>'Grid_Stock'!CH57</f>
        <v/>
      </c>
      <c r="CR118" s="19">
        <f>'Grid_Stock'!CI57</f>
        <v/>
      </c>
      <c r="CS118" s="19">
        <f>'Grid_Stock'!CJ57</f>
        <v/>
      </c>
      <c r="CT118" s="19">
        <f>'Grid_Stock'!CK57</f>
        <v/>
      </c>
      <c r="CU118" s="19">
        <f>'Grid_Stock'!CL57</f>
        <v/>
      </c>
      <c r="CV118" s="19">
        <f>'Grid_Stock'!CM57</f>
        <v/>
      </c>
      <c r="CW118" s="19">
        <f>'Grid_Stock'!CN57</f>
        <v/>
      </c>
      <c r="CX118" s="19">
        <f>'Grid_Stock'!CO57</f>
        <v/>
      </c>
      <c r="CY118" s="19">
        <f>'Grid_Stock'!CP57</f>
        <v/>
      </c>
      <c r="CZ118" s="19">
        <f>'Grid_Stock'!CQ57</f>
        <v/>
      </c>
      <c r="DA118" s="19">
        <f>'Grid_Stock'!CR57</f>
        <v/>
      </c>
      <c r="DB118" s="19">
        <f>'Grid_Stock'!CS57</f>
        <v/>
      </c>
      <c r="DC118" s="19">
        <f>'Grid_Stock'!CT57</f>
        <v/>
      </c>
      <c r="DD118" s="19">
        <f>'Grid_Stock'!CU57</f>
        <v/>
      </c>
      <c r="DE118" s="19">
        <f>'Grid_Stock'!CV57</f>
        <v/>
      </c>
      <c r="DF118" s="19">
        <f>'Grid_Stock'!CW57</f>
        <v/>
      </c>
      <c r="DG118" s="19">
        <f>'Grid_Stock'!CX57</f>
        <v/>
      </c>
      <c r="DH118" s="19">
        <f>'Grid_Stock'!CY57</f>
        <v/>
      </c>
      <c r="DI118" s="19">
        <f>'Grid_Stock'!CZ57</f>
        <v/>
      </c>
      <c r="DJ118" s="19">
        <f>'Grid_Stock'!DA57</f>
        <v/>
      </c>
    </row>
  </sheetData>
  <conditionalFormatting sqref="K7:DJ118">
    <cfRule type="expression" priority="1" dxfId="0">
      <formula>AND($I7="実在庫",K7&lt;$D7)</formula>
    </cfRule>
    <cfRule type="expression" priority="2" dxfId="1">
      <formula>AND($I7="実在庫",K7&gt;=$D7,K7&lt;=$E7)</formula>
    </cfRule>
    <cfRule type="expression" priority="3" dxfId="2">
      <formula>AND($I7="実在庫",K7&gt;$E7)</formula>
    </cfRule>
  </conditionalFormatting>
  <conditionalFormatting sqref="K6:DJ118">
    <cfRule type="expression" priority="4" dxfId="3">
      <formula>(COLUMN()-COLUMN($K$1)+1)=$F$1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D1249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13" t="n"/>
      <c r="B3" s="13" t="n"/>
      <c r="C3" s="13" t="n"/>
      <c r="D3" s="13">
        <f>'Cal_Weeks'!G4</f>
        <v/>
      </c>
      <c r="E3" s="13">
        <f>IF(TEXT('Cal_Weeks'!B5,"mmm-yy")&lt;&gt;TEXT('Cal_Weeks'!B4,"mmm-yy"),'Cal_Weeks'!G5,"")</f>
        <v/>
      </c>
      <c r="F3" s="13">
        <f>IF(TEXT('Cal_Weeks'!B6,"mmm-yy")&lt;&gt;TEXT('Cal_Weeks'!B5,"mmm-yy"),'Cal_Weeks'!G6,"")</f>
        <v/>
      </c>
      <c r="G3" s="13">
        <f>IF(TEXT('Cal_Weeks'!B7,"mmm-yy")&lt;&gt;TEXT('Cal_Weeks'!B6,"mmm-yy"),'Cal_Weeks'!G7,"")</f>
        <v/>
      </c>
      <c r="H3" s="13">
        <f>IF(TEXT('Cal_Weeks'!B8,"mmm-yy")&lt;&gt;TEXT('Cal_Weeks'!B7,"mmm-yy"),'Cal_Weeks'!G8,"")</f>
        <v/>
      </c>
      <c r="I3" s="13">
        <f>IF(TEXT('Cal_Weeks'!B9,"mmm-yy")&lt;&gt;TEXT('Cal_Weeks'!B8,"mmm-yy"),'Cal_Weeks'!G9,"")</f>
        <v/>
      </c>
      <c r="J3" s="13">
        <f>IF(TEXT('Cal_Weeks'!B10,"mmm-yy")&lt;&gt;TEXT('Cal_Weeks'!B9,"mmm-yy"),'Cal_Weeks'!G10,"")</f>
        <v/>
      </c>
      <c r="K3" s="13">
        <f>IF(TEXT('Cal_Weeks'!B11,"mmm-yy")&lt;&gt;TEXT('Cal_Weeks'!B10,"mmm-yy"),'Cal_Weeks'!G11,"")</f>
        <v/>
      </c>
      <c r="L3" s="13">
        <f>IF(TEXT('Cal_Weeks'!B12,"mmm-yy")&lt;&gt;TEXT('Cal_Weeks'!B11,"mmm-yy"),'Cal_Weeks'!G12,"")</f>
        <v/>
      </c>
      <c r="M3" s="13">
        <f>IF(TEXT('Cal_Weeks'!B13,"mmm-yy")&lt;&gt;TEXT('Cal_Weeks'!B12,"mmm-yy"),'Cal_Weeks'!G13,"")</f>
        <v/>
      </c>
      <c r="N3" s="13">
        <f>IF(TEXT('Cal_Weeks'!B14,"mmm-yy")&lt;&gt;TEXT('Cal_Weeks'!B13,"mmm-yy"),'Cal_Weeks'!G14,"")</f>
        <v/>
      </c>
      <c r="O3" s="13">
        <f>IF(TEXT('Cal_Weeks'!B15,"mmm-yy")&lt;&gt;TEXT('Cal_Weeks'!B14,"mmm-yy"),'Cal_Weeks'!G15,"")</f>
        <v/>
      </c>
      <c r="P3" s="13">
        <f>IF(TEXT('Cal_Weeks'!B16,"mmm-yy")&lt;&gt;TEXT('Cal_Weeks'!B15,"mmm-yy"),'Cal_Weeks'!G16,"")</f>
        <v/>
      </c>
      <c r="Q3" s="13">
        <f>IF(TEXT('Cal_Weeks'!B17,"mmm-yy")&lt;&gt;TEXT('Cal_Weeks'!B16,"mmm-yy"),'Cal_Weeks'!G17,"")</f>
        <v/>
      </c>
      <c r="R3" s="13">
        <f>IF(TEXT('Cal_Weeks'!B18,"mmm-yy")&lt;&gt;TEXT('Cal_Weeks'!B17,"mmm-yy"),'Cal_Weeks'!G18,"")</f>
        <v/>
      </c>
      <c r="S3" s="13">
        <f>IF(TEXT('Cal_Weeks'!B19,"mmm-yy")&lt;&gt;TEXT('Cal_Weeks'!B18,"mmm-yy"),'Cal_Weeks'!G19,"")</f>
        <v/>
      </c>
      <c r="T3" s="13">
        <f>IF(TEXT('Cal_Weeks'!B20,"mmm-yy")&lt;&gt;TEXT('Cal_Weeks'!B19,"mmm-yy"),'Cal_Weeks'!G20,"")</f>
        <v/>
      </c>
      <c r="U3" s="13">
        <f>IF(TEXT('Cal_Weeks'!B21,"mmm-yy")&lt;&gt;TEXT('Cal_Weeks'!B20,"mmm-yy"),'Cal_Weeks'!G21,"")</f>
        <v/>
      </c>
      <c r="V3" s="13">
        <f>IF(TEXT('Cal_Weeks'!B22,"mmm-yy")&lt;&gt;TEXT('Cal_Weeks'!B21,"mmm-yy"),'Cal_Weeks'!G22,"")</f>
        <v/>
      </c>
      <c r="W3" s="13">
        <f>IF(TEXT('Cal_Weeks'!B23,"mmm-yy")&lt;&gt;TEXT('Cal_Weeks'!B22,"mmm-yy"),'Cal_Weeks'!G23,"")</f>
        <v/>
      </c>
      <c r="X3" s="13">
        <f>IF(TEXT('Cal_Weeks'!B24,"mmm-yy")&lt;&gt;TEXT('Cal_Weeks'!B23,"mmm-yy"),'Cal_Weeks'!G24,"")</f>
        <v/>
      </c>
      <c r="Y3" s="13">
        <f>IF(TEXT('Cal_Weeks'!B25,"mmm-yy")&lt;&gt;TEXT('Cal_Weeks'!B24,"mmm-yy"),'Cal_Weeks'!G25,"")</f>
        <v/>
      </c>
      <c r="Z3" s="13">
        <f>IF(TEXT('Cal_Weeks'!B26,"mmm-yy")&lt;&gt;TEXT('Cal_Weeks'!B25,"mmm-yy"),'Cal_Weeks'!G26,"")</f>
        <v/>
      </c>
      <c r="AA3" s="13">
        <f>IF(TEXT('Cal_Weeks'!B27,"mmm-yy")&lt;&gt;TEXT('Cal_Weeks'!B26,"mmm-yy"),'Cal_Weeks'!G27,"")</f>
        <v/>
      </c>
      <c r="AB3" s="13">
        <f>IF(TEXT('Cal_Weeks'!B28,"mmm-yy")&lt;&gt;TEXT('Cal_Weeks'!B27,"mmm-yy"),'Cal_Weeks'!G28,"")</f>
        <v/>
      </c>
      <c r="AC3" s="13">
        <f>IF(TEXT('Cal_Weeks'!B29,"mmm-yy")&lt;&gt;TEXT('Cal_Weeks'!B28,"mmm-yy"),'Cal_Weeks'!G29,"")</f>
        <v/>
      </c>
      <c r="AD3" s="13">
        <f>IF(TEXT('Cal_Weeks'!B30,"mmm-yy")&lt;&gt;TEXT('Cal_Weeks'!B29,"mmm-yy"),'Cal_Weeks'!G30,"")</f>
        <v/>
      </c>
      <c r="AE3" s="13">
        <f>IF(TEXT('Cal_Weeks'!B31,"mmm-yy")&lt;&gt;TEXT('Cal_Weeks'!B30,"mmm-yy"),'Cal_Weeks'!G31,"")</f>
        <v/>
      </c>
      <c r="AF3" s="13">
        <f>IF(TEXT('Cal_Weeks'!B32,"mmm-yy")&lt;&gt;TEXT('Cal_Weeks'!B31,"mmm-yy"),'Cal_Weeks'!G32,"")</f>
        <v/>
      </c>
      <c r="AG3" s="13">
        <f>IF(TEXT('Cal_Weeks'!B33,"mmm-yy")&lt;&gt;TEXT('Cal_Weeks'!B32,"mmm-yy"),'Cal_Weeks'!G33,"")</f>
        <v/>
      </c>
      <c r="AH3" s="13">
        <f>IF(TEXT('Cal_Weeks'!B34,"mmm-yy")&lt;&gt;TEXT('Cal_Weeks'!B33,"mmm-yy"),'Cal_Weeks'!G34,"")</f>
        <v/>
      </c>
      <c r="AI3" s="13">
        <f>IF(TEXT('Cal_Weeks'!B35,"mmm-yy")&lt;&gt;TEXT('Cal_Weeks'!B34,"mmm-yy"),'Cal_Weeks'!G35,"")</f>
        <v/>
      </c>
      <c r="AJ3" s="13">
        <f>IF(TEXT('Cal_Weeks'!B36,"mmm-yy")&lt;&gt;TEXT('Cal_Weeks'!B35,"mmm-yy"),'Cal_Weeks'!G36,"")</f>
        <v/>
      </c>
      <c r="AK3" s="13">
        <f>IF(TEXT('Cal_Weeks'!B37,"mmm-yy")&lt;&gt;TEXT('Cal_Weeks'!B36,"mmm-yy"),'Cal_Weeks'!G37,"")</f>
        <v/>
      </c>
      <c r="AL3" s="13">
        <f>IF(TEXT('Cal_Weeks'!B38,"mmm-yy")&lt;&gt;TEXT('Cal_Weeks'!B37,"mmm-yy"),'Cal_Weeks'!G38,"")</f>
        <v/>
      </c>
      <c r="AM3" s="13">
        <f>IF(TEXT('Cal_Weeks'!B39,"mmm-yy")&lt;&gt;TEXT('Cal_Weeks'!B38,"mmm-yy"),'Cal_Weeks'!G39,"")</f>
        <v/>
      </c>
      <c r="AN3" s="13">
        <f>IF(TEXT('Cal_Weeks'!B40,"mmm-yy")&lt;&gt;TEXT('Cal_Weeks'!B39,"mmm-yy"),'Cal_Weeks'!G40,"")</f>
        <v/>
      </c>
      <c r="AO3" s="13">
        <f>IF(TEXT('Cal_Weeks'!B41,"mmm-yy")&lt;&gt;TEXT('Cal_Weeks'!B40,"mmm-yy"),'Cal_Weeks'!G41,"")</f>
        <v/>
      </c>
      <c r="AP3" s="13">
        <f>IF(TEXT('Cal_Weeks'!B42,"mmm-yy")&lt;&gt;TEXT('Cal_Weeks'!B41,"mmm-yy"),'Cal_Weeks'!G42,"")</f>
        <v/>
      </c>
      <c r="AQ3" s="13">
        <f>IF(TEXT('Cal_Weeks'!B43,"mmm-yy")&lt;&gt;TEXT('Cal_Weeks'!B42,"mmm-yy"),'Cal_Weeks'!G43,"")</f>
        <v/>
      </c>
      <c r="AR3" s="13">
        <f>IF(TEXT('Cal_Weeks'!B44,"mmm-yy")&lt;&gt;TEXT('Cal_Weeks'!B43,"mmm-yy"),'Cal_Weeks'!G44,"")</f>
        <v/>
      </c>
      <c r="AS3" s="13">
        <f>IF(TEXT('Cal_Weeks'!B45,"mmm-yy")&lt;&gt;TEXT('Cal_Weeks'!B44,"mmm-yy"),'Cal_Weeks'!G45,"")</f>
        <v/>
      </c>
      <c r="AT3" s="13">
        <f>IF(TEXT('Cal_Weeks'!B46,"mmm-yy")&lt;&gt;TEXT('Cal_Weeks'!B45,"mmm-yy"),'Cal_Weeks'!G46,"")</f>
        <v/>
      </c>
      <c r="AU3" s="13">
        <f>IF(TEXT('Cal_Weeks'!B47,"mmm-yy")&lt;&gt;TEXT('Cal_Weeks'!B46,"mmm-yy"),'Cal_Weeks'!G47,"")</f>
        <v/>
      </c>
      <c r="AV3" s="13">
        <f>IF(TEXT('Cal_Weeks'!B48,"mmm-yy")&lt;&gt;TEXT('Cal_Weeks'!B47,"mmm-yy"),'Cal_Weeks'!G48,"")</f>
        <v/>
      </c>
      <c r="AW3" s="13">
        <f>IF(TEXT('Cal_Weeks'!B49,"mmm-yy")&lt;&gt;TEXT('Cal_Weeks'!B48,"mmm-yy"),'Cal_Weeks'!G49,"")</f>
        <v/>
      </c>
      <c r="AX3" s="13">
        <f>IF(TEXT('Cal_Weeks'!B50,"mmm-yy")&lt;&gt;TEXT('Cal_Weeks'!B49,"mmm-yy"),'Cal_Weeks'!G50,"")</f>
        <v/>
      </c>
      <c r="AY3" s="13">
        <f>IF(TEXT('Cal_Weeks'!B51,"mmm-yy")&lt;&gt;TEXT('Cal_Weeks'!B50,"mmm-yy"),'Cal_Weeks'!G51,"")</f>
        <v/>
      </c>
      <c r="AZ3" s="13">
        <f>IF(TEXT('Cal_Weeks'!B52,"mmm-yy")&lt;&gt;TEXT('Cal_Weeks'!B51,"mmm-yy"),'Cal_Weeks'!G52,"")</f>
        <v/>
      </c>
      <c r="BA3" s="13">
        <f>IF(TEXT('Cal_Weeks'!B53,"mmm-yy")&lt;&gt;TEXT('Cal_Weeks'!B52,"mmm-yy"),'Cal_Weeks'!G53,"")</f>
        <v/>
      </c>
      <c r="BB3" s="13">
        <f>IF(TEXT('Cal_Weeks'!B54,"mmm-yy")&lt;&gt;TEXT('Cal_Weeks'!B53,"mmm-yy"),'Cal_Weeks'!G54,"")</f>
        <v/>
      </c>
      <c r="BC3" s="13">
        <f>IF(TEXT('Cal_Weeks'!B55,"mmm-yy")&lt;&gt;TEXT('Cal_Weeks'!B54,"mmm-yy"),'Cal_Weeks'!G55,"")</f>
        <v/>
      </c>
      <c r="BD3" s="13">
        <f>IF(TEXT('Cal_Weeks'!B56,"mmm-yy")&lt;&gt;TEXT('Cal_Weeks'!B55,"mmm-yy"),'Cal_Weeks'!G56,"")</f>
        <v/>
      </c>
      <c r="BE3" s="13">
        <f>IF(TEXT('Cal_Weeks'!B57,"mmm-yy")&lt;&gt;TEXT('Cal_Weeks'!B56,"mmm-yy"),'Cal_Weeks'!G57,"")</f>
        <v/>
      </c>
      <c r="BF3" s="13">
        <f>IF(TEXT('Cal_Weeks'!B58,"mmm-yy")&lt;&gt;TEXT('Cal_Weeks'!B57,"mmm-yy"),'Cal_Weeks'!G58,"")</f>
        <v/>
      </c>
      <c r="BG3" s="13">
        <f>IF(TEXT('Cal_Weeks'!B59,"mmm-yy")&lt;&gt;TEXT('Cal_Weeks'!B58,"mmm-yy"),'Cal_Weeks'!G59,"")</f>
        <v/>
      </c>
      <c r="BH3" s="13">
        <f>IF(TEXT('Cal_Weeks'!B60,"mmm-yy")&lt;&gt;TEXT('Cal_Weeks'!B59,"mmm-yy"),'Cal_Weeks'!G60,"")</f>
        <v/>
      </c>
      <c r="BI3" s="13">
        <f>IF(TEXT('Cal_Weeks'!B61,"mmm-yy")&lt;&gt;TEXT('Cal_Weeks'!B60,"mmm-yy"),'Cal_Weeks'!G61,"")</f>
        <v/>
      </c>
      <c r="BJ3" s="13">
        <f>IF(TEXT('Cal_Weeks'!B62,"mmm-yy")&lt;&gt;TEXT('Cal_Weeks'!B61,"mmm-yy"),'Cal_Weeks'!G62,"")</f>
        <v/>
      </c>
      <c r="BK3" s="13">
        <f>IF(TEXT('Cal_Weeks'!B63,"mmm-yy")&lt;&gt;TEXT('Cal_Weeks'!B62,"mmm-yy"),'Cal_Weeks'!G63,"")</f>
        <v/>
      </c>
      <c r="BL3" s="13">
        <f>IF(TEXT('Cal_Weeks'!B64,"mmm-yy")&lt;&gt;TEXT('Cal_Weeks'!B63,"mmm-yy"),'Cal_Weeks'!G64,"")</f>
        <v/>
      </c>
      <c r="BM3" s="13">
        <f>IF(TEXT('Cal_Weeks'!B65,"mmm-yy")&lt;&gt;TEXT('Cal_Weeks'!B64,"mmm-yy"),'Cal_Weeks'!G65,"")</f>
        <v/>
      </c>
      <c r="BN3" s="13">
        <f>IF(TEXT('Cal_Weeks'!B66,"mmm-yy")&lt;&gt;TEXT('Cal_Weeks'!B65,"mmm-yy"),'Cal_Weeks'!G66,"")</f>
        <v/>
      </c>
      <c r="BO3" s="13">
        <f>IF(TEXT('Cal_Weeks'!B67,"mmm-yy")&lt;&gt;TEXT('Cal_Weeks'!B66,"mmm-yy"),'Cal_Weeks'!G67,"")</f>
        <v/>
      </c>
      <c r="BP3" s="13">
        <f>IF(TEXT('Cal_Weeks'!B68,"mmm-yy")&lt;&gt;TEXT('Cal_Weeks'!B67,"mmm-yy"),'Cal_Weeks'!G68,"")</f>
        <v/>
      </c>
      <c r="BQ3" s="13">
        <f>IF(TEXT('Cal_Weeks'!B69,"mmm-yy")&lt;&gt;TEXT('Cal_Weeks'!B68,"mmm-yy"),'Cal_Weeks'!G69,"")</f>
        <v/>
      </c>
      <c r="BR3" s="13">
        <f>IF(TEXT('Cal_Weeks'!B70,"mmm-yy")&lt;&gt;TEXT('Cal_Weeks'!B69,"mmm-yy"),'Cal_Weeks'!G70,"")</f>
        <v/>
      </c>
      <c r="BS3" s="13">
        <f>IF(TEXT('Cal_Weeks'!B71,"mmm-yy")&lt;&gt;TEXT('Cal_Weeks'!B70,"mmm-yy"),'Cal_Weeks'!G71,"")</f>
        <v/>
      </c>
      <c r="BT3" s="13">
        <f>IF(TEXT('Cal_Weeks'!B72,"mmm-yy")&lt;&gt;TEXT('Cal_Weeks'!B71,"mmm-yy"),'Cal_Weeks'!G72,"")</f>
        <v/>
      </c>
      <c r="BU3" s="13">
        <f>IF(TEXT('Cal_Weeks'!B73,"mmm-yy")&lt;&gt;TEXT('Cal_Weeks'!B72,"mmm-yy"),'Cal_Weeks'!G73,"")</f>
        <v/>
      </c>
      <c r="BV3" s="13">
        <f>IF(TEXT('Cal_Weeks'!B74,"mmm-yy")&lt;&gt;TEXT('Cal_Weeks'!B73,"mmm-yy"),'Cal_Weeks'!G74,"")</f>
        <v/>
      </c>
      <c r="BW3" s="13">
        <f>IF(TEXT('Cal_Weeks'!B75,"mmm-yy")&lt;&gt;TEXT('Cal_Weeks'!B74,"mmm-yy"),'Cal_Weeks'!G75,"")</f>
        <v/>
      </c>
      <c r="BX3" s="13">
        <f>IF(TEXT('Cal_Weeks'!B76,"mmm-yy")&lt;&gt;TEXT('Cal_Weeks'!B75,"mmm-yy"),'Cal_Weeks'!G76,"")</f>
        <v/>
      </c>
      <c r="BY3" s="13">
        <f>IF(TEXT('Cal_Weeks'!B77,"mmm-yy")&lt;&gt;TEXT('Cal_Weeks'!B76,"mmm-yy"),'Cal_Weeks'!G77,"")</f>
        <v/>
      </c>
      <c r="BZ3" s="13">
        <f>IF(TEXT('Cal_Weeks'!B78,"mmm-yy")&lt;&gt;TEXT('Cal_Weeks'!B77,"mmm-yy"),'Cal_Weeks'!G78,"")</f>
        <v/>
      </c>
      <c r="CA3" s="13">
        <f>IF(TEXT('Cal_Weeks'!B79,"mmm-yy")&lt;&gt;TEXT('Cal_Weeks'!B78,"mmm-yy"),'Cal_Weeks'!G79,"")</f>
        <v/>
      </c>
      <c r="CB3" s="13">
        <f>IF(TEXT('Cal_Weeks'!B80,"mmm-yy")&lt;&gt;TEXT('Cal_Weeks'!B79,"mmm-yy"),'Cal_Weeks'!G80,"")</f>
        <v/>
      </c>
      <c r="CC3" s="13">
        <f>IF(TEXT('Cal_Weeks'!B81,"mmm-yy")&lt;&gt;TEXT('Cal_Weeks'!B80,"mmm-yy"),'Cal_Weeks'!G81,"")</f>
        <v/>
      </c>
      <c r="CD3" s="13">
        <f>IF(TEXT('Cal_Weeks'!B82,"mmm-yy")&lt;&gt;TEXT('Cal_Weeks'!B81,"mmm-yy"),'Cal_Weeks'!G82,"")</f>
        <v/>
      </c>
      <c r="CE3" s="13">
        <f>IF(TEXT('Cal_Weeks'!B83,"mmm-yy")&lt;&gt;TEXT('Cal_Weeks'!B82,"mmm-yy"),'Cal_Weeks'!G83,"")</f>
        <v/>
      </c>
      <c r="CF3" s="13">
        <f>IF(TEXT('Cal_Weeks'!B84,"mmm-yy")&lt;&gt;TEXT('Cal_Weeks'!B83,"mmm-yy"),'Cal_Weeks'!G84,"")</f>
        <v/>
      </c>
      <c r="CG3" s="13">
        <f>IF(TEXT('Cal_Weeks'!B85,"mmm-yy")&lt;&gt;TEXT('Cal_Weeks'!B84,"mmm-yy"),'Cal_Weeks'!G85,"")</f>
        <v/>
      </c>
      <c r="CH3" s="13">
        <f>IF(TEXT('Cal_Weeks'!B86,"mmm-yy")&lt;&gt;TEXT('Cal_Weeks'!B85,"mmm-yy"),'Cal_Weeks'!G86,"")</f>
        <v/>
      </c>
      <c r="CI3" s="13">
        <f>IF(TEXT('Cal_Weeks'!B87,"mmm-yy")&lt;&gt;TEXT('Cal_Weeks'!B86,"mmm-yy"),'Cal_Weeks'!G87,"")</f>
        <v/>
      </c>
      <c r="CJ3" s="13">
        <f>IF(TEXT('Cal_Weeks'!B88,"mmm-yy")&lt;&gt;TEXT('Cal_Weeks'!B87,"mmm-yy"),'Cal_Weeks'!G88,"")</f>
        <v/>
      </c>
      <c r="CK3" s="13">
        <f>IF(TEXT('Cal_Weeks'!B89,"mmm-yy")&lt;&gt;TEXT('Cal_Weeks'!B88,"mmm-yy"),'Cal_Weeks'!G89,"")</f>
        <v/>
      </c>
      <c r="CL3" s="13">
        <f>IF(TEXT('Cal_Weeks'!B90,"mmm-yy")&lt;&gt;TEXT('Cal_Weeks'!B89,"mmm-yy"),'Cal_Weeks'!G90,"")</f>
        <v/>
      </c>
      <c r="CM3" s="13">
        <f>IF(TEXT('Cal_Weeks'!B91,"mmm-yy")&lt;&gt;TEXT('Cal_Weeks'!B90,"mmm-yy"),'Cal_Weeks'!G91,"")</f>
        <v/>
      </c>
      <c r="CN3" s="13">
        <f>IF(TEXT('Cal_Weeks'!B92,"mmm-yy")&lt;&gt;TEXT('Cal_Weeks'!B91,"mmm-yy"),'Cal_Weeks'!G92,"")</f>
        <v/>
      </c>
      <c r="CO3" s="13">
        <f>IF(TEXT('Cal_Weeks'!B93,"mmm-yy")&lt;&gt;TEXT('Cal_Weeks'!B92,"mmm-yy"),'Cal_Weeks'!G93,"")</f>
        <v/>
      </c>
      <c r="CP3" s="13">
        <f>IF(TEXT('Cal_Weeks'!B94,"mmm-yy")&lt;&gt;TEXT('Cal_Weeks'!B93,"mmm-yy"),'Cal_Weeks'!G94,"")</f>
        <v/>
      </c>
      <c r="CQ3" s="13">
        <f>IF(TEXT('Cal_Weeks'!B95,"mmm-yy")&lt;&gt;TEXT('Cal_Weeks'!B94,"mmm-yy"),'Cal_Weeks'!G95,"")</f>
        <v/>
      </c>
      <c r="CR3" s="13">
        <f>IF(TEXT('Cal_Weeks'!B96,"mmm-yy")&lt;&gt;TEXT('Cal_Weeks'!B95,"mmm-yy"),'Cal_Weeks'!G96,"")</f>
        <v/>
      </c>
      <c r="CS3" s="13">
        <f>IF(TEXT('Cal_Weeks'!B97,"mmm-yy")&lt;&gt;TEXT('Cal_Weeks'!B96,"mmm-yy"),'Cal_Weeks'!G97,"")</f>
        <v/>
      </c>
      <c r="CT3" s="13">
        <f>IF(TEXT('Cal_Weeks'!B98,"mmm-yy")&lt;&gt;TEXT('Cal_Weeks'!B97,"mmm-yy"),'Cal_Weeks'!G98,"")</f>
        <v/>
      </c>
      <c r="CU3" s="13">
        <f>IF(TEXT('Cal_Weeks'!B99,"mmm-yy")&lt;&gt;TEXT('Cal_Weeks'!B98,"mmm-yy"),'Cal_Weeks'!G99,"")</f>
        <v/>
      </c>
      <c r="CV3" s="13">
        <f>IF(TEXT('Cal_Weeks'!B100,"mmm-yy")&lt;&gt;TEXT('Cal_Weeks'!B99,"mmm-yy"),'Cal_Weeks'!G100,"")</f>
        <v/>
      </c>
      <c r="CW3" s="13">
        <f>IF(TEXT('Cal_Weeks'!B101,"mmm-yy")&lt;&gt;TEXT('Cal_Weeks'!B100,"mmm-yy"),'Cal_Weeks'!G101,"")</f>
        <v/>
      </c>
      <c r="CX3" s="13">
        <f>IF(TEXT('Cal_Weeks'!B102,"mmm-yy")&lt;&gt;TEXT('Cal_Weeks'!B101,"mmm-yy"),'Cal_Weeks'!G102,"")</f>
        <v/>
      </c>
      <c r="CY3" s="13">
        <f>IF(TEXT('Cal_Weeks'!B103,"mmm-yy")&lt;&gt;TEXT('Cal_Weeks'!B102,"mmm-yy"),'Cal_Weeks'!G103,"")</f>
        <v/>
      </c>
      <c r="CZ3" s="13">
        <f>IF(TEXT('Cal_Weeks'!B104,"mmm-yy")&lt;&gt;TEXT('Cal_Weeks'!B103,"mmm-yy"),'Cal_Weeks'!G104,"")</f>
        <v/>
      </c>
      <c r="DA3" s="13">
        <f>IF(TEXT('Cal_Weeks'!B105,"mmm-yy")&lt;&gt;TEXT('Cal_Weeks'!B104,"mmm-yy"),'Cal_Weeks'!G105,"")</f>
        <v/>
      </c>
      <c r="DB3" s="13">
        <f>IF(TEXT('Cal_Weeks'!B106,"mmm-yy")&lt;&gt;TEXT('Cal_Weeks'!B105,"mmm-yy"),'Cal_Weeks'!G106,"")</f>
        <v/>
      </c>
      <c r="DC3" s="13">
        <f>IF(TEXT('Cal_Weeks'!B107,"mmm-yy")&lt;&gt;TEXT('Cal_Weeks'!B106,"mmm-yy"),'Cal_Weeks'!G107,"")</f>
        <v/>
      </c>
    </row>
    <row r="4">
      <c r="A4" s="14" t="n"/>
      <c r="B4" s="14" t="n"/>
      <c r="C4" s="14" t="n"/>
      <c r="D4" s="15">
        <f>'Cal_Weeks'!B4</f>
        <v/>
      </c>
      <c r="E4" s="15">
        <f>'Cal_Weeks'!B5</f>
        <v/>
      </c>
      <c r="F4" s="15">
        <f>'Cal_Weeks'!B6</f>
        <v/>
      </c>
      <c r="G4" s="15">
        <f>'Cal_Weeks'!B7</f>
        <v/>
      </c>
      <c r="H4" s="15">
        <f>'Cal_Weeks'!B8</f>
        <v/>
      </c>
      <c r="I4" s="15">
        <f>'Cal_Weeks'!B9</f>
        <v/>
      </c>
      <c r="J4" s="15">
        <f>'Cal_Weeks'!B10</f>
        <v/>
      </c>
      <c r="K4" s="15">
        <f>'Cal_Weeks'!B11</f>
        <v/>
      </c>
      <c r="L4" s="15">
        <f>'Cal_Weeks'!B12</f>
        <v/>
      </c>
      <c r="M4" s="15">
        <f>'Cal_Weeks'!B13</f>
        <v/>
      </c>
      <c r="N4" s="15">
        <f>'Cal_Weeks'!B14</f>
        <v/>
      </c>
      <c r="O4" s="15">
        <f>'Cal_Weeks'!B15</f>
        <v/>
      </c>
      <c r="P4" s="15">
        <f>'Cal_Weeks'!B16</f>
        <v/>
      </c>
      <c r="Q4" s="15">
        <f>'Cal_Weeks'!B17</f>
        <v/>
      </c>
      <c r="R4" s="15">
        <f>'Cal_Weeks'!B18</f>
        <v/>
      </c>
      <c r="S4" s="15">
        <f>'Cal_Weeks'!B19</f>
        <v/>
      </c>
      <c r="T4" s="15">
        <f>'Cal_Weeks'!B20</f>
        <v/>
      </c>
      <c r="U4" s="15">
        <f>'Cal_Weeks'!B21</f>
        <v/>
      </c>
      <c r="V4" s="15">
        <f>'Cal_Weeks'!B22</f>
        <v/>
      </c>
      <c r="W4" s="15">
        <f>'Cal_Weeks'!B23</f>
        <v/>
      </c>
      <c r="X4" s="15">
        <f>'Cal_Weeks'!B24</f>
        <v/>
      </c>
      <c r="Y4" s="15">
        <f>'Cal_Weeks'!B25</f>
        <v/>
      </c>
      <c r="Z4" s="15">
        <f>'Cal_Weeks'!B26</f>
        <v/>
      </c>
      <c r="AA4" s="15">
        <f>'Cal_Weeks'!B27</f>
        <v/>
      </c>
      <c r="AB4" s="15">
        <f>'Cal_Weeks'!B28</f>
        <v/>
      </c>
      <c r="AC4" s="15">
        <f>'Cal_Weeks'!B29</f>
        <v/>
      </c>
      <c r="AD4" s="15">
        <f>'Cal_Weeks'!B30</f>
        <v/>
      </c>
      <c r="AE4" s="15">
        <f>'Cal_Weeks'!B31</f>
        <v/>
      </c>
      <c r="AF4" s="15">
        <f>'Cal_Weeks'!B32</f>
        <v/>
      </c>
      <c r="AG4" s="15">
        <f>'Cal_Weeks'!B33</f>
        <v/>
      </c>
      <c r="AH4" s="15">
        <f>'Cal_Weeks'!B34</f>
        <v/>
      </c>
      <c r="AI4" s="15">
        <f>'Cal_Weeks'!B35</f>
        <v/>
      </c>
      <c r="AJ4" s="15">
        <f>'Cal_Weeks'!B36</f>
        <v/>
      </c>
      <c r="AK4" s="15">
        <f>'Cal_Weeks'!B37</f>
        <v/>
      </c>
      <c r="AL4" s="15">
        <f>'Cal_Weeks'!B38</f>
        <v/>
      </c>
      <c r="AM4" s="15">
        <f>'Cal_Weeks'!B39</f>
        <v/>
      </c>
      <c r="AN4" s="15">
        <f>'Cal_Weeks'!B40</f>
        <v/>
      </c>
      <c r="AO4" s="15">
        <f>'Cal_Weeks'!B41</f>
        <v/>
      </c>
      <c r="AP4" s="15">
        <f>'Cal_Weeks'!B42</f>
        <v/>
      </c>
      <c r="AQ4" s="15">
        <f>'Cal_Weeks'!B43</f>
        <v/>
      </c>
      <c r="AR4" s="15">
        <f>'Cal_Weeks'!B44</f>
        <v/>
      </c>
      <c r="AS4" s="15">
        <f>'Cal_Weeks'!B45</f>
        <v/>
      </c>
      <c r="AT4" s="15">
        <f>'Cal_Weeks'!B46</f>
        <v/>
      </c>
      <c r="AU4" s="15">
        <f>'Cal_Weeks'!B47</f>
        <v/>
      </c>
      <c r="AV4" s="15">
        <f>'Cal_Weeks'!B48</f>
        <v/>
      </c>
      <c r="AW4" s="15">
        <f>'Cal_Weeks'!B49</f>
        <v/>
      </c>
      <c r="AX4" s="15">
        <f>'Cal_Weeks'!B50</f>
        <v/>
      </c>
      <c r="AY4" s="15">
        <f>'Cal_Weeks'!B51</f>
        <v/>
      </c>
      <c r="AZ4" s="15">
        <f>'Cal_Weeks'!B52</f>
        <v/>
      </c>
      <c r="BA4" s="15">
        <f>'Cal_Weeks'!B53</f>
        <v/>
      </c>
      <c r="BB4" s="15">
        <f>'Cal_Weeks'!B54</f>
        <v/>
      </c>
      <c r="BC4" s="15">
        <f>'Cal_Weeks'!B55</f>
        <v/>
      </c>
      <c r="BD4" s="15">
        <f>'Cal_Weeks'!B56</f>
        <v/>
      </c>
      <c r="BE4" s="15">
        <f>'Cal_Weeks'!B57</f>
        <v/>
      </c>
      <c r="BF4" s="15">
        <f>'Cal_Weeks'!B58</f>
        <v/>
      </c>
      <c r="BG4" s="15">
        <f>'Cal_Weeks'!B59</f>
        <v/>
      </c>
      <c r="BH4" s="15">
        <f>'Cal_Weeks'!B60</f>
        <v/>
      </c>
      <c r="BI4" s="15">
        <f>'Cal_Weeks'!B61</f>
        <v/>
      </c>
      <c r="BJ4" s="15">
        <f>'Cal_Weeks'!B62</f>
        <v/>
      </c>
      <c r="BK4" s="15">
        <f>'Cal_Weeks'!B63</f>
        <v/>
      </c>
      <c r="BL4" s="15">
        <f>'Cal_Weeks'!B64</f>
        <v/>
      </c>
      <c r="BM4" s="15">
        <f>'Cal_Weeks'!B65</f>
        <v/>
      </c>
      <c r="BN4" s="15">
        <f>'Cal_Weeks'!B66</f>
        <v/>
      </c>
      <c r="BO4" s="15">
        <f>'Cal_Weeks'!B67</f>
        <v/>
      </c>
      <c r="BP4" s="15">
        <f>'Cal_Weeks'!B68</f>
        <v/>
      </c>
      <c r="BQ4" s="15">
        <f>'Cal_Weeks'!B69</f>
        <v/>
      </c>
      <c r="BR4" s="15">
        <f>'Cal_Weeks'!B70</f>
        <v/>
      </c>
      <c r="BS4" s="15">
        <f>'Cal_Weeks'!B71</f>
        <v/>
      </c>
      <c r="BT4" s="15">
        <f>'Cal_Weeks'!B72</f>
        <v/>
      </c>
      <c r="BU4" s="15">
        <f>'Cal_Weeks'!B73</f>
        <v/>
      </c>
      <c r="BV4" s="15">
        <f>'Cal_Weeks'!B74</f>
        <v/>
      </c>
      <c r="BW4" s="15">
        <f>'Cal_Weeks'!B75</f>
        <v/>
      </c>
      <c r="BX4" s="15">
        <f>'Cal_Weeks'!B76</f>
        <v/>
      </c>
      <c r="BY4" s="15">
        <f>'Cal_Weeks'!B77</f>
        <v/>
      </c>
      <c r="BZ4" s="15">
        <f>'Cal_Weeks'!B78</f>
        <v/>
      </c>
      <c r="CA4" s="15">
        <f>'Cal_Weeks'!B79</f>
        <v/>
      </c>
      <c r="CB4" s="15">
        <f>'Cal_Weeks'!B80</f>
        <v/>
      </c>
      <c r="CC4" s="15">
        <f>'Cal_Weeks'!B81</f>
        <v/>
      </c>
      <c r="CD4" s="15">
        <f>'Cal_Weeks'!B82</f>
        <v/>
      </c>
      <c r="CE4" s="15">
        <f>'Cal_Weeks'!B83</f>
        <v/>
      </c>
      <c r="CF4" s="15">
        <f>'Cal_Weeks'!B84</f>
        <v/>
      </c>
      <c r="CG4" s="15">
        <f>'Cal_Weeks'!B85</f>
        <v/>
      </c>
      <c r="CH4" s="15">
        <f>'Cal_Weeks'!B86</f>
        <v/>
      </c>
      <c r="CI4" s="15">
        <f>'Cal_Weeks'!B87</f>
        <v/>
      </c>
      <c r="CJ4" s="15">
        <f>'Cal_Weeks'!B88</f>
        <v/>
      </c>
      <c r="CK4" s="15">
        <f>'Cal_Weeks'!B89</f>
        <v/>
      </c>
      <c r="CL4" s="15">
        <f>'Cal_Weeks'!B90</f>
        <v/>
      </c>
      <c r="CM4" s="15">
        <f>'Cal_Weeks'!B91</f>
        <v/>
      </c>
      <c r="CN4" s="15">
        <f>'Cal_Weeks'!B92</f>
        <v/>
      </c>
      <c r="CO4" s="15">
        <f>'Cal_Weeks'!B93</f>
        <v/>
      </c>
      <c r="CP4" s="15">
        <f>'Cal_Weeks'!B94</f>
        <v/>
      </c>
      <c r="CQ4" s="15">
        <f>'Cal_Weeks'!B95</f>
        <v/>
      </c>
      <c r="CR4" s="15">
        <f>'Cal_Weeks'!B96</f>
        <v/>
      </c>
      <c r="CS4" s="15">
        <f>'Cal_Weeks'!B97</f>
        <v/>
      </c>
      <c r="CT4" s="15">
        <f>'Cal_Weeks'!B98</f>
        <v/>
      </c>
      <c r="CU4" s="15">
        <f>'Cal_Weeks'!B99</f>
        <v/>
      </c>
      <c r="CV4" s="15">
        <f>'Cal_Weeks'!B100</f>
        <v/>
      </c>
      <c r="CW4" s="15">
        <f>'Cal_Weeks'!B101</f>
        <v/>
      </c>
      <c r="CX4" s="15">
        <f>'Cal_Weeks'!B102</f>
        <v/>
      </c>
      <c r="CY4" s="15">
        <f>'Cal_Weeks'!B103</f>
        <v/>
      </c>
      <c r="CZ4" s="15">
        <f>'Cal_Weeks'!B104</f>
        <v/>
      </c>
      <c r="DA4" s="15">
        <f>'Cal_Weeks'!B105</f>
        <v/>
      </c>
      <c r="DB4" s="15">
        <f>'Cal_Weeks'!B106</f>
        <v/>
      </c>
      <c r="DC4" s="15">
        <f>'Cal_Weeks'!B107</f>
        <v/>
      </c>
    </row>
    <row r="5">
      <c r="A5" s="14" t="n"/>
      <c r="B5" s="14" t="n"/>
      <c r="C5" s="14" t="n"/>
      <c r="D5" s="14">
        <f>'Cal_Weeks'!D4</f>
        <v/>
      </c>
      <c r="E5" s="14">
        <f>'Cal_Weeks'!D5</f>
        <v/>
      </c>
      <c r="F5" s="14">
        <f>'Cal_Weeks'!D6</f>
        <v/>
      </c>
      <c r="G5" s="14">
        <f>'Cal_Weeks'!D7</f>
        <v/>
      </c>
      <c r="H5" s="14">
        <f>'Cal_Weeks'!D8</f>
        <v/>
      </c>
      <c r="I5" s="14">
        <f>'Cal_Weeks'!D9</f>
        <v/>
      </c>
      <c r="J5" s="14">
        <f>'Cal_Weeks'!D10</f>
        <v/>
      </c>
      <c r="K5" s="14">
        <f>'Cal_Weeks'!D11</f>
        <v/>
      </c>
      <c r="L5" s="14">
        <f>'Cal_Weeks'!D12</f>
        <v/>
      </c>
      <c r="M5" s="14">
        <f>'Cal_Weeks'!D13</f>
        <v/>
      </c>
      <c r="N5" s="14">
        <f>'Cal_Weeks'!D14</f>
        <v/>
      </c>
      <c r="O5" s="14">
        <f>'Cal_Weeks'!D15</f>
        <v/>
      </c>
      <c r="P5" s="14">
        <f>'Cal_Weeks'!D16</f>
        <v/>
      </c>
      <c r="Q5" s="14">
        <f>'Cal_Weeks'!D17</f>
        <v/>
      </c>
      <c r="R5" s="14">
        <f>'Cal_Weeks'!D18</f>
        <v/>
      </c>
      <c r="S5" s="14">
        <f>'Cal_Weeks'!D19</f>
        <v/>
      </c>
      <c r="T5" s="14">
        <f>'Cal_Weeks'!D20</f>
        <v/>
      </c>
      <c r="U5" s="14">
        <f>'Cal_Weeks'!D21</f>
        <v/>
      </c>
      <c r="V5" s="14">
        <f>'Cal_Weeks'!D22</f>
        <v/>
      </c>
      <c r="W5" s="14">
        <f>'Cal_Weeks'!D23</f>
        <v/>
      </c>
      <c r="X5" s="14">
        <f>'Cal_Weeks'!D24</f>
        <v/>
      </c>
      <c r="Y5" s="14">
        <f>'Cal_Weeks'!D25</f>
        <v/>
      </c>
      <c r="Z5" s="14">
        <f>'Cal_Weeks'!D26</f>
        <v/>
      </c>
      <c r="AA5" s="14">
        <f>'Cal_Weeks'!D27</f>
        <v/>
      </c>
      <c r="AB5" s="14">
        <f>'Cal_Weeks'!D28</f>
        <v/>
      </c>
      <c r="AC5" s="14">
        <f>'Cal_Weeks'!D29</f>
        <v/>
      </c>
      <c r="AD5" s="14">
        <f>'Cal_Weeks'!D30</f>
        <v/>
      </c>
      <c r="AE5" s="14">
        <f>'Cal_Weeks'!D31</f>
        <v/>
      </c>
      <c r="AF5" s="14">
        <f>'Cal_Weeks'!D32</f>
        <v/>
      </c>
      <c r="AG5" s="14">
        <f>'Cal_Weeks'!D33</f>
        <v/>
      </c>
      <c r="AH5" s="14">
        <f>'Cal_Weeks'!D34</f>
        <v/>
      </c>
      <c r="AI5" s="14">
        <f>'Cal_Weeks'!D35</f>
        <v/>
      </c>
      <c r="AJ5" s="14">
        <f>'Cal_Weeks'!D36</f>
        <v/>
      </c>
      <c r="AK5" s="14">
        <f>'Cal_Weeks'!D37</f>
        <v/>
      </c>
      <c r="AL5" s="14">
        <f>'Cal_Weeks'!D38</f>
        <v/>
      </c>
      <c r="AM5" s="14">
        <f>'Cal_Weeks'!D39</f>
        <v/>
      </c>
      <c r="AN5" s="14">
        <f>'Cal_Weeks'!D40</f>
        <v/>
      </c>
      <c r="AO5" s="14">
        <f>'Cal_Weeks'!D41</f>
        <v/>
      </c>
      <c r="AP5" s="14">
        <f>'Cal_Weeks'!D42</f>
        <v/>
      </c>
      <c r="AQ5" s="14">
        <f>'Cal_Weeks'!D43</f>
        <v/>
      </c>
      <c r="AR5" s="14">
        <f>'Cal_Weeks'!D44</f>
        <v/>
      </c>
      <c r="AS5" s="14">
        <f>'Cal_Weeks'!D45</f>
        <v/>
      </c>
      <c r="AT5" s="14">
        <f>'Cal_Weeks'!D46</f>
        <v/>
      </c>
      <c r="AU5" s="14">
        <f>'Cal_Weeks'!D47</f>
        <v/>
      </c>
      <c r="AV5" s="14">
        <f>'Cal_Weeks'!D48</f>
        <v/>
      </c>
      <c r="AW5" s="14">
        <f>'Cal_Weeks'!D49</f>
        <v/>
      </c>
      <c r="AX5" s="14">
        <f>'Cal_Weeks'!D50</f>
        <v/>
      </c>
      <c r="AY5" s="14">
        <f>'Cal_Weeks'!D51</f>
        <v/>
      </c>
      <c r="AZ5" s="14">
        <f>'Cal_Weeks'!D52</f>
        <v/>
      </c>
      <c r="BA5" s="14">
        <f>'Cal_Weeks'!D53</f>
        <v/>
      </c>
      <c r="BB5" s="14">
        <f>'Cal_Weeks'!D54</f>
        <v/>
      </c>
      <c r="BC5" s="14">
        <f>'Cal_Weeks'!D55</f>
        <v/>
      </c>
      <c r="BD5" s="14">
        <f>'Cal_Weeks'!D56</f>
        <v/>
      </c>
      <c r="BE5" s="14">
        <f>'Cal_Weeks'!D57</f>
        <v/>
      </c>
      <c r="BF5" s="14">
        <f>'Cal_Weeks'!D58</f>
        <v/>
      </c>
      <c r="BG5" s="14">
        <f>'Cal_Weeks'!D59</f>
        <v/>
      </c>
      <c r="BH5" s="14">
        <f>'Cal_Weeks'!D60</f>
        <v/>
      </c>
      <c r="BI5" s="14">
        <f>'Cal_Weeks'!D61</f>
        <v/>
      </c>
      <c r="BJ5" s="14">
        <f>'Cal_Weeks'!D62</f>
        <v/>
      </c>
      <c r="BK5" s="14">
        <f>'Cal_Weeks'!D63</f>
        <v/>
      </c>
      <c r="BL5" s="14">
        <f>'Cal_Weeks'!D64</f>
        <v/>
      </c>
      <c r="BM5" s="14">
        <f>'Cal_Weeks'!D65</f>
        <v/>
      </c>
      <c r="BN5" s="14">
        <f>'Cal_Weeks'!D66</f>
        <v/>
      </c>
      <c r="BO5" s="14">
        <f>'Cal_Weeks'!D67</f>
        <v/>
      </c>
      <c r="BP5" s="14">
        <f>'Cal_Weeks'!D68</f>
        <v/>
      </c>
      <c r="BQ5" s="14">
        <f>'Cal_Weeks'!D69</f>
        <v/>
      </c>
      <c r="BR5" s="14">
        <f>'Cal_Weeks'!D70</f>
        <v/>
      </c>
      <c r="BS5" s="14">
        <f>'Cal_Weeks'!D71</f>
        <v/>
      </c>
      <c r="BT5" s="14">
        <f>'Cal_Weeks'!D72</f>
        <v/>
      </c>
      <c r="BU5" s="14">
        <f>'Cal_Weeks'!D73</f>
        <v/>
      </c>
      <c r="BV5" s="14">
        <f>'Cal_Weeks'!D74</f>
        <v/>
      </c>
      <c r="BW5" s="14">
        <f>'Cal_Weeks'!D75</f>
        <v/>
      </c>
      <c r="BX5" s="14">
        <f>'Cal_Weeks'!D76</f>
        <v/>
      </c>
      <c r="BY5" s="14">
        <f>'Cal_Weeks'!D77</f>
        <v/>
      </c>
      <c r="BZ5" s="14">
        <f>'Cal_Weeks'!D78</f>
        <v/>
      </c>
      <c r="CA5" s="14">
        <f>'Cal_Weeks'!D79</f>
        <v/>
      </c>
      <c r="CB5" s="14">
        <f>'Cal_Weeks'!D80</f>
        <v/>
      </c>
      <c r="CC5" s="14">
        <f>'Cal_Weeks'!D81</f>
        <v/>
      </c>
      <c r="CD5" s="14">
        <f>'Cal_Weeks'!D82</f>
        <v/>
      </c>
      <c r="CE5" s="14">
        <f>'Cal_Weeks'!D83</f>
        <v/>
      </c>
      <c r="CF5" s="14">
        <f>'Cal_Weeks'!D84</f>
        <v/>
      </c>
      <c r="CG5" s="14">
        <f>'Cal_Weeks'!D85</f>
        <v/>
      </c>
      <c r="CH5" s="14">
        <f>'Cal_Weeks'!D86</f>
        <v/>
      </c>
      <c r="CI5" s="14">
        <f>'Cal_Weeks'!D87</f>
        <v/>
      </c>
      <c r="CJ5" s="14">
        <f>'Cal_Weeks'!D88</f>
        <v/>
      </c>
      <c r="CK5" s="14">
        <f>'Cal_Weeks'!D89</f>
        <v/>
      </c>
      <c r="CL5" s="14">
        <f>'Cal_Weeks'!D90</f>
        <v/>
      </c>
      <c r="CM5" s="14">
        <f>'Cal_Weeks'!D91</f>
        <v/>
      </c>
      <c r="CN5" s="14">
        <f>'Cal_Weeks'!D92</f>
        <v/>
      </c>
      <c r="CO5" s="14">
        <f>'Cal_Weeks'!D93</f>
        <v/>
      </c>
      <c r="CP5" s="14">
        <f>'Cal_Weeks'!D94</f>
        <v/>
      </c>
      <c r="CQ5" s="14">
        <f>'Cal_Weeks'!D95</f>
        <v/>
      </c>
      <c r="CR5" s="14">
        <f>'Cal_Weeks'!D96</f>
        <v/>
      </c>
      <c r="CS5" s="14">
        <f>'Cal_Weeks'!D97</f>
        <v/>
      </c>
      <c r="CT5" s="14">
        <f>'Cal_Weeks'!D98</f>
        <v/>
      </c>
      <c r="CU5" s="14">
        <f>'Cal_Weeks'!D99</f>
        <v/>
      </c>
      <c r="CV5" s="14">
        <f>'Cal_Weeks'!D100</f>
        <v/>
      </c>
      <c r="CW5" s="14">
        <f>'Cal_Weeks'!D101</f>
        <v/>
      </c>
      <c r="CX5" s="14">
        <f>'Cal_Weeks'!D102</f>
        <v/>
      </c>
      <c r="CY5" s="14">
        <f>'Cal_Weeks'!D103</f>
        <v/>
      </c>
      <c r="CZ5" s="14">
        <f>'Cal_Weeks'!D104</f>
        <v/>
      </c>
      <c r="DA5" s="14">
        <f>'Cal_Weeks'!D105</f>
        <v/>
      </c>
      <c r="DB5" s="14">
        <f>'Cal_Weeks'!D106</f>
        <v/>
      </c>
      <c r="DC5" s="14">
        <f>'Cal_Weeks'!D107</f>
        <v/>
      </c>
    </row>
    <row r="6">
      <c r="A6" s="13" t="inlineStr">
        <is>
          <t>Part Name</t>
        </is>
      </c>
      <c r="B6" s="13" t="inlineStr">
        <is>
          <t>項目</t>
        </is>
      </c>
      <c r="C6" s="13" t="inlineStr">
        <is>
          <t>1バッチ使用量(kg)</t>
        </is>
      </c>
      <c r="D6" s="13">
        <f>'Cal_Weeks'!E4</f>
        <v/>
      </c>
      <c r="E6" s="13">
        <f>'Cal_Weeks'!E5</f>
        <v/>
      </c>
      <c r="F6" s="13">
        <f>'Cal_Weeks'!E6</f>
        <v/>
      </c>
      <c r="G6" s="13">
        <f>'Cal_Weeks'!E7</f>
        <v/>
      </c>
      <c r="H6" s="13">
        <f>'Cal_Weeks'!E8</f>
        <v/>
      </c>
      <c r="I6" s="13">
        <f>'Cal_Weeks'!E9</f>
        <v/>
      </c>
      <c r="J6" s="13">
        <f>'Cal_Weeks'!E10</f>
        <v/>
      </c>
      <c r="K6" s="13">
        <f>'Cal_Weeks'!E11</f>
        <v/>
      </c>
      <c r="L6" s="13">
        <f>'Cal_Weeks'!E12</f>
        <v/>
      </c>
      <c r="M6" s="13">
        <f>'Cal_Weeks'!E13</f>
        <v/>
      </c>
      <c r="N6" s="13">
        <f>'Cal_Weeks'!E14</f>
        <v/>
      </c>
      <c r="O6" s="13">
        <f>'Cal_Weeks'!E15</f>
        <v/>
      </c>
      <c r="P6" s="13">
        <f>'Cal_Weeks'!E16</f>
        <v/>
      </c>
      <c r="Q6" s="13">
        <f>'Cal_Weeks'!E17</f>
        <v/>
      </c>
      <c r="R6" s="13">
        <f>'Cal_Weeks'!E18</f>
        <v/>
      </c>
      <c r="S6" s="13">
        <f>'Cal_Weeks'!E19</f>
        <v/>
      </c>
      <c r="T6" s="13">
        <f>'Cal_Weeks'!E20</f>
        <v/>
      </c>
      <c r="U6" s="13">
        <f>'Cal_Weeks'!E21</f>
        <v/>
      </c>
      <c r="V6" s="13">
        <f>'Cal_Weeks'!E22</f>
        <v/>
      </c>
      <c r="W6" s="13">
        <f>'Cal_Weeks'!E23</f>
        <v/>
      </c>
      <c r="X6" s="13">
        <f>'Cal_Weeks'!E24</f>
        <v/>
      </c>
      <c r="Y6" s="13">
        <f>'Cal_Weeks'!E25</f>
        <v/>
      </c>
      <c r="Z6" s="13">
        <f>'Cal_Weeks'!E26</f>
        <v/>
      </c>
      <c r="AA6" s="13">
        <f>'Cal_Weeks'!E27</f>
        <v/>
      </c>
      <c r="AB6" s="13">
        <f>'Cal_Weeks'!E28</f>
        <v/>
      </c>
      <c r="AC6" s="13">
        <f>'Cal_Weeks'!E29</f>
        <v/>
      </c>
      <c r="AD6" s="13">
        <f>'Cal_Weeks'!E30</f>
        <v/>
      </c>
      <c r="AE6" s="13">
        <f>'Cal_Weeks'!E31</f>
        <v/>
      </c>
      <c r="AF6" s="13">
        <f>'Cal_Weeks'!E32</f>
        <v/>
      </c>
      <c r="AG6" s="13">
        <f>'Cal_Weeks'!E33</f>
        <v/>
      </c>
      <c r="AH6" s="13">
        <f>'Cal_Weeks'!E34</f>
        <v/>
      </c>
      <c r="AI6" s="13">
        <f>'Cal_Weeks'!E35</f>
        <v/>
      </c>
      <c r="AJ6" s="13">
        <f>'Cal_Weeks'!E36</f>
        <v/>
      </c>
      <c r="AK6" s="13">
        <f>'Cal_Weeks'!E37</f>
        <v/>
      </c>
      <c r="AL6" s="13">
        <f>'Cal_Weeks'!E38</f>
        <v/>
      </c>
      <c r="AM6" s="13">
        <f>'Cal_Weeks'!E39</f>
        <v/>
      </c>
      <c r="AN6" s="13">
        <f>'Cal_Weeks'!E40</f>
        <v/>
      </c>
      <c r="AO6" s="13">
        <f>'Cal_Weeks'!E41</f>
        <v/>
      </c>
      <c r="AP6" s="13">
        <f>'Cal_Weeks'!E42</f>
        <v/>
      </c>
      <c r="AQ6" s="13">
        <f>'Cal_Weeks'!E43</f>
        <v/>
      </c>
      <c r="AR6" s="13">
        <f>'Cal_Weeks'!E44</f>
        <v/>
      </c>
      <c r="AS6" s="13">
        <f>'Cal_Weeks'!E45</f>
        <v/>
      </c>
      <c r="AT6" s="13">
        <f>'Cal_Weeks'!E46</f>
        <v/>
      </c>
      <c r="AU6" s="13">
        <f>'Cal_Weeks'!E47</f>
        <v/>
      </c>
      <c r="AV6" s="13">
        <f>'Cal_Weeks'!E48</f>
        <v/>
      </c>
      <c r="AW6" s="13">
        <f>'Cal_Weeks'!E49</f>
        <v/>
      </c>
      <c r="AX6" s="13">
        <f>'Cal_Weeks'!E50</f>
        <v/>
      </c>
      <c r="AY6" s="13">
        <f>'Cal_Weeks'!E51</f>
        <v/>
      </c>
      <c r="AZ6" s="13">
        <f>'Cal_Weeks'!E52</f>
        <v/>
      </c>
      <c r="BA6" s="13">
        <f>'Cal_Weeks'!E53</f>
        <v/>
      </c>
      <c r="BB6" s="13">
        <f>'Cal_Weeks'!E54</f>
        <v/>
      </c>
      <c r="BC6" s="13">
        <f>'Cal_Weeks'!E55</f>
        <v/>
      </c>
      <c r="BD6" s="13">
        <f>'Cal_Weeks'!E56</f>
        <v/>
      </c>
      <c r="BE6" s="13">
        <f>'Cal_Weeks'!E57</f>
        <v/>
      </c>
      <c r="BF6" s="13">
        <f>'Cal_Weeks'!E58</f>
        <v/>
      </c>
      <c r="BG6" s="13">
        <f>'Cal_Weeks'!E59</f>
        <v/>
      </c>
      <c r="BH6" s="13">
        <f>'Cal_Weeks'!E60</f>
        <v/>
      </c>
      <c r="BI6" s="13">
        <f>'Cal_Weeks'!E61</f>
        <v/>
      </c>
      <c r="BJ6" s="13">
        <f>'Cal_Weeks'!E62</f>
        <v/>
      </c>
      <c r="BK6" s="13">
        <f>'Cal_Weeks'!E63</f>
        <v/>
      </c>
      <c r="BL6" s="13">
        <f>'Cal_Weeks'!E64</f>
        <v/>
      </c>
      <c r="BM6" s="13">
        <f>'Cal_Weeks'!E65</f>
        <v/>
      </c>
      <c r="BN6" s="13">
        <f>'Cal_Weeks'!E66</f>
        <v/>
      </c>
      <c r="BO6" s="13">
        <f>'Cal_Weeks'!E67</f>
        <v/>
      </c>
      <c r="BP6" s="13">
        <f>'Cal_Weeks'!E68</f>
        <v/>
      </c>
      <c r="BQ6" s="13">
        <f>'Cal_Weeks'!E69</f>
        <v/>
      </c>
      <c r="BR6" s="13">
        <f>'Cal_Weeks'!E70</f>
        <v/>
      </c>
      <c r="BS6" s="13">
        <f>'Cal_Weeks'!E71</f>
        <v/>
      </c>
      <c r="BT6" s="13">
        <f>'Cal_Weeks'!E72</f>
        <v/>
      </c>
      <c r="BU6" s="13">
        <f>'Cal_Weeks'!E73</f>
        <v/>
      </c>
      <c r="BV6" s="13">
        <f>'Cal_Weeks'!E74</f>
        <v/>
      </c>
      <c r="BW6" s="13">
        <f>'Cal_Weeks'!E75</f>
        <v/>
      </c>
      <c r="BX6" s="13">
        <f>'Cal_Weeks'!E76</f>
        <v/>
      </c>
      <c r="BY6" s="13">
        <f>'Cal_Weeks'!E77</f>
        <v/>
      </c>
      <c r="BZ6" s="13">
        <f>'Cal_Weeks'!E78</f>
        <v/>
      </c>
      <c r="CA6" s="13">
        <f>'Cal_Weeks'!E79</f>
        <v/>
      </c>
      <c r="CB6" s="13">
        <f>'Cal_Weeks'!E80</f>
        <v/>
      </c>
      <c r="CC6" s="13">
        <f>'Cal_Weeks'!E81</f>
        <v/>
      </c>
      <c r="CD6" s="13">
        <f>'Cal_Weeks'!E82</f>
        <v/>
      </c>
      <c r="CE6" s="13">
        <f>'Cal_Weeks'!E83</f>
        <v/>
      </c>
      <c r="CF6" s="13">
        <f>'Cal_Weeks'!E84</f>
        <v/>
      </c>
      <c r="CG6" s="13">
        <f>'Cal_Weeks'!E85</f>
        <v/>
      </c>
      <c r="CH6" s="13">
        <f>'Cal_Weeks'!E86</f>
        <v/>
      </c>
      <c r="CI6" s="13">
        <f>'Cal_Weeks'!E87</f>
        <v/>
      </c>
      <c r="CJ6" s="13">
        <f>'Cal_Weeks'!E88</f>
        <v/>
      </c>
      <c r="CK6" s="13">
        <f>'Cal_Weeks'!E89</f>
        <v/>
      </c>
      <c r="CL6" s="13">
        <f>'Cal_Weeks'!E90</f>
        <v/>
      </c>
      <c r="CM6" s="13">
        <f>'Cal_Weeks'!E91</f>
        <v/>
      </c>
      <c r="CN6" s="13">
        <f>'Cal_Weeks'!E92</f>
        <v/>
      </c>
      <c r="CO6" s="13">
        <f>'Cal_Weeks'!E93</f>
        <v/>
      </c>
      <c r="CP6" s="13">
        <f>'Cal_Weeks'!E94</f>
        <v/>
      </c>
      <c r="CQ6" s="13">
        <f>'Cal_Weeks'!E95</f>
        <v/>
      </c>
      <c r="CR6" s="13">
        <f>'Cal_Weeks'!E96</f>
        <v/>
      </c>
      <c r="CS6" s="13">
        <f>'Cal_Weeks'!E97</f>
        <v/>
      </c>
      <c r="CT6" s="13">
        <f>'Cal_Weeks'!E98</f>
        <v/>
      </c>
      <c r="CU6" s="13">
        <f>'Cal_Weeks'!E99</f>
        <v/>
      </c>
      <c r="CV6" s="13">
        <f>'Cal_Weeks'!E100</f>
        <v/>
      </c>
      <c r="CW6" s="13">
        <f>'Cal_Weeks'!E101</f>
        <v/>
      </c>
      <c r="CX6" s="13">
        <f>'Cal_Weeks'!E102</f>
        <v/>
      </c>
      <c r="CY6" s="13">
        <f>'Cal_Weeks'!E103</f>
        <v/>
      </c>
      <c r="CZ6" s="13">
        <f>'Cal_Weeks'!E104</f>
        <v/>
      </c>
      <c r="DA6" s="13">
        <f>'Cal_Weeks'!E105</f>
        <v/>
      </c>
      <c r="DB6" s="13">
        <f>'Cal_Weeks'!E106</f>
        <v/>
      </c>
      <c r="DC6" s="13">
        <f>'Cal_Weeks'!E107</f>
        <v/>
      </c>
    </row>
    <row r="7">
      <c r="A7" s="21" t="inlineStr">
        <is>
          <t>7EP</t>
        </is>
      </c>
      <c r="B7" s="21" t="inlineStr">
        <is>
          <t>TTAF 44FK13093100</t>
        </is>
      </c>
      <c r="C7" s="22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21" t="n"/>
      <c r="AD7" s="21" t="n"/>
      <c r="AE7" s="21" t="n"/>
      <c r="AF7" s="21" t="n"/>
      <c r="AG7" s="21" t="n"/>
      <c r="AH7" s="21" t="n"/>
      <c r="AI7" s="21" t="n"/>
      <c r="AJ7" s="21" t="n"/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/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/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  <c r="CA7" s="21" t="n"/>
      <c r="CB7" s="21" t="n"/>
      <c r="CC7" s="21" t="n"/>
      <c r="CD7" s="21" t="n"/>
      <c r="CE7" s="21" t="n"/>
      <c r="CF7" s="21" t="n"/>
      <c r="CG7" s="21" t="n"/>
      <c r="CH7" s="21" t="n"/>
      <c r="CI7" s="21" t="n"/>
      <c r="CJ7" s="21" t="n"/>
      <c r="CK7" s="21" t="n"/>
      <c r="CL7" s="21" t="n"/>
      <c r="CM7" s="21" t="n"/>
      <c r="CN7" s="21" t="n"/>
      <c r="CO7" s="21" t="n"/>
      <c r="CP7" s="21" t="n"/>
      <c r="CQ7" s="21" t="n"/>
      <c r="CR7" s="21" t="n"/>
      <c r="CS7" s="21" t="n"/>
      <c r="CT7" s="21" t="n"/>
      <c r="CU7" s="21" t="n"/>
      <c r="CV7" s="21" t="n"/>
      <c r="CW7" s="21" t="n"/>
      <c r="CX7" s="21" t="n"/>
      <c r="CY7" s="21" t="n"/>
      <c r="CZ7" s="21" t="n"/>
      <c r="DA7" s="21" t="n"/>
      <c r="DB7" s="21" t="n"/>
      <c r="DC7" s="21" t="n"/>
    </row>
    <row r="8">
      <c r="B8" t="inlineStr">
        <is>
          <t>0Q120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12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s="5" t="inlineStr">
        <is>
          <t>合計使用量(kg)/週</t>
        </is>
      </c>
      <c r="D10">
        <f>'Grid_Requirement'!B2</f>
        <v/>
      </c>
      <c r="E10">
        <f>'Grid_Requirement'!C2</f>
        <v/>
      </c>
      <c r="F10">
        <f>'Grid_Requirement'!D2</f>
        <v/>
      </c>
      <c r="G10">
        <f>'Grid_Requirement'!E2</f>
        <v/>
      </c>
      <c r="H10">
        <f>'Grid_Requirement'!F2</f>
        <v/>
      </c>
      <c r="I10">
        <f>'Grid_Requirement'!G2</f>
        <v/>
      </c>
      <c r="J10">
        <f>'Grid_Requirement'!H2</f>
        <v/>
      </c>
      <c r="K10">
        <f>'Grid_Requirement'!I2</f>
        <v/>
      </c>
      <c r="L10">
        <f>'Grid_Requirement'!J2</f>
        <v/>
      </c>
      <c r="M10">
        <f>'Grid_Requirement'!K2</f>
        <v/>
      </c>
      <c r="N10">
        <f>'Grid_Requirement'!L2</f>
        <v/>
      </c>
      <c r="O10">
        <f>'Grid_Requirement'!M2</f>
        <v/>
      </c>
      <c r="P10">
        <f>'Grid_Requirement'!N2</f>
        <v/>
      </c>
      <c r="Q10">
        <f>'Grid_Requirement'!O2</f>
        <v/>
      </c>
      <c r="R10">
        <f>'Grid_Requirement'!P2</f>
        <v/>
      </c>
      <c r="S10">
        <f>'Grid_Requirement'!Q2</f>
        <v/>
      </c>
      <c r="T10">
        <f>'Grid_Requirement'!R2</f>
        <v/>
      </c>
      <c r="U10">
        <f>'Grid_Requirement'!S2</f>
        <v/>
      </c>
      <c r="V10">
        <f>'Grid_Requirement'!T2</f>
        <v/>
      </c>
      <c r="W10">
        <f>'Grid_Requirement'!U2</f>
        <v/>
      </c>
      <c r="X10">
        <f>'Grid_Requirement'!V2</f>
        <v/>
      </c>
      <c r="Y10">
        <f>'Grid_Requirement'!W2</f>
        <v/>
      </c>
      <c r="Z10">
        <f>'Grid_Requirement'!X2</f>
        <v/>
      </c>
      <c r="AA10">
        <f>'Grid_Requirement'!Y2</f>
        <v/>
      </c>
      <c r="AB10">
        <f>'Grid_Requirement'!Z2</f>
        <v/>
      </c>
      <c r="AC10">
        <f>'Grid_Requirement'!AA2</f>
        <v/>
      </c>
      <c r="AD10">
        <f>'Grid_Requirement'!AB2</f>
        <v/>
      </c>
      <c r="AE10">
        <f>'Grid_Requirement'!AC2</f>
        <v/>
      </c>
      <c r="AF10">
        <f>'Grid_Requirement'!AD2</f>
        <v/>
      </c>
      <c r="AG10">
        <f>'Grid_Requirement'!AE2</f>
        <v/>
      </c>
      <c r="AH10">
        <f>'Grid_Requirement'!AF2</f>
        <v/>
      </c>
      <c r="AI10">
        <f>'Grid_Requirement'!AG2</f>
        <v/>
      </c>
      <c r="AJ10">
        <f>'Grid_Requirement'!AH2</f>
        <v/>
      </c>
      <c r="AK10">
        <f>'Grid_Requirement'!AI2</f>
        <v/>
      </c>
      <c r="AL10">
        <f>'Grid_Requirement'!AJ2</f>
        <v/>
      </c>
      <c r="AM10">
        <f>'Grid_Requirement'!AK2</f>
        <v/>
      </c>
      <c r="AN10">
        <f>'Grid_Requirement'!AL2</f>
        <v/>
      </c>
      <c r="AO10">
        <f>'Grid_Requirement'!AM2</f>
        <v/>
      </c>
      <c r="AP10">
        <f>'Grid_Requirement'!AN2</f>
        <v/>
      </c>
      <c r="AQ10">
        <f>'Grid_Requirement'!AO2</f>
        <v/>
      </c>
      <c r="AR10">
        <f>'Grid_Requirement'!AP2</f>
        <v/>
      </c>
      <c r="AS10">
        <f>'Grid_Requirement'!AQ2</f>
        <v/>
      </c>
      <c r="AT10">
        <f>'Grid_Requirement'!AR2</f>
        <v/>
      </c>
      <c r="AU10">
        <f>'Grid_Requirement'!AS2</f>
        <v/>
      </c>
      <c r="AV10">
        <f>'Grid_Requirement'!AT2</f>
        <v/>
      </c>
      <c r="AW10">
        <f>'Grid_Requirement'!AU2</f>
        <v/>
      </c>
      <c r="AX10">
        <f>'Grid_Requirement'!AV2</f>
        <v/>
      </c>
      <c r="AY10">
        <f>'Grid_Requirement'!AW2</f>
        <v/>
      </c>
      <c r="AZ10">
        <f>'Grid_Requirement'!AX2</f>
        <v/>
      </c>
      <c r="BA10">
        <f>'Grid_Requirement'!AY2</f>
        <v/>
      </c>
      <c r="BB10">
        <f>'Grid_Requirement'!AZ2</f>
        <v/>
      </c>
      <c r="BC10">
        <f>'Grid_Requirement'!BA2</f>
        <v/>
      </c>
      <c r="BD10">
        <f>'Grid_Requirement'!BB2</f>
        <v/>
      </c>
      <c r="BE10">
        <f>'Grid_Requirement'!BC2</f>
        <v/>
      </c>
      <c r="BF10">
        <f>'Grid_Requirement'!BD2</f>
        <v/>
      </c>
      <c r="BG10">
        <f>'Grid_Requirement'!BE2</f>
        <v/>
      </c>
      <c r="BH10">
        <f>'Grid_Requirement'!BF2</f>
        <v/>
      </c>
      <c r="BI10">
        <f>'Grid_Requirement'!BG2</f>
        <v/>
      </c>
      <c r="BJ10">
        <f>'Grid_Requirement'!BH2</f>
        <v/>
      </c>
      <c r="BK10">
        <f>'Grid_Requirement'!BI2</f>
        <v/>
      </c>
      <c r="BL10">
        <f>'Grid_Requirement'!BJ2</f>
        <v/>
      </c>
      <c r="BM10">
        <f>'Grid_Requirement'!BK2</f>
        <v/>
      </c>
      <c r="BN10">
        <f>'Grid_Requirement'!BL2</f>
        <v/>
      </c>
      <c r="BO10">
        <f>'Grid_Requirement'!BM2</f>
        <v/>
      </c>
      <c r="BP10">
        <f>'Grid_Requirement'!BN2</f>
        <v/>
      </c>
      <c r="BQ10">
        <f>'Grid_Requirement'!BO2</f>
        <v/>
      </c>
      <c r="BR10">
        <f>'Grid_Requirement'!BP2</f>
        <v/>
      </c>
      <c r="BS10">
        <f>'Grid_Requirement'!BQ2</f>
        <v/>
      </c>
      <c r="BT10">
        <f>'Grid_Requirement'!BR2</f>
        <v/>
      </c>
      <c r="BU10">
        <f>'Grid_Requirement'!BS2</f>
        <v/>
      </c>
      <c r="BV10">
        <f>'Grid_Requirement'!BT2</f>
        <v/>
      </c>
      <c r="BW10">
        <f>'Grid_Requirement'!BU2</f>
        <v/>
      </c>
      <c r="BX10">
        <f>'Grid_Requirement'!BV2</f>
        <v/>
      </c>
      <c r="BY10">
        <f>'Grid_Requirement'!BW2</f>
        <v/>
      </c>
      <c r="BZ10">
        <f>'Grid_Requirement'!BX2</f>
        <v/>
      </c>
      <c r="CA10">
        <f>'Grid_Requirement'!BY2</f>
        <v/>
      </c>
      <c r="CB10">
        <f>'Grid_Requirement'!BZ2</f>
        <v/>
      </c>
      <c r="CC10">
        <f>'Grid_Requirement'!CA2</f>
        <v/>
      </c>
      <c r="CD10">
        <f>'Grid_Requirement'!CB2</f>
        <v/>
      </c>
      <c r="CE10">
        <f>'Grid_Requirement'!CC2</f>
        <v/>
      </c>
      <c r="CF10">
        <f>'Grid_Requirement'!CD2</f>
        <v/>
      </c>
      <c r="CG10">
        <f>'Grid_Requirement'!CE2</f>
        <v/>
      </c>
      <c r="CH10">
        <f>'Grid_Requirement'!CF2</f>
        <v/>
      </c>
      <c r="CI10">
        <f>'Grid_Requirement'!CG2</f>
        <v/>
      </c>
      <c r="CJ10">
        <f>'Grid_Requirement'!CH2</f>
        <v/>
      </c>
      <c r="CK10">
        <f>'Grid_Requirement'!CI2</f>
        <v/>
      </c>
      <c r="CL10">
        <f>'Grid_Requirement'!CJ2</f>
        <v/>
      </c>
      <c r="CM10">
        <f>'Grid_Requirement'!CK2</f>
        <v/>
      </c>
      <c r="CN10">
        <f>'Grid_Requirement'!CL2</f>
        <v/>
      </c>
      <c r="CO10">
        <f>'Grid_Requirement'!CM2</f>
        <v/>
      </c>
      <c r="CP10">
        <f>'Grid_Requirement'!CN2</f>
        <v/>
      </c>
      <c r="CQ10">
        <f>'Grid_Requirement'!CO2</f>
        <v/>
      </c>
      <c r="CR10">
        <f>'Grid_Requirement'!CP2</f>
        <v/>
      </c>
      <c r="CS10">
        <f>'Grid_Requirement'!CQ2</f>
        <v/>
      </c>
      <c r="CT10">
        <f>'Grid_Requirement'!CR2</f>
        <v/>
      </c>
      <c r="CU10">
        <f>'Grid_Requirement'!CS2</f>
        <v/>
      </c>
      <c r="CV10">
        <f>'Grid_Requirement'!CT2</f>
        <v/>
      </c>
      <c r="CW10">
        <f>'Grid_Requirement'!CU2</f>
        <v/>
      </c>
      <c r="CX10">
        <f>'Grid_Requirement'!CV2</f>
        <v/>
      </c>
      <c r="CY10">
        <f>'Grid_Requirement'!CW2</f>
        <v/>
      </c>
      <c r="CZ10">
        <f>'Grid_Requirement'!CX2</f>
        <v/>
      </c>
      <c r="DA10">
        <f>'Grid_Requirement'!CY2</f>
        <v/>
      </c>
      <c r="DB10">
        <f>'Grid_Requirement'!CZ2</f>
        <v/>
      </c>
      <c r="DC10">
        <f>'Grid_Requirement'!DA2</f>
        <v/>
      </c>
    </row>
    <row r="11">
      <c r="B11" t="inlineStr">
        <is>
          <t>TTAF在庫(実績,kg)</t>
        </is>
      </c>
      <c r="D11">
        <f>'T_TTAFStock'!B6</f>
        <v/>
      </c>
      <c r="E11">
        <f>'T_TTAFStock'!C6</f>
        <v/>
      </c>
      <c r="F11">
        <f>'T_TTAFStock'!D6</f>
        <v/>
      </c>
      <c r="G11">
        <f>'T_TTAFStock'!E6</f>
        <v/>
      </c>
      <c r="H11">
        <f>'T_TTAFStock'!F6</f>
        <v/>
      </c>
      <c r="I11">
        <f>'T_TTAFStock'!G6</f>
        <v/>
      </c>
      <c r="J11">
        <f>'T_TTAFStock'!H6</f>
        <v/>
      </c>
      <c r="K11">
        <f>'T_TTAFStock'!I6</f>
        <v/>
      </c>
      <c r="L11">
        <f>'T_TTAFStock'!J6</f>
        <v/>
      </c>
      <c r="M11">
        <f>'T_TTAFStock'!K6</f>
        <v/>
      </c>
      <c r="N11">
        <f>'T_TTAFStock'!L6</f>
        <v/>
      </c>
      <c r="O11">
        <f>'T_TTAFStock'!M6</f>
        <v/>
      </c>
      <c r="P11">
        <f>'T_TTAFStock'!N6</f>
        <v/>
      </c>
      <c r="Q11">
        <f>'T_TTAFStock'!O6</f>
        <v/>
      </c>
      <c r="R11">
        <f>'T_TTAFStock'!P6</f>
        <v/>
      </c>
      <c r="S11">
        <f>'T_TTAFStock'!Q6</f>
        <v/>
      </c>
      <c r="T11">
        <f>'T_TTAFStock'!R6</f>
        <v/>
      </c>
      <c r="U11">
        <f>'T_TTAFStock'!S6</f>
        <v/>
      </c>
      <c r="V11">
        <f>'T_TTAFStock'!T6</f>
        <v/>
      </c>
      <c r="W11">
        <f>'T_TTAFStock'!U6</f>
        <v/>
      </c>
      <c r="X11">
        <f>'T_TTAFStock'!V6</f>
        <v/>
      </c>
      <c r="Y11">
        <f>'T_TTAFStock'!W6</f>
        <v/>
      </c>
      <c r="Z11">
        <f>'T_TTAFStock'!X6</f>
        <v/>
      </c>
      <c r="AA11">
        <f>'T_TTAFStock'!Y6</f>
        <v/>
      </c>
      <c r="AB11">
        <f>'T_TTAFStock'!Z6</f>
        <v/>
      </c>
      <c r="AC11">
        <f>'T_TTAFStock'!AA6</f>
        <v/>
      </c>
      <c r="AD11">
        <f>'T_TTAFStock'!AB6</f>
        <v/>
      </c>
      <c r="AE11">
        <f>'T_TTAFStock'!AC6</f>
        <v/>
      </c>
      <c r="AF11">
        <f>'T_TTAFStock'!AD6</f>
        <v/>
      </c>
      <c r="AG11">
        <f>'T_TTAFStock'!AE6</f>
        <v/>
      </c>
      <c r="AH11">
        <f>'T_TTAFStock'!AF6</f>
        <v/>
      </c>
      <c r="AI11">
        <f>'T_TTAFStock'!AG6</f>
        <v/>
      </c>
      <c r="AJ11">
        <f>'T_TTAFStock'!AH6</f>
        <v/>
      </c>
      <c r="AK11">
        <f>'T_TTAFStock'!AI6</f>
        <v/>
      </c>
      <c r="AL11">
        <f>'T_TTAFStock'!AJ6</f>
        <v/>
      </c>
      <c r="AM11">
        <f>'T_TTAFStock'!AK6</f>
        <v/>
      </c>
      <c r="AN11">
        <f>'T_TTAFStock'!AL6</f>
        <v/>
      </c>
      <c r="AO11">
        <f>'T_TTAFStock'!AM6</f>
        <v/>
      </c>
      <c r="AP11">
        <f>'T_TTAFStock'!AN6</f>
        <v/>
      </c>
      <c r="AQ11">
        <f>'T_TTAFStock'!AO6</f>
        <v/>
      </c>
      <c r="AR11">
        <f>'T_TTAFStock'!AP6</f>
        <v/>
      </c>
      <c r="AS11">
        <f>'T_TTAFStock'!AQ6</f>
        <v/>
      </c>
      <c r="AT11">
        <f>'T_TTAFStock'!AR6</f>
        <v/>
      </c>
      <c r="AU11">
        <f>'T_TTAFStock'!AS6</f>
        <v/>
      </c>
      <c r="AV11">
        <f>'T_TTAFStock'!AT6</f>
        <v/>
      </c>
      <c r="AW11">
        <f>'T_TTAFStock'!AU6</f>
        <v/>
      </c>
      <c r="AX11">
        <f>'T_TTAFStock'!AV6</f>
        <v/>
      </c>
      <c r="AY11">
        <f>'T_TTAFStock'!AW6</f>
        <v/>
      </c>
      <c r="AZ11">
        <f>'T_TTAFStock'!AX6</f>
        <v/>
      </c>
      <c r="BA11">
        <f>'T_TTAFStock'!AY6</f>
        <v/>
      </c>
      <c r="BB11">
        <f>'T_TTAFStock'!AZ6</f>
        <v/>
      </c>
      <c r="BC11">
        <f>'T_TTAFStock'!BA6</f>
        <v/>
      </c>
      <c r="BD11">
        <f>'T_TTAFStock'!BB6</f>
        <v/>
      </c>
      <c r="BE11">
        <f>'T_TTAFStock'!BC6</f>
        <v/>
      </c>
      <c r="BF11">
        <f>'T_TTAFStock'!BD6</f>
        <v/>
      </c>
      <c r="BG11">
        <f>'T_TTAFStock'!BE6</f>
        <v/>
      </c>
      <c r="BH11">
        <f>'T_TTAFStock'!BF6</f>
        <v/>
      </c>
      <c r="BI11">
        <f>'T_TTAFStock'!BG6</f>
        <v/>
      </c>
      <c r="BJ11">
        <f>'T_TTAFStock'!BH6</f>
        <v/>
      </c>
      <c r="BK11">
        <f>'T_TTAFStock'!BI6</f>
        <v/>
      </c>
      <c r="BL11">
        <f>'T_TTAFStock'!BJ6</f>
        <v/>
      </c>
      <c r="BM11">
        <f>'T_TTAFStock'!BK6</f>
        <v/>
      </c>
      <c r="BN11">
        <f>'T_TTAFStock'!BL6</f>
        <v/>
      </c>
      <c r="BO11">
        <f>'T_TTAFStock'!BM6</f>
        <v/>
      </c>
      <c r="BP11">
        <f>'T_TTAFStock'!BN6</f>
        <v/>
      </c>
      <c r="BQ11">
        <f>'T_TTAFStock'!BO6</f>
        <v/>
      </c>
      <c r="BR11">
        <f>'T_TTAFStock'!BP6</f>
        <v/>
      </c>
      <c r="BS11">
        <f>'T_TTAFStock'!BQ6</f>
        <v/>
      </c>
      <c r="BT11">
        <f>'T_TTAFStock'!BR6</f>
        <v/>
      </c>
      <c r="BU11">
        <f>'T_TTAFStock'!BS6</f>
        <v/>
      </c>
      <c r="BV11">
        <f>'T_TTAFStock'!BT6</f>
        <v/>
      </c>
      <c r="BW11">
        <f>'T_TTAFStock'!BU6</f>
        <v/>
      </c>
      <c r="BX11">
        <f>'T_TTAFStock'!BV6</f>
        <v/>
      </c>
      <c r="BY11">
        <f>'T_TTAFStock'!BW6</f>
        <v/>
      </c>
      <c r="BZ11">
        <f>'T_TTAFStock'!BX6</f>
        <v/>
      </c>
      <c r="CA11">
        <f>'T_TTAFStock'!BY6</f>
        <v/>
      </c>
      <c r="CB11">
        <f>'T_TTAFStock'!BZ6</f>
        <v/>
      </c>
      <c r="CC11">
        <f>'T_TTAFStock'!CA6</f>
        <v/>
      </c>
      <c r="CD11">
        <f>'T_TTAFStock'!CB6</f>
        <v/>
      </c>
      <c r="CE11">
        <f>'T_TTAFStock'!CC6</f>
        <v/>
      </c>
      <c r="CF11">
        <f>'T_TTAFStock'!CD6</f>
        <v/>
      </c>
      <c r="CG11">
        <f>'T_TTAFStock'!CE6</f>
        <v/>
      </c>
      <c r="CH11">
        <f>'T_TTAFStock'!CF6</f>
        <v/>
      </c>
      <c r="CI11">
        <f>'T_TTAFStock'!CG6</f>
        <v/>
      </c>
      <c r="CJ11">
        <f>'T_TTAFStock'!CH6</f>
        <v/>
      </c>
      <c r="CK11">
        <f>'T_TTAFStock'!CI6</f>
        <v/>
      </c>
      <c r="CL11">
        <f>'T_TTAFStock'!CJ6</f>
        <v/>
      </c>
      <c r="CM11">
        <f>'T_TTAFStock'!CK6</f>
        <v/>
      </c>
      <c r="CN11">
        <f>'T_TTAFStock'!CL6</f>
        <v/>
      </c>
      <c r="CO11">
        <f>'T_TTAFStock'!CM6</f>
        <v/>
      </c>
      <c r="CP11">
        <f>'T_TTAFStock'!CN6</f>
        <v/>
      </c>
      <c r="CQ11">
        <f>'T_TTAFStock'!CO6</f>
        <v/>
      </c>
      <c r="CR11">
        <f>'T_TTAFStock'!CP6</f>
        <v/>
      </c>
      <c r="CS11">
        <f>'T_TTAFStock'!CQ6</f>
        <v/>
      </c>
      <c r="CT11">
        <f>'T_TTAFStock'!CR6</f>
        <v/>
      </c>
      <c r="CU11">
        <f>'T_TTAFStock'!CS6</f>
        <v/>
      </c>
      <c r="CV11">
        <f>'T_TTAFStock'!CT6</f>
        <v/>
      </c>
      <c r="CW11">
        <f>'T_TTAFStock'!CU6</f>
        <v/>
      </c>
      <c r="CX11">
        <f>'T_TTAFStock'!CV6</f>
        <v/>
      </c>
      <c r="CY11">
        <f>'T_TTAFStock'!CW6</f>
        <v/>
      </c>
      <c r="CZ11">
        <f>'T_TTAFStock'!CX6</f>
        <v/>
      </c>
      <c r="DA11">
        <f>'T_TTAFStock'!CY6</f>
        <v/>
      </c>
      <c r="DB11">
        <f>'T_TTAFStock'!CZ6</f>
        <v/>
      </c>
      <c r="DC11">
        <f>'T_TTAFStock'!DA6</f>
        <v/>
      </c>
    </row>
    <row r="12">
      <c r="B12" t="inlineStr">
        <is>
          <t>自社在庫(実績,kg)</t>
        </is>
      </c>
      <c r="D12">
        <f>'T_SelfStock'!B6</f>
        <v/>
      </c>
      <c r="E12">
        <f>'T_SelfStock'!C6</f>
        <v/>
      </c>
      <c r="F12">
        <f>'T_SelfStock'!D6</f>
        <v/>
      </c>
      <c r="G12">
        <f>'T_SelfStock'!E6</f>
        <v/>
      </c>
      <c r="H12">
        <f>'T_SelfStock'!F6</f>
        <v/>
      </c>
      <c r="I12">
        <f>'T_SelfStock'!G6</f>
        <v/>
      </c>
      <c r="J12">
        <f>'T_SelfStock'!H6</f>
        <v/>
      </c>
      <c r="K12">
        <f>'T_SelfStock'!I6</f>
        <v/>
      </c>
      <c r="L12">
        <f>'T_SelfStock'!J6</f>
        <v/>
      </c>
      <c r="M12">
        <f>'T_SelfStock'!K6</f>
        <v/>
      </c>
      <c r="N12">
        <f>'T_SelfStock'!L6</f>
        <v/>
      </c>
      <c r="O12">
        <f>'T_SelfStock'!M6</f>
        <v/>
      </c>
      <c r="P12">
        <f>'T_SelfStock'!N6</f>
        <v/>
      </c>
      <c r="Q12">
        <f>'T_SelfStock'!O6</f>
        <v/>
      </c>
      <c r="R12">
        <f>'T_SelfStock'!P6</f>
        <v/>
      </c>
      <c r="S12">
        <f>'T_SelfStock'!Q6</f>
        <v/>
      </c>
      <c r="T12">
        <f>'T_SelfStock'!R6</f>
        <v/>
      </c>
      <c r="U12">
        <f>'T_SelfStock'!S6</f>
        <v/>
      </c>
      <c r="V12">
        <f>'T_SelfStock'!T6</f>
        <v/>
      </c>
      <c r="W12">
        <f>'T_SelfStock'!U6</f>
        <v/>
      </c>
      <c r="X12">
        <f>'T_SelfStock'!V6</f>
        <v/>
      </c>
      <c r="Y12">
        <f>'T_SelfStock'!W6</f>
        <v/>
      </c>
      <c r="Z12">
        <f>'T_SelfStock'!X6</f>
        <v/>
      </c>
      <c r="AA12">
        <f>'T_SelfStock'!Y6</f>
        <v/>
      </c>
      <c r="AB12">
        <f>'T_SelfStock'!Z6</f>
        <v/>
      </c>
      <c r="AC12">
        <f>'T_SelfStock'!AA6</f>
        <v/>
      </c>
      <c r="AD12">
        <f>'T_SelfStock'!AB6</f>
        <v/>
      </c>
      <c r="AE12">
        <f>'T_SelfStock'!AC6</f>
        <v/>
      </c>
      <c r="AF12">
        <f>'T_SelfStock'!AD6</f>
        <v/>
      </c>
      <c r="AG12">
        <f>'T_SelfStock'!AE6</f>
        <v/>
      </c>
      <c r="AH12">
        <f>'T_SelfStock'!AF6</f>
        <v/>
      </c>
      <c r="AI12">
        <f>'T_SelfStock'!AG6</f>
        <v/>
      </c>
      <c r="AJ12">
        <f>'T_SelfStock'!AH6</f>
        <v/>
      </c>
      <c r="AK12">
        <f>'T_SelfStock'!AI6</f>
        <v/>
      </c>
      <c r="AL12">
        <f>'T_SelfStock'!AJ6</f>
        <v/>
      </c>
      <c r="AM12">
        <f>'T_SelfStock'!AK6</f>
        <v/>
      </c>
      <c r="AN12">
        <f>'T_SelfStock'!AL6</f>
        <v/>
      </c>
      <c r="AO12">
        <f>'T_SelfStock'!AM6</f>
        <v/>
      </c>
      <c r="AP12">
        <f>'T_SelfStock'!AN6</f>
        <v/>
      </c>
      <c r="AQ12">
        <f>'T_SelfStock'!AO6</f>
        <v/>
      </c>
      <c r="AR12">
        <f>'T_SelfStock'!AP6</f>
        <v/>
      </c>
      <c r="AS12">
        <f>'T_SelfStock'!AQ6</f>
        <v/>
      </c>
      <c r="AT12">
        <f>'T_SelfStock'!AR6</f>
        <v/>
      </c>
      <c r="AU12">
        <f>'T_SelfStock'!AS6</f>
        <v/>
      </c>
      <c r="AV12">
        <f>'T_SelfStock'!AT6</f>
        <v/>
      </c>
      <c r="AW12">
        <f>'T_SelfStock'!AU6</f>
        <v/>
      </c>
      <c r="AX12">
        <f>'T_SelfStock'!AV6</f>
        <v/>
      </c>
      <c r="AY12">
        <f>'T_SelfStock'!AW6</f>
        <v/>
      </c>
      <c r="AZ12">
        <f>'T_SelfStock'!AX6</f>
        <v/>
      </c>
      <c r="BA12">
        <f>'T_SelfStock'!AY6</f>
        <v/>
      </c>
      <c r="BB12">
        <f>'T_SelfStock'!AZ6</f>
        <v/>
      </c>
      <c r="BC12">
        <f>'T_SelfStock'!BA6</f>
        <v/>
      </c>
      <c r="BD12">
        <f>'T_SelfStock'!BB6</f>
        <v/>
      </c>
      <c r="BE12">
        <f>'T_SelfStock'!BC6</f>
        <v/>
      </c>
      <c r="BF12">
        <f>'T_SelfStock'!BD6</f>
        <v/>
      </c>
      <c r="BG12">
        <f>'T_SelfStock'!BE6</f>
        <v/>
      </c>
      <c r="BH12">
        <f>'T_SelfStock'!BF6</f>
        <v/>
      </c>
      <c r="BI12">
        <f>'T_SelfStock'!BG6</f>
        <v/>
      </c>
      <c r="BJ12">
        <f>'T_SelfStock'!BH6</f>
        <v/>
      </c>
      <c r="BK12">
        <f>'T_SelfStock'!BI6</f>
        <v/>
      </c>
      <c r="BL12">
        <f>'T_SelfStock'!BJ6</f>
        <v/>
      </c>
      <c r="BM12">
        <f>'T_SelfStock'!BK6</f>
        <v/>
      </c>
      <c r="BN12">
        <f>'T_SelfStock'!BL6</f>
        <v/>
      </c>
      <c r="BO12">
        <f>'T_SelfStock'!BM6</f>
        <v/>
      </c>
      <c r="BP12">
        <f>'T_SelfStock'!BN6</f>
        <v/>
      </c>
      <c r="BQ12">
        <f>'T_SelfStock'!BO6</f>
        <v/>
      </c>
      <c r="BR12">
        <f>'T_SelfStock'!BP6</f>
        <v/>
      </c>
      <c r="BS12">
        <f>'T_SelfStock'!BQ6</f>
        <v/>
      </c>
      <c r="BT12">
        <f>'T_SelfStock'!BR6</f>
        <v/>
      </c>
      <c r="BU12">
        <f>'T_SelfStock'!BS6</f>
        <v/>
      </c>
      <c r="BV12">
        <f>'T_SelfStock'!BT6</f>
        <v/>
      </c>
      <c r="BW12">
        <f>'T_SelfStock'!BU6</f>
        <v/>
      </c>
      <c r="BX12">
        <f>'T_SelfStock'!BV6</f>
        <v/>
      </c>
      <c r="BY12">
        <f>'T_SelfStock'!BW6</f>
        <v/>
      </c>
      <c r="BZ12">
        <f>'T_SelfStock'!BX6</f>
        <v/>
      </c>
      <c r="CA12">
        <f>'T_SelfStock'!BY6</f>
        <v/>
      </c>
      <c r="CB12">
        <f>'T_SelfStock'!BZ6</f>
        <v/>
      </c>
      <c r="CC12">
        <f>'T_SelfStock'!CA6</f>
        <v/>
      </c>
      <c r="CD12">
        <f>'T_SelfStock'!CB6</f>
        <v/>
      </c>
      <c r="CE12">
        <f>'T_SelfStock'!CC6</f>
        <v/>
      </c>
      <c r="CF12">
        <f>'T_SelfStock'!CD6</f>
        <v/>
      </c>
      <c r="CG12">
        <f>'T_SelfStock'!CE6</f>
        <v/>
      </c>
      <c r="CH12">
        <f>'T_SelfStock'!CF6</f>
        <v/>
      </c>
      <c r="CI12">
        <f>'T_SelfStock'!CG6</f>
        <v/>
      </c>
      <c r="CJ12">
        <f>'T_SelfStock'!CH6</f>
        <v/>
      </c>
      <c r="CK12">
        <f>'T_SelfStock'!CI6</f>
        <v/>
      </c>
      <c r="CL12">
        <f>'T_SelfStock'!CJ6</f>
        <v/>
      </c>
      <c r="CM12">
        <f>'T_SelfStock'!CK6</f>
        <v/>
      </c>
      <c r="CN12">
        <f>'T_SelfStock'!CL6</f>
        <v/>
      </c>
      <c r="CO12">
        <f>'T_SelfStock'!CM6</f>
        <v/>
      </c>
      <c r="CP12">
        <f>'T_SelfStock'!CN6</f>
        <v/>
      </c>
      <c r="CQ12">
        <f>'T_SelfStock'!CO6</f>
        <v/>
      </c>
      <c r="CR12">
        <f>'T_SelfStock'!CP6</f>
        <v/>
      </c>
      <c r="CS12">
        <f>'T_SelfStock'!CQ6</f>
        <v/>
      </c>
      <c r="CT12">
        <f>'T_SelfStock'!CR6</f>
        <v/>
      </c>
      <c r="CU12">
        <f>'T_SelfStock'!CS6</f>
        <v/>
      </c>
      <c r="CV12">
        <f>'T_SelfStock'!CT6</f>
        <v/>
      </c>
      <c r="CW12">
        <f>'T_SelfStock'!CU6</f>
        <v/>
      </c>
      <c r="CX12">
        <f>'T_SelfStock'!CV6</f>
        <v/>
      </c>
      <c r="CY12">
        <f>'T_SelfStock'!CW6</f>
        <v/>
      </c>
      <c r="CZ12">
        <f>'T_SelfStock'!CX6</f>
        <v/>
      </c>
      <c r="DA12">
        <f>'T_SelfStock'!CY6</f>
        <v/>
      </c>
      <c r="DB12">
        <f>'T_SelfStock'!CZ6</f>
        <v/>
      </c>
      <c r="DC12">
        <f>'T_SelfStock'!DA6</f>
        <v/>
      </c>
    </row>
    <row r="13">
      <c r="B13" t="inlineStr">
        <is>
          <t>Order(発注予定,kg)</t>
        </is>
      </c>
      <c r="D13">
        <f>IF(SUMIFS(T_PlannedOrders[EffectiveQty],T_PlannedOrders[Part Name],$A7,T_PlannedOrders[WeekIndex],1)=0,"",SUMIFS(T_PlannedOrders[EffectiveQty],T_PlannedOrders[Part Name],$A7,T_PlannedOrders[WeekIndex],1)&amp;" ("&amp;TEXT(SUMPRODUCT(MAX((T_PlannedOrders[Part Name]=$A7)*(T_PlannedOrders[WeekIndex]=1)*(T_PlannedOrders[EffectiveQty]&gt;0)*T_PlannedOrders[Order_Month])),"m月")&amp;"発注)")</f>
        <v/>
      </c>
      <c r="E13">
        <f>IF(SUMIFS(T_PlannedOrders[EffectiveQty],T_PlannedOrders[Part Name],$A7,T_PlannedOrders[WeekIndex],2)=0,"",SUMIFS(T_PlannedOrders[EffectiveQty],T_PlannedOrders[Part Name],$A7,T_PlannedOrders[WeekIndex],2)&amp;" ("&amp;TEXT(SUMPRODUCT(MAX((T_PlannedOrders[Part Name]=$A7)*(T_PlannedOrders[WeekIndex]=2)*(T_PlannedOrders[EffectiveQty]&gt;0)*T_PlannedOrders[Order_Month])),"m月")&amp;"発注)")</f>
        <v/>
      </c>
      <c r="F13">
        <f>IF(SUMIFS(T_PlannedOrders[EffectiveQty],T_PlannedOrders[Part Name],$A7,T_PlannedOrders[WeekIndex],3)=0,"",SUMIFS(T_PlannedOrders[EffectiveQty],T_PlannedOrders[Part Name],$A7,T_PlannedOrders[WeekIndex],3)&amp;" ("&amp;TEXT(SUMPRODUCT(MAX((T_PlannedOrders[Part Name]=$A7)*(T_PlannedOrders[WeekIndex]=3)*(T_PlannedOrders[EffectiveQty]&gt;0)*T_PlannedOrders[Order_Month])),"m月")&amp;"発注)")</f>
        <v/>
      </c>
      <c r="G13">
        <f>IF(SUMIFS(T_PlannedOrders[EffectiveQty],T_PlannedOrders[Part Name],$A7,T_PlannedOrders[WeekIndex],4)=0,"",SUMIFS(T_PlannedOrders[EffectiveQty],T_PlannedOrders[Part Name],$A7,T_PlannedOrders[WeekIndex],4)&amp;" ("&amp;TEXT(SUMPRODUCT(MAX((T_PlannedOrders[Part Name]=$A7)*(T_PlannedOrders[WeekIndex]=4)*(T_PlannedOrders[EffectiveQty]&gt;0)*T_PlannedOrders[Order_Month])),"m月")&amp;"発注)")</f>
        <v/>
      </c>
      <c r="H13">
        <f>IF(SUMIFS(T_PlannedOrders[EffectiveQty],T_PlannedOrders[Part Name],$A7,T_PlannedOrders[WeekIndex],5)=0,"",SUMIFS(T_PlannedOrders[EffectiveQty],T_PlannedOrders[Part Name],$A7,T_PlannedOrders[WeekIndex],5)&amp;" ("&amp;TEXT(SUMPRODUCT(MAX((T_PlannedOrders[Part Name]=$A7)*(T_PlannedOrders[WeekIndex]=5)*(T_PlannedOrders[EffectiveQty]&gt;0)*T_PlannedOrders[Order_Month])),"m月")&amp;"発注)")</f>
        <v/>
      </c>
      <c r="I13">
        <f>IF(SUMIFS(T_PlannedOrders[EffectiveQty],T_PlannedOrders[Part Name],$A7,T_PlannedOrders[WeekIndex],6)=0,"",SUMIFS(T_PlannedOrders[EffectiveQty],T_PlannedOrders[Part Name],$A7,T_PlannedOrders[WeekIndex],6)&amp;" ("&amp;TEXT(SUMPRODUCT(MAX((T_PlannedOrders[Part Name]=$A7)*(T_PlannedOrders[WeekIndex]=6)*(T_PlannedOrders[EffectiveQty]&gt;0)*T_PlannedOrders[Order_Month])),"m月")&amp;"発注)")</f>
        <v/>
      </c>
      <c r="J13">
        <f>IF(SUMIFS(T_PlannedOrders[EffectiveQty],T_PlannedOrders[Part Name],$A7,T_PlannedOrders[WeekIndex],7)=0,"",SUMIFS(T_PlannedOrders[EffectiveQty],T_PlannedOrders[Part Name],$A7,T_PlannedOrders[WeekIndex],7)&amp;" ("&amp;TEXT(SUMPRODUCT(MAX((T_PlannedOrders[Part Name]=$A7)*(T_PlannedOrders[WeekIndex]=7)*(T_PlannedOrders[EffectiveQty]&gt;0)*T_PlannedOrders[Order_Month])),"m月")&amp;"発注)")</f>
        <v/>
      </c>
      <c r="K13">
        <f>IF(SUMIFS(T_PlannedOrders[EffectiveQty],T_PlannedOrders[Part Name],$A7,T_PlannedOrders[WeekIndex],8)=0,"",SUMIFS(T_PlannedOrders[EffectiveQty],T_PlannedOrders[Part Name],$A7,T_PlannedOrders[WeekIndex],8)&amp;" ("&amp;TEXT(SUMPRODUCT(MAX((T_PlannedOrders[Part Name]=$A7)*(T_PlannedOrders[WeekIndex]=8)*(T_PlannedOrders[EffectiveQty]&gt;0)*T_PlannedOrders[Order_Month])),"m月")&amp;"発注)")</f>
        <v/>
      </c>
      <c r="L13">
        <f>IF(SUMIFS(T_PlannedOrders[EffectiveQty],T_PlannedOrders[Part Name],$A7,T_PlannedOrders[WeekIndex],9)=0,"",SUMIFS(T_PlannedOrders[EffectiveQty],T_PlannedOrders[Part Name],$A7,T_PlannedOrders[WeekIndex],9)&amp;" ("&amp;TEXT(SUMPRODUCT(MAX((T_PlannedOrders[Part Name]=$A7)*(T_PlannedOrders[WeekIndex]=9)*(T_PlannedOrders[EffectiveQty]&gt;0)*T_PlannedOrders[Order_Month])),"m月")&amp;"発注)")</f>
        <v/>
      </c>
      <c r="M13">
        <f>IF(SUMIFS(T_PlannedOrders[EffectiveQty],T_PlannedOrders[Part Name],$A7,T_PlannedOrders[WeekIndex],10)=0,"",SUMIFS(T_PlannedOrders[EffectiveQty],T_PlannedOrders[Part Name],$A7,T_PlannedOrders[WeekIndex],10)&amp;" ("&amp;TEXT(SUMPRODUCT(MAX((T_PlannedOrders[Part Name]=$A7)*(T_PlannedOrders[WeekIndex]=10)*(T_PlannedOrders[EffectiveQty]&gt;0)*T_PlannedOrders[Order_Month])),"m月")&amp;"発注)")</f>
        <v/>
      </c>
      <c r="N13">
        <f>IF(SUMIFS(T_PlannedOrders[EffectiveQty],T_PlannedOrders[Part Name],$A7,T_PlannedOrders[WeekIndex],11)=0,"",SUMIFS(T_PlannedOrders[EffectiveQty],T_PlannedOrders[Part Name],$A7,T_PlannedOrders[WeekIndex],11)&amp;" ("&amp;TEXT(SUMPRODUCT(MAX((T_PlannedOrders[Part Name]=$A7)*(T_PlannedOrders[WeekIndex]=11)*(T_PlannedOrders[EffectiveQty]&gt;0)*T_PlannedOrders[Order_Month])),"m月")&amp;"発注)")</f>
        <v/>
      </c>
      <c r="O13">
        <f>IF(SUMIFS(T_PlannedOrders[EffectiveQty],T_PlannedOrders[Part Name],$A7,T_PlannedOrders[WeekIndex],12)=0,"",SUMIFS(T_PlannedOrders[EffectiveQty],T_PlannedOrders[Part Name],$A7,T_PlannedOrders[WeekIndex],12)&amp;" ("&amp;TEXT(SUMPRODUCT(MAX((T_PlannedOrders[Part Name]=$A7)*(T_PlannedOrders[WeekIndex]=12)*(T_PlannedOrders[EffectiveQty]&gt;0)*T_PlannedOrders[Order_Month])),"m月")&amp;"発注)")</f>
        <v/>
      </c>
      <c r="P13">
        <f>IF(SUMIFS(T_PlannedOrders[EffectiveQty],T_PlannedOrders[Part Name],$A7,T_PlannedOrders[WeekIndex],13)=0,"",SUMIFS(T_PlannedOrders[EffectiveQty],T_PlannedOrders[Part Name],$A7,T_PlannedOrders[WeekIndex],13)&amp;" ("&amp;TEXT(SUMPRODUCT(MAX((T_PlannedOrders[Part Name]=$A7)*(T_PlannedOrders[WeekIndex]=13)*(T_PlannedOrders[EffectiveQty]&gt;0)*T_PlannedOrders[Order_Month])),"m月")&amp;"発注)")</f>
        <v/>
      </c>
      <c r="Q13">
        <f>IF(SUMIFS(T_PlannedOrders[EffectiveQty],T_PlannedOrders[Part Name],$A7,T_PlannedOrders[WeekIndex],14)=0,"",SUMIFS(T_PlannedOrders[EffectiveQty],T_PlannedOrders[Part Name],$A7,T_PlannedOrders[WeekIndex],14)&amp;" ("&amp;TEXT(SUMPRODUCT(MAX((T_PlannedOrders[Part Name]=$A7)*(T_PlannedOrders[WeekIndex]=14)*(T_PlannedOrders[EffectiveQty]&gt;0)*T_PlannedOrders[Order_Month])),"m月")&amp;"発注)")</f>
        <v/>
      </c>
      <c r="R13">
        <f>IF(SUMIFS(T_PlannedOrders[EffectiveQty],T_PlannedOrders[Part Name],$A7,T_PlannedOrders[WeekIndex],15)=0,"",SUMIFS(T_PlannedOrders[EffectiveQty],T_PlannedOrders[Part Name],$A7,T_PlannedOrders[WeekIndex],15)&amp;" ("&amp;TEXT(SUMPRODUCT(MAX((T_PlannedOrders[Part Name]=$A7)*(T_PlannedOrders[WeekIndex]=15)*(T_PlannedOrders[EffectiveQty]&gt;0)*T_PlannedOrders[Order_Month])),"m月")&amp;"発注)")</f>
        <v/>
      </c>
      <c r="S13">
        <f>IF(SUMIFS(T_PlannedOrders[EffectiveQty],T_PlannedOrders[Part Name],$A7,T_PlannedOrders[WeekIndex],16)=0,"",SUMIFS(T_PlannedOrders[EffectiveQty],T_PlannedOrders[Part Name],$A7,T_PlannedOrders[WeekIndex],16)&amp;" ("&amp;TEXT(SUMPRODUCT(MAX((T_PlannedOrders[Part Name]=$A7)*(T_PlannedOrders[WeekIndex]=16)*(T_PlannedOrders[EffectiveQty]&gt;0)*T_PlannedOrders[Order_Month])),"m月")&amp;"発注)")</f>
        <v/>
      </c>
      <c r="T13">
        <f>IF(SUMIFS(T_PlannedOrders[EffectiveQty],T_PlannedOrders[Part Name],$A7,T_PlannedOrders[WeekIndex],17)=0,"",SUMIFS(T_PlannedOrders[EffectiveQty],T_PlannedOrders[Part Name],$A7,T_PlannedOrders[WeekIndex],17)&amp;" ("&amp;TEXT(SUMPRODUCT(MAX((T_PlannedOrders[Part Name]=$A7)*(T_PlannedOrders[WeekIndex]=17)*(T_PlannedOrders[EffectiveQty]&gt;0)*T_PlannedOrders[Order_Month])),"m月")&amp;"発注)")</f>
        <v/>
      </c>
      <c r="U13">
        <f>IF(SUMIFS(T_PlannedOrders[EffectiveQty],T_PlannedOrders[Part Name],$A7,T_PlannedOrders[WeekIndex],18)=0,"",SUMIFS(T_PlannedOrders[EffectiveQty],T_PlannedOrders[Part Name],$A7,T_PlannedOrders[WeekIndex],18)&amp;" ("&amp;TEXT(SUMPRODUCT(MAX((T_PlannedOrders[Part Name]=$A7)*(T_PlannedOrders[WeekIndex]=18)*(T_PlannedOrders[EffectiveQty]&gt;0)*T_PlannedOrders[Order_Month])),"m月")&amp;"発注)")</f>
        <v/>
      </c>
      <c r="V13">
        <f>IF(SUMIFS(T_PlannedOrders[EffectiveQty],T_PlannedOrders[Part Name],$A7,T_PlannedOrders[WeekIndex],19)=0,"",SUMIFS(T_PlannedOrders[EffectiveQty],T_PlannedOrders[Part Name],$A7,T_PlannedOrders[WeekIndex],19)&amp;" ("&amp;TEXT(SUMPRODUCT(MAX((T_PlannedOrders[Part Name]=$A7)*(T_PlannedOrders[WeekIndex]=19)*(T_PlannedOrders[EffectiveQty]&gt;0)*T_PlannedOrders[Order_Month])),"m月")&amp;"発注)")</f>
        <v/>
      </c>
      <c r="W13">
        <f>IF(SUMIFS(T_PlannedOrders[EffectiveQty],T_PlannedOrders[Part Name],$A7,T_PlannedOrders[WeekIndex],20)=0,"",SUMIFS(T_PlannedOrders[EffectiveQty],T_PlannedOrders[Part Name],$A7,T_PlannedOrders[WeekIndex],20)&amp;" ("&amp;TEXT(SUMPRODUCT(MAX((T_PlannedOrders[Part Name]=$A7)*(T_PlannedOrders[WeekIndex]=20)*(T_PlannedOrders[EffectiveQty]&gt;0)*T_PlannedOrders[Order_Month])),"m月")&amp;"発注)")</f>
        <v/>
      </c>
      <c r="X13">
        <f>IF(SUMIFS(T_PlannedOrders[EffectiveQty],T_PlannedOrders[Part Name],$A7,T_PlannedOrders[WeekIndex],21)=0,"",SUMIFS(T_PlannedOrders[EffectiveQty],T_PlannedOrders[Part Name],$A7,T_PlannedOrders[WeekIndex],21)&amp;" ("&amp;TEXT(SUMPRODUCT(MAX((T_PlannedOrders[Part Name]=$A7)*(T_PlannedOrders[WeekIndex]=21)*(T_PlannedOrders[EffectiveQty]&gt;0)*T_PlannedOrders[Order_Month])),"m月")&amp;"発注)")</f>
        <v/>
      </c>
      <c r="Y13">
        <f>IF(SUMIFS(T_PlannedOrders[EffectiveQty],T_PlannedOrders[Part Name],$A7,T_PlannedOrders[WeekIndex],22)=0,"",SUMIFS(T_PlannedOrders[EffectiveQty],T_PlannedOrders[Part Name],$A7,T_PlannedOrders[WeekIndex],22)&amp;" ("&amp;TEXT(SUMPRODUCT(MAX((T_PlannedOrders[Part Name]=$A7)*(T_PlannedOrders[WeekIndex]=22)*(T_PlannedOrders[EffectiveQty]&gt;0)*T_PlannedOrders[Order_Month])),"m月")&amp;"発注)")</f>
        <v/>
      </c>
      <c r="Z13">
        <f>IF(SUMIFS(T_PlannedOrders[EffectiveQty],T_PlannedOrders[Part Name],$A7,T_PlannedOrders[WeekIndex],23)=0,"",SUMIFS(T_PlannedOrders[EffectiveQty],T_PlannedOrders[Part Name],$A7,T_PlannedOrders[WeekIndex],23)&amp;" ("&amp;TEXT(SUMPRODUCT(MAX((T_PlannedOrders[Part Name]=$A7)*(T_PlannedOrders[WeekIndex]=23)*(T_PlannedOrders[EffectiveQty]&gt;0)*T_PlannedOrders[Order_Month])),"m月")&amp;"発注)")</f>
        <v/>
      </c>
      <c r="AA13">
        <f>IF(SUMIFS(T_PlannedOrders[EffectiveQty],T_PlannedOrders[Part Name],$A7,T_PlannedOrders[WeekIndex],24)=0,"",SUMIFS(T_PlannedOrders[EffectiveQty],T_PlannedOrders[Part Name],$A7,T_PlannedOrders[WeekIndex],24)&amp;" ("&amp;TEXT(SUMPRODUCT(MAX((T_PlannedOrders[Part Name]=$A7)*(T_PlannedOrders[WeekIndex]=24)*(T_PlannedOrders[EffectiveQty]&gt;0)*T_PlannedOrders[Order_Month])),"m月")&amp;"発注)")</f>
        <v/>
      </c>
      <c r="AB13">
        <f>IF(SUMIFS(T_PlannedOrders[EffectiveQty],T_PlannedOrders[Part Name],$A7,T_PlannedOrders[WeekIndex],25)=0,"",SUMIFS(T_PlannedOrders[EffectiveQty],T_PlannedOrders[Part Name],$A7,T_PlannedOrders[WeekIndex],25)&amp;" ("&amp;TEXT(SUMPRODUCT(MAX((T_PlannedOrders[Part Name]=$A7)*(T_PlannedOrders[WeekIndex]=25)*(T_PlannedOrders[EffectiveQty]&gt;0)*T_PlannedOrders[Order_Month])),"m月")&amp;"発注)")</f>
        <v/>
      </c>
      <c r="AC13">
        <f>IF(SUMIFS(T_PlannedOrders[EffectiveQty],T_PlannedOrders[Part Name],$A7,T_PlannedOrders[WeekIndex],26)=0,"",SUMIFS(T_PlannedOrders[EffectiveQty],T_PlannedOrders[Part Name],$A7,T_PlannedOrders[WeekIndex],26)&amp;" ("&amp;TEXT(SUMPRODUCT(MAX((T_PlannedOrders[Part Name]=$A7)*(T_PlannedOrders[WeekIndex]=26)*(T_PlannedOrders[EffectiveQty]&gt;0)*T_PlannedOrders[Order_Month])),"m月")&amp;"発注)")</f>
        <v/>
      </c>
      <c r="AD13">
        <f>IF(SUMIFS(T_PlannedOrders[EffectiveQty],T_PlannedOrders[Part Name],$A7,T_PlannedOrders[WeekIndex],27)=0,"",SUMIFS(T_PlannedOrders[EffectiveQty],T_PlannedOrders[Part Name],$A7,T_PlannedOrders[WeekIndex],27)&amp;" ("&amp;TEXT(SUMPRODUCT(MAX((T_PlannedOrders[Part Name]=$A7)*(T_PlannedOrders[WeekIndex]=27)*(T_PlannedOrders[EffectiveQty]&gt;0)*T_PlannedOrders[Order_Month])),"m月")&amp;"発注)")</f>
        <v/>
      </c>
      <c r="AE13">
        <f>IF(SUMIFS(T_PlannedOrders[EffectiveQty],T_PlannedOrders[Part Name],$A7,T_PlannedOrders[WeekIndex],28)=0,"",SUMIFS(T_PlannedOrders[EffectiveQty],T_PlannedOrders[Part Name],$A7,T_PlannedOrders[WeekIndex],28)&amp;" ("&amp;TEXT(SUMPRODUCT(MAX((T_PlannedOrders[Part Name]=$A7)*(T_PlannedOrders[WeekIndex]=28)*(T_PlannedOrders[EffectiveQty]&gt;0)*T_PlannedOrders[Order_Month])),"m月")&amp;"発注)")</f>
        <v/>
      </c>
      <c r="AF13">
        <f>IF(SUMIFS(T_PlannedOrders[EffectiveQty],T_PlannedOrders[Part Name],$A7,T_PlannedOrders[WeekIndex],29)=0,"",SUMIFS(T_PlannedOrders[EffectiveQty],T_PlannedOrders[Part Name],$A7,T_PlannedOrders[WeekIndex],29)&amp;" ("&amp;TEXT(SUMPRODUCT(MAX((T_PlannedOrders[Part Name]=$A7)*(T_PlannedOrders[WeekIndex]=29)*(T_PlannedOrders[EffectiveQty]&gt;0)*T_PlannedOrders[Order_Month])),"m月")&amp;"発注)")</f>
        <v/>
      </c>
      <c r="AG13">
        <f>IF(SUMIFS(T_PlannedOrders[EffectiveQty],T_PlannedOrders[Part Name],$A7,T_PlannedOrders[WeekIndex],30)=0,"",SUMIFS(T_PlannedOrders[EffectiveQty],T_PlannedOrders[Part Name],$A7,T_PlannedOrders[WeekIndex],30)&amp;" ("&amp;TEXT(SUMPRODUCT(MAX((T_PlannedOrders[Part Name]=$A7)*(T_PlannedOrders[WeekIndex]=30)*(T_PlannedOrders[EffectiveQty]&gt;0)*T_PlannedOrders[Order_Month])),"m月")&amp;"発注)")</f>
        <v/>
      </c>
      <c r="AH13">
        <f>IF(SUMIFS(T_PlannedOrders[EffectiveQty],T_PlannedOrders[Part Name],$A7,T_PlannedOrders[WeekIndex],31)=0,"",SUMIFS(T_PlannedOrders[EffectiveQty],T_PlannedOrders[Part Name],$A7,T_PlannedOrders[WeekIndex],31)&amp;" ("&amp;TEXT(SUMPRODUCT(MAX((T_PlannedOrders[Part Name]=$A7)*(T_PlannedOrders[WeekIndex]=31)*(T_PlannedOrders[EffectiveQty]&gt;0)*T_PlannedOrders[Order_Month])),"m月")&amp;"発注)")</f>
        <v/>
      </c>
      <c r="AI13">
        <f>IF(SUMIFS(T_PlannedOrders[EffectiveQty],T_PlannedOrders[Part Name],$A7,T_PlannedOrders[WeekIndex],32)=0,"",SUMIFS(T_PlannedOrders[EffectiveQty],T_PlannedOrders[Part Name],$A7,T_PlannedOrders[WeekIndex],32)&amp;" ("&amp;TEXT(SUMPRODUCT(MAX((T_PlannedOrders[Part Name]=$A7)*(T_PlannedOrders[WeekIndex]=32)*(T_PlannedOrders[EffectiveQty]&gt;0)*T_PlannedOrders[Order_Month])),"m月")&amp;"発注)")</f>
        <v/>
      </c>
      <c r="AJ13">
        <f>IF(SUMIFS(T_PlannedOrders[EffectiveQty],T_PlannedOrders[Part Name],$A7,T_PlannedOrders[WeekIndex],33)=0,"",SUMIFS(T_PlannedOrders[EffectiveQty],T_PlannedOrders[Part Name],$A7,T_PlannedOrders[WeekIndex],33)&amp;" ("&amp;TEXT(SUMPRODUCT(MAX((T_PlannedOrders[Part Name]=$A7)*(T_PlannedOrders[WeekIndex]=33)*(T_PlannedOrders[EffectiveQty]&gt;0)*T_PlannedOrders[Order_Month])),"m月")&amp;"発注)")</f>
        <v/>
      </c>
      <c r="AK13">
        <f>IF(SUMIFS(T_PlannedOrders[EffectiveQty],T_PlannedOrders[Part Name],$A7,T_PlannedOrders[WeekIndex],34)=0,"",SUMIFS(T_PlannedOrders[EffectiveQty],T_PlannedOrders[Part Name],$A7,T_PlannedOrders[WeekIndex],34)&amp;" ("&amp;TEXT(SUMPRODUCT(MAX((T_PlannedOrders[Part Name]=$A7)*(T_PlannedOrders[WeekIndex]=34)*(T_PlannedOrders[EffectiveQty]&gt;0)*T_PlannedOrders[Order_Month])),"m月")&amp;"発注)")</f>
        <v/>
      </c>
      <c r="AL13">
        <f>IF(SUMIFS(T_PlannedOrders[EffectiveQty],T_PlannedOrders[Part Name],$A7,T_PlannedOrders[WeekIndex],35)=0,"",SUMIFS(T_PlannedOrders[EffectiveQty],T_PlannedOrders[Part Name],$A7,T_PlannedOrders[WeekIndex],35)&amp;" ("&amp;TEXT(SUMPRODUCT(MAX((T_PlannedOrders[Part Name]=$A7)*(T_PlannedOrders[WeekIndex]=35)*(T_PlannedOrders[EffectiveQty]&gt;0)*T_PlannedOrders[Order_Month])),"m月")&amp;"発注)")</f>
        <v/>
      </c>
      <c r="AM13">
        <f>IF(SUMIFS(T_PlannedOrders[EffectiveQty],T_PlannedOrders[Part Name],$A7,T_PlannedOrders[WeekIndex],36)=0,"",SUMIFS(T_PlannedOrders[EffectiveQty],T_PlannedOrders[Part Name],$A7,T_PlannedOrders[WeekIndex],36)&amp;" ("&amp;TEXT(SUMPRODUCT(MAX((T_PlannedOrders[Part Name]=$A7)*(T_PlannedOrders[WeekIndex]=36)*(T_PlannedOrders[EffectiveQty]&gt;0)*T_PlannedOrders[Order_Month])),"m月")&amp;"発注)")</f>
        <v/>
      </c>
      <c r="AN13">
        <f>IF(SUMIFS(T_PlannedOrders[EffectiveQty],T_PlannedOrders[Part Name],$A7,T_PlannedOrders[WeekIndex],37)=0,"",SUMIFS(T_PlannedOrders[EffectiveQty],T_PlannedOrders[Part Name],$A7,T_PlannedOrders[WeekIndex],37)&amp;" ("&amp;TEXT(SUMPRODUCT(MAX((T_PlannedOrders[Part Name]=$A7)*(T_PlannedOrders[WeekIndex]=37)*(T_PlannedOrders[EffectiveQty]&gt;0)*T_PlannedOrders[Order_Month])),"m月")&amp;"発注)")</f>
        <v/>
      </c>
      <c r="AO13">
        <f>IF(SUMIFS(T_PlannedOrders[EffectiveQty],T_PlannedOrders[Part Name],$A7,T_PlannedOrders[WeekIndex],38)=0,"",SUMIFS(T_PlannedOrders[EffectiveQty],T_PlannedOrders[Part Name],$A7,T_PlannedOrders[WeekIndex],38)&amp;" ("&amp;TEXT(SUMPRODUCT(MAX((T_PlannedOrders[Part Name]=$A7)*(T_PlannedOrders[WeekIndex]=38)*(T_PlannedOrders[EffectiveQty]&gt;0)*T_PlannedOrders[Order_Month])),"m月")&amp;"発注)")</f>
        <v/>
      </c>
      <c r="AP13">
        <f>IF(SUMIFS(T_PlannedOrders[EffectiveQty],T_PlannedOrders[Part Name],$A7,T_PlannedOrders[WeekIndex],39)=0,"",SUMIFS(T_PlannedOrders[EffectiveQty],T_PlannedOrders[Part Name],$A7,T_PlannedOrders[WeekIndex],39)&amp;" ("&amp;TEXT(SUMPRODUCT(MAX((T_PlannedOrders[Part Name]=$A7)*(T_PlannedOrders[WeekIndex]=39)*(T_PlannedOrders[EffectiveQty]&gt;0)*T_PlannedOrders[Order_Month])),"m月")&amp;"発注)")</f>
        <v/>
      </c>
      <c r="AQ13">
        <f>IF(SUMIFS(T_PlannedOrders[EffectiveQty],T_PlannedOrders[Part Name],$A7,T_PlannedOrders[WeekIndex],40)=0,"",SUMIFS(T_PlannedOrders[EffectiveQty],T_PlannedOrders[Part Name],$A7,T_PlannedOrders[WeekIndex],40)&amp;" ("&amp;TEXT(SUMPRODUCT(MAX((T_PlannedOrders[Part Name]=$A7)*(T_PlannedOrders[WeekIndex]=40)*(T_PlannedOrders[EffectiveQty]&gt;0)*T_PlannedOrders[Order_Month])),"m月")&amp;"発注)")</f>
        <v/>
      </c>
      <c r="AR13">
        <f>IF(SUMIFS(T_PlannedOrders[EffectiveQty],T_PlannedOrders[Part Name],$A7,T_PlannedOrders[WeekIndex],41)=0,"",SUMIFS(T_PlannedOrders[EffectiveQty],T_PlannedOrders[Part Name],$A7,T_PlannedOrders[WeekIndex],41)&amp;" ("&amp;TEXT(SUMPRODUCT(MAX((T_PlannedOrders[Part Name]=$A7)*(T_PlannedOrders[WeekIndex]=41)*(T_PlannedOrders[EffectiveQty]&gt;0)*T_PlannedOrders[Order_Month])),"m月")&amp;"発注)")</f>
        <v/>
      </c>
      <c r="AS13">
        <f>IF(SUMIFS(T_PlannedOrders[EffectiveQty],T_PlannedOrders[Part Name],$A7,T_PlannedOrders[WeekIndex],42)=0,"",SUMIFS(T_PlannedOrders[EffectiveQty],T_PlannedOrders[Part Name],$A7,T_PlannedOrders[WeekIndex],42)&amp;" ("&amp;TEXT(SUMPRODUCT(MAX((T_PlannedOrders[Part Name]=$A7)*(T_PlannedOrders[WeekIndex]=42)*(T_PlannedOrders[EffectiveQty]&gt;0)*T_PlannedOrders[Order_Month])),"m月")&amp;"発注)")</f>
        <v/>
      </c>
      <c r="AT13">
        <f>IF(SUMIFS(T_PlannedOrders[EffectiveQty],T_PlannedOrders[Part Name],$A7,T_PlannedOrders[WeekIndex],43)=0,"",SUMIFS(T_PlannedOrders[EffectiveQty],T_PlannedOrders[Part Name],$A7,T_PlannedOrders[WeekIndex],43)&amp;" ("&amp;TEXT(SUMPRODUCT(MAX((T_PlannedOrders[Part Name]=$A7)*(T_PlannedOrders[WeekIndex]=43)*(T_PlannedOrders[EffectiveQty]&gt;0)*T_PlannedOrders[Order_Month])),"m月")&amp;"発注)")</f>
        <v/>
      </c>
      <c r="AU13">
        <f>IF(SUMIFS(T_PlannedOrders[EffectiveQty],T_PlannedOrders[Part Name],$A7,T_PlannedOrders[WeekIndex],44)=0,"",SUMIFS(T_PlannedOrders[EffectiveQty],T_PlannedOrders[Part Name],$A7,T_PlannedOrders[WeekIndex],44)&amp;" ("&amp;TEXT(SUMPRODUCT(MAX((T_PlannedOrders[Part Name]=$A7)*(T_PlannedOrders[WeekIndex]=44)*(T_PlannedOrders[EffectiveQty]&gt;0)*T_PlannedOrders[Order_Month])),"m月")&amp;"発注)")</f>
        <v/>
      </c>
      <c r="AV13">
        <f>IF(SUMIFS(T_PlannedOrders[EffectiveQty],T_PlannedOrders[Part Name],$A7,T_PlannedOrders[WeekIndex],45)=0,"",SUMIFS(T_PlannedOrders[EffectiveQty],T_PlannedOrders[Part Name],$A7,T_PlannedOrders[WeekIndex],45)&amp;" ("&amp;TEXT(SUMPRODUCT(MAX((T_PlannedOrders[Part Name]=$A7)*(T_PlannedOrders[WeekIndex]=45)*(T_PlannedOrders[EffectiveQty]&gt;0)*T_PlannedOrders[Order_Month])),"m月")&amp;"発注)")</f>
        <v/>
      </c>
      <c r="AW13">
        <f>IF(SUMIFS(T_PlannedOrders[EffectiveQty],T_PlannedOrders[Part Name],$A7,T_PlannedOrders[WeekIndex],46)=0,"",SUMIFS(T_PlannedOrders[EffectiveQty],T_PlannedOrders[Part Name],$A7,T_PlannedOrders[WeekIndex],46)&amp;" ("&amp;TEXT(SUMPRODUCT(MAX((T_PlannedOrders[Part Name]=$A7)*(T_PlannedOrders[WeekIndex]=46)*(T_PlannedOrders[EffectiveQty]&gt;0)*T_PlannedOrders[Order_Month])),"m月")&amp;"発注)")</f>
        <v/>
      </c>
      <c r="AX13">
        <f>IF(SUMIFS(T_PlannedOrders[EffectiveQty],T_PlannedOrders[Part Name],$A7,T_PlannedOrders[WeekIndex],47)=0,"",SUMIFS(T_PlannedOrders[EffectiveQty],T_PlannedOrders[Part Name],$A7,T_PlannedOrders[WeekIndex],47)&amp;" ("&amp;TEXT(SUMPRODUCT(MAX((T_PlannedOrders[Part Name]=$A7)*(T_PlannedOrders[WeekIndex]=47)*(T_PlannedOrders[EffectiveQty]&gt;0)*T_PlannedOrders[Order_Month])),"m月")&amp;"発注)")</f>
        <v/>
      </c>
      <c r="AY13">
        <f>IF(SUMIFS(T_PlannedOrders[EffectiveQty],T_PlannedOrders[Part Name],$A7,T_PlannedOrders[WeekIndex],48)=0,"",SUMIFS(T_PlannedOrders[EffectiveQty],T_PlannedOrders[Part Name],$A7,T_PlannedOrders[WeekIndex],48)&amp;" ("&amp;TEXT(SUMPRODUCT(MAX((T_PlannedOrders[Part Name]=$A7)*(T_PlannedOrders[WeekIndex]=48)*(T_PlannedOrders[EffectiveQty]&gt;0)*T_PlannedOrders[Order_Month])),"m月")&amp;"発注)")</f>
        <v/>
      </c>
      <c r="AZ13">
        <f>IF(SUMIFS(T_PlannedOrders[EffectiveQty],T_PlannedOrders[Part Name],$A7,T_PlannedOrders[WeekIndex],49)=0,"",SUMIFS(T_PlannedOrders[EffectiveQty],T_PlannedOrders[Part Name],$A7,T_PlannedOrders[WeekIndex],49)&amp;" ("&amp;TEXT(SUMPRODUCT(MAX((T_PlannedOrders[Part Name]=$A7)*(T_PlannedOrders[WeekIndex]=49)*(T_PlannedOrders[EffectiveQty]&gt;0)*T_PlannedOrders[Order_Month])),"m月")&amp;"発注)")</f>
        <v/>
      </c>
      <c r="BA13">
        <f>IF(SUMIFS(T_PlannedOrders[EffectiveQty],T_PlannedOrders[Part Name],$A7,T_PlannedOrders[WeekIndex],50)=0,"",SUMIFS(T_PlannedOrders[EffectiveQty],T_PlannedOrders[Part Name],$A7,T_PlannedOrders[WeekIndex],50)&amp;" ("&amp;TEXT(SUMPRODUCT(MAX((T_PlannedOrders[Part Name]=$A7)*(T_PlannedOrders[WeekIndex]=50)*(T_PlannedOrders[EffectiveQty]&gt;0)*T_PlannedOrders[Order_Month])),"m月")&amp;"発注)")</f>
        <v/>
      </c>
      <c r="BB13">
        <f>IF(SUMIFS(T_PlannedOrders[EffectiveQty],T_PlannedOrders[Part Name],$A7,T_PlannedOrders[WeekIndex],51)=0,"",SUMIFS(T_PlannedOrders[EffectiveQty],T_PlannedOrders[Part Name],$A7,T_PlannedOrders[WeekIndex],51)&amp;" ("&amp;TEXT(SUMPRODUCT(MAX((T_PlannedOrders[Part Name]=$A7)*(T_PlannedOrders[WeekIndex]=51)*(T_PlannedOrders[EffectiveQty]&gt;0)*T_PlannedOrders[Order_Month])),"m月")&amp;"発注)")</f>
        <v/>
      </c>
      <c r="BC13">
        <f>IF(SUMIFS(T_PlannedOrders[EffectiveQty],T_PlannedOrders[Part Name],$A7,T_PlannedOrders[WeekIndex],52)=0,"",SUMIFS(T_PlannedOrders[EffectiveQty],T_PlannedOrders[Part Name],$A7,T_PlannedOrders[WeekIndex],52)&amp;" ("&amp;TEXT(SUMPRODUCT(MAX((T_PlannedOrders[Part Name]=$A7)*(T_PlannedOrders[WeekIndex]=52)*(T_PlannedOrders[EffectiveQty]&gt;0)*T_PlannedOrders[Order_Month])),"m月")&amp;"発注)")</f>
        <v/>
      </c>
      <c r="BD13">
        <f>IF(SUMIFS(T_PlannedOrders[EffectiveQty],T_PlannedOrders[Part Name],$A7,T_PlannedOrders[WeekIndex],53)=0,"",SUMIFS(T_PlannedOrders[EffectiveQty],T_PlannedOrders[Part Name],$A7,T_PlannedOrders[WeekIndex],53)&amp;" ("&amp;TEXT(SUMPRODUCT(MAX((T_PlannedOrders[Part Name]=$A7)*(T_PlannedOrders[WeekIndex]=53)*(T_PlannedOrders[EffectiveQty]&gt;0)*T_PlannedOrders[Order_Month])),"m月")&amp;"発注)")</f>
        <v/>
      </c>
      <c r="BE13">
        <f>IF(SUMIFS(T_PlannedOrders[EffectiveQty],T_PlannedOrders[Part Name],$A7,T_PlannedOrders[WeekIndex],54)=0,"",SUMIFS(T_PlannedOrders[EffectiveQty],T_PlannedOrders[Part Name],$A7,T_PlannedOrders[WeekIndex],54)&amp;" ("&amp;TEXT(SUMPRODUCT(MAX((T_PlannedOrders[Part Name]=$A7)*(T_PlannedOrders[WeekIndex]=54)*(T_PlannedOrders[EffectiveQty]&gt;0)*T_PlannedOrders[Order_Month])),"m月")&amp;"発注)")</f>
        <v/>
      </c>
      <c r="BF13">
        <f>IF(SUMIFS(T_PlannedOrders[EffectiveQty],T_PlannedOrders[Part Name],$A7,T_PlannedOrders[WeekIndex],55)=0,"",SUMIFS(T_PlannedOrders[EffectiveQty],T_PlannedOrders[Part Name],$A7,T_PlannedOrders[WeekIndex],55)&amp;" ("&amp;TEXT(SUMPRODUCT(MAX((T_PlannedOrders[Part Name]=$A7)*(T_PlannedOrders[WeekIndex]=55)*(T_PlannedOrders[EffectiveQty]&gt;0)*T_PlannedOrders[Order_Month])),"m月")&amp;"発注)")</f>
        <v/>
      </c>
      <c r="BG13">
        <f>IF(SUMIFS(T_PlannedOrders[EffectiveQty],T_PlannedOrders[Part Name],$A7,T_PlannedOrders[WeekIndex],56)=0,"",SUMIFS(T_PlannedOrders[EffectiveQty],T_PlannedOrders[Part Name],$A7,T_PlannedOrders[WeekIndex],56)&amp;" ("&amp;TEXT(SUMPRODUCT(MAX((T_PlannedOrders[Part Name]=$A7)*(T_PlannedOrders[WeekIndex]=56)*(T_PlannedOrders[EffectiveQty]&gt;0)*T_PlannedOrders[Order_Month])),"m月")&amp;"発注)")</f>
        <v/>
      </c>
      <c r="BH13">
        <f>IF(SUMIFS(T_PlannedOrders[EffectiveQty],T_PlannedOrders[Part Name],$A7,T_PlannedOrders[WeekIndex],57)=0,"",SUMIFS(T_PlannedOrders[EffectiveQty],T_PlannedOrders[Part Name],$A7,T_PlannedOrders[WeekIndex],57)&amp;" ("&amp;TEXT(SUMPRODUCT(MAX((T_PlannedOrders[Part Name]=$A7)*(T_PlannedOrders[WeekIndex]=57)*(T_PlannedOrders[EffectiveQty]&gt;0)*T_PlannedOrders[Order_Month])),"m月")&amp;"発注)")</f>
        <v/>
      </c>
      <c r="BI13">
        <f>IF(SUMIFS(T_PlannedOrders[EffectiveQty],T_PlannedOrders[Part Name],$A7,T_PlannedOrders[WeekIndex],58)=0,"",SUMIFS(T_PlannedOrders[EffectiveQty],T_PlannedOrders[Part Name],$A7,T_PlannedOrders[WeekIndex],58)&amp;" ("&amp;TEXT(SUMPRODUCT(MAX((T_PlannedOrders[Part Name]=$A7)*(T_PlannedOrders[WeekIndex]=58)*(T_PlannedOrders[EffectiveQty]&gt;0)*T_PlannedOrders[Order_Month])),"m月")&amp;"発注)")</f>
        <v/>
      </c>
      <c r="BJ13">
        <f>IF(SUMIFS(T_PlannedOrders[EffectiveQty],T_PlannedOrders[Part Name],$A7,T_PlannedOrders[WeekIndex],59)=0,"",SUMIFS(T_PlannedOrders[EffectiveQty],T_PlannedOrders[Part Name],$A7,T_PlannedOrders[WeekIndex],59)&amp;" ("&amp;TEXT(SUMPRODUCT(MAX((T_PlannedOrders[Part Name]=$A7)*(T_PlannedOrders[WeekIndex]=59)*(T_PlannedOrders[EffectiveQty]&gt;0)*T_PlannedOrders[Order_Month])),"m月")&amp;"発注)")</f>
        <v/>
      </c>
      <c r="BK13">
        <f>IF(SUMIFS(T_PlannedOrders[EffectiveQty],T_PlannedOrders[Part Name],$A7,T_PlannedOrders[WeekIndex],60)=0,"",SUMIFS(T_PlannedOrders[EffectiveQty],T_PlannedOrders[Part Name],$A7,T_PlannedOrders[WeekIndex],60)&amp;" ("&amp;TEXT(SUMPRODUCT(MAX((T_PlannedOrders[Part Name]=$A7)*(T_PlannedOrders[WeekIndex]=60)*(T_PlannedOrders[EffectiveQty]&gt;0)*T_PlannedOrders[Order_Month])),"m月")&amp;"発注)")</f>
        <v/>
      </c>
      <c r="BL13">
        <f>IF(SUMIFS(T_PlannedOrders[EffectiveQty],T_PlannedOrders[Part Name],$A7,T_PlannedOrders[WeekIndex],61)=0,"",SUMIFS(T_PlannedOrders[EffectiveQty],T_PlannedOrders[Part Name],$A7,T_PlannedOrders[WeekIndex],61)&amp;" ("&amp;TEXT(SUMPRODUCT(MAX((T_PlannedOrders[Part Name]=$A7)*(T_PlannedOrders[WeekIndex]=61)*(T_PlannedOrders[EffectiveQty]&gt;0)*T_PlannedOrders[Order_Month])),"m月")&amp;"発注)")</f>
        <v/>
      </c>
      <c r="BM13">
        <f>IF(SUMIFS(T_PlannedOrders[EffectiveQty],T_PlannedOrders[Part Name],$A7,T_PlannedOrders[WeekIndex],62)=0,"",SUMIFS(T_PlannedOrders[EffectiveQty],T_PlannedOrders[Part Name],$A7,T_PlannedOrders[WeekIndex],62)&amp;" ("&amp;TEXT(SUMPRODUCT(MAX((T_PlannedOrders[Part Name]=$A7)*(T_PlannedOrders[WeekIndex]=62)*(T_PlannedOrders[EffectiveQty]&gt;0)*T_PlannedOrders[Order_Month])),"m月")&amp;"発注)")</f>
        <v/>
      </c>
      <c r="BN13">
        <f>IF(SUMIFS(T_PlannedOrders[EffectiveQty],T_PlannedOrders[Part Name],$A7,T_PlannedOrders[WeekIndex],63)=0,"",SUMIFS(T_PlannedOrders[EffectiveQty],T_PlannedOrders[Part Name],$A7,T_PlannedOrders[WeekIndex],63)&amp;" ("&amp;TEXT(SUMPRODUCT(MAX((T_PlannedOrders[Part Name]=$A7)*(T_PlannedOrders[WeekIndex]=63)*(T_PlannedOrders[EffectiveQty]&gt;0)*T_PlannedOrders[Order_Month])),"m月")&amp;"発注)")</f>
        <v/>
      </c>
      <c r="BO13">
        <f>IF(SUMIFS(T_PlannedOrders[EffectiveQty],T_PlannedOrders[Part Name],$A7,T_PlannedOrders[WeekIndex],64)=0,"",SUMIFS(T_PlannedOrders[EffectiveQty],T_PlannedOrders[Part Name],$A7,T_PlannedOrders[WeekIndex],64)&amp;" ("&amp;TEXT(SUMPRODUCT(MAX((T_PlannedOrders[Part Name]=$A7)*(T_PlannedOrders[WeekIndex]=64)*(T_PlannedOrders[EffectiveQty]&gt;0)*T_PlannedOrders[Order_Month])),"m月")&amp;"発注)")</f>
        <v/>
      </c>
      <c r="BP13">
        <f>IF(SUMIFS(T_PlannedOrders[EffectiveQty],T_PlannedOrders[Part Name],$A7,T_PlannedOrders[WeekIndex],65)=0,"",SUMIFS(T_PlannedOrders[EffectiveQty],T_PlannedOrders[Part Name],$A7,T_PlannedOrders[WeekIndex],65)&amp;" ("&amp;TEXT(SUMPRODUCT(MAX((T_PlannedOrders[Part Name]=$A7)*(T_PlannedOrders[WeekIndex]=65)*(T_PlannedOrders[EffectiveQty]&gt;0)*T_PlannedOrders[Order_Month])),"m月")&amp;"発注)")</f>
        <v/>
      </c>
      <c r="BQ13">
        <f>IF(SUMIFS(T_PlannedOrders[EffectiveQty],T_PlannedOrders[Part Name],$A7,T_PlannedOrders[WeekIndex],66)=0,"",SUMIFS(T_PlannedOrders[EffectiveQty],T_PlannedOrders[Part Name],$A7,T_PlannedOrders[WeekIndex],66)&amp;" ("&amp;TEXT(SUMPRODUCT(MAX((T_PlannedOrders[Part Name]=$A7)*(T_PlannedOrders[WeekIndex]=66)*(T_PlannedOrders[EffectiveQty]&gt;0)*T_PlannedOrders[Order_Month])),"m月")&amp;"発注)")</f>
        <v/>
      </c>
      <c r="BR13">
        <f>IF(SUMIFS(T_PlannedOrders[EffectiveQty],T_PlannedOrders[Part Name],$A7,T_PlannedOrders[WeekIndex],67)=0,"",SUMIFS(T_PlannedOrders[EffectiveQty],T_PlannedOrders[Part Name],$A7,T_PlannedOrders[WeekIndex],67)&amp;" ("&amp;TEXT(SUMPRODUCT(MAX((T_PlannedOrders[Part Name]=$A7)*(T_PlannedOrders[WeekIndex]=67)*(T_PlannedOrders[EffectiveQty]&gt;0)*T_PlannedOrders[Order_Month])),"m月")&amp;"発注)")</f>
        <v/>
      </c>
      <c r="BS13">
        <f>IF(SUMIFS(T_PlannedOrders[EffectiveQty],T_PlannedOrders[Part Name],$A7,T_PlannedOrders[WeekIndex],68)=0,"",SUMIFS(T_PlannedOrders[EffectiveQty],T_PlannedOrders[Part Name],$A7,T_PlannedOrders[WeekIndex],68)&amp;" ("&amp;TEXT(SUMPRODUCT(MAX((T_PlannedOrders[Part Name]=$A7)*(T_PlannedOrders[WeekIndex]=68)*(T_PlannedOrders[EffectiveQty]&gt;0)*T_PlannedOrders[Order_Month])),"m月")&amp;"発注)")</f>
        <v/>
      </c>
      <c r="BT13">
        <f>IF(SUMIFS(T_PlannedOrders[EffectiveQty],T_PlannedOrders[Part Name],$A7,T_PlannedOrders[WeekIndex],69)=0,"",SUMIFS(T_PlannedOrders[EffectiveQty],T_PlannedOrders[Part Name],$A7,T_PlannedOrders[WeekIndex],69)&amp;" ("&amp;TEXT(SUMPRODUCT(MAX((T_PlannedOrders[Part Name]=$A7)*(T_PlannedOrders[WeekIndex]=69)*(T_PlannedOrders[EffectiveQty]&gt;0)*T_PlannedOrders[Order_Month])),"m月")&amp;"発注)")</f>
        <v/>
      </c>
      <c r="BU13">
        <f>IF(SUMIFS(T_PlannedOrders[EffectiveQty],T_PlannedOrders[Part Name],$A7,T_PlannedOrders[WeekIndex],70)=0,"",SUMIFS(T_PlannedOrders[EffectiveQty],T_PlannedOrders[Part Name],$A7,T_PlannedOrders[WeekIndex],70)&amp;" ("&amp;TEXT(SUMPRODUCT(MAX((T_PlannedOrders[Part Name]=$A7)*(T_PlannedOrders[WeekIndex]=70)*(T_PlannedOrders[EffectiveQty]&gt;0)*T_PlannedOrders[Order_Month])),"m月")&amp;"発注)")</f>
        <v/>
      </c>
      <c r="BV13">
        <f>IF(SUMIFS(T_PlannedOrders[EffectiveQty],T_PlannedOrders[Part Name],$A7,T_PlannedOrders[WeekIndex],71)=0,"",SUMIFS(T_PlannedOrders[EffectiveQty],T_PlannedOrders[Part Name],$A7,T_PlannedOrders[WeekIndex],71)&amp;" ("&amp;TEXT(SUMPRODUCT(MAX((T_PlannedOrders[Part Name]=$A7)*(T_PlannedOrders[WeekIndex]=71)*(T_PlannedOrders[EffectiveQty]&gt;0)*T_PlannedOrders[Order_Month])),"m月")&amp;"発注)")</f>
        <v/>
      </c>
      <c r="BW13">
        <f>IF(SUMIFS(T_PlannedOrders[EffectiveQty],T_PlannedOrders[Part Name],$A7,T_PlannedOrders[WeekIndex],72)=0,"",SUMIFS(T_PlannedOrders[EffectiveQty],T_PlannedOrders[Part Name],$A7,T_PlannedOrders[WeekIndex],72)&amp;" ("&amp;TEXT(SUMPRODUCT(MAX((T_PlannedOrders[Part Name]=$A7)*(T_PlannedOrders[WeekIndex]=72)*(T_PlannedOrders[EffectiveQty]&gt;0)*T_PlannedOrders[Order_Month])),"m月")&amp;"発注)")</f>
        <v/>
      </c>
      <c r="BX13">
        <f>IF(SUMIFS(T_PlannedOrders[EffectiveQty],T_PlannedOrders[Part Name],$A7,T_PlannedOrders[WeekIndex],73)=0,"",SUMIFS(T_PlannedOrders[EffectiveQty],T_PlannedOrders[Part Name],$A7,T_PlannedOrders[WeekIndex],73)&amp;" ("&amp;TEXT(SUMPRODUCT(MAX((T_PlannedOrders[Part Name]=$A7)*(T_PlannedOrders[WeekIndex]=73)*(T_PlannedOrders[EffectiveQty]&gt;0)*T_PlannedOrders[Order_Month])),"m月")&amp;"発注)")</f>
        <v/>
      </c>
      <c r="BY13">
        <f>IF(SUMIFS(T_PlannedOrders[EffectiveQty],T_PlannedOrders[Part Name],$A7,T_PlannedOrders[WeekIndex],74)=0,"",SUMIFS(T_PlannedOrders[EffectiveQty],T_PlannedOrders[Part Name],$A7,T_PlannedOrders[WeekIndex],74)&amp;" ("&amp;TEXT(SUMPRODUCT(MAX((T_PlannedOrders[Part Name]=$A7)*(T_PlannedOrders[WeekIndex]=74)*(T_PlannedOrders[EffectiveQty]&gt;0)*T_PlannedOrders[Order_Month])),"m月")&amp;"発注)")</f>
        <v/>
      </c>
      <c r="BZ13">
        <f>IF(SUMIFS(T_PlannedOrders[EffectiveQty],T_PlannedOrders[Part Name],$A7,T_PlannedOrders[WeekIndex],75)=0,"",SUMIFS(T_PlannedOrders[EffectiveQty],T_PlannedOrders[Part Name],$A7,T_PlannedOrders[WeekIndex],75)&amp;" ("&amp;TEXT(SUMPRODUCT(MAX((T_PlannedOrders[Part Name]=$A7)*(T_PlannedOrders[WeekIndex]=75)*(T_PlannedOrders[EffectiveQty]&gt;0)*T_PlannedOrders[Order_Month])),"m月")&amp;"発注)")</f>
        <v/>
      </c>
      <c r="CA13">
        <f>IF(SUMIFS(T_PlannedOrders[EffectiveQty],T_PlannedOrders[Part Name],$A7,T_PlannedOrders[WeekIndex],76)=0,"",SUMIFS(T_PlannedOrders[EffectiveQty],T_PlannedOrders[Part Name],$A7,T_PlannedOrders[WeekIndex],76)&amp;" ("&amp;TEXT(SUMPRODUCT(MAX((T_PlannedOrders[Part Name]=$A7)*(T_PlannedOrders[WeekIndex]=76)*(T_PlannedOrders[EffectiveQty]&gt;0)*T_PlannedOrders[Order_Month])),"m月")&amp;"発注)")</f>
        <v/>
      </c>
      <c r="CB13">
        <f>IF(SUMIFS(T_PlannedOrders[EffectiveQty],T_PlannedOrders[Part Name],$A7,T_PlannedOrders[WeekIndex],77)=0,"",SUMIFS(T_PlannedOrders[EffectiveQty],T_PlannedOrders[Part Name],$A7,T_PlannedOrders[WeekIndex],77)&amp;" ("&amp;TEXT(SUMPRODUCT(MAX((T_PlannedOrders[Part Name]=$A7)*(T_PlannedOrders[WeekIndex]=77)*(T_PlannedOrders[EffectiveQty]&gt;0)*T_PlannedOrders[Order_Month])),"m月")&amp;"発注)")</f>
        <v/>
      </c>
      <c r="CC13">
        <f>IF(SUMIFS(T_PlannedOrders[EffectiveQty],T_PlannedOrders[Part Name],$A7,T_PlannedOrders[WeekIndex],78)=0,"",SUMIFS(T_PlannedOrders[EffectiveQty],T_PlannedOrders[Part Name],$A7,T_PlannedOrders[WeekIndex],78)&amp;" ("&amp;TEXT(SUMPRODUCT(MAX((T_PlannedOrders[Part Name]=$A7)*(T_PlannedOrders[WeekIndex]=78)*(T_PlannedOrders[EffectiveQty]&gt;0)*T_PlannedOrders[Order_Month])),"m月")&amp;"発注)")</f>
        <v/>
      </c>
      <c r="CD13">
        <f>IF(SUMIFS(T_PlannedOrders[EffectiveQty],T_PlannedOrders[Part Name],$A7,T_PlannedOrders[WeekIndex],79)=0,"",SUMIFS(T_PlannedOrders[EffectiveQty],T_PlannedOrders[Part Name],$A7,T_PlannedOrders[WeekIndex],79)&amp;" ("&amp;TEXT(SUMPRODUCT(MAX((T_PlannedOrders[Part Name]=$A7)*(T_PlannedOrders[WeekIndex]=79)*(T_PlannedOrders[EffectiveQty]&gt;0)*T_PlannedOrders[Order_Month])),"m月")&amp;"発注)")</f>
        <v/>
      </c>
      <c r="CE13">
        <f>IF(SUMIFS(T_PlannedOrders[EffectiveQty],T_PlannedOrders[Part Name],$A7,T_PlannedOrders[WeekIndex],80)=0,"",SUMIFS(T_PlannedOrders[EffectiveQty],T_PlannedOrders[Part Name],$A7,T_PlannedOrders[WeekIndex],80)&amp;" ("&amp;TEXT(SUMPRODUCT(MAX((T_PlannedOrders[Part Name]=$A7)*(T_PlannedOrders[WeekIndex]=80)*(T_PlannedOrders[EffectiveQty]&gt;0)*T_PlannedOrders[Order_Month])),"m月")&amp;"発注)")</f>
        <v/>
      </c>
      <c r="CF13">
        <f>IF(SUMIFS(T_PlannedOrders[EffectiveQty],T_PlannedOrders[Part Name],$A7,T_PlannedOrders[WeekIndex],81)=0,"",SUMIFS(T_PlannedOrders[EffectiveQty],T_PlannedOrders[Part Name],$A7,T_PlannedOrders[WeekIndex],81)&amp;" ("&amp;TEXT(SUMPRODUCT(MAX((T_PlannedOrders[Part Name]=$A7)*(T_PlannedOrders[WeekIndex]=81)*(T_PlannedOrders[EffectiveQty]&gt;0)*T_PlannedOrders[Order_Month])),"m月")&amp;"発注)")</f>
        <v/>
      </c>
      <c r="CG13">
        <f>IF(SUMIFS(T_PlannedOrders[EffectiveQty],T_PlannedOrders[Part Name],$A7,T_PlannedOrders[WeekIndex],82)=0,"",SUMIFS(T_PlannedOrders[EffectiveQty],T_PlannedOrders[Part Name],$A7,T_PlannedOrders[WeekIndex],82)&amp;" ("&amp;TEXT(SUMPRODUCT(MAX((T_PlannedOrders[Part Name]=$A7)*(T_PlannedOrders[WeekIndex]=82)*(T_PlannedOrders[EffectiveQty]&gt;0)*T_PlannedOrders[Order_Month])),"m月")&amp;"発注)")</f>
        <v/>
      </c>
      <c r="CH13">
        <f>IF(SUMIFS(T_PlannedOrders[EffectiveQty],T_PlannedOrders[Part Name],$A7,T_PlannedOrders[WeekIndex],83)=0,"",SUMIFS(T_PlannedOrders[EffectiveQty],T_PlannedOrders[Part Name],$A7,T_PlannedOrders[WeekIndex],83)&amp;" ("&amp;TEXT(SUMPRODUCT(MAX((T_PlannedOrders[Part Name]=$A7)*(T_PlannedOrders[WeekIndex]=83)*(T_PlannedOrders[EffectiveQty]&gt;0)*T_PlannedOrders[Order_Month])),"m月")&amp;"発注)")</f>
        <v/>
      </c>
      <c r="CI13">
        <f>IF(SUMIFS(T_PlannedOrders[EffectiveQty],T_PlannedOrders[Part Name],$A7,T_PlannedOrders[WeekIndex],84)=0,"",SUMIFS(T_PlannedOrders[EffectiveQty],T_PlannedOrders[Part Name],$A7,T_PlannedOrders[WeekIndex],84)&amp;" ("&amp;TEXT(SUMPRODUCT(MAX((T_PlannedOrders[Part Name]=$A7)*(T_PlannedOrders[WeekIndex]=84)*(T_PlannedOrders[EffectiveQty]&gt;0)*T_PlannedOrders[Order_Month])),"m月")&amp;"発注)")</f>
        <v/>
      </c>
      <c r="CJ13">
        <f>IF(SUMIFS(T_PlannedOrders[EffectiveQty],T_PlannedOrders[Part Name],$A7,T_PlannedOrders[WeekIndex],85)=0,"",SUMIFS(T_PlannedOrders[EffectiveQty],T_PlannedOrders[Part Name],$A7,T_PlannedOrders[WeekIndex],85)&amp;" ("&amp;TEXT(SUMPRODUCT(MAX((T_PlannedOrders[Part Name]=$A7)*(T_PlannedOrders[WeekIndex]=85)*(T_PlannedOrders[EffectiveQty]&gt;0)*T_PlannedOrders[Order_Month])),"m月")&amp;"発注)")</f>
        <v/>
      </c>
      <c r="CK13">
        <f>IF(SUMIFS(T_PlannedOrders[EffectiveQty],T_PlannedOrders[Part Name],$A7,T_PlannedOrders[WeekIndex],86)=0,"",SUMIFS(T_PlannedOrders[EffectiveQty],T_PlannedOrders[Part Name],$A7,T_PlannedOrders[WeekIndex],86)&amp;" ("&amp;TEXT(SUMPRODUCT(MAX((T_PlannedOrders[Part Name]=$A7)*(T_PlannedOrders[WeekIndex]=86)*(T_PlannedOrders[EffectiveQty]&gt;0)*T_PlannedOrders[Order_Month])),"m月")&amp;"発注)")</f>
        <v/>
      </c>
      <c r="CL13">
        <f>IF(SUMIFS(T_PlannedOrders[EffectiveQty],T_PlannedOrders[Part Name],$A7,T_PlannedOrders[WeekIndex],87)=0,"",SUMIFS(T_PlannedOrders[EffectiveQty],T_PlannedOrders[Part Name],$A7,T_PlannedOrders[WeekIndex],87)&amp;" ("&amp;TEXT(SUMPRODUCT(MAX((T_PlannedOrders[Part Name]=$A7)*(T_PlannedOrders[WeekIndex]=87)*(T_PlannedOrders[EffectiveQty]&gt;0)*T_PlannedOrders[Order_Month])),"m月")&amp;"発注)")</f>
        <v/>
      </c>
      <c r="CM13">
        <f>IF(SUMIFS(T_PlannedOrders[EffectiveQty],T_PlannedOrders[Part Name],$A7,T_PlannedOrders[WeekIndex],88)=0,"",SUMIFS(T_PlannedOrders[EffectiveQty],T_PlannedOrders[Part Name],$A7,T_PlannedOrders[WeekIndex],88)&amp;" ("&amp;TEXT(SUMPRODUCT(MAX((T_PlannedOrders[Part Name]=$A7)*(T_PlannedOrders[WeekIndex]=88)*(T_PlannedOrders[EffectiveQty]&gt;0)*T_PlannedOrders[Order_Month])),"m月")&amp;"発注)")</f>
        <v/>
      </c>
      <c r="CN13">
        <f>IF(SUMIFS(T_PlannedOrders[EffectiveQty],T_PlannedOrders[Part Name],$A7,T_PlannedOrders[WeekIndex],89)=0,"",SUMIFS(T_PlannedOrders[EffectiveQty],T_PlannedOrders[Part Name],$A7,T_PlannedOrders[WeekIndex],89)&amp;" ("&amp;TEXT(SUMPRODUCT(MAX((T_PlannedOrders[Part Name]=$A7)*(T_PlannedOrders[WeekIndex]=89)*(T_PlannedOrders[EffectiveQty]&gt;0)*T_PlannedOrders[Order_Month])),"m月")&amp;"発注)")</f>
        <v/>
      </c>
      <c r="CO13">
        <f>IF(SUMIFS(T_PlannedOrders[EffectiveQty],T_PlannedOrders[Part Name],$A7,T_PlannedOrders[WeekIndex],90)=0,"",SUMIFS(T_PlannedOrders[EffectiveQty],T_PlannedOrders[Part Name],$A7,T_PlannedOrders[WeekIndex],90)&amp;" ("&amp;TEXT(SUMPRODUCT(MAX((T_PlannedOrders[Part Name]=$A7)*(T_PlannedOrders[WeekIndex]=90)*(T_PlannedOrders[EffectiveQty]&gt;0)*T_PlannedOrders[Order_Month])),"m月")&amp;"発注)")</f>
        <v/>
      </c>
      <c r="CP13">
        <f>IF(SUMIFS(T_PlannedOrders[EffectiveQty],T_PlannedOrders[Part Name],$A7,T_PlannedOrders[WeekIndex],91)=0,"",SUMIFS(T_PlannedOrders[EffectiveQty],T_PlannedOrders[Part Name],$A7,T_PlannedOrders[WeekIndex],91)&amp;" ("&amp;TEXT(SUMPRODUCT(MAX((T_PlannedOrders[Part Name]=$A7)*(T_PlannedOrders[WeekIndex]=91)*(T_PlannedOrders[EffectiveQty]&gt;0)*T_PlannedOrders[Order_Month])),"m月")&amp;"発注)")</f>
        <v/>
      </c>
      <c r="CQ13">
        <f>IF(SUMIFS(T_PlannedOrders[EffectiveQty],T_PlannedOrders[Part Name],$A7,T_PlannedOrders[WeekIndex],92)=0,"",SUMIFS(T_PlannedOrders[EffectiveQty],T_PlannedOrders[Part Name],$A7,T_PlannedOrders[WeekIndex],92)&amp;" ("&amp;TEXT(SUMPRODUCT(MAX((T_PlannedOrders[Part Name]=$A7)*(T_PlannedOrders[WeekIndex]=92)*(T_PlannedOrders[EffectiveQty]&gt;0)*T_PlannedOrders[Order_Month])),"m月")&amp;"発注)")</f>
        <v/>
      </c>
      <c r="CR13">
        <f>IF(SUMIFS(T_PlannedOrders[EffectiveQty],T_PlannedOrders[Part Name],$A7,T_PlannedOrders[WeekIndex],93)=0,"",SUMIFS(T_PlannedOrders[EffectiveQty],T_PlannedOrders[Part Name],$A7,T_PlannedOrders[WeekIndex],93)&amp;" ("&amp;TEXT(SUMPRODUCT(MAX((T_PlannedOrders[Part Name]=$A7)*(T_PlannedOrders[WeekIndex]=93)*(T_PlannedOrders[EffectiveQty]&gt;0)*T_PlannedOrders[Order_Month])),"m月")&amp;"発注)")</f>
        <v/>
      </c>
      <c r="CS13">
        <f>IF(SUMIFS(T_PlannedOrders[EffectiveQty],T_PlannedOrders[Part Name],$A7,T_PlannedOrders[WeekIndex],94)=0,"",SUMIFS(T_PlannedOrders[EffectiveQty],T_PlannedOrders[Part Name],$A7,T_PlannedOrders[WeekIndex],94)&amp;" ("&amp;TEXT(SUMPRODUCT(MAX((T_PlannedOrders[Part Name]=$A7)*(T_PlannedOrders[WeekIndex]=94)*(T_PlannedOrders[EffectiveQty]&gt;0)*T_PlannedOrders[Order_Month])),"m月")&amp;"発注)")</f>
        <v/>
      </c>
      <c r="CT13">
        <f>IF(SUMIFS(T_PlannedOrders[EffectiveQty],T_PlannedOrders[Part Name],$A7,T_PlannedOrders[WeekIndex],95)=0,"",SUMIFS(T_PlannedOrders[EffectiveQty],T_PlannedOrders[Part Name],$A7,T_PlannedOrders[WeekIndex],95)&amp;" ("&amp;TEXT(SUMPRODUCT(MAX((T_PlannedOrders[Part Name]=$A7)*(T_PlannedOrders[WeekIndex]=95)*(T_PlannedOrders[EffectiveQty]&gt;0)*T_PlannedOrders[Order_Month])),"m月")&amp;"発注)")</f>
        <v/>
      </c>
      <c r="CU13">
        <f>IF(SUMIFS(T_PlannedOrders[EffectiveQty],T_PlannedOrders[Part Name],$A7,T_PlannedOrders[WeekIndex],96)=0,"",SUMIFS(T_PlannedOrders[EffectiveQty],T_PlannedOrders[Part Name],$A7,T_PlannedOrders[WeekIndex],96)&amp;" ("&amp;TEXT(SUMPRODUCT(MAX((T_PlannedOrders[Part Name]=$A7)*(T_PlannedOrders[WeekIndex]=96)*(T_PlannedOrders[EffectiveQty]&gt;0)*T_PlannedOrders[Order_Month])),"m月")&amp;"発注)")</f>
        <v/>
      </c>
      <c r="CV13">
        <f>IF(SUMIFS(T_PlannedOrders[EffectiveQty],T_PlannedOrders[Part Name],$A7,T_PlannedOrders[WeekIndex],97)=0,"",SUMIFS(T_PlannedOrders[EffectiveQty],T_PlannedOrders[Part Name],$A7,T_PlannedOrders[WeekIndex],97)&amp;" ("&amp;TEXT(SUMPRODUCT(MAX((T_PlannedOrders[Part Name]=$A7)*(T_PlannedOrders[WeekIndex]=97)*(T_PlannedOrders[EffectiveQty]&gt;0)*T_PlannedOrders[Order_Month])),"m月")&amp;"発注)")</f>
        <v/>
      </c>
      <c r="CW13">
        <f>IF(SUMIFS(T_PlannedOrders[EffectiveQty],T_PlannedOrders[Part Name],$A7,T_PlannedOrders[WeekIndex],98)=0,"",SUMIFS(T_PlannedOrders[EffectiveQty],T_PlannedOrders[Part Name],$A7,T_PlannedOrders[WeekIndex],98)&amp;" ("&amp;TEXT(SUMPRODUCT(MAX((T_PlannedOrders[Part Name]=$A7)*(T_PlannedOrders[WeekIndex]=98)*(T_PlannedOrders[EffectiveQty]&gt;0)*T_PlannedOrders[Order_Month])),"m月")&amp;"発注)")</f>
        <v/>
      </c>
      <c r="CX13">
        <f>IF(SUMIFS(T_PlannedOrders[EffectiveQty],T_PlannedOrders[Part Name],$A7,T_PlannedOrders[WeekIndex],99)=0,"",SUMIFS(T_PlannedOrders[EffectiveQty],T_PlannedOrders[Part Name],$A7,T_PlannedOrders[WeekIndex],99)&amp;" ("&amp;TEXT(SUMPRODUCT(MAX((T_PlannedOrders[Part Name]=$A7)*(T_PlannedOrders[WeekIndex]=99)*(T_PlannedOrders[EffectiveQty]&gt;0)*T_PlannedOrders[Order_Month])),"m月")&amp;"発注)")</f>
        <v/>
      </c>
      <c r="CY13">
        <f>IF(SUMIFS(T_PlannedOrders[EffectiveQty],T_PlannedOrders[Part Name],$A7,T_PlannedOrders[WeekIndex],100)=0,"",SUMIFS(T_PlannedOrders[EffectiveQty],T_PlannedOrders[Part Name],$A7,T_PlannedOrders[WeekIndex],100)&amp;" ("&amp;TEXT(SUMPRODUCT(MAX((T_PlannedOrders[Part Name]=$A7)*(T_PlannedOrders[WeekIndex]=100)*(T_PlannedOrders[EffectiveQty]&gt;0)*T_PlannedOrders[Order_Month])),"m月")&amp;"発注)")</f>
        <v/>
      </c>
      <c r="CZ13">
        <f>IF(SUMIFS(T_PlannedOrders[EffectiveQty],T_PlannedOrders[Part Name],$A7,T_PlannedOrders[WeekIndex],101)=0,"",SUMIFS(T_PlannedOrders[EffectiveQty],T_PlannedOrders[Part Name],$A7,T_PlannedOrders[WeekIndex],101)&amp;" ("&amp;TEXT(SUMPRODUCT(MAX((T_PlannedOrders[Part Name]=$A7)*(T_PlannedOrders[WeekIndex]=101)*(T_PlannedOrders[EffectiveQty]&gt;0)*T_PlannedOrders[Order_Month])),"m月")&amp;"発注)")</f>
        <v/>
      </c>
      <c r="DA13">
        <f>IF(SUMIFS(T_PlannedOrders[EffectiveQty],T_PlannedOrders[Part Name],$A7,T_PlannedOrders[WeekIndex],102)=0,"",SUMIFS(T_PlannedOrders[EffectiveQty],T_PlannedOrders[Part Name],$A7,T_PlannedOrders[WeekIndex],102)&amp;" ("&amp;TEXT(SUMPRODUCT(MAX((T_PlannedOrders[Part Name]=$A7)*(T_PlannedOrders[WeekIndex]=102)*(T_PlannedOrders[EffectiveQty]&gt;0)*T_PlannedOrders[Order_Month])),"m月")&amp;"発注)")</f>
        <v/>
      </c>
      <c r="DB13">
        <f>IF(SUMIFS(T_PlannedOrders[EffectiveQty],T_PlannedOrders[Part Name],$A7,T_PlannedOrders[WeekIndex],103)=0,"",SUMIFS(T_PlannedOrders[EffectiveQty],T_PlannedOrders[Part Name],$A7,T_PlannedOrders[WeekIndex],103)&amp;" ("&amp;TEXT(SUMPRODUCT(MAX((T_PlannedOrders[Part Name]=$A7)*(T_PlannedOrders[WeekIndex]=103)*(T_PlannedOrders[EffectiveQty]&gt;0)*T_PlannedOrders[Order_Month])),"m月")&amp;"発注)")</f>
        <v/>
      </c>
      <c r="DC13">
        <f>IF(SUMIFS(T_PlannedOrders[EffectiveQty],T_PlannedOrders[Part Name],$A7,T_PlannedOrders[WeekIndex],104)=0,"",SUMIFS(T_PlannedOrders[EffectiveQty],T_PlannedOrders[Part Name],$A7,T_PlannedOrders[WeekIndex],104)&amp;" ("&amp;TEXT(SUMPRODUCT(MAX((T_PlannedOrders[Part Name]=$A7)*(T_PlannedOrders[WeekIndex]=104)*(T_PlannedOrders[EffectiveQty]&gt;0)*T_PlannedOrders[Order_Month])),"m月")&amp;"発注)")</f>
        <v/>
      </c>
    </row>
    <row r="14">
      <c r="B14" s="5" t="inlineStr">
        <is>
          <t>合計在庫(週末時点,kg)</t>
        </is>
      </c>
      <c r="D14">
        <f>'Grid_Stock'!B2</f>
        <v/>
      </c>
      <c r="E14">
        <f>'Grid_Stock'!C2</f>
        <v/>
      </c>
      <c r="F14">
        <f>'Grid_Stock'!D2</f>
        <v/>
      </c>
      <c r="G14">
        <f>'Grid_Stock'!E2</f>
        <v/>
      </c>
      <c r="H14">
        <f>'Grid_Stock'!F2</f>
        <v/>
      </c>
      <c r="I14">
        <f>'Grid_Stock'!G2</f>
        <v/>
      </c>
      <c r="J14">
        <f>'Grid_Stock'!H2</f>
        <v/>
      </c>
      <c r="K14">
        <f>'Grid_Stock'!I2</f>
        <v/>
      </c>
      <c r="L14">
        <f>'Grid_Stock'!J2</f>
        <v/>
      </c>
      <c r="M14">
        <f>'Grid_Stock'!K2</f>
        <v/>
      </c>
      <c r="N14">
        <f>'Grid_Stock'!L2</f>
        <v/>
      </c>
      <c r="O14">
        <f>'Grid_Stock'!M2</f>
        <v/>
      </c>
      <c r="P14">
        <f>'Grid_Stock'!N2</f>
        <v/>
      </c>
      <c r="Q14">
        <f>'Grid_Stock'!O2</f>
        <v/>
      </c>
      <c r="R14">
        <f>'Grid_Stock'!P2</f>
        <v/>
      </c>
      <c r="S14">
        <f>'Grid_Stock'!Q2</f>
        <v/>
      </c>
      <c r="T14">
        <f>'Grid_Stock'!R2</f>
        <v/>
      </c>
      <c r="U14">
        <f>'Grid_Stock'!S2</f>
        <v/>
      </c>
      <c r="V14">
        <f>'Grid_Stock'!T2</f>
        <v/>
      </c>
      <c r="W14">
        <f>'Grid_Stock'!U2</f>
        <v/>
      </c>
      <c r="X14">
        <f>'Grid_Stock'!V2</f>
        <v/>
      </c>
      <c r="Y14">
        <f>'Grid_Stock'!W2</f>
        <v/>
      </c>
      <c r="Z14">
        <f>'Grid_Stock'!X2</f>
        <v/>
      </c>
      <c r="AA14">
        <f>'Grid_Stock'!Y2</f>
        <v/>
      </c>
      <c r="AB14">
        <f>'Grid_Stock'!Z2</f>
        <v/>
      </c>
      <c r="AC14">
        <f>'Grid_Stock'!AA2</f>
        <v/>
      </c>
      <c r="AD14">
        <f>'Grid_Stock'!AB2</f>
        <v/>
      </c>
      <c r="AE14">
        <f>'Grid_Stock'!AC2</f>
        <v/>
      </c>
      <c r="AF14">
        <f>'Grid_Stock'!AD2</f>
        <v/>
      </c>
      <c r="AG14">
        <f>'Grid_Stock'!AE2</f>
        <v/>
      </c>
      <c r="AH14">
        <f>'Grid_Stock'!AF2</f>
        <v/>
      </c>
      <c r="AI14">
        <f>'Grid_Stock'!AG2</f>
        <v/>
      </c>
      <c r="AJ14">
        <f>'Grid_Stock'!AH2</f>
        <v/>
      </c>
      <c r="AK14">
        <f>'Grid_Stock'!AI2</f>
        <v/>
      </c>
      <c r="AL14">
        <f>'Grid_Stock'!AJ2</f>
        <v/>
      </c>
      <c r="AM14">
        <f>'Grid_Stock'!AK2</f>
        <v/>
      </c>
      <c r="AN14">
        <f>'Grid_Stock'!AL2</f>
        <v/>
      </c>
      <c r="AO14">
        <f>'Grid_Stock'!AM2</f>
        <v/>
      </c>
      <c r="AP14">
        <f>'Grid_Stock'!AN2</f>
        <v/>
      </c>
      <c r="AQ14">
        <f>'Grid_Stock'!AO2</f>
        <v/>
      </c>
      <c r="AR14">
        <f>'Grid_Stock'!AP2</f>
        <v/>
      </c>
      <c r="AS14">
        <f>'Grid_Stock'!AQ2</f>
        <v/>
      </c>
      <c r="AT14">
        <f>'Grid_Stock'!AR2</f>
        <v/>
      </c>
      <c r="AU14">
        <f>'Grid_Stock'!AS2</f>
        <v/>
      </c>
      <c r="AV14">
        <f>'Grid_Stock'!AT2</f>
        <v/>
      </c>
      <c r="AW14">
        <f>'Grid_Stock'!AU2</f>
        <v/>
      </c>
      <c r="AX14">
        <f>'Grid_Stock'!AV2</f>
        <v/>
      </c>
      <c r="AY14">
        <f>'Grid_Stock'!AW2</f>
        <v/>
      </c>
      <c r="AZ14">
        <f>'Grid_Stock'!AX2</f>
        <v/>
      </c>
      <c r="BA14">
        <f>'Grid_Stock'!AY2</f>
        <v/>
      </c>
      <c r="BB14">
        <f>'Grid_Stock'!AZ2</f>
        <v/>
      </c>
      <c r="BC14">
        <f>'Grid_Stock'!BA2</f>
        <v/>
      </c>
      <c r="BD14">
        <f>'Grid_Stock'!BB2</f>
        <v/>
      </c>
      <c r="BE14">
        <f>'Grid_Stock'!BC2</f>
        <v/>
      </c>
      <c r="BF14">
        <f>'Grid_Stock'!BD2</f>
        <v/>
      </c>
      <c r="BG14">
        <f>'Grid_Stock'!BE2</f>
        <v/>
      </c>
      <c r="BH14">
        <f>'Grid_Stock'!BF2</f>
        <v/>
      </c>
      <c r="BI14">
        <f>'Grid_Stock'!BG2</f>
        <v/>
      </c>
      <c r="BJ14">
        <f>'Grid_Stock'!BH2</f>
        <v/>
      </c>
      <c r="BK14">
        <f>'Grid_Stock'!BI2</f>
        <v/>
      </c>
      <c r="BL14">
        <f>'Grid_Stock'!BJ2</f>
        <v/>
      </c>
      <c r="BM14">
        <f>'Grid_Stock'!BK2</f>
        <v/>
      </c>
      <c r="BN14">
        <f>'Grid_Stock'!BL2</f>
        <v/>
      </c>
      <c r="BO14">
        <f>'Grid_Stock'!BM2</f>
        <v/>
      </c>
      <c r="BP14">
        <f>'Grid_Stock'!BN2</f>
        <v/>
      </c>
      <c r="BQ14">
        <f>'Grid_Stock'!BO2</f>
        <v/>
      </c>
      <c r="BR14">
        <f>'Grid_Stock'!BP2</f>
        <v/>
      </c>
      <c r="BS14">
        <f>'Grid_Stock'!BQ2</f>
        <v/>
      </c>
      <c r="BT14">
        <f>'Grid_Stock'!BR2</f>
        <v/>
      </c>
      <c r="BU14">
        <f>'Grid_Stock'!BS2</f>
        <v/>
      </c>
      <c r="BV14">
        <f>'Grid_Stock'!BT2</f>
        <v/>
      </c>
      <c r="BW14">
        <f>'Grid_Stock'!BU2</f>
        <v/>
      </c>
      <c r="BX14">
        <f>'Grid_Stock'!BV2</f>
        <v/>
      </c>
      <c r="BY14">
        <f>'Grid_Stock'!BW2</f>
        <v/>
      </c>
      <c r="BZ14">
        <f>'Grid_Stock'!BX2</f>
        <v/>
      </c>
      <c r="CA14">
        <f>'Grid_Stock'!BY2</f>
        <v/>
      </c>
      <c r="CB14">
        <f>'Grid_Stock'!BZ2</f>
        <v/>
      </c>
      <c r="CC14">
        <f>'Grid_Stock'!CA2</f>
        <v/>
      </c>
      <c r="CD14">
        <f>'Grid_Stock'!CB2</f>
        <v/>
      </c>
      <c r="CE14">
        <f>'Grid_Stock'!CC2</f>
        <v/>
      </c>
      <c r="CF14">
        <f>'Grid_Stock'!CD2</f>
        <v/>
      </c>
      <c r="CG14">
        <f>'Grid_Stock'!CE2</f>
        <v/>
      </c>
      <c r="CH14">
        <f>'Grid_Stock'!CF2</f>
        <v/>
      </c>
      <c r="CI14">
        <f>'Grid_Stock'!CG2</f>
        <v/>
      </c>
      <c r="CJ14">
        <f>'Grid_Stock'!CH2</f>
        <v/>
      </c>
      <c r="CK14">
        <f>'Grid_Stock'!CI2</f>
        <v/>
      </c>
      <c r="CL14">
        <f>'Grid_Stock'!CJ2</f>
        <v/>
      </c>
      <c r="CM14">
        <f>'Grid_Stock'!CK2</f>
        <v/>
      </c>
      <c r="CN14">
        <f>'Grid_Stock'!CL2</f>
        <v/>
      </c>
      <c r="CO14">
        <f>'Grid_Stock'!CM2</f>
        <v/>
      </c>
      <c r="CP14">
        <f>'Grid_Stock'!CN2</f>
        <v/>
      </c>
      <c r="CQ14">
        <f>'Grid_Stock'!CO2</f>
        <v/>
      </c>
      <c r="CR14">
        <f>'Grid_Stock'!CP2</f>
        <v/>
      </c>
      <c r="CS14">
        <f>'Grid_Stock'!CQ2</f>
        <v/>
      </c>
      <c r="CT14">
        <f>'Grid_Stock'!CR2</f>
        <v/>
      </c>
      <c r="CU14">
        <f>'Grid_Stock'!CS2</f>
        <v/>
      </c>
      <c r="CV14">
        <f>'Grid_Stock'!CT2</f>
        <v/>
      </c>
      <c r="CW14">
        <f>'Grid_Stock'!CU2</f>
        <v/>
      </c>
      <c r="CX14">
        <f>'Grid_Stock'!CV2</f>
        <v/>
      </c>
      <c r="CY14">
        <f>'Grid_Stock'!CW2</f>
        <v/>
      </c>
      <c r="CZ14">
        <f>'Grid_Stock'!CX2</f>
        <v/>
      </c>
      <c r="DA14">
        <f>'Grid_Stock'!CY2</f>
        <v/>
      </c>
      <c r="DB14">
        <f>'Grid_Stock'!CZ2</f>
        <v/>
      </c>
      <c r="DC14">
        <f>'Grid_Stock'!DA2</f>
        <v/>
      </c>
    </row>
    <row r="15">
      <c r="B15" s="23" t="inlineStr">
        <is>
          <t>（発注の目安はDashboardの基準在庫[下限/上限]と色分けを参照）</t>
        </is>
      </c>
    </row>
    <row r="17">
      <c r="A17" s="21" t="inlineStr">
        <is>
          <t>1EK</t>
        </is>
      </c>
      <c r="B17" s="21" t="inlineStr">
        <is>
          <t>Substrate NGK TP166-103-105xT1</t>
        </is>
      </c>
      <c r="C17" s="22" t="n"/>
      <c r="D17" s="21" t="n"/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1" t="n"/>
      <c r="AE17" s="21" t="n"/>
      <c r="AF17" s="21" t="n"/>
      <c r="AG17" s="21" t="n"/>
      <c r="AH17" s="21" t="n"/>
      <c r="AI17" s="21" t="n"/>
      <c r="AJ17" s="21" t="n"/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/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/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  <c r="CA17" s="21" t="n"/>
      <c r="CB17" s="21" t="n"/>
      <c r="CC17" s="21" t="n"/>
      <c r="CD17" s="21" t="n"/>
      <c r="CE17" s="21" t="n"/>
      <c r="CF17" s="21" t="n"/>
      <c r="CG17" s="21" t="n"/>
      <c r="CH17" s="21" t="n"/>
      <c r="CI17" s="21" t="n"/>
      <c r="CJ17" s="21" t="n"/>
      <c r="CK17" s="21" t="n"/>
      <c r="CL17" s="21" t="n"/>
      <c r="CM17" s="21" t="n"/>
      <c r="CN17" s="21" t="n"/>
      <c r="CO17" s="21" t="n"/>
      <c r="CP17" s="21" t="n"/>
      <c r="CQ17" s="21" t="n"/>
      <c r="CR17" s="21" t="n"/>
      <c r="CS17" s="21" t="n"/>
      <c r="CT17" s="21" t="n"/>
      <c r="CU17" s="21" t="n"/>
      <c r="CV17" s="21" t="n"/>
      <c r="CW17" s="21" t="n"/>
      <c r="CX17" s="21" t="n"/>
      <c r="CY17" s="21" t="n"/>
      <c r="CZ17" s="21" t="n"/>
      <c r="DA17" s="21" t="n"/>
      <c r="DB17" s="21" t="n"/>
      <c r="DC17" s="21" t="n"/>
    </row>
    <row r="18">
      <c r="B18" t="inlineStr">
        <is>
          <t>0T480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12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Name],$A17)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0T690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12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Name],$A17)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0T720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12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Name],$A17)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0T740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12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Name],$A17)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0T750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12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Name],$A17)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0T860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12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Name],$A17)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0T870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12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Name],$A17)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0T880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12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Name],$A17)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0TA40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12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Name],$A17)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s="5" t="inlineStr">
        <is>
          <t>合計使用量(kg)/週</t>
        </is>
      </c>
      <c r="D36">
        <f>'Grid_Requirement'!B3</f>
        <v/>
      </c>
      <c r="E36">
        <f>'Grid_Requirement'!C3</f>
        <v/>
      </c>
      <c r="F36">
        <f>'Grid_Requirement'!D3</f>
        <v/>
      </c>
      <c r="G36">
        <f>'Grid_Requirement'!E3</f>
        <v/>
      </c>
      <c r="H36">
        <f>'Grid_Requirement'!F3</f>
        <v/>
      </c>
      <c r="I36">
        <f>'Grid_Requirement'!G3</f>
        <v/>
      </c>
      <c r="J36">
        <f>'Grid_Requirement'!H3</f>
        <v/>
      </c>
      <c r="K36">
        <f>'Grid_Requirement'!I3</f>
        <v/>
      </c>
      <c r="L36">
        <f>'Grid_Requirement'!J3</f>
        <v/>
      </c>
      <c r="M36">
        <f>'Grid_Requirement'!K3</f>
        <v/>
      </c>
      <c r="N36">
        <f>'Grid_Requirement'!L3</f>
        <v/>
      </c>
      <c r="O36">
        <f>'Grid_Requirement'!M3</f>
        <v/>
      </c>
      <c r="P36">
        <f>'Grid_Requirement'!N3</f>
        <v/>
      </c>
      <c r="Q36">
        <f>'Grid_Requirement'!O3</f>
        <v/>
      </c>
      <c r="R36">
        <f>'Grid_Requirement'!P3</f>
        <v/>
      </c>
      <c r="S36">
        <f>'Grid_Requirement'!Q3</f>
        <v/>
      </c>
      <c r="T36">
        <f>'Grid_Requirement'!R3</f>
        <v/>
      </c>
      <c r="U36">
        <f>'Grid_Requirement'!S3</f>
        <v/>
      </c>
      <c r="V36">
        <f>'Grid_Requirement'!T3</f>
        <v/>
      </c>
      <c r="W36">
        <f>'Grid_Requirement'!U3</f>
        <v/>
      </c>
      <c r="X36">
        <f>'Grid_Requirement'!V3</f>
        <v/>
      </c>
      <c r="Y36">
        <f>'Grid_Requirement'!W3</f>
        <v/>
      </c>
      <c r="Z36">
        <f>'Grid_Requirement'!X3</f>
        <v/>
      </c>
      <c r="AA36">
        <f>'Grid_Requirement'!Y3</f>
        <v/>
      </c>
      <c r="AB36">
        <f>'Grid_Requirement'!Z3</f>
        <v/>
      </c>
      <c r="AC36">
        <f>'Grid_Requirement'!AA3</f>
        <v/>
      </c>
      <c r="AD36">
        <f>'Grid_Requirement'!AB3</f>
        <v/>
      </c>
      <c r="AE36">
        <f>'Grid_Requirement'!AC3</f>
        <v/>
      </c>
      <c r="AF36">
        <f>'Grid_Requirement'!AD3</f>
        <v/>
      </c>
      <c r="AG36">
        <f>'Grid_Requirement'!AE3</f>
        <v/>
      </c>
      <c r="AH36">
        <f>'Grid_Requirement'!AF3</f>
        <v/>
      </c>
      <c r="AI36">
        <f>'Grid_Requirement'!AG3</f>
        <v/>
      </c>
      <c r="AJ36">
        <f>'Grid_Requirement'!AH3</f>
        <v/>
      </c>
      <c r="AK36">
        <f>'Grid_Requirement'!AI3</f>
        <v/>
      </c>
      <c r="AL36">
        <f>'Grid_Requirement'!AJ3</f>
        <v/>
      </c>
      <c r="AM36">
        <f>'Grid_Requirement'!AK3</f>
        <v/>
      </c>
      <c r="AN36">
        <f>'Grid_Requirement'!AL3</f>
        <v/>
      </c>
      <c r="AO36">
        <f>'Grid_Requirement'!AM3</f>
        <v/>
      </c>
      <c r="AP36">
        <f>'Grid_Requirement'!AN3</f>
        <v/>
      </c>
      <c r="AQ36">
        <f>'Grid_Requirement'!AO3</f>
        <v/>
      </c>
      <c r="AR36">
        <f>'Grid_Requirement'!AP3</f>
        <v/>
      </c>
      <c r="AS36">
        <f>'Grid_Requirement'!AQ3</f>
        <v/>
      </c>
      <c r="AT36">
        <f>'Grid_Requirement'!AR3</f>
        <v/>
      </c>
      <c r="AU36">
        <f>'Grid_Requirement'!AS3</f>
        <v/>
      </c>
      <c r="AV36">
        <f>'Grid_Requirement'!AT3</f>
        <v/>
      </c>
      <c r="AW36">
        <f>'Grid_Requirement'!AU3</f>
        <v/>
      </c>
      <c r="AX36">
        <f>'Grid_Requirement'!AV3</f>
        <v/>
      </c>
      <c r="AY36">
        <f>'Grid_Requirement'!AW3</f>
        <v/>
      </c>
      <c r="AZ36">
        <f>'Grid_Requirement'!AX3</f>
        <v/>
      </c>
      <c r="BA36">
        <f>'Grid_Requirement'!AY3</f>
        <v/>
      </c>
      <c r="BB36">
        <f>'Grid_Requirement'!AZ3</f>
        <v/>
      </c>
      <c r="BC36">
        <f>'Grid_Requirement'!BA3</f>
        <v/>
      </c>
      <c r="BD36">
        <f>'Grid_Requirement'!BB3</f>
        <v/>
      </c>
      <c r="BE36">
        <f>'Grid_Requirement'!BC3</f>
        <v/>
      </c>
      <c r="BF36">
        <f>'Grid_Requirement'!BD3</f>
        <v/>
      </c>
      <c r="BG36">
        <f>'Grid_Requirement'!BE3</f>
        <v/>
      </c>
      <c r="BH36">
        <f>'Grid_Requirement'!BF3</f>
        <v/>
      </c>
      <c r="BI36">
        <f>'Grid_Requirement'!BG3</f>
        <v/>
      </c>
      <c r="BJ36">
        <f>'Grid_Requirement'!BH3</f>
        <v/>
      </c>
      <c r="BK36">
        <f>'Grid_Requirement'!BI3</f>
        <v/>
      </c>
      <c r="BL36">
        <f>'Grid_Requirement'!BJ3</f>
        <v/>
      </c>
      <c r="BM36">
        <f>'Grid_Requirement'!BK3</f>
        <v/>
      </c>
      <c r="BN36">
        <f>'Grid_Requirement'!BL3</f>
        <v/>
      </c>
      <c r="BO36">
        <f>'Grid_Requirement'!BM3</f>
        <v/>
      </c>
      <c r="BP36">
        <f>'Grid_Requirement'!BN3</f>
        <v/>
      </c>
      <c r="BQ36">
        <f>'Grid_Requirement'!BO3</f>
        <v/>
      </c>
      <c r="BR36">
        <f>'Grid_Requirement'!BP3</f>
        <v/>
      </c>
      <c r="BS36">
        <f>'Grid_Requirement'!BQ3</f>
        <v/>
      </c>
      <c r="BT36">
        <f>'Grid_Requirement'!BR3</f>
        <v/>
      </c>
      <c r="BU36">
        <f>'Grid_Requirement'!BS3</f>
        <v/>
      </c>
      <c r="BV36">
        <f>'Grid_Requirement'!BT3</f>
        <v/>
      </c>
      <c r="BW36">
        <f>'Grid_Requirement'!BU3</f>
        <v/>
      </c>
      <c r="BX36">
        <f>'Grid_Requirement'!BV3</f>
        <v/>
      </c>
      <c r="BY36">
        <f>'Grid_Requirement'!BW3</f>
        <v/>
      </c>
      <c r="BZ36">
        <f>'Grid_Requirement'!BX3</f>
        <v/>
      </c>
      <c r="CA36">
        <f>'Grid_Requirement'!BY3</f>
        <v/>
      </c>
      <c r="CB36">
        <f>'Grid_Requirement'!BZ3</f>
        <v/>
      </c>
      <c r="CC36">
        <f>'Grid_Requirement'!CA3</f>
        <v/>
      </c>
      <c r="CD36">
        <f>'Grid_Requirement'!CB3</f>
        <v/>
      </c>
      <c r="CE36">
        <f>'Grid_Requirement'!CC3</f>
        <v/>
      </c>
      <c r="CF36">
        <f>'Grid_Requirement'!CD3</f>
        <v/>
      </c>
      <c r="CG36">
        <f>'Grid_Requirement'!CE3</f>
        <v/>
      </c>
      <c r="CH36">
        <f>'Grid_Requirement'!CF3</f>
        <v/>
      </c>
      <c r="CI36">
        <f>'Grid_Requirement'!CG3</f>
        <v/>
      </c>
      <c r="CJ36">
        <f>'Grid_Requirement'!CH3</f>
        <v/>
      </c>
      <c r="CK36">
        <f>'Grid_Requirement'!CI3</f>
        <v/>
      </c>
      <c r="CL36">
        <f>'Grid_Requirement'!CJ3</f>
        <v/>
      </c>
      <c r="CM36">
        <f>'Grid_Requirement'!CK3</f>
        <v/>
      </c>
      <c r="CN36">
        <f>'Grid_Requirement'!CL3</f>
        <v/>
      </c>
      <c r="CO36">
        <f>'Grid_Requirement'!CM3</f>
        <v/>
      </c>
      <c r="CP36">
        <f>'Grid_Requirement'!CN3</f>
        <v/>
      </c>
      <c r="CQ36">
        <f>'Grid_Requirement'!CO3</f>
        <v/>
      </c>
      <c r="CR36">
        <f>'Grid_Requirement'!CP3</f>
        <v/>
      </c>
      <c r="CS36">
        <f>'Grid_Requirement'!CQ3</f>
        <v/>
      </c>
      <c r="CT36">
        <f>'Grid_Requirement'!CR3</f>
        <v/>
      </c>
      <c r="CU36">
        <f>'Grid_Requirement'!CS3</f>
        <v/>
      </c>
      <c r="CV36">
        <f>'Grid_Requirement'!CT3</f>
        <v/>
      </c>
      <c r="CW36">
        <f>'Grid_Requirement'!CU3</f>
        <v/>
      </c>
      <c r="CX36">
        <f>'Grid_Requirement'!CV3</f>
        <v/>
      </c>
      <c r="CY36">
        <f>'Grid_Requirement'!CW3</f>
        <v/>
      </c>
      <c r="CZ36">
        <f>'Grid_Requirement'!CX3</f>
        <v/>
      </c>
      <c r="DA36">
        <f>'Grid_Requirement'!CY3</f>
        <v/>
      </c>
      <c r="DB36">
        <f>'Grid_Requirement'!CZ3</f>
        <v/>
      </c>
      <c r="DC36">
        <f>'Grid_Requirement'!DA3</f>
        <v/>
      </c>
    </row>
    <row r="37">
      <c r="B37" t="inlineStr">
        <is>
          <t>TTAF在庫(実績,kg)</t>
        </is>
      </c>
      <c r="D37">
        <f>'T_TTAFStock'!B7</f>
        <v/>
      </c>
      <c r="E37">
        <f>'T_TTAFStock'!C7</f>
        <v/>
      </c>
      <c r="F37">
        <f>'T_TTAFStock'!D7</f>
        <v/>
      </c>
      <c r="G37">
        <f>'T_TTAFStock'!E7</f>
        <v/>
      </c>
      <c r="H37">
        <f>'T_TTAFStock'!F7</f>
        <v/>
      </c>
      <c r="I37">
        <f>'T_TTAFStock'!G7</f>
        <v/>
      </c>
      <c r="J37">
        <f>'T_TTAFStock'!H7</f>
        <v/>
      </c>
      <c r="K37">
        <f>'T_TTAFStock'!I7</f>
        <v/>
      </c>
      <c r="L37">
        <f>'T_TTAFStock'!J7</f>
        <v/>
      </c>
      <c r="M37">
        <f>'T_TTAFStock'!K7</f>
        <v/>
      </c>
      <c r="N37">
        <f>'T_TTAFStock'!L7</f>
        <v/>
      </c>
      <c r="O37">
        <f>'T_TTAFStock'!M7</f>
        <v/>
      </c>
      <c r="P37">
        <f>'T_TTAFStock'!N7</f>
        <v/>
      </c>
      <c r="Q37">
        <f>'T_TTAFStock'!O7</f>
        <v/>
      </c>
      <c r="R37">
        <f>'T_TTAFStock'!P7</f>
        <v/>
      </c>
      <c r="S37">
        <f>'T_TTAFStock'!Q7</f>
        <v/>
      </c>
      <c r="T37">
        <f>'T_TTAFStock'!R7</f>
        <v/>
      </c>
      <c r="U37">
        <f>'T_TTAFStock'!S7</f>
        <v/>
      </c>
      <c r="V37">
        <f>'T_TTAFStock'!T7</f>
        <v/>
      </c>
      <c r="W37">
        <f>'T_TTAFStock'!U7</f>
        <v/>
      </c>
      <c r="X37">
        <f>'T_TTAFStock'!V7</f>
        <v/>
      </c>
      <c r="Y37">
        <f>'T_TTAFStock'!W7</f>
        <v/>
      </c>
      <c r="Z37">
        <f>'T_TTAFStock'!X7</f>
        <v/>
      </c>
      <c r="AA37">
        <f>'T_TTAFStock'!Y7</f>
        <v/>
      </c>
      <c r="AB37">
        <f>'T_TTAFStock'!Z7</f>
        <v/>
      </c>
      <c r="AC37">
        <f>'T_TTAFStock'!AA7</f>
        <v/>
      </c>
      <c r="AD37">
        <f>'T_TTAFStock'!AB7</f>
        <v/>
      </c>
      <c r="AE37">
        <f>'T_TTAFStock'!AC7</f>
        <v/>
      </c>
      <c r="AF37">
        <f>'T_TTAFStock'!AD7</f>
        <v/>
      </c>
      <c r="AG37">
        <f>'T_TTAFStock'!AE7</f>
        <v/>
      </c>
      <c r="AH37">
        <f>'T_TTAFStock'!AF7</f>
        <v/>
      </c>
      <c r="AI37">
        <f>'T_TTAFStock'!AG7</f>
        <v/>
      </c>
      <c r="AJ37">
        <f>'T_TTAFStock'!AH7</f>
        <v/>
      </c>
      <c r="AK37">
        <f>'T_TTAFStock'!AI7</f>
        <v/>
      </c>
      <c r="AL37">
        <f>'T_TTAFStock'!AJ7</f>
        <v/>
      </c>
      <c r="AM37">
        <f>'T_TTAFStock'!AK7</f>
        <v/>
      </c>
      <c r="AN37">
        <f>'T_TTAFStock'!AL7</f>
        <v/>
      </c>
      <c r="AO37">
        <f>'T_TTAFStock'!AM7</f>
        <v/>
      </c>
      <c r="AP37">
        <f>'T_TTAFStock'!AN7</f>
        <v/>
      </c>
      <c r="AQ37">
        <f>'T_TTAFStock'!AO7</f>
        <v/>
      </c>
      <c r="AR37">
        <f>'T_TTAFStock'!AP7</f>
        <v/>
      </c>
      <c r="AS37">
        <f>'T_TTAFStock'!AQ7</f>
        <v/>
      </c>
      <c r="AT37">
        <f>'T_TTAFStock'!AR7</f>
        <v/>
      </c>
      <c r="AU37">
        <f>'T_TTAFStock'!AS7</f>
        <v/>
      </c>
      <c r="AV37">
        <f>'T_TTAFStock'!AT7</f>
        <v/>
      </c>
      <c r="AW37">
        <f>'T_TTAFStock'!AU7</f>
        <v/>
      </c>
      <c r="AX37">
        <f>'T_TTAFStock'!AV7</f>
        <v/>
      </c>
      <c r="AY37">
        <f>'T_TTAFStock'!AW7</f>
        <v/>
      </c>
      <c r="AZ37">
        <f>'T_TTAFStock'!AX7</f>
        <v/>
      </c>
      <c r="BA37">
        <f>'T_TTAFStock'!AY7</f>
        <v/>
      </c>
      <c r="BB37">
        <f>'T_TTAFStock'!AZ7</f>
        <v/>
      </c>
      <c r="BC37">
        <f>'T_TTAFStock'!BA7</f>
        <v/>
      </c>
      <c r="BD37">
        <f>'T_TTAFStock'!BB7</f>
        <v/>
      </c>
      <c r="BE37">
        <f>'T_TTAFStock'!BC7</f>
        <v/>
      </c>
      <c r="BF37">
        <f>'T_TTAFStock'!BD7</f>
        <v/>
      </c>
      <c r="BG37">
        <f>'T_TTAFStock'!BE7</f>
        <v/>
      </c>
      <c r="BH37">
        <f>'T_TTAFStock'!BF7</f>
        <v/>
      </c>
      <c r="BI37">
        <f>'T_TTAFStock'!BG7</f>
        <v/>
      </c>
      <c r="BJ37">
        <f>'T_TTAFStock'!BH7</f>
        <v/>
      </c>
      <c r="BK37">
        <f>'T_TTAFStock'!BI7</f>
        <v/>
      </c>
      <c r="BL37">
        <f>'T_TTAFStock'!BJ7</f>
        <v/>
      </c>
      <c r="BM37">
        <f>'T_TTAFStock'!BK7</f>
        <v/>
      </c>
      <c r="BN37">
        <f>'T_TTAFStock'!BL7</f>
        <v/>
      </c>
      <c r="BO37">
        <f>'T_TTAFStock'!BM7</f>
        <v/>
      </c>
      <c r="BP37">
        <f>'T_TTAFStock'!BN7</f>
        <v/>
      </c>
      <c r="BQ37">
        <f>'T_TTAFStock'!BO7</f>
        <v/>
      </c>
      <c r="BR37">
        <f>'T_TTAFStock'!BP7</f>
        <v/>
      </c>
      <c r="BS37">
        <f>'T_TTAFStock'!BQ7</f>
        <v/>
      </c>
      <c r="BT37">
        <f>'T_TTAFStock'!BR7</f>
        <v/>
      </c>
      <c r="BU37">
        <f>'T_TTAFStock'!BS7</f>
        <v/>
      </c>
      <c r="BV37">
        <f>'T_TTAFStock'!BT7</f>
        <v/>
      </c>
      <c r="BW37">
        <f>'T_TTAFStock'!BU7</f>
        <v/>
      </c>
      <c r="BX37">
        <f>'T_TTAFStock'!BV7</f>
        <v/>
      </c>
      <c r="BY37">
        <f>'T_TTAFStock'!BW7</f>
        <v/>
      </c>
      <c r="BZ37">
        <f>'T_TTAFStock'!BX7</f>
        <v/>
      </c>
      <c r="CA37">
        <f>'T_TTAFStock'!BY7</f>
        <v/>
      </c>
      <c r="CB37">
        <f>'T_TTAFStock'!BZ7</f>
        <v/>
      </c>
      <c r="CC37">
        <f>'T_TTAFStock'!CA7</f>
        <v/>
      </c>
      <c r="CD37">
        <f>'T_TTAFStock'!CB7</f>
        <v/>
      </c>
      <c r="CE37">
        <f>'T_TTAFStock'!CC7</f>
        <v/>
      </c>
      <c r="CF37">
        <f>'T_TTAFStock'!CD7</f>
        <v/>
      </c>
      <c r="CG37">
        <f>'T_TTAFStock'!CE7</f>
        <v/>
      </c>
      <c r="CH37">
        <f>'T_TTAFStock'!CF7</f>
        <v/>
      </c>
      <c r="CI37">
        <f>'T_TTAFStock'!CG7</f>
        <v/>
      </c>
      <c r="CJ37">
        <f>'T_TTAFStock'!CH7</f>
        <v/>
      </c>
      <c r="CK37">
        <f>'T_TTAFStock'!CI7</f>
        <v/>
      </c>
      <c r="CL37">
        <f>'T_TTAFStock'!CJ7</f>
        <v/>
      </c>
      <c r="CM37">
        <f>'T_TTAFStock'!CK7</f>
        <v/>
      </c>
      <c r="CN37">
        <f>'T_TTAFStock'!CL7</f>
        <v/>
      </c>
      <c r="CO37">
        <f>'T_TTAFStock'!CM7</f>
        <v/>
      </c>
      <c r="CP37">
        <f>'T_TTAFStock'!CN7</f>
        <v/>
      </c>
      <c r="CQ37">
        <f>'T_TTAFStock'!CO7</f>
        <v/>
      </c>
      <c r="CR37">
        <f>'T_TTAFStock'!CP7</f>
        <v/>
      </c>
      <c r="CS37">
        <f>'T_TTAFStock'!CQ7</f>
        <v/>
      </c>
      <c r="CT37">
        <f>'T_TTAFStock'!CR7</f>
        <v/>
      </c>
      <c r="CU37">
        <f>'T_TTAFStock'!CS7</f>
        <v/>
      </c>
      <c r="CV37">
        <f>'T_TTAFStock'!CT7</f>
        <v/>
      </c>
      <c r="CW37">
        <f>'T_TTAFStock'!CU7</f>
        <v/>
      </c>
      <c r="CX37">
        <f>'T_TTAFStock'!CV7</f>
        <v/>
      </c>
      <c r="CY37">
        <f>'T_TTAFStock'!CW7</f>
        <v/>
      </c>
      <c r="CZ37">
        <f>'T_TTAFStock'!CX7</f>
        <v/>
      </c>
      <c r="DA37">
        <f>'T_TTAFStock'!CY7</f>
        <v/>
      </c>
      <c r="DB37">
        <f>'T_TTAFStock'!CZ7</f>
        <v/>
      </c>
      <c r="DC37">
        <f>'T_TTAFStock'!DA7</f>
        <v/>
      </c>
    </row>
    <row r="38">
      <c r="B38" t="inlineStr">
        <is>
          <t>自社在庫(実績,kg)</t>
        </is>
      </c>
      <c r="D38">
        <f>'T_SelfStock'!B7</f>
        <v/>
      </c>
      <c r="E38">
        <f>'T_SelfStock'!C7</f>
        <v/>
      </c>
      <c r="F38">
        <f>'T_SelfStock'!D7</f>
        <v/>
      </c>
      <c r="G38">
        <f>'T_SelfStock'!E7</f>
        <v/>
      </c>
      <c r="H38">
        <f>'T_SelfStock'!F7</f>
        <v/>
      </c>
      <c r="I38">
        <f>'T_SelfStock'!G7</f>
        <v/>
      </c>
      <c r="J38">
        <f>'T_SelfStock'!H7</f>
        <v/>
      </c>
      <c r="K38">
        <f>'T_SelfStock'!I7</f>
        <v/>
      </c>
      <c r="L38">
        <f>'T_SelfStock'!J7</f>
        <v/>
      </c>
      <c r="M38">
        <f>'T_SelfStock'!K7</f>
        <v/>
      </c>
      <c r="N38">
        <f>'T_SelfStock'!L7</f>
        <v/>
      </c>
      <c r="O38">
        <f>'T_SelfStock'!M7</f>
        <v/>
      </c>
      <c r="P38">
        <f>'T_SelfStock'!N7</f>
        <v/>
      </c>
      <c r="Q38">
        <f>'T_SelfStock'!O7</f>
        <v/>
      </c>
      <c r="R38">
        <f>'T_SelfStock'!P7</f>
        <v/>
      </c>
      <c r="S38">
        <f>'T_SelfStock'!Q7</f>
        <v/>
      </c>
      <c r="T38">
        <f>'T_SelfStock'!R7</f>
        <v/>
      </c>
      <c r="U38">
        <f>'T_SelfStock'!S7</f>
        <v/>
      </c>
      <c r="V38">
        <f>'T_SelfStock'!T7</f>
        <v/>
      </c>
      <c r="W38">
        <f>'T_SelfStock'!U7</f>
        <v/>
      </c>
      <c r="X38">
        <f>'T_SelfStock'!V7</f>
        <v/>
      </c>
      <c r="Y38">
        <f>'T_SelfStock'!W7</f>
        <v/>
      </c>
      <c r="Z38">
        <f>'T_SelfStock'!X7</f>
        <v/>
      </c>
      <c r="AA38">
        <f>'T_SelfStock'!Y7</f>
        <v/>
      </c>
      <c r="AB38">
        <f>'T_SelfStock'!Z7</f>
        <v/>
      </c>
      <c r="AC38">
        <f>'T_SelfStock'!AA7</f>
        <v/>
      </c>
      <c r="AD38">
        <f>'T_SelfStock'!AB7</f>
        <v/>
      </c>
      <c r="AE38">
        <f>'T_SelfStock'!AC7</f>
        <v/>
      </c>
      <c r="AF38">
        <f>'T_SelfStock'!AD7</f>
        <v/>
      </c>
      <c r="AG38">
        <f>'T_SelfStock'!AE7</f>
        <v/>
      </c>
      <c r="AH38">
        <f>'T_SelfStock'!AF7</f>
        <v/>
      </c>
      <c r="AI38">
        <f>'T_SelfStock'!AG7</f>
        <v/>
      </c>
      <c r="AJ38">
        <f>'T_SelfStock'!AH7</f>
        <v/>
      </c>
      <c r="AK38">
        <f>'T_SelfStock'!AI7</f>
        <v/>
      </c>
      <c r="AL38">
        <f>'T_SelfStock'!AJ7</f>
        <v/>
      </c>
      <c r="AM38">
        <f>'T_SelfStock'!AK7</f>
        <v/>
      </c>
      <c r="AN38">
        <f>'T_SelfStock'!AL7</f>
        <v/>
      </c>
      <c r="AO38">
        <f>'T_SelfStock'!AM7</f>
        <v/>
      </c>
      <c r="AP38">
        <f>'T_SelfStock'!AN7</f>
        <v/>
      </c>
      <c r="AQ38">
        <f>'T_SelfStock'!AO7</f>
        <v/>
      </c>
      <c r="AR38">
        <f>'T_SelfStock'!AP7</f>
        <v/>
      </c>
      <c r="AS38">
        <f>'T_SelfStock'!AQ7</f>
        <v/>
      </c>
      <c r="AT38">
        <f>'T_SelfStock'!AR7</f>
        <v/>
      </c>
      <c r="AU38">
        <f>'T_SelfStock'!AS7</f>
        <v/>
      </c>
      <c r="AV38">
        <f>'T_SelfStock'!AT7</f>
        <v/>
      </c>
      <c r="AW38">
        <f>'T_SelfStock'!AU7</f>
        <v/>
      </c>
      <c r="AX38">
        <f>'T_SelfStock'!AV7</f>
        <v/>
      </c>
      <c r="AY38">
        <f>'T_SelfStock'!AW7</f>
        <v/>
      </c>
      <c r="AZ38">
        <f>'T_SelfStock'!AX7</f>
        <v/>
      </c>
      <c r="BA38">
        <f>'T_SelfStock'!AY7</f>
        <v/>
      </c>
      <c r="BB38">
        <f>'T_SelfStock'!AZ7</f>
        <v/>
      </c>
      <c r="BC38">
        <f>'T_SelfStock'!BA7</f>
        <v/>
      </c>
      <c r="BD38">
        <f>'T_SelfStock'!BB7</f>
        <v/>
      </c>
      <c r="BE38">
        <f>'T_SelfStock'!BC7</f>
        <v/>
      </c>
      <c r="BF38">
        <f>'T_SelfStock'!BD7</f>
        <v/>
      </c>
      <c r="BG38">
        <f>'T_SelfStock'!BE7</f>
        <v/>
      </c>
      <c r="BH38">
        <f>'T_SelfStock'!BF7</f>
        <v/>
      </c>
      <c r="BI38">
        <f>'T_SelfStock'!BG7</f>
        <v/>
      </c>
      <c r="BJ38">
        <f>'T_SelfStock'!BH7</f>
        <v/>
      </c>
      <c r="BK38">
        <f>'T_SelfStock'!BI7</f>
        <v/>
      </c>
      <c r="BL38">
        <f>'T_SelfStock'!BJ7</f>
        <v/>
      </c>
      <c r="BM38">
        <f>'T_SelfStock'!BK7</f>
        <v/>
      </c>
      <c r="BN38">
        <f>'T_SelfStock'!BL7</f>
        <v/>
      </c>
      <c r="BO38">
        <f>'T_SelfStock'!BM7</f>
        <v/>
      </c>
      <c r="BP38">
        <f>'T_SelfStock'!BN7</f>
        <v/>
      </c>
      <c r="BQ38">
        <f>'T_SelfStock'!BO7</f>
        <v/>
      </c>
      <c r="BR38">
        <f>'T_SelfStock'!BP7</f>
        <v/>
      </c>
      <c r="BS38">
        <f>'T_SelfStock'!BQ7</f>
        <v/>
      </c>
      <c r="BT38">
        <f>'T_SelfStock'!BR7</f>
        <v/>
      </c>
      <c r="BU38">
        <f>'T_SelfStock'!BS7</f>
        <v/>
      </c>
      <c r="BV38">
        <f>'T_SelfStock'!BT7</f>
        <v/>
      </c>
      <c r="BW38">
        <f>'T_SelfStock'!BU7</f>
        <v/>
      </c>
      <c r="BX38">
        <f>'T_SelfStock'!BV7</f>
        <v/>
      </c>
      <c r="BY38">
        <f>'T_SelfStock'!BW7</f>
        <v/>
      </c>
      <c r="BZ38">
        <f>'T_SelfStock'!BX7</f>
        <v/>
      </c>
      <c r="CA38">
        <f>'T_SelfStock'!BY7</f>
        <v/>
      </c>
      <c r="CB38">
        <f>'T_SelfStock'!BZ7</f>
        <v/>
      </c>
      <c r="CC38">
        <f>'T_SelfStock'!CA7</f>
        <v/>
      </c>
      <c r="CD38">
        <f>'T_SelfStock'!CB7</f>
        <v/>
      </c>
      <c r="CE38">
        <f>'T_SelfStock'!CC7</f>
        <v/>
      </c>
      <c r="CF38">
        <f>'T_SelfStock'!CD7</f>
        <v/>
      </c>
      <c r="CG38">
        <f>'T_SelfStock'!CE7</f>
        <v/>
      </c>
      <c r="CH38">
        <f>'T_SelfStock'!CF7</f>
        <v/>
      </c>
      <c r="CI38">
        <f>'T_SelfStock'!CG7</f>
        <v/>
      </c>
      <c r="CJ38">
        <f>'T_SelfStock'!CH7</f>
        <v/>
      </c>
      <c r="CK38">
        <f>'T_SelfStock'!CI7</f>
        <v/>
      </c>
      <c r="CL38">
        <f>'T_SelfStock'!CJ7</f>
        <v/>
      </c>
      <c r="CM38">
        <f>'T_SelfStock'!CK7</f>
        <v/>
      </c>
      <c r="CN38">
        <f>'T_SelfStock'!CL7</f>
        <v/>
      </c>
      <c r="CO38">
        <f>'T_SelfStock'!CM7</f>
        <v/>
      </c>
      <c r="CP38">
        <f>'T_SelfStock'!CN7</f>
        <v/>
      </c>
      <c r="CQ38">
        <f>'T_SelfStock'!CO7</f>
        <v/>
      </c>
      <c r="CR38">
        <f>'T_SelfStock'!CP7</f>
        <v/>
      </c>
      <c r="CS38">
        <f>'T_SelfStock'!CQ7</f>
        <v/>
      </c>
      <c r="CT38">
        <f>'T_SelfStock'!CR7</f>
        <v/>
      </c>
      <c r="CU38">
        <f>'T_SelfStock'!CS7</f>
        <v/>
      </c>
      <c r="CV38">
        <f>'T_SelfStock'!CT7</f>
        <v/>
      </c>
      <c r="CW38">
        <f>'T_SelfStock'!CU7</f>
        <v/>
      </c>
      <c r="CX38">
        <f>'T_SelfStock'!CV7</f>
        <v/>
      </c>
      <c r="CY38">
        <f>'T_SelfStock'!CW7</f>
        <v/>
      </c>
      <c r="CZ38">
        <f>'T_SelfStock'!CX7</f>
        <v/>
      </c>
      <c r="DA38">
        <f>'T_SelfStock'!CY7</f>
        <v/>
      </c>
      <c r="DB38">
        <f>'T_SelfStock'!CZ7</f>
        <v/>
      </c>
      <c r="DC38">
        <f>'T_SelfStock'!DA7</f>
        <v/>
      </c>
    </row>
    <row r="39">
      <c r="B39" t="inlineStr">
        <is>
          <t>Order(発注予定,kg)</t>
        </is>
      </c>
      <c r="D39">
        <f>IF(SUMIFS(T_PlannedOrders[EffectiveQty],T_PlannedOrders[Part Name],$A17,T_PlannedOrders[WeekIndex],1)=0,"",SUMIFS(T_PlannedOrders[EffectiveQty],T_PlannedOrders[Part Name],$A17,T_PlannedOrders[WeekIndex],1)&amp;" ("&amp;TEXT(SUMPRODUCT(MAX((T_PlannedOrders[Part Name]=$A17)*(T_PlannedOrders[WeekIndex]=1)*(T_PlannedOrders[EffectiveQty]&gt;0)*T_PlannedOrders[Order_Month])),"m月")&amp;"発注)")</f>
        <v/>
      </c>
      <c r="E39">
        <f>IF(SUMIFS(T_PlannedOrders[EffectiveQty],T_PlannedOrders[Part Name],$A17,T_PlannedOrders[WeekIndex],2)=0,"",SUMIFS(T_PlannedOrders[EffectiveQty],T_PlannedOrders[Part Name],$A17,T_PlannedOrders[WeekIndex],2)&amp;" ("&amp;TEXT(SUMPRODUCT(MAX((T_PlannedOrders[Part Name]=$A17)*(T_PlannedOrders[WeekIndex]=2)*(T_PlannedOrders[EffectiveQty]&gt;0)*T_PlannedOrders[Order_Month])),"m月")&amp;"発注)")</f>
        <v/>
      </c>
      <c r="F39">
        <f>IF(SUMIFS(T_PlannedOrders[EffectiveQty],T_PlannedOrders[Part Name],$A17,T_PlannedOrders[WeekIndex],3)=0,"",SUMIFS(T_PlannedOrders[EffectiveQty],T_PlannedOrders[Part Name],$A17,T_PlannedOrders[WeekIndex],3)&amp;" ("&amp;TEXT(SUMPRODUCT(MAX((T_PlannedOrders[Part Name]=$A17)*(T_PlannedOrders[WeekIndex]=3)*(T_PlannedOrders[EffectiveQty]&gt;0)*T_PlannedOrders[Order_Month])),"m月")&amp;"発注)")</f>
        <v/>
      </c>
      <c r="G39">
        <f>IF(SUMIFS(T_PlannedOrders[EffectiveQty],T_PlannedOrders[Part Name],$A17,T_PlannedOrders[WeekIndex],4)=0,"",SUMIFS(T_PlannedOrders[EffectiveQty],T_PlannedOrders[Part Name],$A17,T_PlannedOrders[WeekIndex],4)&amp;" ("&amp;TEXT(SUMPRODUCT(MAX((T_PlannedOrders[Part Name]=$A17)*(T_PlannedOrders[WeekIndex]=4)*(T_PlannedOrders[EffectiveQty]&gt;0)*T_PlannedOrders[Order_Month])),"m月")&amp;"発注)")</f>
        <v/>
      </c>
      <c r="H39">
        <f>IF(SUMIFS(T_PlannedOrders[EffectiveQty],T_PlannedOrders[Part Name],$A17,T_PlannedOrders[WeekIndex],5)=0,"",SUMIFS(T_PlannedOrders[EffectiveQty],T_PlannedOrders[Part Name],$A17,T_PlannedOrders[WeekIndex],5)&amp;" ("&amp;TEXT(SUMPRODUCT(MAX((T_PlannedOrders[Part Name]=$A17)*(T_PlannedOrders[WeekIndex]=5)*(T_PlannedOrders[EffectiveQty]&gt;0)*T_PlannedOrders[Order_Month])),"m月")&amp;"発注)")</f>
        <v/>
      </c>
      <c r="I39">
        <f>IF(SUMIFS(T_PlannedOrders[EffectiveQty],T_PlannedOrders[Part Name],$A17,T_PlannedOrders[WeekIndex],6)=0,"",SUMIFS(T_PlannedOrders[EffectiveQty],T_PlannedOrders[Part Name],$A17,T_PlannedOrders[WeekIndex],6)&amp;" ("&amp;TEXT(SUMPRODUCT(MAX((T_PlannedOrders[Part Name]=$A17)*(T_PlannedOrders[WeekIndex]=6)*(T_PlannedOrders[EffectiveQty]&gt;0)*T_PlannedOrders[Order_Month])),"m月")&amp;"発注)")</f>
        <v/>
      </c>
      <c r="J39">
        <f>IF(SUMIFS(T_PlannedOrders[EffectiveQty],T_PlannedOrders[Part Name],$A17,T_PlannedOrders[WeekIndex],7)=0,"",SUMIFS(T_PlannedOrders[EffectiveQty],T_PlannedOrders[Part Name],$A17,T_PlannedOrders[WeekIndex],7)&amp;" ("&amp;TEXT(SUMPRODUCT(MAX((T_PlannedOrders[Part Name]=$A17)*(T_PlannedOrders[WeekIndex]=7)*(T_PlannedOrders[EffectiveQty]&gt;0)*T_PlannedOrders[Order_Month])),"m月")&amp;"発注)")</f>
        <v/>
      </c>
      <c r="K39">
        <f>IF(SUMIFS(T_PlannedOrders[EffectiveQty],T_PlannedOrders[Part Name],$A17,T_PlannedOrders[WeekIndex],8)=0,"",SUMIFS(T_PlannedOrders[EffectiveQty],T_PlannedOrders[Part Name],$A17,T_PlannedOrders[WeekIndex],8)&amp;" ("&amp;TEXT(SUMPRODUCT(MAX((T_PlannedOrders[Part Name]=$A17)*(T_PlannedOrders[WeekIndex]=8)*(T_PlannedOrders[EffectiveQty]&gt;0)*T_PlannedOrders[Order_Month])),"m月")&amp;"発注)")</f>
        <v/>
      </c>
      <c r="L39">
        <f>IF(SUMIFS(T_PlannedOrders[EffectiveQty],T_PlannedOrders[Part Name],$A17,T_PlannedOrders[WeekIndex],9)=0,"",SUMIFS(T_PlannedOrders[EffectiveQty],T_PlannedOrders[Part Name],$A17,T_PlannedOrders[WeekIndex],9)&amp;" ("&amp;TEXT(SUMPRODUCT(MAX((T_PlannedOrders[Part Name]=$A17)*(T_PlannedOrders[WeekIndex]=9)*(T_PlannedOrders[EffectiveQty]&gt;0)*T_PlannedOrders[Order_Month])),"m月")&amp;"発注)")</f>
        <v/>
      </c>
      <c r="M39">
        <f>IF(SUMIFS(T_PlannedOrders[EffectiveQty],T_PlannedOrders[Part Name],$A17,T_PlannedOrders[WeekIndex],10)=0,"",SUMIFS(T_PlannedOrders[EffectiveQty],T_PlannedOrders[Part Name],$A17,T_PlannedOrders[WeekIndex],10)&amp;" ("&amp;TEXT(SUMPRODUCT(MAX((T_PlannedOrders[Part Name]=$A17)*(T_PlannedOrders[WeekIndex]=10)*(T_PlannedOrders[EffectiveQty]&gt;0)*T_PlannedOrders[Order_Month])),"m月")&amp;"発注)")</f>
        <v/>
      </c>
      <c r="N39">
        <f>IF(SUMIFS(T_PlannedOrders[EffectiveQty],T_PlannedOrders[Part Name],$A17,T_PlannedOrders[WeekIndex],11)=0,"",SUMIFS(T_PlannedOrders[EffectiveQty],T_PlannedOrders[Part Name],$A17,T_PlannedOrders[WeekIndex],11)&amp;" ("&amp;TEXT(SUMPRODUCT(MAX((T_PlannedOrders[Part Name]=$A17)*(T_PlannedOrders[WeekIndex]=11)*(T_PlannedOrders[EffectiveQty]&gt;0)*T_PlannedOrders[Order_Month])),"m月")&amp;"発注)")</f>
        <v/>
      </c>
      <c r="O39">
        <f>IF(SUMIFS(T_PlannedOrders[EffectiveQty],T_PlannedOrders[Part Name],$A17,T_PlannedOrders[WeekIndex],12)=0,"",SUMIFS(T_PlannedOrders[EffectiveQty],T_PlannedOrders[Part Name],$A17,T_PlannedOrders[WeekIndex],12)&amp;" ("&amp;TEXT(SUMPRODUCT(MAX((T_PlannedOrders[Part Name]=$A17)*(T_PlannedOrders[WeekIndex]=12)*(T_PlannedOrders[EffectiveQty]&gt;0)*T_PlannedOrders[Order_Month])),"m月")&amp;"発注)")</f>
        <v/>
      </c>
      <c r="P39">
        <f>IF(SUMIFS(T_PlannedOrders[EffectiveQty],T_PlannedOrders[Part Name],$A17,T_PlannedOrders[WeekIndex],13)=0,"",SUMIFS(T_PlannedOrders[EffectiveQty],T_PlannedOrders[Part Name],$A17,T_PlannedOrders[WeekIndex],13)&amp;" ("&amp;TEXT(SUMPRODUCT(MAX((T_PlannedOrders[Part Name]=$A17)*(T_PlannedOrders[WeekIndex]=13)*(T_PlannedOrders[EffectiveQty]&gt;0)*T_PlannedOrders[Order_Month])),"m月")&amp;"発注)")</f>
        <v/>
      </c>
      <c r="Q39">
        <f>IF(SUMIFS(T_PlannedOrders[EffectiveQty],T_PlannedOrders[Part Name],$A17,T_PlannedOrders[WeekIndex],14)=0,"",SUMIFS(T_PlannedOrders[EffectiveQty],T_PlannedOrders[Part Name],$A17,T_PlannedOrders[WeekIndex],14)&amp;" ("&amp;TEXT(SUMPRODUCT(MAX((T_PlannedOrders[Part Name]=$A17)*(T_PlannedOrders[WeekIndex]=14)*(T_PlannedOrders[EffectiveQty]&gt;0)*T_PlannedOrders[Order_Month])),"m月")&amp;"発注)")</f>
        <v/>
      </c>
      <c r="R39">
        <f>IF(SUMIFS(T_PlannedOrders[EffectiveQty],T_PlannedOrders[Part Name],$A17,T_PlannedOrders[WeekIndex],15)=0,"",SUMIFS(T_PlannedOrders[EffectiveQty],T_PlannedOrders[Part Name],$A17,T_PlannedOrders[WeekIndex],15)&amp;" ("&amp;TEXT(SUMPRODUCT(MAX((T_PlannedOrders[Part Name]=$A17)*(T_PlannedOrders[WeekIndex]=15)*(T_PlannedOrders[EffectiveQty]&gt;0)*T_PlannedOrders[Order_Month])),"m月")&amp;"発注)")</f>
        <v/>
      </c>
      <c r="S39">
        <f>IF(SUMIFS(T_PlannedOrders[EffectiveQty],T_PlannedOrders[Part Name],$A17,T_PlannedOrders[WeekIndex],16)=0,"",SUMIFS(T_PlannedOrders[EffectiveQty],T_PlannedOrders[Part Name],$A17,T_PlannedOrders[WeekIndex],16)&amp;" ("&amp;TEXT(SUMPRODUCT(MAX((T_PlannedOrders[Part Name]=$A17)*(T_PlannedOrders[WeekIndex]=16)*(T_PlannedOrders[EffectiveQty]&gt;0)*T_PlannedOrders[Order_Month])),"m月")&amp;"発注)")</f>
        <v/>
      </c>
      <c r="T39">
        <f>IF(SUMIFS(T_PlannedOrders[EffectiveQty],T_PlannedOrders[Part Name],$A17,T_PlannedOrders[WeekIndex],17)=0,"",SUMIFS(T_PlannedOrders[EffectiveQty],T_PlannedOrders[Part Name],$A17,T_PlannedOrders[WeekIndex],17)&amp;" ("&amp;TEXT(SUMPRODUCT(MAX((T_PlannedOrders[Part Name]=$A17)*(T_PlannedOrders[WeekIndex]=17)*(T_PlannedOrders[EffectiveQty]&gt;0)*T_PlannedOrders[Order_Month])),"m月")&amp;"発注)")</f>
        <v/>
      </c>
      <c r="U39">
        <f>IF(SUMIFS(T_PlannedOrders[EffectiveQty],T_PlannedOrders[Part Name],$A17,T_PlannedOrders[WeekIndex],18)=0,"",SUMIFS(T_PlannedOrders[EffectiveQty],T_PlannedOrders[Part Name],$A17,T_PlannedOrders[WeekIndex],18)&amp;" ("&amp;TEXT(SUMPRODUCT(MAX((T_PlannedOrders[Part Name]=$A17)*(T_PlannedOrders[WeekIndex]=18)*(T_PlannedOrders[EffectiveQty]&gt;0)*T_PlannedOrders[Order_Month])),"m月")&amp;"発注)")</f>
        <v/>
      </c>
      <c r="V39">
        <f>IF(SUMIFS(T_PlannedOrders[EffectiveQty],T_PlannedOrders[Part Name],$A17,T_PlannedOrders[WeekIndex],19)=0,"",SUMIFS(T_PlannedOrders[EffectiveQty],T_PlannedOrders[Part Name],$A17,T_PlannedOrders[WeekIndex],19)&amp;" ("&amp;TEXT(SUMPRODUCT(MAX((T_PlannedOrders[Part Name]=$A17)*(T_PlannedOrders[WeekIndex]=19)*(T_PlannedOrders[EffectiveQty]&gt;0)*T_PlannedOrders[Order_Month])),"m月")&amp;"発注)")</f>
        <v/>
      </c>
      <c r="W39">
        <f>IF(SUMIFS(T_PlannedOrders[EffectiveQty],T_PlannedOrders[Part Name],$A17,T_PlannedOrders[WeekIndex],20)=0,"",SUMIFS(T_PlannedOrders[EffectiveQty],T_PlannedOrders[Part Name],$A17,T_PlannedOrders[WeekIndex],20)&amp;" ("&amp;TEXT(SUMPRODUCT(MAX((T_PlannedOrders[Part Name]=$A17)*(T_PlannedOrders[WeekIndex]=20)*(T_PlannedOrders[EffectiveQty]&gt;0)*T_PlannedOrders[Order_Month])),"m月")&amp;"発注)")</f>
        <v/>
      </c>
      <c r="X39">
        <f>IF(SUMIFS(T_PlannedOrders[EffectiveQty],T_PlannedOrders[Part Name],$A17,T_PlannedOrders[WeekIndex],21)=0,"",SUMIFS(T_PlannedOrders[EffectiveQty],T_PlannedOrders[Part Name],$A17,T_PlannedOrders[WeekIndex],21)&amp;" ("&amp;TEXT(SUMPRODUCT(MAX((T_PlannedOrders[Part Name]=$A17)*(T_PlannedOrders[WeekIndex]=21)*(T_PlannedOrders[EffectiveQty]&gt;0)*T_PlannedOrders[Order_Month])),"m月")&amp;"発注)")</f>
        <v/>
      </c>
      <c r="Y39">
        <f>IF(SUMIFS(T_PlannedOrders[EffectiveQty],T_PlannedOrders[Part Name],$A17,T_PlannedOrders[WeekIndex],22)=0,"",SUMIFS(T_PlannedOrders[EffectiveQty],T_PlannedOrders[Part Name],$A17,T_PlannedOrders[WeekIndex],22)&amp;" ("&amp;TEXT(SUMPRODUCT(MAX((T_PlannedOrders[Part Name]=$A17)*(T_PlannedOrders[WeekIndex]=22)*(T_PlannedOrders[EffectiveQty]&gt;0)*T_PlannedOrders[Order_Month])),"m月")&amp;"発注)")</f>
        <v/>
      </c>
      <c r="Z39">
        <f>IF(SUMIFS(T_PlannedOrders[EffectiveQty],T_PlannedOrders[Part Name],$A17,T_PlannedOrders[WeekIndex],23)=0,"",SUMIFS(T_PlannedOrders[EffectiveQty],T_PlannedOrders[Part Name],$A17,T_PlannedOrders[WeekIndex],23)&amp;" ("&amp;TEXT(SUMPRODUCT(MAX((T_PlannedOrders[Part Name]=$A17)*(T_PlannedOrders[WeekIndex]=23)*(T_PlannedOrders[EffectiveQty]&gt;0)*T_PlannedOrders[Order_Month])),"m月")&amp;"発注)")</f>
        <v/>
      </c>
      <c r="AA39">
        <f>IF(SUMIFS(T_PlannedOrders[EffectiveQty],T_PlannedOrders[Part Name],$A17,T_PlannedOrders[WeekIndex],24)=0,"",SUMIFS(T_PlannedOrders[EffectiveQty],T_PlannedOrders[Part Name],$A17,T_PlannedOrders[WeekIndex],24)&amp;" ("&amp;TEXT(SUMPRODUCT(MAX((T_PlannedOrders[Part Name]=$A17)*(T_PlannedOrders[WeekIndex]=24)*(T_PlannedOrders[EffectiveQty]&gt;0)*T_PlannedOrders[Order_Month])),"m月")&amp;"発注)")</f>
        <v/>
      </c>
      <c r="AB39">
        <f>IF(SUMIFS(T_PlannedOrders[EffectiveQty],T_PlannedOrders[Part Name],$A17,T_PlannedOrders[WeekIndex],25)=0,"",SUMIFS(T_PlannedOrders[EffectiveQty],T_PlannedOrders[Part Name],$A17,T_PlannedOrders[WeekIndex],25)&amp;" ("&amp;TEXT(SUMPRODUCT(MAX((T_PlannedOrders[Part Name]=$A17)*(T_PlannedOrders[WeekIndex]=25)*(T_PlannedOrders[EffectiveQty]&gt;0)*T_PlannedOrders[Order_Month])),"m月")&amp;"発注)")</f>
        <v/>
      </c>
      <c r="AC39">
        <f>IF(SUMIFS(T_PlannedOrders[EffectiveQty],T_PlannedOrders[Part Name],$A17,T_PlannedOrders[WeekIndex],26)=0,"",SUMIFS(T_PlannedOrders[EffectiveQty],T_PlannedOrders[Part Name],$A17,T_PlannedOrders[WeekIndex],26)&amp;" ("&amp;TEXT(SUMPRODUCT(MAX((T_PlannedOrders[Part Name]=$A17)*(T_PlannedOrders[WeekIndex]=26)*(T_PlannedOrders[EffectiveQty]&gt;0)*T_PlannedOrders[Order_Month])),"m月")&amp;"発注)")</f>
        <v/>
      </c>
      <c r="AD39">
        <f>IF(SUMIFS(T_PlannedOrders[EffectiveQty],T_PlannedOrders[Part Name],$A17,T_PlannedOrders[WeekIndex],27)=0,"",SUMIFS(T_PlannedOrders[EffectiveQty],T_PlannedOrders[Part Name],$A17,T_PlannedOrders[WeekIndex],27)&amp;" ("&amp;TEXT(SUMPRODUCT(MAX((T_PlannedOrders[Part Name]=$A17)*(T_PlannedOrders[WeekIndex]=27)*(T_PlannedOrders[EffectiveQty]&gt;0)*T_PlannedOrders[Order_Month])),"m月")&amp;"発注)")</f>
        <v/>
      </c>
      <c r="AE39">
        <f>IF(SUMIFS(T_PlannedOrders[EffectiveQty],T_PlannedOrders[Part Name],$A17,T_PlannedOrders[WeekIndex],28)=0,"",SUMIFS(T_PlannedOrders[EffectiveQty],T_PlannedOrders[Part Name],$A17,T_PlannedOrders[WeekIndex],28)&amp;" ("&amp;TEXT(SUMPRODUCT(MAX((T_PlannedOrders[Part Name]=$A17)*(T_PlannedOrders[WeekIndex]=28)*(T_PlannedOrders[EffectiveQty]&gt;0)*T_PlannedOrders[Order_Month])),"m月")&amp;"発注)")</f>
        <v/>
      </c>
      <c r="AF39">
        <f>IF(SUMIFS(T_PlannedOrders[EffectiveQty],T_PlannedOrders[Part Name],$A17,T_PlannedOrders[WeekIndex],29)=0,"",SUMIFS(T_PlannedOrders[EffectiveQty],T_PlannedOrders[Part Name],$A17,T_PlannedOrders[WeekIndex],29)&amp;" ("&amp;TEXT(SUMPRODUCT(MAX((T_PlannedOrders[Part Name]=$A17)*(T_PlannedOrders[WeekIndex]=29)*(T_PlannedOrders[EffectiveQty]&gt;0)*T_PlannedOrders[Order_Month])),"m月")&amp;"発注)")</f>
        <v/>
      </c>
      <c r="AG39">
        <f>IF(SUMIFS(T_PlannedOrders[EffectiveQty],T_PlannedOrders[Part Name],$A17,T_PlannedOrders[WeekIndex],30)=0,"",SUMIFS(T_PlannedOrders[EffectiveQty],T_PlannedOrders[Part Name],$A17,T_PlannedOrders[WeekIndex],30)&amp;" ("&amp;TEXT(SUMPRODUCT(MAX((T_PlannedOrders[Part Name]=$A17)*(T_PlannedOrders[WeekIndex]=30)*(T_PlannedOrders[EffectiveQty]&gt;0)*T_PlannedOrders[Order_Month])),"m月")&amp;"発注)")</f>
        <v/>
      </c>
      <c r="AH39">
        <f>IF(SUMIFS(T_PlannedOrders[EffectiveQty],T_PlannedOrders[Part Name],$A17,T_PlannedOrders[WeekIndex],31)=0,"",SUMIFS(T_PlannedOrders[EffectiveQty],T_PlannedOrders[Part Name],$A17,T_PlannedOrders[WeekIndex],31)&amp;" ("&amp;TEXT(SUMPRODUCT(MAX((T_PlannedOrders[Part Name]=$A17)*(T_PlannedOrders[WeekIndex]=31)*(T_PlannedOrders[EffectiveQty]&gt;0)*T_PlannedOrders[Order_Month])),"m月")&amp;"発注)")</f>
        <v/>
      </c>
      <c r="AI39">
        <f>IF(SUMIFS(T_PlannedOrders[EffectiveQty],T_PlannedOrders[Part Name],$A17,T_PlannedOrders[WeekIndex],32)=0,"",SUMIFS(T_PlannedOrders[EffectiveQty],T_PlannedOrders[Part Name],$A17,T_PlannedOrders[WeekIndex],32)&amp;" ("&amp;TEXT(SUMPRODUCT(MAX((T_PlannedOrders[Part Name]=$A17)*(T_PlannedOrders[WeekIndex]=32)*(T_PlannedOrders[EffectiveQty]&gt;0)*T_PlannedOrders[Order_Month])),"m月")&amp;"発注)")</f>
        <v/>
      </c>
      <c r="AJ39">
        <f>IF(SUMIFS(T_PlannedOrders[EffectiveQty],T_PlannedOrders[Part Name],$A17,T_PlannedOrders[WeekIndex],33)=0,"",SUMIFS(T_PlannedOrders[EffectiveQty],T_PlannedOrders[Part Name],$A17,T_PlannedOrders[WeekIndex],33)&amp;" ("&amp;TEXT(SUMPRODUCT(MAX((T_PlannedOrders[Part Name]=$A17)*(T_PlannedOrders[WeekIndex]=33)*(T_PlannedOrders[EffectiveQty]&gt;0)*T_PlannedOrders[Order_Month])),"m月")&amp;"発注)")</f>
        <v/>
      </c>
      <c r="AK39">
        <f>IF(SUMIFS(T_PlannedOrders[EffectiveQty],T_PlannedOrders[Part Name],$A17,T_PlannedOrders[WeekIndex],34)=0,"",SUMIFS(T_PlannedOrders[EffectiveQty],T_PlannedOrders[Part Name],$A17,T_PlannedOrders[WeekIndex],34)&amp;" ("&amp;TEXT(SUMPRODUCT(MAX((T_PlannedOrders[Part Name]=$A17)*(T_PlannedOrders[WeekIndex]=34)*(T_PlannedOrders[EffectiveQty]&gt;0)*T_PlannedOrders[Order_Month])),"m月")&amp;"発注)")</f>
        <v/>
      </c>
      <c r="AL39">
        <f>IF(SUMIFS(T_PlannedOrders[EffectiveQty],T_PlannedOrders[Part Name],$A17,T_PlannedOrders[WeekIndex],35)=0,"",SUMIFS(T_PlannedOrders[EffectiveQty],T_PlannedOrders[Part Name],$A17,T_PlannedOrders[WeekIndex],35)&amp;" ("&amp;TEXT(SUMPRODUCT(MAX((T_PlannedOrders[Part Name]=$A17)*(T_PlannedOrders[WeekIndex]=35)*(T_PlannedOrders[EffectiveQty]&gt;0)*T_PlannedOrders[Order_Month])),"m月")&amp;"発注)")</f>
        <v/>
      </c>
      <c r="AM39">
        <f>IF(SUMIFS(T_PlannedOrders[EffectiveQty],T_PlannedOrders[Part Name],$A17,T_PlannedOrders[WeekIndex],36)=0,"",SUMIFS(T_PlannedOrders[EffectiveQty],T_PlannedOrders[Part Name],$A17,T_PlannedOrders[WeekIndex],36)&amp;" ("&amp;TEXT(SUMPRODUCT(MAX((T_PlannedOrders[Part Name]=$A17)*(T_PlannedOrders[WeekIndex]=36)*(T_PlannedOrders[EffectiveQty]&gt;0)*T_PlannedOrders[Order_Month])),"m月")&amp;"発注)")</f>
        <v/>
      </c>
      <c r="AN39">
        <f>IF(SUMIFS(T_PlannedOrders[EffectiveQty],T_PlannedOrders[Part Name],$A17,T_PlannedOrders[WeekIndex],37)=0,"",SUMIFS(T_PlannedOrders[EffectiveQty],T_PlannedOrders[Part Name],$A17,T_PlannedOrders[WeekIndex],37)&amp;" ("&amp;TEXT(SUMPRODUCT(MAX((T_PlannedOrders[Part Name]=$A17)*(T_PlannedOrders[WeekIndex]=37)*(T_PlannedOrders[EffectiveQty]&gt;0)*T_PlannedOrders[Order_Month])),"m月")&amp;"発注)")</f>
        <v/>
      </c>
      <c r="AO39">
        <f>IF(SUMIFS(T_PlannedOrders[EffectiveQty],T_PlannedOrders[Part Name],$A17,T_PlannedOrders[WeekIndex],38)=0,"",SUMIFS(T_PlannedOrders[EffectiveQty],T_PlannedOrders[Part Name],$A17,T_PlannedOrders[WeekIndex],38)&amp;" ("&amp;TEXT(SUMPRODUCT(MAX((T_PlannedOrders[Part Name]=$A17)*(T_PlannedOrders[WeekIndex]=38)*(T_PlannedOrders[EffectiveQty]&gt;0)*T_PlannedOrders[Order_Month])),"m月")&amp;"発注)")</f>
        <v/>
      </c>
      <c r="AP39">
        <f>IF(SUMIFS(T_PlannedOrders[EffectiveQty],T_PlannedOrders[Part Name],$A17,T_PlannedOrders[WeekIndex],39)=0,"",SUMIFS(T_PlannedOrders[EffectiveQty],T_PlannedOrders[Part Name],$A17,T_PlannedOrders[WeekIndex],39)&amp;" ("&amp;TEXT(SUMPRODUCT(MAX((T_PlannedOrders[Part Name]=$A17)*(T_PlannedOrders[WeekIndex]=39)*(T_PlannedOrders[EffectiveQty]&gt;0)*T_PlannedOrders[Order_Month])),"m月")&amp;"発注)")</f>
        <v/>
      </c>
      <c r="AQ39">
        <f>IF(SUMIFS(T_PlannedOrders[EffectiveQty],T_PlannedOrders[Part Name],$A17,T_PlannedOrders[WeekIndex],40)=0,"",SUMIFS(T_PlannedOrders[EffectiveQty],T_PlannedOrders[Part Name],$A17,T_PlannedOrders[WeekIndex],40)&amp;" ("&amp;TEXT(SUMPRODUCT(MAX((T_PlannedOrders[Part Name]=$A17)*(T_PlannedOrders[WeekIndex]=40)*(T_PlannedOrders[EffectiveQty]&gt;0)*T_PlannedOrders[Order_Month])),"m月")&amp;"発注)")</f>
        <v/>
      </c>
      <c r="AR39">
        <f>IF(SUMIFS(T_PlannedOrders[EffectiveQty],T_PlannedOrders[Part Name],$A17,T_PlannedOrders[WeekIndex],41)=0,"",SUMIFS(T_PlannedOrders[EffectiveQty],T_PlannedOrders[Part Name],$A17,T_PlannedOrders[WeekIndex],41)&amp;" ("&amp;TEXT(SUMPRODUCT(MAX((T_PlannedOrders[Part Name]=$A17)*(T_PlannedOrders[WeekIndex]=41)*(T_PlannedOrders[EffectiveQty]&gt;0)*T_PlannedOrders[Order_Month])),"m月")&amp;"発注)")</f>
        <v/>
      </c>
      <c r="AS39">
        <f>IF(SUMIFS(T_PlannedOrders[EffectiveQty],T_PlannedOrders[Part Name],$A17,T_PlannedOrders[WeekIndex],42)=0,"",SUMIFS(T_PlannedOrders[EffectiveQty],T_PlannedOrders[Part Name],$A17,T_PlannedOrders[WeekIndex],42)&amp;" ("&amp;TEXT(SUMPRODUCT(MAX((T_PlannedOrders[Part Name]=$A17)*(T_PlannedOrders[WeekIndex]=42)*(T_PlannedOrders[EffectiveQty]&gt;0)*T_PlannedOrders[Order_Month])),"m月")&amp;"発注)")</f>
        <v/>
      </c>
      <c r="AT39">
        <f>IF(SUMIFS(T_PlannedOrders[EffectiveQty],T_PlannedOrders[Part Name],$A17,T_PlannedOrders[WeekIndex],43)=0,"",SUMIFS(T_PlannedOrders[EffectiveQty],T_PlannedOrders[Part Name],$A17,T_PlannedOrders[WeekIndex],43)&amp;" ("&amp;TEXT(SUMPRODUCT(MAX((T_PlannedOrders[Part Name]=$A17)*(T_PlannedOrders[WeekIndex]=43)*(T_PlannedOrders[EffectiveQty]&gt;0)*T_PlannedOrders[Order_Month])),"m月")&amp;"発注)")</f>
        <v/>
      </c>
      <c r="AU39">
        <f>IF(SUMIFS(T_PlannedOrders[EffectiveQty],T_PlannedOrders[Part Name],$A17,T_PlannedOrders[WeekIndex],44)=0,"",SUMIFS(T_PlannedOrders[EffectiveQty],T_PlannedOrders[Part Name],$A17,T_PlannedOrders[WeekIndex],44)&amp;" ("&amp;TEXT(SUMPRODUCT(MAX((T_PlannedOrders[Part Name]=$A17)*(T_PlannedOrders[WeekIndex]=44)*(T_PlannedOrders[EffectiveQty]&gt;0)*T_PlannedOrders[Order_Month])),"m月")&amp;"発注)")</f>
        <v/>
      </c>
      <c r="AV39">
        <f>IF(SUMIFS(T_PlannedOrders[EffectiveQty],T_PlannedOrders[Part Name],$A17,T_PlannedOrders[WeekIndex],45)=0,"",SUMIFS(T_PlannedOrders[EffectiveQty],T_PlannedOrders[Part Name],$A17,T_PlannedOrders[WeekIndex],45)&amp;" ("&amp;TEXT(SUMPRODUCT(MAX((T_PlannedOrders[Part Name]=$A17)*(T_PlannedOrders[WeekIndex]=45)*(T_PlannedOrders[EffectiveQty]&gt;0)*T_PlannedOrders[Order_Month])),"m月")&amp;"発注)")</f>
        <v/>
      </c>
      <c r="AW39">
        <f>IF(SUMIFS(T_PlannedOrders[EffectiveQty],T_PlannedOrders[Part Name],$A17,T_PlannedOrders[WeekIndex],46)=0,"",SUMIFS(T_PlannedOrders[EffectiveQty],T_PlannedOrders[Part Name],$A17,T_PlannedOrders[WeekIndex],46)&amp;" ("&amp;TEXT(SUMPRODUCT(MAX((T_PlannedOrders[Part Name]=$A17)*(T_PlannedOrders[WeekIndex]=46)*(T_PlannedOrders[EffectiveQty]&gt;0)*T_PlannedOrders[Order_Month])),"m月")&amp;"発注)")</f>
        <v/>
      </c>
      <c r="AX39">
        <f>IF(SUMIFS(T_PlannedOrders[EffectiveQty],T_PlannedOrders[Part Name],$A17,T_PlannedOrders[WeekIndex],47)=0,"",SUMIFS(T_PlannedOrders[EffectiveQty],T_PlannedOrders[Part Name],$A17,T_PlannedOrders[WeekIndex],47)&amp;" ("&amp;TEXT(SUMPRODUCT(MAX((T_PlannedOrders[Part Name]=$A17)*(T_PlannedOrders[WeekIndex]=47)*(T_PlannedOrders[EffectiveQty]&gt;0)*T_PlannedOrders[Order_Month])),"m月")&amp;"発注)")</f>
        <v/>
      </c>
      <c r="AY39">
        <f>IF(SUMIFS(T_PlannedOrders[EffectiveQty],T_PlannedOrders[Part Name],$A17,T_PlannedOrders[WeekIndex],48)=0,"",SUMIFS(T_PlannedOrders[EffectiveQty],T_PlannedOrders[Part Name],$A17,T_PlannedOrders[WeekIndex],48)&amp;" ("&amp;TEXT(SUMPRODUCT(MAX((T_PlannedOrders[Part Name]=$A17)*(T_PlannedOrders[WeekIndex]=48)*(T_PlannedOrders[EffectiveQty]&gt;0)*T_PlannedOrders[Order_Month])),"m月")&amp;"発注)")</f>
        <v/>
      </c>
      <c r="AZ39">
        <f>IF(SUMIFS(T_PlannedOrders[EffectiveQty],T_PlannedOrders[Part Name],$A17,T_PlannedOrders[WeekIndex],49)=0,"",SUMIFS(T_PlannedOrders[EffectiveQty],T_PlannedOrders[Part Name],$A17,T_PlannedOrders[WeekIndex],49)&amp;" ("&amp;TEXT(SUMPRODUCT(MAX((T_PlannedOrders[Part Name]=$A17)*(T_PlannedOrders[WeekIndex]=49)*(T_PlannedOrders[EffectiveQty]&gt;0)*T_PlannedOrders[Order_Month])),"m月")&amp;"発注)")</f>
        <v/>
      </c>
      <c r="BA39">
        <f>IF(SUMIFS(T_PlannedOrders[EffectiveQty],T_PlannedOrders[Part Name],$A17,T_PlannedOrders[WeekIndex],50)=0,"",SUMIFS(T_PlannedOrders[EffectiveQty],T_PlannedOrders[Part Name],$A17,T_PlannedOrders[WeekIndex],50)&amp;" ("&amp;TEXT(SUMPRODUCT(MAX((T_PlannedOrders[Part Name]=$A17)*(T_PlannedOrders[WeekIndex]=50)*(T_PlannedOrders[EffectiveQty]&gt;0)*T_PlannedOrders[Order_Month])),"m月")&amp;"発注)")</f>
        <v/>
      </c>
      <c r="BB39">
        <f>IF(SUMIFS(T_PlannedOrders[EffectiveQty],T_PlannedOrders[Part Name],$A17,T_PlannedOrders[WeekIndex],51)=0,"",SUMIFS(T_PlannedOrders[EffectiveQty],T_PlannedOrders[Part Name],$A17,T_PlannedOrders[WeekIndex],51)&amp;" ("&amp;TEXT(SUMPRODUCT(MAX((T_PlannedOrders[Part Name]=$A17)*(T_PlannedOrders[WeekIndex]=51)*(T_PlannedOrders[EffectiveQty]&gt;0)*T_PlannedOrders[Order_Month])),"m月")&amp;"発注)")</f>
        <v/>
      </c>
      <c r="BC39">
        <f>IF(SUMIFS(T_PlannedOrders[EffectiveQty],T_PlannedOrders[Part Name],$A17,T_PlannedOrders[WeekIndex],52)=0,"",SUMIFS(T_PlannedOrders[EffectiveQty],T_PlannedOrders[Part Name],$A17,T_PlannedOrders[WeekIndex],52)&amp;" ("&amp;TEXT(SUMPRODUCT(MAX((T_PlannedOrders[Part Name]=$A17)*(T_PlannedOrders[WeekIndex]=52)*(T_PlannedOrders[EffectiveQty]&gt;0)*T_PlannedOrders[Order_Month])),"m月")&amp;"発注)")</f>
        <v/>
      </c>
      <c r="BD39">
        <f>IF(SUMIFS(T_PlannedOrders[EffectiveQty],T_PlannedOrders[Part Name],$A17,T_PlannedOrders[WeekIndex],53)=0,"",SUMIFS(T_PlannedOrders[EffectiveQty],T_PlannedOrders[Part Name],$A17,T_PlannedOrders[WeekIndex],53)&amp;" ("&amp;TEXT(SUMPRODUCT(MAX((T_PlannedOrders[Part Name]=$A17)*(T_PlannedOrders[WeekIndex]=53)*(T_PlannedOrders[EffectiveQty]&gt;0)*T_PlannedOrders[Order_Month])),"m月")&amp;"発注)")</f>
        <v/>
      </c>
      <c r="BE39">
        <f>IF(SUMIFS(T_PlannedOrders[EffectiveQty],T_PlannedOrders[Part Name],$A17,T_PlannedOrders[WeekIndex],54)=0,"",SUMIFS(T_PlannedOrders[EffectiveQty],T_PlannedOrders[Part Name],$A17,T_PlannedOrders[WeekIndex],54)&amp;" ("&amp;TEXT(SUMPRODUCT(MAX((T_PlannedOrders[Part Name]=$A17)*(T_PlannedOrders[WeekIndex]=54)*(T_PlannedOrders[EffectiveQty]&gt;0)*T_PlannedOrders[Order_Month])),"m月")&amp;"発注)")</f>
        <v/>
      </c>
      <c r="BF39">
        <f>IF(SUMIFS(T_PlannedOrders[EffectiveQty],T_PlannedOrders[Part Name],$A17,T_PlannedOrders[WeekIndex],55)=0,"",SUMIFS(T_PlannedOrders[EffectiveQty],T_PlannedOrders[Part Name],$A17,T_PlannedOrders[WeekIndex],55)&amp;" ("&amp;TEXT(SUMPRODUCT(MAX((T_PlannedOrders[Part Name]=$A17)*(T_PlannedOrders[WeekIndex]=55)*(T_PlannedOrders[EffectiveQty]&gt;0)*T_PlannedOrders[Order_Month])),"m月")&amp;"発注)")</f>
        <v/>
      </c>
      <c r="BG39">
        <f>IF(SUMIFS(T_PlannedOrders[EffectiveQty],T_PlannedOrders[Part Name],$A17,T_PlannedOrders[WeekIndex],56)=0,"",SUMIFS(T_PlannedOrders[EffectiveQty],T_PlannedOrders[Part Name],$A17,T_PlannedOrders[WeekIndex],56)&amp;" ("&amp;TEXT(SUMPRODUCT(MAX((T_PlannedOrders[Part Name]=$A17)*(T_PlannedOrders[WeekIndex]=56)*(T_PlannedOrders[EffectiveQty]&gt;0)*T_PlannedOrders[Order_Month])),"m月")&amp;"発注)")</f>
        <v/>
      </c>
      <c r="BH39">
        <f>IF(SUMIFS(T_PlannedOrders[EffectiveQty],T_PlannedOrders[Part Name],$A17,T_PlannedOrders[WeekIndex],57)=0,"",SUMIFS(T_PlannedOrders[EffectiveQty],T_PlannedOrders[Part Name],$A17,T_PlannedOrders[WeekIndex],57)&amp;" ("&amp;TEXT(SUMPRODUCT(MAX((T_PlannedOrders[Part Name]=$A17)*(T_PlannedOrders[WeekIndex]=57)*(T_PlannedOrders[EffectiveQty]&gt;0)*T_PlannedOrders[Order_Month])),"m月")&amp;"発注)")</f>
        <v/>
      </c>
      <c r="BI39">
        <f>IF(SUMIFS(T_PlannedOrders[EffectiveQty],T_PlannedOrders[Part Name],$A17,T_PlannedOrders[WeekIndex],58)=0,"",SUMIFS(T_PlannedOrders[EffectiveQty],T_PlannedOrders[Part Name],$A17,T_PlannedOrders[WeekIndex],58)&amp;" ("&amp;TEXT(SUMPRODUCT(MAX((T_PlannedOrders[Part Name]=$A17)*(T_PlannedOrders[WeekIndex]=58)*(T_PlannedOrders[EffectiveQty]&gt;0)*T_PlannedOrders[Order_Month])),"m月")&amp;"発注)")</f>
        <v/>
      </c>
      <c r="BJ39">
        <f>IF(SUMIFS(T_PlannedOrders[EffectiveQty],T_PlannedOrders[Part Name],$A17,T_PlannedOrders[WeekIndex],59)=0,"",SUMIFS(T_PlannedOrders[EffectiveQty],T_PlannedOrders[Part Name],$A17,T_PlannedOrders[WeekIndex],59)&amp;" ("&amp;TEXT(SUMPRODUCT(MAX((T_PlannedOrders[Part Name]=$A17)*(T_PlannedOrders[WeekIndex]=59)*(T_PlannedOrders[EffectiveQty]&gt;0)*T_PlannedOrders[Order_Month])),"m月")&amp;"発注)")</f>
        <v/>
      </c>
      <c r="BK39">
        <f>IF(SUMIFS(T_PlannedOrders[EffectiveQty],T_PlannedOrders[Part Name],$A17,T_PlannedOrders[WeekIndex],60)=0,"",SUMIFS(T_PlannedOrders[EffectiveQty],T_PlannedOrders[Part Name],$A17,T_PlannedOrders[WeekIndex],60)&amp;" ("&amp;TEXT(SUMPRODUCT(MAX((T_PlannedOrders[Part Name]=$A17)*(T_PlannedOrders[WeekIndex]=60)*(T_PlannedOrders[EffectiveQty]&gt;0)*T_PlannedOrders[Order_Month])),"m月")&amp;"発注)")</f>
        <v/>
      </c>
      <c r="BL39">
        <f>IF(SUMIFS(T_PlannedOrders[EffectiveQty],T_PlannedOrders[Part Name],$A17,T_PlannedOrders[WeekIndex],61)=0,"",SUMIFS(T_PlannedOrders[EffectiveQty],T_PlannedOrders[Part Name],$A17,T_PlannedOrders[WeekIndex],61)&amp;" ("&amp;TEXT(SUMPRODUCT(MAX((T_PlannedOrders[Part Name]=$A17)*(T_PlannedOrders[WeekIndex]=61)*(T_PlannedOrders[EffectiveQty]&gt;0)*T_PlannedOrders[Order_Month])),"m月")&amp;"発注)")</f>
        <v/>
      </c>
      <c r="BM39">
        <f>IF(SUMIFS(T_PlannedOrders[EffectiveQty],T_PlannedOrders[Part Name],$A17,T_PlannedOrders[WeekIndex],62)=0,"",SUMIFS(T_PlannedOrders[EffectiveQty],T_PlannedOrders[Part Name],$A17,T_PlannedOrders[WeekIndex],62)&amp;" ("&amp;TEXT(SUMPRODUCT(MAX((T_PlannedOrders[Part Name]=$A17)*(T_PlannedOrders[WeekIndex]=62)*(T_PlannedOrders[EffectiveQty]&gt;0)*T_PlannedOrders[Order_Month])),"m月")&amp;"発注)")</f>
        <v/>
      </c>
      <c r="BN39">
        <f>IF(SUMIFS(T_PlannedOrders[EffectiveQty],T_PlannedOrders[Part Name],$A17,T_PlannedOrders[WeekIndex],63)=0,"",SUMIFS(T_PlannedOrders[EffectiveQty],T_PlannedOrders[Part Name],$A17,T_PlannedOrders[WeekIndex],63)&amp;" ("&amp;TEXT(SUMPRODUCT(MAX((T_PlannedOrders[Part Name]=$A17)*(T_PlannedOrders[WeekIndex]=63)*(T_PlannedOrders[EffectiveQty]&gt;0)*T_PlannedOrders[Order_Month])),"m月")&amp;"発注)")</f>
        <v/>
      </c>
      <c r="BO39">
        <f>IF(SUMIFS(T_PlannedOrders[EffectiveQty],T_PlannedOrders[Part Name],$A17,T_PlannedOrders[WeekIndex],64)=0,"",SUMIFS(T_PlannedOrders[EffectiveQty],T_PlannedOrders[Part Name],$A17,T_PlannedOrders[WeekIndex],64)&amp;" ("&amp;TEXT(SUMPRODUCT(MAX((T_PlannedOrders[Part Name]=$A17)*(T_PlannedOrders[WeekIndex]=64)*(T_PlannedOrders[EffectiveQty]&gt;0)*T_PlannedOrders[Order_Month])),"m月")&amp;"発注)")</f>
        <v/>
      </c>
      <c r="BP39">
        <f>IF(SUMIFS(T_PlannedOrders[EffectiveQty],T_PlannedOrders[Part Name],$A17,T_PlannedOrders[WeekIndex],65)=0,"",SUMIFS(T_PlannedOrders[EffectiveQty],T_PlannedOrders[Part Name],$A17,T_PlannedOrders[WeekIndex],65)&amp;" ("&amp;TEXT(SUMPRODUCT(MAX((T_PlannedOrders[Part Name]=$A17)*(T_PlannedOrders[WeekIndex]=65)*(T_PlannedOrders[EffectiveQty]&gt;0)*T_PlannedOrders[Order_Month])),"m月")&amp;"発注)")</f>
        <v/>
      </c>
      <c r="BQ39">
        <f>IF(SUMIFS(T_PlannedOrders[EffectiveQty],T_PlannedOrders[Part Name],$A17,T_PlannedOrders[WeekIndex],66)=0,"",SUMIFS(T_PlannedOrders[EffectiveQty],T_PlannedOrders[Part Name],$A17,T_PlannedOrders[WeekIndex],66)&amp;" ("&amp;TEXT(SUMPRODUCT(MAX((T_PlannedOrders[Part Name]=$A17)*(T_PlannedOrders[WeekIndex]=66)*(T_PlannedOrders[EffectiveQty]&gt;0)*T_PlannedOrders[Order_Month])),"m月")&amp;"発注)")</f>
        <v/>
      </c>
      <c r="BR39">
        <f>IF(SUMIFS(T_PlannedOrders[EffectiveQty],T_PlannedOrders[Part Name],$A17,T_PlannedOrders[WeekIndex],67)=0,"",SUMIFS(T_PlannedOrders[EffectiveQty],T_PlannedOrders[Part Name],$A17,T_PlannedOrders[WeekIndex],67)&amp;" ("&amp;TEXT(SUMPRODUCT(MAX((T_PlannedOrders[Part Name]=$A17)*(T_PlannedOrders[WeekIndex]=67)*(T_PlannedOrders[EffectiveQty]&gt;0)*T_PlannedOrders[Order_Month])),"m月")&amp;"発注)")</f>
        <v/>
      </c>
      <c r="BS39">
        <f>IF(SUMIFS(T_PlannedOrders[EffectiveQty],T_PlannedOrders[Part Name],$A17,T_PlannedOrders[WeekIndex],68)=0,"",SUMIFS(T_PlannedOrders[EffectiveQty],T_PlannedOrders[Part Name],$A17,T_PlannedOrders[WeekIndex],68)&amp;" ("&amp;TEXT(SUMPRODUCT(MAX((T_PlannedOrders[Part Name]=$A17)*(T_PlannedOrders[WeekIndex]=68)*(T_PlannedOrders[EffectiveQty]&gt;0)*T_PlannedOrders[Order_Month])),"m月")&amp;"発注)")</f>
        <v/>
      </c>
      <c r="BT39">
        <f>IF(SUMIFS(T_PlannedOrders[EffectiveQty],T_PlannedOrders[Part Name],$A17,T_PlannedOrders[WeekIndex],69)=0,"",SUMIFS(T_PlannedOrders[EffectiveQty],T_PlannedOrders[Part Name],$A17,T_PlannedOrders[WeekIndex],69)&amp;" ("&amp;TEXT(SUMPRODUCT(MAX((T_PlannedOrders[Part Name]=$A17)*(T_PlannedOrders[WeekIndex]=69)*(T_PlannedOrders[EffectiveQty]&gt;0)*T_PlannedOrders[Order_Month])),"m月")&amp;"発注)")</f>
        <v/>
      </c>
      <c r="BU39">
        <f>IF(SUMIFS(T_PlannedOrders[EffectiveQty],T_PlannedOrders[Part Name],$A17,T_PlannedOrders[WeekIndex],70)=0,"",SUMIFS(T_PlannedOrders[EffectiveQty],T_PlannedOrders[Part Name],$A17,T_PlannedOrders[WeekIndex],70)&amp;" ("&amp;TEXT(SUMPRODUCT(MAX((T_PlannedOrders[Part Name]=$A17)*(T_PlannedOrders[WeekIndex]=70)*(T_PlannedOrders[EffectiveQty]&gt;0)*T_PlannedOrders[Order_Month])),"m月")&amp;"発注)")</f>
        <v/>
      </c>
      <c r="BV39">
        <f>IF(SUMIFS(T_PlannedOrders[EffectiveQty],T_PlannedOrders[Part Name],$A17,T_PlannedOrders[WeekIndex],71)=0,"",SUMIFS(T_PlannedOrders[EffectiveQty],T_PlannedOrders[Part Name],$A17,T_PlannedOrders[WeekIndex],71)&amp;" ("&amp;TEXT(SUMPRODUCT(MAX((T_PlannedOrders[Part Name]=$A17)*(T_PlannedOrders[WeekIndex]=71)*(T_PlannedOrders[EffectiveQty]&gt;0)*T_PlannedOrders[Order_Month])),"m月")&amp;"発注)")</f>
        <v/>
      </c>
      <c r="BW39">
        <f>IF(SUMIFS(T_PlannedOrders[EffectiveQty],T_PlannedOrders[Part Name],$A17,T_PlannedOrders[WeekIndex],72)=0,"",SUMIFS(T_PlannedOrders[EffectiveQty],T_PlannedOrders[Part Name],$A17,T_PlannedOrders[WeekIndex],72)&amp;" ("&amp;TEXT(SUMPRODUCT(MAX((T_PlannedOrders[Part Name]=$A17)*(T_PlannedOrders[WeekIndex]=72)*(T_PlannedOrders[EffectiveQty]&gt;0)*T_PlannedOrders[Order_Month])),"m月")&amp;"発注)")</f>
        <v/>
      </c>
      <c r="BX39">
        <f>IF(SUMIFS(T_PlannedOrders[EffectiveQty],T_PlannedOrders[Part Name],$A17,T_PlannedOrders[WeekIndex],73)=0,"",SUMIFS(T_PlannedOrders[EffectiveQty],T_PlannedOrders[Part Name],$A17,T_PlannedOrders[WeekIndex],73)&amp;" ("&amp;TEXT(SUMPRODUCT(MAX((T_PlannedOrders[Part Name]=$A17)*(T_PlannedOrders[WeekIndex]=73)*(T_PlannedOrders[EffectiveQty]&gt;0)*T_PlannedOrders[Order_Month])),"m月")&amp;"発注)")</f>
        <v/>
      </c>
      <c r="BY39">
        <f>IF(SUMIFS(T_PlannedOrders[EffectiveQty],T_PlannedOrders[Part Name],$A17,T_PlannedOrders[WeekIndex],74)=0,"",SUMIFS(T_PlannedOrders[EffectiveQty],T_PlannedOrders[Part Name],$A17,T_PlannedOrders[WeekIndex],74)&amp;" ("&amp;TEXT(SUMPRODUCT(MAX((T_PlannedOrders[Part Name]=$A17)*(T_PlannedOrders[WeekIndex]=74)*(T_PlannedOrders[EffectiveQty]&gt;0)*T_PlannedOrders[Order_Month])),"m月")&amp;"発注)")</f>
        <v/>
      </c>
      <c r="BZ39">
        <f>IF(SUMIFS(T_PlannedOrders[EffectiveQty],T_PlannedOrders[Part Name],$A17,T_PlannedOrders[WeekIndex],75)=0,"",SUMIFS(T_PlannedOrders[EffectiveQty],T_PlannedOrders[Part Name],$A17,T_PlannedOrders[WeekIndex],75)&amp;" ("&amp;TEXT(SUMPRODUCT(MAX((T_PlannedOrders[Part Name]=$A17)*(T_PlannedOrders[WeekIndex]=75)*(T_PlannedOrders[EffectiveQty]&gt;0)*T_PlannedOrders[Order_Month])),"m月")&amp;"発注)")</f>
        <v/>
      </c>
      <c r="CA39">
        <f>IF(SUMIFS(T_PlannedOrders[EffectiveQty],T_PlannedOrders[Part Name],$A17,T_PlannedOrders[WeekIndex],76)=0,"",SUMIFS(T_PlannedOrders[EffectiveQty],T_PlannedOrders[Part Name],$A17,T_PlannedOrders[WeekIndex],76)&amp;" ("&amp;TEXT(SUMPRODUCT(MAX((T_PlannedOrders[Part Name]=$A17)*(T_PlannedOrders[WeekIndex]=76)*(T_PlannedOrders[EffectiveQty]&gt;0)*T_PlannedOrders[Order_Month])),"m月")&amp;"発注)")</f>
        <v/>
      </c>
      <c r="CB39">
        <f>IF(SUMIFS(T_PlannedOrders[EffectiveQty],T_PlannedOrders[Part Name],$A17,T_PlannedOrders[WeekIndex],77)=0,"",SUMIFS(T_PlannedOrders[EffectiveQty],T_PlannedOrders[Part Name],$A17,T_PlannedOrders[WeekIndex],77)&amp;" ("&amp;TEXT(SUMPRODUCT(MAX((T_PlannedOrders[Part Name]=$A17)*(T_PlannedOrders[WeekIndex]=77)*(T_PlannedOrders[EffectiveQty]&gt;0)*T_PlannedOrders[Order_Month])),"m月")&amp;"発注)")</f>
        <v/>
      </c>
      <c r="CC39">
        <f>IF(SUMIFS(T_PlannedOrders[EffectiveQty],T_PlannedOrders[Part Name],$A17,T_PlannedOrders[WeekIndex],78)=0,"",SUMIFS(T_PlannedOrders[EffectiveQty],T_PlannedOrders[Part Name],$A17,T_PlannedOrders[WeekIndex],78)&amp;" ("&amp;TEXT(SUMPRODUCT(MAX((T_PlannedOrders[Part Name]=$A17)*(T_PlannedOrders[WeekIndex]=78)*(T_PlannedOrders[EffectiveQty]&gt;0)*T_PlannedOrders[Order_Month])),"m月")&amp;"発注)")</f>
        <v/>
      </c>
      <c r="CD39">
        <f>IF(SUMIFS(T_PlannedOrders[EffectiveQty],T_PlannedOrders[Part Name],$A17,T_PlannedOrders[WeekIndex],79)=0,"",SUMIFS(T_PlannedOrders[EffectiveQty],T_PlannedOrders[Part Name],$A17,T_PlannedOrders[WeekIndex],79)&amp;" ("&amp;TEXT(SUMPRODUCT(MAX((T_PlannedOrders[Part Name]=$A17)*(T_PlannedOrders[WeekIndex]=79)*(T_PlannedOrders[EffectiveQty]&gt;0)*T_PlannedOrders[Order_Month])),"m月")&amp;"発注)")</f>
        <v/>
      </c>
      <c r="CE39">
        <f>IF(SUMIFS(T_PlannedOrders[EffectiveQty],T_PlannedOrders[Part Name],$A17,T_PlannedOrders[WeekIndex],80)=0,"",SUMIFS(T_PlannedOrders[EffectiveQty],T_PlannedOrders[Part Name],$A17,T_PlannedOrders[WeekIndex],80)&amp;" ("&amp;TEXT(SUMPRODUCT(MAX((T_PlannedOrders[Part Name]=$A17)*(T_PlannedOrders[WeekIndex]=80)*(T_PlannedOrders[EffectiveQty]&gt;0)*T_PlannedOrders[Order_Month])),"m月")&amp;"発注)")</f>
        <v/>
      </c>
      <c r="CF39">
        <f>IF(SUMIFS(T_PlannedOrders[EffectiveQty],T_PlannedOrders[Part Name],$A17,T_PlannedOrders[WeekIndex],81)=0,"",SUMIFS(T_PlannedOrders[EffectiveQty],T_PlannedOrders[Part Name],$A17,T_PlannedOrders[WeekIndex],81)&amp;" ("&amp;TEXT(SUMPRODUCT(MAX((T_PlannedOrders[Part Name]=$A17)*(T_PlannedOrders[WeekIndex]=81)*(T_PlannedOrders[EffectiveQty]&gt;0)*T_PlannedOrders[Order_Month])),"m月")&amp;"発注)")</f>
        <v/>
      </c>
      <c r="CG39">
        <f>IF(SUMIFS(T_PlannedOrders[EffectiveQty],T_PlannedOrders[Part Name],$A17,T_PlannedOrders[WeekIndex],82)=0,"",SUMIFS(T_PlannedOrders[EffectiveQty],T_PlannedOrders[Part Name],$A17,T_PlannedOrders[WeekIndex],82)&amp;" ("&amp;TEXT(SUMPRODUCT(MAX((T_PlannedOrders[Part Name]=$A17)*(T_PlannedOrders[WeekIndex]=82)*(T_PlannedOrders[EffectiveQty]&gt;0)*T_PlannedOrders[Order_Month])),"m月")&amp;"発注)")</f>
        <v/>
      </c>
      <c r="CH39">
        <f>IF(SUMIFS(T_PlannedOrders[EffectiveQty],T_PlannedOrders[Part Name],$A17,T_PlannedOrders[WeekIndex],83)=0,"",SUMIFS(T_PlannedOrders[EffectiveQty],T_PlannedOrders[Part Name],$A17,T_PlannedOrders[WeekIndex],83)&amp;" ("&amp;TEXT(SUMPRODUCT(MAX((T_PlannedOrders[Part Name]=$A17)*(T_PlannedOrders[WeekIndex]=83)*(T_PlannedOrders[EffectiveQty]&gt;0)*T_PlannedOrders[Order_Month])),"m月")&amp;"発注)")</f>
        <v/>
      </c>
      <c r="CI39">
        <f>IF(SUMIFS(T_PlannedOrders[EffectiveQty],T_PlannedOrders[Part Name],$A17,T_PlannedOrders[WeekIndex],84)=0,"",SUMIFS(T_PlannedOrders[EffectiveQty],T_PlannedOrders[Part Name],$A17,T_PlannedOrders[WeekIndex],84)&amp;" ("&amp;TEXT(SUMPRODUCT(MAX((T_PlannedOrders[Part Name]=$A17)*(T_PlannedOrders[WeekIndex]=84)*(T_PlannedOrders[EffectiveQty]&gt;0)*T_PlannedOrders[Order_Month])),"m月")&amp;"発注)")</f>
        <v/>
      </c>
      <c r="CJ39">
        <f>IF(SUMIFS(T_PlannedOrders[EffectiveQty],T_PlannedOrders[Part Name],$A17,T_PlannedOrders[WeekIndex],85)=0,"",SUMIFS(T_PlannedOrders[EffectiveQty],T_PlannedOrders[Part Name],$A17,T_PlannedOrders[WeekIndex],85)&amp;" ("&amp;TEXT(SUMPRODUCT(MAX((T_PlannedOrders[Part Name]=$A17)*(T_PlannedOrders[WeekIndex]=85)*(T_PlannedOrders[EffectiveQty]&gt;0)*T_PlannedOrders[Order_Month])),"m月")&amp;"発注)")</f>
        <v/>
      </c>
      <c r="CK39">
        <f>IF(SUMIFS(T_PlannedOrders[EffectiveQty],T_PlannedOrders[Part Name],$A17,T_PlannedOrders[WeekIndex],86)=0,"",SUMIFS(T_PlannedOrders[EffectiveQty],T_PlannedOrders[Part Name],$A17,T_PlannedOrders[WeekIndex],86)&amp;" ("&amp;TEXT(SUMPRODUCT(MAX((T_PlannedOrders[Part Name]=$A17)*(T_PlannedOrders[WeekIndex]=86)*(T_PlannedOrders[EffectiveQty]&gt;0)*T_PlannedOrders[Order_Month])),"m月")&amp;"発注)")</f>
        <v/>
      </c>
      <c r="CL39">
        <f>IF(SUMIFS(T_PlannedOrders[EffectiveQty],T_PlannedOrders[Part Name],$A17,T_PlannedOrders[WeekIndex],87)=0,"",SUMIFS(T_PlannedOrders[EffectiveQty],T_PlannedOrders[Part Name],$A17,T_PlannedOrders[WeekIndex],87)&amp;" ("&amp;TEXT(SUMPRODUCT(MAX((T_PlannedOrders[Part Name]=$A17)*(T_PlannedOrders[WeekIndex]=87)*(T_PlannedOrders[EffectiveQty]&gt;0)*T_PlannedOrders[Order_Month])),"m月")&amp;"発注)")</f>
        <v/>
      </c>
      <c r="CM39">
        <f>IF(SUMIFS(T_PlannedOrders[EffectiveQty],T_PlannedOrders[Part Name],$A17,T_PlannedOrders[WeekIndex],88)=0,"",SUMIFS(T_PlannedOrders[EffectiveQty],T_PlannedOrders[Part Name],$A17,T_PlannedOrders[WeekIndex],88)&amp;" ("&amp;TEXT(SUMPRODUCT(MAX((T_PlannedOrders[Part Name]=$A17)*(T_PlannedOrders[WeekIndex]=88)*(T_PlannedOrders[EffectiveQty]&gt;0)*T_PlannedOrders[Order_Month])),"m月")&amp;"発注)")</f>
        <v/>
      </c>
      <c r="CN39">
        <f>IF(SUMIFS(T_PlannedOrders[EffectiveQty],T_PlannedOrders[Part Name],$A17,T_PlannedOrders[WeekIndex],89)=0,"",SUMIFS(T_PlannedOrders[EffectiveQty],T_PlannedOrders[Part Name],$A17,T_PlannedOrders[WeekIndex],89)&amp;" ("&amp;TEXT(SUMPRODUCT(MAX((T_PlannedOrders[Part Name]=$A17)*(T_PlannedOrders[WeekIndex]=89)*(T_PlannedOrders[EffectiveQty]&gt;0)*T_PlannedOrders[Order_Month])),"m月")&amp;"発注)")</f>
        <v/>
      </c>
      <c r="CO39">
        <f>IF(SUMIFS(T_PlannedOrders[EffectiveQty],T_PlannedOrders[Part Name],$A17,T_PlannedOrders[WeekIndex],90)=0,"",SUMIFS(T_PlannedOrders[EffectiveQty],T_PlannedOrders[Part Name],$A17,T_PlannedOrders[WeekIndex],90)&amp;" ("&amp;TEXT(SUMPRODUCT(MAX((T_PlannedOrders[Part Name]=$A17)*(T_PlannedOrders[WeekIndex]=90)*(T_PlannedOrders[EffectiveQty]&gt;0)*T_PlannedOrders[Order_Month])),"m月")&amp;"発注)")</f>
        <v/>
      </c>
      <c r="CP39">
        <f>IF(SUMIFS(T_PlannedOrders[EffectiveQty],T_PlannedOrders[Part Name],$A17,T_PlannedOrders[WeekIndex],91)=0,"",SUMIFS(T_PlannedOrders[EffectiveQty],T_PlannedOrders[Part Name],$A17,T_PlannedOrders[WeekIndex],91)&amp;" ("&amp;TEXT(SUMPRODUCT(MAX((T_PlannedOrders[Part Name]=$A17)*(T_PlannedOrders[WeekIndex]=91)*(T_PlannedOrders[EffectiveQty]&gt;0)*T_PlannedOrders[Order_Month])),"m月")&amp;"発注)")</f>
        <v/>
      </c>
      <c r="CQ39">
        <f>IF(SUMIFS(T_PlannedOrders[EffectiveQty],T_PlannedOrders[Part Name],$A17,T_PlannedOrders[WeekIndex],92)=0,"",SUMIFS(T_PlannedOrders[EffectiveQty],T_PlannedOrders[Part Name],$A17,T_PlannedOrders[WeekIndex],92)&amp;" ("&amp;TEXT(SUMPRODUCT(MAX((T_PlannedOrders[Part Name]=$A17)*(T_PlannedOrders[WeekIndex]=92)*(T_PlannedOrders[EffectiveQty]&gt;0)*T_PlannedOrders[Order_Month])),"m月")&amp;"発注)")</f>
        <v/>
      </c>
      <c r="CR39">
        <f>IF(SUMIFS(T_PlannedOrders[EffectiveQty],T_PlannedOrders[Part Name],$A17,T_PlannedOrders[WeekIndex],93)=0,"",SUMIFS(T_PlannedOrders[EffectiveQty],T_PlannedOrders[Part Name],$A17,T_PlannedOrders[WeekIndex],93)&amp;" ("&amp;TEXT(SUMPRODUCT(MAX((T_PlannedOrders[Part Name]=$A17)*(T_PlannedOrders[WeekIndex]=93)*(T_PlannedOrders[EffectiveQty]&gt;0)*T_PlannedOrders[Order_Month])),"m月")&amp;"発注)")</f>
        <v/>
      </c>
      <c r="CS39">
        <f>IF(SUMIFS(T_PlannedOrders[EffectiveQty],T_PlannedOrders[Part Name],$A17,T_PlannedOrders[WeekIndex],94)=0,"",SUMIFS(T_PlannedOrders[EffectiveQty],T_PlannedOrders[Part Name],$A17,T_PlannedOrders[WeekIndex],94)&amp;" ("&amp;TEXT(SUMPRODUCT(MAX((T_PlannedOrders[Part Name]=$A17)*(T_PlannedOrders[WeekIndex]=94)*(T_PlannedOrders[EffectiveQty]&gt;0)*T_PlannedOrders[Order_Month])),"m月")&amp;"発注)")</f>
        <v/>
      </c>
      <c r="CT39">
        <f>IF(SUMIFS(T_PlannedOrders[EffectiveQty],T_PlannedOrders[Part Name],$A17,T_PlannedOrders[WeekIndex],95)=0,"",SUMIFS(T_PlannedOrders[EffectiveQty],T_PlannedOrders[Part Name],$A17,T_PlannedOrders[WeekIndex],95)&amp;" ("&amp;TEXT(SUMPRODUCT(MAX((T_PlannedOrders[Part Name]=$A17)*(T_PlannedOrders[WeekIndex]=95)*(T_PlannedOrders[EffectiveQty]&gt;0)*T_PlannedOrders[Order_Month])),"m月")&amp;"発注)")</f>
        <v/>
      </c>
      <c r="CU39">
        <f>IF(SUMIFS(T_PlannedOrders[EffectiveQty],T_PlannedOrders[Part Name],$A17,T_PlannedOrders[WeekIndex],96)=0,"",SUMIFS(T_PlannedOrders[EffectiveQty],T_PlannedOrders[Part Name],$A17,T_PlannedOrders[WeekIndex],96)&amp;" ("&amp;TEXT(SUMPRODUCT(MAX((T_PlannedOrders[Part Name]=$A17)*(T_PlannedOrders[WeekIndex]=96)*(T_PlannedOrders[EffectiveQty]&gt;0)*T_PlannedOrders[Order_Month])),"m月")&amp;"発注)")</f>
        <v/>
      </c>
      <c r="CV39">
        <f>IF(SUMIFS(T_PlannedOrders[EffectiveQty],T_PlannedOrders[Part Name],$A17,T_PlannedOrders[WeekIndex],97)=0,"",SUMIFS(T_PlannedOrders[EffectiveQty],T_PlannedOrders[Part Name],$A17,T_PlannedOrders[WeekIndex],97)&amp;" ("&amp;TEXT(SUMPRODUCT(MAX((T_PlannedOrders[Part Name]=$A17)*(T_PlannedOrders[WeekIndex]=97)*(T_PlannedOrders[EffectiveQty]&gt;0)*T_PlannedOrders[Order_Month])),"m月")&amp;"発注)")</f>
        <v/>
      </c>
      <c r="CW39">
        <f>IF(SUMIFS(T_PlannedOrders[EffectiveQty],T_PlannedOrders[Part Name],$A17,T_PlannedOrders[WeekIndex],98)=0,"",SUMIFS(T_PlannedOrders[EffectiveQty],T_PlannedOrders[Part Name],$A17,T_PlannedOrders[WeekIndex],98)&amp;" ("&amp;TEXT(SUMPRODUCT(MAX((T_PlannedOrders[Part Name]=$A17)*(T_PlannedOrders[WeekIndex]=98)*(T_PlannedOrders[EffectiveQty]&gt;0)*T_PlannedOrders[Order_Month])),"m月")&amp;"発注)")</f>
        <v/>
      </c>
      <c r="CX39">
        <f>IF(SUMIFS(T_PlannedOrders[EffectiveQty],T_PlannedOrders[Part Name],$A17,T_PlannedOrders[WeekIndex],99)=0,"",SUMIFS(T_PlannedOrders[EffectiveQty],T_PlannedOrders[Part Name],$A17,T_PlannedOrders[WeekIndex],99)&amp;" ("&amp;TEXT(SUMPRODUCT(MAX((T_PlannedOrders[Part Name]=$A17)*(T_PlannedOrders[WeekIndex]=99)*(T_PlannedOrders[EffectiveQty]&gt;0)*T_PlannedOrders[Order_Month])),"m月")&amp;"発注)")</f>
        <v/>
      </c>
      <c r="CY39">
        <f>IF(SUMIFS(T_PlannedOrders[EffectiveQty],T_PlannedOrders[Part Name],$A17,T_PlannedOrders[WeekIndex],100)=0,"",SUMIFS(T_PlannedOrders[EffectiveQty],T_PlannedOrders[Part Name],$A17,T_PlannedOrders[WeekIndex],100)&amp;" ("&amp;TEXT(SUMPRODUCT(MAX((T_PlannedOrders[Part Name]=$A17)*(T_PlannedOrders[WeekIndex]=100)*(T_PlannedOrders[EffectiveQty]&gt;0)*T_PlannedOrders[Order_Month])),"m月")&amp;"発注)")</f>
        <v/>
      </c>
      <c r="CZ39">
        <f>IF(SUMIFS(T_PlannedOrders[EffectiveQty],T_PlannedOrders[Part Name],$A17,T_PlannedOrders[WeekIndex],101)=0,"",SUMIFS(T_PlannedOrders[EffectiveQty],T_PlannedOrders[Part Name],$A17,T_PlannedOrders[WeekIndex],101)&amp;" ("&amp;TEXT(SUMPRODUCT(MAX((T_PlannedOrders[Part Name]=$A17)*(T_PlannedOrders[WeekIndex]=101)*(T_PlannedOrders[EffectiveQty]&gt;0)*T_PlannedOrders[Order_Month])),"m月")&amp;"発注)")</f>
        <v/>
      </c>
      <c r="DA39">
        <f>IF(SUMIFS(T_PlannedOrders[EffectiveQty],T_PlannedOrders[Part Name],$A17,T_PlannedOrders[WeekIndex],102)=0,"",SUMIFS(T_PlannedOrders[EffectiveQty],T_PlannedOrders[Part Name],$A17,T_PlannedOrders[WeekIndex],102)&amp;" ("&amp;TEXT(SUMPRODUCT(MAX((T_PlannedOrders[Part Name]=$A17)*(T_PlannedOrders[WeekIndex]=102)*(T_PlannedOrders[EffectiveQty]&gt;0)*T_PlannedOrders[Order_Month])),"m月")&amp;"発注)")</f>
        <v/>
      </c>
      <c r="DB39">
        <f>IF(SUMIFS(T_PlannedOrders[EffectiveQty],T_PlannedOrders[Part Name],$A17,T_PlannedOrders[WeekIndex],103)=0,"",SUMIFS(T_PlannedOrders[EffectiveQty],T_PlannedOrders[Part Name],$A17,T_PlannedOrders[WeekIndex],103)&amp;" ("&amp;TEXT(SUMPRODUCT(MAX((T_PlannedOrders[Part Name]=$A17)*(T_PlannedOrders[WeekIndex]=103)*(T_PlannedOrders[EffectiveQty]&gt;0)*T_PlannedOrders[Order_Month])),"m月")&amp;"発注)")</f>
        <v/>
      </c>
      <c r="DC39">
        <f>IF(SUMIFS(T_PlannedOrders[EffectiveQty],T_PlannedOrders[Part Name],$A17,T_PlannedOrders[WeekIndex],104)=0,"",SUMIFS(T_PlannedOrders[EffectiveQty],T_PlannedOrders[Part Name],$A17,T_PlannedOrders[WeekIndex],104)&amp;" ("&amp;TEXT(SUMPRODUCT(MAX((T_PlannedOrders[Part Name]=$A17)*(T_PlannedOrders[WeekIndex]=104)*(T_PlannedOrders[EffectiveQty]&gt;0)*T_PlannedOrders[Order_Month])),"m月")&amp;"発注)")</f>
        <v/>
      </c>
    </row>
    <row r="40">
      <c r="B40" s="5" t="inlineStr">
        <is>
          <t>合計在庫(週末時点,kg)</t>
        </is>
      </c>
      <c r="D40">
        <f>'Grid_Stock'!B3</f>
        <v/>
      </c>
      <c r="E40">
        <f>'Grid_Stock'!C3</f>
        <v/>
      </c>
      <c r="F40">
        <f>'Grid_Stock'!D3</f>
        <v/>
      </c>
      <c r="G40">
        <f>'Grid_Stock'!E3</f>
        <v/>
      </c>
      <c r="H40">
        <f>'Grid_Stock'!F3</f>
        <v/>
      </c>
      <c r="I40">
        <f>'Grid_Stock'!G3</f>
        <v/>
      </c>
      <c r="J40">
        <f>'Grid_Stock'!H3</f>
        <v/>
      </c>
      <c r="K40">
        <f>'Grid_Stock'!I3</f>
        <v/>
      </c>
      <c r="L40">
        <f>'Grid_Stock'!J3</f>
        <v/>
      </c>
      <c r="M40">
        <f>'Grid_Stock'!K3</f>
        <v/>
      </c>
      <c r="N40">
        <f>'Grid_Stock'!L3</f>
        <v/>
      </c>
      <c r="O40">
        <f>'Grid_Stock'!M3</f>
        <v/>
      </c>
      <c r="P40">
        <f>'Grid_Stock'!N3</f>
        <v/>
      </c>
      <c r="Q40">
        <f>'Grid_Stock'!O3</f>
        <v/>
      </c>
      <c r="R40">
        <f>'Grid_Stock'!P3</f>
        <v/>
      </c>
      <c r="S40">
        <f>'Grid_Stock'!Q3</f>
        <v/>
      </c>
      <c r="T40">
        <f>'Grid_Stock'!R3</f>
        <v/>
      </c>
      <c r="U40">
        <f>'Grid_Stock'!S3</f>
        <v/>
      </c>
      <c r="V40">
        <f>'Grid_Stock'!T3</f>
        <v/>
      </c>
      <c r="W40">
        <f>'Grid_Stock'!U3</f>
        <v/>
      </c>
      <c r="X40">
        <f>'Grid_Stock'!V3</f>
        <v/>
      </c>
      <c r="Y40">
        <f>'Grid_Stock'!W3</f>
        <v/>
      </c>
      <c r="Z40">
        <f>'Grid_Stock'!X3</f>
        <v/>
      </c>
      <c r="AA40">
        <f>'Grid_Stock'!Y3</f>
        <v/>
      </c>
      <c r="AB40">
        <f>'Grid_Stock'!Z3</f>
        <v/>
      </c>
      <c r="AC40">
        <f>'Grid_Stock'!AA3</f>
        <v/>
      </c>
      <c r="AD40">
        <f>'Grid_Stock'!AB3</f>
        <v/>
      </c>
      <c r="AE40">
        <f>'Grid_Stock'!AC3</f>
        <v/>
      </c>
      <c r="AF40">
        <f>'Grid_Stock'!AD3</f>
        <v/>
      </c>
      <c r="AG40">
        <f>'Grid_Stock'!AE3</f>
        <v/>
      </c>
      <c r="AH40">
        <f>'Grid_Stock'!AF3</f>
        <v/>
      </c>
      <c r="AI40">
        <f>'Grid_Stock'!AG3</f>
        <v/>
      </c>
      <c r="AJ40">
        <f>'Grid_Stock'!AH3</f>
        <v/>
      </c>
      <c r="AK40">
        <f>'Grid_Stock'!AI3</f>
        <v/>
      </c>
      <c r="AL40">
        <f>'Grid_Stock'!AJ3</f>
        <v/>
      </c>
      <c r="AM40">
        <f>'Grid_Stock'!AK3</f>
        <v/>
      </c>
      <c r="AN40">
        <f>'Grid_Stock'!AL3</f>
        <v/>
      </c>
      <c r="AO40">
        <f>'Grid_Stock'!AM3</f>
        <v/>
      </c>
      <c r="AP40">
        <f>'Grid_Stock'!AN3</f>
        <v/>
      </c>
      <c r="AQ40">
        <f>'Grid_Stock'!AO3</f>
        <v/>
      </c>
      <c r="AR40">
        <f>'Grid_Stock'!AP3</f>
        <v/>
      </c>
      <c r="AS40">
        <f>'Grid_Stock'!AQ3</f>
        <v/>
      </c>
      <c r="AT40">
        <f>'Grid_Stock'!AR3</f>
        <v/>
      </c>
      <c r="AU40">
        <f>'Grid_Stock'!AS3</f>
        <v/>
      </c>
      <c r="AV40">
        <f>'Grid_Stock'!AT3</f>
        <v/>
      </c>
      <c r="AW40">
        <f>'Grid_Stock'!AU3</f>
        <v/>
      </c>
      <c r="AX40">
        <f>'Grid_Stock'!AV3</f>
        <v/>
      </c>
      <c r="AY40">
        <f>'Grid_Stock'!AW3</f>
        <v/>
      </c>
      <c r="AZ40">
        <f>'Grid_Stock'!AX3</f>
        <v/>
      </c>
      <c r="BA40">
        <f>'Grid_Stock'!AY3</f>
        <v/>
      </c>
      <c r="BB40">
        <f>'Grid_Stock'!AZ3</f>
        <v/>
      </c>
      <c r="BC40">
        <f>'Grid_Stock'!BA3</f>
        <v/>
      </c>
      <c r="BD40">
        <f>'Grid_Stock'!BB3</f>
        <v/>
      </c>
      <c r="BE40">
        <f>'Grid_Stock'!BC3</f>
        <v/>
      </c>
      <c r="BF40">
        <f>'Grid_Stock'!BD3</f>
        <v/>
      </c>
      <c r="BG40">
        <f>'Grid_Stock'!BE3</f>
        <v/>
      </c>
      <c r="BH40">
        <f>'Grid_Stock'!BF3</f>
        <v/>
      </c>
      <c r="BI40">
        <f>'Grid_Stock'!BG3</f>
        <v/>
      </c>
      <c r="BJ40">
        <f>'Grid_Stock'!BH3</f>
        <v/>
      </c>
      <c r="BK40">
        <f>'Grid_Stock'!BI3</f>
        <v/>
      </c>
      <c r="BL40">
        <f>'Grid_Stock'!BJ3</f>
        <v/>
      </c>
      <c r="BM40">
        <f>'Grid_Stock'!BK3</f>
        <v/>
      </c>
      <c r="BN40">
        <f>'Grid_Stock'!BL3</f>
        <v/>
      </c>
      <c r="BO40">
        <f>'Grid_Stock'!BM3</f>
        <v/>
      </c>
      <c r="BP40">
        <f>'Grid_Stock'!BN3</f>
        <v/>
      </c>
      <c r="BQ40">
        <f>'Grid_Stock'!BO3</f>
        <v/>
      </c>
      <c r="BR40">
        <f>'Grid_Stock'!BP3</f>
        <v/>
      </c>
      <c r="BS40">
        <f>'Grid_Stock'!BQ3</f>
        <v/>
      </c>
      <c r="BT40">
        <f>'Grid_Stock'!BR3</f>
        <v/>
      </c>
      <c r="BU40">
        <f>'Grid_Stock'!BS3</f>
        <v/>
      </c>
      <c r="BV40">
        <f>'Grid_Stock'!BT3</f>
        <v/>
      </c>
      <c r="BW40">
        <f>'Grid_Stock'!BU3</f>
        <v/>
      </c>
      <c r="BX40">
        <f>'Grid_Stock'!BV3</f>
        <v/>
      </c>
      <c r="BY40">
        <f>'Grid_Stock'!BW3</f>
        <v/>
      </c>
      <c r="BZ40">
        <f>'Grid_Stock'!BX3</f>
        <v/>
      </c>
      <c r="CA40">
        <f>'Grid_Stock'!BY3</f>
        <v/>
      </c>
      <c r="CB40">
        <f>'Grid_Stock'!BZ3</f>
        <v/>
      </c>
      <c r="CC40">
        <f>'Grid_Stock'!CA3</f>
        <v/>
      </c>
      <c r="CD40">
        <f>'Grid_Stock'!CB3</f>
        <v/>
      </c>
      <c r="CE40">
        <f>'Grid_Stock'!CC3</f>
        <v/>
      </c>
      <c r="CF40">
        <f>'Grid_Stock'!CD3</f>
        <v/>
      </c>
      <c r="CG40">
        <f>'Grid_Stock'!CE3</f>
        <v/>
      </c>
      <c r="CH40">
        <f>'Grid_Stock'!CF3</f>
        <v/>
      </c>
      <c r="CI40">
        <f>'Grid_Stock'!CG3</f>
        <v/>
      </c>
      <c r="CJ40">
        <f>'Grid_Stock'!CH3</f>
        <v/>
      </c>
      <c r="CK40">
        <f>'Grid_Stock'!CI3</f>
        <v/>
      </c>
      <c r="CL40">
        <f>'Grid_Stock'!CJ3</f>
        <v/>
      </c>
      <c r="CM40">
        <f>'Grid_Stock'!CK3</f>
        <v/>
      </c>
      <c r="CN40">
        <f>'Grid_Stock'!CL3</f>
        <v/>
      </c>
      <c r="CO40">
        <f>'Grid_Stock'!CM3</f>
        <v/>
      </c>
      <c r="CP40">
        <f>'Grid_Stock'!CN3</f>
        <v/>
      </c>
      <c r="CQ40">
        <f>'Grid_Stock'!CO3</f>
        <v/>
      </c>
      <c r="CR40">
        <f>'Grid_Stock'!CP3</f>
        <v/>
      </c>
      <c r="CS40">
        <f>'Grid_Stock'!CQ3</f>
        <v/>
      </c>
      <c r="CT40">
        <f>'Grid_Stock'!CR3</f>
        <v/>
      </c>
      <c r="CU40">
        <f>'Grid_Stock'!CS3</f>
        <v/>
      </c>
      <c r="CV40">
        <f>'Grid_Stock'!CT3</f>
        <v/>
      </c>
      <c r="CW40">
        <f>'Grid_Stock'!CU3</f>
        <v/>
      </c>
      <c r="CX40">
        <f>'Grid_Stock'!CV3</f>
        <v/>
      </c>
      <c r="CY40">
        <f>'Grid_Stock'!CW3</f>
        <v/>
      </c>
      <c r="CZ40">
        <f>'Grid_Stock'!CX3</f>
        <v/>
      </c>
      <c r="DA40">
        <f>'Grid_Stock'!CY3</f>
        <v/>
      </c>
      <c r="DB40">
        <f>'Grid_Stock'!CZ3</f>
        <v/>
      </c>
      <c r="DC40">
        <f>'Grid_Stock'!DA3</f>
        <v/>
      </c>
    </row>
    <row r="41">
      <c r="B41" s="23" t="inlineStr">
        <is>
          <t>（発注の目安はDashboardの基準在庫[下限/上限]と色分けを参照）</t>
        </is>
      </c>
    </row>
    <row r="43">
      <c r="A43" s="21" t="inlineStr">
        <is>
          <t>4HL</t>
        </is>
      </c>
      <c r="B43" s="21" t="inlineStr">
        <is>
          <t>NGK - 4HL</t>
        </is>
      </c>
      <c r="C43" s="22" t="n"/>
      <c r="D43" s="21" t="n"/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  <c r="AA43" s="21" t="n"/>
      <c r="AB43" s="21" t="n"/>
      <c r="AC43" s="21" t="n"/>
      <c r="AD43" s="21" t="n"/>
      <c r="AE43" s="21" t="n"/>
      <c r="AF43" s="21" t="n"/>
      <c r="AG43" s="21" t="n"/>
      <c r="AH43" s="21" t="n"/>
      <c r="AI43" s="21" t="n"/>
      <c r="AJ43" s="21" t="n"/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/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/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  <c r="CA43" s="21" t="n"/>
      <c r="CB43" s="21" t="n"/>
      <c r="CC43" s="21" t="n"/>
      <c r="CD43" s="21" t="n"/>
      <c r="CE43" s="21" t="n"/>
      <c r="CF43" s="21" t="n"/>
      <c r="CG43" s="21" t="n"/>
      <c r="CH43" s="21" t="n"/>
      <c r="CI43" s="21" t="n"/>
      <c r="CJ43" s="21" t="n"/>
      <c r="CK43" s="21" t="n"/>
      <c r="CL43" s="21" t="n"/>
      <c r="CM43" s="21" t="n"/>
      <c r="CN43" s="21" t="n"/>
      <c r="CO43" s="21" t="n"/>
      <c r="CP43" s="21" t="n"/>
      <c r="CQ43" s="21" t="n"/>
      <c r="CR43" s="21" t="n"/>
      <c r="CS43" s="21" t="n"/>
      <c r="CT43" s="21" t="n"/>
      <c r="CU43" s="21" t="n"/>
      <c r="CV43" s="21" t="n"/>
      <c r="CW43" s="21" t="n"/>
      <c r="CX43" s="21" t="n"/>
      <c r="CY43" s="21" t="n"/>
      <c r="CZ43" s="21" t="n"/>
      <c r="DA43" s="21" t="n"/>
      <c r="DB43" s="21" t="n"/>
      <c r="DC43" s="21" t="n"/>
    </row>
    <row r="44">
      <c r="B44" t="inlineStr">
        <is>
          <t>F3060</t>
        </is>
      </c>
      <c r="C44" t="inlineStr">
        <is>
          <t>No. of batches</t>
        </is>
      </c>
      <c r="D44">
        <f>IFERROR(INDEX(PP_Grid[#Data],$DD44,2),0)</f>
        <v/>
      </c>
      <c r="E44">
        <f>IFERROR(INDEX(PP_Grid[#Data],$DD44,3),0)</f>
        <v/>
      </c>
      <c r="F44">
        <f>IFERROR(INDEX(PP_Grid[#Data],$DD44,4),0)</f>
        <v/>
      </c>
      <c r="G44">
        <f>IFERROR(INDEX(PP_Grid[#Data],$DD44,5),0)</f>
        <v/>
      </c>
      <c r="H44">
        <f>IFERROR(INDEX(PP_Grid[#Data],$DD44,6),0)</f>
        <v/>
      </c>
      <c r="I44">
        <f>IFERROR(INDEX(PP_Grid[#Data],$DD44,7),0)</f>
        <v/>
      </c>
      <c r="J44">
        <f>IFERROR(INDEX(PP_Grid[#Data],$DD44,8),0)</f>
        <v/>
      </c>
      <c r="K44">
        <f>IFERROR(INDEX(PP_Grid[#Data],$DD44,9),0)</f>
        <v/>
      </c>
      <c r="L44">
        <f>IFERROR(INDEX(PP_Grid[#Data],$DD44,10),0)</f>
        <v/>
      </c>
      <c r="M44">
        <f>IFERROR(INDEX(PP_Grid[#Data],$DD44,11),0)</f>
        <v/>
      </c>
      <c r="N44">
        <f>IFERROR(INDEX(PP_Grid[#Data],$DD44,12),0)</f>
        <v/>
      </c>
      <c r="O44">
        <f>IFERROR(INDEX(PP_Grid[#Data],$DD44,13),0)</f>
        <v/>
      </c>
      <c r="P44">
        <f>IFERROR(INDEX(PP_Grid[#Data],$DD44,14),0)</f>
        <v/>
      </c>
      <c r="Q44">
        <f>IFERROR(INDEX(PP_Grid[#Data],$DD44,15),0)</f>
        <v/>
      </c>
      <c r="R44">
        <f>IFERROR(INDEX(PP_Grid[#Data],$DD44,16),0)</f>
        <v/>
      </c>
      <c r="S44">
        <f>IFERROR(INDEX(PP_Grid[#Data],$DD44,17),0)</f>
        <v/>
      </c>
      <c r="T44">
        <f>IFERROR(INDEX(PP_Grid[#Data],$DD44,18),0)</f>
        <v/>
      </c>
      <c r="U44">
        <f>IFERROR(INDEX(PP_Grid[#Data],$DD44,19),0)</f>
        <v/>
      </c>
      <c r="V44">
        <f>IFERROR(INDEX(PP_Grid[#Data],$DD44,20),0)</f>
        <v/>
      </c>
      <c r="W44">
        <f>IFERROR(INDEX(PP_Grid[#Data],$DD44,21),0)</f>
        <v/>
      </c>
      <c r="X44">
        <f>IFERROR(INDEX(PP_Grid[#Data],$DD44,22),0)</f>
        <v/>
      </c>
      <c r="Y44">
        <f>IFERROR(INDEX(PP_Grid[#Data],$DD44,23),0)</f>
        <v/>
      </c>
      <c r="Z44">
        <f>IFERROR(INDEX(PP_Grid[#Data],$DD44,24),0)</f>
        <v/>
      </c>
      <c r="AA44">
        <f>IFERROR(INDEX(PP_Grid[#Data],$DD44,25),0)</f>
        <v/>
      </c>
      <c r="AB44">
        <f>IFERROR(INDEX(PP_Grid[#Data],$DD44,26),0)</f>
        <v/>
      </c>
      <c r="AC44">
        <f>IFERROR(INDEX(PP_Grid[#Data],$DD44,27),0)</f>
        <v/>
      </c>
      <c r="AD44">
        <f>IFERROR(INDEX(PP_Grid[#Data],$DD44,28),0)</f>
        <v/>
      </c>
      <c r="AE44">
        <f>IFERROR(INDEX(PP_Grid[#Data],$DD44,29),0)</f>
        <v/>
      </c>
      <c r="AF44">
        <f>IFERROR(INDEX(PP_Grid[#Data],$DD44,30),0)</f>
        <v/>
      </c>
      <c r="AG44">
        <f>IFERROR(INDEX(PP_Grid[#Data],$DD44,31),0)</f>
        <v/>
      </c>
      <c r="AH44">
        <f>IFERROR(INDEX(PP_Grid[#Data],$DD44,32),0)</f>
        <v/>
      </c>
      <c r="AI44">
        <f>IFERROR(INDEX(PP_Grid[#Data],$DD44,33),0)</f>
        <v/>
      </c>
      <c r="AJ44">
        <f>IFERROR(INDEX(PP_Grid[#Data],$DD44,34),0)</f>
        <v/>
      </c>
      <c r="AK44">
        <f>IFERROR(INDEX(PP_Grid[#Data],$DD44,35),0)</f>
        <v/>
      </c>
      <c r="AL44">
        <f>IFERROR(INDEX(PP_Grid[#Data],$DD44,36),0)</f>
        <v/>
      </c>
      <c r="AM44">
        <f>IFERROR(INDEX(PP_Grid[#Data],$DD44,37),0)</f>
        <v/>
      </c>
      <c r="AN44">
        <f>IFERROR(INDEX(PP_Grid[#Data],$DD44,38),0)</f>
        <v/>
      </c>
      <c r="AO44">
        <f>IFERROR(INDEX(PP_Grid[#Data],$DD44,39),0)</f>
        <v/>
      </c>
      <c r="AP44">
        <f>IFERROR(INDEX(PP_Grid[#Data],$DD44,40),0)</f>
        <v/>
      </c>
      <c r="AQ44">
        <f>IFERROR(INDEX(PP_Grid[#Data],$DD44,41),0)</f>
        <v/>
      </c>
      <c r="AR44">
        <f>IFERROR(INDEX(PP_Grid[#Data],$DD44,42),0)</f>
        <v/>
      </c>
      <c r="AS44">
        <f>IFERROR(INDEX(PP_Grid[#Data],$DD44,43),0)</f>
        <v/>
      </c>
      <c r="AT44">
        <f>IFERROR(INDEX(PP_Grid[#Data],$DD44,44),0)</f>
        <v/>
      </c>
      <c r="AU44">
        <f>IFERROR(INDEX(PP_Grid[#Data],$DD44,45),0)</f>
        <v/>
      </c>
      <c r="AV44">
        <f>IFERROR(INDEX(PP_Grid[#Data],$DD44,46),0)</f>
        <v/>
      </c>
      <c r="AW44">
        <f>IFERROR(INDEX(PP_Grid[#Data],$DD44,47),0)</f>
        <v/>
      </c>
      <c r="AX44">
        <f>IFERROR(INDEX(PP_Grid[#Data],$DD44,48),0)</f>
        <v/>
      </c>
      <c r="AY44">
        <f>IFERROR(INDEX(PP_Grid[#Data],$DD44,49),0)</f>
        <v/>
      </c>
      <c r="AZ44">
        <f>IFERROR(INDEX(PP_Grid[#Data],$DD44,50),0)</f>
        <v/>
      </c>
      <c r="BA44">
        <f>IFERROR(INDEX(PP_Grid[#Data],$DD44,51),0)</f>
        <v/>
      </c>
      <c r="BB44">
        <f>IFERROR(INDEX(PP_Grid[#Data],$DD44,52),0)</f>
        <v/>
      </c>
      <c r="BC44">
        <f>IFERROR(INDEX(PP_Grid[#Data],$DD44,53),0)</f>
        <v/>
      </c>
      <c r="BD44">
        <f>IFERROR(INDEX(PP_Grid[#Data],$DD44,54),0)</f>
        <v/>
      </c>
      <c r="BE44">
        <f>IFERROR(INDEX(PP_Grid[#Data],$DD44,55),0)</f>
        <v/>
      </c>
      <c r="BF44">
        <f>IFERROR(INDEX(PP_Grid[#Data],$DD44,56),0)</f>
        <v/>
      </c>
      <c r="BG44">
        <f>IFERROR(INDEX(PP_Grid[#Data],$DD44,57),0)</f>
        <v/>
      </c>
      <c r="BH44">
        <f>IFERROR(INDEX(PP_Grid[#Data],$DD44,58),0)</f>
        <v/>
      </c>
      <c r="BI44">
        <f>IFERROR(INDEX(PP_Grid[#Data],$DD44,59),0)</f>
        <v/>
      </c>
      <c r="BJ44">
        <f>IFERROR(INDEX(PP_Grid[#Data],$DD44,60),0)</f>
        <v/>
      </c>
      <c r="BK44">
        <f>IFERROR(INDEX(PP_Grid[#Data],$DD44,61),0)</f>
        <v/>
      </c>
      <c r="BL44">
        <f>IFERROR(INDEX(PP_Grid[#Data],$DD44,62),0)</f>
        <v/>
      </c>
      <c r="BM44">
        <f>IFERROR(INDEX(PP_Grid[#Data],$DD44,63),0)</f>
        <v/>
      </c>
      <c r="BN44">
        <f>IFERROR(INDEX(PP_Grid[#Data],$DD44,64),0)</f>
        <v/>
      </c>
      <c r="BO44">
        <f>IFERROR(INDEX(PP_Grid[#Data],$DD44,65),0)</f>
        <v/>
      </c>
      <c r="BP44">
        <f>IFERROR(INDEX(PP_Grid[#Data],$DD44,66),0)</f>
        <v/>
      </c>
      <c r="BQ44">
        <f>IFERROR(INDEX(PP_Grid[#Data],$DD44,67),0)</f>
        <v/>
      </c>
      <c r="BR44">
        <f>IFERROR(INDEX(PP_Grid[#Data],$DD44,68),0)</f>
        <v/>
      </c>
      <c r="BS44">
        <f>IFERROR(INDEX(PP_Grid[#Data],$DD44,69),0)</f>
        <v/>
      </c>
      <c r="BT44">
        <f>IFERROR(INDEX(PP_Grid[#Data],$DD44,70),0)</f>
        <v/>
      </c>
      <c r="BU44">
        <f>IFERROR(INDEX(PP_Grid[#Data],$DD44,71),0)</f>
        <v/>
      </c>
      <c r="BV44">
        <f>IFERROR(INDEX(PP_Grid[#Data],$DD44,72),0)</f>
        <v/>
      </c>
      <c r="BW44">
        <f>IFERROR(INDEX(PP_Grid[#Data],$DD44,73),0)</f>
        <v/>
      </c>
      <c r="BX44">
        <f>IFERROR(INDEX(PP_Grid[#Data],$DD44,74),0)</f>
        <v/>
      </c>
      <c r="BY44">
        <f>IFERROR(INDEX(PP_Grid[#Data],$DD44,75),0)</f>
        <v/>
      </c>
      <c r="BZ44">
        <f>IFERROR(INDEX(PP_Grid[#Data],$DD44,76),0)</f>
        <v/>
      </c>
      <c r="CA44">
        <f>IFERROR(INDEX(PP_Grid[#Data],$DD44,77),0)</f>
        <v/>
      </c>
      <c r="CB44">
        <f>IFERROR(INDEX(PP_Grid[#Data],$DD44,78),0)</f>
        <v/>
      </c>
      <c r="CC44">
        <f>IFERROR(INDEX(PP_Grid[#Data],$DD44,79),0)</f>
        <v/>
      </c>
      <c r="CD44">
        <f>IFERROR(INDEX(PP_Grid[#Data],$DD44,80),0)</f>
        <v/>
      </c>
      <c r="CE44">
        <f>IFERROR(INDEX(PP_Grid[#Data],$DD44,81),0)</f>
        <v/>
      </c>
      <c r="CF44">
        <f>IFERROR(INDEX(PP_Grid[#Data],$DD44,82),0)</f>
        <v/>
      </c>
      <c r="CG44">
        <f>IFERROR(INDEX(PP_Grid[#Data],$DD44,83),0)</f>
        <v/>
      </c>
      <c r="CH44">
        <f>IFERROR(INDEX(PP_Grid[#Data],$DD44,84),0)</f>
        <v/>
      </c>
      <c r="CI44">
        <f>IFERROR(INDEX(PP_Grid[#Data],$DD44,85),0)</f>
        <v/>
      </c>
      <c r="CJ44">
        <f>IFERROR(INDEX(PP_Grid[#Data],$DD44,86),0)</f>
        <v/>
      </c>
      <c r="CK44">
        <f>IFERROR(INDEX(PP_Grid[#Data],$DD44,87),0)</f>
        <v/>
      </c>
      <c r="CL44">
        <f>IFERROR(INDEX(PP_Grid[#Data],$DD44,88),0)</f>
        <v/>
      </c>
      <c r="CM44">
        <f>IFERROR(INDEX(PP_Grid[#Data],$DD44,89),0)</f>
        <v/>
      </c>
      <c r="CN44">
        <f>IFERROR(INDEX(PP_Grid[#Data],$DD44,90),0)</f>
        <v/>
      </c>
      <c r="CO44">
        <f>IFERROR(INDEX(PP_Grid[#Data],$DD44,91),0)</f>
        <v/>
      </c>
      <c r="CP44">
        <f>IFERROR(INDEX(PP_Grid[#Data],$DD44,92),0)</f>
        <v/>
      </c>
      <c r="CQ44">
        <f>IFERROR(INDEX(PP_Grid[#Data],$DD44,93),0)</f>
        <v/>
      </c>
      <c r="CR44">
        <f>IFERROR(INDEX(PP_Grid[#Data],$DD44,94),0)</f>
        <v/>
      </c>
      <c r="CS44">
        <f>IFERROR(INDEX(PP_Grid[#Data],$DD44,95),0)</f>
        <v/>
      </c>
      <c r="CT44">
        <f>IFERROR(INDEX(PP_Grid[#Data],$DD44,96),0)</f>
        <v/>
      </c>
      <c r="CU44">
        <f>IFERROR(INDEX(PP_Grid[#Data],$DD44,97),0)</f>
        <v/>
      </c>
      <c r="CV44">
        <f>IFERROR(INDEX(PP_Grid[#Data],$DD44,98),0)</f>
        <v/>
      </c>
      <c r="CW44">
        <f>IFERROR(INDEX(PP_Grid[#Data],$DD44,99),0)</f>
        <v/>
      </c>
      <c r="CX44">
        <f>IFERROR(INDEX(PP_Grid[#Data],$DD44,100),0)</f>
        <v/>
      </c>
      <c r="CY44">
        <f>IFERROR(INDEX(PP_Grid[#Data],$DD44,101),0)</f>
        <v/>
      </c>
      <c r="CZ44">
        <f>IFERROR(INDEX(PP_Grid[#Data],$DD44,102),0)</f>
        <v/>
      </c>
      <c r="DA44">
        <f>IFERROR(INDEX(PP_Grid[#Data],$DD44,103),0)</f>
        <v/>
      </c>
      <c r="DB44">
        <f>IFERROR(INDEX(PP_Grid[#Data],$DD44,104),0)</f>
        <v/>
      </c>
      <c r="DC44">
        <f>IFERROR(INDEX(PP_Grid[#Data],$DD44,105),0)</f>
        <v/>
      </c>
      <c r="DD44" s="12">
        <f>IFERROR(MATCH($B44,PP_Grid[Intermediate],0),99999)</f>
        <v/>
      </c>
    </row>
    <row r="45">
      <c r="B45" t="inlineStr">
        <is>
          <t>使用量(kg)</t>
        </is>
      </c>
      <c r="C45">
        <f>SUMIFS(M_BOM[RM_Qty_Per_Batch],M_BOM[Intermediate],$B44,M_BOM[Part Name],$A43)</f>
        <v/>
      </c>
      <c r="D45">
        <f>$C45*D44</f>
        <v/>
      </c>
      <c r="E45">
        <f>$C45*E44</f>
        <v/>
      </c>
      <c r="F45">
        <f>$C45*F44</f>
        <v/>
      </c>
      <c r="G45">
        <f>$C45*G44</f>
        <v/>
      </c>
      <c r="H45">
        <f>$C45*H44</f>
        <v/>
      </c>
      <c r="I45">
        <f>$C45*I44</f>
        <v/>
      </c>
      <c r="J45">
        <f>$C45*J44</f>
        <v/>
      </c>
      <c r="K45">
        <f>$C45*K44</f>
        <v/>
      </c>
      <c r="L45">
        <f>$C45*L44</f>
        <v/>
      </c>
      <c r="M45">
        <f>$C45*M44</f>
        <v/>
      </c>
      <c r="N45">
        <f>$C45*N44</f>
        <v/>
      </c>
      <c r="O45">
        <f>$C45*O44</f>
        <v/>
      </c>
      <c r="P45">
        <f>$C45*P44</f>
        <v/>
      </c>
      <c r="Q45">
        <f>$C45*Q44</f>
        <v/>
      </c>
      <c r="R45">
        <f>$C45*R44</f>
        <v/>
      </c>
      <c r="S45">
        <f>$C45*S44</f>
        <v/>
      </c>
      <c r="T45">
        <f>$C45*T44</f>
        <v/>
      </c>
      <c r="U45">
        <f>$C45*U44</f>
        <v/>
      </c>
      <c r="V45">
        <f>$C45*V44</f>
        <v/>
      </c>
      <c r="W45">
        <f>$C45*W44</f>
        <v/>
      </c>
      <c r="X45">
        <f>$C45*X44</f>
        <v/>
      </c>
      <c r="Y45">
        <f>$C45*Y44</f>
        <v/>
      </c>
      <c r="Z45">
        <f>$C45*Z44</f>
        <v/>
      </c>
      <c r="AA45">
        <f>$C45*AA44</f>
        <v/>
      </c>
      <c r="AB45">
        <f>$C45*AB44</f>
        <v/>
      </c>
      <c r="AC45">
        <f>$C45*AC44</f>
        <v/>
      </c>
      <c r="AD45">
        <f>$C45*AD44</f>
        <v/>
      </c>
      <c r="AE45">
        <f>$C45*AE44</f>
        <v/>
      </c>
      <c r="AF45">
        <f>$C45*AF44</f>
        <v/>
      </c>
      <c r="AG45">
        <f>$C45*AG44</f>
        <v/>
      </c>
      <c r="AH45">
        <f>$C45*AH44</f>
        <v/>
      </c>
      <c r="AI45">
        <f>$C45*AI44</f>
        <v/>
      </c>
      <c r="AJ45">
        <f>$C45*AJ44</f>
        <v/>
      </c>
      <c r="AK45">
        <f>$C45*AK44</f>
        <v/>
      </c>
      <c r="AL45">
        <f>$C45*AL44</f>
        <v/>
      </c>
      <c r="AM45">
        <f>$C45*AM44</f>
        <v/>
      </c>
      <c r="AN45">
        <f>$C45*AN44</f>
        <v/>
      </c>
      <c r="AO45">
        <f>$C45*AO44</f>
        <v/>
      </c>
      <c r="AP45">
        <f>$C45*AP44</f>
        <v/>
      </c>
      <c r="AQ45">
        <f>$C45*AQ44</f>
        <v/>
      </c>
      <c r="AR45">
        <f>$C45*AR44</f>
        <v/>
      </c>
      <c r="AS45">
        <f>$C45*AS44</f>
        <v/>
      </c>
      <c r="AT45">
        <f>$C45*AT44</f>
        <v/>
      </c>
      <c r="AU45">
        <f>$C45*AU44</f>
        <v/>
      </c>
      <c r="AV45">
        <f>$C45*AV44</f>
        <v/>
      </c>
      <c r="AW45">
        <f>$C45*AW44</f>
        <v/>
      </c>
      <c r="AX45">
        <f>$C45*AX44</f>
        <v/>
      </c>
      <c r="AY45">
        <f>$C45*AY44</f>
        <v/>
      </c>
      <c r="AZ45">
        <f>$C45*AZ44</f>
        <v/>
      </c>
      <c r="BA45">
        <f>$C45*BA44</f>
        <v/>
      </c>
      <c r="BB45">
        <f>$C45*BB44</f>
        <v/>
      </c>
      <c r="BC45">
        <f>$C45*BC44</f>
        <v/>
      </c>
      <c r="BD45">
        <f>$C45*BD44</f>
        <v/>
      </c>
      <c r="BE45">
        <f>$C45*BE44</f>
        <v/>
      </c>
      <c r="BF45">
        <f>$C45*BF44</f>
        <v/>
      </c>
      <c r="BG45">
        <f>$C45*BG44</f>
        <v/>
      </c>
      <c r="BH45">
        <f>$C45*BH44</f>
        <v/>
      </c>
      <c r="BI45">
        <f>$C45*BI44</f>
        <v/>
      </c>
      <c r="BJ45">
        <f>$C45*BJ44</f>
        <v/>
      </c>
      <c r="BK45">
        <f>$C45*BK44</f>
        <v/>
      </c>
      <c r="BL45">
        <f>$C45*BL44</f>
        <v/>
      </c>
      <c r="BM45">
        <f>$C45*BM44</f>
        <v/>
      </c>
      <c r="BN45">
        <f>$C45*BN44</f>
        <v/>
      </c>
      <c r="BO45">
        <f>$C45*BO44</f>
        <v/>
      </c>
      <c r="BP45">
        <f>$C45*BP44</f>
        <v/>
      </c>
      <c r="BQ45">
        <f>$C45*BQ44</f>
        <v/>
      </c>
      <c r="BR45">
        <f>$C45*BR44</f>
        <v/>
      </c>
      <c r="BS45">
        <f>$C45*BS44</f>
        <v/>
      </c>
      <c r="BT45">
        <f>$C45*BT44</f>
        <v/>
      </c>
      <c r="BU45">
        <f>$C45*BU44</f>
        <v/>
      </c>
      <c r="BV45">
        <f>$C45*BV44</f>
        <v/>
      </c>
      <c r="BW45">
        <f>$C45*BW44</f>
        <v/>
      </c>
      <c r="BX45">
        <f>$C45*BX44</f>
        <v/>
      </c>
      <c r="BY45">
        <f>$C45*BY44</f>
        <v/>
      </c>
      <c r="BZ45">
        <f>$C45*BZ44</f>
        <v/>
      </c>
      <c r="CA45">
        <f>$C45*CA44</f>
        <v/>
      </c>
      <c r="CB45">
        <f>$C45*CB44</f>
        <v/>
      </c>
      <c r="CC45">
        <f>$C45*CC44</f>
        <v/>
      </c>
      <c r="CD45">
        <f>$C45*CD44</f>
        <v/>
      </c>
      <c r="CE45">
        <f>$C45*CE44</f>
        <v/>
      </c>
      <c r="CF45">
        <f>$C45*CF44</f>
        <v/>
      </c>
      <c r="CG45">
        <f>$C45*CG44</f>
        <v/>
      </c>
      <c r="CH45">
        <f>$C45*CH44</f>
        <v/>
      </c>
      <c r="CI45">
        <f>$C45*CI44</f>
        <v/>
      </c>
      <c r="CJ45">
        <f>$C45*CJ44</f>
        <v/>
      </c>
      <c r="CK45">
        <f>$C45*CK44</f>
        <v/>
      </c>
      <c r="CL45">
        <f>$C45*CL44</f>
        <v/>
      </c>
      <c r="CM45">
        <f>$C45*CM44</f>
        <v/>
      </c>
      <c r="CN45">
        <f>$C45*CN44</f>
        <v/>
      </c>
      <c r="CO45">
        <f>$C45*CO44</f>
        <v/>
      </c>
      <c r="CP45">
        <f>$C45*CP44</f>
        <v/>
      </c>
      <c r="CQ45">
        <f>$C45*CQ44</f>
        <v/>
      </c>
      <c r="CR45">
        <f>$C45*CR44</f>
        <v/>
      </c>
      <c r="CS45">
        <f>$C45*CS44</f>
        <v/>
      </c>
      <c r="CT45">
        <f>$C45*CT44</f>
        <v/>
      </c>
      <c r="CU45">
        <f>$C45*CU44</f>
        <v/>
      </c>
      <c r="CV45">
        <f>$C45*CV44</f>
        <v/>
      </c>
      <c r="CW45">
        <f>$C45*CW44</f>
        <v/>
      </c>
      <c r="CX45">
        <f>$C45*CX44</f>
        <v/>
      </c>
      <c r="CY45">
        <f>$C45*CY44</f>
        <v/>
      </c>
      <c r="CZ45">
        <f>$C45*CZ44</f>
        <v/>
      </c>
      <c r="DA45">
        <f>$C45*DA44</f>
        <v/>
      </c>
      <c r="DB45">
        <f>$C45*DB44</f>
        <v/>
      </c>
      <c r="DC45">
        <f>$C45*DC44</f>
        <v/>
      </c>
    </row>
    <row r="46">
      <c r="B46" t="inlineStr">
        <is>
          <t>K0030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12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Name],$A43)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s="5" t="inlineStr">
        <is>
          <t>合計使用量(kg)/週</t>
        </is>
      </c>
      <c r="D48">
        <f>'Grid_Requirement'!B4</f>
        <v/>
      </c>
      <c r="E48">
        <f>'Grid_Requirement'!C4</f>
        <v/>
      </c>
      <c r="F48">
        <f>'Grid_Requirement'!D4</f>
        <v/>
      </c>
      <c r="G48">
        <f>'Grid_Requirement'!E4</f>
        <v/>
      </c>
      <c r="H48">
        <f>'Grid_Requirement'!F4</f>
        <v/>
      </c>
      <c r="I48">
        <f>'Grid_Requirement'!G4</f>
        <v/>
      </c>
      <c r="J48">
        <f>'Grid_Requirement'!H4</f>
        <v/>
      </c>
      <c r="K48">
        <f>'Grid_Requirement'!I4</f>
        <v/>
      </c>
      <c r="L48">
        <f>'Grid_Requirement'!J4</f>
        <v/>
      </c>
      <c r="M48">
        <f>'Grid_Requirement'!K4</f>
        <v/>
      </c>
      <c r="N48">
        <f>'Grid_Requirement'!L4</f>
        <v/>
      </c>
      <c r="O48">
        <f>'Grid_Requirement'!M4</f>
        <v/>
      </c>
      <c r="P48">
        <f>'Grid_Requirement'!N4</f>
        <v/>
      </c>
      <c r="Q48">
        <f>'Grid_Requirement'!O4</f>
        <v/>
      </c>
      <c r="R48">
        <f>'Grid_Requirement'!P4</f>
        <v/>
      </c>
      <c r="S48">
        <f>'Grid_Requirement'!Q4</f>
        <v/>
      </c>
      <c r="T48">
        <f>'Grid_Requirement'!R4</f>
        <v/>
      </c>
      <c r="U48">
        <f>'Grid_Requirement'!S4</f>
        <v/>
      </c>
      <c r="V48">
        <f>'Grid_Requirement'!T4</f>
        <v/>
      </c>
      <c r="W48">
        <f>'Grid_Requirement'!U4</f>
        <v/>
      </c>
      <c r="X48">
        <f>'Grid_Requirement'!V4</f>
        <v/>
      </c>
      <c r="Y48">
        <f>'Grid_Requirement'!W4</f>
        <v/>
      </c>
      <c r="Z48">
        <f>'Grid_Requirement'!X4</f>
        <v/>
      </c>
      <c r="AA48">
        <f>'Grid_Requirement'!Y4</f>
        <v/>
      </c>
      <c r="AB48">
        <f>'Grid_Requirement'!Z4</f>
        <v/>
      </c>
      <c r="AC48">
        <f>'Grid_Requirement'!AA4</f>
        <v/>
      </c>
      <c r="AD48">
        <f>'Grid_Requirement'!AB4</f>
        <v/>
      </c>
      <c r="AE48">
        <f>'Grid_Requirement'!AC4</f>
        <v/>
      </c>
      <c r="AF48">
        <f>'Grid_Requirement'!AD4</f>
        <v/>
      </c>
      <c r="AG48">
        <f>'Grid_Requirement'!AE4</f>
        <v/>
      </c>
      <c r="AH48">
        <f>'Grid_Requirement'!AF4</f>
        <v/>
      </c>
      <c r="AI48">
        <f>'Grid_Requirement'!AG4</f>
        <v/>
      </c>
      <c r="AJ48">
        <f>'Grid_Requirement'!AH4</f>
        <v/>
      </c>
      <c r="AK48">
        <f>'Grid_Requirement'!AI4</f>
        <v/>
      </c>
      <c r="AL48">
        <f>'Grid_Requirement'!AJ4</f>
        <v/>
      </c>
      <c r="AM48">
        <f>'Grid_Requirement'!AK4</f>
        <v/>
      </c>
      <c r="AN48">
        <f>'Grid_Requirement'!AL4</f>
        <v/>
      </c>
      <c r="AO48">
        <f>'Grid_Requirement'!AM4</f>
        <v/>
      </c>
      <c r="AP48">
        <f>'Grid_Requirement'!AN4</f>
        <v/>
      </c>
      <c r="AQ48">
        <f>'Grid_Requirement'!AO4</f>
        <v/>
      </c>
      <c r="AR48">
        <f>'Grid_Requirement'!AP4</f>
        <v/>
      </c>
      <c r="AS48">
        <f>'Grid_Requirement'!AQ4</f>
        <v/>
      </c>
      <c r="AT48">
        <f>'Grid_Requirement'!AR4</f>
        <v/>
      </c>
      <c r="AU48">
        <f>'Grid_Requirement'!AS4</f>
        <v/>
      </c>
      <c r="AV48">
        <f>'Grid_Requirement'!AT4</f>
        <v/>
      </c>
      <c r="AW48">
        <f>'Grid_Requirement'!AU4</f>
        <v/>
      </c>
      <c r="AX48">
        <f>'Grid_Requirement'!AV4</f>
        <v/>
      </c>
      <c r="AY48">
        <f>'Grid_Requirement'!AW4</f>
        <v/>
      </c>
      <c r="AZ48">
        <f>'Grid_Requirement'!AX4</f>
        <v/>
      </c>
      <c r="BA48">
        <f>'Grid_Requirement'!AY4</f>
        <v/>
      </c>
      <c r="BB48">
        <f>'Grid_Requirement'!AZ4</f>
        <v/>
      </c>
      <c r="BC48">
        <f>'Grid_Requirement'!BA4</f>
        <v/>
      </c>
      <c r="BD48">
        <f>'Grid_Requirement'!BB4</f>
        <v/>
      </c>
      <c r="BE48">
        <f>'Grid_Requirement'!BC4</f>
        <v/>
      </c>
      <c r="BF48">
        <f>'Grid_Requirement'!BD4</f>
        <v/>
      </c>
      <c r="BG48">
        <f>'Grid_Requirement'!BE4</f>
        <v/>
      </c>
      <c r="BH48">
        <f>'Grid_Requirement'!BF4</f>
        <v/>
      </c>
      <c r="BI48">
        <f>'Grid_Requirement'!BG4</f>
        <v/>
      </c>
      <c r="BJ48">
        <f>'Grid_Requirement'!BH4</f>
        <v/>
      </c>
      <c r="BK48">
        <f>'Grid_Requirement'!BI4</f>
        <v/>
      </c>
      <c r="BL48">
        <f>'Grid_Requirement'!BJ4</f>
        <v/>
      </c>
      <c r="BM48">
        <f>'Grid_Requirement'!BK4</f>
        <v/>
      </c>
      <c r="BN48">
        <f>'Grid_Requirement'!BL4</f>
        <v/>
      </c>
      <c r="BO48">
        <f>'Grid_Requirement'!BM4</f>
        <v/>
      </c>
      <c r="BP48">
        <f>'Grid_Requirement'!BN4</f>
        <v/>
      </c>
      <c r="BQ48">
        <f>'Grid_Requirement'!BO4</f>
        <v/>
      </c>
      <c r="BR48">
        <f>'Grid_Requirement'!BP4</f>
        <v/>
      </c>
      <c r="BS48">
        <f>'Grid_Requirement'!BQ4</f>
        <v/>
      </c>
      <c r="BT48">
        <f>'Grid_Requirement'!BR4</f>
        <v/>
      </c>
      <c r="BU48">
        <f>'Grid_Requirement'!BS4</f>
        <v/>
      </c>
      <c r="BV48">
        <f>'Grid_Requirement'!BT4</f>
        <v/>
      </c>
      <c r="BW48">
        <f>'Grid_Requirement'!BU4</f>
        <v/>
      </c>
      <c r="BX48">
        <f>'Grid_Requirement'!BV4</f>
        <v/>
      </c>
      <c r="BY48">
        <f>'Grid_Requirement'!BW4</f>
        <v/>
      </c>
      <c r="BZ48">
        <f>'Grid_Requirement'!BX4</f>
        <v/>
      </c>
      <c r="CA48">
        <f>'Grid_Requirement'!BY4</f>
        <v/>
      </c>
      <c r="CB48">
        <f>'Grid_Requirement'!BZ4</f>
        <v/>
      </c>
      <c r="CC48">
        <f>'Grid_Requirement'!CA4</f>
        <v/>
      </c>
      <c r="CD48">
        <f>'Grid_Requirement'!CB4</f>
        <v/>
      </c>
      <c r="CE48">
        <f>'Grid_Requirement'!CC4</f>
        <v/>
      </c>
      <c r="CF48">
        <f>'Grid_Requirement'!CD4</f>
        <v/>
      </c>
      <c r="CG48">
        <f>'Grid_Requirement'!CE4</f>
        <v/>
      </c>
      <c r="CH48">
        <f>'Grid_Requirement'!CF4</f>
        <v/>
      </c>
      <c r="CI48">
        <f>'Grid_Requirement'!CG4</f>
        <v/>
      </c>
      <c r="CJ48">
        <f>'Grid_Requirement'!CH4</f>
        <v/>
      </c>
      <c r="CK48">
        <f>'Grid_Requirement'!CI4</f>
        <v/>
      </c>
      <c r="CL48">
        <f>'Grid_Requirement'!CJ4</f>
        <v/>
      </c>
      <c r="CM48">
        <f>'Grid_Requirement'!CK4</f>
        <v/>
      </c>
      <c r="CN48">
        <f>'Grid_Requirement'!CL4</f>
        <v/>
      </c>
      <c r="CO48">
        <f>'Grid_Requirement'!CM4</f>
        <v/>
      </c>
      <c r="CP48">
        <f>'Grid_Requirement'!CN4</f>
        <v/>
      </c>
      <c r="CQ48">
        <f>'Grid_Requirement'!CO4</f>
        <v/>
      </c>
      <c r="CR48">
        <f>'Grid_Requirement'!CP4</f>
        <v/>
      </c>
      <c r="CS48">
        <f>'Grid_Requirement'!CQ4</f>
        <v/>
      </c>
      <c r="CT48">
        <f>'Grid_Requirement'!CR4</f>
        <v/>
      </c>
      <c r="CU48">
        <f>'Grid_Requirement'!CS4</f>
        <v/>
      </c>
      <c r="CV48">
        <f>'Grid_Requirement'!CT4</f>
        <v/>
      </c>
      <c r="CW48">
        <f>'Grid_Requirement'!CU4</f>
        <v/>
      </c>
      <c r="CX48">
        <f>'Grid_Requirement'!CV4</f>
        <v/>
      </c>
      <c r="CY48">
        <f>'Grid_Requirement'!CW4</f>
        <v/>
      </c>
      <c r="CZ48">
        <f>'Grid_Requirement'!CX4</f>
        <v/>
      </c>
      <c r="DA48">
        <f>'Grid_Requirement'!CY4</f>
        <v/>
      </c>
      <c r="DB48">
        <f>'Grid_Requirement'!CZ4</f>
        <v/>
      </c>
      <c r="DC48">
        <f>'Grid_Requirement'!DA4</f>
        <v/>
      </c>
    </row>
    <row r="49">
      <c r="B49" t="inlineStr">
        <is>
          <t>TTAF在庫(実績,kg)</t>
        </is>
      </c>
      <c r="D49">
        <f>'T_TTAFStock'!B8</f>
        <v/>
      </c>
      <c r="E49">
        <f>'T_TTAFStock'!C8</f>
        <v/>
      </c>
      <c r="F49">
        <f>'T_TTAFStock'!D8</f>
        <v/>
      </c>
      <c r="G49">
        <f>'T_TTAFStock'!E8</f>
        <v/>
      </c>
      <c r="H49">
        <f>'T_TTAFStock'!F8</f>
        <v/>
      </c>
      <c r="I49">
        <f>'T_TTAFStock'!G8</f>
        <v/>
      </c>
      <c r="J49">
        <f>'T_TTAFStock'!H8</f>
        <v/>
      </c>
      <c r="K49">
        <f>'T_TTAFStock'!I8</f>
        <v/>
      </c>
      <c r="L49">
        <f>'T_TTAFStock'!J8</f>
        <v/>
      </c>
      <c r="M49">
        <f>'T_TTAFStock'!K8</f>
        <v/>
      </c>
      <c r="N49">
        <f>'T_TTAFStock'!L8</f>
        <v/>
      </c>
      <c r="O49">
        <f>'T_TTAFStock'!M8</f>
        <v/>
      </c>
      <c r="P49">
        <f>'T_TTAFStock'!N8</f>
        <v/>
      </c>
      <c r="Q49">
        <f>'T_TTAFStock'!O8</f>
        <v/>
      </c>
      <c r="R49">
        <f>'T_TTAFStock'!P8</f>
        <v/>
      </c>
      <c r="S49">
        <f>'T_TTAFStock'!Q8</f>
        <v/>
      </c>
      <c r="T49">
        <f>'T_TTAFStock'!R8</f>
        <v/>
      </c>
      <c r="U49">
        <f>'T_TTAFStock'!S8</f>
        <v/>
      </c>
      <c r="V49">
        <f>'T_TTAFStock'!T8</f>
        <v/>
      </c>
      <c r="W49">
        <f>'T_TTAFStock'!U8</f>
        <v/>
      </c>
      <c r="X49">
        <f>'T_TTAFStock'!V8</f>
        <v/>
      </c>
      <c r="Y49">
        <f>'T_TTAFStock'!W8</f>
        <v/>
      </c>
      <c r="Z49">
        <f>'T_TTAFStock'!X8</f>
        <v/>
      </c>
      <c r="AA49">
        <f>'T_TTAFStock'!Y8</f>
        <v/>
      </c>
      <c r="AB49">
        <f>'T_TTAFStock'!Z8</f>
        <v/>
      </c>
      <c r="AC49">
        <f>'T_TTAFStock'!AA8</f>
        <v/>
      </c>
      <c r="AD49">
        <f>'T_TTAFStock'!AB8</f>
        <v/>
      </c>
      <c r="AE49">
        <f>'T_TTAFStock'!AC8</f>
        <v/>
      </c>
      <c r="AF49">
        <f>'T_TTAFStock'!AD8</f>
        <v/>
      </c>
      <c r="AG49">
        <f>'T_TTAFStock'!AE8</f>
        <v/>
      </c>
      <c r="AH49">
        <f>'T_TTAFStock'!AF8</f>
        <v/>
      </c>
      <c r="AI49">
        <f>'T_TTAFStock'!AG8</f>
        <v/>
      </c>
      <c r="AJ49">
        <f>'T_TTAFStock'!AH8</f>
        <v/>
      </c>
      <c r="AK49">
        <f>'T_TTAFStock'!AI8</f>
        <v/>
      </c>
      <c r="AL49">
        <f>'T_TTAFStock'!AJ8</f>
        <v/>
      </c>
      <c r="AM49">
        <f>'T_TTAFStock'!AK8</f>
        <v/>
      </c>
      <c r="AN49">
        <f>'T_TTAFStock'!AL8</f>
        <v/>
      </c>
      <c r="AO49">
        <f>'T_TTAFStock'!AM8</f>
        <v/>
      </c>
      <c r="AP49">
        <f>'T_TTAFStock'!AN8</f>
        <v/>
      </c>
      <c r="AQ49">
        <f>'T_TTAFStock'!AO8</f>
        <v/>
      </c>
      <c r="AR49">
        <f>'T_TTAFStock'!AP8</f>
        <v/>
      </c>
      <c r="AS49">
        <f>'T_TTAFStock'!AQ8</f>
        <v/>
      </c>
      <c r="AT49">
        <f>'T_TTAFStock'!AR8</f>
        <v/>
      </c>
      <c r="AU49">
        <f>'T_TTAFStock'!AS8</f>
        <v/>
      </c>
      <c r="AV49">
        <f>'T_TTAFStock'!AT8</f>
        <v/>
      </c>
      <c r="AW49">
        <f>'T_TTAFStock'!AU8</f>
        <v/>
      </c>
      <c r="AX49">
        <f>'T_TTAFStock'!AV8</f>
        <v/>
      </c>
      <c r="AY49">
        <f>'T_TTAFStock'!AW8</f>
        <v/>
      </c>
      <c r="AZ49">
        <f>'T_TTAFStock'!AX8</f>
        <v/>
      </c>
      <c r="BA49">
        <f>'T_TTAFStock'!AY8</f>
        <v/>
      </c>
      <c r="BB49">
        <f>'T_TTAFStock'!AZ8</f>
        <v/>
      </c>
      <c r="BC49">
        <f>'T_TTAFStock'!BA8</f>
        <v/>
      </c>
      <c r="BD49">
        <f>'T_TTAFStock'!BB8</f>
        <v/>
      </c>
      <c r="BE49">
        <f>'T_TTAFStock'!BC8</f>
        <v/>
      </c>
      <c r="BF49">
        <f>'T_TTAFStock'!BD8</f>
        <v/>
      </c>
      <c r="BG49">
        <f>'T_TTAFStock'!BE8</f>
        <v/>
      </c>
      <c r="BH49">
        <f>'T_TTAFStock'!BF8</f>
        <v/>
      </c>
      <c r="BI49">
        <f>'T_TTAFStock'!BG8</f>
        <v/>
      </c>
      <c r="BJ49">
        <f>'T_TTAFStock'!BH8</f>
        <v/>
      </c>
      <c r="BK49">
        <f>'T_TTAFStock'!BI8</f>
        <v/>
      </c>
      <c r="BL49">
        <f>'T_TTAFStock'!BJ8</f>
        <v/>
      </c>
      <c r="BM49">
        <f>'T_TTAFStock'!BK8</f>
        <v/>
      </c>
      <c r="BN49">
        <f>'T_TTAFStock'!BL8</f>
        <v/>
      </c>
      <c r="BO49">
        <f>'T_TTAFStock'!BM8</f>
        <v/>
      </c>
      <c r="BP49">
        <f>'T_TTAFStock'!BN8</f>
        <v/>
      </c>
      <c r="BQ49">
        <f>'T_TTAFStock'!BO8</f>
        <v/>
      </c>
      <c r="BR49">
        <f>'T_TTAFStock'!BP8</f>
        <v/>
      </c>
      <c r="BS49">
        <f>'T_TTAFStock'!BQ8</f>
        <v/>
      </c>
      <c r="BT49">
        <f>'T_TTAFStock'!BR8</f>
        <v/>
      </c>
      <c r="BU49">
        <f>'T_TTAFStock'!BS8</f>
        <v/>
      </c>
      <c r="BV49">
        <f>'T_TTAFStock'!BT8</f>
        <v/>
      </c>
      <c r="BW49">
        <f>'T_TTAFStock'!BU8</f>
        <v/>
      </c>
      <c r="BX49">
        <f>'T_TTAFStock'!BV8</f>
        <v/>
      </c>
      <c r="BY49">
        <f>'T_TTAFStock'!BW8</f>
        <v/>
      </c>
      <c r="BZ49">
        <f>'T_TTAFStock'!BX8</f>
        <v/>
      </c>
      <c r="CA49">
        <f>'T_TTAFStock'!BY8</f>
        <v/>
      </c>
      <c r="CB49">
        <f>'T_TTAFStock'!BZ8</f>
        <v/>
      </c>
      <c r="CC49">
        <f>'T_TTAFStock'!CA8</f>
        <v/>
      </c>
      <c r="CD49">
        <f>'T_TTAFStock'!CB8</f>
        <v/>
      </c>
      <c r="CE49">
        <f>'T_TTAFStock'!CC8</f>
        <v/>
      </c>
      <c r="CF49">
        <f>'T_TTAFStock'!CD8</f>
        <v/>
      </c>
      <c r="CG49">
        <f>'T_TTAFStock'!CE8</f>
        <v/>
      </c>
      <c r="CH49">
        <f>'T_TTAFStock'!CF8</f>
        <v/>
      </c>
      <c r="CI49">
        <f>'T_TTAFStock'!CG8</f>
        <v/>
      </c>
      <c r="CJ49">
        <f>'T_TTAFStock'!CH8</f>
        <v/>
      </c>
      <c r="CK49">
        <f>'T_TTAFStock'!CI8</f>
        <v/>
      </c>
      <c r="CL49">
        <f>'T_TTAFStock'!CJ8</f>
        <v/>
      </c>
      <c r="CM49">
        <f>'T_TTAFStock'!CK8</f>
        <v/>
      </c>
      <c r="CN49">
        <f>'T_TTAFStock'!CL8</f>
        <v/>
      </c>
      <c r="CO49">
        <f>'T_TTAFStock'!CM8</f>
        <v/>
      </c>
      <c r="CP49">
        <f>'T_TTAFStock'!CN8</f>
        <v/>
      </c>
      <c r="CQ49">
        <f>'T_TTAFStock'!CO8</f>
        <v/>
      </c>
      <c r="CR49">
        <f>'T_TTAFStock'!CP8</f>
        <v/>
      </c>
      <c r="CS49">
        <f>'T_TTAFStock'!CQ8</f>
        <v/>
      </c>
      <c r="CT49">
        <f>'T_TTAFStock'!CR8</f>
        <v/>
      </c>
      <c r="CU49">
        <f>'T_TTAFStock'!CS8</f>
        <v/>
      </c>
      <c r="CV49">
        <f>'T_TTAFStock'!CT8</f>
        <v/>
      </c>
      <c r="CW49">
        <f>'T_TTAFStock'!CU8</f>
        <v/>
      </c>
      <c r="CX49">
        <f>'T_TTAFStock'!CV8</f>
        <v/>
      </c>
      <c r="CY49">
        <f>'T_TTAFStock'!CW8</f>
        <v/>
      </c>
      <c r="CZ49">
        <f>'T_TTAFStock'!CX8</f>
        <v/>
      </c>
      <c r="DA49">
        <f>'T_TTAFStock'!CY8</f>
        <v/>
      </c>
      <c r="DB49">
        <f>'T_TTAFStock'!CZ8</f>
        <v/>
      </c>
      <c r="DC49">
        <f>'T_TTAFStock'!DA8</f>
        <v/>
      </c>
    </row>
    <row r="50">
      <c r="B50" t="inlineStr">
        <is>
          <t>自社在庫(実績,kg)</t>
        </is>
      </c>
      <c r="D50">
        <f>'T_SelfStock'!B8</f>
        <v/>
      </c>
      <c r="E50">
        <f>'T_SelfStock'!C8</f>
        <v/>
      </c>
      <c r="F50">
        <f>'T_SelfStock'!D8</f>
        <v/>
      </c>
      <c r="G50">
        <f>'T_SelfStock'!E8</f>
        <v/>
      </c>
      <c r="H50">
        <f>'T_SelfStock'!F8</f>
        <v/>
      </c>
      <c r="I50">
        <f>'T_SelfStock'!G8</f>
        <v/>
      </c>
      <c r="J50">
        <f>'T_SelfStock'!H8</f>
        <v/>
      </c>
      <c r="K50">
        <f>'T_SelfStock'!I8</f>
        <v/>
      </c>
      <c r="L50">
        <f>'T_SelfStock'!J8</f>
        <v/>
      </c>
      <c r="M50">
        <f>'T_SelfStock'!K8</f>
        <v/>
      </c>
      <c r="N50">
        <f>'T_SelfStock'!L8</f>
        <v/>
      </c>
      <c r="O50">
        <f>'T_SelfStock'!M8</f>
        <v/>
      </c>
      <c r="P50">
        <f>'T_SelfStock'!N8</f>
        <v/>
      </c>
      <c r="Q50">
        <f>'T_SelfStock'!O8</f>
        <v/>
      </c>
      <c r="R50">
        <f>'T_SelfStock'!P8</f>
        <v/>
      </c>
      <c r="S50">
        <f>'T_SelfStock'!Q8</f>
        <v/>
      </c>
      <c r="T50">
        <f>'T_SelfStock'!R8</f>
        <v/>
      </c>
      <c r="U50">
        <f>'T_SelfStock'!S8</f>
        <v/>
      </c>
      <c r="V50">
        <f>'T_SelfStock'!T8</f>
        <v/>
      </c>
      <c r="W50">
        <f>'T_SelfStock'!U8</f>
        <v/>
      </c>
      <c r="X50">
        <f>'T_SelfStock'!V8</f>
        <v/>
      </c>
      <c r="Y50">
        <f>'T_SelfStock'!W8</f>
        <v/>
      </c>
      <c r="Z50">
        <f>'T_SelfStock'!X8</f>
        <v/>
      </c>
      <c r="AA50">
        <f>'T_SelfStock'!Y8</f>
        <v/>
      </c>
      <c r="AB50">
        <f>'T_SelfStock'!Z8</f>
        <v/>
      </c>
      <c r="AC50">
        <f>'T_SelfStock'!AA8</f>
        <v/>
      </c>
      <c r="AD50">
        <f>'T_SelfStock'!AB8</f>
        <v/>
      </c>
      <c r="AE50">
        <f>'T_SelfStock'!AC8</f>
        <v/>
      </c>
      <c r="AF50">
        <f>'T_SelfStock'!AD8</f>
        <v/>
      </c>
      <c r="AG50">
        <f>'T_SelfStock'!AE8</f>
        <v/>
      </c>
      <c r="AH50">
        <f>'T_SelfStock'!AF8</f>
        <v/>
      </c>
      <c r="AI50">
        <f>'T_SelfStock'!AG8</f>
        <v/>
      </c>
      <c r="AJ50">
        <f>'T_SelfStock'!AH8</f>
        <v/>
      </c>
      <c r="AK50">
        <f>'T_SelfStock'!AI8</f>
        <v/>
      </c>
      <c r="AL50">
        <f>'T_SelfStock'!AJ8</f>
        <v/>
      </c>
      <c r="AM50">
        <f>'T_SelfStock'!AK8</f>
        <v/>
      </c>
      <c r="AN50">
        <f>'T_SelfStock'!AL8</f>
        <v/>
      </c>
      <c r="AO50">
        <f>'T_SelfStock'!AM8</f>
        <v/>
      </c>
      <c r="AP50">
        <f>'T_SelfStock'!AN8</f>
        <v/>
      </c>
      <c r="AQ50">
        <f>'T_SelfStock'!AO8</f>
        <v/>
      </c>
      <c r="AR50">
        <f>'T_SelfStock'!AP8</f>
        <v/>
      </c>
      <c r="AS50">
        <f>'T_SelfStock'!AQ8</f>
        <v/>
      </c>
      <c r="AT50">
        <f>'T_SelfStock'!AR8</f>
        <v/>
      </c>
      <c r="AU50">
        <f>'T_SelfStock'!AS8</f>
        <v/>
      </c>
      <c r="AV50">
        <f>'T_SelfStock'!AT8</f>
        <v/>
      </c>
      <c r="AW50">
        <f>'T_SelfStock'!AU8</f>
        <v/>
      </c>
      <c r="AX50">
        <f>'T_SelfStock'!AV8</f>
        <v/>
      </c>
      <c r="AY50">
        <f>'T_SelfStock'!AW8</f>
        <v/>
      </c>
      <c r="AZ50">
        <f>'T_SelfStock'!AX8</f>
        <v/>
      </c>
      <c r="BA50">
        <f>'T_SelfStock'!AY8</f>
        <v/>
      </c>
      <c r="BB50">
        <f>'T_SelfStock'!AZ8</f>
        <v/>
      </c>
      <c r="BC50">
        <f>'T_SelfStock'!BA8</f>
        <v/>
      </c>
      <c r="BD50">
        <f>'T_SelfStock'!BB8</f>
        <v/>
      </c>
      <c r="BE50">
        <f>'T_SelfStock'!BC8</f>
        <v/>
      </c>
      <c r="BF50">
        <f>'T_SelfStock'!BD8</f>
        <v/>
      </c>
      <c r="BG50">
        <f>'T_SelfStock'!BE8</f>
        <v/>
      </c>
      <c r="BH50">
        <f>'T_SelfStock'!BF8</f>
        <v/>
      </c>
      <c r="BI50">
        <f>'T_SelfStock'!BG8</f>
        <v/>
      </c>
      <c r="BJ50">
        <f>'T_SelfStock'!BH8</f>
        <v/>
      </c>
      <c r="BK50">
        <f>'T_SelfStock'!BI8</f>
        <v/>
      </c>
      <c r="BL50">
        <f>'T_SelfStock'!BJ8</f>
        <v/>
      </c>
      <c r="BM50">
        <f>'T_SelfStock'!BK8</f>
        <v/>
      </c>
      <c r="BN50">
        <f>'T_SelfStock'!BL8</f>
        <v/>
      </c>
      <c r="BO50">
        <f>'T_SelfStock'!BM8</f>
        <v/>
      </c>
      <c r="BP50">
        <f>'T_SelfStock'!BN8</f>
        <v/>
      </c>
      <c r="BQ50">
        <f>'T_SelfStock'!BO8</f>
        <v/>
      </c>
      <c r="BR50">
        <f>'T_SelfStock'!BP8</f>
        <v/>
      </c>
      <c r="BS50">
        <f>'T_SelfStock'!BQ8</f>
        <v/>
      </c>
      <c r="BT50">
        <f>'T_SelfStock'!BR8</f>
        <v/>
      </c>
      <c r="BU50">
        <f>'T_SelfStock'!BS8</f>
        <v/>
      </c>
      <c r="BV50">
        <f>'T_SelfStock'!BT8</f>
        <v/>
      </c>
      <c r="BW50">
        <f>'T_SelfStock'!BU8</f>
        <v/>
      </c>
      <c r="BX50">
        <f>'T_SelfStock'!BV8</f>
        <v/>
      </c>
      <c r="BY50">
        <f>'T_SelfStock'!BW8</f>
        <v/>
      </c>
      <c r="BZ50">
        <f>'T_SelfStock'!BX8</f>
        <v/>
      </c>
      <c r="CA50">
        <f>'T_SelfStock'!BY8</f>
        <v/>
      </c>
      <c r="CB50">
        <f>'T_SelfStock'!BZ8</f>
        <v/>
      </c>
      <c r="CC50">
        <f>'T_SelfStock'!CA8</f>
        <v/>
      </c>
      <c r="CD50">
        <f>'T_SelfStock'!CB8</f>
        <v/>
      </c>
      <c r="CE50">
        <f>'T_SelfStock'!CC8</f>
        <v/>
      </c>
      <c r="CF50">
        <f>'T_SelfStock'!CD8</f>
        <v/>
      </c>
      <c r="CG50">
        <f>'T_SelfStock'!CE8</f>
        <v/>
      </c>
      <c r="CH50">
        <f>'T_SelfStock'!CF8</f>
        <v/>
      </c>
      <c r="CI50">
        <f>'T_SelfStock'!CG8</f>
        <v/>
      </c>
      <c r="CJ50">
        <f>'T_SelfStock'!CH8</f>
        <v/>
      </c>
      <c r="CK50">
        <f>'T_SelfStock'!CI8</f>
        <v/>
      </c>
      <c r="CL50">
        <f>'T_SelfStock'!CJ8</f>
        <v/>
      </c>
      <c r="CM50">
        <f>'T_SelfStock'!CK8</f>
        <v/>
      </c>
      <c r="CN50">
        <f>'T_SelfStock'!CL8</f>
        <v/>
      </c>
      <c r="CO50">
        <f>'T_SelfStock'!CM8</f>
        <v/>
      </c>
      <c r="CP50">
        <f>'T_SelfStock'!CN8</f>
        <v/>
      </c>
      <c r="CQ50">
        <f>'T_SelfStock'!CO8</f>
        <v/>
      </c>
      <c r="CR50">
        <f>'T_SelfStock'!CP8</f>
        <v/>
      </c>
      <c r="CS50">
        <f>'T_SelfStock'!CQ8</f>
        <v/>
      </c>
      <c r="CT50">
        <f>'T_SelfStock'!CR8</f>
        <v/>
      </c>
      <c r="CU50">
        <f>'T_SelfStock'!CS8</f>
        <v/>
      </c>
      <c r="CV50">
        <f>'T_SelfStock'!CT8</f>
        <v/>
      </c>
      <c r="CW50">
        <f>'T_SelfStock'!CU8</f>
        <v/>
      </c>
      <c r="CX50">
        <f>'T_SelfStock'!CV8</f>
        <v/>
      </c>
      <c r="CY50">
        <f>'T_SelfStock'!CW8</f>
        <v/>
      </c>
      <c r="CZ50">
        <f>'T_SelfStock'!CX8</f>
        <v/>
      </c>
      <c r="DA50">
        <f>'T_SelfStock'!CY8</f>
        <v/>
      </c>
      <c r="DB50">
        <f>'T_SelfStock'!CZ8</f>
        <v/>
      </c>
      <c r="DC50">
        <f>'T_SelfStock'!DA8</f>
        <v/>
      </c>
    </row>
    <row r="51">
      <c r="B51" t="inlineStr">
        <is>
          <t>Order(発注予定,kg)</t>
        </is>
      </c>
      <c r="D51">
        <f>IF(SUMIFS(T_PlannedOrders[EffectiveQty],T_PlannedOrders[Part Name],$A43,T_PlannedOrders[WeekIndex],1)=0,"",SUMIFS(T_PlannedOrders[EffectiveQty],T_PlannedOrders[Part Name],$A43,T_PlannedOrders[WeekIndex],1)&amp;" ("&amp;TEXT(SUMPRODUCT(MAX((T_PlannedOrders[Part Name]=$A43)*(T_PlannedOrders[WeekIndex]=1)*(T_PlannedOrders[EffectiveQty]&gt;0)*T_PlannedOrders[Order_Month])),"m月")&amp;"発注)")</f>
        <v/>
      </c>
      <c r="E51">
        <f>IF(SUMIFS(T_PlannedOrders[EffectiveQty],T_PlannedOrders[Part Name],$A43,T_PlannedOrders[WeekIndex],2)=0,"",SUMIFS(T_PlannedOrders[EffectiveQty],T_PlannedOrders[Part Name],$A43,T_PlannedOrders[WeekIndex],2)&amp;" ("&amp;TEXT(SUMPRODUCT(MAX((T_PlannedOrders[Part Name]=$A43)*(T_PlannedOrders[WeekIndex]=2)*(T_PlannedOrders[EffectiveQty]&gt;0)*T_PlannedOrders[Order_Month])),"m月")&amp;"発注)")</f>
        <v/>
      </c>
      <c r="F51">
        <f>IF(SUMIFS(T_PlannedOrders[EffectiveQty],T_PlannedOrders[Part Name],$A43,T_PlannedOrders[WeekIndex],3)=0,"",SUMIFS(T_PlannedOrders[EffectiveQty],T_PlannedOrders[Part Name],$A43,T_PlannedOrders[WeekIndex],3)&amp;" ("&amp;TEXT(SUMPRODUCT(MAX((T_PlannedOrders[Part Name]=$A43)*(T_PlannedOrders[WeekIndex]=3)*(T_PlannedOrders[EffectiveQty]&gt;0)*T_PlannedOrders[Order_Month])),"m月")&amp;"発注)")</f>
        <v/>
      </c>
      <c r="G51">
        <f>IF(SUMIFS(T_PlannedOrders[EffectiveQty],T_PlannedOrders[Part Name],$A43,T_PlannedOrders[WeekIndex],4)=0,"",SUMIFS(T_PlannedOrders[EffectiveQty],T_PlannedOrders[Part Name],$A43,T_PlannedOrders[WeekIndex],4)&amp;" ("&amp;TEXT(SUMPRODUCT(MAX((T_PlannedOrders[Part Name]=$A43)*(T_PlannedOrders[WeekIndex]=4)*(T_PlannedOrders[EffectiveQty]&gt;0)*T_PlannedOrders[Order_Month])),"m月")&amp;"発注)")</f>
        <v/>
      </c>
      <c r="H51">
        <f>IF(SUMIFS(T_PlannedOrders[EffectiveQty],T_PlannedOrders[Part Name],$A43,T_PlannedOrders[WeekIndex],5)=0,"",SUMIFS(T_PlannedOrders[EffectiveQty],T_PlannedOrders[Part Name],$A43,T_PlannedOrders[WeekIndex],5)&amp;" ("&amp;TEXT(SUMPRODUCT(MAX((T_PlannedOrders[Part Name]=$A43)*(T_PlannedOrders[WeekIndex]=5)*(T_PlannedOrders[EffectiveQty]&gt;0)*T_PlannedOrders[Order_Month])),"m月")&amp;"発注)")</f>
        <v/>
      </c>
      <c r="I51">
        <f>IF(SUMIFS(T_PlannedOrders[EffectiveQty],T_PlannedOrders[Part Name],$A43,T_PlannedOrders[WeekIndex],6)=0,"",SUMIFS(T_PlannedOrders[EffectiveQty],T_PlannedOrders[Part Name],$A43,T_PlannedOrders[WeekIndex],6)&amp;" ("&amp;TEXT(SUMPRODUCT(MAX((T_PlannedOrders[Part Name]=$A43)*(T_PlannedOrders[WeekIndex]=6)*(T_PlannedOrders[EffectiveQty]&gt;0)*T_PlannedOrders[Order_Month])),"m月")&amp;"発注)")</f>
        <v/>
      </c>
      <c r="J51">
        <f>IF(SUMIFS(T_PlannedOrders[EffectiveQty],T_PlannedOrders[Part Name],$A43,T_PlannedOrders[WeekIndex],7)=0,"",SUMIFS(T_PlannedOrders[EffectiveQty],T_PlannedOrders[Part Name],$A43,T_PlannedOrders[WeekIndex],7)&amp;" ("&amp;TEXT(SUMPRODUCT(MAX((T_PlannedOrders[Part Name]=$A43)*(T_PlannedOrders[WeekIndex]=7)*(T_PlannedOrders[EffectiveQty]&gt;0)*T_PlannedOrders[Order_Month])),"m月")&amp;"発注)")</f>
        <v/>
      </c>
      <c r="K51">
        <f>IF(SUMIFS(T_PlannedOrders[EffectiveQty],T_PlannedOrders[Part Name],$A43,T_PlannedOrders[WeekIndex],8)=0,"",SUMIFS(T_PlannedOrders[EffectiveQty],T_PlannedOrders[Part Name],$A43,T_PlannedOrders[WeekIndex],8)&amp;" ("&amp;TEXT(SUMPRODUCT(MAX((T_PlannedOrders[Part Name]=$A43)*(T_PlannedOrders[WeekIndex]=8)*(T_PlannedOrders[EffectiveQty]&gt;0)*T_PlannedOrders[Order_Month])),"m月")&amp;"発注)")</f>
        <v/>
      </c>
      <c r="L51">
        <f>IF(SUMIFS(T_PlannedOrders[EffectiveQty],T_PlannedOrders[Part Name],$A43,T_PlannedOrders[WeekIndex],9)=0,"",SUMIFS(T_PlannedOrders[EffectiveQty],T_PlannedOrders[Part Name],$A43,T_PlannedOrders[WeekIndex],9)&amp;" ("&amp;TEXT(SUMPRODUCT(MAX((T_PlannedOrders[Part Name]=$A43)*(T_PlannedOrders[WeekIndex]=9)*(T_PlannedOrders[EffectiveQty]&gt;0)*T_PlannedOrders[Order_Month])),"m月")&amp;"発注)")</f>
        <v/>
      </c>
      <c r="M51">
        <f>IF(SUMIFS(T_PlannedOrders[EffectiveQty],T_PlannedOrders[Part Name],$A43,T_PlannedOrders[WeekIndex],10)=0,"",SUMIFS(T_PlannedOrders[EffectiveQty],T_PlannedOrders[Part Name],$A43,T_PlannedOrders[WeekIndex],10)&amp;" ("&amp;TEXT(SUMPRODUCT(MAX((T_PlannedOrders[Part Name]=$A43)*(T_PlannedOrders[WeekIndex]=10)*(T_PlannedOrders[EffectiveQty]&gt;0)*T_PlannedOrders[Order_Month])),"m月")&amp;"発注)")</f>
        <v/>
      </c>
      <c r="N51">
        <f>IF(SUMIFS(T_PlannedOrders[EffectiveQty],T_PlannedOrders[Part Name],$A43,T_PlannedOrders[WeekIndex],11)=0,"",SUMIFS(T_PlannedOrders[EffectiveQty],T_PlannedOrders[Part Name],$A43,T_PlannedOrders[WeekIndex],11)&amp;" ("&amp;TEXT(SUMPRODUCT(MAX((T_PlannedOrders[Part Name]=$A43)*(T_PlannedOrders[WeekIndex]=11)*(T_PlannedOrders[EffectiveQty]&gt;0)*T_PlannedOrders[Order_Month])),"m月")&amp;"発注)")</f>
        <v/>
      </c>
      <c r="O51">
        <f>IF(SUMIFS(T_PlannedOrders[EffectiveQty],T_PlannedOrders[Part Name],$A43,T_PlannedOrders[WeekIndex],12)=0,"",SUMIFS(T_PlannedOrders[EffectiveQty],T_PlannedOrders[Part Name],$A43,T_PlannedOrders[WeekIndex],12)&amp;" ("&amp;TEXT(SUMPRODUCT(MAX((T_PlannedOrders[Part Name]=$A43)*(T_PlannedOrders[WeekIndex]=12)*(T_PlannedOrders[EffectiveQty]&gt;0)*T_PlannedOrders[Order_Month])),"m月")&amp;"発注)")</f>
        <v/>
      </c>
      <c r="P51">
        <f>IF(SUMIFS(T_PlannedOrders[EffectiveQty],T_PlannedOrders[Part Name],$A43,T_PlannedOrders[WeekIndex],13)=0,"",SUMIFS(T_PlannedOrders[EffectiveQty],T_PlannedOrders[Part Name],$A43,T_PlannedOrders[WeekIndex],13)&amp;" ("&amp;TEXT(SUMPRODUCT(MAX((T_PlannedOrders[Part Name]=$A43)*(T_PlannedOrders[WeekIndex]=13)*(T_PlannedOrders[EffectiveQty]&gt;0)*T_PlannedOrders[Order_Month])),"m月")&amp;"発注)")</f>
        <v/>
      </c>
      <c r="Q51">
        <f>IF(SUMIFS(T_PlannedOrders[EffectiveQty],T_PlannedOrders[Part Name],$A43,T_PlannedOrders[WeekIndex],14)=0,"",SUMIFS(T_PlannedOrders[EffectiveQty],T_PlannedOrders[Part Name],$A43,T_PlannedOrders[WeekIndex],14)&amp;" ("&amp;TEXT(SUMPRODUCT(MAX((T_PlannedOrders[Part Name]=$A43)*(T_PlannedOrders[WeekIndex]=14)*(T_PlannedOrders[EffectiveQty]&gt;0)*T_PlannedOrders[Order_Month])),"m月")&amp;"発注)")</f>
        <v/>
      </c>
      <c r="R51">
        <f>IF(SUMIFS(T_PlannedOrders[EffectiveQty],T_PlannedOrders[Part Name],$A43,T_PlannedOrders[WeekIndex],15)=0,"",SUMIFS(T_PlannedOrders[EffectiveQty],T_PlannedOrders[Part Name],$A43,T_PlannedOrders[WeekIndex],15)&amp;" ("&amp;TEXT(SUMPRODUCT(MAX((T_PlannedOrders[Part Name]=$A43)*(T_PlannedOrders[WeekIndex]=15)*(T_PlannedOrders[EffectiveQty]&gt;0)*T_PlannedOrders[Order_Month])),"m月")&amp;"発注)")</f>
        <v/>
      </c>
      <c r="S51">
        <f>IF(SUMIFS(T_PlannedOrders[EffectiveQty],T_PlannedOrders[Part Name],$A43,T_PlannedOrders[WeekIndex],16)=0,"",SUMIFS(T_PlannedOrders[EffectiveQty],T_PlannedOrders[Part Name],$A43,T_PlannedOrders[WeekIndex],16)&amp;" ("&amp;TEXT(SUMPRODUCT(MAX((T_PlannedOrders[Part Name]=$A43)*(T_PlannedOrders[WeekIndex]=16)*(T_PlannedOrders[EffectiveQty]&gt;0)*T_PlannedOrders[Order_Month])),"m月")&amp;"発注)")</f>
        <v/>
      </c>
      <c r="T51">
        <f>IF(SUMIFS(T_PlannedOrders[EffectiveQty],T_PlannedOrders[Part Name],$A43,T_PlannedOrders[WeekIndex],17)=0,"",SUMIFS(T_PlannedOrders[EffectiveQty],T_PlannedOrders[Part Name],$A43,T_PlannedOrders[WeekIndex],17)&amp;" ("&amp;TEXT(SUMPRODUCT(MAX((T_PlannedOrders[Part Name]=$A43)*(T_PlannedOrders[WeekIndex]=17)*(T_PlannedOrders[EffectiveQty]&gt;0)*T_PlannedOrders[Order_Month])),"m月")&amp;"発注)")</f>
        <v/>
      </c>
      <c r="U51">
        <f>IF(SUMIFS(T_PlannedOrders[EffectiveQty],T_PlannedOrders[Part Name],$A43,T_PlannedOrders[WeekIndex],18)=0,"",SUMIFS(T_PlannedOrders[EffectiveQty],T_PlannedOrders[Part Name],$A43,T_PlannedOrders[WeekIndex],18)&amp;" ("&amp;TEXT(SUMPRODUCT(MAX((T_PlannedOrders[Part Name]=$A43)*(T_PlannedOrders[WeekIndex]=18)*(T_PlannedOrders[EffectiveQty]&gt;0)*T_PlannedOrders[Order_Month])),"m月")&amp;"発注)")</f>
        <v/>
      </c>
      <c r="V51">
        <f>IF(SUMIFS(T_PlannedOrders[EffectiveQty],T_PlannedOrders[Part Name],$A43,T_PlannedOrders[WeekIndex],19)=0,"",SUMIFS(T_PlannedOrders[EffectiveQty],T_PlannedOrders[Part Name],$A43,T_PlannedOrders[WeekIndex],19)&amp;" ("&amp;TEXT(SUMPRODUCT(MAX((T_PlannedOrders[Part Name]=$A43)*(T_PlannedOrders[WeekIndex]=19)*(T_PlannedOrders[EffectiveQty]&gt;0)*T_PlannedOrders[Order_Month])),"m月")&amp;"発注)")</f>
        <v/>
      </c>
      <c r="W51">
        <f>IF(SUMIFS(T_PlannedOrders[EffectiveQty],T_PlannedOrders[Part Name],$A43,T_PlannedOrders[WeekIndex],20)=0,"",SUMIFS(T_PlannedOrders[EffectiveQty],T_PlannedOrders[Part Name],$A43,T_PlannedOrders[WeekIndex],20)&amp;" ("&amp;TEXT(SUMPRODUCT(MAX((T_PlannedOrders[Part Name]=$A43)*(T_PlannedOrders[WeekIndex]=20)*(T_PlannedOrders[EffectiveQty]&gt;0)*T_PlannedOrders[Order_Month])),"m月")&amp;"発注)")</f>
        <v/>
      </c>
      <c r="X51">
        <f>IF(SUMIFS(T_PlannedOrders[EffectiveQty],T_PlannedOrders[Part Name],$A43,T_PlannedOrders[WeekIndex],21)=0,"",SUMIFS(T_PlannedOrders[EffectiveQty],T_PlannedOrders[Part Name],$A43,T_PlannedOrders[WeekIndex],21)&amp;" ("&amp;TEXT(SUMPRODUCT(MAX((T_PlannedOrders[Part Name]=$A43)*(T_PlannedOrders[WeekIndex]=21)*(T_PlannedOrders[EffectiveQty]&gt;0)*T_PlannedOrders[Order_Month])),"m月")&amp;"発注)")</f>
        <v/>
      </c>
      <c r="Y51">
        <f>IF(SUMIFS(T_PlannedOrders[EffectiveQty],T_PlannedOrders[Part Name],$A43,T_PlannedOrders[WeekIndex],22)=0,"",SUMIFS(T_PlannedOrders[EffectiveQty],T_PlannedOrders[Part Name],$A43,T_PlannedOrders[WeekIndex],22)&amp;" ("&amp;TEXT(SUMPRODUCT(MAX((T_PlannedOrders[Part Name]=$A43)*(T_PlannedOrders[WeekIndex]=22)*(T_PlannedOrders[EffectiveQty]&gt;0)*T_PlannedOrders[Order_Month])),"m月")&amp;"発注)")</f>
        <v/>
      </c>
      <c r="Z51">
        <f>IF(SUMIFS(T_PlannedOrders[EffectiveQty],T_PlannedOrders[Part Name],$A43,T_PlannedOrders[WeekIndex],23)=0,"",SUMIFS(T_PlannedOrders[EffectiveQty],T_PlannedOrders[Part Name],$A43,T_PlannedOrders[WeekIndex],23)&amp;" ("&amp;TEXT(SUMPRODUCT(MAX((T_PlannedOrders[Part Name]=$A43)*(T_PlannedOrders[WeekIndex]=23)*(T_PlannedOrders[EffectiveQty]&gt;0)*T_PlannedOrders[Order_Month])),"m月")&amp;"発注)")</f>
        <v/>
      </c>
      <c r="AA51">
        <f>IF(SUMIFS(T_PlannedOrders[EffectiveQty],T_PlannedOrders[Part Name],$A43,T_PlannedOrders[WeekIndex],24)=0,"",SUMIFS(T_PlannedOrders[EffectiveQty],T_PlannedOrders[Part Name],$A43,T_PlannedOrders[WeekIndex],24)&amp;" ("&amp;TEXT(SUMPRODUCT(MAX((T_PlannedOrders[Part Name]=$A43)*(T_PlannedOrders[WeekIndex]=24)*(T_PlannedOrders[EffectiveQty]&gt;0)*T_PlannedOrders[Order_Month])),"m月")&amp;"発注)")</f>
        <v/>
      </c>
      <c r="AB51">
        <f>IF(SUMIFS(T_PlannedOrders[EffectiveQty],T_PlannedOrders[Part Name],$A43,T_PlannedOrders[WeekIndex],25)=0,"",SUMIFS(T_PlannedOrders[EffectiveQty],T_PlannedOrders[Part Name],$A43,T_PlannedOrders[WeekIndex],25)&amp;" ("&amp;TEXT(SUMPRODUCT(MAX((T_PlannedOrders[Part Name]=$A43)*(T_PlannedOrders[WeekIndex]=25)*(T_PlannedOrders[EffectiveQty]&gt;0)*T_PlannedOrders[Order_Month])),"m月")&amp;"発注)")</f>
        <v/>
      </c>
      <c r="AC51">
        <f>IF(SUMIFS(T_PlannedOrders[EffectiveQty],T_PlannedOrders[Part Name],$A43,T_PlannedOrders[WeekIndex],26)=0,"",SUMIFS(T_PlannedOrders[EffectiveQty],T_PlannedOrders[Part Name],$A43,T_PlannedOrders[WeekIndex],26)&amp;" ("&amp;TEXT(SUMPRODUCT(MAX((T_PlannedOrders[Part Name]=$A43)*(T_PlannedOrders[WeekIndex]=26)*(T_PlannedOrders[EffectiveQty]&gt;0)*T_PlannedOrders[Order_Month])),"m月")&amp;"発注)")</f>
        <v/>
      </c>
      <c r="AD51">
        <f>IF(SUMIFS(T_PlannedOrders[EffectiveQty],T_PlannedOrders[Part Name],$A43,T_PlannedOrders[WeekIndex],27)=0,"",SUMIFS(T_PlannedOrders[EffectiveQty],T_PlannedOrders[Part Name],$A43,T_PlannedOrders[WeekIndex],27)&amp;" ("&amp;TEXT(SUMPRODUCT(MAX((T_PlannedOrders[Part Name]=$A43)*(T_PlannedOrders[WeekIndex]=27)*(T_PlannedOrders[EffectiveQty]&gt;0)*T_PlannedOrders[Order_Month])),"m月")&amp;"発注)")</f>
        <v/>
      </c>
      <c r="AE51">
        <f>IF(SUMIFS(T_PlannedOrders[EffectiveQty],T_PlannedOrders[Part Name],$A43,T_PlannedOrders[WeekIndex],28)=0,"",SUMIFS(T_PlannedOrders[EffectiveQty],T_PlannedOrders[Part Name],$A43,T_PlannedOrders[WeekIndex],28)&amp;" ("&amp;TEXT(SUMPRODUCT(MAX((T_PlannedOrders[Part Name]=$A43)*(T_PlannedOrders[WeekIndex]=28)*(T_PlannedOrders[EffectiveQty]&gt;0)*T_PlannedOrders[Order_Month])),"m月")&amp;"発注)")</f>
        <v/>
      </c>
      <c r="AF51">
        <f>IF(SUMIFS(T_PlannedOrders[EffectiveQty],T_PlannedOrders[Part Name],$A43,T_PlannedOrders[WeekIndex],29)=0,"",SUMIFS(T_PlannedOrders[EffectiveQty],T_PlannedOrders[Part Name],$A43,T_PlannedOrders[WeekIndex],29)&amp;" ("&amp;TEXT(SUMPRODUCT(MAX((T_PlannedOrders[Part Name]=$A43)*(T_PlannedOrders[WeekIndex]=29)*(T_PlannedOrders[EffectiveQty]&gt;0)*T_PlannedOrders[Order_Month])),"m月")&amp;"発注)")</f>
        <v/>
      </c>
      <c r="AG51">
        <f>IF(SUMIFS(T_PlannedOrders[EffectiveQty],T_PlannedOrders[Part Name],$A43,T_PlannedOrders[WeekIndex],30)=0,"",SUMIFS(T_PlannedOrders[EffectiveQty],T_PlannedOrders[Part Name],$A43,T_PlannedOrders[WeekIndex],30)&amp;" ("&amp;TEXT(SUMPRODUCT(MAX((T_PlannedOrders[Part Name]=$A43)*(T_PlannedOrders[WeekIndex]=30)*(T_PlannedOrders[EffectiveQty]&gt;0)*T_PlannedOrders[Order_Month])),"m月")&amp;"発注)")</f>
        <v/>
      </c>
      <c r="AH51">
        <f>IF(SUMIFS(T_PlannedOrders[EffectiveQty],T_PlannedOrders[Part Name],$A43,T_PlannedOrders[WeekIndex],31)=0,"",SUMIFS(T_PlannedOrders[EffectiveQty],T_PlannedOrders[Part Name],$A43,T_PlannedOrders[WeekIndex],31)&amp;" ("&amp;TEXT(SUMPRODUCT(MAX((T_PlannedOrders[Part Name]=$A43)*(T_PlannedOrders[WeekIndex]=31)*(T_PlannedOrders[EffectiveQty]&gt;0)*T_PlannedOrders[Order_Month])),"m月")&amp;"発注)")</f>
        <v/>
      </c>
      <c r="AI51">
        <f>IF(SUMIFS(T_PlannedOrders[EffectiveQty],T_PlannedOrders[Part Name],$A43,T_PlannedOrders[WeekIndex],32)=0,"",SUMIFS(T_PlannedOrders[EffectiveQty],T_PlannedOrders[Part Name],$A43,T_PlannedOrders[WeekIndex],32)&amp;" ("&amp;TEXT(SUMPRODUCT(MAX((T_PlannedOrders[Part Name]=$A43)*(T_PlannedOrders[WeekIndex]=32)*(T_PlannedOrders[EffectiveQty]&gt;0)*T_PlannedOrders[Order_Month])),"m月")&amp;"発注)")</f>
        <v/>
      </c>
      <c r="AJ51">
        <f>IF(SUMIFS(T_PlannedOrders[EffectiveQty],T_PlannedOrders[Part Name],$A43,T_PlannedOrders[WeekIndex],33)=0,"",SUMIFS(T_PlannedOrders[EffectiveQty],T_PlannedOrders[Part Name],$A43,T_PlannedOrders[WeekIndex],33)&amp;" ("&amp;TEXT(SUMPRODUCT(MAX((T_PlannedOrders[Part Name]=$A43)*(T_PlannedOrders[WeekIndex]=33)*(T_PlannedOrders[EffectiveQty]&gt;0)*T_PlannedOrders[Order_Month])),"m月")&amp;"発注)")</f>
        <v/>
      </c>
      <c r="AK51">
        <f>IF(SUMIFS(T_PlannedOrders[EffectiveQty],T_PlannedOrders[Part Name],$A43,T_PlannedOrders[WeekIndex],34)=0,"",SUMIFS(T_PlannedOrders[EffectiveQty],T_PlannedOrders[Part Name],$A43,T_PlannedOrders[WeekIndex],34)&amp;" ("&amp;TEXT(SUMPRODUCT(MAX((T_PlannedOrders[Part Name]=$A43)*(T_PlannedOrders[WeekIndex]=34)*(T_PlannedOrders[EffectiveQty]&gt;0)*T_PlannedOrders[Order_Month])),"m月")&amp;"発注)")</f>
        <v/>
      </c>
      <c r="AL51">
        <f>IF(SUMIFS(T_PlannedOrders[EffectiveQty],T_PlannedOrders[Part Name],$A43,T_PlannedOrders[WeekIndex],35)=0,"",SUMIFS(T_PlannedOrders[EffectiveQty],T_PlannedOrders[Part Name],$A43,T_PlannedOrders[WeekIndex],35)&amp;" ("&amp;TEXT(SUMPRODUCT(MAX((T_PlannedOrders[Part Name]=$A43)*(T_PlannedOrders[WeekIndex]=35)*(T_PlannedOrders[EffectiveQty]&gt;0)*T_PlannedOrders[Order_Month])),"m月")&amp;"発注)")</f>
        <v/>
      </c>
      <c r="AM51">
        <f>IF(SUMIFS(T_PlannedOrders[EffectiveQty],T_PlannedOrders[Part Name],$A43,T_PlannedOrders[WeekIndex],36)=0,"",SUMIFS(T_PlannedOrders[EffectiveQty],T_PlannedOrders[Part Name],$A43,T_PlannedOrders[WeekIndex],36)&amp;" ("&amp;TEXT(SUMPRODUCT(MAX((T_PlannedOrders[Part Name]=$A43)*(T_PlannedOrders[WeekIndex]=36)*(T_PlannedOrders[EffectiveQty]&gt;0)*T_PlannedOrders[Order_Month])),"m月")&amp;"発注)")</f>
        <v/>
      </c>
      <c r="AN51">
        <f>IF(SUMIFS(T_PlannedOrders[EffectiveQty],T_PlannedOrders[Part Name],$A43,T_PlannedOrders[WeekIndex],37)=0,"",SUMIFS(T_PlannedOrders[EffectiveQty],T_PlannedOrders[Part Name],$A43,T_PlannedOrders[WeekIndex],37)&amp;" ("&amp;TEXT(SUMPRODUCT(MAX((T_PlannedOrders[Part Name]=$A43)*(T_PlannedOrders[WeekIndex]=37)*(T_PlannedOrders[EffectiveQty]&gt;0)*T_PlannedOrders[Order_Month])),"m月")&amp;"発注)")</f>
        <v/>
      </c>
      <c r="AO51">
        <f>IF(SUMIFS(T_PlannedOrders[EffectiveQty],T_PlannedOrders[Part Name],$A43,T_PlannedOrders[WeekIndex],38)=0,"",SUMIFS(T_PlannedOrders[EffectiveQty],T_PlannedOrders[Part Name],$A43,T_PlannedOrders[WeekIndex],38)&amp;" ("&amp;TEXT(SUMPRODUCT(MAX((T_PlannedOrders[Part Name]=$A43)*(T_PlannedOrders[WeekIndex]=38)*(T_PlannedOrders[EffectiveQty]&gt;0)*T_PlannedOrders[Order_Month])),"m月")&amp;"発注)")</f>
        <v/>
      </c>
      <c r="AP51">
        <f>IF(SUMIFS(T_PlannedOrders[EffectiveQty],T_PlannedOrders[Part Name],$A43,T_PlannedOrders[WeekIndex],39)=0,"",SUMIFS(T_PlannedOrders[EffectiveQty],T_PlannedOrders[Part Name],$A43,T_PlannedOrders[WeekIndex],39)&amp;" ("&amp;TEXT(SUMPRODUCT(MAX((T_PlannedOrders[Part Name]=$A43)*(T_PlannedOrders[WeekIndex]=39)*(T_PlannedOrders[EffectiveQty]&gt;0)*T_PlannedOrders[Order_Month])),"m月")&amp;"発注)")</f>
        <v/>
      </c>
      <c r="AQ51">
        <f>IF(SUMIFS(T_PlannedOrders[EffectiveQty],T_PlannedOrders[Part Name],$A43,T_PlannedOrders[WeekIndex],40)=0,"",SUMIFS(T_PlannedOrders[EffectiveQty],T_PlannedOrders[Part Name],$A43,T_PlannedOrders[WeekIndex],40)&amp;" ("&amp;TEXT(SUMPRODUCT(MAX((T_PlannedOrders[Part Name]=$A43)*(T_PlannedOrders[WeekIndex]=40)*(T_PlannedOrders[EffectiveQty]&gt;0)*T_PlannedOrders[Order_Month])),"m月")&amp;"発注)")</f>
        <v/>
      </c>
      <c r="AR51">
        <f>IF(SUMIFS(T_PlannedOrders[EffectiveQty],T_PlannedOrders[Part Name],$A43,T_PlannedOrders[WeekIndex],41)=0,"",SUMIFS(T_PlannedOrders[EffectiveQty],T_PlannedOrders[Part Name],$A43,T_PlannedOrders[WeekIndex],41)&amp;" ("&amp;TEXT(SUMPRODUCT(MAX((T_PlannedOrders[Part Name]=$A43)*(T_PlannedOrders[WeekIndex]=41)*(T_PlannedOrders[EffectiveQty]&gt;0)*T_PlannedOrders[Order_Month])),"m月")&amp;"発注)")</f>
        <v/>
      </c>
      <c r="AS51">
        <f>IF(SUMIFS(T_PlannedOrders[EffectiveQty],T_PlannedOrders[Part Name],$A43,T_PlannedOrders[WeekIndex],42)=0,"",SUMIFS(T_PlannedOrders[EffectiveQty],T_PlannedOrders[Part Name],$A43,T_PlannedOrders[WeekIndex],42)&amp;" ("&amp;TEXT(SUMPRODUCT(MAX((T_PlannedOrders[Part Name]=$A43)*(T_PlannedOrders[WeekIndex]=42)*(T_PlannedOrders[EffectiveQty]&gt;0)*T_PlannedOrders[Order_Month])),"m月")&amp;"発注)")</f>
        <v/>
      </c>
      <c r="AT51">
        <f>IF(SUMIFS(T_PlannedOrders[EffectiveQty],T_PlannedOrders[Part Name],$A43,T_PlannedOrders[WeekIndex],43)=0,"",SUMIFS(T_PlannedOrders[EffectiveQty],T_PlannedOrders[Part Name],$A43,T_PlannedOrders[WeekIndex],43)&amp;" ("&amp;TEXT(SUMPRODUCT(MAX((T_PlannedOrders[Part Name]=$A43)*(T_PlannedOrders[WeekIndex]=43)*(T_PlannedOrders[EffectiveQty]&gt;0)*T_PlannedOrders[Order_Month])),"m月")&amp;"発注)")</f>
        <v/>
      </c>
      <c r="AU51">
        <f>IF(SUMIFS(T_PlannedOrders[EffectiveQty],T_PlannedOrders[Part Name],$A43,T_PlannedOrders[WeekIndex],44)=0,"",SUMIFS(T_PlannedOrders[EffectiveQty],T_PlannedOrders[Part Name],$A43,T_PlannedOrders[WeekIndex],44)&amp;" ("&amp;TEXT(SUMPRODUCT(MAX((T_PlannedOrders[Part Name]=$A43)*(T_PlannedOrders[WeekIndex]=44)*(T_PlannedOrders[EffectiveQty]&gt;0)*T_PlannedOrders[Order_Month])),"m月")&amp;"発注)")</f>
        <v/>
      </c>
      <c r="AV51">
        <f>IF(SUMIFS(T_PlannedOrders[EffectiveQty],T_PlannedOrders[Part Name],$A43,T_PlannedOrders[WeekIndex],45)=0,"",SUMIFS(T_PlannedOrders[EffectiveQty],T_PlannedOrders[Part Name],$A43,T_PlannedOrders[WeekIndex],45)&amp;" ("&amp;TEXT(SUMPRODUCT(MAX((T_PlannedOrders[Part Name]=$A43)*(T_PlannedOrders[WeekIndex]=45)*(T_PlannedOrders[EffectiveQty]&gt;0)*T_PlannedOrders[Order_Month])),"m月")&amp;"発注)")</f>
        <v/>
      </c>
      <c r="AW51">
        <f>IF(SUMIFS(T_PlannedOrders[EffectiveQty],T_PlannedOrders[Part Name],$A43,T_PlannedOrders[WeekIndex],46)=0,"",SUMIFS(T_PlannedOrders[EffectiveQty],T_PlannedOrders[Part Name],$A43,T_PlannedOrders[WeekIndex],46)&amp;" ("&amp;TEXT(SUMPRODUCT(MAX((T_PlannedOrders[Part Name]=$A43)*(T_PlannedOrders[WeekIndex]=46)*(T_PlannedOrders[EffectiveQty]&gt;0)*T_PlannedOrders[Order_Month])),"m月")&amp;"発注)")</f>
        <v/>
      </c>
      <c r="AX51">
        <f>IF(SUMIFS(T_PlannedOrders[EffectiveQty],T_PlannedOrders[Part Name],$A43,T_PlannedOrders[WeekIndex],47)=0,"",SUMIFS(T_PlannedOrders[EffectiveQty],T_PlannedOrders[Part Name],$A43,T_PlannedOrders[WeekIndex],47)&amp;" ("&amp;TEXT(SUMPRODUCT(MAX((T_PlannedOrders[Part Name]=$A43)*(T_PlannedOrders[WeekIndex]=47)*(T_PlannedOrders[EffectiveQty]&gt;0)*T_PlannedOrders[Order_Month])),"m月")&amp;"発注)")</f>
        <v/>
      </c>
      <c r="AY51">
        <f>IF(SUMIFS(T_PlannedOrders[EffectiveQty],T_PlannedOrders[Part Name],$A43,T_PlannedOrders[WeekIndex],48)=0,"",SUMIFS(T_PlannedOrders[EffectiveQty],T_PlannedOrders[Part Name],$A43,T_PlannedOrders[WeekIndex],48)&amp;" ("&amp;TEXT(SUMPRODUCT(MAX((T_PlannedOrders[Part Name]=$A43)*(T_PlannedOrders[WeekIndex]=48)*(T_PlannedOrders[EffectiveQty]&gt;0)*T_PlannedOrders[Order_Month])),"m月")&amp;"発注)")</f>
        <v/>
      </c>
      <c r="AZ51">
        <f>IF(SUMIFS(T_PlannedOrders[EffectiveQty],T_PlannedOrders[Part Name],$A43,T_PlannedOrders[WeekIndex],49)=0,"",SUMIFS(T_PlannedOrders[EffectiveQty],T_PlannedOrders[Part Name],$A43,T_PlannedOrders[WeekIndex],49)&amp;" ("&amp;TEXT(SUMPRODUCT(MAX((T_PlannedOrders[Part Name]=$A43)*(T_PlannedOrders[WeekIndex]=49)*(T_PlannedOrders[EffectiveQty]&gt;0)*T_PlannedOrders[Order_Month])),"m月")&amp;"発注)")</f>
        <v/>
      </c>
      <c r="BA51">
        <f>IF(SUMIFS(T_PlannedOrders[EffectiveQty],T_PlannedOrders[Part Name],$A43,T_PlannedOrders[WeekIndex],50)=0,"",SUMIFS(T_PlannedOrders[EffectiveQty],T_PlannedOrders[Part Name],$A43,T_PlannedOrders[WeekIndex],50)&amp;" ("&amp;TEXT(SUMPRODUCT(MAX((T_PlannedOrders[Part Name]=$A43)*(T_PlannedOrders[WeekIndex]=50)*(T_PlannedOrders[EffectiveQty]&gt;0)*T_PlannedOrders[Order_Month])),"m月")&amp;"発注)")</f>
        <v/>
      </c>
      <c r="BB51">
        <f>IF(SUMIFS(T_PlannedOrders[EffectiveQty],T_PlannedOrders[Part Name],$A43,T_PlannedOrders[WeekIndex],51)=0,"",SUMIFS(T_PlannedOrders[EffectiveQty],T_PlannedOrders[Part Name],$A43,T_PlannedOrders[WeekIndex],51)&amp;" ("&amp;TEXT(SUMPRODUCT(MAX((T_PlannedOrders[Part Name]=$A43)*(T_PlannedOrders[WeekIndex]=51)*(T_PlannedOrders[EffectiveQty]&gt;0)*T_PlannedOrders[Order_Month])),"m月")&amp;"発注)")</f>
        <v/>
      </c>
      <c r="BC51">
        <f>IF(SUMIFS(T_PlannedOrders[EffectiveQty],T_PlannedOrders[Part Name],$A43,T_PlannedOrders[WeekIndex],52)=0,"",SUMIFS(T_PlannedOrders[EffectiveQty],T_PlannedOrders[Part Name],$A43,T_PlannedOrders[WeekIndex],52)&amp;" ("&amp;TEXT(SUMPRODUCT(MAX((T_PlannedOrders[Part Name]=$A43)*(T_PlannedOrders[WeekIndex]=52)*(T_PlannedOrders[EffectiveQty]&gt;0)*T_PlannedOrders[Order_Month])),"m月")&amp;"発注)")</f>
        <v/>
      </c>
      <c r="BD51">
        <f>IF(SUMIFS(T_PlannedOrders[EffectiveQty],T_PlannedOrders[Part Name],$A43,T_PlannedOrders[WeekIndex],53)=0,"",SUMIFS(T_PlannedOrders[EffectiveQty],T_PlannedOrders[Part Name],$A43,T_PlannedOrders[WeekIndex],53)&amp;" ("&amp;TEXT(SUMPRODUCT(MAX((T_PlannedOrders[Part Name]=$A43)*(T_PlannedOrders[WeekIndex]=53)*(T_PlannedOrders[EffectiveQty]&gt;0)*T_PlannedOrders[Order_Month])),"m月")&amp;"発注)")</f>
        <v/>
      </c>
      <c r="BE51">
        <f>IF(SUMIFS(T_PlannedOrders[EffectiveQty],T_PlannedOrders[Part Name],$A43,T_PlannedOrders[WeekIndex],54)=0,"",SUMIFS(T_PlannedOrders[EffectiveQty],T_PlannedOrders[Part Name],$A43,T_PlannedOrders[WeekIndex],54)&amp;" ("&amp;TEXT(SUMPRODUCT(MAX((T_PlannedOrders[Part Name]=$A43)*(T_PlannedOrders[WeekIndex]=54)*(T_PlannedOrders[EffectiveQty]&gt;0)*T_PlannedOrders[Order_Month])),"m月")&amp;"発注)")</f>
        <v/>
      </c>
      <c r="BF51">
        <f>IF(SUMIFS(T_PlannedOrders[EffectiveQty],T_PlannedOrders[Part Name],$A43,T_PlannedOrders[WeekIndex],55)=0,"",SUMIFS(T_PlannedOrders[EffectiveQty],T_PlannedOrders[Part Name],$A43,T_PlannedOrders[WeekIndex],55)&amp;" ("&amp;TEXT(SUMPRODUCT(MAX((T_PlannedOrders[Part Name]=$A43)*(T_PlannedOrders[WeekIndex]=55)*(T_PlannedOrders[EffectiveQty]&gt;0)*T_PlannedOrders[Order_Month])),"m月")&amp;"発注)")</f>
        <v/>
      </c>
      <c r="BG51">
        <f>IF(SUMIFS(T_PlannedOrders[EffectiveQty],T_PlannedOrders[Part Name],$A43,T_PlannedOrders[WeekIndex],56)=0,"",SUMIFS(T_PlannedOrders[EffectiveQty],T_PlannedOrders[Part Name],$A43,T_PlannedOrders[WeekIndex],56)&amp;" ("&amp;TEXT(SUMPRODUCT(MAX((T_PlannedOrders[Part Name]=$A43)*(T_PlannedOrders[WeekIndex]=56)*(T_PlannedOrders[EffectiveQty]&gt;0)*T_PlannedOrders[Order_Month])),"m月")&amp;"発注)")</f>
        <v/>
      </c>
      <c r="BH51">
        <f>IF(SUMIFS(T_PlannedOrders[EffectiveQty],T_PlannedOrders[Part Name],$A43,T_PlannedOrders[WeekIndex],57)=0,"",SUMIFS(T_PlannedOrders[EffectiveQty],T_PlannedOrders[Part Name],$A43,T_PlannedOrders[WeekIndex],57)&amp;" ("&amp;TEXT(SUMPRODUCT(MAX((T_PlannedOrders[Part Name]=$A43)*(T_PlannedOrders[WeekIndex]=57)*(T_PlannedOrders[EffectiveQty]&gt;0)*T_PlannedOrders[Order_Month])),"m月")&amp;"発注)")</f>
        <v/>
      </c>
      <c r="BI51">
        <f>IF(SUMIFS(T_PlannedOrders[EffectiveQty],T_PlannedOrders[Part Name],$A43,T_PlannedOrders[WeekIndex],58)=0,"",SUMIFS(T_PlannedOrders[EffectiveQty],T_PlannedOrders[Part Name],$A43,T_PlannedOrders[WeekIndex],58)&amp;" ("&amp;TEXT(SUMPRODUCT(MAX((T_PlannedOrders[Part Name]=$A43)*(T_PlannedOrders[WeekIndex]=58)*(T_PlannedOrders[EffectiveQty]&gt;0)*T_PlannedOrders[Order_Month])),"m月")&amp;"発注)")</f>
        <v/>
      </c>
      <c r="BJ51">
        <f>IF(SUMIFS(T_PlannedOrders[EffectiveQty],T_PlannedOrders[Part Name],$A43,T_PlannedOrders[WeekIndex],59)=0,"",SUMIFS(T_PlannedOrders[EffectiveQty],T_PlannedOrders[Part Name],$A43,T_PlannedOrders[WeekIndex],59)&amp;" ("&amp;TEXT(SUMPRODUCT(MAX((T_PlannedOrders[Part Name]=$A43)*(T_PlannedOrders[WeekIndex]=59)*(T_PlannedOrders[EffectiveQty]&gt;0)*T_PlannedOrders[Order_Month])),"m月")&amp;"発注)")</f>
        <v/>
      </c>
      <c r="BK51">
        <f>IF(SUMIFS(T_PlannedOrders[EffectiveQty],T_PlannedOrders[Part Name],$A43,T_PlannedOrders[WeekIndex],60)=0,"",SUMIFS(T_PlannedOrders[EffectiveQty],T_PlannedOrders[Part Name],$A43,T_PlannedOrders[WeekIndex],60)&amp;" ("&amp;TEXT(SUMPRODUCT(MAX((T_PlannedOrders[Part Name]=$A43)*(T_PlannedOrders[WeekIndex]=60)*(T_PlannedOrders[EffectiveQty]&gt;0)*T_PlannedOrders[Order_Month])),"m月")&amp;"発注)")</f>
        <v/>
      </c>
      <c r="BL51">
        <f>IF(SUMIFS(T_PlannedOrders[EffectiveQty],T_PlannedOrders[Part Name],$A43,T_PlannedOrders[WeekIndex],61)=0,"",SUMIFS(T_PlannedOrders[EffectiveQty],T_PlannedOrders[Part Name],$A43,T_PlannedOrders[WeekIndex],61)&amp;" ("&amp;TEXT(SUMPRODUCT(MAX((T_PlannedOrders[Part Name]=$A43)*(T_PlannedOrders[WeekIndex]=61)*(T_PlannedOrders[EffectiveQty]&gt;0)*T_PlannedOrders[Order_Month])),"m月")&amp;"発注)")</f>
        <v/>
      </c>
      <c r="BM51">
        <f>IF(SUMIFS(T_PlannedOrders[EffectiveQty],T_PlannedOrders[Part Name],$A43,T_PlannedOrders[WeekIndex],62)=0,"",SUMIFS(T_PlannedOrders[EffectiveQty],T_PlannedOrders[Part Name],$A43,T_PlannedOrders[WeekIndex],62)&amp;" ("&amp;TEXT(SUMPRODUCT(MAX((T_PlannedOrders[Part Name]=$A43)*(T_PlannedOrders[WeekIndex]=62)*(T_PlannedOrders[EffectiveQty]&gt;0)*T_PlannedOrders[Order_Month])),"m月")&amp;"発注)")</f>
        <v/>
      </c>
      <c r="BN51">
        <f>IF(SUMIFS(T_PlannedOrders[EffectiveQty],T_PlannedOrders[Part Name],$A43,T_PlannedOrders[WeekIndex],63)=0,"",SUMIFS(T_PlannedOrders[EffectiveQty],T_PlannedOrders[Part Name],$A43,T_PlannedOrders[WeekIndex],63)&amp;" ("&amp;TEXT(SUMPRODUCT(MAX((T_PlannedOrders[Part Name]=$A43)*(T_PlannedOrders[WeekIndex]=63)*(T_PlannedOrders[EffectiveQty]&gt;0)*T_PlannedOrders[Order_Month])),"m月")&amp;"発注)")</f>
        <v/>
      </c>
      <c r="BO51">
        <f>IF(SUMIFS(T_PlannedOrders[EffectiveQty],T_PlannedOrders[Part Name],$A43,T_PlannedOrders[WeekIndex],64)=0,"",SUMIFS(T_PlannedOrders[EffectiveQty],T_PlannedOrders[Part Name],$A43,T_PlannedOrders[WeekIndex],64)&amp;" ("&amp;TEXT(SUMPRODUCT(MAX((T_PlannedOrders[Part Name]=$A43)*(T_PlannedOrders[WeekIndex]=64)*(T_PlannedOrders[EffectiveQty]&gt;0)*T_PlannedOrders[Order_Month])),"m月")&amp;"発注)")</f>
        <v/>
      </c>
      <c r="BP51">
        <f>IF(SUMIFS(T_PlannedOrders[EffectiveQty],T_PlannedOrders[Part Name],$A43,T_PlannedOrders[WeekIndex],65)=0,"",SUMIFS(T_PlannedOrders[EffectiveQty],T_PlannedOrders[Part Name],$A43,T_PlannedOrders[WeekIndex],65)&amp;" ("&amp;TEXT(SUMPRODUCT(MAX((T_PlannedOrders[Part Name]=$A43)*(T_PlannedOrders[WeekIndex]=65)*(T_PlannedOrders[EffectiveQty]&gt;0)*T_PlannedOrders[Order_Month])),"m月")&amp;"発注)")</f>
        <v/>
      </c>
      <c r="BQ51">
        <f>IF(SUMIFS(T_PlannedOrders[EffectiveQty],T_PlannedOrders[Part Name],$A43,T_PlannedOrders[WeekIndex],66)=0,"",SUMIFS(T_PlannedOrders[EffectiveQty],T_PlannedOrders[Part Name],$A43,T_PlannedOrders[WeekIndex],66)&amp;" ("&amp;TEXT(SUMPRODUCT(MAX((T_PlannedOrders[Part Name]=$A43)*(T_PlannedOrders[WeekIndex]=66)*(T_PlannedOrders[EffectiveQty]&gt;0)*T_PlannedOrders[Order_Month])),"m月")&amp;"発注)")</f>
        <v/>
      </c>
      <c r="BR51">
        <f>IF(SUMIFS(T_PlannedOrders[EffectiveQty],T_PlannedOrders[Part Name],$A43,T_PlannedOrders[WeekIndex],67)=0,"",SUMIFS(T_PlannedOrders[EffectiveQty],T_PlannedOrders[Part Name],$A43,T_PlannedOrders[WeekIndex],67)&amp;" ("&amp;TEXT(SUMPRODUCT(MAX((T_PlannedOrders[Part Name]=$A43)*(T_PlannedOrders[WeekIndex]=67)*(T_PlannedOrders[EffectiveQty]&gt;0)*T_PlannedOrders[Order_Month])),"m月")&amp;"発注)")</f>
        <v/>
      </c>
      <c r="BS51">
        <f>IF(SUMIFS(T_PlannedOrders[EffectiveQty],T_PlannedOrders[Part Name],$A43,T_PlannedOrders[WeekIndex],68)=0,"",SUMIFS(T_PlannedOrders[EffectiveQty],T_PlannedOrders[Part Name],$A43,T_PlannedOrders[WeekIndex],68)&amp;" ("&amp;TEXT(SUMPRODUCT(MAX((T_PlannedOrders[Part Name]=$A43)*(T_PlannedOrders[WeekIndex]=68)*(T_PlannedOrders[EffectiveQty]&gt;0)*T_PlannedOrders[Order_Month])),"m月")&amp;"発注)")</f>
        <v/>
      </c>
      <c r="BT51">
        <f>IF(SUMIFS(T_PlannedOrders[EffectiveQty],T_PlannedOrders[Part Name],$A43,T_PlannedOrders[WeekIndex],69)=0,"",SUMIFS(T_PlannedOrders[EffectiveQty],T_PlannedOrders[Part Name],$A43,T_PlannedOrders[WeekIndex],69)&amp;" ("&amp;TEXT(SUMPRODUCT(MAX((T_PlannedOrders[Part Name]=$A43)*(T_PlannedOrders[WeekIndex]=69)*(T_PlannedOrders[EffectiveQty]&gt;0)*T_PlannedOrders[Order_Month])),"m月")&amp;"発注)")</f>
        <v/>
      </c>
      <c r="BU51">
        <f>IF(SUMIFS(T_PlannedOrders[EffectiveQty],T_PlannedOrders[Part Name],$A43,T_PlannedOrders[WeekIndex],70)=0,"",SUMIFS(T_PlannedOrders[EffectiveQty],T_PlannedOrders[Part Name],$A43,T_PlannedOrders[WeekIndex],70)&amp;" ("&amp;TEXT(SUMPRODUCT(MAX((T_PlannedOrders[Part Name]=$A43)*(T_PlannedOrders[WeekIndex]=70)*(T_PlannedOrders[EffectiveQty]&gt;0)*T_PlannedOrders[Order_Month])),"m月")&amp;"発注)")</f>
        <v/>
      </c>
      <c r="BV51">
        <f>IF(SUMIFS(T_PlannedOrders[EffectiveQty],T_PlannedOrders[Part Name],$A43,T_PlannedOrders[WeekIndex],71)=0,"",SUMIFS(T_PlannedOrders[EffectiveQty],T_PlannedOrders[Part Name],$A43,T_PlannedOrders[WeekIndex],71)&amp;" ("&amp;TEXT(SUMPRODUCT(MAX((T_PlannedOrders[Part Name]=$A43)*(T_PlannedOrders[WeekIndex]=71)*(T_PlannedOrders[EffectiveQty]&gt;0)*T_PlannedOrders[Order_Month])),"m月")&amp;"発注)")</f>
        <v/>
      </c>
      <c r="BW51">
        <f>IF(SUMIFS(T_PlannedOrders[EffectiveQty],T_PlannedOrders[Part Name],$A43,T_PlannedOrders[WeekIndex],72)=0,"",SUMIFS(T_PlannedOrders[EffectiveQty],T_PlannedOrders[Part Name],$A43,T_PlannedOrders[WeekIndex],72)&amp;" ("&amp;TEXT(SUMPRODUCT(MAX((T_PlannedOrders[Part Name]=$A43)*(T_PlannedOrders[WeekIndex]=72)*(T_PlannedOrders[EffectiveQty]&gt;0)*T_PlannedOrders[Order_Month])),"m月")&amp;"発注)")</f>
        <v/>
      </c>
      <c r="BX51">
        <f>IF(SUMIFS(T_PlannedOrders[EffectiveQty],T_PlannedOrders[Part Name],$A43,T_PlannedOrders[WeekIndex],73)=0,"",SUMIFS(T_PlannedOrders[EffectiveQty],T_PlannedOrders[Part Name],$A43,T_PlannedOrders[WeekIndex],73)&amp;" ("&amp;TEXT(SUMPRODUCT(MAX((T_PlannedOrders[Part Name]=$A43)*(T_PlannedOrders[WeekIndex]=73)*(T_PlannedOrders[EffectiveQty]&gt;0)*T_PlannedOrders[Order_Month])),"m月")&amp;"発注)")</f>
        <v/>
      </c>
      <c r="BY51">
        <f>IF(SUMIFS(T_PlannedOrders[EffectiveQty],T_PlannedOrders[Part Name],$A43,T_PlannedOrders[WeekIndex],74)=0,"",SUMIFS(T_PlannedOrders[EffectiveQty],T_PlannedOrders[Part Name],$A43,T_PlannedOrders[WeekIndex],74)&amp;" ("&amp;TEXT(SUMPRODUCT(MAX((T_PlannedOrders[Part Name]=$A43)*(T_PlannedOrders[WeekIndex]=74)*(T_PlannedOrders[EffectiveQty]&gt;0)*T_PlannedOrders[Order_Month])),"m月")&amp;"発注)")</f>
        <v/>
      </c>
      <c r="BZ51">
        <f>IF(SUMIFS(T_PlannedOrders[EffectiveQty],T_PlannedOrders[Part Name],$A43,T_PlannedOrders[WeekIndex],75)=0,"",SUMIFS(T_PlannedOrders[EffectiveQty],T_PlannedOrders[Part Name],$A43,T_PlannedOrders[WeekIndex],75)&amp;" ("&amp;TEXT(SUMPRODUCT(MAX((T_PlannedOrders[Part Name]=$A43)*(T_PlannedOrders[WeekIndex]=75)*(T_PlannedOrders[EffectiveQty]&gt;0)*T_PlannedOrders[Order_Month])),"m月")&amp;"発注)")</f>
        <v/>
      </c>
      <c r="CA51">
        <f>IF(SUMIFS(T_PlannedOrders[EffectiveQty],T_PlannedOrders[Part Name],$A43,T_PlannedOrders[WeekIndex],76)=0,"",SUMIFS(T_PlannedOrders[EffectiveQty],T_PlannedOrders[Part Name],$A43,T_PlannedOrders[WeekIndex],76)&amp;" ("&amp;TEXT(SUMPRODUCT(MAX((T_PlannedOrders[Part Name]=$A43)*(T_PlannedOrders[WeekIndex]=76)*(T_PlannedOrders[EffectiveQty]&gt;0)*T_PlannedOrders[Order_Month])),"m月")&amp;"発注)")</f>
        <v/>
      </c>
      <c r="CB51">
        <f>IF(SUMIFS(T_PlannedOrders[EffectiveQty],T_PlannedOrders[Part Name],$A43,T_PlannedOrders[WeekIndex],77)=0,"",SUMIFS(T_PlannedOrders[EffectiveQty],T_PlannedOrders[Part Name],$A43,T_PlannedOrders[WeekIndex],77)&amp;" ("&amp;TEXT(SUMPRODUCT(MAX((T_PlannedOrders[Part Name]=$A43)*(T_PlannedOrders[WeekIndex]=77)*(T_PlannedOrders[EffectiveQty]&gt;0)*T_PlannedOrders[Order_Month])),"m月")&amp;"発注)")</f>
        <v/>
      </c>
      <c r="CC51">
        <f>IF(SUMIFS(T_PlannedOrders[EffectiveQty],T_PlannedOrders[Part Name],$A43,T_PlannedOrders[WeekIndex],78)=0,"",SUMIFS(T_PlannedOrders[EffectiveQty],T_PlannedOrders[Part Name],$A43,T_PlannedOrders[WeekIndex],78)&amp;" ("&amp;TEXT(SUMPRODUCT(MAX((T_PlannedOrders[Part Name]=$A43)*(T_PlannedOrders[WeekIndex]=78)*(T_PlannedOrders[EffectiveQty]&gt;0)*T_PlannedOrders[Order_Month])),"m月")&amp;"発注)")</f>
        <v/>
      </c>
      <c r="CD51">
        <f>IF(SUMIFS(T_PlannedOrders[EffectiveQty],T_PlannedOrders[Part Name],$A43,T_PlannedOrders[WeekIndex],79)=0,"",SUMIFS(T_PlannedOrders[EffectiveQty],T_PlannedOrders[Part Name],$A43,T_PlannedOrders[WeekIndex],79)&amp;" ("&amp;TEXT(SUMPRODUCT(MAX((T_PlannedOrders[Part Name]=$A43)*(T_PlannedOrders[WeekIndex]=79)*(T_PlannedOrders[EffectiveQty]&gt;0)*T_PlannedOrders[Order_Month])),"m月")&amp;"発注)")</f>
        <v/>
      </c>
      <c r="CE51">
        <f>IF(SUMIFS(T_PlannedOrders[EffectiveQty],T_PlannedOrders[Part Name],$A43,T_PlannedOrders[WeekIndex],80)=0,"",SUMIFS(T_PlannedOrders[EffectiveQty],T_PlannedOrders[Part Name],$A43,T_PlannedOrders[WeekIndex],80)&amp;" ("&amp;TEXT(SUMPRODUCT(MAX((T_PlannedOrders[Part Name]=$A43)*(T_PlannedOrders[WeekIndex]=80)*(T_PlannedOrders[EffectiveQty]&gt;0)*T_PlannedOrders[Order_Month])),"m月")&amp;"発注)")</f>
        <v/>
      </c>
      <c r="CF51">
        <f>IF(SUMIFS(T_PlannedOrders[EffectiveQty],T_PlannedOrders[Part Name],$A43,T_PlannedOrders[WeekIndex],81)=0,"",SUMIFS(T_PlannedOrders[EffectiveQty],T_PlannedOrders[Part Name],$A43,T_PlannedOrders[WeekIndex],81)&amp;" ("&amp;TEXT(SUMPRODUCT(MAX((T_PlannedOrders[Part Name]=$A43)*(T_PlannedOrders[WeekIndex]=81)*(T_PlannedOrders[EffectiveQty]&gt;0)*T_PlannedOrders[Order_Month])),"m月")&amp;"発注)")</f>
        <v/>
      </c>
      <c r="CG51">
        <f>IF(SUMIFS(T_PlannedOrders[EffectiveQty],T_PlannedOrders[Part Name],$A43,T_PlannedOrders[WeekIndex],82)=0,"",SUMIFS(T_PlannedOrders[EffectiveQty],T_PlannedOrders[Part Name],$A43,T_PlannedOrders[WeekIndex],82)&amp;" ("&amp;TEXT(SUMPRODUCT(MAX((T_PlannedOrders[Part Name]=$A43)*(T_PlannedOrders[WeekIndex]=82)*(T_PlannedOrders[EffectiveQty]&gt;0)*T_PlannedOrders[Order_Month])),"m月")&amp;"発注)")</f>
        <v/>
      </c>
      <c r="CH51">
        <f>IF(SUMIFS(T_PlannedOrders[EffectiveQty],T_PlannedOrders[Part Name],$A43,T_PlannedOrders[WeekIndex],83)=0,"",SUMIFS(T_PlannedOrders[EffectiveQty],T_PlannedOrders[Part Name],$A43,T_PlannedOrders[WeekIndex],83)&amp;" ("&amp;TEXT(SUMPRODUCT(MAX((T_PlannedOrders[Part Name]=$A43)*(T_PlannedOrders[WeekIndex]=83)*(T_PlannedOrders[EffectiveQty]&gt;0)*T_PlannedOrders[Order_Month])),"m月")&amp;"発注)")</f>
        <v/>
      </c>
      <c r="CI51">
        <f>IF(SUMIFS(T_PlannedOrders[EffectiveQty],T_PlannedOrders[Part Name],$A43,T_PlannedOrders[WeekIndex],84)=0,"",SUMIFS(T_PlannedOrders[EffectiveQty],T_PlannedOrders[Part Name],$A43,T_PlannedOrders[WeekIndex],84)&amp;" ("&amp;TEXT(SUMPRODUCT(MAX((T_PlannedOrders[Part Name]=$A43)*(T_PlannedOrders[WeekIndex]=84)*(T_PlannedOrders[EffectiveQty]&gt;0)*T_PlannedOrders[Order_Month])),"m月")&amp;"発注)")</f>
        <v/>
      </c>
      <c r="CJ51">
        <f>IF(SUMIFS(T_PlannedOrders[EffectiveQty],T_PlannedOrders[Part Name],$A43,T_PlannedOrders[WeekIndex],85)=0,"",SUMIFS(T_PlannedOrders[EffectiveQty],T_PlannedOrders[Part Name],$A43,T_PlannedOrders[WeekIndex],85)&amp;" ("&amp;TEXT(SUMPRODUCT(MAX((T_PlannedOrders[Part Name]=$A43)*(T_PlannedOrders[WeekIndex]=85)*(T_PlannedOrders[EffectiveQty]&gt;0)*T_PlannedOrders[Order_Month])),"m月")&amp;"発注)")</f>
        <v/>
      </c>
      <c r="CK51">
        <f>IF(SUMIFS(T_PlannedOrders[EffectiveQty],T_PlannedOrders[Part Name],$A43,T_PlannedOrders[WeekIndex],86)=0,"",SUMIFS(T_PlannedOrders[EffectiveQty],T_PlannedOrders[Part Name],$A43,T_PlannedOrders[WeekIndex],86)&amp;" ("&amp;TEXT(SUMPRODUCT(MAX((T_PlannedOrders[Part Name]=$A43)*(T_PlannedOrders[WeekIndex]=86)*(T_PlannedOrders[EffectiveQty]&gt;0)*T_PlannedOrders[Order_Month])),"m月")&amp;"発注)")</f>
        <v/>
      </c>
      <c r="CL51">
        <f>IF(SUMIFS(T_PlannedOrders[EffectiveQty],T_PlannedOrders[Part Name],$A43,T_PlannedOrders[WeekIndex],87)=0,"",SUMIFS(T_PlannedOrders[EffectiveQty],T_PlannedOrders[Part Name],$A43,T_PlannedOrders[WeekIndex],87)&amp;" ("&amp;TEXT(SUMPRODUCT(MAX((T_PlannedOrders[Part Name]=$A43)*(T_PlannedOrders[WeekIndex]=87)*(T_PlannedOrders[EffectiveQty]&gt;0)*T_PlannedOrders[Order_Month])),"m月")&amp;"発注)")</f>
        <v/>
      </c>
      <c r="CM51">
        <f>IF(SUMIFS(T_PlannedOrders[EffectiveQty],T_PlannedOrders[Part Name],$A43,T_PlannedOrders[WeekIndex],88)=0,"",SUMIFS(T_PlannedOrders[EffectiveQty],T_PlannedOrders[Part Name],$A43,T_PlannedOrders[WeekIndex],88)&amp;" ("&amp;TEXT(SUMPRODUCT(MAX((T_PlannedOrders[Part Name]=$A43)*(T_PlannedOrders[WeekIndex]=88)*(T_PlannedOrders[EffectiveQty]&gt;0)*T_PlannedOrders[Order_Month])),"m月")&amp;"発注)")</f>
        <v/>
      </c>
      <c r="CN51">
        <f>IF(SUMIFS(T_PlannedOrders[EffectiveQty],T_PlannedOrders[Part Name],$A43,T_PlannedOrders[WeekIndex],89)=0,"",SUMIFS(T_PlannedOrders[EffectiveQty],T_PlannedOrders[Part Name],$A43,T_PlannedOrders[WeekIndex],89)&amp;" ("&amp;TEXT(SUMPRODUCT(MAX((T_PlannedOrders[Part Name]=$A43)*(T_PlannedOrders[WeekIndex]=89)*(T_PlannedOrders[EffectiveQty]&gt;0)*T_PlannedOrders[Order_Month])),"m月")&amp;"発注)")</f>
        <v/>
      </c>
      <c r="CO51">
        <f>IF(SUMIFS(T_PlannedOrders[EffectiveQty],T_PlannedOrders[Part Name],$A43,T_PlannedOrders[WeekIndex],90)=0,"",SUMIFS(T_PlannedOrders[EffectiveQty],T_PlannedOrders[Part Name],$A43,T_PlannedOrders[WeekIndex],90)&amp;" ("&amp;TEXT(SUMPRODUCT(MAX((T_PlannedOrders[Part Name]=$A43)*(T_PlannedOrders[WeekIndex]=90)*(T_PlannedOrders[EffectiveQty]&gt;0)*T_PlannedOrders[Order_Month])),"m月")&amp;"発注)")</f>
        <v/>
      </c>
      <c r="CP51">
        <f>IF(SUMIFS(T_PlannedOrders[EffectiveQty],T_PlannedOrders[Part Name],$A43,T_PlannedOrders[WeekIndex],91)=0,"",SUMIFS(T_PlannedOrders[EffectiveQty],T_PlannedOrders[Part Name],$A43,T_PlannedOrders[WeekIndex],91)&amp;" ("&amp;TEXT(SUMPRODUCT(MAX((T_PlannedOrders[Part Name]=$A43)*(T_PlannedOrders[WeekIndex]=91)*(T_PlannedOrders[EffectiveQty]&gt;0)*T_PlannedOrders[Order_Month])),"m月")&amp;"発注)")</f>
        <v/>
      </c>
      <c r="CQ51">
        <f>IF(SUMIFS(T_PlannedOrders[EffectiveQty],T_PlannedOrders[Part Name],$A43,T_PlannedOrders[WeekIndex],92)=0,"",SUMIFS(T_PlannedOrders[EffectiveQty],T_PlannedOrders[Part Name],$A43,T_PlannedOrders[WeekIndex],92)&amp;" ("&amp;TEXT(SUMPRODUCT(MAX((T_PlannedOrders[Part Name]=$A43)*(T_PlannedOrders[WeekIndex]=92)*(T_PlannedOrders[EffectiveQty]&gt;0)*T_PlannedOrders[Order_Month])),"m月")&amp;"発注)")</f>
        <v/>
      </c>
      <c r="CR51">
        <f>IF(SUMIFS(T_PlannedOrders[EffectiveQty],T_PlannedOrders[Part Name],$A43,T_PlannedOrders[WeekIndex],93)=0,"",SUMIFS(T_PlannedOrders[EffectiveQty],T_PlannedOrders[Part Name],$A43,T_PlannedOrders[WeekIndex],93)&amp;" ("&amp;TEXT(SUMPRODUCT(MAX((T_PlannedOrders[Part Name]=$A43)*(T_PlannedOrders[WeekIndex]=93)*(T_PlannedOrders[EffectiveQty]&gt;0)*T_PlannedOrders[Order_Month])),"m月")&amp;"発注)")</f>
        <v/>
      </c>
      <c r="CS51">
        <f>IF(SUMIFS(T_PlannedOrders[EffectiveQty],T_PlannedOrders[Part Name],$A43,T_PlannedOrders[WeekIndex],94)=0,"",SUMIFS(T_PlannedOrders[EffectiveQty],T_PlannedOrders[Part Name],$A43,T_PlannedOrders[WeekIndex],94)&amp;" ("&amp;TEXT(SUMPRODUCT(MAX((T_PlannedOrders[Part Name]=$A43)*(T_PlannedOrders[WeekIndex]=94)*(T_PlannedOrders[EffectiveQty]&gt;0)*T_PlannedOrders[Order_Month])),"m月")&amp;"発注)")</f>
        <v/>
      </c>
      <c r="CT51">
        <f>IF(SUMIFS(T_PlannedOrders[EffectiveQty],T_PlannedOrders[Part Name],$A43,T_PlannedOrders[WeekIndex],95)=0,"",SUMIFS(T_PlannedOrders[EffectiveQty],T_PlannedOrders[Part Name],$A43,T_PlannedOrders[WeekIndex],95)&amp;" ("&amp;TEXT(SUMPRODUCT(MAX((T_PlannedOrders[Part Name]=$A43)*(T_PlannedOrders[WeekIndex]=95)*(T_PlannedOrders[EffectiveQty]&gt;0)*T_PlannedOrders[Order_Month])),"m月")&amp;"発注)")</f>
        <v/>
      </c>
      <c r="CU51">
        <f>IF(SUMIFS(T_PlannedOrders[EffectiveQty],T_PlannedOrders[Part Name],$A43,T_PlannedOrders[WeekIndex],96)=0,"",SUMIFS(T_PlannedOrders[EffectiveQty],T_PlannedOrders[Part Name],$A43,T_PlannedOrders[WeekIndex],96)&amp;" ("&amp;TEXT(SUMPRODUCT(MAX((T_PlannedOrders[Part Name]=$A43)*(T_PlannedOrders[WeekIndex]=96)*(T_PlannedOrders[EffectiveQty]&gt;0)*T_PlannedOrders[Order_Month])),"m月")&amp;"発注)")</f>
        <v/>
      </c>
      <c r="CV51">
        <f>IF(SUMIFS(T_PlannedOrders[EffectiveQty],T_PlannedOrders[Part Name],$A43,T_PlannedOrders[WeekIndex],97)=0,"",SUMIFS(T_PlannedOrders[EffectiveQty],T_PlannedOrders[Part Name],$A43,T_PlannedOrders[WeekIndex],97)&amp;" ("&amp;TEXT(SUMPRODUCT(MAX((T_PlannedOrders[Part Name]=$A43)*(T_PlannedOrders[WeekIndex]=97)*(T_PlannedOrders[EffectiveQty]&gt;0)*T_PlannedOrders[Order_Month])),"m月")&amp;"発注)")</f>
        <v/>
      </c>
      <c r="CW51">
        <f>IF(SUMIFS(T_PlannedOrders[EffectiveQty],T_PlannedOrders[Part Name],$A43,T_PlannedOrders[WeekIndex],98)=0,"",SUMIFS(T_PlannedOrders[EffectiveQty],T_PlannedOrders[Part Name],$A43,T_PlannedOrders[WeekIndex],98)&amp;" ("&amp;TEXT(SUMPRODUCT(MAX((T_PlannedOrders[Part Name]=$A43)*(T_PlannedOrders[WeekIndex]=98)*(T_PlannedOrders[EffectiveQty]&gt;0)*T_PlannedOrders[Order_Month])),"m月")&amp;"発注)")</f>
        <v/>
      </c>
      <c r="CX51">
        <f>IF(SUMIFS(T_PlannedOrders[EffectiveQty],T_PlannedOrders[Part Name],$A43,T_PlannedOrders[WeekIndex],99)=0,"",SUMIFS(T_PlannedOrders[EffectiveQty],T_PlannedOrders[Part Name],$A43,T_PlannedOrders[WeekIndex],99)&amp;" ("&amp;TEXT(SUMPRODUCT(MAX((T_PlannedOrders[Part Name]=$A43)*(T_PlannedOrders[WeekIndex]=99)*(T_PlannedOrders[EffectiveQty]&gt;0)*T_PlannedOrders[Order_Month])),"m月")&amp;"発注)")</f>
        <v/>
      </c>
      <c r="CY51">
        <f>IF(SUMIFS(T_PlannedOrders[EffectiveQty],T_PlannedOrders[Part Name],$A43,T_PlannedOrders[WeekIndex],100)=0,"",SUMIFS(T_PlannedOrders[EffectiveQty],T_PlannedOrders[Part Name],$A43,T_PlannedOrders[WeekIndex],100)&amp;" ("&amp;TEXT(SUMPRODUCT(MAX((T_PlannedOrders[Part Name]=$A43)*(T_PlannedOrders[WeekIndex]=100)*(T_PlannedOrders[EffectiveQty]&gt;0)*T_PlannedOrders[Order_Month])),"m月")&amp;"発注)")</f>
        <v/>
      </c>
      <c r="CZ51">
        <f>IF(SUMIFS(T_PlannedOrders[EffectiveQty],T_PlannedOrders[Part Name],$A43,T_PlannedOrders[WeekIndex],101)=0,"",SUMIFS(T_PlannedOrders[EffectiveQty],T_PlannedOrders[Part Name],$A43,T_PlannedOrders[WeekIndex],101)&amp;" ("&amp;TEXT(SUMPRODUCT(MAX((T_PlannedOrders[Part Name]=$A43)*(T_PlannedOrders[WeekIndex]=101)*(T_PlannedOrders[EffectiveQty]&gt;0)*T_PlannedOrders[Order_Month])),"m月")&amp;"発注)")</f>
        <v/>
      </c>
      <c r="DA51">
        <f>IF(SUMIFS(T_PlannedOrders[EffectiveQty],T_PlannedOrders[Part Name],$A43,T_PlannedOrders[WeekIndex],102)=0,"",SUMIFS(T_PlannedOrders[EffectiveQty],T_PlannedOrders[Part Name],$A43,T_PlannedOrders[WeekIndex],102)&amp;" ("&amp;TEXT(SUMPRODUCT(MAX((T_PlannedOrders[Part Name]=$A43)*(T_PlannedOrders[WeekIndex]=102)*(T_PlannedOrders[EffectiveQty]&gt;0)*T_PlannedOrders[Order_Month])),"m月")&amp;"発注)")</f>
        <v/>
      </c>
      <c r="DB51">
        <f>IF(SUMIFS(T_PlannedOrders[EffectiveQty],T_PlannedOrders[Part Name],$A43,T_PlannedOrders[WeekIndex],103)=0,"",SUMIFS(T_PlannedOrders[EffectiveQty],T_PlannedOrders[Part Name],$A43,T_PlannedOrders[WeekIndex],103)&amp;" ("&amp;TEXT(SUMPRODUCT(MAX((T_PlannedOrders[Part Name]=$A43)*(T_PlannedOrders[WeekIndex]=103)*(T_PlannedOrders[EffectiveQty]&gt;0)*T_PlannedOrders[Order_Month])),"m月")&amp;"発注)")</f>
        <v/>
      </c>
      <c r="DC51">
        <f>IF(SUMIFS(T_PlannedOrders[EffectiveQty],T_PlannedOrders[Part Name],$A43,T_PlannedOrders[WeekIndex],104)=0,"",SUMIFS(T_PlannedOrders[EffectiveQty],T_PlannedOrders[Part Name],$A43,T_PlannedOrders[WeekIndex],104)&amp;" ("&amp;TEXT(SUMPRODUCT(MAX((T_PlannedOrders[Part Name]=$A43)*(T_PlannedOrders[WeekIndex]=104)*(T_PlannedOrders[EffectiveQty]&gt;0)*T_PlannedOrders[Order_Month])),"m月")&amp;"発注)")</f>
        <v/>
      </c>
    </row>
    <row r="52">
      <c r="B52" s="5" t="inlineStr">
        <is>
          <t>合計在庫(週末時点,kg)</t>
        </is>
      </c>
      <c r="D52">
        <f>'Grid_Stock'!B4</f>
        <v/>
      </c>
      <c r="E52">
        <f>'Grid_Stock'!C4</f>
        <v/>
      </c>
      <c r="F52">
        <f>'Grid_Stock'!D4</f>
        <v/>
      </c>
      <c r="G52">
        <f>'Grid_Stock'!E4</f>
        <v/>
      </c>
      <c r="H52">
        <f>'Grid_Stock'!F4</f>
        <v/>
      </c>
      <c r="I52">
        <f>'Grid_Stock'!G4</f>
        <v/>
      </c>
      <c r="J52">
        <f>'Grid_Stock'!H4</f>
        <v/>
      </c>
      <c r="K52">
        <f>'Grid_Stock'!I4</f>
        <v/>
      </c>
      <c r="L52">
        <f>'Grid_Stock'!J4</f>
        <v/>
      </c>
      <c r="M52">
        <f>'Grid_Stock'!K4</f>
        <v/>
      </c>
      <c r="N52">
        <f>'Grid_Stock'!L4</f>
        <v/>
      </c>
      <c r="O52">
        <f>'Grid_Stock'!M4</f>
        <v/>
      </c>
      <c r="P52">
        <f>'Grid_Stock'!N4</f>
        <v/>
      </c>
      <c r="Q52">
        <f>'Grid_Stock'!O4</f>
        <v/>
      </c>
      <c r="R52">
        <f>'Grid_Stock'!P4</f>
        <v/>
      </c>
      <c r="S52">
        <f>'Grid_Stock'!Q4</f>
        <v/>
      </c>
      <c r="T52">
        <f>'Grid_Stock'!R4</f>
        <v/>
      </c>
      <c r="U52">
        <f>'Grid_Stock'!S4</f>
        <v/>
      </c>
      <c r="V52">
        <f>'Grid_Stock'!T4</f>
        <v/>
      </c>
      <c r="W52">
        <f>'Grid_Stock'!U4</f>
        <v/>
      </c>
      <c r="X52">
        <f>'Grid_Stock'!V4</f>
        <v/>
      </c>
      <c r="Y52">
        <f>'Grid_Stock'!W4</f>
        <v/>
      </c>
      <c r="Z52">
        <f>'Grid_Stock'!X4</f>
        <v/>
      </c>
      <c r="AA52">
        <f>'Grid_Stock'!Y4</f>
        <v/>
      </c>
      <c r="AB52">
        <f>'Grid_Stock'!Z4</f>
        <v/>
      </c>
      <c r="AC52">
        <f>'Grid_Stock'!AA4</f>
        <v/>
      </c>
      <c r="AD52">
        <f>'Grid_Stock'!AB4</f>
        <v/>
      </c>
      <c r="AE52">
        <f>'Grid_Stock'!AC4</f>
        <v/>
      </c>
      <c r="AF52">
        <f>'Grid_Stock'!AD4</f>
        <v/>
      </c>
      <c r="AG52">
        <f>'Grid_Stock'!AE4</f>
        <v/>
      </c>
      <c r="AH52">
        <f>'Grid_Stock'!AF4</f>
        <v/>
      </c>
      <c r="AI52">
        <f>'Grid_Stock'!AG4</f>
        <v/>
      </c>
      <c r="AJ52">
        <f>'Grid_Stock'!AH4</f>
        <v/>
      </c>
      <c r="AK52">
        <f>'Grid_Stock'!AI4</f>
        <v/>
      </c>
      <c r="AL52">
        <f>'Grid_Stock'!AJ4</f>
        <v/>
      </c>
      <c r="AM52">
        <f>'Grid_Stock'!AK4</f>
        <v/>
      </c>
      <c r="AN52">
        <f>'Grid_Stock'!AL4</f>
        <v/>
      </c>
      <c r="AO52">
        <f>'Grid_Stock'!AM4</f>
        <v/>
      </c>
      <c r="AP52">
        <f>'Grid_Stock'!AN4</f>
        <v/>
      </c>
      <c r="AQ52">
        <f>'Grid_Stock'!AO4</f>
        <v/>
      </c>
      <c r="AR52">
        <f>'Grid_Stock'!AP4</f>
        <v/>
      </c>
      <c r="AS52">
        <f>'Grid_Stock'!AQ4</f>
        <v/>
      </c>
      <c r="AT52">
        <f>'Grid_Stock'!AR4</f>
        <v/>
      </c>
      <c r="AU52">
        <f>'Grid_Stock'!AS4</f>
        <v/>
      </c>
      <c r="AV52">
        <f>'Grid_Stock'!AT4</f>
        <v/>
      </c>
      <c r="AW52">
        <f>'Grid_Stock'!AU4</f>
        <v/>
      </c>
      <c r="AX52">
        <f>'Grid_Stock'!AV4</f>
        <v/>
      </c>
      <c r="AY52">
        <f>'Grid_Stock'!AW4</f>
        <v/>
      </c>
      <c r="AZ52">
        <f>'Grid_Stock'!AX4</f>
        <v/>
      </c>
      <c r="BA52">
        <f>'Grid_Stock'!AY4</f>
        <v/>
      </c>
      <c r="BB52">
        <f>'Grid_Stock'!AZ4</f>
        <v/>
      </c>
      <c r="BC52">
        <f>'Grid_Stock'!BA4</f>
        <v/>
      </c>
      <c r="BD52">
        <f>'Grid_Stock'!BB4</f>
        <v/>
      </c>
      <c r="BE52">
        <f>'Grid_Stock'!BC4</f>
        <v/>
      </c>
      <c r="BF52">
        <f>'Grid_Stock'!BD4</f>
        <v/>
      </c>
      <c r="BG52">
        <f>'Grid_Stock'!BE4</f>
        <v/>
      </c>
      <c r="BH52">
        <f>'Grid_Stock'!BF4</f>
        <v/>
      </c>
      <c r="BI52">
        <f>'Grid_Stock'!BG4</f>
        <v/>
      </c>
      <c r="BJ52">
        <f>'Grid_Stock'!BH4</f>
        <v/>
      </c>
      <c r="BK52">
        <f>'Grid_Stock'!BI4</f>
        <v/>
      </c>
      <c r="BL52">
        <f>'Grid_Stock'!BJ4</f>
        <v/>
      </c>
      <c r="BM52">
        <f>'Grid_Stock'!BK4</f>
        <v/>
      </c>
      <c r="BN52">
        <f>'Grid_Stock'!BL4</f>
        <v/>
      </c>
      <c r="BO52">
        <f>'Grid_Stock'!BM4</f>
        <v/>
      </c>
      <c r="BP52">
        <f>'Grid_Stock'!BN4</f>
        <v/>
      </c>
      <c r="BQ52">
        <f>'Grid_Stock'!BO4</f>
        <v/>
      </c>
      <c r="BR52">
        <f>'Grid_Stock'!BP4</f>
        <v/>
      </c>
      <c r="BS52">
        <f>'Grid_Stock'!BQ4</f>
        <v/>
      </c>
      <c r="BT52">
        <f>'Grid_Stock'!BR4</f>
        <v/>
      </c>
      <c r="BU52">
        <f>'Grid_Stock'!BS4</f>
        <v/>
      </c>
      <c r="BV52">
        <f>'Grid_Stock'!BT4</f>
        <v/>
      </c>
      <c r="BW52">
        <f>'Grid_Stock'!BU4</f>
        <v/>
      </c>
      <c r="BX52">
        <f>'Grid_Stock'!BV4</f>
        <v/>
      </c>
      <c r="BY52">
        <f>'Grid_Stock'!BW4</f>
        <v/>
      </c>
      <c r="BZ52">
        <f>'Grid_Stock'!BX4</f>
        <v/>
      </c>
      <c r="CA52">
        <f>'Grid_Stock'!BY4</f>
        <v/>
      </c>
      <c r="CB52">
        <f>'Grid_Stock'!BZ4</f>
        <v/>
      </c>
      <c r="CC52">
        <f>'Grid_Stock'!CA4</f>
        <v/>
      </c>
      <c r="CD52">
        <f>'Grid_Stock'!CB4</f>
        <v/>
      </c>
      <c r="CE52">
        <f>'Grid_Stock'!CC4</f>
        <v/>
      </c>
      <c r="CF52">
        <f>'Grid_Stock'!CD4</f>
        <v/>
      </c>
      <c r="CG52">
        <f>'Grid_Stock'!CE4</f>
        <v/>
      </c>
      <c r="CH52">
        <f>'Grid_Stock'!CF4</f>
        <v/>
      </c>
      <c r="CI52">
        <f>'Grid_Stock'!CG4</f>
        <v/>
      </c>
      <c r="CJ52">
        <f>'Grid_Stock'!CH4</f>
        <v/>
      </c>
      <c r="CK52">
        <f>'Grid_Stock'!CI4</f>
        <v/>
      </c>
      <c r="CL52">
        <f>'Grid_Stock'!CJ4</f>
        <v/>
      </c>
      <c r="CM52">
        <f>'Grid_Stock'!CK4</f>
        <v/>
      </c>
      <c r="CN52">
        <f>'Grid_Stock'!CL4</f>
        <v/>
      </c>
      <c r="CO52">
        <f>'Grid_Stock'!CM4</f>
        <v/>
      </c>
      <c r="CP52">
        <f>'Grid_Stock'!CN4</f>
        <v/>
      </c>
      <c r="CQ52">
        <f>'Grid_Stock'!CO4</f>
        <v/>
      </c>
      <c r="CR52">
        <f>'Grid_Stock'!CP4</f>
        <v/>
      </c>
      <c r="CS52">
        <f>'Grid_Stock'!CQ4</f>
        <v/>
      </c>
      <c r="CT52">
        <f>'Grid_Stock'!CR4</f>
        <v/>
      </c>
      <c r="CU52">
        <f>'Grid_Stock'!CS4</f>
        <v/>
      </c>
      <c r="CV52">
        <f>'Grid_Stock'!CT4</f>
        <v/>
      </c>
      <c r="CW52">
        <f>'Grid_Stock'!CU4</f>
        <v/>
      </c>
      <c r="CX52">
        <f>'Grid_Stock'!CV4</f>
        <v/>
      </c>
      <c r="CY52">
        <f>'Grid_Stock'!CW4</f>
        <v/>
      </c>
      <c r="CZ52">
        <f>'Grid_Stock'!CX4</f>
        <v/>
      </c>
      <c r="DA52">
        <f>'Grid_Stock'!CY4</f>
        <v/>
      </c>
      <c r="DB52">
        <f>'Grid_Stock'!CZ4</f>
        <v/>
      </c>
      <c r="DC52">
        <f>'Grid_Stock'!DA4</f>
        <v/>
      </c>
    </row>
    <row r="53">
      <c r="B53" s="23" t="inlineStr">
        <is>
          <t>（発注の目安はDashboardの基準在庫[下限/上限]と色分けを参照）</t>
        </is>
      </c>
    </row>
    <row r="55">
      <c r="A55" s="21" t="inlineStr">
        <is>
          <t>9RN</t>
        </is>
      </c>
      <c r="B55" s="21" t="inlineStr">
        <is>
          <t>TTAF 4FK13117080</t>
        </is>
      </c>
      <c r="C55" s="22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  <c r="AJ55" s="21" t="n"/>
      <c r="AK55" s="21" t="n"/>
      <c r="AL55" s="21" t="n"/>
      <c r="AM55" s="21" t="n"/>
      <c r="AN55" s="21" t="n"/>
      <c r="AO55" s="21" t="n"/>
      <c r="AP55" s="21" t="n"/>
      <c r="AQ55" s="21" t="n"/>
      <c r="AR55" s="21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1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/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1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  <c r="CZ55" s="21" t="n"/>
      <c r="DA55" s="21" t="n"/>
      <c r="DB55" s="21" t="n"/>
      <c r="DC55" s="21" t="n"/>
    </row>
    <row r="56">
      <c r="B56" t="inlineStr">
        <is>
          <t>K0050</t>
        </is>
      </c>
      <c r="C56" t="inlineStr">
        <is>
          <t>No. of batches</t>
        </is>
      </c>
      <c r="D56">
        <f>IFERROR(INDEX(PP_Grid[#Data],$DD56,2),0)</f>
        <v/>
      </c>
      <c r="E56">
        <f>IFERROR(INDEX(PP_Grid[#Data],$DD56,3),0)</f>
        <v/>
      </c>
      <c r="F56">
        <f>IFERROR(INDEX(PP_Grid[#Data],$DD56,4),0)</f>
        <v/>
      </c>
      <c r="G56">
        <f>IFERROR(INDEX(PP_Grid[#Data],$DD56,5),0)</f>
        <v/>
      </c>
      <c r="H56">
        <f>IFERROR(INDEX(PP_Grid[#Data],$DD56,6),0)</f>
        <v/>
      </c>
      <c r="I56">
        <f>IFERROR(INDEX(PP_Grid[#Data],$DD56,7),0)</f>
        <v/>
      </c>
      <c r="J56">
        <f>IFERROR(INDEX(PP_Grid[#Data],$DD56,8),0)</f>
        <v/>
      </c>
      <c r="K56">
        <f>IFERROR(INDEX(PP_Grid[#Data],$DD56,9),0)</f>
        <v/>
      </c>
      <c r="L56">
        <f>IFERROR(INDEX(PP_Grid[#Data],$DD56,10),0)</f>
        <v/>
      </c>
      <c r="M56">
        <f>IFERROR(INDEX(PP_Grid[#Data],$DD56,11),0)</f>
        <v/>
      </c>
      <c r="N56">
        <f>IFERROR(INDEX(PP_Grid[#Data],$DD56,12),0)</f>
        <v/>
      </c>
      <c r="O56">
        <f>IFERROR(INDEX(PP_Grid[#Data],$DD56,13),0)</f>
        <v/>
      </c>
      <c r="P56">
        <f>IFERROR(INDEX(PP_Grid[#Data],$DD56,14),0)</f>
        <v/>
      </c>
      <c r="Q56">
        <f>IFERROR(INDEX(PP_Grid[#Data],$DD56,15),0)</f>
        <v/>
      </c>
      <c r="R56">
        <f>IFERROR(INDEX(PP_Grid[#Data],$DD56,16),0)</f>
        <v/>
      </c>
      <c r="S56">
        <f>IFERROR(INDEX(PP_Grid[#Data],$DD56,17),0)</f>
        <v/>
      </c>
      <c r="T56">
        <f>IFERROR(INDEX(PP_Grid[#Data],$DD56,18),0)</f>
        <v/>
      </c>
      <c r="U56">
        <f>IFERROR(INDEX(PP_Grid[#Data],$DD56,19),0)</f>
        <v/>
      </c>
      <c r="V56">
        <f>IFERROR(INDEX(PP_Grid[#Data],$DD56,20),0)</f>
        <v/>
      </c>
      <c r="W56">
        <f>IFERROR(INDEX(PP_Grid[#Data],$DD56,21),0)</f>
        <v/>
      </c>
      <c r="X56">
        <f>IFERROR(INDEX(PP_Grid[#Data],$DD56,22),0)</f>
        <v/>
      </c>
      <c r="Y56">
        <f>IFERROR(INDEX(PP_Grid[#Data],$DD56,23),0)</f>
        <v/>
      </c>
      <c r="Z56">
        <f>IFERROR(INDEX(PP_Grid[#Data],$DD56,24),0)</f>
        <v/>
      </c>
      <c r="AA56">
        <f>IFERROR(INDEX(PP_Grid[#Data],$DD56,25),0)</f>
        <v/>
      </c>
      <c r="AB56">
        <f>IFERROR(INDEX(PP_Grid[#Data],$DD56,26),0)</f>
        <v/>
      </c>
      <c r="AC56">
        <f>IFERROR(INDEX(PP_Grid[#Data],$DD56,27),0)</f>
        <v/>
      </c>
      <c r="AD56">
        <f>IFERROR(INDEX(PP_Grid[#Data],$DD56,28),0)</f>
        <v/>
      </c>
      <c r="AE56">
        <f>IFERROR(INDEX(PP_Grid[#Data],$DD56,29),0)</f>
        <v/>
      </c>
      <c r="AF56">
        <f>IFERROR(INDEX(PP_Grid[#Data],$DD56,30),0)</f>
        <v/>
      </c>
      <c r="AG56">
        <f>IFERROR(INDEX(PP_Grid[#Data],$DD56,31),0)</f>
        <v/>
      </c>
      <c r="AH56">
        <f>IFERROR(INDEX(PP_Grid[#Data],$DD56,32),0)</f>
        <v/>
      </c>
      <c r="AI56">
        <f>IFERROR(INDEX(PP_Grid[#Data],$DD56,33),0)</f>
        <v/>
      </c>
      <c r="AJ56">
        <f>IFERROR(INDEX(PP_Grid[#Data],$DD56,34),0)</f>
        <v/>
      </c>
      <c r="AK56">
        <f>IFERROR(INDEX(PP_Grid[#Data],$DD56,35),0)</f>
        <v/>
      </c>
      <c r="AL56">
        <f>IFERROR(INDEX(PP_Grid[#Data],$DD56,36),0)</f>
        <v/>
      </c>
      <c r="AM56">
        <f>IFERROR(INDEX(PP_Grid[#Data],$DD56,37),0)</f>
        <v/>
      </c>
      <c r="AN56">
        <f>IFERROR(INDEX(PP_Grid[#Data],$DD56,38),0)</f>
        <v/>
      </c>
      <c r="AO56">
        <f>IFERROR(INDEX(PP_Grid[#Data],$DD56,39),0)</f>
        <v/>
      </c>
      <c r="AP56">
        <f>IFERROR(INDEX(PP_Grid[#Data],$DD56,40),0)</f>
        <v/>
      </c>
      <c r="AQ56">
        <f>IFERROR(INDEX(PP_Grid[#Data],$DD56,41),0)</f>
        <v/>
      </c>
      <c r="AR56">
        <f>IFERROR(INDEX(PP_Grid[#Data],$DD56,42),0)</f>
        <v/>
      </c>
      <c r="AS56">
        <f>IFERROR(INDEX(PP_Grid[#Data],$DD56,43),0)</f>
        <v/>
      </c>
      <c r="AT56">
        <f>IFERROR(INDEX(PP_Grid[#Data],$DD56,44),0)</f>
        <v/>
      </c>
      <c r="AU56">
        <f>IFERROR(INDEX(PP_Grid[#Data],$DD56,45),0)</f>
        <v/>
      </c>
      <c r="AV56">
        <f>IFERROR(INDEX(PP_Grid[#Data],$DD56,46),0)</f>
        <v/>
      </c>
      <c r="AW56">
        <f>IFERROR(INDEX(PP_Grid[#Data],$DD56,47),0)</f>
        <v/>
      </c>
      <c r="AX56">
        <f>IFERROR(INDEX(PP_Grid[#Data],$DD56,48),0)</f>
        <v/>
      </c>
      <c r="AY56">
        <f>IFERROR(INDEX(PP_Grid[#Data],$DD56,49),0)</f>
        <v/>
      </c>
      <c r="AZ56">
        <f>IFERROR(INDEX(PP_Grid[#Data],$DD56,50),0)</f>
        <v/>
      </c>
      <c r="BA56">
        <f>IFERROR(INDEX(PP_Grid[#Data],$DD56,51),0)</f>
        <v/>
      </c>
      <c r="BB56">
        <f>IFERROR(INDEX(PP_Grid[#Data],$DD56,52),0)</f>
        <v/>
      </c>
      <c r="BC56">
        <f>IFERROR(INDEX(PP_Grid[#Data],$DD56,53),0)</f>
        <v/>
      </c>
      <c r="BD56">
        <f>IFERROR(INDEX(PP_Grid[#Data],$DD56,54),0)</f>
        <v/>
      </c>
      <c r="BE56">
        <f>IFERROR(INDEX(PP_Grid[#Data],$DD56,55),0)</f>
        <v/>
      </c>
      <c r="BF56">
        <f>IFERROR(INDEX(PP_Grid[#Data],$DD56,56),0)</f>
        <v/>
      </c>
      <c r="BG56">
        <f>IFERROR(INDEX(PP_Grid[#Data],$DD56,57),0)</f>
        <v/>
      </c>
      <c r="BH56">
        <f>IFERROR(INDEX(PP_Grid[#Data],$DD56,58),0)</f>
        <v/>
      </c>
      <c r="BI56">
        <f>IFERROR(INDEX(PP_Grid[#Data],$DD56,59),0)</f>
        <v/>
      </c>
      <c r="BJ56">
        <f>IFERROR(INDEX(PP_Grid[#Data],$DD56,60),0)</f>
        <v/>
      </c>
      <c r="BK56">
        <f>IFERROR(INDEX(PP_Grid[#Data],$DD56,61),0)</f>
        <v/>
      </c>
      <c r="BL56">
        <f>IFERROR(INDEX(PP_Grid[#Data],$DD56,62),0)</f>
        <v/>
      </c>
      <c r="BM56">
        <f>IFERROR(INDEX(PP_Grid[#Data],$DD56,63),0)</f>
        <v/>
      </c>
      <c r="BN56">
        <f>IFERROR(INDEX(PP_Grid[#Data],$DD56,64),0)</f>
        <v/>
      </c>
      <c r="BO56">
        <f>IFERROR(INDEX(PP_Grid[#Data],$DD56,65),0)</f>
        <v/>
      </c>
      <c r="BP56">
        <f>IFERROR(INDEX(PP_Grid[#Data],$DD56,66),0)</f>
        <v/>
      </c>
      <c r="BQ56">
        <f>IFERROR(INDEX(PP_Grid[#Data],$DD56,67),0)</f>
        <v/>
      </c>
      <c r="BR56">
        <f>IFERROR(INDEX(PP_Grid[#Data],$DD56,68),0)</f>
        <v/>
      </c>
      <c r="BS56">
        <f>IFERROR(INDEX(PP_Grid[#Data],$DD56,69),0)</f>
        <v/>
      </c>
      <c r="BT56">
        <f>IFERROR(INDEX(PP_Grid[#Data],$DD56,70),0)</f>
        <v/>
      </c>
      <c r="BU56">
        <f>IFERROR(INDEX(PP_Grid[#Data],$DD56,71),0)</f>
        <v/>
      </c>
      <c r="BV56">
        <f>IFERROR(INDEX(PP_Grid[#Data],$DD56,72),0)</f>
        <v/>
      </c>
      <c r="BW56">
        <f>IFERROR(INDEX(PP_Grid[#Data],$DD56,73),0)</f>
        <v/>
      </c>
      <c r="BX56">
        <f>IFERROR(INDEX(PP_Grid[#Data],$DD56,74),0)</f>
        <v/>
      </c>
      <c r="BY56">
        <f>IFERROR(INDEX(PP_Grid[#Data],$DD56,75),0)</f>
        <v/>
      </c>
      <c r="BZ56">
        <f>IFERROR(INDEX(PP_Grid[#Data],$DD56,76),0)</f>
        <v/>
      </c>
      <c r="CA56">
        <f>IFERROR(INDEX(PP_Grid[#Data],$DD56,77),0)</f>
        <v/>
      </c>
      <c r="CB56">
        <f>IFERROR(INDEX(PP_Grid[#Data],$DD56,78),0)</f>
        <v/>
      </c>
      <c r="CC56">
        <f>IFERROR(INDEX(PP_Grid[#Data],$DD56,79),0)</f>
        <v/>
      </c>
      <c r="CD56">
        <f>IFERROR(INDEX(PP_Grid[#Data],$DD56,80),0)</f>
        <v/>
      </c>
      <c r="CE56">
        <f>IFERROR(INDEX(PP_Grid[#Data],$DD56,81),0)</f>
        <v/>
      </c>
      <c r="CF56">
        <f>IFERROR(INDEX(PP_Grid[#Data],$DD56,82),0)</f>
        <v/>
      </c>
      <c r="CG56">
        <f>IFERROR(INDEX(PP_Grid[#Data],$DD56,83),0)</f>
        <v/>
      </c>
      <c r="CH56">
        <f>IFERROR(INDEX(PP_Grid[#Data],$DD56,84),0)</f>
        <v/>
      </c>
      <c r="CI56">
        <f>IFERROR(INDEX(PP_Grid[#Data],$DD56,85),0)</f>
        <v/>
      </c>
      <c r="CJ56">
        <f>IFERROR(INDEX(PP_Grid[#Data],$DD56,86),0)</f>
        <v/>
      </c>
      <c r="CK56">
        <f>IFERROR(INDEX(PP_Grid[#Data],$DD56,87),0)</f>
        <v/>
      </c>
      <c r="CL56">
        <f>IFERROR(INDEX(PP_Grid[#Data],$DD56,88),0)</f>
        <v/>
      </c>
      <c r="CM56">
        <f>IFERROR(INDEX(PP_Grid[#Data],$DD56,89),0)</f>
        <v/>
      </c>
      <c r="CN56">
        <f>IFERROR(INDEX(PP_Grid[#Data],$DD56,90),0)</f>
        <v/>
      </c>
      <c r="CO56">
        <f>IFERROR(INDEX(PP_Grid[#Data],$DD56,91),0)</f>
        <v/>
      </c>
      <c r="CP56">
        <f>IFERROR(INDEX(PP_Grid[#Data],$DD56,92),0)</f>
        <v/>
      </c>
      <c r="CQ56">
        <f>IFERROR(INDEX(PP_Grid[#Data],$DD56,93),0)</f>
        <v/>
      </c>
      <c r="CR56">
        <f>IFERROR(INDEX(PP_Grid[#Data],$DD56,94),0)</f>
        <v/>
      </c>
      <c r="CS56">
        <f>IFERROR(INDEX(PP_Grid[#Data],$DD56,95),0)</f>
        <v/>
      </c>
      <c r="CT56">
        <f>IFERROR(INDEX(PP_Grid[#Data],$DD56,96),0)</f>
        <v/>
      </c>
      <c r="CU56">
        <f>IFERROR(INDEX(PP_Grid[#Data],$DD56,97),0)</f>
        <v/>
      </c>
      <c r="CV56">
        <f>IFERROR(INDEX(PP_Grid[#Data],$DD56,98),0)</f>
        <v/>
      </c>
      <c r="CW56">
        <f>IFERROR(INDEX(PP_Grid[#Data],$DD56,99),0)</f>
        <v/>
      </c>
      <c r="CX56">
        <f>IFERROR(INDEX(PP_Grid[#Data],$DD56,100),0)</f>
        <v/>
      </c>
      <c r="CY56">
        <f>IFERROR(INDEX(PP_Grid[#Data],$DD56,101),0)</f>
        <v/>
      </c>
      <c r="CZ56">
        <f>IFERROR(INDEX(PP_Grid[#Data],$DD56,102),0)</f>
        <v/>
      </c>
      <c r="DA56">
        <f>IFERROR(INDEX(PP_Grid[#Data],$DD56,103),0)</f>
        <v/>
      </c>
      <c r="DB56">
        <f>IFERROR(INDEX(PP_Grid[#Data],$DD56,104),0)</f>
        <v/>
      </c>
      <c r="DC56">
        <f>IFERROR(INDEX(PP_Grid[#Data],$DD56,105),0)</f>
        <v/>
      </c>
      <c r="DD56" s="12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SUMIFS(M_BOM[RM_Qty_Per_Batch],M_BOM[Intermediate],$B56,M_BOM[Part Name],$A55)</f>
        <v/>
      </c>
      <c r="D57">
        <f>$C57*D56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</row>
    <row r="58">
      <c r="B58" s="5" t="inlineStr">
        <is>
          <t>合計使用量(kg)/週</t>
        </is>
      </c>
      <c r="D58">
        <f>'Grid_Requirement'!B5</f>
        <v/>
      </c>
      <c r="E58">
        <f>'Grid_Requirement'!C5</f>
        <v/>
      </c>
      <c r="F58">
        <f>'Grid_Requirement'!D5</f>
        <v/>
      </c>
      <c r="G58">
        <f>'Grid_Requirement'!E5</f>
        <v/>
      </c>
      <c r="H58">
        <f>'Grid_Requirement'!F5</f>
        <v/>
      </c>
      <c r="I58">
        <f>'Grid_Requirement'!G5</f>
        <v/>
      </c>
      <c r="J58">
        <f>'Grid_Requirement'!H5</f>
        <v/>
      </c>
      <c r="K58">
        <f>'Grid_Requirement'!I5</f>
        <v/>
      </c>
      <c r="L58">
        <f>'Grid_Requirement'!J5</f>
        <v/>
      </c>
      <c r="M58">
        <f>'Grid_Requirement'!K5</f>
        <v/>
      </c>
      <c r="N58">
        <f>'Grid_Requirement'!L5</f>
        <v/>
      </c>
      <c r="O58">
        <f>'Grid_Requirement'!M5</f>
        <v/>
      </c>
      <c r="P58">
        <f>'Grid_Requirement'!N5</f>
        <v/>
      </c>
      <c r="Q58">
        <f>'Grid_Requirement'!O5</f>
        <v/>
      </c>
      <c r="R58">
        <f>'Grid_Requirement'!P5</f>
        <v/>
      </c>
      <c r="S58">
        <f>'Grid_Requirement'!Q5</f>
        <v/>
      </c>
      <c r="T58">
        <f>'Grid_Requirement'!R5</f>
        <v/>
      </c>
      <c r="U58">
        <f>'Grid_Requirement'!S5</f>
        <v/>
      </c>
      <c r="V58">
        <f>'Grid_Requirement'!T5</f>
        <v/>
      </c>
      <c r="W58">
        <f>'Grid_Requirement'!U5</f>
        <v/>
      </c>
      <c r="X58">
        <f>'Grid_Requirement'!V5</f>
        <v/>
      </c>
      <c r="Y58">
        <f>'Grid_Requirement'!W5</f>
        <v/>
      </c>
      <c r="Z58">
        <f>'Grid_Requirement'!X5</f>
        <v/>
      </c>
      <c r="AA58">
        <f>'Grid_Requirement'!Y5</f>
        <v/>
      </c>
      <c r="AB58">
        <f>'Grid_Requirement'!Z5</f>
        <v/>
      </c>
      <c r="AC58">
        <f>'Grid_Requirement'!AA5</f>
        <v/>
      </c>
      <c r="AD58">
        <f>'Grid_Requirement'!AB5</f>
        <v/>
      </c>
      <c r="AE58">
        <f>'Grid_Requirement'!AC5</f>
        <v/>
      </c>
      <c r="AF58">
        <f>'Grid_Requirement'!AD5</f>
        <v/>
      </c>
      <c r="AG58">
        <f>'Grid_Requirement'!AE5</f>
        <v/>
      </c>
      <c r="AH58">
        <f>'Grid_Requirement'!AF5</f>
        <v/>
      </c>
      <c r="AI58">
        <f>'Grid_Requirement'!AG5</f>
        <v/>
      </c>
      <c r="AJ58">
        <f>'Grid_Requirement'!AH5</f>
        <v/>
      </c>
      <c r="AK58">
        <f>'Grid_Requirement'!AI5</f>
        <v/>
      </c>
      <c r="AL58">
        <f>'Grid_Requirement'!AJ5</f>
        <v/>
      </c>
      <c r="AM58">
        <f>'Grid_Requirement'!AK5</f>
        <v/>
      </c>
      <c r="AN58">
        <f>'Grid_Requirement'!AL5</f>
        <v/>
      </c>
      <c r="AO58">
        <f>'Grid_Requirement'!AM5</f>
        <v/>
      </c>
      <c r="AP58">
        <f>'Grid_Requirement'!AN5</f>
        <v/>
      </c>
      <c r="AQ58">
        <f>'Grid_Requirement'!AO5</f>
        <v/>
      </c>
      <c r="AR58">
        <f>'Grid_Requirement'!AP5</f>
        <v/>
      </c>
      <c r="AS58">
        <f>'Grid_Requirement'!AQ5</f>
        <v/>
      </c>
      <c r="AT58">
        <f>'Grid_Requirement'!AR5</f>
        <v/>
      </c>
      <c r="AU58">
        <f>'Grid_Requirement'!AS5</f>
        <v/>
      </c>
      <c r="AV58">
        <f>'Grid_Requirement'!AT5</f>
        <v/>
      </c>
      <c r="AW58">
        <f>'Grid_Requirement'!AU5</f>
        <v/>
      </c>
      <c r="AX58">
        <f>'Grid_Requirement'!AV5</f>
        <v/>
      </c>
      <c r="AY58">
        <f>'Grid_Requirement'!AW5</f>
        <v/>
      </c>
      <c r="AZ58">
        <f>'Grid_Requirement'!AX5</f>
        <v/>
      </c>
      <c r="BA58">
        <f>'Grid_Requirement'!AY5</f>
        <v/>
      </c>
      <c r="BB58">
        <f>'Grid_Requirement'!AZ5</f>
        <v/>
      </c>
      <c r="BC58">
        <f>'Grid_Requirement'!BA5</f>
        <v/>
      </c>
      <c r="BD58">
        <f>'Grid_Requirement'!BB5</f>
        <v/>
      </c>
      <c r="BE58">
        <f>'Grid_Requirement'!BC5</f>
        <v/>
      </c>
      <c r="BF58">
        <f>'Grid_Requirement'!BD5</f>
        <v/>
      </c>
      <c r="BG58">
        <f>'Grid_Requirement'!BE5</f>
        <v/>
      </c>
      <c r="BH58">
        <f>'Grid_Requirement'!BF5</f>
        <v/>
      </c>
      <c r="BI58">
        <f>'Grid_Requirement'!BG5</f>
        <v/>
      </c>
      <c r="BJ58">
        <f>'Grid_Requirement'!BH5</f>
        <v/>
      </c>
      <c r="BK58">
        <f>'Grid_Requirement'!BI5</f>
        <v/>
      </c>
      <c r="BL58">
        <f>'Grid_Requirement'!BJ5</f>
        <v/>
      </c>
      <c r="BM58">
        <f>'Grid_Requirement'!BK5</f>
        <v/>
      </c>
      <c r="BN58">
        <f>'Grid_Requirement'!BL5</f>
        <v/>
      </c>
      <c r="BO58">
        <f>'Grid_Requirement'!BM5</f>
        <v/>
      </c>
      <c r="BP58">
        <f>'Grid_Requirement'!BN5</f>
        <v/>
      </c>
      <c r="BQ58">
        <f>'Grid_Requirement'!BO5</f>
        <v/>
      </c>
      <c r="BR58">
        <f>'Grid_Requirement'!BP5</f>
        <v/>
      </c>
      <c r="BS58">
        <f>'Grid_Requirement'!BQ5</f>
        <v/>
      </c>
      <c r="BT58">
        <f>'Grid_Requirement'!BR5</f>
        <v/>
      </c>
      <c r="BU58">
        <f>'Grid_Requirement'!BS5</f>
        <v/>
      </c>
      <c r="BV58">
        <f>'Grid_Requirement'!BT5</f>
        <v/>
      </c>
      <c r="BW58">
        <f>'Grid_Requirement'!BU5</f>
        <v/>
      </c>
      <c r="BX58">
        <f>'Grid_Requirement'!BV5</f>
        <v/>
      </c>
      <c r="BY58">
        <f>'Grid_Requirement'!BW5</f>
        <v/>
      </c>
      <c r="BZ58">
        <f>'Grid_Requirement'!BX5</f>
        <v/>
      </c>
      <c r="CA58">
        <f>'Grid_Requirement'!BY5</f>
        <v/>
      </c>
      <c r="CB58">
        <f>'Grid_Requirement'!BZ5</f>
        <v/>
      </c>
      <c r="CC58">
        <f>'Grid_Requirement'!CA5</f>
        <v/>
      </c>
      <c r="CD58">
        <f>'Grid_Requirement'!CB5</f>
        <v/>
      </c>
      <c r="CE58">
        <f>'Grid_Requirement'!CC5</f>
        <v/>
      </c>
      <c r="CF58">
        <f>'Grid_Requirement'!CD5</f>
        <v/>
      </c>
      <c r="CG58">
        <f>'Grid_Requirement'!CE5</f>
        <v/>
      </c>
      <c r="CH58">
        <f>'Grid_Requirement'!CF5</f>
        <v/>
      </c>
      <c r="CI58">
        <f>'Grid_Requirement'!CG5</f>
        <v/>
      </c>
      <c r="CJ58">
        <f>'Grid_Requirement'!CH5</f>
        <v/>
      </c>
      <c r="CK58">
        <f>'Grid_Requirement'!CI5</f>
        <v/>
      </c>
      <c r="CL58">
        <f>'Grid_Requirement'!CJ5</f>
        <v/>
      </c>
      <c r="CM58">
        <f>'Grid_Requirement'!CK5</f>
        <v/>
      </c>
      <c r="CN58">
        <f>'Grid_Requirement'!CL5</f>
        <v/>
      </c>
      <c r="CO58">
        <f>'Grid_Requirement'!CM5</f>
        <v/>
      </c>
      <c r="CP58">
        <f>'Grid_Requirement'!CN5</f>
        <v/>
      </c>
      <c r="CQ58">
        <f>'Grid_Requirement'!CO5</f>
        <v/>
      </c>
      <c r="CR58">
        <f>'Grid_Requirement'!CP5</f>
        <v/>
      </c>
      <c r="CS58">
        <f>'Grid_Requirement'!CQ5</f>
        <v/>
      </c>
      <c r="CT58">
        <f>'Grid_Requirement'!CR5</f>
        <v/>
      </c>
      <c r="CU58">
        <f>'Grid_Requirement'!CS5</f>
        <v/>
      </c>
      <c r="CV58">
        <f>'Grid_Requirement'!CT5</f>
        <v/>
      </c>
      <c r="CW58">
        <f>'Grid_Requirement'!CU5</f>
        <v/>
      </c>
      <c r="CX58">
        <f>'Grid_Requirement'!CV5</f>
        <v/>
      </c>
      <c r="CY58">
        <f>'Grid_Requirement'!CW5</f>
        <v/>
      </c>
      <c r="CZ58">
        <f>'Grid_Requirement'!CX5</f>
        <v/>
      </c>
      <c r="DA58">
        <f>'Grid_Requirement'!CY5</f>
        <v/>
      </c>
      <c r="DB58">
        <f>'Grid_Requirement'!CZ5</f>
        <v/>
      </c>
      <c r="DC58">
        <f>'Grid_Requirement'!DA5</f>
        <v/>
      </c>
    </row>
    <row r="59">
      <c r="B59" t="inlineStr">
        <is>
          <t>TTAF在庫(実績,kg)</t>
        </is>
      </c>
      <c r="D59">
        <f>'T_TTAFStock'!B9</f>
        <v/>
      </c>
      <c r="E59">
        <f>'T_TTAFStock'!C9</f>
        <v/>
      </c>
      <c r="F59">
        <f>'T_TTAFStock'!D9</f>
        <v/>
      </c>
      <c r="G59">
        <f>'T_TTAFStock'!E9</f>
        <v/>
      </c>
      <c r="H59">
        <f>'T_TTAFStock'!F9</f>
        <v/>
      </c>
      <c r="I59">
        <f>'T_TTAFStock'!G9</f>
        <v/>
      </c>
      <c r="J59">
        <f>'T_TTAFStock'!H9</f>
        <v/>
      </c>
      <c r="K59">
        <f>'T_TTAFStock'!I9</f>
        <v/>
      </c>
      <c r="L59">
        <f>'T_TTAFStock'!J9</f>
        <v/>
      </c>
      <c r="M59">
        <f>'T_TTAFStock'!K9</f>
        <v/>
      </c>
      <c r="N59">
        <f>'T_TTAFStock'!L9</f>
        <v/>
      </c>
      <c r="O59">
        <f>'T_TTAFStock'!M9</f>
        <v/>
      </c>
      <c r="P59">
        <f>'T_TTAFStock'!N9</f>
        <v/>
      </c>
      <c r="Q59">
        <f>'T_TTAFStock'!O9</f>
        <v/>
      </c>
      <c r="R59">
        <f>'T_TTAFStock'!P9</f>
        <v/>
      </c>
      <c r="S59">
        <f>'T_TTAFStock'!Q9</f>
        <v/>
      </c>
      <c r="T59">
        <f>'T_TTAFStock'!R9</f>
        <v/>
      </c>
      <c r="U59">
        <f>'T_TTAFStock'!S9</f>
        <v/>
      </c>
      <c r="V59">
        <f>'T_TTAFStock'!T9</f>
        <v/>
      </c>
      <c r="W59">
        <f>'T_TTAFStock'!U9</f>
        <v/>
      </c>
      <c r="X59">
        <f>'T_TTAFStock'!V9</f>
        <v/>
      </c>
      <c r="Y59">
        <f>'T_TTAFStock'!W9</f>
        <v/>
      </c>
      <c r="Z59">
        <f>'T_TTAFStock'!X9</f>
        <v/>
      </c>
      <c r="AA59">
        <f>'T_TTAFStock'!Y9</f>
        <v/>
      </c>
      <c r="AB59">
        <f>'T_TTAFStock'!Z9</f>
        <v/>
      </c>
      <c r="AC59">
        <f>'T_TTAFStock'!AA9</f>
        <v/>
      </c>
      <c r="AD59">
        <f>'T_TTAFStock'!AB9</f>
        <v/>
      </c>
      <c r="AE59">
        <f>'T_TTAFStock'!AC9</f>
        <v/>
      </c>
      <c r="AF59">
        <f>'T_TTAFStock'!AD9</f>
        <v/>
      </c>
      <c r="AG59">
        <f>'T_TTAFStock'!AE9</f>
        <v/>
      </c>
      <c r="AH59">
        <f>'T_TTAFStock'!AF9</f>
        <v/>
      </c>
      <c r="AI59">
        <f>'T_TTAFStock'!AG9</f>
        <v/>
      </c>
      <c r="AJ59">
        <f>'T_TTAFStock'!AH9</f>
        <v/>
      </c>
      <c r="AK59">
        <f>'T_TTAFStock'!AI9</f>
        <v/>
      </c>
      <c r="AL59">
        <f>'T_TTAFStock'!AJ9</f>
        <v/>
      </c>
      <c r="AM59">
        <f>'T_TTAFStock'!AK9</f>
        <v/>
      </c>
      <c r="AN59">
        <f>'T_TTAFStock'!AL9</f>
        <v/>
      </c>
      <c r="AO59">
        <f>'T_TTAFStock'!AM9</f>
        <v/>
      </c>
      <c r="AP59">
        <f>'T_TTAFStock'!AN9</f>
        <v/>
      </c>
      <c r="AQ59">
        <f>'T_TTAFStock'!AO9</f>
        <v/>
      </c>
      <c r="AR59">
        <f>'T_TTAFStock'!AP9</f>
        <v/>
      </c>
      <c r="AS59">
        <f>'T_TTAFStock'!AQ9</f>
        <v/>
      </c>
      <c r="AT59">
        <f>'T_TTAFStock'!AR9</f>
        <v/>
      </c>
      <c r="AU59">
        <f>'T_TTAFStock'!AS9</f>
        <v/>
      </c>
      <c r="AV59">
        <f>'T_TTAFStock'!AT9</f>
        <v/>
      </c>
      <c r="AW59">
        <f>'T_TTAFStock'!AU9</f>
        <v/>
      </c>
      <c r="AX59">
        <f>'T_TTAFStock'!AV9</f>
        <v/>
      </c>
      <c r="AY59">
        <f>'T_TTAFStock'!AW9</f>
        <v/>
      </c>
      <c r="AZ59">
        <f>'T_TTAFStock'!AX9</f>
        <v/>
      </c>
      <c r="BA59">
        <f>'T_TTAFStock'!AY9</f>
        <v/>
      </c>
      <c r="BB59">
        <f>'T_TTAFStock'!AZ9</f>
        <v/>
      </c>
      <c r="BC59">
        <f>'T_TTAFStock'!BA9</f>
        <v/>
      </c>
      <c r="BD59">
        <f>'T_TTAFStock'!BB9</f>
        <v/>
      </c>
      <c r="BE59">
        <f>'T_TTAFStock'!BC9</f>
        <v/>
      </c>
      <c r="BF59">
        <f>'T_TTAFStock'!BD9</f>
        <v/>
      </c>
      <c r="BG59">
        <f>'T_TTAFStock'!BE9</f>
        <v/>
      </c>
      <c r="BH59">
        <f>'T_TTAFStock'!BF9</f>
        <v/>
      </c>
      <c r="BI59">
        <f>'T_TTAFStock'!BG9</f>
        <v/>
      </c>
      <c r="BJ59">
        <f>'T_TTAFStock'!BH9</f>
        <v/>
      </c>
      <c r="BK59">
        <f>'T_TTAFStock'!BI9</f>
        <v/>
      </c>
      <c r="BL59">
        <f>'T_TTAFStock'!BJ9</f>
        <v/>
      </c>
      <c r="BM59">
        <f>'T_TTAFStock'!BK9</f>
        <v/>
      </c>
      <c r="BN59">
        <f>'T_TTAFStock'!BL9</f>
        <v/>
      </c>
      <c r="BO59">
        <f>'T_TTAFStock'!BM9</f>
        <v/>
      </c>
      <c r="BP59">
        <f>'T_TTAFStock'!BN9</f>
        <v/>
      </c>
      <c r="BQ59">
        <f>'T_TTAFStock'!BO9</f>
        <v/>
      </c>
      <c r="BR59">
        <f>'T_TTAFStock'!BP9</f>
        <v/>
      </c>
      <c r="BS59">
        <f>'T_TTAFStock'!BQ9</f>
        <v/>
      </c>
      <c r="BT59">
        <f>'T_TTAFStock'!BR9</f>
        <v/>
      </c>
      <c r="BU59">
        <f>'T_TTAFStock'!BS9</f>
        <v/>
      </c>
      <c r="BV59">
        <f>'T_TTAFStock'!BT9</f>
        <v/>
      </c>
      <c r="BW59">
        <f>'T_TTAFStock'!BU9</f>
        <v/>
      </c>
      <c r="BX59">
        <f>'T_TTAFStock'!BV9</f>
        <v/>
      </c>
      <c r="BY59">
        <f>'T_TTAFStock'!BW9</f>
        <v/>
      </c>
      <c r="BZ59">
        <f>'T_TTAFStock'!BX9</f>
        <v/>
      </c>
      <c r="CA59">
        <f>'T_TTAFStock'!BY9</f>
        <v/>
      </c>
      <c r="CB59">
        <f>'T_TTAFStock'!BZ9</f>
        <v/>
      </c>
      <c r="CC59">
        <f>'T_TTAFStock'!CA9</f>
        <v/>
      </c>
      <c r="CD59">
        <f>'T_TTAFStock'!CB9</f>
        <v/>
      </c>
      <c r="CE59">
        <f>'T_TTAFStock'!CC9</f>
        <v/>
      </c>
      <c r="CF59">
        <f>'T_TTAFStock'!CD9</f>
        <v/>
      </c>
      <c r="CG59">
        <f>'T_TTAFStock'!CE9</f>
        <v/>
      </c>
      <c r="CH59">
        <f>'T_TTAFStock'!CF9</f>
        <v/>
      </c>
      <c r="CI59">
        <f>'T_TTAFStock'!CG9</f>
        <v/>
      </c>
      <c r="CJ59">
        <f>'T_TTAFStock'!CH9</f>
        <v/>
      </c>
      <c r="CK59">
        <f>'T_TTAFStock'!CI9</f>
        <v/>
      </c>
      <c r="CL59">
        <f>'T_TTAFStock'!CJ9</f>
        <v/>
      </c>
      <c r="CM59">
        <f>'T_TTAFStock'!CK9</f>
        <v/>
      </c>
      <c r="CN59">
        <f>'T_TTAFStock'!CL9</f>
        <v/>
      </c>
      <c r="CO59">
        <f>'T_TTAFStock'!CM9</f>
        <v/>
      </c>
      <c r="CP59">
        <f>'T_TTAFStock'!CN9</f>
        <v/>
      </c>
      <c r="CQ59">
        <f>'T_TTAFStock'!CO9</f>
        <v/>
      </c>
      <c r="CR59">
        <f>'T_TTAFStock'!CP9</f>
        <v/>
      </c>
      <c r="CS59">
        <f>'T_TTAFStock'!CQ9</f>
        <v/>
      </c>
      <c r="CT59">
        <f>'T_TTAFStock'!CR9</f>
        <v/>
      </c>
      <c r="CU59">
        <f>'T_TTAFStock'!CS9</f>
        <v/>
      </c>
      <c r="CV59">
        <f>'T_TTAFStock'!CT9</f>
        <v/>
      </c>
      <c r="CW59">
        <f>'T_TTAFStock'!CU9</f>
        <v/>
      </c>
      <c r="CX59">
        <f>'T_TTAFStock'!CV9</f>
        <v/>
      </c>
      <c r="CY59">
        <f>'T_TTAFStock'!CW9</f>
        <v/>
      </c>
      <c r="CZ59">
        <f>'T_TTAFStock'!CX9</f>
        <v/>
      </c>
      <c r="DA59">
        <f>'T_TTAFStock'!CY9</f>
        <v/>
      </c>
      <c r="DB59">
        <f>'T_TTAFStock'!CZ9</f>
        <v/>
      </c>
      <c r="DC59">
        <f>'T_TTAFStock'!DA9</f>
        <v/>
      </c>
    </row>
    <row r="60">
      <c r="B60" t="inlineStr">
        <is>
          <t>自社在庫(実績,kg)</t>
        </is>
      </c>
      <c r="D60">
        <f>'T_SelfStock'!B9</f>
        <v/>
      </c>
      <c r="E60">
        <f>'T_SelfStock'!C9</f>
        <v/>
      </c>
      <c r="F60">
        <f>'T_SelfStock'!D9</f>
        <v/>
      </c>
      <c r="G60">
        <f>'T_SelfStock'!E9</f>
        <v/>
      </c>
      <c r="H60">
        <f>'T_SelfStock'!F9</f>
        <v/>
      </c>
      <c r="I60">
        <f>'T_SelfStock'!G9</f>
        <v/>
      </c>
      <c r="J60">
        <f>'T_SelfStock'!H9</f>
        <v/>
      </c>
      <c r="K60">
        <f>'T_SelfStock'!I9</f>
        <v/>
      </c>
      <c r="L60">
        <f>'T_SelfStock'!J9</f>
        <v/>
      </c>
      <c r="M60">
        <f>'T_SelfStock'!K9</f>
        <v/>
      </c>
      <c r="N60">
        <f>'T_SelfStock'!L9</f>
        <v/>
      </c>
      <c r="O60">
        <f>'T_SelfStock'!M9</f>
        <v/>
      </c>
      <c r="P60">
        <f>'T_SelfStock'!N9</f>
        <v/>
      </c>
      <c r="Q60">
        <f>'T_SelfStock'!O9</f>
        <v/>
      </c>
      <c r="R60">
        <f>'T_SelfStock'!P9</f>
        <v/>
      </c>
      <c r="S60">
        <f>'T_SelfStock'!Q9</f>
        <v/>
      </c>
      <c r="T60">
        <f>'T_SelfStock'!R9</f>
        <v/>
      </c>
      <c r="U60">
        <f>'T_SelfStock'!S9</f>
        <v/>
      </c>
      <c r="V60">
        <f>'T_SelfStock'!T9</f>
        <v/>
      </c>
      <c r="W60">
        <f>'T_SelfStock'!U9</f>
        <v/>
      </c>
      <c r="X60">
        <f>'T_SelfStock'!V9</f>
        <v/>
      </c>
      <c r="Y60">
        <f>'T_SelfStock'!W9</f>
        <v/>
      </c>
      <c r="Z60">
        <f>'T_SelfStock'!X9</f>
        <v/>
      </c>
      <c r="AA60">
        <f>'T_SelfStock'!Y9</f>
        <v/>
      </c>
      <c r="AB60">
        <f>'T_SelfStock'!Z9</f>
        <v/>
      </c>
      <c r="AC60">
        <f>'T_SelfStock'!AA9</f>
        <v/>
      </c>
      <c r="AD60">
        <f>'T_SelfStock'!AB9</f>
        <v/>
      </c>
      <c r="AE60">
        <f>'T_SelfStock'!AC9</f>
        <v/>
      </c>
      <c r="AF60">
        <f>'T_SelfStock'!AD9</f>
        <v/>
      </c>
      <c r="AG60">
        <f>'T_SelfStock'!AE9</f>
        <v/>
      </c>
      <c r="AH60">
        <f>'T_SelfStock'!AF9</f>
        <v/>
      </c>
      <c r="AI60">
        <f>'T_SelfStock'!AG9</f>
        <v/>
      </c>
      <c r="AJ60">
        <f>'T_SelfStock'!AH9</f>
        <v/>
      </c>
      <c r="AK60">
        <f>'T_SelfStock'!AI9</f>
        <v/>
      </c>
      <c r="AL60">
        <f>'T_SelfStock'!AJ9</f>
        <v/>
      </c>
      <c r="AM60">
        <f>'T_SelfStock'!AK9</f>
        <v/>
      </c>
      <c r="AN60">
        <f>'T_SelfStock'!AL9</f>
        <v/>
      </c>
      <c r="AO60">
        <f>'T_SelfStock'!AM9</f>
        <v/>
      </c>
      <c r="AP60">
        <f>'T_SelfStock'!AN9</f>
        <v/>
      </c>
      <c r="AQ60">
        <f>'T_SelfStock'!AO9</f>
        <v/>
      </c>
      <c r="AR60">
        <f>'T_SelfStock'!AP9</f>
        <v/>
      </c>
      <c r="AS60">
        <f>'T_SelfStock'!AQ9</f>
        <v/>
      </c>
      <c r="AT60">
        <f>'T_SelfStock'!AR9</f>
        <v/>
      </c>
      <c r="AU60">
        <f>'T_SelfStock'!AS9</f>
        <v/>
      </c>
      <c r="AV60">
        <f>'T_SelfStock'!AT9</f>
        <v/>
      </c>
      <c r="AW60">
        <f>'T_SelfStock'!AU9</f>
        <v/>
      </c>
      <c r="AX60">
        <f>'T_SelfStock'!AV9</f>
        <v/>
      </c>
      <c r="AY60">
        <f>'T_SelfStock'!AW9</f>
        <v/>
      </c>
      <c r="AZ60">
        <f>'T_SelfStock'!AX9</f>
        <v/>
      </c>
      <c r="BA60">
        <f>'T_SelfStock'!AY9</f>
        <v/>
      </c>
      <c r="BB60">
        <f>'T_SelfStock'!AZ9</f>
        <v/>
      </c>
      <c r="BC60">
        <f>'T_SelfStock'!BA9</f>
        <v/>
      </c>
      <c r="BD60">
        <f>'T_SelfStock'!BB9</f>
        <v/>
      </c>
      <c r="BE60">
        <f>'T_SelfStock'!BC9</f>
        <v/>
      </c>
      <c r="BF60">
        <f>'T_SelfStock'!BD9</f>
        <v/>
      </c>
      <c r="BG60">
        <f>'T_SelfStock'!BE9</f>
        <v/>
      </c>
      <c r="BH60">
        <f>'T_SelfStock'!BF9</f>
        <v/>
      </c>
      <c r="BI60">
        <f>'T_SelfStock'!BG9</f>
        <v/>
      </c>
      <c r="BJ60">
        <f>'T_SelfStock'!BH9</f>
        <v/>
      </c>
      <c r="BK60">
        <f>'T_SelfStock'!BI9</f>
        <v/>
      </c>
      <c r="BL60">
        <f>'T_SelfStock'!BJ9</f>
        <v/>
      </c>
      <c r="BM60">
        <f>'T_SelfStock'!BK9</f>
        <v/>
      </c>
      <c r="BN60">
        <f>'T_SelfStock'!BL9</f>
        <v/>
      </c>
      <c r="BO60">
        <f>'T_SelfStock'!BM9</f>
        <v/>
      </c>
      <c r="BP60">
        <f>'T_SelfStock'!BN9</f>
        <v/>
      </c>
      <c r="BQ60">
        <f>'T_SelfStock'!BO9</f>
        <v/>
      </c>
      <c r="BR60">
        <f>'T_SelfStock'!BP9</f>
        <v/>
      </c>
      <c r="BS60">
        <f>'T_SelfStock'!BQ9</f>
        <v/>
      </c>
      <c r="BT60">
        <f>'T_SelfStock'!BR9</f>
        <v/>
      </c>
      <c r="BU60">
        <f>'T_SelfStock'!BS9</f>
        <v/>
      </c>
      <c r="BV60">
        <f>'T_SelfStock'!BT9</f>
        <v/>
      </c>
      <c r="BW60">
        <f>'T_SelfStock'!BU9</f>
        <v/>
      </c>
      <c r="BX60">
        <f>'T_SelfStock'!BV9</f>
        <v/>
      </c>
      <c r="BY60">
        <f>'T_SelfStock'!BW9</f>
        <v/>
      </c>
      <c r="BZ60">
        <f>'T_SelfStock'!BX9</f>
        <v/>
      </c>
      <c r="CA60">
        <f>'T_SelfStock'!BY9</f>
        <v/>
      </c>
      <c r="CB60">
        <f>'T_SelfStock'!BZ9</f>
        <v/>
      </c>
      <c r="CC60">
        <f>'T_SelfStock'!CA9</f>
        <v/>
      </c>
      <c r="CD60">
        <f>'T_SelfStock'!CB9</f>
        <v/>
      </c>
      <c r="CE60">
        <f>'T_SelfStock'!CC9</f>
        <v/>
      </c>
      <c r="CF60">
        <f>'T_SelfStock'!CD9</f>
        <v/>
      </c>
      <c r="CG60">
        <f>'T_SelfStock'!CE9</f>
        <v/>
      </c>
      <c r="CH60">
        <f>'T_SelfStock'!CF9</f>
        <v/>
      </c>
      <c r="CI60">
        <f>'T_SelfStock'!CG9</f>
        <v/>
      </c>
      <c r="CJ60">
        <f>'T_SelfStock'!CH9</f>
        <v/>
      </c>
      <c r="CK60">
        <f>'T_SelfStock'!CI9</f>
        <v/>
      </c>
      <c r="CL60">
        <f>'T_SelfStock'!CJ9</f>
        <v/>
      </c>
      <c r="CM60">
        <f>'T_SelfStock'!CK9</f>
        <v/>
      </c>
      <c r="CN60">
        <f>'T_SelfStock'!CL9</f>
        <v/>
      </c>
      <c r="CO60">
        <f>'T_SelfStock'!CM9</f>
        <v/>
      </c>
      <c r="CP60">
        <f>'T_SelfStock'!CN9</f>
        <v/>
      </c>
      <c r="CQ60">
        <f>'T_SelfStock'!CO9</f>
        <v/>
      </c>
      <c r="CR60">
        <f>'T_SelfStock'!CP9</f>
        <v/>
      </c>
      <c r="CS60">
        <f>'T_SelfStock'!CQ9</f>
        <v/>
      </c>
      <c r="CT60">
        <f>'T_SelfStock'!CR9</f>
        <v/>
      </c>
      <c r="CU60">
        <f>'T_SelfStock'!CS9</f>
        <v/>
      </c>
      <c r="CV60">
        <f>'T_SelfStock'!CT9</f>
        <v/>
      </c>
      <c r="CW60">
        <f>'T_SelfStock'!CU9</f>
        <v/>
      </c>
      <c r="CX60">
        <f>'T_SelfStock'!CV9</f>
        <v/>
      </c>
      <c r="CY60">
        <f>'T_SelfStock'!CW9</f>
        <v/>
      </c>
      <c r="CZ60">
        <f>'T_SelfStock'!CX9</f>
        <v/>
      </c>
      <c r="DA60">
        <f>'T_SelfStock'!CY9</f>
        <v/>
      </c>
      <c r="DB60">
        <f>'T_SelfStock'!CZ9</f>
        <v/>
      </c>
      <c r="DC60">
        <f>'T_SelfStock'!DA9</f>
        <v/>
      </c>
    </row>
    <row r="61">
      <c r="B61" t="inlineStr">
        <is>
          <t>Order(発注予定,kg)</t>
        </is>
      </c>
      <c r="D61">
        <f>IF(SUMIFS(T_PlannedOrders[EffectiveQty],T_PlannedOrders[Part Name],$A55,T_PlannedOrders[WeekIndex],1)=0,"",SUMIFS(T_PlannedOrders[EffectiveQty],T_PlannedOrders[Part Name],$A55,T_PlannedOrders[WeekIndex],1)&amp;" ("&amp;TEXT(SUMPRODUCT(MAX((T_PlannedOrders[Part Name]=$A55)*(T_PlannedOrders[WeekIndex]=1)*(T_PlannedOrders[EffectiveQty]&gt;0)*T_PlannedOrders[Order_Month])),"m月")&amp;"発注)")</f>
        <v/>
      </c>
      <c r="E61">
        <f>IF(SUMIFS(T_PlannedOrders[EffectiveQty],T_PlannedOrders[Part Name],$A55,T_PlannedOrders[WeekIndex],2)=0,"",SUMIFS(T_PlannedOrders[EffectiveQty],T_PlannedOrders[Part Name],$A55,T_PlannedOrders[WeekIndex],2)&amp;" ("&amp;TEXT(SUMPRODUCT(MAX((T_PlannedOrders[Part Name]=$A55)*(T_PlannedOrders[WeekIndex]=2)*(T_PlannedOrders[EffectiveQty]&gt;0)*T_PlannedOrders[Order_Month])),"m月")&amp;"発注)")</f>
        <v/>
      </c>
      <c r="F61">
        <f>IF(SUMIFS(T_PlannedOrders[EffectiveQty],T_PlannedOrders[Part Name],$A55,T_PlannedOrders[WeekIndex],3)=0,"",SUMIFS(T_PlannedOrders[EffectiveQty],T_PlannedOrders[Part Name],$A55,T_PlannedOrders[WeekIndex],3)&amp;" ("&amp;TEXT(SUMPRODUCT(MAX((T_PlannedOrders[Part Name]=$A55)*(T_PlannedOrders[WeekIndex]=3)*(T_PlannedOrders[EffectiveQty]&gt;0)*T_PlannedOrders[Order_Month])),"m月")&amp;"発注)")</f>
        <v/>
      </c>
      <c r="G61">
        <f>IF(SUMIFS(T_PlannedOrders[EffectiveQty],T_PlannedOrders[Part Name],$A55,T_PlannedOrders[WeekIndex],4)=0,"",SUMIFS(T_PlannedOrders[EffectiveQty],T_PlannedOrders[Part Name],$A55,T_PlannedOrders[WeekIndex],4)&amp;" ("&amp;TEXT(SUMPRODUCT(MAX((T_PlannedOrders[Part Name]=$A55)*(T_PlannedOrders[WeekIndex]=4)*(T_PlannedOrders[EffectiveQty]&gt;0)*T_PlannedOrders[Order_Month])),"m月")&amp;"発注)")</f>
        <v/>
      </c>
      <c r="H61">
        <f>IF(SUMIFS(T_PlannedOrders[EffectiveQty],T_PlannedOrders[Part Name],$A55,T_PlannedOrders[WeekIndex],5)=0,"",SUMIFS(T_PlannedOrders[EffectiveQty],T_PlannedOrders[Part Name],$A55,T_PlannedOrders[WeekIndex],5)&amp;" ("&amp;TEXT(SUMPRODUCT(MAX((T_PlannedOrders[Part Name]=$A55)*(T_PlannedOrders[WeekIndex]=5)*(T_PlannedOrders[EffectiveQty]&gt;0)*T_PlannedOrders[Order_Month])),"m月")&amp;"発注)")</f>
        <v/>
      </c>
      <c r="I61">
        <f>IF(SUMIFS(T_PlannedOrders[EffectiveQty],T_PlannedOrders[Part Name],$A55,T_PlannedOrders[WeekIndex],6)=0,"",SUMIFS(T_PlannedOrders[EffectiveQty],T_PlannedOrders[Part Name],$A55,T_PlannedOrders[WeekIndex],6)&amp;" ("&amp;TEXT(SUMPRODUCT(MAX((T_PlannedOrders[Part Name]=$A55)*(T_PlannedOrders[WeekIndex]=6)*(T_PlannedOrders[EffectiveQty]&gt;0)*T_PlannedOrders[Order_Month])),"m月")&amp;"発注)")</f>
        <v/>
      </c>
      <c r="J61">
        <f>IF(SUMIFS(T_PlannedOrders[EffectiveQty],T_PlannedOrders[Part Name],$A55,T_PlannedOrders[WeekIndex],7)=0,"",SUMIFS(T_PlannedOrders[EffectiveQty],T_PlannedOrders[Part Name],$A55,T_PlannedOrders[WeekIndex],7)&amp;" ("&amp;TEXT(SUMPRODUCT(MAX((T_PlannedOrders[Part Name]=$A55)*(T_PlannedOrders[WeekIndex]=7)*(T_PlannedOrders[EffectiveQty]&gt;0)*T_PlannedOrders[Order_Month])),"m月")&amp;"発注)")</f>
        <v/>
      </c>
      <c r="K61">
        <f>IF(SUMIFS(T_PlannedOrders[EffectiveQty],T_PlannedOrders[Part Name],$A55,T_PlannedOrders[WeekIndex],8)=0,"",SUMIFS(T_PlannedOrders[EffectiveQty],T_PlannedOrders[Part Name],$A55,T_PlannedOrders[WeekIndex],8)&amp;" ("&amp;TEXT(SUMPRODUCT(MAX((T_PlannedOrders[Part Name]=$A55)*(T_PlannedOrders[WeekIndex]=8)*(T_PlannedOrders[EffectiveQty]&gt;0)*T_PlannedOrders[Order_Month])),"m月")&amp;"発注)")</f>
        <v/>
      </c>
      <c r="L61">
        <f>IF(SUMIFS(T_PlannedOrders[EffectiveQty],T_PlannedOrders[Part Name],$A55,T_PlannedOrders[WeekIndex],9)=0,"",SUMIFS(T_PlannedOrders[EffectiveQty],T_PlannedOrders[Part Name],$A55,T_PlannedOrders[WeekIndex],9)&amp;" ("&amp;TEXT(SUMPRODUCT(MAX((T_PlannedOrders[Part Name]=$A55)*(T_PlannedOrders[WeekIndex]=9)*(T_PlannedOrders[EffectiveQty]&gt;0)*T_PlannedOrders[Order_Month])),"m月")&amp;"発注)")</f>
        <v/>
      </c>
      <c r="M61">
        <f>IF(SUMIFS(T_PlannedOrders[EffectiveQty],T_PlannedOrders[Part Name],$A55,T_PlannedOrders[WeekIndex],10)=0,"",SUMIFS(T_PlannedOrders[EffectiveQty],T_PlannedOrders[Part Name],$A55,T_PlannedOrders[WeekIndex],10)&amp;" ("&amp;TEXT(SUMPRODUCT(MAX((T_PlannedOrders[Part Name]=$A55)*(T_PlannedOrders[WeekIndex]=10)*(T_PlannedOrders[EffectiveQty]&gt;0)*T_PlannedOrders[Order_Month])),"m月")&amp;"発注)")</f>
        <v/>
      </c>
      <c r="N61">
        <f>IF(SUMIFS(T_PlannedOrders[EffectiveQty],T_PlannedOrders[Part Name],$A55,T_PlannedOrders[WeekIndex],11)=0,"",SUMIFS(T_PlannedOrders[EffectiveQty],T_PlannedOrders[Part Name],$A55,T_PlannedOrders[WeekIndex],11)&amp;" ("&amp;TEXT(SUMPRODUCT(MAX((T_PlannedOrders[Part Name]=$A55)*(T_PlannedOrders[WeekIndex]=11)*(T_PlannedOrders[EffectiveQty]&gt;0)*T_PlannedOrders[Order_Month])),"m月")&amp;"発注)")</f>
        <v/>
      </c>
      <c r="O61">
        <f>IF(SUMIFS(T_PlannedOrders[EffectiveQty],T_PlannedOrders[Part Name],$A55,T_PlannedOrders[WeekIndex],12)=0,"",SUMIFS(T_PlannedOrders[EffectiveQty],T_PlannedOrders[Part Name],$A55,T_PlannedOrders[WeekIndex],12)&amp;" ("&amp;TEXT(SUMPRODUCT(MAX((T_PlannedOrders[Part Name]=$A55)*(T_PlannedOrders[WeekIndex]=12)*(T_PlannedOrders[EffectiveQty]&gt;0)*T_PlannedOrders[Order_Month])),"m月")&amp;"発注)")</f>
        <v/>
      </c>
      <c r="P61">
        <f>IF(SUMIFS(T_PlannedOrders[EffectiveQty],T_PlannedOrders[Part Name],$A55,T_PlannedOrders[WeekIndex],13)=0,"",SUMIFS(T_PlannedOrders[EffectiveQty],T_PlannedOrders[Part Name],$A55,T_PlannedOrders[WeekIndex],13)&amp;" ("&amp;TEXT(SUMPRODUCT(MAX((T_PlannedOrders[Part Name]=$A55)*(T_PlannedOrders[WeekIndex]=13)*(T_PlannedOrders[EffectiveQty]&gt;0)*T_PlannedOrders[Order_Month])),"m月")&amp;"発注)")</f>
        <v/>
      </c>
      <c r="Q61">
        <f>IF(SUMIFS(T_PlannedOrders[EffectiveQty],T_PlannedOrders[Part Name],$A55,T_PlannedOrders[WeekIndex],14)=0,"",SUMIFS(T_PlannedOrders[EffectiveQty],T_PlannedOrders[Part Name],$A55,T_PlannedOrders[WeekIndex],14)&amp;" ("&amp;TEXT(SUMPRODUCT(MAX((T_PlannedOrders[Part Name]=$A55)*(T_PlannedOrders[WeekIndex]=14)*(T_PlannedOrders[EffectiveQty]&gt;0)*T_PlannedOrders[Order_Month])),"m月")&amp;"発注)")</f>
        <v/>
      </c>
      <c r="R61">
        <f>IF(SUMIFS(T_PlannedOrders[EffectiveQty],T_PlannedOrders[Part Name],$A55,T_PlannedOrders[WeekIndex],15)=0,"",SUMIFS(T_PlannedOrders[EffectiveQty],T_PlannedOrders[Part Name],$A55,T_PlannedOrders[WeekIndex],15)&amp;" ("&amp;TEXT(SUMPRODUCT(MAX((T_PlannedOrders[Part Name]=$A55)*(T_PlannedOrders[WeekIndex]=15)*(T_PlannedOrders[EffectiveQty]&gt;0)*T_PlannedOrders[Order_Month])),"m月")&amp;"発注)")</f>
        <v/>
      </c>
      <c r="S61">
        <f>IF(SUMIFS(T_PlannedOrders[EffectiveQty],T_PlannedOrders[Part Name],$A55,T_PlannedOrders[WeekIndex],16)=0,"",SUMIFS(T_PlannedOrders[EffectiveQty],T_PlannedOrders[Part Name],$A55,T_PlannedOrders[WeekIndex],16)&amp;" ("&amp;TEXT(SUMPRODUCT(MAX((T_PlannedOrders[Part Name]=$A55)*(T_PlannedOrders[WeekIndex]=16)*(T_PlannedOrders[EffectiveQty]&gt;0)*T_PlannedOrders[Order_Month])),"m月")&amp;"発注)")</f>
        <v/>
      </c>
      <c r="T61">
        <f>IF(SUMIFS(T_PlannedOrders[EffectiveQty],T_PlannedOrders[Part Name],$A55,T_PlannedOrders[WeekIndex],17)=0,"",SUMIFS(T_PlannedOrders[EffectiveQty],T_PlannedOrders[Part Name],$A55,T_PlannedOrders[WeekIndex],17)&amp;" ("&amp;TEXT(SUMPRODUCT(MAX((T_PlannedOrders[Part Name]=$A55)*(T_PlannedOrders[WeekIndex]=17)*(T_PlannedOrders[EffectiveQty]&gt;0)*T_PlannedOrders[Order_Month])),"m月")&amp;"発注)")</f>
        <v/>
      </c>
      <c r="U61">
        <f>IF(SUMIFS(T_PlannedOrders[EffectiveQty],T_PlannedOrders[Part Name],$A55,T_PlannedOrders[WeekIndex],18)=0,"",SUMIFS(T_PlannedOrders[EffectiveQty],T_PlannedOrders[Part Name],$A55,T_PlannedOrders[WeekIndex],18)&amp;" ("&amp;TEXT(SUMPRODUCT(MAX((T_PlannedOrders[Part Name]=$A55)*(T_PlannedOrders[WeekIndex]=18)*(T_PlannedOrders[EffectiveQty]&gt;0)*T_PlannedOrders[Order_Month])),"m月")&amp;"発注)")</f>
        <v/>
      </c>
      <c r="V61">
        <f>IF(SUMIFS(T_PlannedOrders[EffectiveQty],T_PlannedOrders[Part Name],$A55,T_PlannedOrders[WeekIndex],19)=0,"",SUMIFS(T_PlannedOrders[EffectiveQty],T_PlannedOrders[Part Name],$A55,T_PlannedOrders[WeekIndex],19)&amp;" ("&amp;TEXT(SUMPRODUCT(MAX((T_PlannedOrders[Part Name]=$A55)*(T_PlannedOrders[WeekIndex]=19)*(T_PlannedOrders[EffectiveQty]&gt;0)*T_PlannedOrders[Order_Month])),"m月")&amp;"発注)")</f>
        <v/>
      </c>
      <c r="W61">
        <f>IF(SUMIFS(T_PlannedOrders[EffectiveQty],T_PlannedOrders[Part Name],$A55,T_PlannedOrders[WeekIndex],20)=0,"",SUMIFS(T_PlannedOrders[EffectiveQty],T_PlannedOrders[Part Name],$A55,T_PlannedOrders[WeekIndex],20)&amp;" ("&amp;TEXT(SUMPRODUCT(MAX((T_PlannedOrders[Part Name]=$A55)*(T_PlannedOrders[WeekIndex]=20)*(T_PlannedOrders[EffectiveQty]&gt;0)*T_PlannedOrders[Order_Month])),"m月")&amp;"発注)")</f>
        <v/>
      </c>
      <c r="X61">
        <f>IF(SUMIFS(T_PlannedOrders[EffectiveQty],T_PlannedOrders[Part Name],$A55,T_PlannedOrders[WeekIndex],21)=0,"",SUMIFS(T_PlannedOrders[EffectiveQty],T_PlannedOrders[Part Name],$A55,T_PlannedOrders[WeekIndex],21)&amp;" ("&amp;TEXT(SUMPRODUCT(MAX((T_PlannedOrders[Part Name]=$A55)*(T_PlannedOrders[WeekIndex]=21)*(T_PlannedOrders[EffectiveQty]&gt;0)*T_PlannedOrders[Order_Month])),"m月")&amp;"発注)")</f>
        <v/>
      </c>
      <c r="Y61">
        <f>IF(SUMIFS(T_PlannedOrders[EffectiveQty],T_PlannedOrders[Part Name],$A55,T_PlannedOrders[WeekIndex],22)=0,"",SUMIFS(T_PlannedOrders[EffectiveQty],T_PlannedOrders[Part Name],$A55,T_PlannedOrders[WeekIndex],22)&amp;" ("&amp;TEXT(SUMPRODUCT(MAX((T_PlannedOrders[Part Name]=$A55)*(T_PlannedOrders[WeekIndex]=22)*(T_PlannedOrders[EffectiveQty]&gt;0)*T_PlannedOrders[Order_Month])),"m月")&amp;"発注)")</f>
        <v/>
      </c>
      <c r="Z61">
        <f>IF(SUMIFS(T_PlannedOrders[EffectiveQty],T_PlannedOrders[Part Name],$A55,T_PlannedOrders[WeekIndex],23)=0,"",SUMIFS(T_PlannedOrders[EffectiveQty],T_PlannedOrders[Part Name],$A55,T_PlannedOrders[WeekIndex],23)&amp;" ("&amp;TEXT(SUMPRODUCT(MAX((T_PlannedOrders[Part Name]=$A55)*(T_PlannedOrders[WeekIndex]=23)*(T_PlannedOrders[EffectiveQty]&gt;0)*T_PlannedOrders[Order_Month])),"m月")&amp;"発注)")</f>
        <v/>
      </c>
      <c r="AA61">
        <f>IF(SUMIFS(T_PlannedOrders[EffectiveQty],T_PlannedOrders[Part Name],$A55,T_PlannedOrders[WeekIndex],24)=0,"",SUMIFS(T_PlannedOrders[EffectiveQty],T_PlannedOrders[Part Name],$A55,T_PlannedOrders[WeekIndex],24)&amp;" ("&amp;TEXT(SUMPRODUCT(MAX((T_PlannedOrders[Part Name]=$A55)*(T_PlannedOrders[WeekIndex]=24)*(T_PlannedOrders[EffectiveQty]&gt;0)*T_PlannedOrders[Order_Month])),"m月")&amp;"発注)")</f>
        <v/>
      </c>
      <c r="AB61">
        <f>IF(SUMIFS(T_PlannedOrders[EffectiveQty],T_PlannedOrders[Part Name],$A55,T_PlannedOrders[WeekIndex],25)=0,"",SUMIFS(T_PlannedOrders[EffectiveQty],T_PlannedOrders[Part Name],$A55,T_PlannedOrders[WeekIndex],25)&amp;" ("&amp;TEXT(SUMPRODUCT(MAX((T_PlannedOrders[Part Name]=$A55)*(T_PlannedOrders[WeekIndex]=25)*(T_PlannedOrders[EffectiveQty]&gt;0)*T_PlannedOrders[Order_Month])),"m月")&amp;"発注)")</f>
        <v/>
      </c>
      <c r="AC61">
        <f>IF(SUMIFS(T_PlannedOrders[EffectiveQty],T_PlannedOrders[Part Name],$A55,T_PlannedOrders[WeekIndex],26)=0,"",SUMIFS(T_PlannedOrders[EffectiveQty],T_PlannedOrders[Part Name],$A55,T_PlannedOrders[WeekIndex],26)&amp;" ("&amp;TEXT(SUMPRODUCT(MAX((T_PlannedOrders[Part Name]=$A55)*(T_PlannedOrders[WeekIndex]=26)*(T_PlannedOrders[EffectiveQty]&gt;0)*T_PlannedOrders[Order_Month])),"m月")&amp;"発注)")</f>
        <v/>
      </c>
      <c r="AD61">
        <f>IF(SUMIFS(T_PlannedOrders[EffectiveQty],T_PlannedOrders[Part Name],$A55,T_PlannedOrders[WeekIndex],27)=0,"",SUMIFS(T_PlannedOrders[EffectiveQty],T_PlannedOrders[Part Name],$A55,T_PlannedOrders[WeekIndex],27)&amp;" ("&amp;TEXT(SUMPRODUCT(MAX((T_PlannedOrders[Part Name]=$A55)*(T_PlannedOrders[WeekIndex]=27)*(T_PlannedOrders[EffectiveQty]&gt;0)*T_PlannedOrders[Order_Month])),"m月")&amp;"発注)")</f>
        <v/>
      </c>
      <c r="AE61">
        <f>IF(SUMIFS(T_PlannedOrders[EffectiveQty],T_PlannedOrders[Part Name],$A55,T_PlannedOrders[WeekIndex],28)=0,"",SUMIFS(T_PlannedOrders[EffectiveQty],T_PlannedOrders[Part Name],$A55,T_PlannedOrders[WeekIndex],28)&amp;" ("&amp;TEXT(SUMPRODUCT(MAX((T_PlannedOrders[Part Name]=$A55)*(T_PlannedOrders[WeekIndex]=28)*(T_PlannedOrders[EffectiveQty]&gt;0)*T_PlannedOrders[Order_Month])),"m月")&amp;"発注)")</f>
        <v/>
      </c>
      <c r="AF61">
        <f>IF(SUMIFS(T_PlannedOrders[EffectiveQty],T_PlannedOrders[Part Name],$A55,T_PlannedOrders[WeekIndex],29)=0,"",SUMIFS(T_PlannedOrders[EffectiveQty],T_PlannedOrders[Part Name],$A55,T_PlannedOrders[WeekIndex],29)&amp;" ("&amp;TEXT(SUMPRODUCT(MAX((T_PlannedOrders[Part Name]=$A55)*(T_PlannedOrders[WeekIndex]=29)*(T_PlannedOrders[EffectiveQty]&gt;0)*T_PlannedOrders[Order_Month])),"m月")&amp;"発注)")</f>
        <v/>
      </c>
      <c r="AG61">
        <f>IF(SUMIFS(T_PlannedOrders[EffectiveQty],T_PlannedOrders[Part Name],$A55,T_PlannedOrders[WeekIndex],30)=0,"",SUMIFS(T_PlannedOrders[EffectiveQty],T_PlannedOrders[Part Name],$A55,T_PlannedOrders[WeekIndex],30)&amp;" ("&amp;TEXT(SUMPRODUCT(MAX((T_PlannedOrders[Part Name]=$A55)*(T_PlannedOrders[WeekIndex]=30)*(T_PlannedOrders[EffectiveQty]&gt;0)*T_PlannedOrders[Order_Month])),"m月")&amp;"発注)")</f>
        <v/>
      </c>
      <c r="AH61">
        <f>IF(SUMIFS(T_PlannedOrders[EffectiveQty],T_PlannedOrders[Part Name],$A55,T_PlannedOrders[WeekIndex],31)=0,"",SUMIFS(T_PlannedOrders[EffectiveQty],T_PlannedOrders[Part Name],$A55,T_PlannedOrders[WeekIndex],31)&amp;" ("&amp;TEXT(SUMPRODUCT(MAX((T_PlannedOrders[Part Name]=$A55)*(T_PlannedOrders[WeekIndex]=31)*(T_PlannedOrders[EffectiveQty]&gt;0)*T_PlannedOrders[Order_Month])),"m月")&amp;"発注)")</f>
        <v/>
      </c>
      <c r="AI61">
        <f>IF(SUMIFS(T_PlannedOrders[EffectiveQty],T_PlannedOrders[Part Name],$A55,T_PlannedOrders[WeekIndex],32)=0,"",SUMIFS(T_PlannedOrders[EffectiveQty],T_PlannedOrders[Part Name],$A55,T_PlannedOrders[WeekIndex],32)&amp;" ("&amp;TEXT(SUMPRODUCT(MAX((T_PlannedOrders[Part Name]=$A55)*(T_PlannedOrders[WeekIndex]=32)*(T_PlannedOrders[EffectiveQty]&gt;0)*T_PlannedOrders[Order_Month])),"m月")&amp;"発注)")</f>
        <v/>
      </c>
      <c r="AJ61">
        <f>IF(SUMIFS(T_PlannedOrders[EffectiveQty],T_PlannedOrders[Part Name],$A55,T_PlannedOrders[WeekIndex],33)=0,"",SUMIFS(T_PlannedOrders[EffectiveQty],T_PlannedOrders[Part Name],$A55,T_PlannedOrders[WeekIndex],33)&amp;" ("&amp;TEXT(SUMPRODUCT(MAX((T_PlannedOrders[Part Name]=$A55)*(T_PlannedOrders[WeekIndex]=33)*(T_PlannedOrders[EffectiveQty]&gt;0)*T_PlannedOrders[Order_Month])),"m月")&amp;"発注)")</f>
        <v/>
      </c>
      <c r="AK61">
        <f>IF(SUMIFS(T_PlannedOrders[EffectiveQty],T_PlannedOrders[Part Name],$A55,T_PlannedOrders[WeekIndex],34)=0,"",SUMIFS(T_PlannedOrders[EffectiveQty],T_PlannedOrders[Part Name],$A55,T_PlannedOrders[WeekIndex],34)&amp;" ("&amp;TEXT(SUMPRODUCT(MAX((T_PlannedOrders[Part Name]=$A55)*(T_PlannedOrders[WeekIndex]=34)*(T_PlannedOrders[EffectiveQty]&gt;0)*T_PlannedOrders[Order_Month])),"m月")&amp;"発注)")</f>
        <v/>
      </c>
      <c r="AL61">
        <f>IF(SUMIFS(T_PlannedOrders[EffectiveQty],T_PlannedOrders[Part Name],$A55,T_PlannedOrders[WeekIndex],35)=0,"",SUMIFS(T_PlannedOrders[EffectiveQty],T_PlannedOrders[Part Name],$A55,T_PlannedOrders[WeekIndex],35)&amp;" ("&amp;TEXT(SUMPRODUCT(MAX((T_PlannedOrders[Part Name]=$A55)*(T_PlannedOrders[WeekIndex]=35)*(T_PlannedOrders[EffectiveQty]&gt;0)*T_PlannedOrders[Order_Month])),"m月")&amp;"発注)")</f>
        <v/>
      </c>
      <c r="AM61">
        <f>IF(SUMIFS(T_PlannedOrders[EffectiveQty],T_PlannedOrders[Part Name],$A55,T_PlannedOrders[WeekIndex],36)=0,"",SUMIFS(T_PlannedOrders[EffectiveQty],T_PlannedOrders[Part Name],$A55,T_PlannedOrders[WeekIndex],36)&amp;" ("&amp;TEXT(SUMPRODUCT(MAX((T_PlannedOrders[Part Name]=$A55)*(T_PlannedOrders[WeekIndex]=36)*(T_PlannedOrders[EffectiveQty]&gt;0)*T_PlannedOrders[Order_Month])),"m月")&amp;"発注)")</f>
        <v/>
      </c>
      <c r="AN61">
        <f>IF(SUMIFS(T_PlannedOrders[EffectiveQty],T_PlannedOrders[Part Name],$A55,T_PlannedOrders[WeekIndex],37)=0,"",SUMIFS(T_PlannedOrders[EffectiveQty],T_PlannedOrders[Part Name],$A55,T_PlannedOrders[WeekIndex],37)&amp;" ("&amp;TEXT(SUMPRODUCT(MAX((T_PlannedOrders[Part Name]=$A55)*(T_PlannedOrders[WeekIndex]=37)*(T_PlannedOrders[EffectiveQty]&gt;0)*T_PlannedOrders[Order_Month])),"m月")&amp;"発注)")</f>
        <v/>
      </c>
      <c r="AO61">
        <f>IF(SUMIFS(T_PlannedOrders[EffectiveQty],T_PlannedOrders[Part Name],$A55,T_PlannedOrders[WeekIndex],38)=0,"",SUMIFS(T_PlannedOrders[EffectiveQty],T_PlannedOrders[Part Name],$A55,T_PlannedOrders[WeekIndex],38)&amp;" ("&amp;TEXT(SUMPRODUCT(MAX((T_PlannedOrders[Part Name]=$A55)*(T_PlannedOrders[WeekIndex]=38)*(T_PlannedOrders[EffectiveQty]&gt;0)*T_PlannedOrders[Order_Month])),"m月")&amp;"発注)")</f>
        <v/>
      </c>
      <c r="AP61">
        <f>IF(SUMIFS(T_PlannedOrders[EffectiveQty],T_PlannedOrders[Part Name],$A55,T_PlannedOrders[WeekIndex],39)=0,"",SUMIFS(T_PlannedOrders[EffectiveQty],T_PlannedOrders[Part Name],$A55,T_PlannedOrders[WeekIndex],39)&amp;" ("&amp;TEXT(SUMPRODUCT(MAX((T_PlannedOrders[Part Name]=$A55)*(T_PlannedOrders[WeekIndex]=39)*(T_PlannedOrders[EffectiveQty]&gt;0)*T_PlannedOrders[Order_Month])),"m月")&amp;"発注)")</f>
        <v/>
      </c>
      <c r="AQ61">
        <f>IF(SUMIFS(T_PlannedOrders[EffectiveQty],T_PlannedOrders[Part Name],$A55,T_PlannedOrders[WeekIndex],40)=0,"",SUMIFS(T_PlannedOrders[EffectiveQty],T_PlannedOrders[Part Name],$A55,T_PlannedOrders[WeekIndex],40)&amp;" ("&amp;TEXT(SUMPRODUCT(MAX((T_PlannedOrders[Part Name]=$A55)*(T_PlannedOrders[WeekIndex]=40)*(T_PlannedOrders[EffectiveQty]&gt;0)*T_PlannedOrders[Order_Month])),"m月")&amp;"発注)")</f>
        <v/>
      </c>
      <c r="AR61">
        <f>IF(SUMIFS(T_PlannedOrders[EffectiveQty],T_PlannedOrders[Part Name],$A55,T_PlannedOrders[WeekIndex],41)=0,"",SUMIFS(T_PlannedOrders[EffectiveQty],T_PlannedOrders[Part Name],$A55,T_PlannedOrders[WeekIndex],41)&amp;" ("&amp;TEXT(SUMPRODUCT(MAX((T_PlannedOrders[Part Name]=$A55)*(T_PlannedOrders[WeekIndex]=41)*(T_PlannedOrders[EffectiveQty]&gt;0)*T_PlannedOrders[Order_Month])),"m月")&amp;"発注)")</f>
        <v/>
      </c>
      <c r="AS61">
        <f>IF(SUMIFS(T_PlannedOrders[EffectiveQty],T_PlannedOrders[Part Name],$A55,T_PlannedOrders[WeekIndex],42)=0,"",SUMIFS(T_PlannedOrders[EffectiveQty],T_PlannedOrders[Part Name],$A55,T_PlannedOrders[WeekIndex],42)&amp;" ("&amp;TEXT(SUMPRODUCT(MAX((T_PlannedOrders[Part Name]=$A55)*(T_PlannedOrders[WeekIndex]=42)*(T_PlannedOrders[EffectiveQty]&gt;0)*T_PlannedOrders[Order_Month])),"m月")&amp;"発注)")</f>
        <v/>
      </c>
      <c r="AT61">
        <f>IF(SUMIFS(T_PlannedOrders[EffectiveQty],T_PlannedOrders[Part Name],$A55,T_PlannedOrders[WeekIndex],43)=0,"",SUMIFS(T_PlannedOrders[EffectiveQty],T_PlannedOrders[Part Name],$A55,T_PlannedOrders[WeekIndex],43)&amp;" ("&amp;TEXT(SUMPRODUCT(MAX((T_PlannedOrders[Part Name]=$A55)*(T_PlannedOrders[WeekIndex]=43)*(T_PlannedOrders[EffectiveQty]&gt;0)*T_PlannedOrders[Order_Month])),"m月")&amp;"発注)")</f>
        <v/>
      </c>
      <c r="AU61">
        <f>IF(SUMIFS(T_PlannedOrders[EffectiveQty],T_PlannedOrders[Part Name],$A55,T_PlannedOrders[WeekIndex],44)=0,"",SUMIFS(T_PlannedOrders[EffectiveQty],T_PlannedOrders[Part Name],$A55,T_PlannedOrders[WeekIndex],44)&amp;" ("&amp;TEXT(SUMPRODUCT(MAX((T_PlannedOrders[Part Name]=$A55)*(T_PlannedOrders[WeekIndex]=44)*(T_PlannedOrders[EffectiveQty]&gt;0)*T_PlannedOrders[Order_Month])),"m月")&amp;"発注)")</f>
        <v/>
      </c>
      <c r="AV61">
        <f>IF(SUMIFS(T_PlannedOrders[EffectiveQty],T_PlannedOrders[Part Name],$A55,T_PlannedOrders[WeekIndex],45)=0,"",SUMIFS(T_PlannedOrders[EffectiveQty],T_PlannedOrders[Part Name],$A55,T_PlannedOrders[WeekIndex],45)&amp;" ("&amp;TEXT(SUMPRODUCT(MAX((T_PlannedOrders[Part Name]=$A55)*(T_PlannedOrders[WeekIndex]=45)*(T_PlannedOrders[EffectiveQty]&gt;0)*T_PlannedOrders[Order_Month])),"m月")&amp;"発注)")</f>
        <v/>
      </c>
      <c r="AW61">
        <f>IF(SUMIFS(T_PlannedOrders[EffectiveQty],T_PlannedOrders[Part Name],$A55,T_PlannedOrders[WeekIndex],46)=0,"",SUMIFS(T_PlannedOrders[EffectiveQty],T_PlannedOrders[Part Name],$A55,T_PlannedOrders[WeekIndex],46)&amp;" ("&amp;TEXT(SUMPRODUCT(MAX((T_PlannedOrders[Part Name]=$A55)*(T_PlannedOrders[WeekIndex]=46)*(T_PlannedOrders[EffectiveQty]&gt;0)*T_PlannedOrders[Order_Month])),"m月")&amp;"発注)")</f>
        <v/>
      </c>
      <c r="AX61">
        <f>IF(SUMIFS(T_PlannedOrders[EffectiveQty],T_PlannedOrders[Part Name],$A55,T_PlannedOrders[WeekIndex],47)=0,"",SUMIFS(T_PlannedOrders[EffectiveQty],T_PlannedOrders[Part Name],$A55,T_PlannedOrders[WeekIndex],47)&amp;" ("&amp;TEXT(SUMPRODUCT(MAX((T_PlannedOrders[Part Name]=$A55)*(T_PlannedOrders[WeekIndex]=47)*(T_PlannedOrders[EffectiveQty]&gt;0)*T_PlannedOrders[Order_Month])),"m月")&amp;"発注)")</f>
        <v/>
      </c>
      <c r="AY61">
        <f>IF(SUMIFS(T_PlannedOrders[EffectiveQty],T_PlannedOrders[Part Name],$A55,T_PlannedOrders[WeekIndex],48)=0,"",SUMIFS(T_PlannedOrders[EffectiveQty],T_PlannedOrders[Part Name],$A55,T_PlannedOrders[WeekIndex],48)&amp;" ("&amp;TEXT(SUMPRODUCT(MAX((T_PlannedOrders[Part Name]=$A55)*(T_PlannedOrders[WeekIndex]=48)*(T_PlannedOrders[EffectiveQty]&gt;0)*T_PlannedOrders[Order_Month])),"m月")&amp;"発注)")</f>
        <v/>
      </c>
      <c r="AZ61">
        <f>IF(SUMIFS(T_PlannedOrders[EffectiveQty],T_PlannedOrders[Part Name],$A55,T_PlannedOrders[WeekIndex],49)=0,"",SUMIFS(T_PlannedOrders[EffectiveQty],T_PlannedOrders[Part Name],$A55,T_PlannedOrders[WeekIndex],49)&amp;" ("&amp;TEXT(SUMPRODUCT(MAX((T_PlannedOrders[Part Name]=$A55)*(T_PlannedOrders[WeekIndex]=49)*(T_PlannedOrders[EffectiveQty]&gt;0)*T_PlannedOrders[Order_Month])),"m月")&amp;"発注)")</f>
        <v/>
      </c>
      <c r="BA61">
        <f>IF(SUMIFS(T_PlannedOrders[EffectiveQty],T_PlannedOrders[Part Name],$A55,T_PlannedOrders[WeekIndex],50)=0,"",SUMIFS(T_PlannedOrders[EffectiveQty],T_PlannedOrders[Part Name],$A55,T_PlannedOrders[WeekIndex],50)&amp;" ("&amp;TEXT(SUMPRODUCT(MAX((T_PlannedOrders[Part Name]=$A55)*(T_PlannedOrders[WeekIndex]=50)*(T_PlannedOrders[EffectiveQty]&gt;0)*T_PlannedOrders[Order_Month])),"m月")&amp;"発注)")</f>
        <v/>
      </c>
      <c r="BB61">
        <f>IF(SUMIFS(T_PlannedOrders[EffectiveQty],T_PlannedOrders[Part Name],$A55,T_PlannedOrders[WeekIndex],51)=0,"",SUMIFS(T_PlannedOrders[EffectiveQty],T_PlannedOrders[Part Name],$A55,T_PlannedOrders[WeekIndex],51)&amp;" ("&amp;TEXT(SUMPRODUCT(MAX((T_PlannedOrders[Part Name]=$A55)*(T_PlannedOrders[WeekIndex]=51)*(T_PlannedOrders[EffectiveQty]&gt;0)*T_PlannedOrders[Order_Month])),"m月")&amp;"発注)")</f>
        <v/>
      </c>
      <c r="BC61">
        <f>IF(SUMIFS(T_PlannedOrders[EffectiveQty],T_PlannedOrders[Part Name],$A55,T_PlannedOrders[WeekIndex],52)=0,"",SUMIFS(T_PlannedOrders[EffectiveQty],T_PlannedOrders[Part Name],$A55,T_PlannedOrders[WeekIndex],52)&amp;" ("&amp;TEXT(SUMPRODUCT(MAX((T_PlannedOrders[Part Name]=$A55)*(T_PlannedOrders[WeekIndex]=52)*(T_PlannedOrders[EffectiveQty]&gt;0)*T_PlannedOrders[Order_Month])),"m月")&amp;"発注)")</f>
        <v/>
      </c>
      <c r="BD61">
        <f>IF(SUMIFS(T_PlannedOrders[EffectiveQty],T_PlannedOrders[Part Name],$A55,T_PlannedOrders[WeekIndex],53)=0,"",SUMIFS(T_PlannedOrders[EffectiveQty],T_PlannedOrders[Part Name],$A55,T_PlannedOrders[WeekIndex],53)&amp;" ("&amp;TEXT(SUMPRODUCT(MAX((T_PlannedOrders[Part Name]=$A55)*(T_PlannedOrders[WeekIndex]=53)*(T_PlannedOrders[EffectiveQty]&gt;0)*T_PlannedOrders[Order_Month])),"m月")&amp;"発注)")</f>
        <v/>
      </c>
      <c r="BE61">
        <f>IF(SUMIFS(T_PlannedOrders[EffectiveQty],T_PlannedOrders[Part Name],$A55,T_PlannedOrders[WeekIndex],54)=0,"",SUMIFS(T_PlannedOrders[EffectiveQty],T_PlannedOrders[Part Name],$A55,T_PlannedOrders[WeekIndex],54)&amp;" ("&amp;TEXT(SUMPRODUCT(MAX((T_PlannedOrders[Part Name]=$A55)*(T_PlannedOrders[WeekIndex]=54)*(T_PlannedOrders[EffectiveQty]&gt;0)*T_PlannedOrders[Order_Month])),"m月")&amp;"発注)")</f>
        <v/>
      </c>
      <c r="BF61">
        <f>IF(SUMIFS(T_PlannedOrders[EffectiveQty],T_PlannedOrders[Part Name],$A55,T_PlannedOrders[WeekIndex],55)=0,"",SUMIFS(T_PlannedOrders[EffectiveQty],T_PlannedOrders[Part Name],$A55,T_PlannedOrders[WeekIndex],55)&amp;" ("&amp;TEXT(SUMPRODUCT(MAX((T_PlannedOrders[Part Name]=$A55)*(T_PlannedOrders[WeekIndex]=55)*(T_PlannedOrders[EffectiveQty]&gt;0)*T_PlannedOrders[Order_Month])),"m月")&amp;"発注)")</f>
        <v/>
      </c>
      <c r="BG61">
        <f>IF(SUMIFS(T_PlannedOrders[EffectiveQty],T_PlannedOrders[Part Name],$A55,T_PlannedOrders[WeekIndex],56)=0,"",SUMIFS(T_PlannedOrders[EffectiveQty],T_PlannedOrders[Part Name],$A55,T_PlannedOrders[WeekIndex],56)&amp;" ("&amp;TEXT(SUMPRODUCT(MAX((T_PlannedOrders[Part Name]=$A55)*(T_PlannedOrders[WeekIndex]=56)*(T_PlannedOrders[EffectiveQty]&gt;0)*T_PlannedOrders[Order_Month])),"m月")&amp;"発注)")</f>
        <v/>
      </c>
      <c r="BH61">
        <f>IF(SUMIFS(T_PlannedOrders[EffectiveQty],T_PlannedOrders[Part Name],$A55,T_PlannedOrders[WeekIndex],57)=0,"",SUMIFS(T_PlannedOrders[EffectiveQty],T_PlannedOrders[Part Name],$A55,T_PlannedOrders[WeekIndex],57)&amp;" ("&amp;TEXT(SUMPRODUCT(MAX((T_PlannedOrders[Part Name]=$A55)*(T_PlannedOrders[WeekIndex]=57)*(T_PlannedOrders[EffectiveQty]&gt;0)*T_PlannedOrders[Order_Month])),"m月")&amp;"発注)")</f>
        <v/>
      </c>
      <c r="BI61">
        <f>IF(SUMIFS(T_PlannedOrders[EffectiveQty],T_PlannedOrders[Part Name],$A55,T_PlannedOrders[WeekIndex],58)=0,"",SUMIFS(T_PlannedOrders[EffectiveQty],T_PlannedOrders[Part Name],$A55,T_PlannedOrders[WeekIndex],58)&amp;" ("&amp;TEXT(SUMPRODUCT(MAX((T_PlannedOrders[Part Name]=$A55)*(T_PlannedOrders[WeekIndex]=58)*(T_PlannedOrders[EffectiveQty]&gt;0)*T_PlannedOrders[Order_Month])),"m月")&amp;"発注)")</f>
        <v/>
      </c>
      <c r="BJ61">
        <f>IF(SUMIFS(T_PlannedOrders[EffectiveQty],T_PlannedOrders[Part Name],$A55,T_PlannedOrders[WeekIndex],59)=0,"",SUMIFS(T_PlannedOrders[EffectiveQty],T_PlannedOrders[Part Name],$A55,T_PlannedOrders[WeekIndex],59)&amp;" ("&amp;TEXT(SUMPRODUCT(MAX((T_PlannedOrders[Part Name]=$A55)*(T_PlannedOrders[WeekIndex]=59)*(T_PlannedOrders[EffectiveQty]&gt;0)*T_PlannedOrders[Order_Month])),"m月")&amp;"発注)")</f>
        <v/>
      </c>
      <c r="BK61">
        <f>IF(SUMIFS(T_PlannedOrders[EffectiveQty],T_PlannedOrders[Part Name],$A55,T_PlannedOrders[WeekIndex],60)=0,"",SUMIFS(T_PlannedOrders[EffectiveQty],T_PlannedOrders[Part Name],$A55,T_PlannedOrders[WeekIndex],60)&amp;" ("&amp;TEXT(SUMPRODUCT(MAX((T_PlannedOrders[Part Name]=$A55)*(T_PlannedOrders[WeekIndex]=60)*(T_PlannedOrders[EffectiveQty]&gt;0)*T_PlannedOrders[Order_Month])),"m月")&amp;"発注)")</f>
        <v/>
      </c>
      <c r="BL61">
        <f>IF(SUMIFS(T_PlannedOrders[EffectiveQty],T_PlannedOrders[Part Name],$A55,T_PlannedOrders[WeekIndex],61)=0,"",SUMIFS(T_PlannedOrders[EffectiveQty],T_PlannedOrders[Part Name],$A55,T_PlannedOrders[WeekIndex],61)&amp;" ("&amp;TEXT(SUMPRODUCT(MAX((T_PlannedOrders[Part Name]=$A55)*(T_PlannedOrders[WeekIndex]=61)*(T_PlannedOrders[EffectiveQty]&gt;0)*T_PlannedOrders[Order_Month])),"m月")&amp;"発注)")</f>
        <v/>
      </c>
      <c r="BM61">
        <f>IF(SUMIFS(T_PlannedOrders[EffectiveQty],T_PlannedOrders[Part Name],$A55,T_PlannedOrders[WeekIndex],62)=0,"",SUMIFS(T_PlannedOrders[EffectiveQty],T_PlannedOrders[Part Name],$A55,T_PlannedOrders[WeekIndex],62)&amp;" ("&amp;TEXT(SUMPRODUCT(MAX((T_PlannedOrders[Part Name]=$A55)*(T_PlannedOrders[WeekIndex]=62)*(T_PlannedOrders[EffectiveQty]&gt;0)*T_PlannedOrders[Order_Month])),"m月")&amp;"発注)")</f>
        <v/>
      </c>
      <c r="BN61">
        <f>IF(SUMIFS(T_PlannedOrders[EffectiveQty],T_PlannedOrders[Part Name],$A55,T_PlannedOrders[WeekIndex],63)=0,"",SUMIFS(T_PlannedOrders[EffectiveQty],T_PlannedOrders[Part Name],$A55,T_PlannedOrders[WeekIndex],63)&amp;" ("&amp;TEXT(SUMPRODUCT(MAX((T_PlannedOrders[Part Name]=$A55)*(T_PlannedOrders[WeekIndex]=63)*(T_PlannedOrders[EffectiveQty]&gt;0)*T_PlannedOrders[Order_Month])),"m月")&amp;"発注)")</f>
        <v/>
      </c>
      <c r="BO61">
        <f>IF(SUMIFS(T_PlannedOrders[EffectiveQty],T_PlannedOrders[Part Name],$A55,T_PlannedOrders[WeekIndex],64)=0,"",SUMIFS(T_PlannedOrders[EffectiveQty],T_PlannedOrders[Part Name],$A55,T_PlannedOrders[WeekIndex],64)&amp;" ("&amp;TEXT(SUMPRODUCT(MAX((T_PlannedOrders[Part Name]=$A55)*(T_PlannedOrders[WeekIndex]=64)*(T_PlannedOrders[EffectiveQty]&gt;0)*T_PlannedOrders[Order_Month])),"m月")&amp;"発注)")</f>
        <v/>
      </c>
      <c r="BP61">
        <f>IF(SUMIFS(T_PlannedOrders[EffectiveQty],T_PlannedOrders[Part Name],$A55,T_PlannedOrders[WeekIndex],65)=0,"",SUMIFS(T_PlannedOrders[EffectiveQty],T_PlannedOrders[Part Name],$A55,T_PlannedOrders[WeekIndex],65)&amp;" ("&amp;TEXT(SUMPRODUCT(MAX((T_PlannedOrders[Part Name]=$A55)*(T_PlannedOrders[WeekIndex]=65)*(T_PlannedOrders[EffectiveQty]&gt;0)*T_PlannedOrders[Order_Month])),"m月")&amp;"発注)")</f>
        <v/>
      </c>
      <c r="BQ61">
        <f>IF(SUMIFS(T_PlannedOrders[EffectiveQty],T_PlannedOrders[Part Name],$A55,T_PlannedOrders[WeekIndex],66)=0,"",SUMIFS(T_PlannedOrders[EffectiveQty],T_PlannedOrders[Part Name],$A55,T_PlannedOrders[WeekIndex],66)&amp;" ("&amp;TEXT(SUMPRODUCT(MAX((T_PlannedOrders[Part Name]=$A55)*(T_PlannedOrders[WeekIndex]=66)*(T_PlannedOrders[EffectiveQty]&gt;0)*T_PlannedOrders[Order_Month])),"m月")&amp;"発注)")</f>
        <v/>
      </c>
      <c r="BR61">
        <f>IF(SUMIFS(T_PlannedOrders[EffectiveQty],T_PlannedOrders[Part Name],$A55,T_PlannedOrders[WeekIndex],67)=0,"",SUMIFS(T_PlannedOrders[EffectiveQty],T_PlannedOrders[Part Name],$A55,T_PlannedOrders[WeekIndex],67)&amp;" ("&amp;TEXT(SUMPRODUCT(MAX((T_PlannedOrders[Part Name]=$A55)*(T_PlannedOrders[WeekIndex]=67)*(T_PlannedOrders[EffectiveQty]&gt;0)*T_PlannedOrders[Order_Month])),"m月")&amp;"発注)")</f>
        <v/>
      </c>
      <c r="BS61">
        <f>IF(SUMIFS(T_PlannedOrders[EffectiveQty],T_PlannedOrders[Part Name],$A55,T_PlannedOrders[WeekIndex],68)=0,"",SUMIFS(T_PlannedOrders[EffectiveQty],T_PlannedOrders[Part Name],$A55,T_PlannedOrders[WeekIndex],68)&amp;" ("&amp;TEXT(SUMPRODUCT(MAX((T_PlannedOrders[Part Name]=$A55)*(T_PlannedOrders[WeekIndex]=68)*(T_PlannedOrders[EffectiveQty]&gt;0)*T_PlannedOrders[Order_Month])),"m月")&amp;"発注)")</f>
        <v/>
      </c>
      <c r="BT61">
        <f>IF(SUMIFS(T_PlannedOrders[EffectiveQty],T_PlannedOrders[Part Name],$A55,T_PlannedOrders[WeekIndex],69)=0,"",SUMIFS(T_PlannedOrders[EffectiveQty],T_PlannedOrders[Part Name],$A55,T_PlannedOrders[WeekIndex],69)&amp;" ("&amp;TEXT(SUMPRODUCT(MAX((T_PlannedOrders[Part Name]=$A55)*(T_PlannedOrders[WeekIndex]=69)*(T_PlannedOrders[EffectiveQty]&gt;0)*T_PlannedOrders[Order_Month])),"m月")&amp;"発注)")</f>
        <v/>
      </c>
      <c r="BU61">
        <f>IF(SUMIFS(T_PlannedOrders[EffectiveQty],T_PlannedOrders[Part Name],$A55,T_PlannedOrders[WeekIndex],70)=0,"",SUMIFS(T_PlannedOrders[EffectiveQty],T_PlannedOrders[Part Name],$A55,T_PlannedOrders[WeekIndex],70)&amp;" ("&amp;TEXT(SUMPRODUCT(MAX((T_PlannedOrders[Part Name]=$A55)*(T_PlannedOrders[WeekIndex]=70)*(T_PlannedOrders[EffectiveQty]&gt;0)*T_PlannedOrders[Order_Month])),"m月")&amp;"発注)")</f>
        <v/>
      </c>
      <c r="BV61">
        <f>IF(SUMIFS(T_PlannedOrders[EffectiveQty],T_PlannedOrders[Part Name],$A55,T_PlannedOrders[WeekIndex],71)=0,"",SUMIFS(T_PlannedOrders[EffectiveQty],T_PlannedOrders[Part Name],$A55,T_PlannedOrders[WeekIndex],71)&amp;" ("&amp;TEXT(SUMPRODUCT(MAX((T_PlannedOrders[Part Name]=$A55)*(T_PlannedOrders[WeekIndex]=71)*(T_PlannedOrders[EffectiveQty]&gt;0)*T_PlannedOrders[Order_Month])),"m月")&amp;"発注)")</f>
        <v/>
      </c>
      <c r="BW61">
        <f>IF(SUMIFS(T_PlannedOrders[EffectiveQty],T_PlannedOrders[Part Name],$A55,T_PlannedOrders[WeekIndex],72)=0,"",SUMIFS(T_PlannedOrders[EffectiveQty],T_PlannedOrders[Part Name],$A55,T_PlannedOrders[WeekIndex],72)&amp;" ("&amp;TEXT(SUMPRODUCT(MAX((T_PlannedOrders[Part Name]=$A55)*(T_PlannedOrders[WeekIndex]=72)*(T_PlannedOrders[EffectiveQty]&gt;0)*T_PlannedOrders[Order_Month])),"m月")&amp;"発注)")</f>
        <v/>
      </c>
      <c r="BX61">
        <f>IF(SUMIFS(T_PlannedOrders[EffectiveQty],T_PlannedOrders[Part Name],$A55,T_PlannedOrders[WeekIndex],73)=0,"",SUMIFS(T_PlannedOrders[EffectiveQty],T_PlannedOrders[Part Name],$A55,T_PlannedOrders[WeekIndex],73)&amp;" ("&amp;TEXT(SUMPRODUCT(MAX((T_PlannedOrders[Part Name]=$A55)*(T_PlannedOrders[WeekIndex]=73)*(T_PlannedOrders[EffectiveQty]&gt;0)*T_PlannedOrders[Order_Month])),"m月")&amp;"発注)")</f>
        <v/>
      </c>
      <c r="BY61">
        <f>IF(SUMIFS(T_PlannedOrders[EffectiveQty],T_PlannedOrders[Part Name],$A55,T_PlannedOrders[WeekIndex],74)=0,"",SUMIFS(T_PlannedOrders[EffectiveQty],T_PlannedOrders[Part Name],$A55,T_PlannedOrders[WeekIndex],74)&amp;" ("&amp;TEXT(SUMPRODUCT(MAX((T_PlannedOrders[Part Name]=$A55)*(T_PlannedOrders[WeekIndex]=74)*(T_PlannedOrders[EffectiveQty]&gt;0)*T_PlannedOrders[Order_Month])),"m月")&amp;"発注)")</f>
        <v/>
      </c>
      <c r="BZ61">
        <f>IF(SUMIFS(T_PlannedOrders[EffectiveQty],T_PlannedOrders[Part Name],$A55,T_PlannedOrders[WeekIndex],75)=0,"",SUMIFS(T_PlannedOrders[EffectiveQty],T_PlannedOrders[Part Name],$A55,T_PlannedOrders[WeekIndex],75)&amp;" ("&amp;TEXT(SUMPRODUCT(MAX((T_PlannedOrders[Part Name]=$A55)*(T_PlannedOrders[WeekIndex]=75)*(T_PlannedOrders[EffectiveQty]&gt;0)*T_PlannedOrders[Order_Month])),"m月")&amp;"発注)")</f>
        <v/>
      </c>
      <c r="CA61">
        <f>IF(SUMIFS(T_PlannedOrders[EffectiveQty],T_PlannedOrders[Part Name],$A55,T_PlannedOrders[WeekIndex],76)=0,"",SUMIFS(T_PlannedOrders[EffectiveQty],T_PlannedOrders[Part Name],$A55,T_PlannedOrders[WeekIndex],76)&amp;" ("&amp;TEXT(SUMPRODUCT(MAX((T_PlannedOrders[Part Name]=$A55)*(T_PlannedOrders[WeekIndex]=76)*(T_PlannedOrders[EffectiveQty]&gt;0)*T_PlannedOrders[Order_Month])),"m月")&amp;"発注)")</f>
        <v/>
      </c>
      <c r="CB61">
        <f>IF(SUMIFS(T_PlannedOrders[EffectiveQty],T_PlannedOrders[Part Name],$A55,T_PlannedOrders[WeekIndex],77)=0,"",SUMIFS(T_PlannedOrders[EffectiveQty],T_PlannedOrders[Part Name],$A55,T_PlannedOrders[WeekIndex],77)&amp;" ("&amp;TEXT(SUMPRODUCT(MAX((T_PlannedOrders[Part Name]=$A55)*(T_PlannedOrders[WeekIndex]=77)*(T_PlannedOrders[EffectiveQty]&gt;0)*T_PlannedOrders[Order_Month])),"m月")&amp;"発注)")</f>
        <v/>
      </c>
      <c r="CC61">
        <f>IF(SUMIFS(T_PlannedOrders[EffectiveQty],T_PlannedOrders[Part Name],$A55,T_PlannedOrders[WeekIndex],78)=0,"",SUMIFS(T_PlannedOrders[EffectiveQty],T_PlannedOrders[Part Name],$A55,T_PlannedOrders[WeekIndex],78)&amp;" ("&amp;TEXT(SUMPRODUCT(MAX((T_PlannedOrders[Part Name]=$A55)*(T_PlannedOrders[WeekIndex]=78)*(T_PlannedOrders[EffectiveQty]&gt;0)*T_PlannedOrders[Order_Month])),"m月")&amp;"発注)")</f>
        <v/>
      </c>
      <c r="CD61">
        <f>IF(SUMIFS(T_PlannedOrders[EffectiveQty],T_PlannedOrders[Part Name],$A55,T_PlannedOrders[WeekIndex],79)=0,"",SUMIFS(T_PlannedOrders[EffectiveQty],T_PlannedOrders[Part Name],$A55,T_PlannedOrders[WeekIndex],79)&amp;" ("&amp;TEXT(SUMPRODUCT(MAX((T_PlannedOrders[Part Name]=$A55)*(T_PlannedOrders[WeekIndex]=79)*(T_PlannedOrders[EffectiveQty]&gt;0)*T_PlannedOrders[Order_Month])),"m月")&amp;"発注)")</f>
        <v/>
      </c>
      <c r="CE61">
        <f>IF(SUMIFS(T_PlannedOrders[EffectiveQty],T_PlannedOrders[Part Name],$A55,T_PlannedOrders[WeekIndex],80)=0,"",SUMIFS(T_PlannedOrders[EffectiveQty],T_PlannedOrders[Part Name],$A55,T_PlannedOrders[WeekIndex],80)&amp;" ("&amp;TEXT(SUMPRODUCT(MAX((T_PlannedOrders[Part Name]=$A55)*(T_PlannedOrders[WeekIndex]=80)*(T_PlannedOrders[EffectiveQty]&gt;0)*T_PlannedOrders[Order_Month])),"m月")&amp;"発注)")</f>
        <v/>
      </c>
      <c r="CF61">
        <f>IF(SUMIFS(T_PlannedOrders[EffectiveQty],T_PlannedOrders[Part Name],$A55,T_PlannedOrders[WeekIndex],81)=0,"",SUMIFS(T_PlannedOrders[EffectiveQty],T_PlannedOrders[Part Name],$A55,T_PlannedOrders[WeekIndex],81)&amp;" ("&amp;TEXT(SUMPRODUCT(MAX((T_PlannedOrders[Part Name]=$A55)*(T_PlannedOrders[WeekIndex]=81)*(T_PlannedOrders[EffectiveQty]&gt;0)*T_PlannedOrders[Order_Month])),"m月")&amp;"発注)")</f>
        <v/>
      </c>
      <c r="CG61">
        <f>IF(SUMIFS(T_PlannedOrders[EffectiveQty],T_PlannedOrders[Part Name],$A55,T_PlannedOrders[WeekIndex],82)=0,"",SUMIFS(T_PlannedOrders[EffectiveQty],T_PlannedOrders[Part Name],$A55,T_PlannedOrders[WeekIndex],82)&amp;" ("&amp;TEXT(SUMPRODUCT(MAX((T_PlannedOrders[Part Name]=$A55)*(T_PlannedOrders[WeekIndex]=82)*(T_PlannedOrders[EffectiveQty]&gt;0)*T_PlannedOrders[Order_Month])),"m月")&amp;"発注)")</f>
        <v/>
      </c>
      <c r="CH61">
        <f>IF(SUMIFS(T_PlannedOrders[EffectiveQty],T_PlannedOrders[Part Name],$A55,T_PlannedOrders[WeekIndex],83)=0,"",SUMIFS(T_PlannedOrders[EffectiveQty],T_PlannedOrders[Part Name],$A55,T_PlannedOrders[WeekIndex],83)&amp;" ("&amp;TEXT(SUMPRODUCT(MAX((T_PlannedOrders[Part Name]=$A55)*(T_PlannedOrders[WeekIndex]=83)*(T_PlannedOrders[EffectiveQty]&gt;0)*T_PlannedOrders[Order_Month])),"m月")&amp;"発注)")</f>
        <v/>
      </c>
      <c r="CI61">
        <f>IF(SUMIFS(T_PlannedOrders[EffectiveQty],T_PlannedOrders[Part Name],$A55,T_PlannedOrders[WeekIndex],84)=0,"",SUMIFS(T_PlannedOrders[EffectiveQty],T_PlannedOrders[Part Name],$A55,T_PlannedOrders[WeekIndex],84)&amp;" ("&amp;TEXT(SUMPRODUCT(MAX((T_PlannedOrders[Part Name]=$A55)*(T_PlannedOrders[WeekIndex]=84)*(T_PlannedOrders[EffectiveQty]&gt;0)*T_PlannedOrders[Order_Month])),"m月")&amp;"発注)")</f>
        <v/>
      </c>
      <c r="CJ61">
        <f>IF(SUMIFS(T_PlannedOrders[EffectiveQty],T_PlannedOrders[Part Name],$A55,T_PlannedOrders[WeekIndex],85)=0,"",SUMIFS(T_PlannedOrders[EffectiveQty],T_PlannedOrders[Part Name],$A55,T_PlannedOrders[WeekIndex],85)&amp;" ("&amp;TEXT(SUMPRODUCT(MAX((T_PlannedOrders[Part Name]=$A55)*(T_PlannedOrders[WeekIndex]=85)*(T_PlannedOrders[EffectiveQty]&gt;0)*T_PlannedOrders[Order_Month])),"m月")&amp;"発注)")</f>
        <v/>
      </c>
      <c r="CK61">
        <f>IF(SUMIFS(T_PlannedOrders[EffectiveQty],T_PlannedOrders[Part Name],$A55,T_PlannedOrders[WeekIndex],86)=0,"",SUMIFS(T_PlannedOrders[EffectiveQty],T_PlannedOrders[Part Name],$A55,T_PlannedOrders[WeekIndex],86)&amp;" ("&amp;TEXT(SUMPRODUCT(MAX((T_PlannedOrders[Part Name]=$A55)*(T_PlannedOrders[WeekIndex]=86)*(T_PlannedOrders[EffectiveQty]&gt;0)*T_PlannedOrders[Order_Month])),"m月")&amp;"発注)")</f>
        <v/>
      </c>
      <c r="CL61">
        <f>IF(SUMIFS(T_PlannedOrders[EffectiveQty],T_PlannedOrders[Part Name],$A55,T_PlannedOrders[WeekIndex],87)=0,"",SUMIFS(T_PlannedOrders[EffectiveQty],T_PlannedOrders[Part Name],$A55,T_PlannedOrders[WeekIndex],87)&amp;" ("&amp;TEXT(SUMPRODUCT(MAX((T_PlannedOrders[Part Name]=$A55)*(T_PlannedOrders[WeekIndex]=87)*(T_PlannedOrders[EffectiveQty]&gt;0)*T_PlannedOrders[Order_Month])),"m月")&amp;"発注)")</f>
        <v/>
      </c>
      <c r="CM61">
        <f>IF(SUMIFS(T_PlannedOrders[EffectiveQty],T_PlannedOrders[Part Name],$A55,T_PlannedOrders[WeekIndex],88)=0,"",SUMIFS(T_PlannedOrders[EffectiveQty],T_PlannedOrders[Part Name],$A55,T_PlannedOrders[WeekIndex],88)&amp;" ("&amp;TEXT(SUMPRODUCT(MAX((T_PlannedOrders[Part Name]=$A55)*(T_PlannedOrders[WeekIndex]=88)*(T_PlannedOrders[EffectiveQty]&gt;0)*T_PlannedOrders[Order_Month])),"m月")&amp;"発注)")</f>
        <v/>
      </c>
      <c r="CN61">
        <f>IF(SUMIFS(T_PlannedOrders[EffectiveQty],T_PlannedOrders[Part Name],$A55,T_PlannedOrders[WeekIndex],89)=0,"",SUMIFS(T_PlannedOrders[EffectiveQty],T_PlannedOrders[Part Name],$A55,T_PlannedOrders[WeekIndex],89)&amp;" ("&amp;TEXT(SUMPRODUCT(MAX((T_PlannedOrders[Part Name]=$A55)*(T_PlannedOrders[WeekIndex]=89)*(T_PlannedOrders[EffectiveQty]&gt;0)*T_PlannedOrders[Order_Month])),"m月")&amp;"発注)")</f>
        <v/>
      </c>
      <c r="CO61">
        <f>IF(SUMIFS(T_PlannedOrders[EffectiveQty],T_PlannedOrders[Part Name],$A55,T_PlannedOrders[WeekIndex],90)=0,"",SUMIFS(T_PlannedOrders[EffectiveQty],T_PlannedOrders[Part Name],$A55,T_PlannedOrders[WeekIndex],90)&amp;" ("&amp;TEXT(SUMPRODUCT(MAX((T_PlannedOrders[Part Name]=$A55)*(T_PlannedOrders[WeekIndex]=90)*(T_PlannedOrders[EffectiveQty]&gt;0)*T_PlannedOrders[Order_Month])),"m月")&amp;"発注)")</f>
        <v/>
      </c>
      <c r="CP61">
        <f>IF(SUMIFS(T_PlannedOrders[EffectiveQty],T_PlannedOrders[Part Name],$A55,T_PlannedOrders[WeekIndex],91)=0,"",SUMIFS(T_PlannedOrders[EffectiveQty],T_PlannedOrders[Part Name],$A55,T_PlannedOrders[WeekIndex],91)&amp;" ("&amp;TEXT(SUMPRODUCT(MAX((T_PlannedOrders[Part Name]=$A55)*(T_PlannedOrders[WeekIndex]=91)*(T_PlannedOrders[EffectiveQty]&gt;0)*T_PlannedOrders[Order_Month])),"m月")&amp;"発注)")</f>
        <v/>
      </c>
      <c r="CQ61">
        <f>IF(SUMIFS(T_PlannedOrders[EffectiveQty],T_PlannedOrders[Part Name],$A55,T_PlannedOrders[WeekIndex],92)=0,"",SUMIFS(T_PlannedOrders[EffectiveQty],T_PlannedOrders[Part Name],$A55,T_PlannedOrders[WeekIndex],92)&amp;" ("&amp;TEXT(SUMPRODUCT(MAX((T_PlannedOrders[Part Name]=$A55)*(T_PlannedOrders[WeekIndex]=92)*(T_PlannedOrders[EffectiveQty]&gt;0)*T_PlannedOrders[Order_Month])),"m月")&amp;"発注)")</f>
        <v/>
      </c>
      <c r="CR61">
        <f>IF(SUMIFS(T_PlannedOrders[EffectiveQty],T_PlannedOrders[Part Name],$A55,T_PlannedOrders[WeekIndex],93)=0,"",SUMIFS(T_PlannedOrders[EffectiveQty],T_PlannedOrders[Part Name],$A55,T_PlannedOrders[WeekIndex],93)&amp;" ("&amp;TEXT(SUMPRODUCT(MAX((T_PlannedOrders[Part Name]=$A55)*(T_PlannedOrders[WeekIndex]=93)*(T_PlannedOrders[EffectiveQty]&gt;0)*T_PlannedOrders[Order_Month])),"m月")&amp;"発注)")</f>
        <v/>
      </c>
      <c r="CS61">
        <f>IF(SUMIFS(T_PlannedOrders[EffectiveQty],T_PlannedOrders[Part Name],$A55,T_PlannedOrders[WeekIndex],94)=0,"",SUMIFS(T_PlannedOrders[EffectiveQty],T_PlannedOrders[Part Name],$A55,T_PlannedOrders[WeekIndex],94)&amp;" ("&amp;TEXT(SUMPRODUCT(MAX((T_PlannedOrders[Part Name]=$A55)*(T_PlannedOrders[WeekIndex]=94)*(T_PlannedOrders[EffectiveQty]&gt;0)*T_PlannedOrders[Order_Month])),"m月")&amp;"発注)")</f>
        <v/>
      </c>
      <c r="CT61">
        <f>IF(SUMIFS(T_PlannedOrders[EffectiveQty],T_PlannedOrders[Part Name],$A55,T_PlannedOrders[WeekIndex],95)=0,"",SUMIFS(T_PlannedOrders[EffectiveQty],T_PlannedOrders[Part Name],$A55,T_PlannedOrders[WeekIndex],95)&amp;" ("&amp;TEXT(SUMPRODUCT(MAX((T_PlannedOrders[Part Name]=$A55)*(T_PlannedOrders[WeekIndex]=95)*(T_PlannedOrders[EffectiveQty]&gt;0)*T_PlannedOrders[Order_Month])),"m月")&amp;"発注)")</f>
        <v/>
      </c>
      <c r="CU61">
        <f>IF(SUMIFS(T_PlannedOrders[EffectiveQty],T_PlannedOrders[Part Name],$A55,T_PlannedOrders[WeekIndex],96)=0,"",SUMIFS(T_PlannedOrders[EffectiveQty],T_PlannedOrders[Part Name],$A55,T_PlannedOrders[WeekIndex],96)&amp;" ("&amp;TEXT(SUMPRODUCT(MAX((T_PlannedOrders[Part Name]=$A55)*(T_PlannedOrders[WeekIndex]=96)*(T_PlannedOrders[EffectiveQty]&gt;0)*T_PlannedOrders[Order_Month])),"m月")&amp;"発注)")</f>
        <v/>
      </c>
      <c r="CV61">
        <f>IF(SUMIFS(T_PlannedOrders[EffectiveQty],T_PlannedOrders[Part Name],$A55,T_PlannedOrders[WeekIndex],97)=0,"",SUMIFS(T_PlannedOrders[EffectiveQty],T_PlannedOrders[Part Name],$A55,T_PlannedOrders[WeekIndex],97)&amp;" ("&amp;TEXT(SUMPRODUCT(MAX((T_PlannedOrders[Part Name]=$A55)*(T_PlannedOrders[WeekIndex]=97)*(T_PlannedOrders[EffectiveQty]&gt;0)*T_PlannedOrders[Order_Month])),"m月")&amp;"発注)")</f>
        <v/>
      </c>
      <c r="CW61">
        <f>IF(SUMIFS(T_PlannedOrders[EffectiveQty],T_PlannedOrders[Part Name],$A55,T_PlannedOrders[WeekIndex],98)=0,"",SUMIFS(T_PlannedOrders[EffectiveQty],T_PlannedOrders[Part Name],$A55,T_PlannedOrders[WeekIndex],98)&amp;" ("&amp;TEXT(SUMPRODUCT(MAX((T_PlannedOrders[Part Name]=$A55)*(T_PlannedOrders[WeekIndex]=98)*(T_PlannedOrders[EffectiveQty]&gt;0)*T_PlannedOrders[Order_Month])),"m月")&amp;"発注)")</f>
        <v/>
      </c>
      <c r="CX61">
        <f>IF(SUMIFS(T_PlannedOrders[EffectiveQty],T_PlannedOrders[Part Name],$A55,T_PlannedOrders[WeekIndex],99)=0,"",SUMIFS(T_PlannedOrders[EffectiveQty],T_PlannedOrders[Part Name],$A55,T_PlannedOrders[WeekIndex],99)&amp;" ("&amp;TEXT(SUMPRODUCT(MAX((T_PlannedOrders[Part Name]=$A55)*(T_PlannedOrders[WeekIndex]=99)*(T_PlannedOrders[EffectiveQty]&gt;0)*T_PlannedOrders[Order_Month])),"m月")&amp;"発注)")</f>
        <v/>
      </c>
      <c r="CY61">
        <f>IF(SUMIFS(T_PlannedOrders[EffectiveQty],T_PlannedOrders[Part Name],$A55,T_PlannedOrders[WeekIndex],100)=0,"",SUMIFS(T_PlannedOrders[EffectiveQty],T_PlannedOrders[Part Name],$A55,T_PlannedOrders[WeekIndex],100)&amp;" ("&amp;TEXT(SUMPRODUCT(MAX((T_PlannedOrders[Part Name]=$A55)*(T_PlannedOrders[WeekIndex]=100)*(T_PlannedOrders[EffectiveQty]&gt;0)*T_PlannedOrders[Order_Month])),"m月")&amp;"発注)")</f>
        <v/>
      </c>
      <c r="CZ61">
        <f>IF(SUMIFS(T_PlannedOrders[EffectiveQty],T_PlannedOrders[Part Name],$A55,T_PlannedOrders[WeekIndex],101)=0,"",SUMIFS(T_PlannedOrders[EffectiveQty],T_PlannedOrders[Part Name],$A55,T_PlannedOrders[WeekIndex],101)&amp;" ("&amp;TEXT(SUMPRODUCT(MAX((T_PlannedOrders[Part Name]=$A55)*(T_PlannedOrders[WeekIndex]=101)*(T_PlannedOrders[EffectiveQty]&gt;0)*T_PlannedOrders[Order_Month])),"m月")&amp;"発注)")</f>
        <v/>
      </c>
      <c r="DA61">
        <f>IF(SUMIFS(T_PlannedOrders[EffectiveQty],T_PlannedOrders[Part Name],$A55,T_PlannedOrders[WeekIndex],102)=0,"",SUMIFS(T_PlannedOrders[EffectiveQty],T_PlannedOrders[Part Name],$A55,T_PlannedOrders[WeekIndex],102)&amp;" ("&amp;TEXT(SUMPRODUCT(MAX((T_PlannedOrders[Part Name]=$A55)*(T_PlannedOrders[WeekIndex]=102)*(T_PlannedOrders[EffectiveQty]&gt;0)*T_PlannedOrders[Order_Month])),"m月")&amp;"発注)")</f>
        <v/>
      </c>
      <c r="DB61">
        <f>IF(SUMIFS(T_PlannedOrders[EffectiveQty],T_PlannedOrders[Part Name],$A55,T_PlannedOrders[WeekIndex],103)=0,"",SUMIFS(T_PlannedOrders[EffectiveQty],T_PlannedOrders[Part Name],$A55,T_PlannedOrders[WeekIndex],103)&amp;" ("&amp;TEXT(SUMPRODUCT(MAX((T_PlannedOrders[Part Name]=$A55)*(T_PlannedOrders[WeekIndex]=103)*(T_PlannedOrders[EffectiveQty]&gt;0)*T_PlannedOrders[Order_Month])),"m月")&amp;"発注)")</f>
        <v/>
      </c>
      <c r="DC61">
        <f>IF(SUMIFS(T_PlannedOrders[EffectiveQty],T_PlannedOrders[Part Name],$A55,T_PlannedOrders[WeekIndex],104)=0,"",SUMIFS(T_PlannedOrders[EffectiveQty],T_PlannedOrders[Part Name],$A55,T_PlannedOrders[WeekIndex],104)&amp;" ("&amp;TEXT(SUMPRODUCT(MAX((T_PlannedOrders[Part Name]=$A55)*(T_PlannedOrders[WeekIndex]=104)*(T_PlannedOrders[EffectiveQty]&gt;0)*T_PlannedOrders[Order_Month])),"m月")&amp;"発注)")</f>
        <v/>
      </c>
    </row>
    <row r="62">
      <c r="B62" s="5" t="inlineStr">
        <is>
          <t>合計在庫(週末時点,kg)</t>
        </is>
      </c>
      <c r="D62">
        <f>'Grid_Stock'!B5</f>
        <v/>
      </c>
      <c r="E62">
        <f>'Grid_Stock'!C5</f>
        <v/>
      </c>
      <c r="F62">
        <f>'Grid_Stock'!D5</f>
        <v/>
      </c>
      <c r="G62">
        <f>'Grid_Stock'!E5</f>
        <v/>
      </c>
      <c r="H62">
        <f>'Grid_Stock'!F5</f>
        <v/>
      </c>
      <c r="I62">
        <f>'Grid_Stock'!G5</f>
        <v/>
      </c>
      <c r="J62">
        <f>'Grid_Stock'!H5</f>
        <v/>
      </c>
      <c r="K62">
        <f>'Grid_Stock'!I5</f>
        <v/>
      </c>
      <c r="L62">
        <f>'Grid_Stock'!J5</f>
        <v/>
      </c>
      <c r="M62">
        <f>'Grid_Stock'!K5</f>
        <v/>
      </c>
      <c r="N62">
        <f>'Grid_Stock'!L5</f>
        <v/>
      </c>
      <c r="O62">
        <f>'Grid_Stock'!M5</f>
        <v/>
      </c>
      <c r="P62">
        <f>'Grid_Stock'!N5</f>
        <v/>
      </c>
      <c r="Q62">
        <f>'Grid_Stock'!O5</f>
        <v/>
      </c>
      <c r="R62">
        <f>'Grid_Stock'!P5</f>
        <v/>
      </c>
      <c r="S62">
        <f>'Grid_Stock'!Q5</f>
        <v/>
      </c>
      <c r="T62">
        <f>'Grid_Stock'!R5</f>
        <v/>
      </c>
      <c r="U62">
        <f>'Grid_Stock'!S5</f>
        <v/>
      </c>
      <c r="V62">
        <f>'Grid_Stock'!T5</f>
        <v/>
      </c>
      <c r="W62">
        <f>'Grid_Stock'!U5</f>
        <v/>
      </c>
      <c r="X62">
        <f>'Grid_Stock'!V5</f>
        <v/>
      </c>
      <c r="Y62">
        <f>'Grid_Stock'!W5</f>
        <v/>
      </c>
      <c r="Z62">
        <f>'Grid_Stock'!X5</f>
        <v/>
      </c>
      <c r="AA62">
        <f>'Grid_Stock'!Y5</f>
        <v/>
      </c>
      <c r="AB62">
        <f>'Grid_Stock'!Z5</f>
        <v/>
      </c>
      <c r="AC62">
        <f>'Grid_Stock'!AA5</f>
        <v/>
      </c>
      <c r="AD62">
        <f>'Grid_Stock'!AB5</f>
        <v/>
      </c>
      <c r="AE62">
        <f>'Grid_Stock'!AC5</f>
        <v/>
      </c>
      <c r="AF62">
        <f>'Grid_Stock'!AD5</f>
        <v/>
      </c>
      <c r="AG62">
        <f>'Grid_Stock'!AE5</f>
        <v/>
      </c>
      <c r="AH62">
        <f>'Grid_Stock'!AF5</f>
        <v/>
      </c>
      <c r="AI62">
        <f>'Grid_Stock'!AG5</f>
        <v/>
      </c>
      <c r="AJ62">
        <f>'Grid_Stock'!AH5</f>
        <v/>
      </c>
      <c r="AK62">
        <f>'Grid_Stock'!AI5</f>
        <v/>
      </c>
      <c r="AL62">
        <f>'Grid_Stock'!AJ5</f>
        <v/>
      </c>
      <c r="AM62">
        <f>'Grid_Stock'!AK5</f>
        <v/>
      </c>
      <c r="AN62">
        <f>'Grid_Stock'!AL5</f>
        <v/>
      </c>
      <c r="AO62">
        <f>'Grid_Stock'!AM5</f>
        <v/>
      </c>
      <c r="AP62">
        <f>'Grid_Stock'!AN5</f>
        <v/>
      </c>
      <c r="AQ62">
        <f>'Grid_Stock'!AO5</f>
        <v/>
      </c>
      <c r="AR62">
        <f>'Grid_Stock'!AP5</f>
        <v/>
      </c>
      <c r="AS62">
        <f>'Grid_Stock'!AQ5</f>
        <v/>
      </c>
      <c r="AT62">
        <f>'Grid_Stock'!AR5</f>
        <v/>
      </c>
      <c r="AU62">
        <f>'Grid_Stock'!AS5</f>
        <v/>
      </c>
      <c r="AV62">
        <f>'Grid_Stock'!AT5</f>
        <v/>
      </c>
      <c r="AW62">
        <f>'Grid_Stock'!AU5</f>
        <v/>
      </c>
      <c r="AX62">
        <f>'Grid_Stock'!AV5</f>
        <v/>
      </c>
      <c r="AY62">
        <f>'Grid_Stock'!AW5</f>
        <v/>
      </c>
      <c r="AZ62">
        <f>'Grid_Stock'!AX5</f>
        <v/>
      </c>
      <c r="BA62">
        <f>'Grid_Stock'!AY5</f>
        <v/>
      </c>
      <c r="BB62">
        <f>'Grid_Stock'!AZ5</f>
        <v/>
      </c>
      <c r="BC62">
        <f>'Grid_Stock'!BA5</f>
        <v/>
      </c>
      <c r="BD62">
        <f>'Grid_Stock'!BB5</f>
        <v/>
      </c>
      <c r="BE62">
        <f>'Grid_Stock'!BC5</f>
        <v/>
      </c>
      <c r="BF62">
        <f>'Grid_Stock'!BD5</f>
        <v/>
      </c>
      <c r="BG62">
        <f>'Grid_Stock'!BE5</f>
        <v/>
      </c>
      <c r="BH62">
        <f>'Grid_Stock'!BF5</f>
        <v/>
      </c>
      <c r="BI62">
        <f>'Grid_Stock'!BG5</f>
        <v/>
      </c>
      <c r="BJ62">
        <f>'Grid_Stock'!BH5</f>
        <v/>
      </c>
      <c r="BK62">
        <f>'Grid_Stock'!BI5</f>
        <v/>
      </c>
      <c r="BL62">
        <f>'Grid_Stock'!BJ5</f>
        <v/>
      </c>
      <c r="BM62">
        <f>'Grid_Stock'!BK5</f>
        <v/>
      </c>
      <c r="BN62">
        <f>'Grid_Stock'!BL5</f>
        <v/>
      </c>
      <c r="BO62">
        <f>'Grid_Stock'!BM5</f>
        <v/>
      </c>
      <c r="BP62">
        <f>'Grid_Stock'!BN5</f>
        <v/>
      </c>
      <c r="BQ62">
        <f>'Grid_Stock'!BO5</f>
        <v/>
      </c>
      <c r="BR62">
        <f>'Grid_Stock'!BP5</f>
        <v/>
      </c>
      <c r="BS62">
        <f>'Grid_Stock'!BQ5</f>
        <v/>
      </c>
      <c r="BT62">
        <f>'Grid_Stock'!BR5</f>
        <v/>
      </c>
      <c r="BU62">
        <f>'Grid_Stock'!BS5</f>
        <v/>
      </c>
      <c r="BV62">
        <f>'Grid_Stock'!BT5</f>
        <v/>
      </c>
      <c r="BW62">
        <f>'Grid_Stock'!BU5</f>
        <v/>
      </c>
      <c r="BX62">
        <f>'Grid_Stock'!BV5</f>
        <v/>
      </c>
      <c r="BY62">
        <f>'Grid_Stock'!BW5</f>
        <v/>
      </c>
      <c r="BZ62">
        <f>'Grid_Stock'!BX5</f>
        <v/>
      </c>
      <c r="CA62">
        <f>'Grid_Stock'!BY5</f>
        <v/>
      </c>
      <c r="CB62">
        <f>'Grid_Stock'!BZ5</f>
        <v/>
      </c>
      <c r="CC62">
        <f>'Grid_Stock'!CA5</f>
        <v/>
      </c>
      <c r="CD62">
        <f>'Grid_Stock'!CB5</f>
        <v/>
      </c>
      <c r="CE62">
        <f>'Grid_Stock'!CC5</f>
        <v/>
      </c>
      <c r="CF62">
        <f>'Grid_Stock'!CD5</f>
        <v/>
      </c>
      <c r="CG62">
        <f>'Grid_Stock'!CE5</f>
        <v/>
      </c>
      <c r="CH62">
        <f>'Grid_Stock'!CF5</f>
        <v/>
      </c>
      <c r="CI62">
        <f>'Grid_Stock'!CG5</f>
        <v/>
      </c>
      <c r="CJ62">
        <f>'Grid_Stock'!CH5</f>
        <v/>
      </c>
      <c r="CK62">
        <f>'Grid_Stock'!CI5</f>
        <v/>
      </c>
      <c r="CL62">
        <f>'Grid_Stock'!CJ5</f>
        <v/>
      </c>
      <c r="CM62">
        <f>'Grid_Stock'!CK5</f>
        <v/>
      </c>
      <c r="CN62">
        <f>'Grid_Stock'!CL5</f>
        <v/>
      </c>
      <c r="CO62">
        <f>'Grid_Stock'!CM5</f>
        <v/>
      </c>
      <c r="CP62">
        <f>'Grid_Stock'!CN5</f>
        <v/>
      </c>
      <c r="CQ62">
        <f>'Grid_Stock'!CO5</f>
        <v/>
      </c>
      <c r="CR62">
        <f>'Grid_Stock'!CP5</f>
        <v/>
      </c>
      <c r="CS62">
        <f>'Grid_Stock'!CQ5</f>
        <v/>
      </c>
      <c r="CT62">
        <f>'Grid_Stock'!CR5</f>
        <v/>
      </c>
      <c r="CU62">
        <f>'Grid_Stock'!CS5</f>
        <v/>
      </c>
      <c r="CV62">
        <f>'Grid_Stock'!CT5</f>
        <v/>
      </c>
      <c r="CW62">
        <f>'Grid_Stock'!CU5</f>
        <v/>
      </c>
      <c r="CX62">
        <f>'Grid_Stock'!CV5</f>
        <v/>
      </c>
      <c r="CY62">
        <f>'Grid_Stock'!CW5</f>
        <v/>
      </c>
      <c r="CZ62">
        <f>'Grid_Stock'!CX5</f>
        <v/>
      </c>
      <c r="DA62">
        <f>'Grid_Stock'!CY5</f>
        <v/>
      </c>
      <c r="DB62">
        <f>'Grid_Stock'!CZ5</f>
        <v/>
      </c>
      <c r="DC62">
        <f>'Grid_Stock'!DA5</f>
        <v/>
      </c>
    </row>
    <row r="63">
      <c r="B63" s="23" t="inlineStr">
        <is>
          <t>（発注の目安はDashboardの基準在庫[下限/上限]と色分けを参照）</t>
        </is>
      </c>
    </row>
    <row r="65">
      <c r="A65" s="21" t="inlineStr">
        <is>
          <t>7CL</t>
        </is>
      </c>
      <c r="B65" s="21" t="inlineStr">
        <is>
          <t>Substrate NGK TP167-103-096xT4</t>
        </is>
      </c>
      <c r="C65" s="22" t="n"/>
      <c r="D65" s="21" t="n"/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  <c r="AA65" s="21" t="n"/>
      <c r="AB65" s="21" t="n"/>
      <c r="AC65" s="21" t="n"/>
      <c r="AD65" s="21" t="n"/>
      <c r="AE65" s="21" t="n"/>
      <c r="AF65" s="21" t="n"/>
      <c r="AG65" s="21" t="n"/>
      <c r="AH65" s="21" t="n"/>
      <c r="AI65" s="21" t="n"/>
      <c r="AJ65" s="21" t="n"/>
      <c r="AK65" s="21" t="n"/>
      <c r="AL65" s="21" t="n"/>
      <c r="AM65" s="21" t="n"/>
      <c r="AN65" s="21" t="n"/>
      <c r="AO65" s="21" t="n"/>
      <c r="AP65" s="21" t="n"/>
      <c r="AQ65" s="21" t="n"/>
      <c r="AR65" s="21" t="n"/>
      <c r="AS65" s="21" t="n"/>
      <c r="AT65" s="21" t="n"/>
      <c r="AU65" s="21" t="n"/>
      <c r="AV65" s="21" t="n"/>
      <c r="AW65" s="21" t="n"/>
      <c r="AX65" s="21" t="n"/>
      <c r="AY65" s="21" t="n"/>
      <c r="AZ65" s="21" t="n"/>
      <c r="BA65" s="21" t="n"/>
      <c r="BB65" s="21" t="n"/>
      <c r="BC65" s="21" t="n"/>
      <c r="BD65" s="21" t="n"/>
      <c r="BE65" s="21" t="n"/>
      <c r="BF65" s="21" t="n"/>
      <c r="BG65" s="21" t="n"/>
      <c r="BH65" s="21" t="n"/>
      <c r="BI65" s="21" t="n"/>
      <c r="BJ65" s="21" t="n"/>
      <c r="BK65" s="21" t="n"/>
      <c r="BL65" s="21" t="n"/>
      <c r="BM65" s="21" t="n"/>
      <c r="BN65" s="21" t="n"/>
      <c r="BO65" s="21" t="n"/>
      <c r="BP65" s="21" t="n"/>
      <c r="BQ65" s="21" t="n"/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  <c r="CA65" s="21" t="n"/>
      <c r="CB65" s="21" t="n"/>
      <c r="CC65" s="21" t="n"/>
      <c r="CD65" s="21" t="n"/>
      <c r="CE65" s="21" t="n"/>
      <c r="CF65" s="21" t="n"/>
      <c r="CG65" s="21" t="n"/>
      <c r="CH65" s="21" t="n"/>
      <c r="CI65" s="21" t="n"/>
      <c r="CJ65" s="21" t="n"/>
      <c r="CK65" s="21" t="n"/>
      <c r="CL65" s="21" t="n"/>
      <c r="CM65" s="21" t="n"/>
      <c r="CN65" s="21" t="n"/>
      <c r="CO65" s="21" t="n"/>
      <c r="CP65" s="21" t="n"/>
      <c r="CQ65" s="21" t="n"/>
      <c r="CR65" s="21" t="n"/>
      <c r="CS65" s="21" t="n"/>
      <c r="CT65" s="21" t="n"/>
      <c r="CU65" s="21" t="n"/>
      <c r="CV65" s="21" t="n"/>
      <c r="CW65" s="21" t="n"/>
      <c r="CX65" s="21" t="n"/>
      <c r="CY65" s="21" t="n"/>
      <c r="CZ65" s="21" t="n"/>
      <c r="DA65" s="21" t="n"/>
      <c r="DB65" s="21" t="n"/>
      <c r="DC65" s="21" t="n"/>
    </row>
    <row r="66">
      <c r="B66" t="inlineStr">
        <is>
          <t>F0220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12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Name],$A65)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F2100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12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Name],$A65)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F2180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12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Name],$A65)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F2210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12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Name],$A65)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F2350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12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Name],$A65)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s="5" t="inlineStr">
        <is>
          <t>合計使用量(kg)/週</t>
        </is>
      </c>
      <c r="D76">
        <f>'Grid_Requirement'!B6</f>
        <v/>
      </c>
      <c r="E76">
        <f>'Grid_Requirement'!C6</f>
        <v/>
      </c>
      <c r="F76">
        <f>'Grid_Requirement'!D6</f>
        <v/>
      </c>
      <c r="G76">
        <f>'Grid_Requirement'!E6</f>
        <v/>
      </c>
      <c r="H76">
        <f>'Grid_Requirement'!F6</f>
        <v/>
      </c>
      <c r="I76">
        <f>'Grid_Requirement'!G6</f>
        <v/>
      </c>
      <c r="J76">
        <f>'Grid_Requirement'!H6</f>
        <v/>
      </c>
      <c r="K76">
        <f>'Grid_Requirement'!I6</f>
        <v/>
      </c>
      <c r="L76">
        <f>'Grid_Requirement'!J6</f>
        <v/>
      </c>
      <c r="M76">
        <f>'Grid_Requirement'!K6</f>
        <v/>
      </c>
      <c r="N76">
        <f>'Grid_Requirement'!L6</f>
        <v/>
      </c>
      <c r="O76">
        <f>'Grid_Requirement'!M6</f>
        <v/>
      </c>
      <c r="P76">
        <f>'Grid_Requirement'!N6</f>
        <v/>
      </c>
      <c r="Q76">
        <f>'Grid_Requirement'!O6</f>
        <v/>
      </c>
      <c r="R76">
        <f>'Grid_Requirement'!P6</f>
        <v/>
      </c>
      <c r="S76">
        <f>'Grid_Requirement'!Q6</f>
        <v/>
      </c>
      <c r="T76">
        <f>'Grid_Requirement'!R6</f>
        <v/>
      </c>
      <c r="U76">
        <f>'Grid_Requirement'!S6</f>
        <v/>
      </c>
      <c r="V76">
        <f>'Grid_Requirement'!T6</f>
        <v/>
      </c>
      <c r="W76">
        <f>'Grid_Requirement'!U6</f>
        <v/>
      </c>
      <c r="X76">
        <f>'Grid_Requirement'!V6</f>
        <v/>
      </c>
      <c r="Y76">
        <f>'Grid_Requirement'!W6</f>
        <v/>
      </c>
      <c r="Z76">
        <f>'Grid_Requirement'!X6</f>
        <v/>
      </c>
      <c r="AA76">
        <f>'Grid_Requirement'!Y6</f>
        <v/>
      </c>
      <c r="AB76">
        <f>'Grid_Requirement'!Z6</f>
        <v/>
      </c>
      <c r="AC76">
        <f>'Grid_Requirement'!AA6</f>
        <v/>
      </c>
      <c r="AD76">
        <f>'Grid_Requirement'!AB6</f>
        <v/>
      </c>
      <c r="AE76">
        <f>'Grid_Requirement'!AC6</f>
        <v/>
      </c>
      <c r="AF76">
        <f>'Grid_Requirement'!AD6</f>
        <v/>
      </c>
      <c r="AG76">
        <f>'Grid_Requirement'!AE6</f>
        <v/>
      </c>
      <c r="AH76">
        <f>'Grid_Requirement'!AF6</f>
        <v/>
      </c>
      <c r="AI76">
        <f>'Grid_Requirement'!AG6</f>
        <v/>
      </c>
      <c r="AJ76">
        <f>'Grid_Requirement'!AH6</f>
        <v/>
      </c>
      <c r="AK76">
        <f>'Grid_Requirement'!AI6</f>
        <v/>
      </c>
      <c r="AL76">
        <f>'Grid_Requirement'!AJ6</f>
        <v/>
      </c>
      <c r="AM76">
        <f>'Grid_Requirement'!AK6</f>
        <v/>
      </c>
      <c r="AN76">
        <f>'Grid_Requirement'!AL6</f>
        <v/>
      </c>
      <c r="AO76">
        <f>'Grid_Requirement'!AM6</f>
        <v/>
      </c>
      <c r="AP76">
        <f>'Grid_Requirement'!AN6</f>
        <v/>
      </c>
      <c r="AQ76">
        <f>'Grid_Requirement'!AO6</f>
        <v/>
      </c>
      <c r="AR76">
        <f>'Grid_Requirement'!AP6</f>
        <v/>
      </c>
      <c r="AS76">
        <f>'Grid_Requirement'!AQ6</f>
        <v/>
      </c>
      <c r="AT76">
        <f>'Grid_Requirement'!AR6</f>
        <v/>
      </c>
      <c r="AU76">
        <f>'Grid_Requirement'!AS6</f>
        <v/>
      </c>
      <c r="AV76">
        <f>'Grid_Requirement'!AT6</f>
        <v/>
      </c>
      <c r="AW76">
        <f>'Grid_Requirement'!AU6</f>
        <v/>
      </c>
      <c r="AX76">
        <f>'Grid_Requirement'!AV6</f>
        <v/>
      </c>
      <c r="AY76">
        <f>'Grid_Requirement'!AW6</f>
        <v/>
      </c>
      <c r="AZ76">
        <f>'Grid_Requirement'!AX6</f>
        <v/>
      </c>
      <c r="BA76">
        <f>'Grid_Requirement'!AY6</f>
        <v/>
      </c>
      <c r="BB76">
        <f>'Grid_Requirement'!AZ6</f>
        <v/>
      </c>
      <c r="BC76">
        <f>'Grid_Requirement'!BA6</f>
        <v/>
      </c>
      <c r="BD76">
        <f>'Grid_Requirement'!BB6</f>
        <v/>
      </c>
      <c r="BE76">
        <f>'Grid_Requirement'!BC6</f>
        <v/>
      </c>
      <c r="BF76">
        <f>'Grid_Requirement'!BD6</f>
        <v/>
      </c>
      <c r="BG76">
        <f>'Grid_Requirement'!BE6</f>
        <v/>
      </c>
      <c r="BH76">
        <f>'Grid_Requirement'!BF6</f>
        <v/>
      </c>
      <c r="BI76">
        <f>'Grid_Requirement'!BG6</f>
        <v/>
      </c>
      <c r="BJ76">
        <f>'Grid_Requirement'!BH6</f>
        <v/>
      </c>
      <c r="BK76">
        <f>'Grid_Requirement'!BI6</f>
        <v/>
      </c>
      <c r="BL76">
        <f>'Grid_Requirement'!BJ6</f>
        <v/>
      </c>
      <c r="BM76">
        <f>'Grid_Requirement'!BK6</f>
        <v/>
      </c>
      <c r="BN76">
        <f>'Grid_Requirement'!BL6</f>
        <v/>
      </c>
      <c r="BO76">
        <f>'Grid_Requirement'!BM6</f>
        <v/>
      </c>
      <c r="BP76">
        <f>'Grid_Requirement'!BN6</f>
        <v/>
      </c>
      <c r="BQ76">
        <f>'Grid_Requirement'!BO6</f>
        <v/>
      </c>
      <c r="BR76">
        <f>'Grid_Requirement'!BP6</f>
        <v/>
      </c>
      <c r="BS76">
        <f>'Grid_Requirement'!BQ6</f>
        <v/>
      </c>
      <c r="BT76">
        <f>'Grid_Requirement'!BR6</f>
        <v/>
      </c>
      <c r="BU76">
        <f>'Grid_Requirement'!BS6</f>
        <v/>
      </c>
      <c r="BV76">
        <f>'Grid_Requirement'!BT6</f>
        <v/>
      </c>
      <c r="BW76">
        <f>'Grid_Requirement'!BU6</f>
        <v/>
      </c>
      <c r="BX76">
        <f>'Grid_Requirement'!BV6</f>
        <v/>
      </c>
      <c r="BY76">
        <f>'Grid_Requirement'!BW6</f>
        <v/>
      </c>
      <c r="BZ76">
        <f>'Grid_Requirement'!BX6</f>
        <v/>
      </c>
      <c r="CA76">
        <f>'Grid_Requirement'!BY6</f>
        <v/>
      </c>
      <c r="CB76">
        <f>'Grid_Requirement'!BZ6</f>
        <v/>
      </c>
      <c r="CC76">
        <f>'Grid_Requirement'!CA6</f>
        <v/>
      </c>
      <c r="CD76">
        <f>'Grid_Requirement'!CB6</f>
        <v/>
      </c>
      <c r="CE76">
        <f>'Grid_Requirement'!CC6</f>
        <v/>
      </c>
      <c r="CF76">
        <f>'Grid_Requirement'!CD6</f>
        <v/>
      </c>
      <c r="CG76">
        <f>'Grid_Requirement'!CE6</f>
        <v/>
      </c>
      <c r="CH76">
        <f>'Grid_Requirement'!CF6</f>
        <v/>
      </c>
      <c r="CI76">
        <f>'Grid_Requirement'!CG6</f>
        <v/>
      </c>
      <c r="CJ76">
        <f>'Grid_Requirement'!CH6</f>
        <v/>
      </c>
      <c r="CK76">
        <f>'Grid_Requirement'!CI6</f>
        <v/>
      </c>
      <c r="CL76">
        <f>'Grid_Requirement'!CJ6</f>
        <v/>
      </c>
      <c r="CM76">
        <f>'Grid_Requirement'!CK6</f>
        <v/>
      </c>
      <c r="CN76">
        <f>'Grid_Requirement'!CL6</f>
        <v/>
      </c>
      <c r="CO76">
        <f>'Grid_Requirement'!CM6</f>
        <v/>
      </c>
      <c r="CP76">
        <f>'Grid_Requirement'!CN6</f>
        <v/>
      </c>
      <c r="CQ76">
        <f>'Grid_Requirement'!CO6</f>
        <v/>
      </c>
      <c r="CR76">
        <f>'Grid_Requirement'!CP6</f>
        <v/>
      </c>
      <c r="CS76">
        <f>'Grid_Requirement'!CQ6</f>
        <v/>
      </c>
      <c r="CT76">
        <f>'Grid_Requirement'!CR6</f>
        <v/>
      </c>
      <c r="CU76">
        <f>'Grid_Requirement'!CS6</f>
        <v/>
      </c>
      <c r="CV76">
        <f>'Grid_Requirement'!CT6</f>
        <v/>
      </c>
      <c r="CW76">
        <f>'Grid_Requirement'!CU6</f>
        <v/>
      </c>
      <c r="CX76">
        <f>'Grid_Requirement'!CV6</f>
        <v/>
      </c>
      <c r="CY76">
        <f>'Grid_Requirement'!CW6</f>
        <v/>
      </c>
      <c r="CZ76">
        <f>'Grid_Requirement'!CX6</f>
        <v/>
      </c>
      <c r="DA76">
        <f>'Grid_Requirement'!CY6</f>
        <v/>
      </c>
      <c r="DB76">
        <f>'Grid_Requirement'!CZ6</f>
        <v/>
      </c>
      <c r="DC76">
        <f>'Grid_Requirement'!DA6</f>
        <v/>
      </c>
    </row>
    <row r="77">
      <c r="B77" t="inlineStr">
        <is>
          <t>TTAF在庫(実績,kg)</t>
        </is>
      </c>
      <c r="D77">
        <f>'T_TTAFStock'!B10</f>
        <v/>
      </c>
      <c r="E77">
        <f>'T_TTAFStock'!C10</f>
        <v/>
      </c>
      <c r="F77">
        <f>'T_TTAFStock'!D10</f>
        <v/>
      </c>
      <c r="G77">
        <f>'T_TTAFStock'!E10</f>
        <v/>
      </c>
      <c r="H77">
        <f>'T_TTAFStock'!F10</f>
        <v/>
      </c>
      <c r="I77">
        <f>'T_TTAFStock'!G10</f>
        <v/>
      </c>
      <c r="J77">
        <f>'T_TTAFStock'!H10</f>
        <v/>
      </c>
      <c r="K77">
        <f>'T_TTAFStock'!I10</f>
        <v/>
      </c>
      <c r="L77">
        <f>'T_TTAFStock'!J10</f>
        <v/>
      </c>
      <c r="M77">
        <f>'T_TTAFStock'!K10</f>
        <v/>
      </c>
      <c r="N77">
        <f>'T_TTAFStock'!L10</f>
        <v/>
      </c>
      <c r="O77">
        <f>'T_TTAFStock'!M10</f>
        <v/>
      </c>
      <c r="P77">
        <f>'T_TTAFStock'!N10</f>
        <v/>
      </c>
      <c r="Q77">
        <f>'T_TTAFStock'!O10</f>
        <v/>
      </c>
      <c r="R77">
        <f>'T_TTAFStock'!P10</f>
        <v/>
      </c>
      <c r="S77">
        <f>'T_TTAFStock'!Q10</f>
        <v/>
      </c>
      <c r="T77">
        <f>'T_TTAFStock'!R10</f>
        <v/>
      </c>
      <c r="U77">
        <f>'T_TTAFStock'!S10</f>
        <v/>
      </c>
      <c r="V77">
        <f>'T_TTAFStock'!T10</f>
        <v/>
      </c>
      <c r="W77">
        <f>'T_TTAFStock'!U10</f>
        <v/>
      </c>
      <c r="X77">
        <f>'T_TTAFStock'!V10</f>
        <v/>
      </c>
      <c r="Y77">
        <f>'T_TTAFStock'!W10</f>
        <v/>
      </c>
      <c r="Z77">
        <f>'T_TTAFStock'!X10</f>
        <v/>
      </c>
      <c r="AA77">
        <f>'T_TTAFStock'!Y10</f>
        <v/>
      </c>
      <c r="AB77">
        <f>'T_TTAFStock'!Z10</f>
        <v/>
      </c>
      <c r="AC77">
        <f>'T_TTAFStock'!AA10</f>
        <v/>
      </c>
      <c r="AD77">
        <f>'T_TTAFStock'!AB10</f>
        <v/>
      </c>
      <c r="AE77">
        <f>'T_TTAFStock'!AC10</f>
        <v/>
      </c>
      <c r="AF77">
        <f>'T_TTAFStock'!AD10</f>
        <v/>
      </c>
      <c r="AG77">
        <f>'T_TTAFStock'!AE10</f>
        <v/>
      </c>
      <c r="AH77">
        <f>'T_TTAFStock'!AF10</f>
        <v/>
      </c>
      <c r="AI77">
        <f>'T_TTAFStock'!AG10</f>
        <v/>
      </c>
      <c r="AJ77">
        <f>'T_TTAFStock'!AH10</f>
        <v/>
      </c>
      <c r="AK77">
        <f>'T_TTAFStock'!AI10</f>
        <v/>
      </c>
      <c r="AL77">
        <f>'T_TTAFStock'!AJ10</f>
        <v/>
      </c>
      <c r="AM77">
        <f>'T_TTAFStock'!AK10</f>
        <v/>
      </c>
      <c r="AN77">
        <f>'T_TTAFStock'!AL10</f>
        <v/>
      </c>
      <c r="AO77">
        <f>'T_TTAFStock'!AM10</f>
        <v/>
      </c>
      <c r="AP77">
        <f>'T_TTAFStock'!AN10</f>
        <v/>
      </c>
      <c r="AQ77">
        <f>'T_TTAFStock'!AO10</f>
        <v/>
      </c>
      <c r="AR77">
        <f>'T_TTAFStock'!AP10</f>
        <v/>
      </c>
      <c r="AS77">
        <f>'T_TTAFStock'!AQ10</f>
        <v/>
      </c>
      <c r="AT77">
        <f>'T_TTAFStock'!AR10</f>
        <v/>
      </c>
      <c r="AU77">
        <f>'T_TTAFStock'!AS10</f>
        <v/>
      </c>
      <c r="AV77">
        <f>'T_TTAFStock'!AT10</f>
        <v/>
      </c>
      <c r="AW77">
        <f>'T_TTAFStock'!AU10</f>
        <v/>
      </c>
      <c r="AX77">
        <f>'T_TTAFStock'!AV10</f>
        <v/>
      </c>
      <c r="AY77">
        <f>'T_TTAFStock'!AW10</f>
        <v/>
      </c>
      <c r="AZ77">
        <f>'T_TTAFStock'!AX10</f>
        <v/>
      </c>
      <c r="BA77">
        <f>'T_TTAFStock'!AY10</f>
        <v/>
      </c>
      <c r="BB77">
        <f>'T_TTAFStock'!AZ10</f>
        <v/>
      </c>
      <c r="BC77">
        <f>'T_TTAFStock'!BA10</f>
        <v/>
      </c>
      <c r="BD77">
        <f>'T_TTAFStock'!BB10</f>
        <v/>
      </c>
      <c r="BE77">
        <f>'T_TTAFStock'!BC10</f>
        <v/>
      </c>
      <c r="BF77">
        <f>'T_TTAFStock'!BD10</f>
        <v/>
      </c>
      <c r="BG77">
        <f>'T_TTAFStock'!BE10</f>
        <v/>
      </c>
      <c r="BH77">
        <f>'T_TTAFStock'!BF10</f>
        <v/>
      </c>
      <c r="BI77">
        <f>'T_TTAFStock'!BG10</f>
        <v/>
      </c>
      <c r="BJ77">
        <f>'T_TTAFStock'!BH10</f>
        <v/>
      </c>
      <c r="BK77">
        <f>'T_TTAFStock'!BI10</f>
        <v/>
      </c>
      <c r="BL77">
        <f>'T_TTAFStock'!BJ10</f>
        <v/>
      </c>
      <c r="BM77">
        <f>'T_TTAFStock'!BK10</f>
        <v/>
      </c>
      <c r="BN77">
        <f>'T_TTAFStock'!BL10</f>
        <v/>
      </c>
      <c r="BO77">
        <f>'T_TTAFStock'!BM10</f>
        <v/>
      </c>
      <c r="BP77">
        <f>'T_TTAFStock'!BN10</f>
        <v/>
      </c>
      <c r="BQ77">
        <f>'T_TTAFStock'!BO10</f>
        <v/>
      </c>
      <c r="BR77">
        <f>'T_TTAFStock'!BP10</f>
        <v/>
      </c>
      <c r="BS77">
        <f>'T_TTAFStock'!BQ10</f>
        <v/>
      </c>
      <c r="BT77">
        <f>'T_TTAFStock'!BR10</f>
        <v/>
      </c>
      <c r="BU77">
        <f>'T_TTAFStock'!BS10</f>
        <v/>
      </c>
      <c r="BV77">
        <f>'T_TTAFStock'!BT10</f>
        <v/>
      </c>
      <c r="BW77">
        <f>'T_TTAFStock'!BU10</f>
        <v/>
      </c>
      <c r="BX77">
        <f>'T_TTAFStock'!BV10</f>
        <v/>
      </c>
      <c r="BY77">
        <f>'T_TTAFStock'!BW10</f>
        <v/>
      </c>
      <c r="BZ77">
        <f>'T_TTAFStock'!BX10</f>
        <v/>
      </c>
      <c r="CA77">
        <f>'T_TTAFStock'!BY10</f>
        <v/>
      </c>
      <c r="CB77">
        <f>'T_TTAFStock'!BZ10</f>
        <v/>
      </c>
      <c r="CC77">
        <f>'T_TTAFStock'!CA10</f>
        <v/>
      </c>
      <c r="CD77">
        <f>'T_TTAFStock'!CB10</f>
        <v/>
      </c>
      <c r="CE77">
        <f>'T_TTAFStock'!CC10</f>
        <v/>
      </c>
      <c r="CF77">
        <f>'T_TTAFStock'!CD10</f>
        <v/>
      </c>
      <c r="CG77">
        <f>'T_TTAFStock'!CE10</f>
        <v/>
      </c>
      <c r="CH77">
        <f>'T_TTAFStock'!CF10</f>
        <v/>
      </c>
      <c r="CI77">
        <f>'T_TTAFStock'!CG10</f>
        <v/>
      </c>
      <c r="CJ77">
        <f>'T_TTAFStock'!CH10</f>
        <v/>
      </c>
      <c r="CK77">
        <f>'T_TTAFStock'!CI10</f>
        <v/>
      </c>
      <c r="CL77">
        <f>'T_TTAFStock'!CJ10</f>
        <v/>
      </c>
      <c r="CM77">
        <f>'T_TTAFStock'!CK10</f>
        <v/>
      </c>
      <c r="CN77">
        <f>'T_TTAFStock'!CL10</f>
        <v/>
      </c>
      <c r="CO77">
        <f>'T_TTAFStock'!CM10</f>
        <v/>
      </c>
      <c r="CP77">
        <f>'T_TTAFStock'!CN10</f>
        <v/>
      </c>
      <c r="CQ77">
        <f>'T_TTAFStock'!CO10</f>
        <v/>
      </c>
      <c r="CR77">
        <f>'T_TTAFStock'!CP10</f>
        <v/>
      </c>
      <c r="CS77">
        <f>'T_TTAFStock'!CQ10</f>
        <v/>
      </c>
      <c r="CT77">
        <f>'T_TTAFStock'!CR10</f>
        <v/>
      </c>
      <c r="CU77">
        <f>'T_TTAFStock'!CS10</f>
        <v/>
      </c>
      <c r="CV77">
        <f>'T_TTAFStock'!CT10</f>
        <v/>
      </c>
      <c r="CW77">
        <f>'T_TTAFStock'!CU10</f>
        <v/>
      </c>
      <c r="CX77">
        <f>'T_TTAFStock'!CV10</f>
        <v/>
      </c>
      <c r="CY77">
        <f>'T_TTAFStock'!CW10</f>
        <v/>
      </c>
      <c r="CZ77">
        <f>'T_TTAFStock'!CX10</f>
        <v/>
      </c>
      <c r="DA77">
        <f>'T_TTAFStock'!CY10</f>
        <v/>
      </c>
      <c r="DB77">
        <f>'T_TTAFStock'!CZ10</f>
        <v/>
      </c>
      <c r="DC77">
        <f>'T_TTAFStock'!DA10</f>
        <v/>
      </c>
    </row>
    <row r="78">
      <c r="B78" t="inlineStr">
        <is>
          <t>自社在庫(実績,kg)</t>
        </is>
      </c>
      <c r="D78">
        <f>'T_SelfStock'!B10</f>
        <v/>
      </c>
      <c r="E78">
        <f>'T_SelfStock'!C10</f>
        <v/>
      </c>
      <c r="F78">
        <f>'T_SelfStock'!D10</f>
        <v/>
      </c>
      <c r="G78">
        <f>'T_SelfStock'!E10</f>
        <v/>
      </c>
      <c r="H78">
        <f>'T_SelfStock'!F10</f>
        <v/>
      </c>
      <c r="I78">
        <f>'T_SelfStock'!G10</f>
        <v/>
      </c>
      <c r="J78">
        <f>'T_SelfStock'!H10</f>
        <v/>
      </c>
      <c r="K78">
        <f>'T_SelfStock'!I10</f>
        <v/>
      </c>
      <c r="L78">
        <f>'T_SelfStock'!J10</f>
        <v/>
      </c>
      <c r="M78">
        <f>'T_SelfStock'!K10</f>
        <v/>
      </c>
      <c r="N78">
        <f>'T_SelfStock'!L10</f>
        <v/>
      </c>
      <c r="O78">
        <f>'T_SelfStock'!M10</f>
        <v/>
      </c>
      <c r="P78">
        <f>'T_SelfStock'!N10</f>
        <v/>
      </c>
      <c r="Q78">
        <f>'T_SelfStock'!O10</f>
        <v/>
      </c>
      <c r="R78">
        <f>'T_SelfStock'!P10</f>
        <v/>
      </c>
      <c r="S78">
        <f>'T_SelfStock'!Q10</f>
        <v/>
      </c>
      <c r="T78">
        <f>'T_SelfStock'!R10</f>
        <v/>
      </c>
      <c r="U78">
        <f>'T_SelfStock'!S10</f>
        <v/>
      </c>
      <c r="V78">
        <f>'T_SelfStock'!T10</f>
        <v/>
      </c>
      <c r="W78">
        <f>'T_SelfStock'!U10</f>
        <v/>
      </c>
      <c r="X78">
        <f>'T_SelfStock'!V10</f>
        <v/>
      </c>
      <c r="Y78">
        <f>'T_SelfStock'!W10</f>
        <v/>
      </c>
      <c r="Z78">
        <f>'T_SelfStock'!X10</f>
        <v/>
      </c>
      <c r="AA78">
        <f>'T_SelfStock'!Y10</f>
        <v/>
      </c>
      <c r="AB78">
        <f>'T_SelfStock'!Z10</f>
        <v/>
      </c>
      <c r="AC78">
        <f>'T_SelfStock'!AA10</f>
        <v/>
      </c>
      <c r="AD78">
        <f>'T_SelfStock'!AB10</f>
        <v/>
      </c>
      <c r="AE78">
        <f>'T_SelfStock'!AC10</f>
        <v/>
      </c>
      <c r="AF78">
        <f>'T_SelfStock'!AD10</f>
        <v/>
      </c>
      <c r="AG78">
        <f>'T_SelfStock'!AE10</f>
        <v/>
      </c>
      <c r="AH78">
        <f>'T_SelfStock'!AF10</f>
        <v/>
      </c>
      <c r="AI78">
        <f>'T_SelfStock'!AG10</f>
        <v/>
      </c>
      <c r="AJ78">
        <f>'T_SelfStock'!AH10</f>
        <v/>
      </c>
      <c r="AK78">
        <f>'T_SelfStock'!AI10</f>
        <v/>
      </c>
      <c r="AL78">
        <f>'T_SelfStock'!AJ10</f>
        <v/>
      </c>
      <c r="AM78">
        <f>'T_SelfStock'!AK10</f>
        <v/>
      </c>
      <c r="AN78">
        <f>'T_SelfStock'!AL10</f>
        <v/>
      </c>
      <c r="AO78">
        <f>'T_SelfStock'!AM10</f>
        <v/>
      </c>
      <c r="AP78">
        <f>'T_SelfStock'!AN10</f>
        <v/>
      </c>
      <c r="AQ78">
        <f>'T_SelfStock'!AO10</f>
        <v/>
      </c>
      <c r="AR78">
        <f>'T_SelfStock'!AP10</f>
        <v/>
      </c>
      <c r="AS78">
        <f>'T_SelfStock'!AQ10</f>
        <v/>
      </c>
      <c r="AT78">
        <f>'T_SelfStock'!AR10</f>
        <v/>
      </c>
      <c r="AU78">
        <f>'T_SelfStock'!AS10</f>
        <v/>
      </c>
      <c r="AV78">
        <f>'T_SelfStock'!AT10</f>
        <v/>
      </c>
      <c r="AW78">
        <f>'T_SelfStock'!AU10</f>
        <v/>
      </c>
      <c r="AX78">
        <f>'T_SelfStock'!AV10</f>
        <v/>
      </c>
      <c r="AY78">
        <f>'T_SelfStock'!AW10</f>
        <v/>
      </c>
      <c r="AZ78">
        <f>'T_SelfStock'!AX10</f>
        <v/>
      </c>
      <c r="BA78">
        <f>'T_SelfStock'!AY10</f>
        <v/>
      </c>
      <c r="BB78">
        <f>'T_SelfStock'!AZ10</f>
        <v/>
      </c>
      <c r="BC78">
        <f>'T_SelfStock'!BA10</f>
        <v/>
      </c>
      <c r="BD78">
        <f>'T_SelfStock'!BB10</f>
        <v/>
      </c>
      <c r="BE78">
        <f>'T_SelfStock'!BC10</f>
        <v/>
      </c>
      <c r="BF78">
        <f>'T_SelfStock'!BD10</f>
        <v/>
      </c>
      <c r="BG78">
        <f>'T_SelfStock'!BE10</f>
        <v/>
      </c>
      <c r="BH78">
        <f>'T_SelfStock'!BF10</f>
        <v/>
      </c>
      <c r="BI78">
        <f>'T_SelfStock'!BG10</f>
        <v/>
      </c>
      <c r="BJ78">
        <f>'T_SelfStock'!BH10</f>
        <v/>
      </c>
      <c r="BK78">
        <f>'T_SelfStock'!BI10</f>
        <v/>
      </c>
      <c r="BL78">
        <f>'T_SelfStock'!BJ10</f>
        <v/>
      </c>
      <c r="BM78">
        <f>'T_SelfStock'!BK10</f>
        <v/>
      </c>
      <c r="BN78">
        <f>'T_SelfStock'!BL10</f>
        <v/>
      </c>
      <c r="BO78">
        <f>'T_SelfStock'!BM10</f>
        <v/>
      </c>
      <c r="BP78">
        <f>'T_SelfStock'!BN10</f>
        <v/>
      </c>
      <c r="BQ78">
        <f>'T_SelfStock'!BO10</f>
        <v/>
      </c>
      <c r="BR78">
        <f>'T_SelfStock'!BP10</f>
        <v/>
      </c>
      <c r="BS78">
        <f>'T_SelfStock'!BQ10</f>
        <v/>
      </c>
      <c r="BT78">
        <f>'T_SelfStock'!BR10</f>
        <v/>
      </c>
      <c r="BU78">
        <f>'T_SelfStock'!BS10</f>
        <v/>
      </c>
      <c r="BV78">
        <f>'T_SelfStock'!BT10</f>
        <v/>
      </c>
      <c r="BW78">
        <f>'T_SelfStock'!BU10</f>
        <v/>
      </c>
      <c r="BX78">
        <f>'T_SelfStock'!BV10</f>
        <v/>
      </c>
      <c r="BY78">
        <f>'T_SelfStock'!BW10</f>
        <v/>
      </c>
      <c r="BZ78">
        <f>'T_SelfStock'!BX10</f>
        <v/>
      </c>
      <c r="CA78">
        <f>'T_SelfStock'!BY10</f>
        <v/>
      </c>
      <c r="CB78">
        <f>'T_SelfStock'!BZ10</f>
        <v/>
      </c>
      <c r="CC78">
        <f>'T_SelfStock'!CA10</f>
        <v/>
      </c>
      <c r="CD78">
        <f>'T_SelfStock'!CB10</f>
        <v/>
      </c>
      <c r="CE78">
        <f>'T_SelfStock'!CC10</f>
        <v/>
      </c>
      <c r="CF78">
        <f>'T_SelfStock'!CD10</f>
        <v/>
      </c>
      <c r="CG78">
        <f>'T_SelfStock'!CE10</f>
        <v/>
      </c>
      <c r="CH78">
        <f>'T_SelfStock'!CF10</f>
        <v/>
      </c>
      <c r="CI78">
        <f>'T_SelfStock'!CG10</f>
        <v/>
      </c>
      <c r="CJ78">
        <f>'T_SelfStock'!CH10</f>
        <v/>
      </c>
      <c r="CK78">
        <f>'T_SelfStock'!CI10</f>
        <v/>
      </c>
      <c r="CL78">
        <f>'T_SelfStock'!CJ10</f>
        <v/>
      </c>
      <c r="CM78">
        <f>'T_SelfStock'!CK10</f>
        <v/>
      </c>
      <c r="CN78">
        <f>'T_SelfStock'!CL10</f>
        <v/>
      </c>
      <c r="CO78">
        <f>'T_SelfStock'!CM10</f>
        <v/>
      </c>
      <c r="CP78">
        <f>'T_SelfStock'!CN10</f>
        <v/>
      </c>
      <c r="CQ78">
        <f>'T_SelfStock'!CO10</f>
        <v/>
      </c>
      <c r="CR78">
        <f>'T_SelfStock'!CP10</f>
        <v/>
      </c>
      <c r="CS78">
        <f>'T_SelfStock'!CQ10</f>
        <v/>
      </c>
      <c r="CT78">
        <f>'T_SelfStock'!CR10</f>
        <v/>
      </c>
      <c r="CU78">
        <f>'T_SelfStock'!CS10</f>
        <v/>
      </c>
      <c r="CV78">
        <f>'T_SelfStock'!CT10</f>
        <v/>
      </c>
      <c r="CW78">
        <f>'T_SelfStock'!CU10</f>
        <v/>
      </c>
      <c r="CX78">
        <f>'T_SelfStock'!CV10</f>
        <v/>
      </c>
      <c r="CY78">
        <f>'T_SelfStock'!CW10</f>
        <v/>
      </c>
      <c r="CZ78">
        <f>'T_SelfStock'!CX10</f>
        <v/>
      </c>
      <c r="DA78">
        <f>'T_SelfStock'!CY10</f>
        <v/>
      </c>
      <c r="DB78">
        <f>'T_SelfStock'!CZ10</f>
        <v/>
      </c>
      <c r="DC78">
        <f>'T_SelfStock'!DA10</f>
        <v/>
      </c>
    </row>
    <row r="79">
      <c r="B79" t="inlineStr">
        <is>
          <t>Order(発注予定,kg)</t>
        </is>
      </c>
      <c r="D79">
        <f>IF(SUMIFS(T_PlannedOrders[EffectiveQty],T_PlannedOrders[Part Name],$A65,T_PlannedOrders[WeekIndex],1)=0,"",SUMIFS(T_PlannedOrders[EffectiveQty],T_PlannedOrders[Part Name],$A65,T_PlannedOrders[WeekIndex],1)&amp;" ("&amp;TEXT(SUMPRODUCT(MAX((T_PlannedOrders[Part Name]=$A65)*(T_PlannedOrders[WeekIndex]=1)*(T_PlannedOrders[EffectiveQty]&gt;0)*T_PlannedOrders[Order_Month])),"m月")&amp;"発注)")</f>
        <v/>
      </c>
      <c r="E79">
        <f>IF(SUMIFS(T_PlannedOrders[EffectiveQty],T_PlannedOrders[Part Name],$A65,T_PlannedOrders[WeekIndex],2)=0,"",SUMIFS(T_PlannedOrders[EffectiveQty],T_PlannedOrders[Part Name],$A65,T_PlannedOrders[WeekIndex],2)&amp;" ("&amp;TEXT(SUMPRODUCT(MAX((T_PlannedOrders[Part Name]=$A65)*(T_PlannedOrders[WeekIndex]=2)*(T_PlannedOrders[EffectiveQty]&gt;0)*T_PlannedOrders[Order_Month])),"m月")&amp;"発注)")</f>
        <v/>
      </c>
      <c r="F79">
        <f>IF(SUMIFS(T_PlannedOrders[EffectiveQty],T_PlannedOrders[Part Name],$A65,T_PlannedOrders[WeekIndex],3)=0,"",SUMIFS(T_PlannedOrders[EffectiveQty],T_PlannedOrders[Part Name],$A65,T_PlannedOrders[WeekIndex],3)&amp;" ("&amp;TEXT(SUMPRODUCT(MAX((T_PlannedOrders[Part Name]=$A65)*(T_PlannedOrders[WeekIndex]=3)*(T_PlannedOrders[EffectiveQty]&gt;0)*T_PlannedOrders[Order_Month])),"m月")&amp;"発注)")</f>
        <v/>
      </c>
      <c r="G79">
        <f>IF(SUMIFS(T_PlannedOrders[EffectiveQty],T_PlannedOrders[Part Name],$A65,T_PlannedOrders[WeekIndex],4)=0,"",SUMIFS(T_PlannedOrders[EffectiveQty],T_PlannedOrders[Part Name],$A65,T_PlannedOrders[WeekIndex],4)&amp;" ("&amp;TEXT(SUMPRODUCT(MAX((T_PlannedOrders[Part Name]=$A65)*(T_PlannedOrders[WeekIndex]=4)*(T_PlannedOrders[EffectiveQty]&gt;0)*T_PlannedOrders[Order_Month])),"m月")&amp;"発注)")</f>
        <v/>
      </c>
      <c r="H79">
        <f>IF(SUMIFS(T_PlannedOrders[EffectiveQty],T_PlannedOrders[Part Name],$A65,T_PlannedOrders[WeekIndex],5)=0,"",SUMIFS(T_PlannedOrders[EffectiveQty],T_PlannedOrders[Part Name],$A65,T_PlannedOrders[WeekIndex],5)&amp;" ("&amp;TEXT(SUMPRODUCT(MAX((T_PlannedOrders[Part Name]=$A65)*(T_PlannedOrders[WeekIndex]=5)*(T_PlannedOrders[EffectiveQty]&gt;0)*T_PlannedOrders[Order_Month])),"m月")&amp;"発注)")</f>
        <v/>
      </c>
      <c r="I79">
        <f>IF(SUMIFS(T_PlannedOrders[EffectiveQty],T_PlannedOrders[Part Name],$A65,T_PlannedOrders[WeekIndex],6)=0,"",SUMIFS(T_PlannedOrders[EffectiveQty],T_PlannedOrders[Part Name],$A65,T_PlannedOrders[WeekIndex],6)&amp;" ("&amp;TEXT(SUMPRODUCT(MAX((T_PlannedOrders[Part Name]=$A65)*(T_PlannedOrders[WeekIndex]=6)*(T_PlannedOrders[EffectiveQty]&gt;0)*T_PlannedOrders[Order_Month])),"m月")&amp;"発注)")</f>
        <v/>
      </c>
      <c r="J79">
        <f>IF(SUMIFS(T_PlannedOrders[EffectiveQty],T_PlannedOrders[Part Name],$A65,T_PlannedOrders[WeekIndex],7)=0,"",SUMIFS(T_PlannedOrders[EffectiveQty],T_PlannedOrders[Part Name],$A65,T_PlannedOrders[WeekIndex],7)&amp;" ("&amp;TEXT(SUMPRODUCT(MAX((T_PlannedOrders[Part Name]=$A65)*(T_PlannedOrders[WeekIndex]=7)*(T_PlannedOrders[EffectiveQty]&gt;0)*T_PlannedOrders[Order_Month])),"m月")&amp;"発注)")</f>
        <v/>
      </c>
      <c r="K79">
        <f>IF(SUMIFS(T_PlannedOrders[EffectiveQty],T_PlannedOrders[Part Name],$A65,T_PlannedOrders[WeekIndex],8)=0,"",SUMIFS(T_PlannedOrders[EffectiveQty],T_PlannedOrders[Part Name],$A65,T_PlannedOrders[WeekIndex],8)&amp;" ("&amp;TEXT(SUMPRODUCT(MAX((T_PlannedOrders[Part Name]=$A65)*(T_PlannedOrders[WeekIndex]=8)*(T_PlannedOrders[EffectiveQty]&gt;0)*T_PlannedOrders[Order_Month])),"m月")&amp;"発注)")</f>
        <v/>
      </c>
      <c r="L79">
        <f>IF(SUMIFS(T_PlannedOrders[EffectiveQty],T_PlannedOrders[Part Name],$A65,T_PlannedOrders[WeekIndex],9)=0,"",SUMIFS(T_PlannedOrders[EffectiveQty],T_PlannedOrders[Part Name],$A65,T_PlannedOrders[WeekIndex],9)&amp;" ("&amp;TEXT(SUMPRODUCT(MAX((T_PlannedOrders[Part Name]=$A65)*(T_PlannedOrders[WeekIndex]=9)*(T_PlannedOrders[EffectiveQty]&gt;0)*T_PlannedOrders[Order_Month])),"m月")&amp;"発注)")</f>
        <v/>
      </c>
      <c r="M79">
        <f>IF(SUMIFS(T_PlannedOrders[EffectiveQty],T_PlannedOrders[Part Name],$A65,T_PlannedOrders[WeekIndex],10)=0,"",SUMIFS(T_PlannedOrders[EffectiveQty],T_PlannedOrders[Part Name],$A65,T_PlannedOrders[WeekIndex],10)&amp;" ("&amp;TEXT(SUMPRODUCT(MAX((T_PlannedOrders[Part Name]=$A65)*(T_PlannedOrders[WeekIndex]=10)*(T_PlannedOrders[EffectiveQty]&gt;0)*T_PlannedOrders[Order_Month])),"m月")&amp;"発注)")</f>
        <v/>
      </c>
      <c r="N79">
        <f>IF(SUMIFS(T_PlannedOrders[EffectiveQty],T_PlannedOrders[Part Name],$A65,T_PlannedOrders[WeekIndex],11)=0,"",SUMIFS(T_PlannedOrders[EffectiveQty],T_PlannedOrders[Part Name],$A65,T_PlannedOrders[WeekIndex],11)&amp;" ("&amp;TEXT(SUMPRODUCT(MAX((T_PlannedOrders[Part Name]=$A65)*(T_PlannedOrders[WeekIndex]=11)*(T_PlannedOrders[EffectiveQty]&gt;0)*T_PlannedOrders[Order_Month])),"m月")&amp;"発注)")</f>
        <v/>
      </c>
      <c r="O79">
        <f>IF(SUMIFS(T_PlannedOrders[EffectiveQty],T_PlannedOrders[Part Name],$A65,T_PlannedOrders[WeekIndex],12)=0,"",SUMIFS(T_PlannedOrders[EffectiveQty],T_PlannedOrders[Part Name],$A65,T_PlannedOrders[WeekIndex],12)&amp;" ("&amp;TEXT(SUMPRODUCT(MAX((T_PlannedOrders[Part Name]=$A65)*(T_PlannedOrders[WeekIndex]=12)*(T_PlannedOrders[EffectiveQty]&gt;0)*T_PlannedOrders[Order_Month])),"m月")&amp;"発注)")</f>
        <v/>
      </c>
      <c r="P79">
        <f>IF(SUMIFS(T_PlannedOrders[EffectiveQty],T_PlannedOrders[Part Name],$A65,T_PlannedOrders[WeekIndex],13)=0,"",SUMIFS(T_PlannedOrders[EffectiveQty],T_PlannedOrders[Part Name],$A65,T_PlannedOrders[WeekIndex],13)&amp;" ("&amp;TEXT(SUMPRODUCT(MAX((T_PlannedOrders[Part Name]=$A65)*(T_PlannedOrders[WeekIndex]=13)*(T_PlannedOrders[EffectiveQty]&gt;0)*T_PlannedOrders[Order_Month])),"m月")&amp;"発注)")</f>
        <v/>
      </c>
      <c r="Q79">
        <f>IF(SUMIFS(T_PlannedOrders[EffectiveQty],T_PlannedOrders[Part Name],$A65,T_PlannedOrders[WeekIndex],14)=0,"",SUMIFS(T_PlannedOrders[EffectiveQty],T_PlannedOrders[Part Name],$A65,T_PlannedOrders[WeekIndex],14)&amp;" ("&amp;TEXT(SUMPRODUCT(MAX((T_PlannedOrders[Part Name]=$A65)*(T_PlannedOrders[WeekIndex]=14)*(T_PlannedOrders[EffectiveQty]&gt;0)*T_PlannedOrders[Order_Month])),"m月")&amp;"発注)")</f>
        <v/>
      </c>
      <c r="R79">
        <f>IF(SUMIFS(T_PlannedOrders[EffectiveQty],T_PlannedOrders[Part Name],$A65,T_PlannedOrders[WeekIndex],15)=0,"",SUMIFS(T_PlannedOrders[EffectiveQty],T_PlannedOrders[Part Name],$A65,T_PlannedOrders[WeekIndex],15)&amp;" ("&amp;TEXT(SUMPRODUCT(MAX((T_PlannedOrders[Part Name]=$A65)*(T_PlannedOrders[WeekIndex]=15)*(T_PlannedOrders[EffectiveQty]&gt;0)*T_PlannedOrders[Order_Month])),"m月")&amp;"発注)")</f>
        <v/>
      </c>
      <c r="S79">
        <f>IF(SUMIFS(T_PlannedOrders[EffectiveQty],T_PlannedOrders[Part Name],$A65,T_PlannedOrders[WeekIndex],16)=0,"",SUMIFS(T_PlannedOrders[EffectiveQty],T_PlannedOrders[Part Name],$A65,T_PlannedOrders[WeekIndex],16)&amp;" ("&amp;TEXT(SUMPRODUCT(MAX((T_PlannedOrders[Part Name]=$A65)*(T_PlannedOrders[WeekIndex]=16)*(T_PlannedOrders[EffectiveQty]&gt;0)*T_PlannedOrders[Order_Month])),"m月")&amp;"発注)")</f>
        <v/>
      </c>
      <c r="T79">
        <f>IF(SUMIFS(T_PlannedOrders[EffectiveQty],T_PlannedOrders[Part Name],$A65,T_PlannedOrders[WeekIndex],17)=0,"",SUMIFS(T_PlannedOrders[EffectiveQty],T_PlannedOrders[Part Name],$A65,T_PlannedOrders[WeekIndex],17)&amp;" ("&amp;TEXT(SUMPRODUCT(MAX((T_PlannedOrders[Part Name]=$A65)*(T_PlannedOrders[WeekIndex]=17)*(T_PlannedOrders[EffectiveQty]&gt;0)*T_PlannedOrders[Order_Month])),"m月")&amp;"発注)")</f>
        <v/>
      </c>
      <c r="U79">
        <f>IF(SUMIFS(T_PlannedOrders[EffectiveQty],T_PlannedOrders[Part Name],$A65,T_PlannedOrders[WeekIndex],18)=0,"",SUMIFS(T_PlannedOrders[EffectiveQty],T_PlannedOrders[Part Name],$A65,T_PlannedOrders[WeekIndex],18)&amp;" ("&amp;TEXT(SUMPRODUCT(MAX((T_PlannedOrders[Part Name]=$A65)*(T_PlannedOrders[WeekIndex]=18)*(T_PlannedOrders[EffectiveQty]&gt;0)*T_PlannedOrders[Order_Month])),"m月")&amp;"発注)")</f>
        <v/>
      </c>
      <c r="V79">
        <f>IF(SUMIFS(T_PlannedOrders[EffectiveQty],T_PlannedOrders[Part Name],$A65,T_PlannedOrders[WeekIndex],19)=0,"",SUMIFS(T_PlannedOrders[EffectiveQty],T_PlannedOrders[Part Name],$A65,T_PlannedOrders[WeekIndex],19)&amp;" ("&amp;TEXT(SUMPRODUCT(MAX((T_PlannedOrders[Part Name]=$A65)*(T_PlannedOrders[WeekIndex]=19)*(T_PlannedOrders[EffectiveQty]&gt;0)*T_PlannedOrders[Order_Month])),"m月")&amp;"発注)")</f>
        <v/>
      </c>
      <c r="W79">
        <f>IF(SUMIFS(T_PlannedOrders[EffectiveQty],T_PlannedOrders[Part Name],$A65,T_PlannedOrders[WeekIndex],20)=0,"",SUMIFS(T_PlannedOrders[EffectiveQty],T_PlannedOrders[Part Name],$A65,T_PlannedOrders[WeekIndex],20)&amp;" ("&amp;TEXT(SUMPRODUCT(MAX((T_PlannedOrders[Part Name]=$A65)*(T_PlannedOrders[WeekIndex]=20)*(T_PlannedOrders[EffectiveQty]&gt;0)*T_PlannedOrders[Order_Month])),"m月")&amp;"発注)")</f>
        <v/>
      </c>
      <c r="X79">
        <f>IF(SUMIFS(T_PlannedOrders[EffectiveQty],T_PlannedOrders[Part Name],$A65,T_PlannedOrders[WeekIndex],21)=0,"",SUMIFS(T_PlannedOrders[EffectiveQty],T_PlannedOrders[Part Name],$A65,T_PlannedOrders[WeekIndex],21)&amp;" ("&amp;TEXT(SUMPRODUCT(MAX((T_PlannedOrders[Part Name]=$A65)*(T_PlannedOrders[WeekIndex]=21)*(T_PlannedOrders[EffectiveQty]&gt;0)*T_PlannedOrders[Order_Month])),"m月")&amp;"発注)")</f>
        <v/>
      </c>
      <c r="Y79">
        <f>IF(SUMIFS(T_PlannedOrders[EffectiveQty],T_PlannedOrders[Part Name],$A65,T_PlannedOrders[WeekIndex],22)=0,"",SUMIFS(T_PlannedOrders[EffectiveQty],T_PlannedOrders[Part Name],$A65,T_PlannedOrders[WeekIndex],22)&amp;" ("&amp;TEXT(SUMPRODUCT(MAX((T_PlannedOrders[Part Name]=$A65)*(T_PlannedOrders[WeekIndex]=22)*(T_PlannedOrders[EffectiveQty]&gt;0)*T_PlannedOrders[Order_Month])),"m月")&amp;"発注)")</f>
        <v/>
      </c>
      <c r="Z79">
        <f>IF(SUMIFS(T_PlannedOrders[EffectiveQty],T_PlannedOrders[Part Name],$A65,T_PlannedOrders[WeekIndex],23)=0,"",SUMIFS(T_PlannedOrders[EffectiveQty],T_PlannedOrders[Part Name],$A65,T_PlannedOrders[WeekIndex],23)&amp;" ("&amp;TEXT(SUMPRODUCT(MAX((T_PlannedOrders[Part Name]=$A65)*(T_PlannedOrders[WeekIndex]=23)*(T_PlannedOrders[EffectiveQty]&gt;0)*T_PlannedOrders[Order_Month])),"m月")&amp;"発注)")</f>
        <v/>
      </c>
      <c r="AA79">
        <f>IF(SUMIFS(T_PlannedOrders[EffectiveQty],T_PlannedOrders[Part Name],$A65,T_PlannedOrders[WeekIndex],24)=0,"",SUMIFS(T_PlannedOrders[EffectiveQty],T_PlannedOrders[Part Name],$A65,T_PlannedOrders[WeekIndex],24)&amp;" ("&amp;TEXT(SUMPRODUCT(MAX((T_PlannedOrders[Part Name]=$A65)*(T_PlannedOrders[WeekIndex]=24)*(T_PlannedOrders[EffectiveQty]&gt;0)*T_PlannedOrders[Order_Month])),"m月")&amp;"発注)")</f>
        <v/>
      </c>
      <c r="AB79">
        <f>IF(SUMIFS(T_PlannedOrders[EffectiveQty],T_PlannedOrders[Part Name],$A65,T_PlannedOrders[WeekIndex],25)=0,"",SUMIFS(T_PlannedOrders[EffectiveQty],T_PlannedOrders[Part Name],$A65,T_PlannedOrders[WeekIndex],25)&amp;" ("&amp;TEXT(SUMPRODUCT(MAX((T_PlannedOrders[Part Name]=$A65)*(T_PlannedOrders[WeekIndex]=25)*(T_PlannedOrders[EffectiveQty]&gt;0)*T_PlannedOrders[Order_Month])),"m月")&amp;"発注)")</f>
        <v/>
      </c>
      <c r="AC79">
        <f>IF(SUMIFS(T_PlannedOrders[EffectiveQty],T_PlannedOrders[Part Name],$A65,T_PlannedOrders[WeekIndex],26)=0,"",SUMIFS(T_PlannedOrders[EffectiveQty],T_PlannedOrders[Part Name],$A65,T_PlannedOrders[WeekIndex],26)&amp;" ("&amp;TEXT(SUMPRODUCT(MAX((T_PlannedOrders[Part Name]=$A65)*(T_PlannedOrders[WeekIndex]=26)*(T_PlannedOrders[EffectiveQty]&gt;0)*T_PlannedOrders[Order_Month])),"m月")&amp;"発注)")</f>
        <v/>
      </c>
      <c r="AD79">
        <f>IF(SUMIFS(T_PlannedOrders[EffectiveQty],T_PlannedOrders[Part Name],$A65,T_PlannedOrders[WeekIndex],27)=0,"",SUMIFS(T_PlannedOrders[EffectiveQty],T_PlannedOrders[Part Name],$A65,T_PlannedOrders[WeekIndex],27)&amp;" ("&amp;TEXT(SUMPRODUCT(MAX((T_PlannedOrders[Part Name]=$A65)*(T_PlannedOrders[WeekIndex]=27)*(T_PlannedOrders[EffectiveQty]&gt;0)*T_PlannedOrders[Order_Month])),"m月")&amp;"発注)")</f>
        <v/>
      </c>
      <c r="AE79">
        <f>IF(SUMIFS(T_PlannedOrders[EffectiveQty],T_PlannedOrders[Part Name],$A65,T_PlannedOrders[WeekIndex],28)=0,"",SUMIFS(T_PlannedOrders[EffectiveQty],T_PlannedOrders[Part Name],$A65,T_PlannedOrders[WeekIndex],28)&amp;" ("&amp;TEXT(SUMPRODUCT(MAX((T_PlannedOrders[Part Name]=$A65)*(T_PlannedOrders[WeekIndex]=28)*(T_PlannedOrders[EffectiveQty]&gt;0)*T_PlannedOrders[Order_Month])),"m月")&amp;"発注)")</f>
        <v/>
      </c>
      <c r="AF79">
        <f>IF(SUMIFS(T_PlannedOrders[EffectiveQty],T_PlannedOrders[Part Name],$A65,T_PlannedOrders[WeekIndex],29)=0,"",SUMIFS(T_PlannedOrders[EffectiveQty],T_PlannedOrders[Part Name],$A65,T_PlannedOrders[WeekIndex],29)&amp;" ("&amp;TEXT(SUMPRODUCT(MAX((T_PlannedOrders[Part Name]=$A65)*(T_PlannedOrders[WeekIndex]=29)*(T_PlannedOrders[EffectiveQty]&gt;0)*T_PlannedOrders[Order_Month])),"m月")&amp;"発注)")</f>
        <v/>
      </c>
      <c r="AG79">
        <f>IF(SUMIFS(T_PlannedOrders[EffectiveQty],T_PlannedOrders[Part Name],$A65,T_PlannedOrders[WeekIndex],30)=0,"",SUMIFS(T_PlannedOrders[EffectiveQty],T_PlannedOrders[Part Name],$A65,T_PlannedOrders[WeekIndex],30)&amp;" ("&amp;TEXT(SUMPRODUCT(MAX((T_PlannedOrders[Part Name]=$A65)*(T_PlannedOrders[WeekIndex]=30)*(T_PlannedOrders[EffectiveQty]&gt;0)*T_PlannedOrders[Order_Month])),"m月")&amp;"発注)")</f>
        <v/>
      </c>
      <c r="AH79">
        <f>IF(SUMIFS(T_PlannedOrders[EffectiveQty],T_PlannedOrders[Part Name],$A65,T_PlannedOrders[WeekIndex],31)=0,"",SUMIFS(T_PlannedOrders[EffectiveQty],T_PlannedOrders[Part Name],$A65,T_PlannedOrders[WeekIndex],31)&amp;" ("&amp;TEXT(SUMPRODUCT(MAX((T_PlannedOrders[Part Name]=$A65)*(T_PlannedOrders[WeekIndex]=31)*(T_PlannedOrders[EffectiveQty]&gt;0)*T_PlannedOrders[Order_Month])),"m月")&amp;"発注)")</f>
        <v/>
      </c>
      <c r="AI79">
        <f>IF(SUMIFS(T_PlannedOrders[EffectiveQty],T_PlannedOrders[Part Name],$A65,T_PlannedOrders[WeekIndex],32)=0,"",SUMIFS(T_PlannedOrders[EffectiveQty],T_PlannedOrders[Part Name],$A65,T_PlannedOrders[WeekIndex],32)&amp;" ("&amp;TEXT(SUMPRODUCT(MAX((T_PlannedOrders[Part Name]=$A65)*(T_PlannedOrders[WeekIndex]=32)*(T_PlannedOrders[EffectiveQty]&gt;0)*T_PlannedOrders[Order_Month])),"m月")&amp;"発注)")</f>
        <v/>
      </c>
      <c r="AJ79">
        <f>IF(SUMIFS(T_PlannedOrders[EffectiveQty],T_PlannedOrders[Part Name],$A65,T_PlannedOrders[WeekIndex],33)=0,"",SUMIFS(T_PlannedOrders[EffectiveQty],T_PlannedOrders[Part Name],$A65,T_PlannedOrders[WeekIndex],33)&amp;" ("&amp;TEXT(SUMPRODUCT(MAX((T_PlannedOrders[Part Name]=$A65)*(T_PlannedOrders[WeekIndex]=33)*(T_PlannedOrders[EffectiveQty]&gt;0)*T_PlannedOrders[Order_Month])),"m月")&amp;"発注)")</f>
        <v/>
      </c>
      <c r="AK79">
        <f>IF(SUMIFS(T_PlannedOrders[EffectiveQty],T_PlannedOrders[Part Name],$A65,T_PlannedOrders[WeekIndex],34)=0,"",SUMIFS(T_PlannedOrders[EffectiveQty],T_PlannedOrders[Part Name],$A65,T_PlannedOrders[WeekIndex],34)&amp;" ("&amp;TEXT(SUMPRODUCT(MAX((T_PlannedOrders[Part Name]=$A65)*(T_PlannedOrders[WeekIndex]=34)*(T_PlannedOrders[EffectiveQty]&gt;0)*T_PlannedOrders[Order_Month])),"m月")&amp;"発注)")</f>
        <v/>
      </c>
      <c r="AL79">
        <f>IF(SUMIFS(T_PlannedOrders[EffectiveQty],T_PlannedOrders[Part Name],$A65,T_PlannedOrders[WeekIndex],35)=0,"",SUMIFS(T_PlannedOrders[EffectiveQty],T_PlannedOrders[Part Name],$A65,T_PlannedOrders[WeekIndex],35)&amp;" ("&amp;TEXT(SUMPRODUCT(MAX((T_PlannedOrders[Part Name]=$A65)*(T_PlannedOrders[WeekIndex]=35)*(T_PlannedOrders[EffectiveQty]&gt;0)*T_PlannedOrders[Order_Month])),"m月")&amp;"発注)")</f>
        <v/>
      </c>
      <c r="AM79">
        <f>IF(SUMIFS(T_PlannedOrders[EffectiveQty],T_PlannedOrders[Part Name],$A65,T_PlannedOrders[WeekIndex],36)=0,"",SUMIFS(T_PlannedOrders[EffectiveQty],T_PlannedOrders[Part Name],$A65,T_PlannedOrders[WeekIndex],36)&amp;" ("&amp;TEXT(SUMPRODUCT(MAX((T_PlannedOrders[Part Name]=$A65)*(T_PlannedOrders[WeekIndex]=36)*(T_PlannedOrders[EffectiveQty]&gt;0)*T_PlannedOrders[Order_Month])),"m月")&amp;"発注)")</f>
        <v/>
      </c>
      <c r="AN79">
        <f>IF(SUMIFS(T_PlannedOrders[EffectiveQty],T_PlannedOrders[Part Name],$A65,T_PlannedOrders[WeekIndex],37)=0,"",SUMIFS(T_PlannedOrders[EffectiveQty],T_PlannedOrders[Part Name],$A65,T_PlannedOrders[WeekIndex],37)&amp;" ("&amp;TEXT(SUMPRODUCT(MAX((T_PlannedOrders[Part Name]=$A65)*(T_PlannedOrders[WeekIndex]=37)*(T_PlannedOrders[EffectiveQty]&gt;0)*T_PlannedOrders[Order_Month])),"m月")&amp;"発注)")</f>
        <v/>
      </c>
      <c r="AO79">
        <f>IF(SUMIFS(T_PlannedOrders[EffectiveQty],T_PlannedOrders[Part Name],$A65,T_PlannedOrders[WeekIndex],38)=0,"",SUMIFS(T_PlannedOrders[EffectiveQty],T_PlannedOrders[Part Name],$A65,T_PlannedOrders[WeekIndex],38)&amp;" ("&amp;TEXT(SUMPRODUCT(MAX((T_PlannedOrders[Part Name]=$A65)*(T_PlannedOrders[WeekIndex]=38)*(T_PlannedOrders[EffectiveQty]&gt;0)*T_PlannedOrders[Order_Month])),"m月")&amp;"発注)")</f>
        <v/>
      </c>
      <c r="AP79">
        <f>IF(SUMIFS(T_PlannedOrders[EffectiveQty],T_PlannedOrders[Part Name],$A65,T_PlannedOrders[WeekIndex],39)=0,"",SUMIFS(T_PlannedOrders[EffectiveQty],T_PlannedOrders[Part Name],$A65,T_PlannedOrders[WeekIndex],39)&amp;" ("&amp;TEXT(SUMPRODUCT(MAX((T_PlannedOrders[Part Name]=$A65)*(T_PlannedOrders[WeekIndex]=39)*(T_PlannedOrders[EffectiveQty]&gt;0)*T_PlannedOrders[Order_Month])),"m月")&amp;"発注)")</f>
        <v/>
      </c>
      <c r="AQ79">
        <f>IF(SUMIFS(T_PlannedOrders[EffectiveQty],T_PlannedOrders[Part Name],$A65,T_PlannedOrders[WeekIndex],40)=0,"",SUMIFS(T_PlannedOrders[EffectiveQty],T_PlannedOrders[Part Name],$A65,T_PlannedOrders[WeekIndex],40)&amp;" ("&amp;TEXT(SUMPRODUCT(MAX((T_PlannedOrders[Part Name]=$A65)*(T_PlannedOrders[WeekIndex]=40)*(T_PlannedOrders[EffectiveQty]&gt;0)*T_PlannedOrders[Order_Month])),"m月")&amp;"発注)")</f>
        <v/>
      </c>
      <c r="AR79">
        <f>IF(SUMIFS(T_PlannedOrders[EffectiveQty],T_PlannedOrders[Part Name],$A65,T_PlannedOrders[WeekIndex],41)=0,"",SUMIFS(T_PlannedOrders[EffectiveQty],T_PlannedOrders[Part Name],$A65,T_PlannedOrders[WeekIndex],41)&amp;" ("&amp;TEXT(SUMPRODUCT(MAX((T_PlannedOrders[Part Name]=$A65)*(T_PlannedOrders[WeekIndex]=41)*(T_PlannedOrders[EffectiveQty]&gt;0)*T_PlannedOrders[Order_Month])),"m月")&amp;"発注)")</f>
        <v/>
      </c>
      <c r="AS79">
        <f>IF(SUMIFS(T_PlannedOrders[EffectiveQty],T_PlannedOrders[Part Name],$A65,T_PlannedOrders[WeekIndex],42)=0,"",SUMIFS(T_PlannedOrders[EffectiveQty],T_PlannedOrders[Part Name],$A65,T_PlannedOrders[WeekIndex],42)&amp;" ("&amp;TEXT(SUMPRODUCT(MAX((T_PlannedOrders[Part Name]=$A65)*(T_PlannedOrders[WeekIndex]=42)*(T_PlannedOrders[EffectiveQty]&gt;0)*T_PlannedOrders[Order_Month])),"m月")&amp;"発注)")</f>
        <v/>
      </c>
      <c r="AT79">
        <f>IF(SUMIFS(T_PlannedOrders[EffectiveQty],T_PlannedOrders[Part Name],$A65,T_PlannedOrders[WeekIndex],43)=0,"",SUMIFS(T_PlannedOrders[EffectiveQty],T_PlannedOrders[Part Name],$A65,T_PlannedOrders[WeekIndex],43)&amp;" ("&amp;TEXT(SUMPRODUCT(MAX((T_PlannedOrders[Part Name]=$A65)*(T_PlannedOrders[WeekIndex]=43)*(T_PlannedOrders[EffectiveQty]&gt;0)*T_PlannedOrders[Order_Month])),"m月")&amp;"発注)")</f>
        <v/>
      </c>
      <c r="AU79">
        <f>IF(SUMIFS(T_PlannedOrders[EffectiveQty],T_PlannedOrders[Part Name],$A65,T_PlannedOrders[WeekIndex],44)=0,"",SUMIFS(T_PlannedOrders[EffectiveQty],T_PlannedOrders[Part Name],$A65,T_PlannedOrders[WeekIndex],44)&amp;" ("&amp;TEXT(SUMPRODUCT(MAX((T_PlannedOrders[Part Name]=$A65)*(T_PlannedOrders[WeekIndex]=44)*(T_PlannedOrders[EffectiveQty]&gt;0)*T_PlannedOrders[Order_Month])),"m月")&amp;"発注)")</f>
        <v/>
      </c>
      <c r="AV79">
        <f>IF(SUMIFS(T_PlannedOrders[EffectiveQty],T_PlannedOrders[Part Name],$A65,T_PlannedOrders[WeekIndex],45)=0,"",SUMIFS(T_PlannedOrders[EffectiveQty],T_PlannedOrders[Part Name],$A65,T_PlannedOrders[WeekIndex],45)&amp;" ("&amp;TEXT(SUMPRODUCT(MAX((T_PlannedOrders[Part Name]=$A65)*(T_PlannedOrders[WeekIndex]=45)*(T_PlannedOrders[EffectiveQty]&gt;0)*T_PlannedOrders[Order_Month])),"m月")&amp;"発注)")</f>
        <v/>
      </c>
      <c r="AW79">
        <f>IF(SUMIFS(T_PlannedOrders[EffectiveQty],T_PlannedOrders[Part Name],$A65,T_PlannedOrders[WeekIndex],46)=0,"",SUMIFS(T_PlannedOrders[EffectiveQty],T_PlannedOrders[Part Name],$A65,T_PlannedOrders[WeekIndex],46)&amp;" ("&amp;TEXT(SUMPRODUCT(MAX((T_PlannedOrders[Part Name]=$A65)*(T_PlannedOrders[WeekIndex]=46)*(T_PlannedOrders[EffectiveQty]&gt;0)*T_PlannedOrders[Order_Month])),"m月")&amp;"発注)")</f>
        <v/>
      </c>
      <c r="AX79">
        <f>IF(SUMIFS(T_PlannedOrders[EffectiveQty],T_PlannedOrders[Part Name],$A65,T_PlannedOrders[WeekIndex],47)=0,"",SUMIFS(T_PlannedOrders[EffectiveQty],T_PlannedOrders[Part Name],$A65,T_PlannedOrders[WeekIndex],47)&amp;" ("&amp;TEXT(SUMPRODUCT(MAX((T_PlannedOrders[Part Name]=$A65)*(T_PlannedOrders[WeekIndex]=47)*(T_PlannedOrders[EffectiveQty]&gt;0)*T_PlannedOrders[Order_Month])),"m月")&amp;"発注)")</f>
        <v/>
      </c>
      <c r="AY79">
        <f>IF(SUMIFS(T_PlannedOrders[EffectiveQty],T_PlannedOrders[Part Name],$A65,T_PlannedOrders[WeekIndex],48)=0,"",SUMIFS(T_PlannedOrders[EffectiveQty],T_PlannedOrders[Part Name],$A65,T_PlannedOrders[WeekIndex],48)&amp;" ("&amp;TEXT(SUMPRODUCT(MAX((T_PlannedOrders[Part Name]=$A65)*(T_PlannedOrders[WeekIndex]=48)*(T_PlannedOrders[EffectiveQty]&gt;0)*T_PlannedOrders[Order_Month])),"m月")&amp;"発注)")</f>
        <v/>
      </c>
      <c r="AZ79">
        <f>IF(SUMIFS(T_PlannedOrders[EffectiveQty],T_PlannedOrders[Part Name],$A65,T_PlannedOrders[WeekIndex],49)=0,"",SUMIFS(T_PlannedOrders[EffectiveQty],T_PlannedOrders[Part Name],$A65,T_PlannedOrders[WeekIndex],49)&amp;" ("&amp;TEXT(SUMPRODUCT(MAX((T_PlannedOrders[Part Name]=$A65)*(T_PlannedOrders[WeekIndex]=49)*(T_PlannedOrders[EffectiveQty]&gt;0)*T_PlannedOrders[Order_Month])),"m月")&amp;"発注)")</f>
        <v/>
      </c>
      <c r="BA79">
        <f>IF(SUMIFS(T_PlannedOrders[EffectiveQty],T_PlannedOrders[Part Name],$A65,T_PlannedOrders[WeekIndex],50)=0,"",SUMIFS(T_PlannedOrders[EffectiveQty],T_PlannedOrders[Part Name],$A65,T_PlannedOrders[WeekIndex],50)&amp;" ("&amp;TEXT(SUMPRODUCT(MAX((T_PlannedOrders[Part Name]=$A65)*(T_PlannedOrders[WeekIndex]=50)*(T_PlannedOrders[EffectiveQty]&gt;0)*T_PlannedOrders[Order_Month])),"m月")&amp;"発注)")</f>
        <v/>
      </c>
      <c r="BB79">
        <f>IF(SUMIFS(T_PlannedOrders[EffectiveQty],T_PlannedOrders[Part Name],$A65,T_PlannedOrders[WeekIndex],51)=0,"",SUMIFS(T_PlannedOrders[EffectiveQty],T_PlannedOrders[Part Name],$A65,T_PlannedOrders[WeekIndex],51)&amp;" ("&amp;TEXT(SUMPRODUCT(MAX((T_PlannedOrders[Part Name]=$A65)*(T_PlannedOrders[WeekIndex]=51)*(T_PlannedOrders[EffectiveQty]&gt;0)*T_PlannedOrders[Order_Month])),"m月")&amp;"発注)")</f>
        <v/>
      </c>
      <c r="BC79">
        <f>IF(SUMIFS(T_PlannedOrders[EffectiveQty],T_PlannedOrders[Part Name],$A65,T_PlannedOrders[WeekIndex],52)=0,"",SUMIFS(T_PlannedOrders[EffectiveQty],T_PlannedOrders[Part Name],$A65,T_PlannedOrders[WeekIndex],52)&amp;" ("&amp;TEXT(SUMPRODUCT(MAX((T_PlannedOrders[Part Name]=$A65)*(T_PlannedOrders[WeekIndex]=52)*(T_PlannedOrders[EffectiveQty]&gt;0)*T_PlannedOrders[Order_Month])),"m月")&amp;"発注)")</f>
        <v/>
      </c>
      <c r="BD79">
        <f>IF(SUMIFS(T_PlannedOrders[EffectiveQty],T_PlannedOrders[Part Name],$A65,T_PlannedOrders[WeekIndex],53)=0,"",SUMIFS(T_PlannedOrders[EffectiveQty],T_PlannedOrders[Part Name],$A65,T_PlannedOrders[WeekIndex],53)&amp;" ("&amp;TEXT(SUMPRODUCT(MAX((T_PlannedOrders[Part Name]=$A65)*(T_PlannedOrders[WeekIndex]=53)*(T_PlannedOrders[EffectiveQty]&gt;0)*T_PlannedOrders[Order_Month])),"m月")&amp;"発注)")</f>
        <v/>
      </c>
      <c r="BE79">
        <f>IF(SUMIFS(T_PlannedOrders[EffectiveQty],T_PlannedOrders[Part Name],$A65,T_PlannedOrders[WeekIndex],54)=0,"",SUMIFS(T_PlannedOrders[EffectiveQty],T_PlannedOrders[Part Name],$A65,T_PlannedOrders[WeekIndex],54)&amp;" ("&amp;TEXT(SUMPRODUCT(MAX((T_PlannedOrders[Part Name]=$A65)*(T_PlannedOrders[WeekIndex]=54)*(T_PlannedOrders[EffectiveQty]&gt;0)*T_PlannedOrders[Order_Month])),"m月")&amp;"発注)")</f>
        <v/>
      </c>
      <c r="BF79">
        <f>IF(SUMIFS(T_PlannedOrders[EffectiveQty],T_PlannedOrders[Part Name],$A65,T_PlannedOrders[WeekIndex],55)=0,"",SUMIFS(T_PlannedOrders[EffectiveQty],T_PlannedOrders[Part Name],$A65,T_PlannedOrders[WeekIndex],55)&amp;" ("&amp;TEXT(SUMPRODUCT(MAX((T_PlannedOrders[Part Name]=$A65)*(T_PlannedOrders[WeekIndex]=55)*(T_PlannedOrders[EffectiveQty]&gt;0)*T_PlannedOrders[Order_Month])),"m月")&amp;"発注)")</f>
        <v/>
      </c>
      <c r="BG79">
        <f>IF(SUMIFS(T_PlannedOrders[EffectiveQty],T_PlannedOrders[Part Name],$A65,T_PlannedOrders[WeekIndex],56)=0,"",SUMIFS(T_PlannedOrders[EffectiveQty],T_PlannedOrders[Part Name],$A65,T_PlannedOrders[WeekIndex],56)&amp;" ("&amp;TEXT(SUMPRODUCT(MAX((T_PlannedOrders[Part Name]=$A65)*(T_PlannedOrders[WeekIndex]=56)*(T_PlannedOrders[EffectiveQty]&gt;0)*T_PlannedOrders[Order_Month])),"m月")&amp;"発注)")</f>
        <v/>
      </c>
      <c r="BH79">
        <f>IF(SUMIFS(T_PlannedOrders[EffectiveQty],T_PlannedOrders[Part Name],$A65,T_PlannedOrders[WeekIndex],57)=0,"",SUMIFS(T_PlannedOrders[EffectiveQty],T_PlannedOrders[Part Name],$A65,T_PlannedOrders[WeekIndex],57)&amp;" ("&amp;TEXT(SUMPRODUCT(MAX((T_PlannedOrders[Part Name]=$A65)*(T_PlannedOrders[WeekIndex]=57)*(T_PlannedOrders[EffectiveQty]&gt;0)*T_PlannedOrders[Order_Month])),"m月")&amp;"発注)")</f>
        <v/>
      </c>
      <c r="BI79">
        <f>IF(SUMIFS(T_PlannedOrders[EffectiveQty],T_PlannedOrders[Part Name],$A65,T_PlannedOrders[WeekIndex],58)=0,"",SUMIFS(T_PlannedOrders[EffectiveQty],T_PlannedOrders[Part Name],$A65,T_PlannedOrders[WeekIndex],58)&amp;" ("&amp;TEXT(SUMPRODUCT(MAX((T_PlannedOrders[Part Name]=$A65)*(T_PlannedOrders[WeekIndex]=58)*(T_PlannedOrders[EffectiveQty]&gt;0)*T_PlannedOrders[Order_Month])),"m月")&amp;"発注)")</f>
        <v/>
      </c>
      <c r="BJ79">
        <f>IF(SUMIFS(T_PlannedOrders[EffectiveQty],T_PlannedOrders[Part Name],$A65,T_PlannedOrders[WeekIndex],59)=0,"",SUMIFS(T_PlannedOrders[EffectiveQty],T_PlannedOrders[Part Name],$A65,T_PlannedOrders[WeekIndex],59)&amp;" ("&amp;TEXT(SUMPRODUCT(MAX((T_PlannedOrders[Part Name]=$A65)*(T_PlannedOrders[WeekIndex]=59)*(T_PlannedOrders[EffectiveQty]&gt;0)*T_PlannedOrders[Order_Month])),"m月")&amp;"発注)")</f>
        <v/>
      </c>
      <c r="BK79">
        <f>IF(SUMIFS(T_PlannedOrders[EffectiveQty],T_PlannedOrders[Part Name],$A65,T_PlannedOrders[WeekIndex],60)=0,"",SUMIFS(T_PlannedOrders[EffectiveQty],T_PlannedOrders[Part Name],$A65,T_PlannedOrders[WeekIndex],60)&amp;" ("&amp;TEXT(SUMPRODUCT(MAX((T_PlannedOrders[Part Name]=$A65)*(T_PlannedOrders[WeekIndex]=60)*(T_PlannedOrders[EffectiveQty]&gt;0)*T_PlannedOrders[Order_Month])),"m月")&amp;"発注)")</f>
        <v/>
      </c>
      <c r="BL79">
        <f>IF(SUMIFS(T_PlannedOrders[EffectiveQty],T_PlannedOrders[Part Name],$A65,T_PlannedOrders[WeekIndex],61)=0,"",SUMIFS(T_PlannedOrders[EffectiveQty],T_PlannedOrders[Part Name],$A65,T_PlannedOrders[WeekIndex],61)&amp;" ("&amp;TEXT(SUMPRODUCT(MAX((T_PlannedOrders[Part Name]=$A65)*(T_PlannedOrders[WeekIndex]=61)*(T_PlannedOrders[EffectiveQty]&gt;0)*T_PlannedOrders[Order_Month])),"m月")&amp;"発注)")</f>
        <v/>
      </c>
      <c r="BM79">
        <f>IF(SUMIFS(T_PlannedOrders[EffectiveQty],T_PlannedOrders[Part Name],$A65,T_PlannedOrders[WeekIndex],62)=0,"",SUMIFS(T_PlannedOrders[EffectiveQty],T_PlannedOrders[Part Name],$A65,T_PlannedOrders[WeekIndex],62)&amp;" ("&amp;TEXT(SUMPRODUCT(MAX((T_PlannedOrders[Part Name]=$A65)*(T_PlannedOrders[WeekIndex]=62)*(T_PlannedOrders[EffectiveQty]&gt;0)*T_PlannedOrders[Order_Month])),"m月")&amp;"発注)")</f>
        <v/>
      </c>
      <c r="BN79">
        <f>IF(SUMIFS(T_PlannedOrders[EffectiveQty],T_PlannedOrders[Part Name],$A65,T_PlannedOrders[WeekIndex],63)=0,"",SUMIFS(T_PlannedOrders[EffectiveQty],T_PlannedOrders[Part Name],$A65,T_PlannedOrders[WeekIndex],63)&amp;" ("&amp;TEXT(SUMPRODUCT(MAX((T_PlannedOrders[Part Name]=$A65)*(T_PlannedOrders[WeekIndex]=63)*(T_PlannedOrders[EffectiveQty]&gt;0)*T_PlannedOrders[Order_Month])),"m月")&amp;"発注)")</f>
        <v/>
      </c>
      <c r="BO79">
        <f>IF(SUMIFS(T_PlannedOrders[EffectiveQty],T_PlannedOrders[Part Name],$A65,T_PlannedOrders[WeekIndex],64)=0,"",SUMIFS(T_PlannedOrders[EffectiveQty],T_PlannedOrders[Part Name],$A65,T_PlannedOrders[WeekIndex],64)&amp;" ("&amp;TEXT(SUMPRODUCT(MAX((T_PlannedOrders[Part Name]=$A65)*(T_PlannedOrders[WeekIndex]=64)*(T_PlannedOrders[EffectiveQty]&gt;0)*T_PlannedOrders[Order_Month])),"m月")&amp;"発注)")</f>
        <v/>
      </c>
      <c r="BP79">
        <f>IF(SUMIFS(T_PlannedOrders[EffectiveQty],T_PlannedOrders[Part Name],$A65,T_PlannedOrders[WeekIndex],65)=0,"",SUMIFS(T_PlannedOrders[EffectiveQty],T_PlannedOrders[Part Name],$A65,T_PlannedOrders[WeekIndex],65)&amp;" ("&amp;TEXT(SUMPRODUCT(MAX((T_PlannedOrders[Part Name]=$A65)*(T_PlannedOrders[WeekIndex]=65)*(T_PlannedOrders[EffectiveQty]&gt;0)*T_PlannedOrders[Order_Month])),"m月")&amp;"発注)")</f>
        <v/>
      </c>
      <c r="BQ79">
        <f>IF(SUMIFS(T_PlannedOrders[EffectiveQty],T_PlannedOrders[Part Name],$A65,T_PlannedOrders[WeekIndex],66)=0,"",SUMIFS(T_PlannedOrders[EffectiveQty],T_PlannedOrders[Part Name],$A65,T_PlannedOrders[WeekIndex],66)&amp;" ("&amp;TEXT(SUMPRODUCT(MAX((T_PlannedOrders[Part Name]=$A65)*(T_PlannedOrders[WeekIndex]=66)*(T_PlannedOrders[EffectiveQty]&gt;0)*T_PlannedOrders[Order_Month])),"m月")&amp;"発注)")</f>
        <v/>
      </c>
      <c r="BR79">
        <f>IF(SUMIFS(T_PlannedOrders[EffectiveQty],T_PlannedOrders[Part Name],$A65,T_PlannedOrders[WeekIndex],67)=0,"",SUMIFS(T_PlannedOrders[EffectiveQty],T_PlannedOrders[Part Name],$A65,T_PlannedOrders[WeekIndex],67)&amp;" ("&amp;TEXT(SUMPRODUCT(MAX((T_PlannedOrders[Part Name]=$A65)*(T_PlannedOrders[WeekIndex]=67)*(T_PlannedOrders[EffectiveQty]&gt;0)*T_PlannedOrders[Order_Month])),"m月")&amp;"発注)")</f>
        <v/>
      </c>
      <c r="BS79">
        <f>IF(SUMIFS(T_PlannedOrders[EffectiveQty],T_PlannedOrders[Part Name],$A65,T_PlannedOrders[WeekIndex],68)=0,"",SUMIFS(T_PlannedOrders[EffectiveQty],T_PlannedOrders[Part Name],$A65,T_PlannedOrders[WeekIndex],68)&amp;" ("&amp;TEXT(SUMPRODUCT(MAX((T_PlannedOrders[Part Name]=$A65)*(T_PlannedOrders[WeekIndex]=68)*(T_PlannedOrders[EffectiveQty]&gt;0)*T_PlannedOrders[Order_Month])),"m月")&amp;"発注)")</f>
        <v/>
      </c>
      <c r="BT79">
        <f>IF(SUMIFS(T_PlannedOrders[EffectiveQty],T_PlannedOrders[Part Name],$A65,T_PlannedOrders[WeekIndex],69)=0,"",SUMIFS(T_PlannedOrders[EffectiveQty],T_PlannedOrders[Part Name],$A65,T_PlannedOrders[WeekIndex],69)&amp;" ("&amp;TEXT(SUMPRODUCT(MAX((T_PlannedOrders[Part Name]=$A65)*(T_PlannedOrders[WeekIndex]=69)*(T_PlannedOrders[EffectiveQty]&gt;0)*T_PlannedOrders[Order_Month])),"m月")&amp;"発注)")</f>
        <v/>
      </c>
      <c r="BU79">
        <f>IF(SUMIFS(T_PlannedOrders[EffectiveQty],T_PlannedOrders[Part Name],$A65,T_PlannedOrders[WeekIndex],70)=0,"",SUMIFS(T_PlannedOrders[EffectiveQty],T_PlannedOrders[Part Name],$A65,T_PlannedOrders[WeekIndex],70)&amp;" ("&amp;TEXT(SUMPRODUCT(MAX((T_PlannedOrders[Part Name]=$A65)*(T_PlannedOrders[WeekIndex]=70)*(T_PlannedOrders[EffectiveQty]&gt;0)*T_PlannedOrders[Order_Month])),"m月")&amp;"発注)")</f>
        <v/>
      </c>
      <c r="BV79">
        <f>IF(SUMIFS(T_PlannedOrders[EffectiveQty],T_PlannedOrders[Part Name],$A65,T_PlannedOrders[WeekIndex],71)=0,"",SUMIFS(T_PlannedOrders[EffectiveQty],T_PlannedOrders[Part Name],$A65,T_PlannedOrders[WeekIndex],71)&amp;" ("&amp;TEXT(SUMPRODUCT(MAX((T_PlannedOrders[Part Name]=$A65)*(T_PlannedOrders[WeekIndex]=71)*(T_PlannedOrders[EffectiveQty]&gt;0)*T_PlannedOrders[Order_Month])),"m月")&amp;"発注)")</f>
        <v/>
      </c>
      <c r="BW79">
        <f>IF(SUMIFS(T_PlannedOrders[EffectiveQty],T_PlannedOrders[Part Name],$A65,T_PlannedOrders[WeekIndex],72)=0,"",SUMIFS(T_PlannedOrders[EffectiveQty],T_PlannedOrders[Part Name],$A65,T_PlannedOrders[WeekIndex],72)&amp;" ("&amp;TEXT(SUMPRODUCT(MAX((T_PlannedOrders[Part Name]=$A65)*(T_PlannedOrders[WeekIndex]=72)*(T_PlannedOrders[EffectiveQty]&gt;0)*T_PlannedOrders[Order_Month])),"m月")&amp;"発注)")</f>
        <v/>
      </c>
      <c r="BX79">
        <f>IF(SUMIFS(T_PlannedOrders[EffectiveQty],T_PlannedOrders[Part Name],$A65,T_PlannedOrders[WeekIndex],73)=0,"",SUMIFS(T_PlannedOrders[EffectiveQty],T_PlannedOrders[Part Name],$A65,T_PlannedOrders[WeekIndex],73)&amp;" ("&amp;TEXT(SUMPRODUCT(MAX((T_PlannedOrders[Part Name]=$A65)*(T_PlannedOrders[WeekIndex]=73)*(T_PlannedOrders[EffectiveQty]&gt;0)*T_PlannedOrders[Order_Month])),"m月")&amp;"発注)")</f>
        <v/>
      </c>
      <c r="BY79">
        <f>IF(SUMIFS(T_PlannedOrders[EffectiveQty],T_PlannedOrders[Part Name],$A65,T_PlannedOrders[WeekIndex],74)=0,"",SUMIFS(T_PlannedOrders[EffectiveQty],T_PlannedOrders[Part Name],$A65,T_PlannedOrders[WeekIndex],74)&amp;" ("&amp;TEXT(SUMPRODUCT(MAX((T_PlannedOrders[Part Name]=$A65)*(T_PlannedOrders[WeekIndex]=74)*(T_PlannedOrders[EffectiveQty]&gt;0)*T_PlannedOrders[Order_Month])),"m月")&amp;"発注)")</f>
        <v/>
      </c>
      <c r="BZ79">
        <f>IF(SUMIFS(T_PlannedOrders[EffectiveQty],T_PlannedOrders[Part Name],$A65,T_PlannedOrders[WeekIndex],75)=0,"",SUMIFS(T_PlannedOrders[EffectiveQty],T_PlannedOrders[Part Name],$A65,T_PlannedOrders[WeekIndex],75)&amp;" ("&amp;TEXT(SUMPRODUCT(MAX((T_PlannedOrders[Part Name]=$A65)*(T_PlannedOrders[WeekIndex]=75)*(T_PlannedOrders[EffectiveQty]&gt;0)*T_PlannedOrders[Order_Month])),"m月")&amp;"発注)")</f>
        <v/>
      </c>
      <c r="CA79">
        <f>IF(SUMIFS(T_PlannedOrders[EffectiveQty],T_PlannedOrders[Part Name],$A65,T_PlannedOrders[WeekIndex],76)=0,"",SUMIFS(T_PlannedOrders[EffectiveQty],T_PlannedOrders[Part Name],$A65,T_PlannedOrders[WeekIndex],76)&amp;" ("&amp;TEXT(SUMPRODUCT(MAX((T_PlannedOrders[Part Name]=$A65)*(T_PlannedOrders[WeekIndex]=76)*(T_PlannedOrders[EffectiveQty]&gt;0)*T_PlannedOrders[Order_Month])),"m月")&amp;"発注)")</f>
        <v/>
      </c>
      <c r="CB79">
        <f>IF(SUMIFS(T_PlannedOrders[EffectiveQty],T_PlannedOrders[Part Name],$A65,T_PlannedOrders[WeekIndex],77)=0,"",SUMIFS(T_PlannedOrders[EffectiveQty],T_PlannedOrders[Part Name],$A65,T_PlannedOrders[WeekIndex],77)&amp;" ("&amp;TEXT(SUMPRODUCT(MAX((T_PlannedOrders[Part Name]=$A65)*(T_PlannedOrders[WeekIndex]=77)*(T_PlannedOrders[EffectiveQty]&gt;0)*T_PlannedOrders[Order_Month])),"m月")&amp;"発注)")</f>
        <v/>
      </c>
      <c r="CC79">
        <f>IF(SUMIFS(T_PlannedOrders[EffectiveQty],T_PlannedOrders[Part Name],$A65,T_PlannedOrders[WeekIndex],78)=0,"",SUMIFS(T_PlannedOrders[EffectiveQty],T_PlannedOrders[Part Name],$A65,T_PlannedOrders[WeekIndex],78)&amp;" ("&amp;TEXT(SUMPRODUCT(MAX((T_PlannedOrders[Part Name]=$A65)*(T_PlannedOrders[WeekIndex]=78)*(T_PlannedOrders[EffectiveQty]&gt;0)*T_PlannedOrders[Order_Month])),"m月")&amp;"発注)")</f>
        <v/>
      </c>
      <c r="CD79">
        <f>IF(SUMIFS(T_PlannedOrders[EffectiveQty],T_PlannedOrders[Part Name],$A65,T_PlannedOrders[WeekIndex],79)=0,"",SUMIFS(T_PlannedOrders[EffectiveQty],T_PlannedOrders[Part Name],$A65,T_PlannedOrders[WeekIndex],79)&amp;" ("&amp;TEXT(SUMPRODUCT(MAX((T_PlannedOrders[Part Name]=$A65)*(T_PlannedOrders[WeekIndex]=79)*(T_PlannedOrders[EffectiveQty]&gt;0)*T_PlannedOrders[Order_Month])),"m月")&amp;"発注)")</f>
        <v/>
      </c>
      <c r="CE79">
        <f>IF(SUMIFS(T_PlannedOrders[EffectiveQty],T_PlannedOrders[Part Name],$A65,T_PlannedOrders[WeekIndex],80)=0,"",SUMIFS(T_PlannedOrders[EffectiveQty],T_PlannedOrders[Part Name],$A65,T_PlannedOrders[WeekIndex],80)&amp;" ("&amp;TEXT(SUMPRODUCT(MAX((T_PlannedOrders[Part Name]=$A65)*(T_PlannedOrders[WeekIndex]=80)*(T_PlannedOrders[EffectiveQty]&gt;0)*T_PlannedOrders[Order_Month])),"m月")&amp;"発注)")</f>
        <v/>
      </c>
      <c r="CF79">
        <f>IF(SUMIFS(T_PlannedOrders[EffectiveQty],T_PlannedOrders[Part Name],$A65,T_PlannedOrders[WeekIndex],81)=0,"",SUMIFS(T_PlannedOrders[EffectiveQty],T_PlannedOrders[Part Name],$A65,T_PlannedOrders[WeekIndex],81)&amp;" ("&amp;TEXT(SUMPRODUCT(MAX((T_PlannedOrders[Part Name]=$A65)*(T_PlannedOrders[WeekIndex]=81)*(T_PlannedOrders[EffectiveQty]&gt;0)*T_PlannedOrders[Order_Month])),"m月")&amp;"発注)")</f>
        <v/>
      </c>
      <c r="CG79">
        <f>IF(SUMIFS(T_PlannedOrders[EffectiveQty],T_PlannedOrders[Part Name],$A65,T_PlannedOrders[WeekIndex],82)=0,"",SUMIFS(T_PlannedOrders[EffectiveQty],T_PlannedOrders[Part Name],$A65,T_PlannedOrders[WeekIndex],82)&amp;" ("&amp;TEXT(SUMPRODUCT(MAX((T_PlannedOrders[Part Name]=$A65)*(T_PlannedOrders[WeekIndex]=82)*(T_PlannedOrders[EffectiveQty]&gt;0)*T_PlannedOrders[Order_Month])),"m月")&amp;"発注)")</f>
        <v/>
      </c>
      <c r="CH79">
        <f>IF(SUMIFS(T_PlannedOrders[EffectiveQty],T_PlannedOrders[Part Name],$A65,T_PlannedOrders[WeekIndex],83)=0,"",SUMIFS(T_PlannedOrders[EffectiveQty],T_PlannedOrders[Part Name],$A65,T_PlannedOrders[WeekIndex],83)&amp;" ("&amp;TEXT(SUMPRODUCT(MAX((T_PlannedOrders[Part Name]=$A65)*(T_PlannedOrders[WeekIndex]=83)*(T_PlannedOrders[EffectiveQty]&gt;0)*T_PlannedOrders[Order_Month])),"m月")&amp;"発注)")</f>
        <v/>
      </c>
      <c r="CI79">
        <f>IF(SUMIFS(T_PlannedOrders[EffectiveQty],T_PlannedOrders[Part Name],$A65,T_PlannedOrders[WeekIndex],84)=0,"",SUMIFS(T_PlannedOrders[EffectiveQty],T_PlannedOrders[Part Name],$A65,T_PlannedOrders[WeekIndex],84)&amp;" ("&amp;TEXT(SUMPRODUCT(MAX((T_PlannedOrders[Part Name]=$A65)*(T_PlannedOrders[WeekIndex]=84)*(T_PlannedOrders[EffectiveQty]&gt;0)*T_PlannedOrders[Order_Month])),"m月")&amp;"発注)")</f>
        <v/>
      </c>
      <c r="CJ79">
        <f>IF(SUMIFS(T_PlannedOrders[EffectiveQty],T_PlannedOrders[Part Name],$A65,T_PlannedOrders[WeekIndex],85)=0,"",SUMIFS(T_PlannedOrders[EffectiveQty],T_PlannedOrders[Part Name],$A65,T_PlannedOrders[WeekIndex],85)&amp;" ("&amp;TEXT(SUMPRODUCT(MAX((T_PlannedOrders[Part Name]=$A65)*(T_PlannedOrders[WeekIndex]=85)*(T_PlannedOrders[EffectiveQty]&gt;0)*T_PlannedOrders[Order_Month])),"m月")&amp;"発注)")</f>
        <v/>
      </c>
      <c r="CK79">
        <f>IF(SUMIFS(T_PlannedOrders[EffectiveQty],T_PlannedOrders[Part Name],$A65,T_PlannedOrders[WeekIndex],86)=0,"",SUMIFS(T_PlannedOrders[EffectiveQty],T_PlannedOrders[Part Name],$A65,T_PlannedOrders[WeekIndex],86)&amp;" ("&amp;TEXT(SUMPRODUCT(MAX((T_PlannedOrders[Part Name]=$A65)*(T_PlannedOrders[WeekIndex]=86)*(T_PlannedOrders[EffectiveQty]&gt;0)*T_PlannedOrders[Order_Month])),"m月")&amp;"発注)")</f>
        <v/>
      </c>
      <c r="CL79">
        <f>IF(SUMIFS(T_PlannedOrders[EffectiveQty],T_PlannedOrders[Part Name],$A65,T_PlannedOrders[WeekIndex],87)=0,"",SUMIFS(T_PlannedOrders[EffectiveQty],T_PlannedOrders[Part Name],$A65,T_PlannedOrders[WeekIndex],87)&amp;" ("&amp;TEXT(SUMPRODUCT(MAX((T_PlannedOrders[Part Name]=$A65)*(T_PlannedOrders[WeekIndex]=87)*(T_PlannedOrders[EffectiveQty]&gt;0)*T_PlannedOrders[Order_Month])),"m月")&amp;"発注)")</f>
        <v/>
      </c>
      <c r="CM79">
        <f>IF(SUMIFS(T_PlannedOrders[EffectiveQty],T_PlannedOrders[Part Name],$A65,T_PlannedOrders[WeekIndex],88)=0,"",SUMIFS(T_PlannedOrders[EffectiveQty],T_PlannedOrders[Part Name],$A65,T_PlannedOrders[WeekIndex],88)&amp;" ("&amp;TEXT(SUMPRODUCT(MAX((T_PlannedOrders[Part Name]=$A65)*(T_PlannedOrders[WeekIndex]=88)*(T_PlannedOrders[EffectiveQty]&gt;0)*T_PlannedOrders[Order_Month])),"m月")&amp;"発注)")</f>
        <v/>
      </c>
      <c r="CN79">
        <f>IF(SUMIFS(T_PlannedOrders[EffectiveQty],T_PlannedOrders[Part Name],$A65,T_PlannedOrders[WeekIndex],89)=0,"",SUMIFS(T_PlannedOrders[EffectiveQty],T_PlannedOrders[Part Name],$A65,T_PlannedOrders[WeekIndex],89)&amp;" ("&amp;TEXT(SUMPRODUCT(MAX((T_PlannedOrders[Part Name]=$A65)*(T_PlannedOrders[WeekIndex]=89)*(T_PlannedOrders[EffectiveQty]&gt;0)*T_PlannedOrders[Order_Month])),"m月")&amp;"発注)")</f>
        <v/>
      </c>
      <c r="CO79">
        <f>IF(SUMIFS(T_PlannedOrders[EffectiveQty],T_PlannedOrders[Part Name],$A65,T_PlannedOrders[WeekIndex],90)=0,"",SUMIFS(T_PlannedOrders[EffectiveQty],T_PlannedOrders[Part Name],$A65,T_PlannedOrders[WeekIndex],90)&amp;" ("&amp;TEXT(SUMPRODUCT(MAX((T_PlannedOrders[Part Name]=$A65)*(T_PlannedOrders[WeekIndex]=90)*(T_PlannedOrders[EffectiveQty]&gt;0)*T_PlannedOrders[Order_Month])),"m月")&amp;"発注)")</f>
        <v/>
      </c>
      <c r="CP79">
        <f>IF(SUMIFS(T_PlannedOrders[EffectiveQty],T_PlannedOrders[Part Name],$A65,T_PlannedOrders[WeekIndex],91)=0,"",SUMIFS(T_PlannedOrders[EffectiveQty],T_PlannedOrders[Part Name],$A65,T_PlannedOrders[WeekIndex],91)&amp;" ("&amp;TEXT(SUMPRODUCT(MAX((T_PlannedOrders[Part Name]=$A65)*(T_PlannedOrders[WeekIndex]=91)*(T_PlannedOrders[EffectiveQty]&gt;0)*T_PlannedOrders[Order_Month])),"m月")&amp;"発注)")</f>
        <v/>
      </c>
      <c r="CQ79">
        <f>IF(SUMIFS(T_PlannedOrders[EffectiveQty],T_PlannedOrders[Part Name],$A65,T_PlannedOrders[WeekIndex],92)=0,"",SUMIFS(T_PlannedOrders[EffectiveQty],T_PlannedOrders[Part Name],$A65,T_PlannedOrders[WeekIndex],92)&amp;" ("&amp;TEXT(SUMPRODUCT(MAX((T_PlannedOrders[Part Name]=$A65)*(T_PlannedOrders[WeekIndex]=92)*(T_PlannedOrders[EffectiveQty]&gt;0)*T_PlannedOrders[Order_Month])),"m月")&amp;"発注)")</f>
        <v/>
      </c>
      <c r="CR79">
        <f>IF(SUMIFS(T_PlannedOrders[EffectiveQty],T_PlannedOrders[Part Name],$A65,T_PlannedOrders[WeekIndex],93)=0,"",SUMIFS(T_PlannedOrders[EffectiveQty],T_PlannedOrders[Part Name],$A65,T_PlannedOrders[WeekIndex],93)&amp;" ("&amp;TEXT(SUMPRODUCT(MAX((T_PlannedOrders[Part Name]=$A65)*(T_PlannedOrders[WeekIndex]=93)*(T_PlannedOrders[EffectiveQty]&gt;0)*T_PlannedOrders[Order_Month])),"m月")&amp;"発注)")</f>
        <v/>
      </c>
      <c r="CS79">
        <f>IF(SUMIFS(T_PlannedOrders[EffectiveQty],T_PlannedOrders[Part Name],$A65,T_PlannedOrders[WeekIndex],94)=0,"",SUMIFS(T_PlannedOrders[EffectiveQty],T_PlannedOrders[Part Name],$A65,T_PlannedOrders[WeekIndex],94)&amp;" ("&amp;TEXT(SUMPRODUCT(MAX((T_PlannedOrders[Part Name]=$A65)*(T_PlannedOrders[WeekIndex]=94)*(T_PlannedOrders[EffectiveQty]&gt;0)*T_PlannedOrders[Order_Month])),"m月")&amp;"発注)")</f>
        <v/>
      </c>
      <c r="CT79">
        <f>IF(SUMIFS(T_PlannedOrders[EffectiveQty],T_PlannedOrders[Part Name],$A65,T_PlannedOrders[WeekIndex],95)=0,"",SUMIFS(T_PlannedOrders[EffectiveQty],T_PlannedOrders[Part Name],$A65,T_PlannedOrders[WeekIndex],95)&amp;" ("&amp;TEXT(SUMPRODUCT(MAX((T_PlannedOrders[Part Name]=$A65)*(T_PlannedOrders[WeekIndex]=95)*(T_PlannedOrders[EffectiveQty]&gt;0)*T_PlannedOrders[Order_Month])),"m月")&amp;"発注)")</f>
        <v/>
      </c>
      <c r="CU79">
        <f>IF(SUMIFS(T_PlannedOrders[EffectiveQty],T_PlannedOrders[Part Name],$A65,T_PlannedOrders[WeekIndex],96)=0,"",SUMIFS(T_PlannedOrders[EffectiveQty],T_PlannedOrders[Part Name],$A65,T_PlannedOrders[WeekIndex],96)&amp;" ("&amp;TEXT(SUMPRODUCT(MAX((T_PlannedOrders[Part Name]=$A65)*(T_PlannedOrders[WeekIndex]=96)*(T_PlannedOrders[EffectiveQty]&gt;0)*T_PlannedOrders[Order_Month])),"m月")&amp;"発注)")</f>
        <v/>
      </c>
      <c r="CV79">
        <f>IF(SUMIFS(T_PlannedOrders[EffectiveQty],T_PlannedOrders[Part Name],$A65,T_PlannedOrders[WeekIndex],97)=0,"",SUMIFS(T_PlannedOrders[EffectiveQty],T_PlannedOrders[Part Name],$A65,T_PlannedOrders[WeekIndex],97)&amp;" ("&amp;TEXT(SUMPRODUCT(MAX((T_PlannedOrders[Part Name]=$A65)*(T_PlannedOrders[WeekIndex]=97)*(T_PlannedOrders[EffectiveQty]&gt;0)*T_PlannedOrders[Order_Month])),"m月")&amp;"発注)")</f>
        <v/>
      </c>
      <c r="CW79">
        <f>IF(SUMIFS(T_PlannedOrders[EffectiveQty],T_PlannedOrders[Part Name],$A65,T_PlannedOrders[WeekIndex],98)=0,"",SUMIFS(T_PlannedOrders[EffectiveQty],T_PlannedOrders[Part Name],$A65,T_PlannedOrders[WeekIndex],98)&amp;" ("&amp;TEXT(SUMPRODUCT(MAX((T_PlannedOrders[Part Name]=$A65)*(T_PlannedOrders[WeekIndex]=98)*(T_PlannedOrders[EffectiveQty]&gt;0)*T_PlannedOrders[Order_Month])),"m月")&amp;"発注)")</f>
        <v/>
      </c>
      <c r="CX79">
        <f>IF(SUMIFS(T_PlannedOrders[EffectiveQty],T_PlannedOrders[Part Name],$A65,T_PlannedOrders[WeekIndex],99)=0,"",SUMIFS(T_PlannedOrders[EffectiveQty],T_PlannedOrders[Part Name],$A65,T_PlannedOrders[WeekIndex],99)&amp;" ("&amp;TEXT(SUMPRODUCT(MAX((T_PlannedOrders[Part Name]=$A65)*(T_PlannedOrders[WeekIndex]=99)*(T_PlannedOrders[EffectiveQty]&gt;0)*T_PlannedOrders[Order_Month])),"m月")&amp;"発注)")</f>
        <v/>
      </c>
      <c r="CY79">
        <f>IF(SUMIFS(T_PlannedOrders[EffectiveQty],T_PlannedOrders[Part Name],$A65,T_PlannedOrders[WeekIndex],100)=0,"",SUMIFS(T_PlannedOrders[EffectiveQty],T_PlannedOrders[Part Name],$A65,T_PlannedOrders[WeekIndex],100)&amp;" ("&amp;TEXT(SUMPRODUCT(MAX((T_PlannedOrders[Part Name]=$A65)*(T_PlannedOrders[WeekIndex]=100)*(T_PlannedOrders[EffectiveQty]&gt;0)*T_PlannedOrders[Order_Month])),"m月")&amp;"発注)")</f>
        <v/>
      </c>
      <c r="CZ79">
        <f>IF(SUMIFS(T_PlannedOrders[EffectiveQty],T_PlannedOrders[Part Name],$A65,T_PlannedOrders[WeekIndex],101)=0,"",SUMIFS(T_PlannedOrders[EffectiveQty],T_PlannedOrders[Part Name],$A65,T_PlannedOrders[WeekIndex],101)&amp;" ("&amp;TEXT(SUMPRODUCT(MAX((T_PlannedOrders[Part Name]=$A65)*(T_PlannedOrders[WeekIndex]=101)*(T_PlannedOrders[EffectiveQty]&gt;0)*T_PlannedOrders[Order_Month])),"m月")&amp;"発注)")</f>
        <v/>
      </c>
      <c r="DA79">
        <f>IF(SUMIFS(T_PlannedOrders[EffectiveQty],T_PlannedOrders[Part Name],$A65,T_PlannedOrders[WeekIndex],102)=0,"",SUMIFS(T_PlannedOrders[EffectiveQty],T_PlannedOrders[Part Name],$A65,T_PlannedOrders[WeekIndex],102)&amp;" ("&amp;TEXT(SUMPRODUCT(MAX((T_PlannedOrders[Part Name]=$A65)*(T_PlannedOrders[WeekIndex]=102)*(T_PlannedOrders[EffectiveQty]&gt;0)*T_PlannedOrders[Order_Month])),"m月")&amp;"発注)")</f>
        <v/>
      </c>
      <c r="DB79">
        <f>IF(SUMIFS(T_PlannedOrders[EffectiveQty],T_PlannedOrders[Part Name],$A65,T_PlannedOrders[WeekIndex],103)=0,"",SUMIFS(T_PlannedOrders[EffectiveQty],T_PlannedOrders[Part Name],$A65,T_PlannedOrders[WeekIndex],103)&amp;" ("&amp;TEXT(SUMPRODUCT(MAX((T_PlannedOrders[Part Name]=$A65)*(T_PlannedOrders[WeekIndex]=103)*(T_PlannedOrders[EffectiveQty]&gt;0)*T_PlannedOrders[Order_Month])),"m月")&amp;"発注)")</f>
        <v/>
      </c>
      <c r="DC79">
        <f>IF(SUMIFS(T_PlannedOrders[EffectiveQty],T_PlannedOrders[Part Name],$A65,T_PlannedOrders[WeekIndex],104)=0,"",SUMIFS(T_PlannedOrders[EffectiveQty],T_PlannedOrders[Part Name],$A65,T_PlannedOrders[WeekIndex],104)&amp;" ("&amp;TEXT(SUMPRODUCT(MAX((T_PlannedOrders[Part Name]=$A65)*(T_PlannedOrders[WeekIndex]=104)*(T_PlannedOrders[EffectiveQty]&gt;0)*T_PlannedOrders[Order_Month])),"m月")&amp;"発注)")</f>
        <v/>
      </c>
    </row>
    <row r="80">
      <c r="B80" s="5" t="inlineStr">
        <is>
          <t>合計在庫(週末時点,kg)</t>
        </is>
      </c>
      <c r="D80">
        <f>'Grid_Stock'!B6</f>
        <v/>
      </c>
      <c r="E80">
        <f>'Grid_Stock'!C6</f>
        <v/>
      </c>
      <c r="F80">
        <f>'Grid_Stock'!D6</f>
        <v/>
      </c>
      <c r="G80">
        <f>'Grid_Stock'!E6</f>
        <v/>
      </c>
      <c r="H80">
        <f>'Grid_Stock'!F6</f>
        <v/>
      </c>
      <c r="I80">
        <f>'Grid_Stock'!G6</f>
        <v/>
      </c>
      <c r="J80">
        <f>'Grid_Stock'!H6</f>
        <v/>
      </c>
      <c r="K80">
        <f>'Grid_Stock'!I6</f>
        <v/>
      </c>
      <c r="L80">
        <f>'Grid_Stock'!J6</f>
        <v/>
      </c>
      <c r="M80">
        <f>'Grid_Stock'!K6</f>
        <v/>
      </c>
      <c r="N80">
        <f>'Grid_Stock'!L6</f>
        <v/>
      </c>
      <c r="O80">
        <f>'Grid_Stock'!M6</f>
        <v/>
      </c>
      <c r="P80">
        <f>'Grid_Stock'!N6</f>
        <v/>
      </c>
      <c r="Q80">
        <f>'Grid_Stock'!O6</f>
        <v/>
      </c>
      <c r="R80">
        <f>'Grid_Stock'!P6</f>
        <v/>
      </c>
      <c r="S80">
        <f>'Grid_Stock'!Q6</f>
        <v/>
      </c>
      <c r="T80">
        <f>'Grid_Stock'!R6</f>
        <v/>
      </c>
      <c r="U80">
        <f>'Grid_Stock'!S6</f>
        <v/>
      </c>
      <c r="V80">
        <f>'Grid_Stock'!T6</f>
        <v/>
      </c>
      <c r="W80">
        <f>'Grid_Stock'!U6</f>
        <v/>
      </c>
      <c r="X80">
        <f>'Grid_Stock'!V6</f>
        <v/>
      </c>
      <c r="Y80">
        <f>'Grid_Stock'!W6</f>
        <v/>
      </c>
      <c r="Z80">
        <f>'Grid_Stock'!X6</f>
        <v/>
      </c>
      <c r="AA80">
        <f>'Grid_Stock'!Y6</f>
        <v/>
      </c>
      <c r="AB80">
        <f>'Grid_Stock'!Z6</f>
        <v/>
      </c>
      <c r="AC80">
        <f>'Grid_Stock'!AA6</f>
        <v/>
      </c>
      <c r="AD80">
        <f>'Grid_Stock'!AB6</f>
        <v/>
      </c>
      <c r="AE80">
        <f>'Grid_Stock'!AC6</f>
        <v/>
      </c>
      <c r="AF80">
        <f>'Grid_Stock'!AD6</f>
        <v/>
      </c>
      <c r="AG80">
        <f>'Grid_Stock'!AE6</f>
        <v/>
      </c>
      <c r="AH80">
        <f>'Grid_Stock'!AF6</f>
        <v/>
      </c>
      <c r="AI80">
        <f>'Grid_Stock'!AG6</f>
        <v/>
      </c>
      <c r="AJ80">
        <f>'Grid_Stock'!AH6</f>
        <v/>
      </c>
      <c r="AK80">
        <f>'Grid_Stock'!AI6</f>
        <v/>
      </c>
      <c r="AL80">
        <f>'Grid_Stock'!AJ6</f>
        <v/>
      </c>
      <c r="AM80">
        <f>'Grid_Stock'!AK6</f>
        <v/>
      </c>
      <c r="AN80">
        <f>'Grid_Stock'!AL6</f>
        <v/>
      </c>
      <c r="AO80">
        <f>'Grid_Stock'!AM6</f>
        <v/>
      </c>
      <c r="AP80">
        <f>'Grid_Stock'!AN6</f>
        <v/>
      </c>
      <c r="AQ80">
        <f>'Grid_Stock'!AO6</f>
        <v/>
      </c>
      <c r="AR80">
        <f>'Grid_Stock'!AP6</f>
        <v/>
      </c>
      <c r="AS80">
        <f>'Grid_Stock'!AQ6</f>
        <v/>
      </c>
      <c r="AT80">
        <f>'Grid_Stock'!AR6</f>
        <v/>
      </c>
      <c r="AU80">
        <f>'Grid_Stock'!AS6</f>
        <v/>
      </c>
      <c r="AV80">
        <f>'Grid_Stock'!AT6</f>
        <v/>
      </c>
      <c r="AW80">
        <f>'Grid_Stock'!AU6</f>
        <v/>
      </c>
      <c r="AX80">
        <f>'Grid_Stock'!AV6</f>
        <v/>
      </c>
      <c r="AY80">
        <f>'Grid_Stock'!AW6</f>
        <v/>
      </c>
      <c r="AZ80">
        <f>'Grid_Stock'!AX6</f>
        <v/>
      </c>
      <c r="BA80">
        <f>'Grid_Stock'!AY6</f>
        <v/>
      </c>
      <c r="BB80">
        <f>'Grid_Stock'!AZ6</f>
        <v/>
      </c>
      <c r="BC80">
        <f>'Grid_Stock'!BA6</f>
        <v/>
      </c>
      <c r="BD80">
        <f>'Grid_Stock'!BB6</f>
        <v/>
      </c>
      <c r="BE80">
        <f>'Grid_Stock'!BC6</f>
        <v/>
      </c>
      <c r="BF80">
        <f>'Grid_Stock'!BD6</f>
        <v/>
      </c>
      <c r="BG80">
        <f>'Grid_Stock'!BE6</f>
        <v/>
      </c>
      <c r="BH80">
        <f>'Grid_Stock'!BF6</f>
        <v/>
      </c>
      <c r="BI80">
        <f>'Grid_Stock'!BG6</f>
        <v/>
      </c>
      <c r="BJ80">
        <f>'Grid_Stock'!BH6</f>
        <v/>
      </c>
      <c r="BK80">
        <f>'Grid_Stock'!BI6</f>
        <v/>
      </c>
      <c r="BL80">
        <f>'Grid_Stock'!BJ6</f>
        <v/>
      </c>
      <c r="BM80">
        <f>'Grid_Stock'!BK6</f>
        <v/>
      </c>
      <c r="BN80">
        <f>'Grid_Stock'!BL6</f>
        <v/>
      </c>
      <c r="BO80">
        <f>'Grid_Stock'!BM6</f>
        <v/>
      </c>
      <c r="BP80">
        <f>'Grid_Stock'!BN6</f>
        <v/>
      </c>
      <c r="BQ80">
        <f>'Grid_Stock'!BO6</f>
        <v/>
      </c>
      <c r="BR80">
        <f>'Grid_Stock'!BP6</f>
        <v/>
      </c>
      <c r="BS80">
        <f>'Grid_Stock'!BQ6</f>
        <v/>
      </c>
      <c r="BT80">
        <f>'Grid_Stock'!BR6</f>
        <v/>
      </c>
      <c r="BU80">
        <f>'Grid_Stock'!BS6</f>
        <v/>
      </c>
      <c r="BV80">
        <f>'Grid_Stock'!BT6</f>
        <v/>
      </c>
      <c r="BW80">
        <f>'Grid_Stock'!BU6</f>
        <v/>
      </c>
      <c r="BX80">
        <f>'Grid_Stock'!BV6</f>
        <v/>
      </c>
      <c r="BY80">
        <f>'Grid_Stock'!BW6</f>
        <v/>
      </c>
      <c r="BZ80">
        <f>'Grid_Stock'!BX6</f>
        <v/>
      </c>
      <c r="CA80">
        <f>'Grid_Stock'!BY6</f>
        <v/>
      </c>
      <c r="CB80">
        <f>'Grid_Stock'!BZ6</f>
        <v/>
      </c>
      <c r="CC80">
        <f>'Grid_Stock'!CA6</f>
        <v/>
      </c>
      <c r="CD80">
        <f>'Grid_Stock'!CB6</f>
        <v/>
      </c>
      <c r="CE80">
        <f>'Grid_Stock'!CC6</f>
        <v/>
      </c>
      <c r="CF80">
        <f>'Grid_Stock'!CD6</f>
        <v/>
      </c>
      <c r="CG80">
        <f>'Grid_Stock'!CE6</f>
        <v/>
      </c>
      <c r="CH80">
        <f>'Grid_Stock'!CF6</f>
        <v/>
      </c>
      <c r="CI80">
        <f>'Grid_Stock'!CG6</f>
        <v/>
      </c>
      <c r="CJ80">
        <f>'Grid_Stock'!CH6</f>
        <v/>
      </c>
      <c r="CK80">
        <f>'Grid_Stock'!CI6</f>
        <v/>
      </c>
      <c r="CL80">
        <f>'Grid_Stock'!CJ6</f>
        <v/>
      </c>
      <c r="CM80">
        <f>'Grid_Stock'!CK6</f>
        <v/>
      </c>
      <c r="CN80">
        <f>'Grid_Stock'!CL6</f>
        <v/>
      </c>
      <c r="CO80">
        <f>'Grid_Stock'!CM6</f>
        <v/>
      </c>
      <c r="CP80">
        <f>'Grid_Stock'!CN6</f>
        <v/>
      </c>
      <c r="CQ80">
        <f>'Grid_Stock'!CO6</f>
        <v/>
      </c>
      <c r="CR80">
        <f>'Grid_Stock'!CP6</f>
        <v/>
      </c>
      <c r="CS80">
        <f>'Grid_Stock'!CQ6</f>
        <v/>
      </c>
      <c r="CT80">
        <f>'Grid_Stock'!CR6</f>
        <v/>
      </c>
      <c r="CU80">
        <f>'Grid_Stock'!CS6</f>
        <v/>
      </c>
      <c r="CV80">
        <f>'Grid_Stock'!CT6</f>
        <v/>
      </c>
      <c r="CW80">
        <f>'Grid_Stock'!CU6</f>
        <v/>
      </c>
      <c r="CX80">
        <f>'Grid_Stock'!CV6</f>
        <v/>
      </c>
      <c r="CY80">
        <f>'Grid_Stock'!CW6</f>
        <v/>
      </c>
      <c r="CZ80">
        <f>'Grid_Stock'!CX6</f>
        <v/>
      </c>
      <c r="DA80">
        <f>'Grid_Stock'!CY6</f>
        <v/>
      </c>
      <c r="DB80">
        <f>'Grid_Stock'!CZ6</f>
        <v/>
      </c>
      <c r="DC80">
        <f>'Grid_Stock'!DA6</f>
        <v/>
      </c>
    </row>
    <row r="81">
      <c r="B81" s="23" t="inlineStr">
        <is>
          <t>（発注の目安はDashboardの基準在庫[下限/上限]と色分けを参照）</t>
        </is>
      </c>
    </row>
    <row r="83">
      <c r="A83" s="21" t="inlineStr">
        <is>
          <t>OJN</t>
        </is>
      </c>
      <c r="B83" s="21" t="inlineStr">
        <is>
          <t>Substrate TTAF WF6</t>
        </is>
      </c>
      <c r="C83" s="22" t="n"/>
      <c r="D83" s="21" t="n"/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1" t="n"/>
      <c r="AE83" s="21" t="n"/>
      <c r="AF83" s="21" t="n"/>
      <c r="AG83" s="21" t="n"/>
      <c r="AH83" s="21" t="n"/>
      <c r="AI83" s="21" t="n"/>
      <c r="AJ83" s="21" t="n"/>
      <c r="AK83" s="21" t="n"/>
      <c r="AL83" s="21" t="n"/>
      <c r="AM83" s="21" t="n"/>
      <c r="AN83" s="21" t="n"/>
      <c r="AO83" s="21" t="n"/>
      <c r="AP83" s="21" t="n"/>
      <c r="AQ83" s="21" t="n"/>
      <c r="AR83" s="21" t="n"/>
      <c r="AS83" s="21" t="n"/>
      <c r="AT83" s="21" t="n"/>
      <c r="AU83" s="21" t="n"/>
      <c r="AV83" s="21" t="n"/>
      <c r="AW83" s="21" t="n"/>
      <c r="AX83" s="21" t="n"/>
      <c r="AY83" s="21" t="n"/>
      <c r="AZ83" s="21" t="n"/>
      <c r="BA83" s="21" t="n"/>
      <c r="BB83" s="21" t="n"/>
      <c r="BC83" s="21" t="n"/>
      <c r="BD83" s="21" t="n"/>
      <c r="BE83" s="21" t="n"/>
      <c r="BF83" s="21" t="n"/>
      <c r="BG83" s="21" t="n"/>
      <c r="BH83" s="21" t="n"/>
      <c r="BI83" s="21" t="n"/>
      <c r="BJ83" s="21" t="n"/>
      <c r="BK83" s="21" t="n"/>
      <c r="BL83" s="21" t="n"/>
      <c r="BM83" s="21" t="n"/>
      <c r="BN83" s="21" t="n"/>
      <c r="BO83" s="21" t="n"/>
      <c r="BP83" s="21" t="n"/>
      <c r="BQ83" s="21" t="n"/>
      <c r="BR83" s="21" t="n"/>
      <c r="BS83" s="21" t="n"/>
      <c r="BT83" s="21" t="n"/>
      <c r="BU83" s="21" t="n"/>
      <c r="BV83" s="21" t="n"/>
      <c r="BW83" s="21" t="n"/>
      <c r="BX83" s="21" t="n"/>
      <c r="BY83" s="21" t="n"/>
      <c r="BZ83" s="21" t="n"/>
      <c r="CA83" s="21" t="n"/>
      <c r="CB83" s="21" t="n"/>
      <c r="CC83" s="21" t="n"/>
      <c r="CD83" s="21" t="n"/>
      <c r="CE83" s="21" t="n"/>
      <c r="CF83" s="21" t="n"/>
      <c r="CG83" s="21" t="n"/>
      <c r="CH83" s="21" t="n"/>
      <c r="CI83" s="21" t="n"/>
      <c r="CJ83" s="21" t="n"/>
      <c r="CK83" s="21" t="n"/>
      <c r="CL83" s="21" t="n"/>
      <c r="CM83" s="21" t="n"/>
      <c r="CN83" s="21" t="n"/>
      <c r="CO83" s="21" t="n"/>
      <c r="CP83" s="21" t="n"/>
      <c r="CQ83" s="21" t="n"/>
      <c r="CR83" s="21" t="n"/>
      <c r="CS83" s="21" t="n"/>
      <c r="CT83" s="21" t="n"/>
      <c r="CU83" s="21" t="n"/>
      <c r="CV83" s="21" t="n"/>
      <c r="CW83" s="21" t="n"/>
      <c r="CX83" s="21" t="n"/>
      <c r="CY83" s="21" t="n"/>
      <c r="CZ83" s="21" t="n"/>
      <c r="DA83" s="21" t="n"/>
      <c r="DB83" s="21" t="n"/>
      <c r="DC83" s="21" t="n"/>
    </row>
    <row r="84">
      <c r="B84" t="inlineStr">
        <is>
          <t>F2090</t>
        </is>
      </c>
      <c r="C84" t="inlineStr">
        <is>
          <t>No. of batches</t>
        </is>
      </c>
      <c r="D84">
        <f>IFERROR(INDEX(PP_Grid[#Data],$DD84,2),0)</f>
        <v/>
      </c>
      <c r="E84">
        <f>IFERROR(INDEX(PP_Grid[#Data],$DD84,3),0)</f>
        <v/>
      </c>
      <c r="F84">
        <f>IFERROR(INDEX(PP_Grid[#Data],$DD84,4),0)</f>
        <v/>
      </c>
      <c r="G84">
        <f>IFERROR(INDEX(PP_Grid[#Data],$DD84,5),0)</f>
        <v/>
      </c>
      <c r="H84">
        <f>IFERROR(INDEX(PP_Grid[#Data],$DD84,6),0)</f>
        <v/>
      </c>
      <c r="I84">
        <f>IFERROR(INDEX(PP_Grid[#Data],$DD84,7),0)</f>
        <v/>
      </c>
      <c r="J84">
        <f>IFERROR(INDEX(PP_Grid[#Data],$DD84,8),0)</f>
        <v/>
      </c>
      <c r="K84">
        <f>IFERROR(INDEX(PP_Grid[#Data],$DD84,9),0)</f>
        <v/>
      </c>
      <c r="L84">
        <f>IFERROR(INDEX(PP_Grid[#Data],$DD84,10),0)</f>
        <v/>
      </c>
      <c r="M84">
        <f>IFERROR(INDEX(PP_Grid[#Data],$DD84,11),0)</f>
        <v/>
      </c>
      <c r="N84">
        <f>IFERROR(INDEX(PP_Grid[#Data],$DD84,12),0)</f>
        <v/>
      </c>
      <c r="O84">
        <f>IFERROR(INDEX(PP_Grid[#Data],$DD84,13),0)</f>
        <v/>
      </c>
      <c r="P84">
        <f>IFERROR(INDEX(PP_Grid[#Data],$DD84,14),0)</f>
        <v/>
      </c>
      <c r="Q84">
        <f>IFERROR(INDEX(PP_Grid[#Data],$DD84,15),0)</f>
        <v/>
      </c>
      <c r="R84">
        <f>IFERROR(INDEX(PP_Grid[#Data],$DD84,16),0)</f>
        <v/>
      </c>
      <c r="S84">
        <f>IFERROR(INDEX(PP_Grid[#Data],$DD84,17),0)</f>
        <v/>
      </c>
      <c r="T84">
        <f>IFERROR(INDEX(PP_Grid[#Data],$DD84,18),0)</f>
        <v/>
      </c>
      <c r="U84">
        <f>IFERROR(INDEX(PP_Grid[#Data],$DD84,19),0)</f>
        <v/>
      </c>
      <c r="V84">
        <f>IFERROR(INDEX(PP_Grid[#Data],$DD84,20),0)</f>
        <v/>
      </c>
      <c r="W84">
        <f>IFERROR(INDEX(PP_Grid[#Data],$DD84,21),0)</f>
        <v/>
      </c>
      <c r="X84">
        <f>IFERROR(INDEX(PP_Grid[#Data],$DD84,22),0)</f>
        <v/>
      </c>
      <c r="Y84">
        <f>IFERROR(INDEX(PP_Grid[#Data],$DD84,23),0)</f>
        <v/>
      </c>
      <c r="Z84">
        <f>IFERROR(INDEX(PP_Grid[#Data],$DD84,24),0)</f>
        <v/>
      </c>
      <c r="AA84">
        <f>IFERROR(INDEX(PP_Grid[#Data],$DD84,25),0)</f>
        <v/>
      </c>
      <c r="AB84">
        <f>IFERROR(INDEX(PP_Grid[#Data],$DD84,26),0)</f>
        <v/>
      </c>
      <c r="AC84">
        <f>IFERROR(INDEX(PP_Grid[#Data],$DD84,27),0)</f>
        <v/>
      </c>
      <c r="AD84">
        <f>IFERROR(INDEX(PP_Grid[#Data],$DD84,28),0)</f>
        <v/>
      </c>
      <c r="AE84">
        <f>IFERROR(INDEX(PP_Grid[#Data],$DD84,29),0)</f>
        <v/>
      </c>
      <c r="AF84">
        <f>IFERROR(INDEX(PP_Grid[#Data],$DD84,30),0)</f>
        <v/>
      </c>
      <c r="AG84">
        <f>IFERROR(INDEX(PP_Grid[#Data],$DD84,31),0)</f>
        <v/>
      </c>
      <c r="AH84">
        <f>IFERROR(INDEX(PP_Grid[#Data],$DD84,32),0)</f>
        <v/>
      </c>
      <c r="AI84">
        <f>IFERROR(INDEX(PP_Grid[#Data],$DD84,33),0)</f>
        <v/>
      </c>
      <c r="AJ84">
        <f>IFERROR(INDEX(PP_Grid[#Data],$DD84,34),0)</f>
        <v/>
      </c>
      <c r="AK84">
        <f>IFERROR(INDEX(PP_Grid[#Data],$DD84,35),0)</f>
        <v/>
      </c>
      <c r="AL84">
        <f>IFERROR(INDEX(PP_Grid[#Data],$DD84,36),0)</f>
        <v/>
      </c>
      <c r="AM84">
        <f>IFERROR(INDEX(PP_Grid[#Data],$DD84,37),0)</f>
        <v/>
      </c>
      <c r="AN84">
        <f>IFERROR(INDEX(PP_Grid[#Data],$DD84,38),0)</f>
        <v/>
      </c>
      <c r="AO84">
        <f>IFERROR(INDEX(PP_Grid[#Data],$DD84,39),0)</f>
        <v/>
      </c>
      <c r="AP84">
        <f>IFERROR(INDEX(PP_Grid[#Data],$DD84,40),0)</f>
        <v/>
      </c>
      <c r="AQ84">
        <f>IFERROR(INDEX(PP_Grid[#Data],$DD84,41),0)</f>
        <v/>
      </c>
      <c r="AR84">
        <f>IFERROR(INDEX(PP_Grid[#Data],$DD84,42),0)</f>
        <v/>
      </c>
      <c r="AS84">
        <f>IFERROR(INDEX(PP_Grid[#Data],$DD84,43),0)</f>
        <v/>
      </c>
      <c r="AT84">
        <f>IFERROR(INDEX(PP_Grid[#Data],$DD84,44),0)</f>
        <v/>
      </c>
      <c r="AU84">
        <f>IFERROR(INDEX(PP_Grid[#Data],$DD84,45),0)</f>
        <v/>
      </c>
      <c r="AV84">
        <f>IFERROR(INDEX(PP_Grid[#Data],$DD84,46),0)</f>
        <v/>
      </c>
      <c r="AW84">
        <f>IFERROR(INDEX(PP_Grid[#Data],$DD84,47),0)</f>
        <v/>
      </c>
      <c r="AX84">
        <f>IFERROR(INDEX(PP_Grid[#Data],$DD84,48),0)</f>
        <v/>
      </c>
      <c r="AY84">
        <f>IFERROR(INDEX(PP_Grid[#Data],$DD84,49),0)</f>
        <v/>
      </c>
      <c r="AZ84">
        <f>IFERROR(INDEX(PP_Grid[#Data],$DD84,50),0)</f>
        <v/>
      </c>
      <c r="BA84">
        <f>IFERROR(INDEX(PP_Grid[#Data],$DD84,51),0)</f>
        <v/>
      </c>
      <c r="BB84">
        <f>IFERROR(INDEX(PP_Grid[#Data],$DD84,52),0)</f>
        <v/>
      </c>
      <c r="BC84">
        <f>IFERROR(INDEX(PP_Grid[#Data],$DD84,53),0)</f>
        <v/>
      </c>
      <c r="BD84">
        <f>IFERROR(INDEX(PP_Grid[#Data],$DD84,54),0)</f>
        <v/>
      </c>
      <c r="BE84">
        <f>IFERROR(INDEX(PP_Grid[#Data],$DD84,55),0)</f>
        <v/>
      </c>
      <c r="BF84">
        <f>IFERROR(INDEX(PP_Grid[#Data],$DD84,56),0)</f>
        <v/>
      </c>
      <c r="BG84">
        <f>IFERROR(INDEX(PP_Grid[#Data],$DD84,57),0)</f>
        <v/>
      </c>
      <c r="BH84">
        <f>IFERROR(INDEX(PP_Grid[#Data],$DD84,58),0)</f>
        <v/>
      </c>
      <c r="BI84">
        <f>IFERROR(INDEX(PP_Grid[#Data],$DD84,59),0)</f>
        <v/>
      </c>
      <c r="BJ84">
        <f>IFERROR(INDEX(PP_Grid[#Data],$DD84,60),0)</f>
        <v/>
      </c>
      <c r="BK84">
        <f>IFERROR(INDEX(PP_Grid[#Data],$DD84,61),0)</f>
        <v/>
      </c>
      <c r="BL84">
        <f>IFERROR(INDEX(PP_Grid[#Data],$DD84,62),0)</f>
        <v/>
      </c>
      <c r="BM84">
        <f>IFERROR(INDEX(PP_Grid[#Data],$DD84,63),0)</f>
        <v/>
      </c>
      <c r="BN84">
        <f>IFERROR(INDEX(PP_Grid[#Data],$DD84,64),0)</f>
        <v/>
      </c>
      <c r="BO84">
        <f>IFERROR(INDEX(PP_Grid[#Data],$DD84,65),0)</f>
        <v/>
      </c>
      <c r="BP84">
        <f>IFERROR(INDEX(PP_Grid[#Data],$DD84,66),0)</f>
        <v/>
      </c>
      <c r="BQ84">
        <f>IFERROR(INDEX(PP_Grid[#Data],$DD84,67),0)</f>
        <v/>
      </c>
      <c r="BR84">
        <f>IFERROR(INDEX(PP_Grid[#Data],$DD84,68),0)</f>
        <v/>
      </c>
      <c r="BS84">
        <f>IFERROR(INDEX(PP_Grid[#Data],$DD84,69),0)</f>
        <v/>
      </c>
      <c r="BT84">
        <f>IFERROR(INDEX(PP_Grid[#Data],$DD84,70),0)</f>
        <v/>
      </c>
      <c r="BU84">
        <f>IFERROR(INDEX(PP_Grid[#Data],$DD84,71),0)</f>
        <v/>
      </c>
      <c r="BV84">
        <f>IFERROR(INDEX(PP_Grid[#Data],$DD84,72),0)</f>
        <v/>
      </c>
      <c r="BW84">
        <f>IFERROR(INDEX(PP_Grid[#Data],$DD84,73),0)</f>
        <v/>
      </c>
      <c r="BX84">
        <f>IFERROR(INDEX(PP_Grid[#Data],$DD84,74),0)</f>
        <v/>
      </c>
      <c r="BY84">
        <f>IFERROR(INDEX(PP_Grid[#Data],$DD84,75),0)</f>
        <v/>
      </c>
      <c r="BZ84">
        <f>IFERROR(INDEX(PP_Grid[#Data],$DD84,76),0)</f>
        <v/>
      </c>
      <c r="CA84">
        <f>IFERROR(INDEX(PP_Grid[#Data],$DD84,77),0)</f>
        <v/>
      </c>
      <c r="CB84">
        <f>IFERROR(INDEX(PP_Grid[#Data],$DD84,78),0)</f>
        <v/>
      </c>
      <c r="CC84">
        <f>IFERROR(INDEX(PP_Grid[#Data],$DD84,79),0)</f>
        <v/>
      </c>
      <c r="CD84">
        <f>IFERROR(INDEX(PP_Grid[#Data],$DD84,80),0)</f>
        <v/>
      </c>
      <c r="CE84">
        <f>IFERROR(INDEX(PP_Grid[#Data],$DD84,81),0)</f>
        <v/>
      </c>
      <c r="CF84">
        <f>IFERROR(INDEX(PP_Grid[#Data],$DD84,82),0)</f>
        <v/>
      </c>
      <c r="CG84">
        <f>IFERROR(INDEX(PP_Grid[#Data],$DD84,83),0)</f>
        <v/>
      </c>
      <c r="CH84">
        <f>IFERROR(INDEX(PP_Grid[#Data],$DD84,84),0)</f>
        <v/>
      </c>
      <c r="CI84">
        <f>IFERROR(INDEX(PP_Grid[#Data],$DD84,85),0)</f>
        <v/>
      </c>
      <c r="CJ84">
        <f>IFERROR(INDEX(PP_Grid[#Data],$DD84,86),0)</f>
        <v/>
      </c>
      <c r="CK84">
        <f>IFERROR(INDEX(PP_Grid[#Data],$DD84,87),0)</f>
        <v/>
      </c>
      <c r="CL84">
        <f>IFERROR(INDEX(PP_Grid[#Data],$DD84,88),0)</f>
        <v/>
      </c>
      <c r="CM84">
        <f>IFERROR(INDEX(PP_Grid[#Data],$DD84,89),0)</f>
        <v/>
      </c>
      <c r="CN84">
        <f>IFERROR(INDEX(PP_Grid[#Data],$DD84,90),0)</f>
        <v/>
      </c>
      <c r="CO84">
        <f>IFERROR(INDEX(PP_Grid[#Data],$DD84,91),0)</f>
        <v/>
      </c>
      <c r="CP84">
        <f>IFERROR(INDEX(PP_Grid[#Data],$DD84,92),0)</f>
        <v/>
      </c>
      <c r="CQ84">
        <f>IFERROR(INDEX(PP_Grid[#Data],$DD84,93),0)</f>
        <v/>
      </c>
      <c r="CR84">
        <f>IFERROR(INDEX(PP_Grid[#Data],$DD84,94),0)</f>
        <v/>
      </c>
      <c r="CS84">
        <f>IFERROR(INDEX(PP_Grid[#Data],$DD84,95),0)</f>
        <v/>
      </c>
      <c r="CT84">
        <f>IFERROR(INDEX(PP_Grid[#Data],$DD84,96),0)</f>
        <v/>
      </c>
      <c r="CU84">
        <f>IFERROR(INDEX(PP_Grid[#Data],$DD84,97),0)</f>
        <v/>
      </c>
      <c r="CV84">
        <f>IFERROR(INDEX(PP_Grid[#Data],$DD84,98),0)</f>
        <v/>
      </c>
      <c r="CW84">
        <f>IFERROR(INDEX(PP_Grid[#Data],$DD84,99),0)</f>
        <v/>
      </c>
      <c r="CX84">
        <f>IFERROR(INDEX(PP_Grid[#Data],$DD84,100),0)</f>
        <v/>
      </c>
      <c r="CY84">
        <f>IFERROR(INDEX(PP_Grid[#Data],$DD84,101),0)</f>
        <v/>
      </c>
      <c r="CZ84">
        <f>IFERROR(INDEX(PP_Grid[#Data],$DD84,102),0)</f>
        <v/>
      </c>
      <c r="DA84">
        <f>IFERROR(INDEX(PP_Grid[#Data],$DD84,103),0)</f>
        <v/>
      </c>
      <c r="DB84">
        <f>IFERROR(INDEX(PP_Grid[#Data],$DD84,104),0)</f>
        <v/>
      </c>
      <c r="DC84">
        <f>IFERROR(INDEX(PP_Grid[#Data],$DD84,105),0)</f>
        <v/>
      </c>
      <c r="DD84" s="12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SUMIFS(M_BOM[RM_Qty_Per_Batch],M_BOM[Intermediate],$B84,M_BOM[Part Name],$A83)</f>
        <v/>
      </c>
      <c r="D85">
        <f>$C85*D84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</row>
    <row r="86">
      <c r="B86" s="5" t="inlineStr">
        <is>
          <t>合計使用量(kg)/週</t>
        </is>
      </c>
      <c r="D86">
        <f>'Grid_Requirement'!B7</f>
        <v/>
      </c>
      <c r="E86">
        <f>'Grid_Requirement'!C7</f>
        <v/>
      </c>
      <c r="F86">
        <f>'Grid_Requirement'!D7</f>
        <v/>
      </c>
      <c r="G86">
        <f>'Grid_Requirement'!E7</f>
        <v/>
      </c>
      <c r="H86">
        <f>'Grid_Requirement'!F7</f>
        <v/>
      </c>
      <c r="I86">
        <f>'Grid_Requirement'!G7</f>
        <v/>
      </c>
      <c r="J86">
        <f>'Grid_Requirement'!H7</f>
        <v/>
      </c>
      <c r="K86">
        <f>'Grid_Requirement'!I7</f>
        <v/>
      </c>
      <c r="L86">
        <f>'Grid_Requirement'!J7</f>
        <v/>
      </c>
      <c r="M86">
        <f>'Grid_Requirement'!K7</f>
        <v/>
      </c>
      <c r="N86">
        <f>'Grid_Requirement'!L7</f>
        <v/>
      </c>
      <c r="O86">
        <f>'Grid_Requirement'!M7</f>
        <v/>
      </c>
      <c r="P86">
        <f>'Grid_Requirement'!N7</f>
        <v/>
      </c>
      <c r="Q86">
        <f>'Grid_Requirement'!O7</f>
        <v/>
      </c>
      <c r="R86">
        <f>'Grid_Requirement'!P7</f>
        <v/>
      </c>
      <c r="S86">
        <f>'Grid_Requirement'!Q7</f>
        <v/>
      </c>
      <c r="T86">
        <f>'Grid_Requirement'!R7</f>
        <v/>
      </c>
      <c r="U86">
        <f>'Grid_Requirement'!S7</f>
        <v/>
      </c>
      <c r="V86">
        <f>'Grid_Requirement'!T7</f>
        <v/>
      </c>
      <c r="W86">
        <f>'Grid_Requirement'!U7</f>
        <v/>
      </c>
      <c r="X86">
        <f>'Grid_Requirement'!V7</f>
        <v/>
      </c>
      <c r="Y86">
        <f>'Grid_Requirement'!W7</f>
        <v/>
      </c>
      <c r="Z86">
        <f>'Grid_Requirement'!X7</f>
        <v/>
      </c>
      <c r="AA86">
        <f>'Grid_Requirement'!Y7</f>
        <v/>
      </c>
      <c r="AB86">
        <f>'Grid_Requirement'!Z7</f>
        <v/>
      </c>
      <c r="AC86">
        <f>'Grid_Requirement'!AA7</f>
        <v/>
      </c>
      <c r="AD86">
        <f>'Grid_Requirement'!AB7</f>
        <v/>
      </c>
      <c r="AE86">
        <f>'Grid_Requirement'!AC7</f>
        <v/>
      </c>
      <c r="AF86">
        <f>'Grid_Requirement'!AD7</f>
        <v/>
      </c>
      <c r="AG86">
        <f>'Grid_Requirement'!AE7</f>
        <v/>
      </c>
      <c r="AH86">
        <f>'Grid_Requirement'!AF7</f>
        <v/>
      </c>
      <c r="AI86">
        <f>'Grid_Requirement'!AG7</f>
        <v/>
      </c>
      <c r="AJ86">
        <f>'Grid_Requirement'!AH7</f>
        <v/>
      </c>
      <c r="AK86">
        <f>'Grid_Requirement'!AI7</f>
        <v/>
      </c>
      <c r="AL86">
        <f>'Grid_Requirement'!AJ7</f>
        <v/>
      </c>
      <c r="AM86">
        <f>'Grid_Requirement'!AK7</f>
        <v/>
      </c>
      <c r="AN86">
        <f>'Grid_Requirement'!AL7</f>
        <v/>
      </c>
      <c r="AO86">
        <f>'Grid_Requirement'!AM7</f>
        <v/>
      </c>
      <c r="AP86">
        <f>'Grid_Requirement'!AN7</f>
        <v/>
      </c>
      <c r="AQ86">
        <f>'Grid_Requirement'!AO7</f>
        <v/>
      </c>
      <c r="AR86">
        <f>'Grid_Requirement'!AP7</f>
        <v/>
      </c>
      <c r="AS86">
        <f>'Grid_Requirement'!AQ7</f>
        <v/>
      </c>
      <c r="AT86">
        <f>'Grid_Requirement'!AR7</f>
        <v/>
      </c>
      <c r="AU86">
        <f>'Grid_Requirement'!AS7</f>
        <v/>
      </c>
      <c r="AV86">
        <f>'Grid_Requirement'!AT7</f>
        <v/>
      </c>
      <c r="AW86">
        <f>'Grid_Requirement'!AU7</f>
        <v/>
      </c>
      <c r="AX86">
        <f>'Grid_Requirement'!AV7</f>
        <v/>
      </c>
      <c r="AY86">
        <f>'Grid_Requirement'!AW7</f>
        <v/>
      </c>
      <c r="AZ86">
        <f>'Grid_Requirement'!AX7</f>
        <v/>
      </c>
      <c r="BA86">
        <f>'Grid_Requirement'!AY7</f>
        <v/>
      </c>
      <c r="BB86">
        <f>'Grid_Requirement'!AZ7</f>
        <v/>
      </c>
      <c r="BC86">
        <f>'Grid_Requirement'!BA7</f>
        <v/>
      </c>
      <c r="BD86">
        <f>'Grid_Requirement'!BB7</f>
        <v/>
      </c>
      <c r="BE86">
        <f>'Grid_Requirement'!BC7</f>
        <v/>
      </c>
      <c r="BF86">
        <f>'Grid_Requirement'!BD7</f>
        <v/>
      </c>
      <c r="BG86">
        <f>'Grid_Requirement'!BE7</f>
        <v/>
      </c>
      <c r="BH86">
        <f>'Grid_Requirement'!BF7</f>
        <v/>
      </c>
      <c r="BI86">
        <f>'Grid_Requirement'!BG7</f>
        <v/>
      </c>
      <c r="BJ86">
        <f>'Grid_Requirement'!BH7</f>
        <v/>
      </c>
      <c r="BK86">
        <f>'Grid_Requirement'!BI7</f>
        <v/>
      </c>
      <c r="BL86">
        <f>'Grid_Requirement'!BJ7</f>
        <v/>
      </c>
      <c r="BM86">
        <f>'Grid_Requirement'!BK7</f>
        <v/>
      </c>
      <c r="BN86">
        <f>'Grid_Requirement'!BL7</f>
        <v/>
      </c>
      <c r="BO86">
        <f>'Grid_Requirement'!BM7</f>
        <v/>
      </c>
      <c r="BP86">
        <f>'Grid_Requirement'!BN7</f>
        <v/>
      </c>
      <c r="BQ86">
        <f>'Grid_Requirement'!BO7</f>
        <v/>
      </c>
      <c r="BR86">
        <f>'Grid_Requirement'!BP7</f>
        <v/>
      </c>
      <c r="BS86">
        <f>'Grid_Requirement'!BQ7</f>
        <v/>
      </c>
      <c r="BT86">
        <f>'Grid_Requirement'!BR7</f>
        <v/>
      </c>
      <c r="BU86">
        <f>'Grid_Requirement'!BS7</f>
        <v/>
      </c>
      <c r="BV86">
        <f>'Grid_Requirement'!BT7</f>
        <v/>
      </c>
      <c r="BW86">
        <f>'Grid_Requirement'!BU7</f>
        <v/>
      </c>
      <c r="BX86">
        <f>'Grid_Requirement'!BV7</f>
        <v/>
      </c>
      <c r="BY86">
        <f>'Grid_Requirement'!BW7</f>
        <v/>
      </c>
      <c r="BZ86">
        <f>'Grid_Requirement'!BX7</f>
        <v/>
      </c>
      <c r="CA86">
        <f>'Grid_Requirement'!BY7</f>
        <v/>
      </c>
      <c r="CB86">
        <f>'Grid_Requirement'!BZ7</f>
        <v/>
      </c>
      <c r="CC86">
        <f>'Grid_Requirement'!CA7</f>
        <v/>
      </c>
      <c r="CD86">
        <f>'Grid_Requirement'!CB7</f>
        <v/>
      </c>
      <c r="CE86">
        <f>'Grid_Requirement'!CC7</f>
        <v/>
      </c>
      <c r="CF86">
        <f>'Grid_Requirement'!CD7</f>
        <v/>
      </c>
      <c r="CG86">
        <f>'Grid_Requirement'!CE7</f>
        <v/>
      </c>
      <c r="CH86">
        <f>'Grid_Requirement'!CF7</f>
        <v/>
      </c>
      <c r="CI86">
        <f>'Grid_Requirement'!CG7</f>
        <v/>
      </c>
      <c r="CJ86">
        <f>'Grid_Requirement'!CH7</f>
        <v/>
      </c>
      <c r="CK86">
        <f>'Grid_Requirement'!CI7</f>
        <v/>
      </c>
      <c r="CL86">
        <f>'Grid_Requirement'!CJ7</f>
        <v/>
      </c>
      <c r="CM86">
        <f>'Grid_Requirement'!CK7</f>
        <v/>
      </c>
      <c r="CN86">
        <f>'Grid_Requirement'!CL7</f>
        <v/>
      </c>
      <c r="CO86">
        <f>'Grid_Requirement'!CM7</f>
        <v/>
      </c>
      <c r="CP86">
        <f>'Grid_Requirement'!CN7</f>
        <v/>
      </c>
      <c r="CQ86">
        <f>'Grid_Requirement'!CO7</f>
        <v/>
      </c>
      <c r="CR86">
        <f>'Grid_Requirement'!CP7</f>
        <v/>
      </c>
      <c r="CS86">
        <f>'Grid_Requirement'!CQ7</f>
        <v/>
      </c>
      <c r="CT86">
        <f>'Grid_Requirement'!CR7</f>
        <v/>
      </c>
      <c r="CU86">
        <f>'Grid_Requirement'!CS7</f>
        <v/>
      </c>
      <c r="CV86">
        <f>'Grid_Requirement'!CT7</f>
        <v/>
      </c>
      <c r="CW86">
        <f>'Grid_Requirement'!CU7</f>
        <v/>
      </c>
      <c r="CX86">
        <f>'Grid_Requirement'!CV7</f>
        <v/>
      </c>
      <c r="CY86">
        <f>'Grid_Requirement'!CW7</f>
        <v/>
      </c>
      <c r="CZ86">
        <f>'Grid_Requirement'!CX7</f>
        <v/>
      </c>
      <c r="DA86">
        <f>'Grid_Requirement'!CY7</f>
        <v/>
      </c>
      <c r="DB86">
        <f>'Grid_Requirement'!CZ7</f>
        <v/>
      </c>
      <c r="DC86">
        <f>'Grid_Requirement'!DA7</f>
        <v/>
      </c>
    </row>
    <row r="87">
      <c r="B87" t="inlineStr">
        <is>
          <t>TTAF在庫(実績,kg)</t>
        </is>
      </c>
      <c r="D87">
        <f>'T_TTAFStock'!B11</f>
        <v/>
      </c>
      <c r="E87">
        <f>'T_TTAFStock'!C11</f>
        <v/>
      </c>
      <c r="F87">
        <f>'T_TTAFStock'!D11</f>
        <v/>
      </c>
      <c r="G87">
        <f>'T_TTAFStock'!E11</f>
        <v/>
      </c>
      <c r="H87">
        <f>'T_TTAFStock'!F11</f>
        <v/>
      </c>
      <c r="I87">
        <f>'T_TTAFStock'!G11</f>
        <v/>
      </c>
      <c r="J87">
        <f>'T_TTAFStock'!H11</f>
        <v/>
      </c>
      <c r="K87">
        <f>'T_TTAFStock'!I11</f>
        <v/>
      </c>
      <c r="L87">
        <f>'T_TTAFStock'!J11</f>
        <v/>
      </c>
      <c r="M87">
        <f>'T_TTAFStock'!K11</f>
        <v/>
      </c>
      <c r="N87">
        <f>'T_TTAFStock'!L11</f>
        <v/>
      </c>
      <c r="O87">
        <f>'T_TTAFStock'!M11</f>
        <v/>
      </c>
      <c r="P87">
        <f>'T_TTAFStock'!N11</f>
        <v/>
      </c>
      <c r="Q87">
        <f>'T_TTAFStock'!O11</f>
        <v/>
      </c>
      <c r="R87">
        <f>'T_TTAFStock'!P11</f>
        <v/>
      </c>
      <c r="S87">
        <f>'T_TTAFStock'!Q11</f>
        <v/>
      </c>
      <c r="T87">
        <f>'T_TTAFStock'!R11</f>
        <v/>
      </c>
      <c r="U87">
        <f>'T_TTAFStock'!S11</f>
        <v/>
      </c>
      <c r="V87">
        <f>'T_TTAFStock'!T11</f>
        <v/>
      </c>
      <c r="W87">
        <f>'T_TTAFStock'!U11</f>
        <v/>
      </c>
      <c r="X87">
        <f>'T_TTAFStock'!V11</f>
        <v/>
      </c>
      <c r="Y87">
        <f>'T_TTAFStock'!W11</f>
        <v/>
      </c>
      <c r="Z87">
        <f>'T_TTAFStock'!X11</f>
        <v/>
      </c>
      <c r="AA87">
        <f>'T_TTAFStock'!Y11</f>
        <v/>
      </c>
      <c r="AB87">
        <f>'T_TTAFStock'!Z11</f>
        <v/>
      </c>
      <c r="AC87">
        <f>'T_TTAFStock'!AA11</f>
        <v/>
      </c>
      <c r="AD87">
        <f>'T_TTAFStock'!AB11</f>
        <v/>
      </c>
      <c r="AE87">
        <f>'T_TTAFStock'!AC11</f>
        <v/>
      </c>
      <c r="AF87">
        <f>'T_TTAFStock'!AD11</f>
        <v/>
      </c>
      <c r="AG87">
        <f>'T_TTAFStock'!AE11</f>
        <v/>
      </c>
      <c r="AH87">
        <f>'T_TTAFStock'!AF11</f>
        <v/>
      </c>
      <c r="AI87">
        <f>'T_TTAFStock'!AG11</f>
        <v/>
      </c>
      <c r="AJ87">
        <f>'T_TTAFStock'!AH11</f>
        <v/>
      </c>
      <c r="AK87">
        <f>'T_TTAFStock'!AI11</f>
        <v/>
      </c>
      <c r="AL87">
        <f>'T_TTAFStock'!AJ11</f>
        <v/>
      </c>
      <c r="AM87">
        <f>'T_TTAFStock'!AK11</f>
        <v/>
      </c>
      <c r="AN87">
        <f>'T_TTAFStock'!AL11</f>
        <v/>
      </c>
      <c r="AO87">
        <f>'T_TTAFStock'!AM11</f>
        <v/>
      </c>
      <c r="AP87">
        <f>'T_TTAFStock'!AN11</f>
        <v/>
      </c>
      <c r="AQ87">
        <f>'T_TTAFStock'!AO11</f>
        <v/>
      </c>
      <c r="AR87">
        <f>'T_TTAFStock'!AP11</f>
        <v/>
      </c>
      <c r="AS87">
        <f>'T_TTAFStock'!AQ11</f>
        <v/>
      </c>
      <c r="AT87">
        <f>'T_TTAFStock'!AR11</f>
        <v/>
      </c>
      <c r="AU87">
        <f>'T_TTAFStock'!AS11</f>
        <v/>
      </c>
      <c r="AV87">
        <f>'T_TTAFStock'!AT11</f>
        <v/>
      </c>
      <c r="AW87">
        <f>'T_TTAFStock'!AU11</f>
        <v/>
      </c>
      <c r="AX87">
        <f>'T_TTAFStock'!AV11</f>
        <v/>
      </c>
      <c r="AY87">
        <f>'T_TTAFStock'!AW11</f>
        <v/>
      </c>
      <c r="AZ87">
        <f>'T_TTAFStock'!AX11</f>
        <v/>
      </c>
      <c r="BA87">
        <f>'T_TTAFStock'!AY11</f>
        <v/>
      </c>
      <c r="BB87">
        <f>'T_TTAFStock'!AZ11</f>
        <v/>
      </c>
      <c r="BC87">
        <f>'T_TTAFStock'!BA11</f>
        <v/>
      </c>
      <c r="BD87">
        <f>'T_TTAFStock'!BB11</f>
        <v/>
      </c>
      <c r="BE87">
        <f>'T_TTAFStock'!BC11</f>
        <v/>
      </c>
      <c r="BF87">
        <f>'T_TTAFStock'!BD11</f>
        <v/>
      </c>
      <c r="BG87">
        <f>'T_TTAFStock'!BE11</f>
        <v/>
      </c>
      <c r="BH87">
        <f>'T_TTAFStock'!BF11</f>
        <v/>
      </c>
      <c r="BI87">
        <f>'T_TTAFStock'!BG11</f>
        <v/>
      </c>
      <c r="BJ87">
        <f>'T_TTAFStock'!BH11</f>
        <v/>
      </c>
      <c r="BK87">
        <f>'T_TTAFStock'!BI11</f>
        <v/>
      </c>
      <c r="BL87">
        <f>'T_TTAFStock'!BJ11</f>
        <v/>
      </c>
      <c r="BM87">
        <f>'T_TTAFStock'!BK11</f>
        <v/>
      </c>
      <c r="BN87">
        <f>'T_TTAFStock'!BL11</f>
        <v/>
      </c>
      <c r="BO87">
        <f>'T_TTAFStock'!BM11</f>
        <v/>
      </c>
      <c r="BP87">
        <f>'T_TTAFStock'!BN11</f>
        <v/>
      </c>
      <c r="BQ87">
        <f>'T_TTAFStock'!BO11</f>
        <v/>
      </c>
      <c r="BR87">
        <f>'T_TTAFStock'!BP11</f>
        <v/>
      </c>
      <c r="BS87">
        <f>'T_TTAFStock'!BQ11</f>
        <v/>
      </c>
      <c r="BT87">
        <f>'T_TTAFStock'!BR11</f>
        <v/>
      </c>
      <c r="BU87">
        <f>'T_TTAFStock'!BS11</f>
        <v/>
      </c>
      <c r="BV87">
        <f>'T_TTAFStock'!BT11</f>
        <v/>
      </c>
      <c r="BW87">
        <f>'T_TTAFStock'!BU11</f>
        <v/>
      </c>
      <c r="BX87">
        <f>'T_TTAFStock'!BV11</f>
        <v/>
      </c>
      <c r="BY87">
        <f>'T_TTAFStock'!BW11</f>
        <v/>
      </c>
      <c r="BZ87">
        <f>'T_TTAFStock'!BX11</f>
        <v/>
      </c>
      <c r="CA87">
        <f>'T_TTAFStock'!BY11</f>
        <v/>
      </c>
      <c r="CB87">
        <f>'T_TTAFStock'!BZ11</f>
        <v/>
      </c>
      <c r="CC87">
        <f>'T_TTAFStock'!CA11</f>
        <v/>
      </c>
      <c r="CD87">
        <f>'T_TTAFStock'!CB11</f>
        <v/>
      </c>
      <c r="CE87">
        <f>'T_TTAFStock'!CC11</f>
        <v/>
      </c>
      <c r="CF87">
        <f>'T_TTAFStock'!CD11</f>
        <v/>
      </c>
      <c r="CG87">
        <f>'T_TTAFStock'!CE11</f>
        <v/>
      </c>
      <c r="CH87">
        <f>'T_TTAFStock'!CF11</f>
        <v/>
      </c>
      <c r="CI87">
        <f>'T_TTAFStock'!CG11</f>
        <v/>
      </c>
      <c r="CJ87">
        <f>'T_TTAFStock'!CH11</f>
        <v/>
      </c>
      <c r="CK87">
        <f>'T_TTAFStock'!CI11</f>
        <v/>
      </c>
      <c r="CL87">
        <f>'T_TTAFStock'!CJ11</f>
        <v/>
      </c>
      <c r="CM87">
        <f>'T_TTAFStock'!CK11</f>
        <v/>
      </c>
      <c r="CN87">
        <f>'T_TTAFStock'!CL11</f>
        <v/>
      </c>
      <c r="CO87">
        <f>'T_TTAFStock'!CM11</f>
        <v/>
      </c>
      <c r="CP87">
        <f>'T_TTAFStock'!CN11</f>
        <v/>
      </c>
      <c r="CQ87">
        <f>'T_TTAFStock'!CO11</f>
        <v/>
      </c>
      <c r="CR87">
        <f>'T_TTAFStock'!CP11</f>
        <v/>
      </c>
      <c r="CS87">
        <f>'T_TTAFStock'!CQ11</f>
        <v/>
      </c>
      <c r="CT87">
        <f>'T_TTAFStock'!CR11</f>
        <v/>
      </c>
      <c r="CU87">
        <f>'T_TTAFStock'!CS11</f>
        <v/>
      </c>
      <c r="CV87">
        <f>'T_TTAFStock'!CT11</f>
        <v/>
      </c>
      <c r="CW87">
        <f>'T_TTAFStock'!CU11</f>
        <v/>
      </c>
      <c r="CX87">
        <f>'T_TTAFStock'!CV11</f>
        <v/>
      </c>
      <c r="CY87">
        <f>'T_TTAFStock'!CW11</f>
        <v/>
      </c>
      <c r="CZ87">
        <f>'T_TTAFStock'!CX11</f>
        <v/>
      </c>
      <c r="DA87">
        <f>'T_TTAFStock'!CY11</f>
        <v/>
      </c>
      <c r="DB87">
        <f>'T_TTAFStock'!CZ11</f>
        <v/>
      </c>
      <c r="DC87">
        <f>'T_TTAFStock'!DA11</f>
        <v/>
      </c>
    </row>
    <row r="88">
      <c r="B88" t="inlineStr">
        <is>
          <t>自社在庫(実績,kg)</t>
        </is>
      </c>
      <c r="D88">
        <f>'T_SelfStock'!B11</f>
        <v/>
      </c>
      <c r="E88">
        <f>'T_SelfStock'!C11</f>
        <v/>
      </c>
      <c r="F88">
        <f>'T_SelfStock'!D11</f>
        <v/>
      </c>
      <c r="G88">
        <f>'T_SelfStock'!E11</f>
        <v/>
      </c>
      <c r="H88">
        <f>'T_SelfStock'!F11</f>
        <v/>
      </c>
      <c r="I88">
        <f>'T_SelfStock'!G11</f>
        <v/>
      </c>
      <c r="J88">
        <f>'T_SelfStock'!H11</f>
        <v/>
      </c>
      <c r="K88">
        <f>'T_SelfStock'!I11</f>
        <v/>
      </c>
      <c r="L88">
        <f>'T_SelfStock'!J11</f>
        <v/>
      </c>
      <c r="M88">
        <f>'T_SelfStock'!K11</f>
        <v/>
      </c>
      <c r="N88">
        <f>'T_SelfStock'!L11</f>
        <v/>
      </c>
      <c r="O88">
        <f>'T_SelfStock'!M11</f>
        <v/>
      </c>
      <c r="P88">
        <f>'T_SelfStock'!N11</f>
        <v/>
      </c>
      <c r="Q88">
        <f>'T_SelfStock'!O11</f>
        <v/>
      </c>
      <c r="R88">
        <f>'T_SelfStock'!P11</f>
        <v/>
      </c>
      <c r="S88">
        <f>'T_SelfStock'!Q11</f>
        <v/>
      </c>
      <c r="T88">
        <f>'T_SelfStock'!R11</f>
        <v/>
      </c>
      <c r="U88">
        <f>'T_SelfStock'!S11</f>
        <v/>
      </c>
      <c r="V88">
        <f>'T_SelfStock'!T11</f>
        <v/>
      </c>
      <c r="W88">
        <f>'T_SelfStock'!U11</f>
        <v/>
      </c>
      <c r="X88">
        <f>'T_SelfStock'!V11</f>
        <v/>
      </c>
      <c r="Y88">
        <f>'T_SelfStock'!W11</f>
        <v/>
      </c>
      <c r="Z88">
        <f>'T_SelfStock'!X11</f>
        <v/>
      </c>
      <c r="AA88">
        <f>'T_SelfStock'!Y11</f>
        <v/>
      </c>
      <c r="AB88">
        <f>'T_SelfStock'!Z11</f>
        <v/>
      </c>
      <c r="AC88">
        <f>'T_SelfStock'!AA11</f>
        <v/>
      </c>
      <c r="AD88">
        <f>'T_SelfStock'!AB11</f>
        <v/>
      </c>
      <c r="AE88">
        <f>'T_SelfStock'!AC11</f>
        <v/>
      </c>
      <c r="AF88">
        <f>'T_SelfStock'!AD11</f>
        <v/>
      </c>
      <c r="AG88">
        <f>'T_SelfStock'!AE11</f>
        <v/>
      </c>
      <c r="AH88">
        <f>'T_SelfStock'!AF11</f>
        <v/>
      </c>
      <c r="AI88">
        <f>'T_SelfStock'!AG11</f>
        <v/>
      </c>
      <c r="AJ88">
        <f>'T_SelfStock'!AH11</f>
        <v/>
      </c>
      <c r="AK88">
        <f>'T_SelfStock'!AI11</f>
        <v/>
      </c>
      <c r="AL88">
        <f>'T_SelfStock'!AJ11</f>
        <v/>
      </c>
      <c r="AM88">
        <f>'T_SelfStock'!AK11</f>
        <v/>
      </c>
      <c r="AN88">
        <f>'T_SelfStock'!AL11</f>
        <v/>
      </c>
      <c r="AO88">
        <f>'T_SelfStock'!AM11</f>
        <v/>
      </c>
      <c r="AP88">
        <f>'T_SelfStock'!AN11</f>
        <v/>
      </c>
      <c r="AQ88">
        <f>'T_SelfStock'!AO11</f>
        <v/>
      </c>
      <c r="AR88">
        <f>'T_SelfStock'!AP11</f>
        <v/>
      </c>
      <c r="AS88">
        <f>'T_SelfStock'!AQ11</f>
        <v/>
      </c>
      <c r="AT88">
        <f>'T_SelfStock'!AR11</f>
        <v/>
      </c>
      <c r="AU88">
        <f>'T_SelfStock'!AS11</f>
        <v/>
      </c>
      <c r="AV88">
        <f>'T_SelfStock'!AT11</f>
        <v/>
      </c>
      <c r="AW88">
        <f>'T_SelfStock'!AU11</f>
        <v/>
      </c>
      <c r="AX88">
        <f>'T_SelfStock'!AV11</f>
        <v/>
      </c>
      <c r="AY88">
        <f>'T_SelfStock'!AW11</f>
        <v/>
      </c>
      <c r="AZ88">
        <f>'T_SelfStock'!AX11</f>
        <v/>
      </c>
      <c r="BA88">
        <f>'T_SelfStock'!AY11</f>
        <v/>
      </c>
      <c r="BB88">
        <f>'T_SelfStock'!AZ11</f>
        <v/>
      </c>
      <c r="BC88">
        <f>'T_SelfStock'!BA11</f>
        <v/>
      </c>
      <c r="BD88">
        <f>'T_SelfStock'!BB11</f>
        <v/>
      </c>
      <c r="BE88">
        <f>'T_SelfStock'!BC11</f>
        <v/>
      </c>
      <c r="BF88">
        <f>'T_SelfStock'!BD11</f>
        <v/>
      </c>
      <c r="BG88">
        <f>'T_SelfStock'!BE11</f>
        <v/>
      </c>
      <c r="BH88">
        <f>'T_SelfStock'!BF11</f>
        <v/>
      </c>
      <c r="BI88">
        <f>'T_SelfStock'!BG11</f>
        <v/>
      </c>
      <c r="BJ88">
        <f>'T_SelfStock'!BH11</f>
        <v/>
      </c>
      <c r="BK88">
        <f>'T_SelfStock'!BI11</f>
        <v/>
      </c>
      <c r="BL88">
        <f>'T_SelfStock'!BJ11</f>
        <v/>
      </c>
      <c r="BM88">
        <f>'T_SelfStock'!BK11</f>
        <v/>
      </c>
      <c r="BN88">
        <f>'T_SelfStock'!BL11</f>
        <v/>
      </c>
      <c r="BO88">
        <f>'T_SelfStock'!BM11</f>
        <v/>
      </c>
      <c r="BP88">
        <f>'T_SelfStock'!BN11</f>
        <v/>
      </c>
      <c r="BQ88">
        <f>'T_SelfStock'!BO11</f>
        <v/>
      </c>
      <c r="BR88">
        <f>'T_SelfStock'!BP11</f>
        <v/>
      </c>
      <c r="BS88">
        <f>'T_SelfStock'!BQ11</f>
        <v/>
      </c>
      <c r="BT88">
        <f>'T_SelfStock'!BR11</f>
        <v/>
      </c>
      <c r="BU88">
        <f>'T_SelfStock'!BS11</f>
        <v/>
      </c>
      <c r="BV88">
        <f>'T_SelfStock'!BT11</f>
        <v/>
      </c>
      <c r="BW88">
        <f>'T_SelfStock'!BU11</f>
        <v/>
      </c>
      <c r="BX88">
        <f>'T_SelfStock'!BV11</f>
        <v/>
      </c>
      <c r="BY88">
        <f>'T_SelfStock'!BW11</f>
        <v/>
      </c>
      <c r="BZ88">
        <f>'T_SelfStock'!BX11</f>
        <v/>
      </c>
      <c r="CA88">
        <f>'T_SelfStock'!BY11</f>
        <v/>
      </c>
      <c r="CB88">
        <f>'T_SelfStock'!BZ11</f>
        <v/>
      </c>
      <c r="CC88">
        <f>'T_SelfStock'!CA11</f>
        <v/>
      </c>
      <c r="CD88">
        <f>'T_SelfStock'!CB11</f>
        <v/>
      </c>
      <c r="CE88">
        <f>'T_SelfStock'!CC11</f>
        <v/>
      </c>
      <c r="CF88">
        <f>'T_SelfStock'!CD11</f>
        <v/>
      </c>
      <c r="CG88">
        <f>'T_SelfStock'!CE11</f>
        <v/>
      </c>
      <c r="CH88">
        <f>'T_SelfStock'!CF11</f>
        <v/>
      </c>
      <c r="CI88">
        <f>'T_SelfStock'!CG11</f>
        <v/>
      </c>
      <c r="CJ88">
        <f>'T_SelfStock'!CH11</f>
        <v/>
      </c>
      <c r="CK88">
        <f>'T_SelfStock'!CI11</f>
        <v/>
      </c>
      <c r="CL88">
        <f>'T_SelfStock'!CJ11</f>
        <v/>
      </c>
      <c r="CM88">
        <f>'T_SelfStock'!CK11</f>
        <v/>
      </c>
      <c r="CN88">
        <f>'T_SelfStock'!CL11</f>
        <v/>
      </c>
      <c r="CO88">
        <f>'T_SelfStock'!CM11</f>
        <v/>
      </c>
      <c r="CP88">
        <f>'T_SelfStock'!CN11</f>
        <v/>
      </c>
      <c r="CQ88">
        <f>'T_SelfStock'!CO11</f>
        <v/>
      </c>
      <c r="CR88">
        <f>'T_SelfStock'!CP11</f>
        <v/>
      </c>
      <c r="CS88">
        <f>'T_SelfStock'!CQ11</f>
        <v/>
      </c>
      <c r="CT88">
        <f>'T_SelfStock'!CR11</f>
        <v/>
      </c>
      <c r="CU88">
        <f>'T_SelfStock'!CS11</f>
        <v/>
      </c>
      <c r="CV88">
        <f>'T_SelfStock'!CT11</f>
        <v/>
      </c>
      <c r="CW88">
        <f>'T_SelfStock'!CU11</f>
        <v/>
      </c>
      <c r="CX88">
        <f>'T_SelfStock'!CV11</f>
        <v/>
      </c>
      <c r="CY88">
        <f>'T_SelfStock'!CW11</f>
        <v/>
      </c>
      <c r="CZ88">
        <f>'T_SelfStock'!CX11</f>
        <v/>
      </c>
      <c r="DA88">
        <f>'T_SelfStock'!CY11</f>
        <v/>
      </c>
      <c r="DB88">
        <f>'T_SelfStock'!CZ11</f>
        <v/>
      </c>
      <c r="DC88">
        <f>'T_SelfStock'!DA11</f>
        <v/>
      </c>
    </row>
    <row r="89">
      <c r="B89" t="inlineStr">
        <is>
          <t>Order(発注予定,kg)</t>
        </is>
      </c>
      <c r="D89">
        <f>IF(SUMIFS(T_PlannedOrders[EffectiveQty],T_PlannedOrders[Part Name],$A83,T_PlannedOrders[WeekIndex],1)=0,"",SUMIFS(T_PlannedOrders[EffectiveQty],T_PlannedOrders[Part Name],$A83,T_PlannedOrders[WeekIndex],1)&amp;" ("&amp;TEXT(SUMPRODUCT(MAX((T_PlannedOrders[Part Name]=$A83)*(T_PlannedOrders[WeekIndex]=1)*(T_PlannedOrders[EffectiveQty]&gt;0)*T_PlannedOrders[Order_Month])),"m月")&amp;"発注)")</f>
        <v/>
      </c>
      <c r="E89">
        <f>IF(SUMIFS(T_PlannedOrders[EffectiveQty],T_PlannedOrders[Part Name],$A83,T_PlannedOrders[WeekIndex],2)=0,"",SUMIFS(T_PlannedOrders[EffectiveQty],T_PlannedOrders[Part Name],$A83,T_PlannedOrders[WeekIndex],2)&amp;" ("&amp;TEXT(SUMPRODUCT(MAX((T_PlannedOrders[Part Name]=$A83)*(T_PlannedOrders[WeekIndex]=2)*(T_PlannedOrders[EffectiveQty]&gt;0)*T_PlannedOrders[Order_Month])),"m月")&amp;"発注)")</f>
        <v/>
      </c>
      <c r="F89">
        <f>IF(SUMIFS(T_PlannedOrders[EffectiveQty],T_PlannedOrders[Part Name],$A83,T_PlannedOrders[WeekIndex],3)=0,"",SUMIFS(T_PlannedOrders[EffectiveQty],T_PlannedOrders[Part Name],$A83,T_PlannedOrders[WeekIndex],3)&amp;" ("&amp;TEXT(SUMPRODUCT(MAX((T_PlannedOrders[Part Name]=$A83)*(T_PlannedOrders[WeekIndex]=3)*(T_PlannedOrders[EffectiveQty]&gt;0)*T_PlannedOrders[Order_Month])),"m月")&amp;"発注)")</f>
        <v/>
      </c>
      <c r="G89">
        <f>IF(SUMIFS(T_PlannedOrders[EffectiveQty],T_PlannedOrders[Part Name],$A83,T_PlannedOrders[WeekIndex],4)=0,"",SUMIFS(T_PlannedOrders[EffectiveQty],T_PlannedOrders[Part Name],$A83,T_PlannedOrders[WeekIndex],4)&amp;" ("&amp;TEXT(SUMPRODUCT(MAX((T_PlannedOrders[Part Name]=$A83)*(T_PlannedOrders[WeekIndex]=4)*(T_PlannedOrders[EffectiveQty]&gt;0)*T_PlannedOrders[Order_Month])),"m月")&amp;"発注)")</f>
        <v/>
      </c>
      <c r="H89">
        <f>IF(SUMIFS(T_PlannedOrders[EffectiveQty],T_PlannedOrders[Part Name],$A83,T_PlannedOrders[WeekIndex],5)=0,"",SUMIFS(T_PlannedOrders[EffectiveQty],T_PlannedOrders[Part Name],$A83,T_PlannedOrders[WeekIndex],5)&amp;" ("&amp;TEXT(SUMPRODUCT(MAX((T_PlannedOrders[Part Name]=$A83)*(T_PlannedOrders[WeekIndex]=5)*(T_PlannedOrders[EffectiveQty]&gt;0)*T_PlannedOrders[Order_Month])),"m月")&amp;"発注)")</f>
        <v/>
      </c>
      <c r="I89">
        <f>IF(SUMIFS(T_PlannedOrders[EffectiveQty],T_PlannedOrders[Part Name],$A83,T_PlannedOrders[WeekIndex],6)=0,"",SUMIFS(T_PlannedOrders[EffectiveQty],T_PlannedOrders[Part Name],$A83,T_PlannedOrders[WeekIndex],6)&amp;" ("&amp;TEXT(SUMPRODUCT(MAX((T_PlannedOrders[Part Name]=$A83)*(T_PlannedOrders[WeekIndex]=6)*(T_PlannedOrders[EffectiveQty]&gt;0)*T_PlannedOrders[Order_Month])),"m月")&amp;"発注)")</f>
        <v/>
      </c>
      <c r="J89">
        <f>IF(SUMIFS(T_PlannedOrders[EffectiveQty],T_PlannedOrders[Part Name],$A83,T_PlannedOrders[WeekIndex],7)=0,"",SUMIFS(T_PlannedOrders[EffectiveQty],T_PlannedOrders[Part Name],$A83,T_PlannedOrders[WeekIndex],7)&amp;" ("&amp;TEXT(SUMPRODUCT(MAX((T_PlannedOrders[Part Name]=$A83)*(T_PlannedOrders[WeekIndex]=7)*(T_PlannedOrders[EffectiveQty]&gt;0)*T_PlannedOrders[Order_Month])),"m月")&amp;"発注)")</f>
        <v/>
      </c>
      <c r="K89">
        <f>IF(SUMIFS(T_PlannedOrders[EffectiveQty],T_PlannedOrders[Part Name],$A83,T_PlannedOrders[WeekIndex],8)=0,"",SUMIFS(T_PlannedOrders[EffectiveQty],T_PlannedOrders[Part Name],$A83,T_PlannedOrders[WeekIndex],8)&amp;" ("&amp;TEXT(SUMPRODUCT(MAX((T_PlannedOrders[Part Name]=$A83)*(T_PlannedOrders[WeekIndex]=8)*(T_PlannedOrders[EffectiveQty]&gt;0)*T_PlannedOrders[Order_Month])),"m月")&amp;"発注)")</f>
        <v/>
      </c>
      <c r="L89">
        <f>IF(SUMIFS(T_PlannedOrders[EffectiveQty],T_PlannedOrders[Part Name],$A83,T_PlannedOrders[WeekIndex],9)=0,"",SUMIFS(T_PlannedOrders[EffectiveQty],T_PlannedOrders[Part Name],$A83,T_PlannedOrders[WeekIndex],9)&amp;" ("&amp;TEXT(SUMPRODUCT(MAX((T_PlannedOrders[Part Name]=$A83)*(T_PlannedOrders[WeekIndex]=9)*(T_PlannedOrders[EffectiveQty]&gt;0)*T_PlannedOrders[Order_Month])),"m月")&amp;"発注)")</f>
        <v/>
      </c>
      <c r="M89">
        <f>IF(SUMIFS(T_PlannedOrders[EffectiveQty],T_PlannedOrders[Part Name],$A83,T_PlannedOrders[WeekIndex],10)=0,"",SUMIFS(T_PlannedOrders[EffectiveQty],T_PlannedOrders[Part Name],$A83,T_PlannedOrders[WeekIndex],10)&amp;" ("&amp;TEXT(SUMPRODUCT(MAX((T_PlannedOrders[Part Name]=$A83)*(T_PlannedOrders[WeekIndex]=10)*(T_PlannedOrders[EffectiveQty]&gt;0)*T_PlannedOrders[Order_Month])),"m月")&amp;"発注)")</f>
        <v/>
      </c>
      <c r="N89">
        <f>IF(SUMIFS(T_PlannedOrders[EffectiveQty],T_PlannedOrders[Part Name],$A83,T_PlannedOrders[WeekIndex],11)=0,"",SUMIFS(T_PlannedOrders[EffectiveQty],T_PlannedOrders[Part Name],$A83,T_PlannedOrders[WeekIndex],11)&amp;" ("&amp;TEXT(SUMPRODUCT(MAX((T_PlannedOrders[Part Name]=$A83)*(T_PlannedOrders[WeekIndex]=11)*(T_PlannedOrders[EffectiveQty]&gt;0)*T_PlannedOrders[Order_Month])),"m月")&amp;"発注)")</f>
        <v/>
      </c>
      <c r="O89">
        <f>IF(SUMIFS(T_PlannedOrders[EffectiveQty],T_PlannedOrders[Part Name],$A83,T_PlannedOrders[WeekIndex],12)=0,"",SUMIFS(T_PlannedOrders[EffectiveQty],T_PlannedOrders[Part Name],$A83,T_PlannedOrders[WeekIndex],12)&amp;" ("&amp;TEXT(SUMPRODUCT(MAX((T_PlannedOrders[Part Name]=$A83)*(T_PlannedOrders[WeekIndex]=12)*(T_PlannedOrders[EffectiveQty]&gt;0)*T_PlannedOrders[Order_Month])),"m月")&amp;"発注)")</f>
        <v/>
      </c>
      <c r="P89">
        <f>IF(SUMIFS(T_PlannedOrders[EffectiveQty],T_PlannedOrders[Part Name],$A83,T_PlannedOrders[WeekIndex],13)=0,"",SUMIFS(T_PlannedOrders[EffectiveQty],T_PlannedOrders[Part Name],$A83,T_PlannedOrders[WeekIndex],13)&amp;" ("&amp;TEXT(SUMPRODUCT(MAX((T_PlannedOrders[Part Name]=$A83)*(T_PlannedOrders[WeekIndex]=13)*(T_PlannedOrders[EffectiveQty]&gt;0)*T_PlannedOrders[Order_Month])),"m月")&amp;"発注)")</f>
        <v/>
      </c>
      <c r="Q89">
        <f>IF(SUMIFS(T_PlannedOrders[EffectiveQty],T_PlannedOrders[Part Name],$A83,T_PlannedOrders[WeekIndex],14)=0,"",SUMIFS(T_PlannedOrders[EffectiveQty],T_PlannedOrders[Part Name],$A83,T_PlannedOrders[WeekIndex],14)&amp;" ("&amp;TEXT(SUMPRODUCT(MAX((T_PlannedOrders[Part Name]=$A83)*(T_PlannedOrders[WeekIndex]=14)*(T_PlannedOrders[EffectiveQty]&gt;0)*T_PlannedOrders[Order_Month])),"m月")&amp;"発注)")</f>
        <v/>
      </c>
      <c r="R89">
        <f>IF(SUMIFS(T_PlannedOrders[EffectiveQty],T_PlannedOrders[Part Name],$A83,T_PlannedOrders[WeekIndex],15)=0,"",SUMIFS(T_PlannedOrders[EffectiveQty],T_PlannedOrders[Part Name],$A83,T_PlannedOrders[WeekIndex],15)&amp;" ("&amp;TEXT(SUMPRODUCT(MAX((T_PlannedOrders[Part Name]=$A83)*(T_PlannedOrders[WeekIndex]=15)*(T_PlannedOrders[EffectiveQty]&gt;0)*T_PlannedOrders[Order_Month])),"m月")&amp;"発注)")</f>
        <v/>
      </c>
      <c r="S89">
        <f>IF(SUMIFS(T_PlannedOrders[EffectiveQty],T_PlannedOrders[Part Name],$A83,T_PlannedOrders[WeekIndex],16)=0,"",SUMIFS(T_PlannedOrders[EffectiveQty],T_PlannedOrders[Part Name],$A83,T_PlannedOrders[WeekIndex],16)&amp;" ("&amp;TEXT(SUMPRODUCT(MAX((T_PlannedOrders[Part Name]=$A83)*(T_PlannedOrders[WeekIndex]=16)*(T_PlannedOrders[EffectiveQty]&gt;0)*T_PlannedOrders[Order_Month])),"m月")&amp;"発注)")</f>
        <v/>
      </c>
      <c r="T89">
        <f>IF(SUMIFS(T_PlannedOrders[EffectiveQty],T_PlannedOrders[Part Name],$A83,T_PlannedOrders[WeekIndex],17)=0,"",SUMIFS(T_PlannedOrders[EffectiveQty],T_PlannedOrders[Part Name],$A83,T_PlannedOrders[WeekIndex],17)&amp;" ("&amp;TEXT(SUMPRODUCT(MAX((T_PlannedOrders[Part Name]=$A83)*(T_PlannedOrders[WeekIndex]=17)*(T_PlannedOrders[EffectiveQty]&gt;0)*T_PlannedOrders[Order_Month])),"m月")&amp;"発注)")</f>
        <v/>
      </c>
      <c r="U89">
        <f>IF(SUMIFS(T_PlannedOrders[EffectiveQty],T_PlannedOrders[Part Name],$A83,T_PlannedOrders[WeekIndex],18)=0,"",SUMIFS(T_PlannedOrders[EffectiveQty],T_PlannedOrders[Part Name],$A83,T_PlannedOrders[WeekIndex],18)&amp;" ("&amp;TEXT(SUMPRODUCT(MAX((T_PlannedOrders[Part Name]=$A83)*(T_PlannedOrders[WeekIndex]=18)*(T_PlannedOrders[EffectiveQty]&gt;0)*T_PlannedOrders[Order_Month])),"m月")&amp;"発注)")</f>
        <v/>
      </c>
      <c r="V89">
        <f>IF(SUMIFS(T_PlannedOrders[EffectiveQty],T_PlannedOrders[Part Name],$A83,T_PlannedOrders[WeekIndex],19)=0,"",SUMIFS(T_PlannedOrders[EffectiveQty],T_PlannedOrders[Part Name],$A83,T_PlannedOrders[WeekIndex],19)&amp;" ("&amp;TEXT(SUMPRODUCT(MAX((T_PlannedOrders[Part Name]=$A83)*(T_PlannedOrders[WeekIndex]=19)*(T_PlannedOrders[EffectiveQty]&gt;0)*T_PlannedOrders[Order_Month])),"m月")&amp;"発注)")</f>
        <v/>
      </c>
      <c r="W89">
        <f>IF(SUMIFS(T_PlannedOrders[EffectiveQty],T_PlannedOrders[Part Name],$A83,T_PlannedOrders[WeekIndex],20)=0,"",SUMIFS(T_PlannedOrders[EffectiveQty],T_PlannedOrders[Part Name],$A83,T_PlannedOrders[WeekIndex],20)&amp;" ("&amp;TEXT(SUMPRODUCT(MAX((T_PlannedOrders[Part Name]=$A83)*(T_PlannedOrders[WeekIndex]=20)*(T_PlannedOrders[EffectiveQty]&gt;0)*T_PlannedOrders[Order_Month])),"m月")&amp;"発注)")</f>
        <v/>
      </c>
      <c r="X89">
        <f>IF(SUMIFS(T_PlannedOrders[EffectiveQty],T_PlannedOrders[Part Name],$A83,T_PlannedOrders[WeekIndex],21)=0,"",SUMIFS(T_PlannedOrders[EffectiveQty],T_PlannedOrders[Part Name],$A83,T_PlannedOrders[WeekIndex],21)&amp;" ("&amp;TEXT(SUMPRODUCT(MAX((T_PlannedOrders[Part Name]=$A83)*(T_PlannedOrders[WeekIndex]=21)*(T_PlannedOrders[EffectiveQty]&gt;0)*T_PlannedOrders[Order_Month])),"m月")&amp;"発注)")</f>
        <v/>
      </c>
      <c r="Y89">
        <f>IF(SUMIFS(T_PlannedOrders[EffectiveQty],T_PlannedOrders[Part Name],$A83,T_PlannedOrders[WeekIndex],22)=0,"",SUMIFS(T_PlannedOrders[EffectiveQty],T_PlannedOrders[Part Name],$A83,T_PlannedOrders[WeekIndex],22)&amp;" ("&amp;TEXT(SUMPRODUCT(MAX((T_PlannedOrders[Part Name]=$A83)*(T_PlannedOrders[WeekIndex]=22)*(T_PlannedOrders[EffectiveQty]&gt;0)*T_PlannedOrders[Order_Month])),"m月")&amp;"発注)")</f>
        <v/>
      </c>
      <c r="Z89">
        <f>IF(SUMIFS(T_PlannedOrders[EffectiveQty],T_PlannedOrders[Part Name],$A83,T_PlannedOrders[WeekIndex],23)=0,"",SUMIFS(T_PlannedOrders[EffectiveQty],T_PlannedOrders[Part Name],$A83,T_PlannedOrders[WeekIndex],23)&amp;" ("&amp;TEXT(SUMPRODUCT(MAX((T_PlannedOrders[Part Name]=$A83)*(T_PlannedOrders[WeekIndex]=23)*(T_PlannedOrders[EffectiveQty]&gt;0)*T_PlannedOrders[Order_Month])),"m月")&amp;"発注)")</f>
        <v/>
      </c>
      <c r="AA89">
        <f>IF(SUMIFS(T_PlannedOrders[EffectiveQty],T_PlannedOrders[Part Name],$A83,T_PlannedOrders[WeekIndex],24)=0,"",SUMIFS(T_PlannedOrders[EffectiveQty],T_PlannedOrders[Part Name],$A83,T_PlannedOrders[WeekIndex],24)&amp;" ("&amp;TEXT(SUMPRODUCT(MAX((T_PlannedOrders[Part Name]=$A83)*(T_PlannedOrders[WeekIndex]=24)*(T_PlannedOrders[EffectiveQty]&gt;0)*T_PlannedOrders[Order_Month])),"m月")&amp;"発注)")</f>
        <v/>
      </c>
      <c r="AB89">
        <f>IF(SUMIFS(T_PlannedOrders[EffectiveQty],T_PlannedOrders[Part Name],$A83,T_PlannedOrders[WeekIndex],25)=0,"",SUMIFS(T_PlannedOrders[EffectiveQty],T_PlannedOrders[Part Name],$A83,T_PlannedOrders[WeekIndex],25)&amp;" ("&amp;TEXT(SUMPRODUCT(MAX((T_PlannedOrders[Part Name]=$A83)*(T_PlannedOrders[WeekIndex]=25)*(T_PlannedOrders[EffectiveQty]&gt;0)*T_PlannedOrders[Order_Month])),"m月")&amp;"発注)")</f>
        <v/>
      </c>
      <c r="AC89">
        <f>IF(SUMIFS(T_PlannedOrders[EffectiveQty],T_PlannedOrders[Part Name],$A83,T_PlannedOrders[WeekIndex],26)=0,"",SUMIFS(T_PlannedOrders[EffectiveQty],T_PlannedOrders[Part Name],$A83,T_PlannedOrders[WeekIndex],26)&amp;" ("&amp;TEXT(SUMPRODUCT(MAX((T_PlannedOrders[Part Name]=$A83)*(T_PlannedOrders[WeekIndex]=26)*(T_PlannedOrders[EffectiveQty]&gt;0)*T_PlannedOrders[Order_Month])),"m月")&amp;"発注)")</f>
        <v/>
      </c>
      <c r="AD89">
        <f>IF(SUMIFS(T_PlannedOrders[EffectiveQty],T_PlannedOrders[Part Name],$A83,T_PlannedOrders[WeekIndex],27)=0,"",SUMIFS(T_PlannedOrders[EffectiveQty],T_PlannedOrders[Part Name],$A83,T_PlannedOrders[WeekIndex],27)&amp;" ("&amp;TEXT(SUMPRODUCT(MAX((T_PlannedOrders[Part Name]=$A83)*(T_PlannedOrders[WeekIndex]=27)*(T_PlannedOrders[EffectiveQty]&gt;0)*T_PlannedOrders[Order_Month])),"m月")&amp;"発注)")</f>
        <v/>
      </c>
      <c r="AE89">
        <f>IF(SUMIFS(T_PlannedOrders[EffectiveQty],T_PlannedOrders[Part Name],$A83,T_PlannedOrders[WeekIndex],28)=0,"",SUMIFS(T_PlannedOrders[EffectiveQty],T_PlannedOrders[Part Name],$A83,T_PlannedOrders[WeekIndex],28)&amp;" ("&amp;TEXT(SUMPRODUCT(MAX((T_PlannedOrders[Part Name]=$A83)*(T_PlannedOrders[WeekIndex]=28)*(T_PlannedOrders[EffectiveQty]&gt;0)*T_PlannedOrders[Order_Month])),"m月")&amp;"発注)")</f>
        <v/>
      </c>
      <c r="AF89">
        <f>IF(SUMIFS(T_PlannedOrders[EffectiveQty],T_PlannedOrders[Part Name],$A83,T_PlannedOrders[WeekIndex],29)=0,"",SUMIFS(T_PlannedOrders[EffectiveQty],T_PlannedOrders[Part Name],$A83,T_PlannedOrders[WeekIndex],29)&amp;" ("&amp;TEXT(SUMPRODUCT(MAX((T_PlannedOrders[Part Name]=$A83)*(T_PlannedOrders[WeekIndex]=29)*(T_PlannedOrders[EffectiveQty]&gt;0)*T_PlannedOrders[Order_Month])),"m月")&amp;"発注)")</f>
        <v/>
      </c>
      <c r="AG89">
        <f>IF(SUMIFS(T_PlannedOrders[EffectiveQty],T_PlannedOrders[Part Name],$A83,T_PlannedOrders[WeekIndex],30)=0,"",SUMIFS(T_PlannedOrders[EffectiveQty],T_PlannedOrders[Part Name],$A83,T_PlannedOrders[WeekIndex],30)&amp;" ("&amp;TEXT(SUMPRODUCT(MAX((T_PlannedOrders[Part Name]=$A83)*(T_PlannedOrders[WeekIndex]=30)*(T_PlannedOrders[EffectiveQty]&gt;0)*T_PlannedOrders[Order_Month])),"m月")&amp;"発注)")</f>
        <v/>
      </c>
      <c r="AH89">
        <f>IF(SUMIFS(T_PlannedOrders[EffectiveQty],T_PlannedOrders[Part Name],$A83,T_PlannedOrders[WeekIndex],31)=0,"",SUMIFS(T_PlannedOrders[EffectiveQty],T_PlannedOrders[Part Name],$A83,T_PlannedOrders[WeekIndex],31)&amp;" ("&amp;TEXT(SUMPRODUCT(MAX((T_PlannedOrders[Part Name]=$A83)*(T_PlannedOrders[WeekIndex]=31)*(T_PlannedOrders[EffectiveQty]&gt;0)*T_PlannedOrders[Order_Month])),"m月")&amp;"発注)")</f>
        <v/>
      </c>
      <c r="AI89">
        <f>IF(SUMIFS(T_PlannedOrders[EffectiveQty],T_PlannedOrders[Part Name],$A83,T_PlannedOrders[WeekIndex],32)=0,"",SUMIFS(T_PlannedOrders[EffectiveQty],T_PlannedOrders[Part Name],$A83,T_PlannedOrders[WeekIndex],32)&amp;" ("&amp;TEXT(SUMPRODUCT(MAX((T_PlannedOrders[Part Name]=$A83)*(T_PlannedOrders[WeekIndex]=32)*(T_PlannedOrders[EffectiveQty]&gt;0)*T_PlannedOrders[Order_Month])),"m月")&amp;"発注)")</f>
        <v/>
      </c>
      <c r="AJ89">
        <f>IF(SUMIFS(T_PlannedOrders[EffectiveQty],T_PlannedOrders[Part Name],$A83,T_PlannedOrders[WeekIndex],33)=0,"",SUMIFS(T_PlannedOrders[EffectiveQty],T_PlannedOrders[Part Name],$A83,T_PlannedOrders[WeekIndex],33)&amp;" ("&amp;TEXT(SUMPRODUCT(MAX((T_PlannedOrders[Part Name]=$A83)*(T_PlannedOrders[WeekIndex]=33)*(T_PlannedOrders[EffectiveQty]&gt;0)*T_PlannedOrders[Order_Month])),"m月")&amp;"発注)")</f>
        <v/>
      </c>
      <c r="AK89">
        <f>IF(SUMIFS(T_PlannedOrders[EffectiveQty],T_PlannedOrders[Part Name],$A83,T_PlannedOrders[WeekIndex],34)=0,"",SUMIFS(T_PlannedOrders[EffectiveQty],T_PlannedOrders[Part Name],$A83,T_PlannedOrders[WeekIndex],34)&amp;" ("&amp;TEXT(SUMPRODUCT(MAX((T_PlannedOrders[Part Name]=$A83)*(T_PlannedOrders[WeekIndex]=34)*(T_PlannedOrders[EffectiveQty]&gt;0)*T_PlannedOrders[Order_Month])),"m月")&amp;"発注)")</f>
        <v/>
      </c>
      <c r="AL89">
        <f>IF(SUMIFS(T_PlannedOrders[EffectiveQty],T_PlannedOrders[Part Name],$A83,T_PlannedOrders[WeekIndex],35)=0,"",SUMIFS(T_PlannedOrders[EffectiveQty],T_PlannedOrders[Part Name],$A83,T_PlannedOrders[WeekIndex],35)&amp;" ("&amp;TEXT(SUMPRODUCT(MAX((T_PlannedOrders[Part Name]=$A83)*(T_PlannedOrders[WeekIndex]=35)*(T_PlannedOrders[EffectiveQty]&gt;0)*T_PlannedOrders[Order_Month])),"m月")&amp;"発注)")</f>
        <v/>
      </c>
      <c r="AM89">
        <f>IF(SUMIFS(T_PlannedOrders[EffectiveQty],T_PlannedOrders[Part Name],$A83,T_PlannedOrders[WeekIndex],36)=0,"",SUMIFS(T_PlannedOrders[EffectiveQty],T_PlannedOrders[Part Name],$A83,T_PlannedOrders[WeekIndex],36)&amp;" ("&amp;TEXT(SUMPRODUCT(MAX((T_PlannedOrders[Part Name]=$A83)*(T_PlannedOrders[WeekIndex]=36)*(T_PlannedOrders[EffectiveQty]&gt;0)*T_PlannedOrders[Order_Month])),"m月")&amp;"発注)")</f>
        <v/>
      </c>
      <c r="AN89">
        <f>IF(SUMIFS(T_PlannedOrders[EffectiveQty],T_PlannedOrders[Part Name],$A83,T_PlannedOrders[WeekIndex],37)=0,"",SUMIFS(T_PlannedOrders[EffectiveQty],T_PlannedOrders[Part Name],$A83,T_PlannedOrders[WeekIndex],37)&amp;" ("&amp;TEXT(SUMPRODUCT(MAX((T_PlannedOrders[Part Name]=$A83)*(T_PlannedOrders[WeekIndex]=37)*(T_PlannedOrders[EffectiveQty]&gt;0)*T_PlannedOrders[Order_Month])),"m月")&amp;"発注)")</f>
        <v/>
      </c>
      <c r="AO89">
        <f>IF(SUMIFS(T_PlannedOrders[EffectiveQty],T_PlannedOrders[Part Name],$A83,T_PlannedOrders[WeekIndex],38)=0,"",SUMIFS(T_PlannedOrders[EffectiveQty],T_PlannedOrders[Part Name],$A83,T_PlannedOrders[WeekIndex],38)&amp;" ("&amp;TEXT(SUMPRODUCT(MAX((T_PlannedOrders[Part Name]=$A83)*(T_PlannedOrders[WeekIndex]=38)*(T_PlannedOrders[EffectiveQty]&gt;0)*T_PlannedOrders[Order_Month])),"m月")&amp;"発注)")</f>
        <v/>
      </c>
      <c r="AP89">
        <f>IF(SUMIFS(T_PlannedOrders[EffectiveQty],T_PlannedOrders[Part Name],$A83,T_PlannedOrders[WeekIndex],39)=0,"",SUMIFS(T_PlannedOrders[EffectiveQty],T_PlannedOrders[Part Name],$A83,T_PlannedOrders[WeekIndex],39)&amp;" ("&amp;TEXT(SUMPRODUCT(MAX((T_PlannedOrders[Part Name]=$A83)*(T_PlannedOrders[WeekIndex]=39)*(T_PlannedOrders[EffectiveQty]&gt;0)*T_PlannedOrders[Order_Month])),"m月")&amp;"発注)")</f>
        <v/>
      </c>
      <c r="AQ89">
        <f>IF(SUMIFS(T_PlannedOrders[EffectiveQty],T_PlannedOrders[Part Name],$A83,T_PlannedOrders[WeekIndex],40)=0,"",SUMIFS(T_PlannedOrders[EffectiveQty],T_PlannedOrders[Part Name],$A83,T_PlannedOrders[WeekIndex],40)&amp;" ("&amp;TEXT(SUMPRODUCT(MAX((T_PlannedOrders[Part Name]=$A83)*(T_PlannedOrders[WeekIndex]=40)*(T_PlannedOrders[EffectiveQty]&gt;0)*T_PlannedOrders[Order_Month])),"m月")&amp;"発注)")</f>
        <v/>
      </c>
      <c r="AR89">
        <f>IF(SUMIFS(T_PlannedOrders[EffectiveQty],T_PlannedOrders[Part Name],$A83,T_PlannedOrders[WeekIndex],41)=0,"",SUMIFS(T_PlannedOrders[EffectiveQty],T_PlannedOrders[Part Name],$A83,T_PlannedOrders[WeekIndex],41)&amp;" ("&amp;TEXT(SUMPRODUCT(MAX((T_PlannedOrders[Part Name]=$A83)*(T_PlannedOrders[WeekIndex]=41)*(T_PlannedOrders[EffectiveQty]&gt;0)*T_PlannedOrders[Order_Month])),"m月")&amp;"発注)")</f>
        <v/>
      </c>
      <c r="AS89">
        <f>IF(SUMIFS(T_PlannedOrders[EffectiveQty],T_PlannedOrders[Part Name],$A83,T_PlannedOrders[WeekIndex],42)=0,"",SUMIFS(T_PlannedOrders[EffectiveQty],T_PlannedOrders[Part Name],$A83,T_PlannedOrders[WeekIndex],42)&amp;" ("&amp;TEXT(SUMPRODUCT(MAX((T_PlannedOrders[Part Name]=$A83)*(T_PlannedOrders[WeekIndex]=42)*(T_PlannedOrders[EffectiveQty]&gt;0)*T_PlannedOrders[Order_Month])),"m月")&amp;"発注)")</f>
        <v/>
      </c>
      <c r="AT89">
        <f>IF(SUMIFS(T_PlannedOrders[EffectiveQty],T_PlannedOrders[Part Name],$A83,T_PlannedOrders[WeekIndex],43)=0,"",SUMIFS(T_PlannedOrders[EffectiveQty],T_PlannedOrders[Part Name],$A83,T_PlannedOrders[WeekIndex],43)&amp;" ("&amp;TEXT(SUMPRODUCT(MAX((T_PlannedOrders[Part Name]=$A83)*(T_PlannedOrders[WeekIndex]=43)*(T_PlannedOrders[EffectiveQty]&gt;0)*T_PlannedOrders[Order_Month])),"m月")&amp;"発注)")</f>
        <v/>
      </c>
      <c r="AU89">
        <f>IF(SUMIFS(T_PlannedOrders[EffectiveQty],T_PlannedOrders[Part Name],$A83,T_PlannedOrders[WeekIndex],44)=0,"",SUMIFS(T_PlannedOrders[EffectiveQty],T_PlannedOrders[Part Name],$A83,T_PlannedOrders[WeekIndex],44)&amp;" ("&amp;TEXT(SUMPRODUCT(MAX((T_PlannedOrders[Part Name]=$A83)*(T_PlannedOrders[WeekIndex]=44)*(T_PlannedOrders[EffectiveQty]&gt;0)*T_PlannedOrders[Order_Month])),"m月")&amp;"発注)")</f>
        <v/>
      </c>
      <c r="AV89">
        <f>IF(SUMIFS(T_PlannedOrders[EffectiveQty],T_PlannedOrders[Part Name],$A83,T_PlannedOrders[WeekIndex],45)=0,"",SUMIFS(T_PlannedOrders[EffectiveQty],T_PlannedOrders[Part Name],$A83,T_PlannedOrders[WeekIndex],45)&amp;" ("&amp;TEXT(SUMPRODUCT(MAX((T_PlannedOrders[Part Name]=$A83)*(T_PlannedOrders[WeekIndex]=45)*(T_PlannedOrders[EffectiveQty]&gt;0)*T_PlannedOrders[Order_Month])),"m月")&amp;"発注)")</f>
        <v/>
      </c>
      <c r="AW89">
        <f>IF(SUMIFS(T_PlannedOrders[EffectiveQty],T_PlannedOrders[Part Name],$A83,T_PlannedOrders[WeekIndex],46)=0,"",SUMIFS(T_PlannedOrders[EffectiveQty],T_PlannedOrders[Part Name],$A83,T_PlannedOrders[WeekIndex],46)&amp;" ("&amp;TEXT(SUMPRODUCT(MAX((T_PlannedOrders[Part Name]=$A83)*(T_PlannedOrders[WeekIndex]=46)*(T_PlannedOrders[EffectiveQty]&gt;0)*T_PlannedOrders[Order_Month])),"m月")&amp;"発注)")</f>
        <v/>
      </c>
      <c r="AX89">
        <f>IF(SUMIFS(T_PlannedOrders[EffectiveQty],T_PlannedOrders[Part Name],$A83,T_PlannedOrders[WeekIndex],47)=0,"",SUMIFS(T_PlannedOrders[EffectiveQty],T_PlannedOrders[Part Name],$A83,T_PlannedOrders[WeekIndex],47)&amp;" ("&amp;TEXT(SUMPRODUCT(MAX((T_PlannedOrders[Part Name]=$A83)*(T_PlannedOrders[WeekIndex]=47)*(T_PlannedOrders[EffectiveQty]&gt;0)*T_PlannedOrders[Order_Month])),"m月")&amp;"発注)")</f>
        <v/>
      </c>
      <c r="AY89">
        <f>IF(SUMIFS(T_PlannedOrders[EffectiveQty],T_PlannedOrders[Part Name],$A83,T_PlannedOrders[WeekIndex],48)=0,"",SUMIFS(T_PlannedOrders[EffectiveQty],T_PlannedOrders[Part Name],$A83,T_PlannedOrders[WeekIndex],48)&amp;" ("&amp;TEXT(SUMPRODUCT(MAX((T_PlannedOrders[Part Name]=$A83)*(T_PlannedOrders[WeekIndex]=48)*(T_PlannedOrders[EffectiveQty]&gt;0)*T_PlannedOrders[Order_Month])),"m月")&amp;"発注)")</f>
        <v/>
      </c>
      <c r="AZ89">
        <f>IF(SUMIFS(T_PlannedOrders[EffectiveQty],T_PlannedOrders[Part Name],$A83,T_PlannedOrders[WeekIndex],49)=0,"",SUMIFS(T_PlannedOrders[EffectiveQty],T_PlannedOrders[Part Name],$A83,T_PlannedOrders[WeekIndex],49)&amp;" ("&amp;TEXT(SUMPRODUCT(MAX((T_PlannedOrders[Part Name]=$A83)*(T_PlannedOrders[WeekIndex]=49)*(T_PlannedOrders[EffectiveQty]&gt;0)*T_PlannedOrders[Order_Month])),"m月")&amp;"発注)")</f>
        <v/>
      </c>
      <c r="BA89">
        <f>IF(SUMIFS(T_PlannedOrders[EffectiveQty],T_PlannedOrders[Part Name],$A83,T_PlannedOrders[WeekIndex],50)=0,"",SUMIFS(T_PlannedOrders[EffectiveQty],T_PlannedOrders[Part Name],$A83,T_PlannedOrders[WeekIndex],50)&amp;" ("&amp;TEXT(SUMPRODUCT(MAX((T_PlannedOrders[Part Name]=$A83)*(T_PlannedOrders[WeekIndex]=50)*(T_PlannedOrders[EffectiveQty]&gt;0)*T_PlannedOrders[Order_Month])),"m月")&amp;"発注)")</f>
        <v/>
      </c>
      <c r="BB89">
        <f>IF(SUMIFS(T_PlannedOrders[EffectiveQty],T_PlannedOrders[Part Name],$A83,T_PlannedOrders[WeekIndex],51)=0,"",SUMIFS(T_PlannedOrders[EffectiveQty],T_PlannedOrders[Part Name],$A83,T_PlannedOrders[WeekIndex],51)&amp;" ("&amp;TEXT(SUMPRODUCT(MAX((T_PlannedOrders[Part Name]=$A83)*(T_PlannedOrders[WeekIndex]=51)*(T_PlannedOrders[EffectiveQty]&gt;0)*T_PlannedOrders[Order_Month])),"m月")&amp;"発注)")</f>
        <v/>
      </c>
      <c r="BC89">
        <f>IF(SUMIFS(T_PlannedOrders[EffectiveQty],T_PlannedOrders[Part Name],$A83,T_PlannedOrders[WeekIndex],52)=0,"",SUMIFS(T_PlannedOrders[EffectiveQty],T_PlannedOrders[Part Name],$A83,T_PlannedOrders[WeekIndex],52)&amp;" ("&amp;TEXT(SUMPRODUCT(MAX((T_PlannedOrders[Part Name]=$A83)*(T_PlannedOrders[WeekIndex]=52)*(T_PlannedOrders[EffectiveQty]&gt;0)*T_PlannedOrders[Order_Month])),"m月")&amp;"発注)")</f>
        <v/>
      </c>
      <c r="BD89">
        <f>IF(SUMIFS(T_PlannedOrders[EffectiveQty],T_PlannedOrders[Part Name],$A83,T_PlannedOrders[WeekIndex],53)=0,"",SUMIFS(T_PlannedOrders[EffectiveQty],T_PlannedOrders[Part Name],$A83,T_PlannedOrders[WeekIndex],53)&amp;" ("&amp;TEXT(SUMPRODUCT(MAX((T_PlannedOrders[Part Name]=$A83)*(T_PlannedOrders[WeekIndex]=53)*(T_PlannedOrders[EffectiveQty]&gt;0)*T_PlannedOrders[Order_Month])),"m月")&amp;"発注)")</f>
        <v/>
      </c>
      <c r="BE89">
        <f>IF(SUMIFS(T_PlannedOrders[EffectiveQty],T_PlannedOrders[Part Name],$A83,T_PlannedOrders[WeekIndex],54)=0,"",SUMIFS(T_PlannedOrders[EffectiveQty],T_PlannedOrders[Part Name],$A83,T_PlannedOrders[WeekIndex],54)&amp;" ("&amp;TEXT(SUMPRODUCT(MAX((T_PlannedOrders[Part Name]=$A83)*(T_PlannedOrders[WeekIndex]=54)*(T_PlannedOrders[EffectiveQty]&gt;0)*T_PlannedOrders[Order_Month])),"m月")&amp;"発注)")</f>
        <v/>
      </c>
      <c r="BF89">
        <f>IF(SUMIFS(T_PlannedOrders[EffectiveQty],T_PlannedOrders[Part Name],$A83,T_PlannedOrders[WeekIndex],55)=0,"",SUMIFS(T_PlannedOrders[EffectiveQty],T_PlannedOrders[Part Name],$A83,T_PlannedOrders[WeekIndex],55)&amp;" ("&amp;TEXT(SUMPRODUCT(MAX((T_PlannedOrders[Part Name]=$A83)*(T_PlannedOrders[WeekIndex]=55)*(T_PlannedOrders[EffectiveQty]&gt;0)*T_PlannedOrders[Order_Month])),"m月")&amp;"発注)")</f>
        <v/>
      </c>
      <c r="BG89">
        <f>IF(SUMIFS(T_PlannedOrders[EffectiveQty],T_PlannedOrders[Part Name],$A83,T_PlannedOrders[WeekIndex],56)=0,"",SUMIFS(T_PlannedOrders[EffectiveQty],T_PlannedOrders[Part Name],$A83,T_PlannedOrders[WeekIndex],56)&amp;" ("&amp;TEXT(SUMPRODUCT(MAX((T_PlannedOrders[Part Name]=$A83)*(T_PlannedOrders[WeekIndex]=56)*(T_PlannedOrders[EffectiveQty]&gt;0)*T_PlannedOrders[Order_Month])),"m月")&amp;"発注)")</f>
        <v/>
      </c>
      <c r="BH89">
        <f>IF(SUMIFS(T_PlannedOrders[EffectiveQty],T_PlannedOrders[Part Name],$A83,T_PlannedOrders[WeekIndex],57)=0,"",SUMIFS(T_PlannedOrders[EffectiveQty],T_PlannedOrders[Part Name],$A83,T_PlannedOrders[WeekIndex],57)&amp;" ("&amp;TEXT(SUMPRODUCT(MAX((T_PlannedOrders[Part Name]=$A83)*(T_PlannedOrders[WeekIndex]=57)*(T_PlannedOrders[EffectiveQty]&gt;0)*T_PlannedOrders[Order_Month])),"m月")&amp;"発注)")</f>
        <v/>
      </c>
      <c r="BI89">
        <f>IF(SUMIFS(T_PlannedOrders[EffectiveQty],T_PlannedOrders[Part Name],$A83,T_PlannedOrders[WeekIndex],58)=0,"",SUMIFS(T_PlannedOrders[EffectiveQty],T_PlannedOrders[Part Name],$A83,T_PlannedOrders[WeekIndex],58)&amp;" ("&amp;TEXT(SUMPRODUCT(MAX((T_PlannedOrders[Part Name]=$A83)*(T_PlannedOrders[WeekIndex]=58)*(T_PlannedOrders[EffectiveQty]&gt;0)*T_PlannedOrders[Order_Month])),"m月")&amp;"発注)")</f>
        <v/>
      </c>
      <c r="BJ89">
        <f>IF(SUMIFS(T_PlannedOrders[EffectiveQty],T_PlannedOrders[Part Name],$A83,T_PlannedOrders[WeekIndex],59)=0,"",SUMIFS(T_PlannedOrders[EffectiveQty],T_PlannedOrders[Part Name],$A83,T_PlannedOrders[WeekIndex],59)&amp;" ("&amp;TEXT(SUMPRODUCT(MAX((T_PlannedOrders[Part Name]=$A83)*(T_PlannedOrders[WeekIndex]=59)*(T_PlannedOrders[EffectiveQty]&gt;0)*T_PlannedOrders[Order_Month])),"m月")&amp;"発注)")</f>
        <v/>
      </c>
      <c r="BK89">
        <f>IF(SUMIFS(T_PlannedOrders[EffectiveQty],T_PlannedOrders[Part Name],$A83,T_PlannedOrders[WeekIndex],60)=0,"",SUMIFS(T_PlannedOrders[EffectiveQty],T_PlannedOrders[Part Name],$A83,T_PlannedOrders[WeekIndex],60)&amp;" ("&amp;TEXT(SUMPRODUCT(MAX((T_PlannedOrders[Part Name]=$A83)*(T_PlannedOrders[WeekIndex]=60)*(T_PlannedOrders[EffectiveQty]&gt;0)*T_PlannedOrders[Order_Month])),"m月")&amp;"発注)")</f>
        <v/>
      </c>
      <c r="BL89">
        <f>IF(SUMIFS(T_PlannedOrders[EffectiveQty],T_PlannedOrders[Part Name],$A83,T_PlannedOrders[WeekIndex],61)=0,"",SUMIFS(T_PlannedOrders[EffectiveQty],T_PlannedOrders[Part Name],$A83,T_PlannedOrders[WeekIndex],61)&amp;" ("&amp;TEXT(SUMPRODUCT(MAX((T_PlannedOrders[Part Name]=$A83)*(T_PlannedOrders[WeekIndex]=61)*(T_PlannedOrders[EffectiveQty]&gt;0)*T_PlannedOrders[Order_Month])),"m月")&amp;"発注)")</f>
        <v/>
      </c>
      <c r="BM89">
        <f>IF(SUMIFS(T_PlannedOrders[EffectiveQty],T_PlannedOrders[Part Name],$A83,T_PlannedOrders[WeekIndex],62)=0,"",SUMIFS(T_PlannedOrders[EffectiveQty],T_PlannedOrders[Part Name],$A83,T_PlannedOrders[WeekIndex],62)&amp;" ("&amp;TEXT(SUMPRODUCT(MAX((T_PlannedOrders[Part Name]=$A83)*(T_PlannedOrders[WeekIndex]=62)*(T_PlannedOrders[EffectiveQty]&gt;0)*T_PlannedOrders[Order_Month])),"m月")&amp;"発注)")</f>
        <v/>
      </c>
      <c r="BN89">
        <f>IF(SUMIFS(T_PlannedOrders[EffectiveQty],T_PlannedOrders[Part Name],$A83,T_PlannedOrders[WeekIndex],63)=0,"",SUMIFS(T_PlannedOrders[EffectiveQty],T_PlannedOrders[Part Name],$A83,T_PlannedOrders[WeekIndex],63)&amp;" ("&amp;TEXT(SUMPRODUCT(MAX((T_PlannedOrders[Part Name]=$A83)*(T_PlannedOrders[WeekIndex]=63)*(T_PlannedOrders[EffectiveQty]&gt;0)*T_PlannedOrders[Order_Month])),"m月")&amp;"発注)")</f>
        <v/>
      </c>
      <c r="BO89">
        <f>IF(SUMIFS(T_PlannedOrders[EffectiveQty],T_PlannedOrders[Part Name],$A83,T_PlannedOrders[WeekIndex],64)=0,"",SUMIFS(T_PlannedOrders[EffectiveQty],T_PlannedOrders[Part Name],$A83,T_PlannedOrders[WeekIndex],64)&amp;" ("&amp;TEXT(SUMPRODUCT(MAX((T_PlannedOrders[Part Name]=$A83)*(T_PlannedOrders[WeekIndex]=64)*(T_PlannedOrders[EffectiveQty]&gt;0)*T_PlannedOrders[Order_Month])),"m月")&amp;"発注)")</f>
        <v/>
      </c>
      <c r="BP89">
        <f>IF(SUMIFS(T_PlannedOrders[EffectiveQty],T_PlannedOrders[Part Name],$A83,T_PlannedOrders[WeekIndex],65)=0,"",SUMIFS(T_PlannedOrders[EffectiveQty],T_PlannedOrders[Part Name],$A83,T_PlannedOrders[WeekIndex],65)&amp;" ("&amp;TEXT(SUMPRODUCT(MAX((T_PlannedOrders[Part Name]=$A83)*(T_PlannedOrders[WeekIndex]=65)*(T_PlannedOrders[EffectiveQty]&gt;0)*T_PlannedOrders[Order_Month])),"m月")&amp;"発注)")</f>
        <v/>
      </c>
      <c r="BQ89">
        <f>IF(SUMIFS(T_PlannedOrders[EffectiveQty],T_PlannedOrders[Part Name],$A83,T_PlannedOrders[WeekIndex],66)=0,"",SUMIFS(T_PlannedOrders[EffectiveQty],T_PlannedOrders[Part Name],$A83,T_PlannedOrders[WeekIndex],66)&amp;" ("&amp;TEXT(SUMPRODUCT(MAX((T_PlannedOrders[Part Name]=$A83)*(T_PlannedOrders[WeekIndex]=66)*(T_PlannedOrders[EffectiveQty]&gt;0)*T_PlannedOrders[Order_Month])),"m月")&amp;"発注)")</f>
        <v/>
      </c>
      <c r="BR89">
        <f>IF(SUMIFS(T_PlannedOrders[EffectiveQty],T_PlannedOrders[Part Name],$A83,T_PlannedOrders[WeekIndex],67)=0,"",SUMIFS(T_PlannedOrders[EffectiveQty],T_PlannedOrders[Part Name],$A83,T_PlannedOrders[WeekIndex],67)&amp;" ("&amp;TEXT(SUMPRODUCT(MAX((T_PlannedOrders[Part Name]=$A83)*(T_PlannedOrders[WeekIndex]=67)*(T_PlannedOrders[EffectiveQty]&gt;0)*T_PlannedOrders[Order_Month])),"m月")&amp;"発注)")</f>
        <v/>
      </c>
      <c r="BS89">
        <f>IF(SUMIFS(T_PlannedOrders[EffectiveQty],T_PlannedOrders[Part Name],$A83,T_PlannedOrders[WeekIndex],68)=0,"",SUMIFS(T_PlannedOrders[EffectiveQty],T_PlannedOrders[Part Name],$A83,T_PlannedOrders[WeekIndex],68)&amp;" ("&amp;TEXT(SUMPRODUCT(MAX((T_PlannedOrders[Part Name]=$A83)*(T_PlannedOrders[WeekIndex]=68)*(T_PlannedOrders[EffectiveQty]&gt;0)*T_PlannedOrders[Order_Month])),"m月")&amp;"発注)")</f>
        <v/>
      </c>
      <c r="BT89">
        <f>IF(SUMIFS(T_PlannedOrders[EffectiveQty],T_PlannedOrders[Part Name],$A83,T_PlannedOrders[WeekIndex],69)=0,"",SUMIFS(T_PlannedOrders[EffectiveQty],T_PlannedOrders[Part Name],$A83,T_PlannedOrders[WeekIndex],69)&amp;" ("&amp;TEXT(SUMPRODUCT(MAX((T_PlannedOrders[Part Name]=$A83)*(T_PlannedOrders[WeekIndex]=69)*(T_PlannedOrders[EffectiveQty]&gt;0)*T_PlannedOrders[Order_Month])),"m月")&amp;"発注)")</f>
        <v/>
      </c>
      <c r="BU89">
        <f>IF(SUMIFS(T_PlannedOrders[EffectiveQty],T_PlannedOrders[Part Name],$A83,T_PlannedOrders[WeekIndex],70)=0,"",SUMIFS(T_PlannedOrders[EffectiveQty],T_PlannedOrders[Part Name],$A83,T_PlannedOrders[WeekIndex],70)&amp;" ("&amp;TEXT(SUMPRODUCT(MAX((T_PlannedOrders[Part Name]=$A83)*(T_PlannedOrders[WeekIndex]=70)*(T_PlannedOrders[EffectiveQty]&gt;0)*T_PlannedOrders[Order_Month])),"m月")&amp;"発注)")</f>
        <v/>
      </c>
      <c r="BV89">
        <f>IF(SUMIFS(T_PlannedOrders[EffectiveQty],T_PlannedOrders[Part Name],$A83,T_PlannedOrders[WeekIndex],71)=0,"",SUMIFS(T_PlannedOrders[EffectiveQty],T_PlannedOrders[Part Name],$A83,T_PlannedOrders[WeekIndex],71)&amp;" ("&amp;TEXT(SUMPRODUCT(MAX((T_PlannedOrders[Part Name]=$A83)*(T_PlannedOrders[WeekIndex]=71)*(T_PlannedOrders[EffectiveQty]&gt;0)*T_PlannedOrders[Order_Month])),"m月")&amp;"発注)")</f>
        <v/>
      </c>
      <c r="BW89">
        <f>IF(SUMIFS(T_PlannedOrders[EffectiveQty],T_PlannedOrders[Part Name],$A83,T_PlannedOrders[WeekIndex],72)=0,"",SUMIFS(T_PlannedOrders[EffectiveQty],T_PlannedOrders[Part Name],$A83,T_PlannedOrders[WeekIndex],72)&amp;" ("&amp;TEXT(SUMPRODUCT(MAX((T_PlannedOrders[Part Name]=$A83)*(T_PlannedOrders[WeekIndex]=72)*(T_PlannedOrders[EffectiveQty]&gt;0)*T_PlannedOrders[Order_Month])),"m月")&amp;"発注)")</f>
        <v/>
      </c>
      <c r="BX89">
        <f>IF(SUMIFS(T_PlannedOrders[EffectiveQty],T_PlannedOrders[Part Name],$A83,T_PlannedOrders[WeekIndex],73)=0,"",SUMIFS(T_PlannedOrders[EffectiveQty],T_PlannedOrders[Part Name],$A83,T_PlannedOrders[WeekIndex],73)&amp;" ("&amp;TEXT(SUMPRODUCT(MAX((T_PlannedOrders[Part Name]=$A83)*(T_PlannedOrders[WeekIndex]=73)*(T_PlannedOrders[EffectiveQty]&gt;0)*T_PlannedOrders[Order_Month])),"m月")&amp;"発注)")</f>
        <v/>
      </c>
      <c r="BY89">
        <f>IF(SUMIFS(T_PlannedOrders[EffectiveQty],T_PlannedOrders[Part Name],$A83,T_PlannedOrders[WeekIndex],74)=0,"",SUMIFS(T_PlannedOrders[EffectiveQty],T_PlannedOrders[Part Name],$A83,T_PlannedOrders[WeekIndex],74)&amp;" ("&amp;TEXT(SUMPRODUCT(MAX((T_PlannedOrders[Part Name]=$A83)*(T_PlannedOrders[WeekIndex]=74)*(T_PlannedOrders[EffectiveQty]&gt;0)*T_PlannedOrders[Order_Month])),"m月")&amp;"発注)")</f>
        <v/>
      </c>
      <c r="BZ89">
        <f>IF(SUMIFS(T_PlannedOrders[EffectiveQty],T_PlannedOrders[Part Name],$A83,T_PlannedOrders[WeekIndex],75)=0,"",SUMIFS(T_PlannedOrders[EffectiveQty],T_PlannedOrders[Part Name],$A83,T_PlannedOrders[WeekIndex],75)&amp;" ("&amp;TEXT(SUMPRODUCT(MAX((T_PlannedOrders[Part Name]=$A83)*(T_PlannedOrders[WeekIndex]=75)*(T_PlannedOrders[EffectiveQty]&gt;0)*T_PlannedOrders[Order_Month])),"m月")&amp;"発注)")</f>
        <v/>
      </c>
      <c r="CA89">
        <f>IF(SUMIFS(T_PlannedOrders[EffectiveQty],T_PlannedOrders[Part Name],$A83,T_PlannedOrders[WeekIndex],76)=0,"",SUMIFS(T_PlannedOrders[EffectiveQty],T_PlannedOrders[Part Name],$A83,T_PlannedOrders[WeekIndex],76)&amp;" ("&amp;TEXT(SUMPRODUCT(MAX((T_PlannedOrders[Part Name]=$A83)*(T_PlannedOrders[WeekIndex]=76)*(T_PlannedOrders[EffectiveQty]&gt;0)*T_PlannedOrders[Order_Month])),"m月")&amp;"発注)")</f>
        <v/>
      </c>
      <c r="CB89">
        <f>IF(SUMIFS(T_PlannedOrders[EffectiveQty],T_PlannedOrders[Part Name],$A83,T_PlannedOrders[WeekIndex],77)=0,"",SUMIFS(T_PlannedOrders[EffectiveQty],T_PlannedOrders[Part Name],$A83,T_PlannedOrders[WeekIndex],77)&amp;" ("&amp;TEXT(SUMPRODUCT(MAX((T_PlannedOrders[Part Name]=$A83)*(T_PlannedOrders[WeekIndex]=77)*(T_PlannedOrders[EffectiveQty]&gt;0)*T_PlannedOrders[Order_Month])),"m月")&amp;"発注)")</f>
        <v/>
      </c>
      <c r="CC89">
        <f>IF(SUMIFS(T_PlannedOrders[EffectiveQty],T_PlannedOrders[Part Name],$A83,T_PlannedOrders[WeekIndex],78)=0,"",SUMIFS(T_PlannedOrders[EffectiveQty],T_PlannedOrders[Part Name],$A83,T_PlannedOrders[WeekIndex],78)&amp;" ("&amp;TEXT(SUMPRODUCT(MAX((T_PlannedOrders[Part Name]=$A83)*(T_PlannedOrders[WeekIndex]=78)*(T_PlannedOrders[EffectiveQty]&gt;0)*T_PlannedOrders[Order_Month])),"m月")&amp;"発注)")</f>
        <v/>
      </c>
      <c r="CD89">
        <f>IF(SUMIFS(T_PlannedOrders[EffectiveQty],T_PlannedOrders[Part Name],$A83,T_PlannedOrders[WeekIndex],79)=0,"",SUMIFS(T_PlannedOrders[EffectiveQty],T_PlannedOrders[Part Name],$A83,T_PlannedOrders[WeekIndex],79)&amp;" ("&amp;TEXT(SUMPRODUCT(MAX((T_PlannedOrders[Part Name]=$A83)*(T_PlannedOrders[WeekIndex]=79)*(T_PlannedOrders[EffectiveQty]&gt;0)*T_PlannedOrders[Order_Month])),"m月")&amp;"発注)")</f>
        <v/>
      </c>
      <c r="CE89">
        <f>IF(SUMIFS(T_PlannedOrders[EffectiveQty],T_PlannedOrders[Part Name],$A83,T_PlannedOrders[WeekIndex],80)=0,"",SUMIFS(T_PlannedOrders[EffectiveQty],T_PlannedOrders[Part Name],$A83,T_PlannedOrders[WeekIndex],80)&amp;" ("&amp;TEXT(SUMPRODUCT(MAX((T_PlannedOrders[Part Name]=$A83)*(T_PlannedOrders[WeekIndex]=80)*(T_PlannedOrders[EffectiveQty]&gt;0)*T_PlannedOrders[Order_Month])),"m月")&amp;"発注)")</f>
        <v/>
      </c>
      <c r="CF89">
        <f>IF(SUMIFS(T_PlannedOrders[EffectiveQty],T_PlannedOrders[Part Name],$A83,T_PlannedOrders[WeekIndex],81)=0,"",SUMIFS(T_PlannedOrders[EffectiveQty],T_PlannedOrders[Part Name],$A83,T_PlannedOrders[WeekIndex],81)&amp;" ("&amp;TEXT(SUMPRODUCT(MAX((T_PlannedOrders[Part Name]=$A83)*(T_PlannedOrders[WeekIndex]=81)*(T_PlannedOrders[EffectiveQty]&gt;0)*T_PlannedOrders[Order_Month])),"m月")&amp;"発注)")</f>
        <v/>
      </c>
      <c r="CG89">
        <f>IF(SUMIFS(T_PlannedOrders[EffectiveQty],T_PlannedOrders[Part Name],$A83,T_PlannedOrders[WeekIndex],82)=0,"",SUMIFS(T_PlannedOrders[EffectiveQty],T_PlannedOrders[Part Name],$A83,T_PlannedOrders[WeekIndex],82)&amp;" ("&amp;TEXT(SUMPRODUCT(MAX((T_PlannedOrders[Part Name]=$A83)*(T_PlannedOrders[WeekIndex]=82)*(T_PlannedOrders[EffectiveQty]&gt;0)*T_PlannedOrders[Order_Month])),"m月")&amp;"発注)")</f>
        <v/>
      </c>
      <c r="CH89">
        <f>IF(SUMIFS(T_PlannedOrders[EffectiveQty],T_PlannedOrders[Part Name],$A83,T_PlannedOrders[WeekIndex],83)=0,"",SUMIFS(T_PlannedOrders[EffectiveQty],T_PlannedOrders[Part Name],$A83,T_PlannedOrders[WeekIndex],83)&amp;" ("&amp;TEXT(SUMPRODUCT(MAX((T_PlannedOrders[Part Name]=$A83)*(T_PlannedOrders[WeekIndex]=83)*(T_PlannedOrders[EffectiveQty]&gt;0)*T_PlannedOrders[Order_Month])),"m月")&amp;"発注)")</f>
        <v/>
      </c>
      <c r="CI89">
        <f>IF(SUMIFS(T_PlannedOrders[EffectiveQty],T_PlannedOrders[Part Name],$A83,T_PlannedOrders[WeekIndex],84)=0,"",SUMIFS(T_PlannedOrders[EffectiveQty],T_PlannedOrders[Part Name],$A83,T_PlannedOrders[WeekIndex],84)&amp;" ("&amp;TEXT(SUMPRODUCT(MAX((T_PlannedOrders[Part Name]=$A83)*(T_PlannedOrders[WeekIndex]=84)*(T_PlannedOrders[EffectiveQty]&gt;0)*T_PlannedOrders[Order_Month])),"m月")&amp;"発注)")</f>
        <v/>
      </c>
      <c r="CJ89">
        <f>IF(SUMIFS(T_PlannedOrders[EffectiveQty],T_PlannedOrders[Part Name],$A83,T_PlannedOrders[WeekIndex],85)=0,"",SUMIFS(T_PlannedOrders[EffectiveQty],T_PlannedOrders[Part Name],$A83,T_PlannedOrders[WeekIndex],85)&amp;" ("&amp;TEXT(SUMPRODUCT(MAX((T_PlannedOrders[Part Name]=$A83)*(T_PlannedOrders[WeekIndex]=85)*(T_PlannedOrders[EffectiveQty]&gt;0)*T_PlannedOrders[Order_Month])),"m月")&amp;"発注)")</f>
        <v/>
      </c>
      <c r="CK89">
        <f>IF(SUMIFS(T_PlannedOrders[EffectiveQty],T_PlannedOrders[Part Name],$A83,T_PlannedOrders[WeekIndex],86)=0,"",SUMIFS(T_PlannedOrders[EffectiveQty],T_PlannedOrders[Part Name],$A83,T_PlannedOrders[WeekIndex],86)&amp;" ("&amp;TEXT(SUMPRODUCT(MAX((T_PlannedOrders[Part Name]=$A83)*(T_PlannedOrders[WeekIndex]=86)*(T_PlannedOrders[EffectiveQty]&gt;0)*T_PlannedOrders[Order_Month])),"m月")&amp;"発注)")</f>
        <v/>
      </c>
      <c r="CL89">
        <f>IF(SUMIFS(T_PlannedOrders[EffectiveQty],T_PlannedOrders[Part Name],$A83,T_PlannedOrders[WeekIndex],87)=0,"",SUMIFS(T_PlannedOrders[EffectiveQty],T_PlannedOrders[Part Name],$A83,T_PlannedOrders[WeekIndex],87)&amp;" ("&amp;TEXT(SUMPRODUCT(MAX((T_PlannedOrders[Part Name]=$A83)*(T_PlannedOrders[WeekIndex]=87)*(T_PlannedOrders[EffectiveQty]&gt;0)*T_PlannedOrders[Order_Month])),"m月")&amp;"発注)")</f>
        <v/>
      </c>
      <c r="CM89">
        <f>IF(SUMIFS(T_PlannedOrders[EffectiveQty],T_PlannedOrders[Part Name],$A83,T_PlannedOrders[WeekIndex],88)=0,"",SUMIFS(T_PlannedOrders[EffectiveQty],T_PlannedOrders[Part Name],$A83,T_PlannedOrders[WeekIndex],88)&amp;" ("&amp;TEXT(SUMPRODUCT(MAX((T_PlannedOrders[Part Name]=$A83)*(T_PlannedOrders[WeekIndex]=88)*(T_PlannedOrders[EffectiveQty]&gt;0)*T_PlannedOrders[Order_Month])),"m月")&amp;"発注)")</f>
        <v/>
      </c>
      <c r="CN89">
        <f>IF(SUMIFS(T_PlannedOrders[EffectiveQty],T_PlannedOrders[Part Name],$A83,T_PlannedOrders[WeekIndex],89)=0,"",SUMIFS(T_PlannedOrders[EffectiveQty],T_PlannedOrders[Part Name],$A83,T_PlannedOrders[WeekIndex],89)&amp;" ("&amp;TEXT(SUMPRODUCT(MAX((T_PlannedOrders[Part Name]=$A83)*(T_PlannedOrders[WeekIndex]=89)*(T_PlannedOrders[EffectiveQty]&gt;0)*T_PlannedOrders[Order_Month])),"m月")&amp;"発注)")</f>
        <v/>
      </c>
      <c r="CO89">
        <f>IF(SUMIFS(T_PlannedOrders[EffectiveQty],T_PlannedOrders[Part Name],$A83,T_PlannedOrders[WeekIndex],90)=0,"",SUMIFS(T_PlannedOrders[EffectiveQty],T_PlannedOrders[Part Name],$A83,T_PlannedOrders[WeekIndex],90)&amp;" ("&amp;TEXT(SUMPRODUCT(MAX((T_PlannedOrders[Part Name]=$A83)*(T_PlannedOrders[WeekIndex]=90)*(T_PlannedOrders[EffectiveQty]&gt;0)*T_PlannedOrders[Order_Month])),"m月")&amp;"発注)")</f>
        <v/>
      </c>
      <c r="CP89">
        <f>IF(SUMIFS(T_PlannedOrders[EffectiveQty],T_PlannedOrders[Part Name],$A83,T_PlannedOrders[WeekIndex],91)=0,"",SUMIFS(T_PlannedOrders[EffectiveQty],T_PlannedOrders[Part Name],$A83,T_PlannedOrders[WeekIndex],91)&amp;" ("&amp;TEXT(SUMPRODUCT(MAX((T_PlannedOrders[Part Name]=$A83)*(T_PlannedOrders[WeekIndex]=91)*(T_PlannedOrders[EffectiveQty]&gt;0)*T_PlannedOrders[Order_Month])),"m月")&amp;"発注)")</f>
        <v/>
      </c>
      <c r="CQ89">
        <f>IF(SUMIFS(T_PlannedOrders[EffectiveQty],T_PlannedOrders[Part Name],$A83,T_PlannedOrders[WeekIndex],92)=0,"",SUMIFS(T_PlannedOrders[EffectiveQty],T_PlannedOrders[Part Name],$A83,T_PlannedOrders[WeekIndex],92)&amp;" ("&amp;TEXT(SUMPRODUCT(MAX((T_PlannedOrders[Part Name]=$A83)*(T_PlannedOrders[WeekIndex]=92)*(T_PlannedOrders[EffectiveQty]&gt;0)*T_PlannedOrders[Order_Month])),"m月")&amp;"発注)")</f>
        <v/>
      </c>
      <c r="CR89">
        <f>IF(SUMIFS(T_PlannedOrders[EffectiveQty],T_PlannedOrders[Part Name],$A83,T_PlannedOrders[WeekIndex],93)=0,"",SUMIFS(T_PlannedOrders[EffectiveQty],T_PlannedOrders[Part Name],$A83,T_PlannedOrders[WeekIndex],93)&amp;" ("&amp;TEXT(SUMPRODUCT(MAX((T_PlannedOrders[Part Name]=$A83)*(T_PlannedOrders[WeekIndex]=93)*(T_PlannedOrders[EffectiveQty]&gt;0)*T_PlannedOrders[Order_Month])),"m月")&amp;"発注)")</f>
        <v/>
      </c>
      <c r="CS89">
        <f>IF(SUMIFS(T_PlannedOrders[EffectiveQty],T_PlannedOrders[Part Name],$A83,T_PlannedOrders[WeekIndex],94)=0,"",SUMIFS(T_PlannedOrders[EffectiveQty],T_PlannedOrders[Part Name],$A83,T_PlannedOrders[WeekIndex],94)&amp;" ("&amp;TEXT(SUMPRODUCT(MAX((T_PlannedOrders[Part Name]=$A83)*(T_PlannedOrders[WeekIndex]=94)*(T_PlannedOrders[EffectiveQty]&gt;0)*T_PlannedOrders[Order_Month])),"m月")&amp;"発注)")</f>
        <v/>
      </c>
      <c r="CT89">
        <f>IF(SUMIFS(T_PlannedOrders[EffectiveQty],T_PlannedOrders[Part Name],$A83,T_PlannedOrders[WeekIndex],95)=0,"",SUMIFS(T_PlannedOrders[EffectiveQty],T_PlannedOrders[Part Name],$A83,T_PlannedOrders[WeekIndex],95)&amp;" ("&amp;TEXT(SUMPRODUCT(MAX((T_PlannedOrders[Part Name]=$A83)*(T_PlannedOrders[WeekIndex]=95)*(T_PlannedOrders[EffectiveQty]&gt;0)*T_PlannedOrders[Order_Month])),"m月")&amp;"発注)")</f>
        <v/>
      </c>
      <c r="CU89">
        <f>IF(SUMIFS(T_PlannedOrders[EffectiveQty],T_PlannedOrders[Part Name],$A83,T_PlannedOrders[WeekIndex],96)=0,"",SUMIFS(T_PlannedOrders[EffectiveQty],T_PlannedOrders[Part Name],$A83,T_PlannedOrders[WeekIndex],96)&amp;" ("&amp;TEXT(SUMPRODUCT(MAX((T_PlannedOrders[Part Name]=$A83)*(T_PlannedOrders[WeekIndex]=96)*(T_PlannedOrders[EffectiveQty]&gt;0)*T_PlannedOrders[Order_Month])),"m月")&amp;"発注)")</f>
        <v/>
      </c>
      <c r="CV89">
        <f>IF(SUMIFS(T_PlannedOrders[EffectiveQty],T_PlannedOrders[Part Name],$A83,T_PlannedOrders[WeekIndex],97)=0,"",SUMIFS(T_PlannedOrders[EffectiveQty],T_PlannedOrders[Part Name],$A83,T_PlannedOrders[WeekIndex],97)&amp;" ("&amp;TEXT(SUMPRODUCT(MAX((T_PlannedOrders[Part Name]=$A83)*(T_PlannedOrders[WeekIndex]=97)*(T_PlannedOrders[EffectiveQty]&gt;0)*T_PlannedOrders[Order_Month])),"m月")&amp;"発注)")</f>
        <v/>
      </c>
      <c r="CW89">
        <f>IF(SUMIFS(T_PlannedOrders[EffectiveQty],T_PlannedOrders[Part Name],$A83,T_PlannedOrders[WeekIndex],98)=0,"",SUMIFS(T_PlannedOrders[EffectiveQty],T_PlannedOrders[Part Name],$A83,T_PlannedOrders[WeekIndex],98)&amp;" ("&amp;TEXT(SUMPRODUCT(MAX((T_PlannedOrders[Part Name]=$A83)*(T_PlannedOrders[WeekIndex]=98)*(T_PlannedOrders[EffectiveQty]&gt;0)*T_PlannedOrders[Order_Month])),"m月")&amp;"発注)")</f>
        <v/>
      </c>
      <c r="CX89">
        <f>IF(SUMIFS(T_PlannedOrders[EffectiveQty],T_PlannedOrders[Part Name],$A83,T_PlannedOrders[WeekIndex],99)=0,"",SUMIFS(T_PlannedOrders[EffectiveQty],T_PlannedOrders[Part Name],$A83,T_PlannedOrders[WeekIndex],99)&amp;" ("&amp;TEXT(SUMPRODUCT(MAX((T_PlannedOrders[Part Name]=$A83)*(T_PlannedOrders[WeekIndex]=99)*(T_PlannedOrders[EffectiveQty]&gt;0)*T_PlannedOrders[Order_Month])),"m月")&amp;"発注)")</f>
        <v/>
      </c>
      <c r="CY89">
        <f>IF(SUMIFS(T_PlannedOrders[EffectiveQty],T_PlannedOrders[Part Name],$A83,T_PlannedOrders[WeekIndex],100)=0,"",SUMIFS(T_PlannedOrders[EffectiveQty],T_PlannedOrders[Part Name],$A83,T_PlannedOrders[WeekIndex],100)&amp;" ("&amp;TEXT(SUMPRODUCT(MAX((T_PlannedOrders[Part Name]=$A83)*(T_PlannedOrders[WeekIndex]=100)*(T_PlannedOrders[EffectiveQty]&gt;0)*T_PlannedOrders[Order_Month])),"m月")&amp;"発注)")</f>
        <v/>
      </c>
      <c r="CZ89">
        <f>IF(SUMIFS(T_PlannedOrders[EffectiveQty],T_PlannedOrders[Part Name],$A83,T_PlannedOrders[WeekIndex],101)=0,"",SUMIFS(T_PlannedOrders[EffectiveQty],T_PlannedOrders[Part Name],$A83,T_PlannedOrders[WeekIndex],101)&amp;" ("&amp;TEXT(SUMPRODUCT(MAX((T_PlannedOrders[Part Name]=$A83)*(T_PlannedOrders[WeekIndex]=101)*(T_PlannedOrders[EffectiveQty]&gt;0)*T_PlannedOrders[Order_Month])),"m月")&amp;"発注)")</f>
        <v/>
      </c>
      <c r="DA89">
        <f>IF(SUMIFS(T_PlannedOrders[EffectiveQty],T_PlannedOrders[Part Name],$A83,T_PlannedOrders[WeekIndex],102)=0,"",SUMIFS(T_PlannedOrders[EffectiveQty],T_PlannedOrders[Part Name],$A83,T_PlannedOrders[WeekIndex],102)&amp;" ("&amp;TEXT(SUMPRODUCT(MAX((T_PlannedOrders[Part Name]=$A83)*(T_PlannedOrders[WeekIndex]=102)*(T_PlannedOrders[EffectiveQty]&gt;0)*T_PlannedOrders[Order_Month])),"m月")&amp;"発注)")</f>
        <v/>
      </c>
      <c r="DB89">
        <f>IF(SUMIFS(T_PlannedOrders[EffectiveQty],T_PlannedOrders[Part Name],$A83,T_PlannedOrders[WeekIndex],103)=0,"",SUMIFS(T_PlannedOrders[EffectiveQty],T_PlannedOrders[Part Name],$A83,T_PlannedOrders[WeekIndex],103)&amp;" ("&amp;TEXT(SUMPRODUCT(MAX((T_PlannedOrders[Part Name]=$A83)*(T_PlannedOrders[WeekIndex]=103)*(T_PlannedOrders[EffectiveQty]&gt;0)*T_PlannedOrders[Order_Month])),"m月")&amp;"発注)")</f>
        <v/>
      </c>
      <c r="DC89">
        <f>IF(SUMIFS(T_PlannedOrders[EffectiveQty],T_PlannedOrders[Part Name],$A83,T_PlannedOrders[WeekIndex],104)=0,"",SUMIFS(T_PlannedOrders[EffectiveQty],T_PlannedOrders[Part Name],$A83,T_PlannedOrders[WeekIndex],104)&amp;" ("&amp;TEXT(SUMPRODUCT(MAX((T_PlannedOrders[Part Name]=$A83)*(T_PlannedOrders[WeekIndex]=104)*(T_PlannedOrders[EffectiveQty]&gt;0)*T_PlannedOrders[Order_Month])),"m月")&amp;"発注)")</f>
        <v/>
      </c>
    </row>
    <row r="90">
      <c r="B90" s="5" t="inlineStr">
        <is>
          <t>合計在庫(週末時点,kg)</t>
        </is>
      </c>
      <c r="D90">
        <f>'Grid_Stock'!B7</f>
        <v/>
      </c>
      <c r="E90">
        <f>'Grid_Stock'!C7</f>
        <v/>
      </c>
      <c r="F90">
        <f>'Grid_Stock'!D7</f>
        <v/>
      </c>
      <c r="G90">
        <f>'Grid_Stock'!E7</f>
        <v/>
      </c>
      <c r="H90">
        <f>'Grid_Stock'!F7</f>
        <v/>
      </c>
      <c r="I90">
        <f>'Grid_Stock'!G7</f>
        <v/>
      </c>
      <c r="J90">
        <f>'Grid_Stock'!H7</f>
        <v/>
      </c>
      <c r="K90">
        <f>'Grid_Stock'!I7</f>
        <v/>
      </c>
      <c r="L90">
        <f>'Grid_Stock'!J7</f>
        <v/>
      </c>
      <c r="M90">
        <f>'Grid_Stock'!K7</f>
        <v/>
      </c>
      <c r="N90">
        <f>'Grid_Stock'!L7</f>
        <v/>
      </c>
      <c r="O90">
        <f>'Grid_Stock'!M7</f>
        <v/>
      </c>
      <c r="P90">
        <f>'Grid_Stock'!N7</f>
        <v/>
      </c>
      <c r="Q90">
        <f>'Grid_Stock'!O7</f>
        <v/>
      </c>
      <c r="R90">
        <f>'Grid_Stock'!P7</f>
        <v/>
      </c>
      <c r="S90">
        <f>'Grid_Stock'!Q7</f>
        <v/>
      </c>
      <c r="T90">
        <f>'Grid_Stock'!R7</f>
        <v/>
      </c>
      <c r="U90">
        <f>'Grid_Stock'!S7</f>
        <v/>
      </c>
      <c r="V90">
        <f>'Grid_Stock'!T7</f>
        <v/>
      </c>
      <c r="W90">
        <f>'Grid_Stock'!U7</f>
        <v/>
      </c>
      <c r="X90">
        <f>'Grid_Stock'!V7</f>
        <v/>
      </c>
      <c r="Y90">
        <f>'Grid_Stock'!W7</f>
        <v/>
      </c>
      <c r="Z90">
        <f>'Grid_Stock'!X7</f>
        <v/>
      </c>
      <c r="AA90">
        <f>'Grid_Stock'!Y7</f>
        <v/>
      </c>
      <c r="AB90">
        <f>'Grid_Stock'!Z7</f>
        <v/>
      </c>
      <c r="AC90">
        <f>'Grid_Stock'!AA7</f>
        <v/>
      </c>
      <c r="AD90">
        <f>'Grid_Stock'!AB7</f>
        <v/>
      </c>
      <c r="AE90">
        <f>'Grid_Stock'!AC7</f>
        <v/>
      </c>
      <c r="AF90">
        <f>'Grid_Stock'!AD7</f>
        <v/>
      </c>
      <c r="AG90">
        <f>'Grid_Stock'!AE7</f>
        <v/>
      </c>
      <c r="AH90">
        <f>'Grid_Stock'!AF7</f>
        <v/>
      </c>
      <c r="AI90">
        <f>'Grid_Stock'!AG7</f>
        <v/>
      </c>
      <c r="AJ90">
        <f>'Grid_Stock'!AH7</f>
        <v/>
      </c>
      <c r="AK90">
        <f>'Grid_Stock'!AI7</f>
        <v/>
      </c>
      <c r="AL90">
        <f>'Grid_Stock'!AJ7</f>
        <v/>
      </c>
      <c r="AM90">
        <f>'Grid_Stock'!AK7</f>
        <v/>
      </c>
      <c r="AN90">
        <f>'Grid_Stock'!AL7</f>
        <v/>
      </c>
      <c r="AO90">
        <f>'Grid_Stock'!AM7</f>
        <v/>
      </c>
      <c r="AP90">
        <f>'Grid_Stock'!AN7</f>
        <v/>
      </c>
      <c r="AQ90">
        <f>'Grid_Stock'!AO7</f>
        <v/>
      </c>
      <c r="AR90">
        <f>'Grid_Stock'!AP7</f>
        <v/>
      </c>
      <c r="AS90">
        <f>'Grid_Stock'!AQ7</f>
        <v/>
      </c>
      <c r="AT90">
        <f>'Grid_Stock'!AR7</f>
        <v/>
      </c>
      <c r="AU90">
        <f>'Grid_Stock'!AS7</f>
        <v/>
      </c>
      <c r="AV90">
        <f>'Grid_Stock'!AT7</f>
        <v/>
      </c>
      <c r="AW90">
        <f>'Grid_Stock'!AU7</f>
        <v/>
      </c>
      <c r="AX90">
        <f>'Grid_Stock'!AV7</f>
        <v/>
      </c>
      <c r="AY90">
        <f>'Grid_Stock'!AW7</f>
        <v/>
      </c>
      <c r="AZ90">
        <f>'Grid_Stock'!AX7</f>
        <v/>
      </c>
      <c r="BA90">
        <f>'Grid_Stock'!AY7</f>
        <v/>
      </c>
      <c r="BB90">
        <f>'Grid_Stock'!AZ7</f>
        <v/>
      </c>
      <c r="BC90">
        <f>'Grid_Stock'!BA7</f>
        <v/>
      </c>
      <c r="BD90">
        <f>'Grid_Stock'!BB7</f>
        <v/>
      </c>
      <c r="BE90">
        <f>'Grid_Stock'!BC7</f>
        <v/>
      </c>
      <c r="BF90">
        <f>'Grid_Stock'!BD7</f>
        <v/>
      </c>
      <c r="BG90">
        <f>'Grid_Stock'!BE7</f>
        <v/>
      </c>
      <c r="BH90">
        <f>'Grid_Stock'!BF7</f>
        <v/>
      </c>
      <c r="BI90">
        <f>'Grid_Stock'!BG7</f>
        <v/>
      </c>
      <c r="BJ90">
        <f>'Grid_Stock'!BH7</f>
        <v/>
      </c>
      <c r="BK90">
        <f>'Grid_Stock'!BI7</f>
        <v/>
      </c>
      <c r="BL90">
        <f>'Grid_Stock'!BJ7</f>
        <v/>
      </c>
      <c r="BM90">
        <f>'Grid_Stock'!BK7</f>
        <v/>
      </c>
      <c r="BN90">
        <f>'Grid_Stock'!BL7</f>
        <v/>
      </c>
      <c r="BO90">
        <f>'Grid_Stock'!BM7</f>
        <v/>
      </c>
      <c r="BP90">
        <f>'Grid_Stock'!BN7</f>
        <v/>
      </c>
      <c r="BQ90">
        <f>'Grid_Stock'!BO7</f>
        <v/>
      </c>
      <c r="BR90">
        <f>'Grid_Stock'!BP7</f>
        <v/>
      </c>
      <c r="BS90">
        <f>'Grid_Stock'!BQ7</f>
        <v/>
      </c>
      <c r="BT90">
        <f>'Grid_Stock'!BR7</f>
        <v/>
      </c>
      <c r="BU90">
        <f>'Grid_Stock'!BS7</f>
        <v/>
      </c>
      <c r="BV90">
        <f>'Grid_Stock'!BT7</f>
        <v/>
      </c>
      <c r="BW90">
        <f>'Grid_Stock'!BU7</f>
        <v/>
      </c>
      <c r="BX90">
        <f>'Grid_Stock'!BV7</f>
        <v/>
      </c>
      <c r="BY90">
        <f>'Grid_Stock'!BW7</f>
        <v/>
      </c>
      <c r="BZ90">
        <f>'Grid_Stock'!BX7</f>
        <v/>
      </c>
      <c r="CA90">
        <f>'Grid_Stock'!BY7</f>
        <v/>
      </c>
      <c r="CB90">
        <f>'Grid_Stock'!BZ7</f>
        <v/>
      </c>
      <c r="CC90">
        <f>'Grid_Stock'!CA7</f>
        <v/>
      </c>
      <c r="CD90">
        <f>'Grid_Stock'!CB7</f>
        <v/>
      </c>
      <c r="CE90">
        <f>'Grid_Stock'!CC7</f>
        <v/>
      </c>
      <c r="CF90">
        <f>'Grid_Stock'!CD7</f>
        <v/>
      </c>
      <c r="CG90">
        <f>'Grid_Stock'!CE7</f>
        <v/>
      </c>
      <c r="CH90">
        <f>'Grid_Stock'!CF7</f>
        <v/>
      </c>
      <c r="CI90">
        <f>'Grid_Stock'!CG7</f>
        <v/>
      </c>
      <c r="CJ90">
        <f>'Grid_Stock'!CH7</f>
        <v/>
      </c>
      <c r="CK90">
        <f>'Grid_Stock'!CI7</f>
        <v/>
      </c>
      <c r="CL90">
        <f>'Grid_Stock'!CJ7</f>
        <v/>
      </c>
      <c r="CM90">
        <f>'Grid_Stock'!CK7</f>
        <v/>
      </c>
      <c r="CN90">
        <f>'Grid_Stock'!CL7</f>
        <v/>
      </c>
      <c r="CO90">
        <f>'Grid_Stock'!CM7</f>
        <v/>
      </c>
      <c r="CP90">
        <f>'Grid_Stock'!CN7</f>
        <v/>
      </c>
      <c r="CQ90">
        <f>'Grid_Stock'!CO7</f>
        <v/>
      </c>
      <c r="CR90">
        <f>'Grid_Stock'!CP7</f>
        <v/>
      </c>
      <c r="CS90">
        <f>'Grid_Stock'!CQ7</f>
        <v/>
      </c>
      <c r="CT90">
        <f>'Grid_Stock'!CR7</f>
        <v/>
      </c>
      <c r="CU90">
        <f>'Grid_Stock'!CS7</f>
        <v/>
      </c>
      <c r="CV90">
        <f>'Grid_Stock'!CT7</f>
        <v/>
      </c>
      <c r="CW90">
        <f>'Grid_Stock'!CU7</f>
        <v/>
      </c>
      <c r="CX90">
        <f>'Grid_Stock'!CV7</f>
        <v/>
      </c>
      <c r="CY90">
        <f>'Grid_Stock'!CW7</f>
        <v/>
      </c>
      <c r="CZ90">
        <f>'Grid_Stock'!CX7</f>
        <v/>
      </c>
      <c r="DA90">
        <f>'Grid_Stock'!CY7</f>
        <v/>
      </c>
      <c r="DB90">
        <f>'Grid_Stock'!CZ7</f>
        <v/>
      </c>
      <c r="DC90">
        <f>'Grid_Stock'!DA7</f>
        <v/>
      </c>
    </row>
    <row r="91">
      <c r="B91" s="23" t="inlineStr">
        <is>
          <t>（発注の目安はDashboardの基準在庫[下限/上限]と色分けを参照）</t>
        </is>
      </c>
    </row>
    <row r="93">
      <c r="A93" s="21" t="inlineStr">
        <is>
          <t>TDJ</t>
        </is>
      </c>
      <c r="B93" s="21" t="inlineStr">
        <is>
          <t>N60S/2-11R08 TTAF</t>
        </is>
      </c>
      <c r="C93" s="22" t="n"/>
      <c r="D93" s="21" t="n"/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1" t="n"/>
      <c r="AE93" s="21" t="n"/>
      <c r="AF93" s="21" t="n"/>
      <c r="AG93" s="21" t="n"/>
      <c r="AH93" s="21" t="n"/>
      <c r="AI93" s="21" t="n"/>
      <c r="AJ93" s="21" t="n"/>
      <c r="AK93" s="21" t="n"/>
      <c r="AL93" s="21" t="n"/>
      <c r="AM93" s="21" t="n"/>
      <c r="AN93" s="21" t="n"/>
      <c r="AO93" s="21" t="n"/>
      <c r="AP93" s="21" t="n"/>
      <c r="AQ93" s="21" t="n"/>
      <c r="AR93" s="21" t="n"/>
      <c r="AS93" s="21" t="n"/>
      <c r="AT93" s="21" t="n"/>
      <c r="AU93" s="21" t="n"/>
      <c r="AV93" s="21" t="n"/>
      <c r="AW93" s="21" t="n"/>
      <c r="AX93" s="21" t="n"/>
      <c r="AY93" s="21" t="n"/>
      <c r="AZ93" s="21" t="n"/>
      <c r="BA93" s="21" t="n"/>
      <c r="BB93" s="21" t="n"/>
      <c r="BC93" s="21" t="n"/>
      <c r="BD93" s="21" t="n"/>
      <c r="BE93" s="21" t="n"/>
      <c r="BF93" s="21" t="n"/>
      <c r="BG93" s="21" t="n"/>
      <c r="BH93" s="21" t="n"/>
      <c r="BI93" s="21" t="n"/>
      <c r="BJ93" s="21" t="n"/>
      <c r="BK93" s="21" t="n"/>
      <c r="BL93" s="21" t="n"/>
      <c r="BM93" s="21" t="n"/>
      <c r="BN93" s="21" t="n"/>
      <c r="BO93" s="21" t="n"/>
      <c r="BP93" s="21" t="n"/>
      <c r="BQ93" s="21" t="n"/>
      <c r="BR93" s="21" t="n"/>
      <c r="BS93" s="21" t="n"/>
      <c r="BT93" s="21" t="n"/>
      <c r="BU93" s="21" t="n"/>
      <c r="BV93" s="21" t="n"/>
      <c r="BW93" s="21" t="n"/>
      <c r="BX93" s="21" t="n"/>
      <c r="BY93" s="21" t="n"/>
      <c r="BZ93" s="21" t="n"/>
      <c r="CA93" s="21" t="n"/>
      <c r="CB93" s="21" t="n"/>
      <c r="CC93" s="21" t="n"/>
      <c r="CD93" s="21" t="n"/>
      <c r="CE93" s="21" t="n"/>
      <c r="CF93" s="21" t="n"/>
      <c r="CG93" s="21" t="n"/>
      <c r="CH93" s="21" t="n"/>
      <c r="CI93" s="21" t="n"/>
      <c r="CJ93" s="21" t="n"/>
      <c r="CK93" s="21" t="n"/>
      <c r="CL93" s="21" t="n"/>
      <c r="CM93" s="21" t="n"/>
      <c r="CN93" s="21" t="n"/>
      <c r="CO93" s="21" t="n"/>
      <c r="CP93" s="21" t="n"/>
      <c r="CQ93" s="21" t="n"/>
      <c r="CR93" s="21" t="n"/>
      <c r="CS93" s="21" t="n"/>
      <c r="CT93" s="21" t="n"/>
      <c r="CU93" s="21" t="n"/>
      <c r="CV93" s="21" t="n"/>
      <c r="CW93" s="21" t="n"/>
      <c r="CX93" s="21" t="n"/>
      <c r="CY93" s="21" t="n"/>
      <c r="CZ93" s="21" t="n"/>
      <c r="DA93" s="21" t="n"/>
      <c r="DB93" s="21" t="n"/>
      <c r="DC93" s="21" t="n"/>
    </row>
    <row r="94">
      <c r="B94" t="inlineStr">
        <is>
          <t>0TA30</t>
        </is>
      </c>
      <c r="C94" t="inlineStr">
        <is>
          <t>No. of batches</t>
        </is>
      </c>
      <c r="D94">
        <f>IFERROR(INDEX(PP_Grid[#Data],$DD94,2),0)</f>
        <v/>
      </c>
      <c r="E94">
        <f>IFERROR(INDEX(PP_Grid[#Data],$DD94,3),0)</f>
        <v/>
      </c>
      <c r="F94">
        <f>IFERROR(INDEX(PP_Grid[#Data],$DD94,4),0)</f>
        <v/>
      </c>
      <c r="G94">
        <f>IFERROR(INDEX(PP_Grid[#Data],$DD94,5),0)</f>
        <v/>
      </c>
      <c r="H94">
        <f>IFERROR(INDEX(PP_Grid[#Data],$DD94,6),0)</f>
        <v/>
      </c>
      <c r="I94">
        <f>IFERROR(INDEX(PP_Grid[#Data],$DD94,7),0)</f>
        <v/>
      </c>
      <c r="J94">
        <f>IFERROR(INDEX(PP_Grid[#Data],$DD94,8),0)</f>
        <v/>
      </c>
      <c r="K94">
        <f>IFERROR(INDEX(PP_Grid[#Data],$DD94,9),0)</f>
        <v/>
      </c>
      <c r="L94">
        <f>IFERROR(INDEX(PP_Grid[#Data],$DD94,10),0)</f>
        <v/>
      </c>
      <c r="M94">
        <f>IFERROR(INDEX(PP_Grid[#Data],$DD94,11),0)</f>
        <v/>
      </c>
      <c r="N94">
        <f>IFERROR(INDEX(PP_Grid[#Data],$DD94,12),0)</f>
        <v/>
      </c>
      <c r="O94">
        <f>IFERROR(INDEX(PP_Grid[#Data],$DD94,13),0)</f>
        <v/>
      </c>
      <c r="P94">
        <f>IFERROR(INDEX(PP_Grid[#Data],$DD94,14),0)</f>
        <v/>
      </c>
      <c r="Q94">
        <f>IFERROR(INDEX(PP_Grid[#Data],$DD94,15),0)</f>
        <v/>
      </c>
      <c r="R94">
        <f>IFERROR(INDEX(PP_Grid[#Data],$DD94,16),0)</f>
        <v/>
      </c>
      <c r="S94">
        <f>IFERROR(INDEX(PP_Grid[#Data],$DD94,17),0)</f>
        <v/>
      </c>
      <c r="T94">
        <f>IFERROR(INDEX(PP_Grid[#Data],$DD94,18),0)</f>
        <v/>
      </c>
      <c r="U94">
        <f>IFERROR(INDEX(PP_Grid[#Data],$DD94,19),0)</f>
        <v/>
      </c>
      <c r="V94">
        <f>IFERROR(INDEX(PP_Grid[#Data],$DD94,20),0)</f>
        <v/>
      </c>
      <c r="W94">
        <f>IFERROR(INDEX(PP_Grid[#Data],$DD94,21),0)</f>
        <v/>
      </c>
      <c r="X94">
        <f>IFERROR(INDEX(PP_Grid[#Data],$DD94,22),0)</f>
        <v/>
      </c>
      <c r="Y94">
        <f>IFERROR(INDEX(PP_Grid[#Data],$DD94,23),0)</f>
        <v/>
      </c>
      <c r="Z94">
        <f>IFERROR(INDEX(PP_Grid[#Data],$DD94,24),0)</f>
        <v/>
      </c>
      <c r="AA94">
        <f>IFERROR(INDEX(PP_Grid[#Data],$DD94,25),0)</f>
        <v/>
      </c>
      <c r="AB94">
        <f>IFERROR(INDEX(PP_Grid[#Data],$DD94,26),0)</f>
        <v/>
      </c>
      <c r="AC94">
        <f>IFERROR(INDEX(PP_Grid[#Data],$DD94,27),0)</f>
        <v/>
      </c>
      <c r="AD94">
        <f>IFERROR(INDEX(PP_Grid[#Data],$DD94,28),0)</f>
        <v/>
      </c>
      <c r="AE94">
        <f>IFERROR(INDEX(PP_Grid[#Data],$DD94,29),0)</f>
        <v/>
      </c>
      <c r="AF94">
        <f>IFERROR(INDEX(PP_Grid[#Data],$DD94,30),0)</f>
        <v/>
      </c>
      <c r="AG94">
        <f>IFERROR(INDEX(PP_Grid[#Data],$DD94,31),0)</f>
        <v/>
      </c>
      <c r="AH94">
        <f>IFERROR(INDEX(PP_Grid[#Data],$DD94,32),0)</f>
        <v/>
      </c>
      <c r="AI94">
        <f>IFERROR(INDEX(PP_Grid[#Data],$DD94,33),0)</f>
        <v/>
      </c>
      <c r="AJ94">
        <f>IFERROR(INDEX(PP_Grid[#Data],$DD94,34),0)</f>
        <v/>
      </c>
      <c r="AK94">
        <f>IFERROR(INDEX(PP_Grid[#Data],$DD94,35),0)</f>
        <v/>
      </c>
      <c r="AL94">
        <f>IFERROR(INDEX(PP_Grid[#Data],$DD94,36),0)</f>
        <v/>
      </c>
      <c r="AM94">
        <f>IFERROR(INDEX(PP_Grid[#Data],$DD94,37),0)</f>
        <v/>
      </c>
      <c r="AN94">
        <f>IFERROR(INDEX(PP_Grid[#Data],$DD94,38),0)</f>
        <v/>
      </c>
      <c r="AO94">
        <f>IFERROR(INDEX(PP_Grid[#Data],$DD94,39),0)</f>
        <v/>
      </c>
      <c r="AP94">
        <f>IFERROR(INDEX(PP_Grid[#Data],$DD94,40),0)</f>
        <v/>
      </c>
      <c r="AQ94">
        <f>IFERROR(INDEX(PP_Grid[#Data],$DD94,41),0)</f>
        <v/>
      </c>
      <c r="AR94">
        <f>IFERROR(INDEX(PP_Grid[#Data],$DD94,42),0)</f>
        <v/>
      </c>
      <c r="AS94">
        <f>IFERROR(INDEX(PP_Grid[#Data],$DD94,43),0)</f>
        <v/>
      </c>
      <c r="AT94">
        <f>IFERROR(INDEX(PP_Grid[#Data],$DD94,44),0)</f>
        <v/>
      </c>
      <c r="AU94">
        <f>IFERROR(INDEX(PP_Grid[#Data],$DD94,45),0)</f>
        <v/>
      </c>
      <c r="AV94">
        <f>IFERROR(INDEX(PP_Grid[#Data],$DD94,46),0)</f>
        <v/>
      </c>
      <c r="AW94">
        <f>IFERROR(INDEX(PP_Grid[#Data],$DD94,47),0)</f>
        <v/>
      </c>
      <c r="AX94">
        <f>IFERROR(INDEX(PP_Grid[#Data],$DD94,48),0)</f>
        <v/>
      </c>
      <c r="AY94">
        <f>IFERROR(INDEX(PP_Grid[#Data],$DD94,49),0)</f>
        <v/>
      </c>
      <c r="AZ94">
        <f>IFERROR(INDEX(PP_Grid[#Data],$DD94,50),0)</f>
        <v/>
      </c>
      <c r="BA94">
        <f>IFERROR(INDEX(PP_Grid[#Data],$DD94,51),0)</f>
        <v/>
      </c>
      <c r="BB94">
        <f>IFERROR(INDEX(PP_Grid[#Data],$DD94,52),0)</f>
        <v/>
      </c>
      <c r="BC94">
        <f>IFERROR(INDEX(PP_Grid[#Data],$DD94,53),0)</f>
        <v/>
      </c>
      <c r="BD94">
        <f>IFERROR(INDEX(PP_Grid[#Data],$DD94,54),0)</f>
        <v/>
      </c>
      <c r="BE94">
        <f>IFERROR(INDEX(PP_Grid[#Data],$DD94,55),0)</f>
        <v/>
      </c>
      <c r="BF94">
        <f>IFERROR(INDEX(PP_Grid[#Data],$DD94,56),0)</f>
        <v/>
      </c>
      <c r="BG94">
        <f>IFERROR(INDEX(PP_Grid[#Data],$DD94,57),0)</f>
        <v/>
      </c>
      <c r="BH94">
        <f>IFERROR(INDEX(PP_Grid[#Data],$DD94,58),0)</f>
        <v/>
      </c>
      <c r="BI94">
        <f>IFERROR(INDEX(PP_Grid[#Data],$DD94,59),0)</f>
        <v/>
      </c>
      <c r="BJ94">
        <f>IFERROR(INDEX(PP_Grid[#Data],$DD94,60),0)</f>
        <v/>
      </c>
      <c r="BK94">
        <f>IFERROR(INDEX(PP_Grid[#Data],$DD94,61),0)</f>
        <v/>
      </c>
      <c r="BL94">
        <f>IFERROR(INDEX(PP_Grid[#Data],$DD94,62),0)</f>
        <v/>
      </c>
      <c r="BM94">
        <f>IFERROR(INDEX(PP_Grid[#Data],$DD94,63),0)</f>
        <v/>
      </c>
      <c r="BN94">
        <f>IFERROR(INDEX(PP_Grid[#Data],$DD94,64),0)</f>
        <v/>
      </c>
      <c r="BO94">
        <f>IFERROR(INDEX(PP_Grid[#Data],$DD94,65),0)</f>
        <v/>
      </c>
      <c r="BP94">
        <f>IFERROR(INDEX(PP_Grid[#Data],$DD94,66),0)</f>
        <v/>
      </c>
      <c r="BQ94">
        <f>IFERROR(INDEX(PP_Grid[#Data],$DD94,67),0)</f>
        <v/>
      </c>
      <c r="BR94">
        <f>IFERROR(INDEX(PP_Grid[#Data],$DD94,68),0)</f>
        <v/>
      </c>
      <c r="BS94">
        <f>IFERROR(INDEX(PP_Grid[#Data],$DD94,69),0)</f>
        <v/>
      </c>
      <c r="BT94">
        <f>IFERROR(INDEX(PP_Grid[#Data],$DD94,70),0)</f>
        <v/>
      </c>
      <c r="BU94">
        <f>IFERROR(INDEX(PP_Grid[#Data],$DD94,71),0)</f>
        <v/>
      </c>
      <c r="BV94">
        <f>IFERROR(INDEX(PP_Grid[#Data],$DD94,72),0)</f>
        <v/>
      </c>
      <c r="BW94">
        <f>IFERROR(INDEX(PP_Grid[#Data],$DD94,73),0)</f>
        <v/>
      </c>
      <c r="BX94">
        <f>IFERROR(INDEX(PP_Grid[#Data],$DD94,74),0)</f>
        <v/>
      </c>
      <c r="BY94">
        <f>IFERROR(INDEX(PP_Grid[#Data],$DD94,75),0)</f>
        <v/>
      </c>
      <c r="BZ94">
        <f>IFERROR(INDEX(PP_Grid[#Data],$DD94,76),0)</f>
        <v/>
      </c>
      <c r="CA94">
        <f>IFERROR(INDEX(PP_Grid[#Data],$DD94,77),0)</f>
        <v/>
      </c>
      <c r="CB94">
        <f>IFERROR(INDEX(PP_Grid[#Data],$DD94,78),0)</f>
        <v/>
      </c>
      <c r="CC94">
        <f>IFERROR(INDEX(PP_Grid[#Data],$DD94,79),0)</f>
        <v/>
      </c>
      <c r="CD94">
        <f>IFERROR(INDEX(PP_Grid[#Data],$DD94,80),0)</f>
        <v/>
      </c>
      <c r="CE94">
        <f>IFERROR(INDEX(PP_Grid[#Data],$DD94,81),0)</f>
        <v/>
      </c>
      <c r="CF94">
        <f>IFERROR(INDEX(PP_Grid[#Data],$DD94,82),0)</f>
        <v/>
      </c>
      <c r="CG94">
        <f>IFERROR(INDEX(PP_Grid[#Data],$DD94,83),0)</f>
        <v/>
      </c>
      <c r="CH94">
        <f>IFERROR(INDEX(PP_Grid[#Data],$DD94,84),0)</f>
        <v/>
      </c>
      <c r="CI94">
        <f>IFERROR(INDEX(PP_Grid[#Data],$DD94,85),0)</f>
        <v/>
      </c>
      <c r="CJ94">
        <f>IFERROR(INDEX(PP_Grid[#Data],$DD94,86),0)</f>
        <v/>
      </c>
      <c r="CK94">
        <f>IFERROR(INDEX(PP_Grid[#Data],$DD94,87),0)</f>
        <v/>
      </c>
      <c r="CL94">
        <f>IFERROR(INDEX(PP_Grid[#Data],$DD94,88),0)</f>
        <v/>
      </c>
      <c r="CM94">
        <f>IFERROR(INDEX(PP_Grid[#Data],$DD94,89),0)</f>
        <v/>
      </c>
      <c r="CN94">
        <f>IFERROR(INDEX(PP_Grid[#Data],$DD94,90),0)</f>
        <v/>
      </c>
      <c r="CO94">
        <f>IFERROR(INDEX(PP_Grid[#Data],$DD94,91),0)</f>
        <v/>
      </c>
      <c r="CP94">
        <f>IFERROR(INDEX(PP_Grid[#Data],$DD94,92),0)</f>
        <v/>
      </c>
      <c r="CQ94">
        <f>IFERROR(INDEX(PP_Grid[#Data],$DD94,93),0)</f>
        <v/>
      </c>
      <c r="CR94">
        <f>IFERROR(INDEX(PP_Grid[#Data],$DD94,94),0)</f>
        <v/>
      </c>
      <c r="CS94">
        <f>IFERROR(INDEX(PP_Grid[#Data],$DD94,95),0)</f>
        <v/>
      </c>
      <c r="CT94">
        <f>IFERROR(INDEX(PP_Grid[#Data],$DD94,96),0)</f>
        <v/>
      </c>
      <c r="CU94">
        <f>IFERROR(INDEX(PP_Grid[#Data],$DD94,97),0)</f>
        <v/>
      </c>
      <c r="CV94">
        <f>IFERROR(INDEX(PP_Grid[#Data],$DD94,98),0)</f>
        <v/>
      </c>
      <c r="CW94">
        <f>IFERROR(INDEX(PP_Grid[#Data],$DD94,99),0)</f>
        <v/>
      </c>
      <c r="CX94">
        <f>IFERROR(INDEX(PP_Grid[#Data],$DD94,100),0)</f>
        <v/>
      </c>
      <c r="CY94">
        <f>IFERROR(INDEX(PP_Grid[#Data],$DD94,101),0)</f>
        <v/>
      </c>
      <c r="CZ94">
        <f>IFERROR(INDEX(PP_Grid[#Data],$DD94,102),0)</f>
        <v/>
      </c>
      <c r="DA94">
        <f>IFERROR(INDEX(PP_Grid[#Data],$DD94,103),0)</f>
        <v/>
      </c>
      <c r="DB94">
        <f>IFERROR(INDEX(PP_Grid[#Data],$DD94,104),0)</f>
        <v/>
      </c>
      <c r="DC94">
        <f>IFERROR(INDEX(PP_Grid[#Data],$DD94,105),0)</f>
        <v/>
      </c>
      <c r="DD94" s="12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SUMIFS(M_BOM[RM_Qty_Per_Batch],M_BOM[Intermediate],$B94,M_BOM[Part Name],$A93)</f>
        <v/>
      </c>
      <c r="D95">
        <f>$C95*D94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</row>
    <row r="96">
      <c r="B96" s="5" t="inlineStr">
        <is>
          <t>合計使用量(kg)/週</t>
        </is>
      </c>
      <c r="D96">
        <f>'Grid_Requirement'!B8</f>
        <v/>
      </c>
      <c r="E96">
        <f>'Grid_Requirement'!C8</f>
        <v/>
      </c>
      <c r="F96">
        <f>'Grid_Requirement'!D8</f>
        <v/>
      </c>
      <c r="G96">
        <f>'Grid_Requirement'!E8</f>
        <v/>
      </c>
      <c r="H96">
        <f>'Grid_Requirement'!F8</f>
        <v/>
      </c>
      <c r="I96">
        <f>'Grid_Requirement'!G8</f>
        <v/>
      </c>
      <c r="J96">
        <f>'Grid_Requirement'!H8</f>
        <v/>
      </c>
      <c r="K96">
        <f>'Grid_Requirement'!I8</f>
        <v/>
      </c>
      <c r="L96">
        <f>'Grid_Requirement'!J8</f>
        <v/>
      </c>
      <c r="M96">
        <f>'Grid_Requirement'!K8</f>
        <v/>
      </c>
      <c r="N96">
        <f>'Grid_Requirement'!L8</f>
        <v/>
      </c>
      <c r="O96">
        <f>'Grid_Requirement'!M8</f>
        <v/>
      </c>
      <c r="P96">
        <f>'Grid_Requirement'!N8</f>
        <v/>
      </c>
      <c r="Q96">
        <f>'Grid_Requirement'!O8</f>
        <v/>
      </c>
      <c r="R96">
        <f>'Grid_Requirement'!P8</f>
        <v/>
      </c>
      <c r="S96">
        <f>'Grid_Requirement'!Q8</f>
        <v/>
      </c>
      <c r="T96">
        <f>'Grid_Requirement'!R8</f>
        <v/>
      </c>
      <c r="U96">
        <f>'Grid_Requirement'!S8</f>
        <v/>
      </c>
      <c r="V96">
        <f>'Grid_Requirement'!T8</f>
        <v/>
      </c>
      <c r="W96">
        <f>'Grid_Requirement'!U8</f>
        <v/>
      </c>
      <c r="X96">
        <f>'Grid_Requirement'!V8</f>
        <v/>
      </c>
      <c r="Y96">
        <f>'Grid_Requirement'!W8</f>
        <v/>
      </c>
      <c r="Z96">
        <f>'Grid_Requirement'!X8</f>
        <v/>
      </c>
      <c r="AA96">
        <f>'Grid_Requirement'!Y8</f>
        <v/>
      </c>
      <c r="AB96">
        <f>'Grid_Requirement'!Z8</f>
        <v/>
      </c>
      <c r="AC96">
        <f>'Grid_Requirement'!AA8</f>
        <v/>
      </c>
      <c r="AD96">
        <f>'Grid_Requirement'!AB8</f>
        <v/>
      </c>
      <c r="AE96">
        <f>'Grid_Requirement'!AC8</f>
        <v/>
      </c>
      <c r="AF96">
        <f>'Grid_Requirement'!AD8</f>
        <v/>
      </c>
      <c r="AG96">
        <f>'Grid_Requirement'!AE8</f>
        <v/>
      </c>
      <c r="AH96">
        <f>'Grid_Requirement'!AF8</f>
        <v/>
      </c>
      <c r="AI96">
        <f>'Grid_Requirement'!AG8</f>
        <v/>
      </c>
      <c r="AJ96">
        <f>'Grid_Requirement'!AH8</f>
        <v/>
      </c>
      <c r="AK96">
        <f>'Grid_Requirement'!AI8</f>
        <v/>
      </c>
      <c r="AL96">
        <f>'Grid_Requirement'!AJ8</f>
        <v/>
      </c>
      <c r="AM96">
        <f>'Grid_Requirement'!AK8</f>
        <v/>
      </c>
      <c r="AN96">
        <f>'Grid_Requirement'!AL8</f>
        <v/>
      </c>
      <c r="AO96">
        <f>'Grid_Requirement'!AM8</f>
        <v/>
      </c>
      <c r="AP96">
        <f>'Grid_Requirement'!AN8</f>
        <v/>
      </c>
      <c r="AQ96">
        <f>'Grid_Requirement'!AO8</f>
        <v/>
      </c>
      <c r="AR96">
        <f>'Grid_Requirement'!AP8</f>
        <v/>
      </c>
      <c r="AS96">
        <f>'Grid_Requirement'!AQ8</f>
        <v/>
      </c>
      <c r="AT96">
        <f>'Grid_Requirement'!AR8</f>
        <v/>
      </c>
      <c r="AU96">
        <f>'Grid_Requirement'!AS8</f>
        <v/>
      </c>
      <c r="AV96">
        <f>'Grid_Requirement'!AT8</f>
        <v/>
      </c>
      <c r="AW96">
        <f>'Grid_Requirement'!AU8</f>
        <v/>
      </c>
      <c r="AX96">
        <f>'Grid_Requirement'!AV8</f>
        <v/>
      </c>
      <c r="AY96">
        <f>'Grid_Requirement'!AW8</f>
        <v/>
      </c>
      <c r="AZ96">
        <f>'Grid_Requirement'!AX8</f>
        <v/>
      </c>
      <c r="BA96">
        <f>'Grid_Requirement'!AY8</f>
        <v/>
      </c>
      <c r="BB96">
        <f>'Grid_Requirement'!AZ8</f>
        <v/>
      </c>
      <c r="BC96">
        <f>'Grid_Requirement'!BA8</f>
        <v/>
      </c>
      <c r="BD96">
        <f>'Grid_Requirement'!BB8</f>
        <v/>
      </c>
      <c r="BE96">
        <f>'Grid_Requirement'!BC8</f>
        <v/>
      </c>
      <c r="BF96">
        <f>'Grid_Requirement'!BD8</f>
        <v/>
      </c>
      <c r="BG96">
        <f>'Grid_Requirement'!BE8</f>
        <v/>
      </c>
      <c r="BH96">
        <f>'Grid_Requirement'!BF8</f>
        <v/>
      </c>
      <c r="BI96">
        <f>'Grid_Requirement'!BG8</f>
        <v/>
      </c>
      <c r="BJ96">
        <f>'Grid_Requirement'!BH8</f>
        <v/>
      </c>
      <c r="BK96">
        <f>'Grid_Requirement'!BI8</f>
        <v/>
      </c>
      <c r="BL96">
        <f>'Grid_Requirement'!BJ8</f>
        <v/>
      </c>
      <c r="BM96">
        <f>'Grid_Requirement'!BK8</f>
        <v/>
      </c>
      <c r="BN96">
        <f>'Grid_Requirement'!BL8</f>
        <v/>
      </c>
      <c r="BO96">
        <f>'Grid_Requirement'!BM8</f>
        <v/>
      </c>
      <c r="BP96">
        <f>'Grid_Requirement'!BN8</f>
        <v/>
      </c>
      <c r="BQ96">
        <f>'Grid_Requirement'!BO8</f>
        <v/>
      </c>
      <c r="BR96">
        <f>'Grid_Requirement'!BP8</f>
        <v/>
      </c>
      <c r="BS96">
        <f>'Grid_Requirement'!BQ8</f>
        <v/>
      </c>
      <c r="BT96">
        <f>'Grid_Requirement'!BR8</f>
        <v/>
      </c>
      <c r="BU96">
        <f>'Grid_Requirement'!BS8</f>
        <v/>
      </c>
      <c r="BV96">
        <f>'Grid_Requirement'!BT8</f>
        <v/>
      </c>
      <c r="BW96">
        <f>'Grid_Requirement'!BU8</f>
        <v/>
      </c>
      <c r="BX96">
        <f>'Grid_Requirement'!BV8</f>
        <v/>
      </c>
      <c r="BY96">
        <f>'Grid_Requirement'!BW8</f>
        <v/>
      </c>
      <c r="BZ96">
        <f>'Grid_Requirement'!BX8</f>
        <v/>
      </c>
      <c r="CA96">
        <f>'Grid_Requirement'!BY8</f>
        <v/>
      </c>
      <c r="CB96">
        <f>'Grid_Requirement'!BZ8</f>
        <v/>
      </c>
      <c r="CC96">
        <f>'Grid_Requirement'!CA8</f>
        <v/>
      </c>
      <c r="CD96">
        <f>'Grid_Requirement'!CB8</f>
        <v/>
      </c>
      <c r="CE96">
        <f>'Grid_Requirement'!CC8</f>
        <v/>
      </c>
      <c r="CF96">
        <f>'Grid_Requirement'!CD8</f>
        <v/>
      </c>
      <c r="CG96">
        <f>'Grid_Requirement'!CE8</f>
        <v/>
      </c>
      <c r="CH96">
        <f>'Grid_Requirement'!CF8</f>
        <v/>
      </c>
      <c r="CI96">
        <f>'Grid_Requirement'!CG8</f>
        <v/>
      </c>
      <c r="CJ96">
        <f>'Grid_Requirement'!CH8</f>
        <v/>
      </c>
      <c r="CK96">
        <f>'Grid_Requirement'!CI8</f>
        <v/>
      </c>
      <c r="CL96">
        <f>'Grid_Requirement'!CJ8</f>
        <v/>
      </c>
      <c r="CM96">
        <f>'Grid_Requirement'!CK8</f>
        <v/>
      </c>
      <c r="CN96">
        <f>'Grid_Requirement'!CL8</f>
        <v/>
      </c>
      <c r="CO96">
        <f>'Grid_Requirement'!CM8</f>
        <v/>
      </c>
      <c r="CP96">
        <f>'Grid_Requirement'!CN8</f>
        <v/>
      </c>
      <c r="CQ96">
        <f>'Grid_Requirement'!CO8</f>
        <v/>
      </c>
      <c r="CR96">
        <f>'Grid_Requirement'!CP8</f>
        <v/>
      </c>
      <c r="CS96">
        <f>'Grid_Requirement'!CQ8</f>
        <v/>
      </c>
      <c r="CT96">
        <f>'Grid_Requirement'!CR8</f>
        <v/>
      </c>
      <c r="CU96">
        <f>'Grid_Requirement'!CS8</f>
        <v/>
      </c>
      <c r="CV96">
        <f>'Grid_Requirement'!CT8</f>
        <v/>
      </c>
      <c r="CW96">
        <f>'Grid_Requirement'!CU8</f>
        <v/>
      </c>
      <c r="CX96">
        <f>'Grid_Requirement'!CV8</f>
        <v/>
      </c>
      <c r="CY96">
        <f>'Grid_Requirement'!CW8</f>
        <v/>
      </c>
      <c r="CZ96">
        <f>'Grid_Requirement'!CX8</f>
        <v/>
      </c>
      <c r="DA96">
        <f>'Grid_Requirement'!CY8</f>
        <v/>
      </c>
      <c r="DB96">
        <f>'Grid_Requirement'!CZ8</f>
        <v/>
      </c>
      <c r="DC96">
        <f>'Grid_Requirement'!DA8</f>
        <v/>
      </c>
    </row>
    <row r="97">
      <c r="B97" t="inlineStr">
        <is>
          <t>TTAF在庫(実績,kg)</t>
        </is>
      </c>
      <c r="D97">
        <f>'T_TTAFStock'!B12</f>
        <v/>
      </c>
      <c r="E97">
        <f>'T_TTAFStock'!C12</f>
        <v/>
      </c>
      <c r="F97">
        <f>'T_TTAFStock'!D12</f>
        <v/>
      </c>
      <c r="G97">
        <f>'T_TTAFStock'!E12</f>
        <v/>
      </c>
      <c r="H97">
        <f>'T_TTAFStock'!F12</f>
        <v/>
      </c>
      <c r="I97">
        <f>'T_TTAFStock'!G12</f>
        <v/>
      </c>
      <c r="J97">
        <f>'T_TTAFStock'!H12</f>
        <v/>
      </c>
      <c r="K97">
        <f>'T_TTAFStock'!I12</f>
        <v/>
      </c>
      <c r="L97">
        <f>'T_TTAFStock'!J12</f>
        <v/>
      </c>
      <c r="M97">
        <f>'T_TTAFStock'!K12</f>
        <v/>
      </c>
      <c r="N97">
        <f>'T_TTAFStock'!L12</f>
        <v/>
      </c>
      <c r="O97">
        <f>'T_TTAFStock'!M12</f>
        <v/>
      </c>
      <c r="P97">
        <f>'T_TTAFStock'!N12</f>
        <v/>
      </c>
      <c r="Q97">
        <f>'T_TTAFStock'!O12</f>
        <v/>
      </c>
      <c r="R97">
        <f>'T_TTAFStock'!P12</f>
        <v/>
      </c>
      <c r="S97">
        <f>'T_TTAFStock'!Q12</f>
        <v/>
      </c>
      <c r="T97">
        <f>'T_TTAFStock'!R12</f>
        <v/>
      </c>
      <c r="U97">
        <f>'T_TTAFStock'!S12</f>
        <v/>
      </c>
      <c r="V97">
        <f>'T_TTAFStock'!T12</f>
        <v/>
      </c>
      <c r="W97">
        <f>'T_TTAFStock'!U12</f>
        <v/>
      </c>
      <c r="X97">
        <f>'T_TTAFStock'!V12</f>
        <v/>
      </c>
      <c r="Y97">
        <f>'T_TTAFStock'!W12</f>
        <v/>
      </c>
      <c r="Z97">
        <f>'T_TTAFStock'!X12</f>
        <v/>
      </c>
      <c r="AA97">
        <f>'T_TTAFStock'!Y12</f>
        <v/>
      </c>
      <c r="AB97">
        <f>'T_TTAFStock'!Z12</f>
        <v/>
      </c>
      <c r="AC97">
        <f>'T_TTAFStock'!AA12</f>
        <v/>
      </c>
      <c r="AD97">
        <f>'T_TTAFStock'!AB12</f>
        <v/>
      </c>
      <c r="AE97">
        <f>'T_TTAFStock'!AC12</f>
        <v/>
      </c>
      <c r="AF97">
        <f>'T_TTAFStock'!AD12</f>
        <v/>
      </c>
      <c r="AG97">
        <f>'T_TTAFStock'!AE12</f>
        <v/>
      </c>
      <c r="AH97">
        <f>'T_TTAFStock'!AF12</f>
        <v/>
      </c>
      <c r="AI97">
        <f>'T_TTAFStock'!AG12</f>
        <v/>
      </c>
      <c r="AJ97">
        <f>'T_TTAFStock'!AH12</f>
        <v/>
      </c>
      <c r="AK97">
        <f>'T_TTAFStock'!AI12</f>
        <v/>
      </c>
      <c r="AL97">
        <f>'T_TTAFStock'!AJ12</f>
        <v/>
      </c>
      <c r="AM97">
        <f>'T_TTAFStock'!AK12</f>
        <v/>
      </c>
      <c r="AN97">
        <f>'T_TTAFStock'!AL12</f>
        <v/>
      </c>
      <c r="AO97">
        <f>'T_TTAFStock'!AM12</f>
        <v/>
      </c>
      <c r="AP97">
        <f>'T_TTAFStock'!AN12</f>
        <v/>
      </c>
      <c r="AQ97">
        <f>'T_TTAFStock'!AO12</f>
        <v/>
      </c>
      <c r="AR97">
        <f>'T_TTAFStock'!AP12</f>
        <v/>
      </c>
      <c r="AS97">
        <f>'T_TTAFStock'!AQ12</f>
        <v/>
      </c>
      <c r="AT97">
        <f>'T_TTAFStock'!AR12</f>
        <v/>
      </c>
      <c r="AU97">
        <f>'T_TTAFStock'!AS12</f>
        <v/>
      </c>
      <c r="AV97">
        <f>'T_TTAFStock'!AT12</f>
        <v/>
      </c>
      <c r="AW97">
        <f>'T_TTAFStock'!AU12</f>
        <v/>
      </c>
      <c r="AX97">
        <f>'T_TTAFStock'!AV12</f>
        <v/>
      </c>
      <c r="AY97">
        <f>'T_TTAFStock'!AW12</f>
        <v/>
      </c>
      <c r="AZ97">
        <f>'T_TTAFStock'!AX12</f>
        <v/>
      </c>
      <c r="BA97">
        <f>'T_TTAFStock'!AY12</f>
        <v/>
      </c>
      <c r="BB97">
        <f>'T_TTAFStock'!AZ12</f>
        <v/>
      </c>
      <c r="BC97">
        <f>'T_TTAFStock'!BA12</f>
        <v/>
      </c>
      <c r="BD97">
        <f>'T_TTAFStock'!BB12</f>
        <v/>
      </c>
      <c r="BE97">
        <f>'T_TTAFStock'!BC12</f>
        <v/>
      </c>
      <c r="BF97">
        <f>'T_TTAFStock'!BD12</f>
        <v/>
      </c>
      <c r="BG97">
        <f>'T_TTAFStock'!BE12</f>
        <v/>
      </c>
      <c r="BH97">
        <f>'T_TTAFStock'!BF12</f>
        <v/>
      </c>
      <c r="BI97">
        <f>'T_TTAFStock'!BG12</f>
        <v/>
      </c>
      <c r="BJ97">
        <f>'T_TTAFStock'!BH12</f>
        <v/>
      </c>
      <c r="BK97">
        <f>'T_TTAFStock'!BI12</f>
        <v/>
      </c>
      <c r="BL97">
        <f>'T_TTAFStock'!BJ12</f>
        <v/>
      </c>
      <c r="BM97">
        <f>'T_TTAFStock'!BK12</f>
        <v/>
      </c>
      <c r="BN97">
        <f>'T_TTAFStock'!BL12</f>
        <v/>
      </c>
      <c r="BO97">
        <f>'T_TTAFStock'!BM12</f>
        <v/>
      </c>
      <c r="BP97">
        <f>'T_TTAFStock'!BN12</f>
        <v/>
      </c>
      <c r="BQ97">
        <f>'T_TTAFStock'!BO12</f>
        <v/>
      </c>
      <c r="BR97">
        <f>'T_TTAFStock'!BP12</f>
        <v/>
      </c>
      <c r="BS97">
        <f>'T_TTAFStock'!BQ12</f>
        <v/>
      </c>
      <c r="BT97">
        <f>'T_TTAFStock'!BR12</f>
        <v/>
      </c>
      <c r="BU97">
        <f>'T_TTAFStock'!BS12</f>
        <v/>
      </c>
      <c r="BV97">
        <f>'T_TTAFStock'!BT12</f>
        <v/>
      </c>
      <c r="BW97">
        <f>'T_TTAFStock'!BU12</f>
        <v/>
      </c>
      <c r="BX97">
        <f>'T_TTAFStock'!BV12</f>
        <v/>
      </c>
      <c r="BY97">
        <f>'T_TTAFStock'!BW12</f>
        <v/>
      </c>
      <c r="BZ97">
        <f>'T_TTAFStock'!BX12</f>
        <v/>
      </c>
      <c r="CA97">
        <f>'T_TTAFStock'!BY12</f>
        <v/>
      </c>
      <c r="CB97">
        <f>'T_TTAFStock'!BZ12</f>
        <v/>
      </c>
      <c r="CC97">
        <f>'T_TTAFStock'!CA12</f>
        <v/>
      </c>
      <c r="CD97">
        <f>'T_TTAFStock'!CB12</f>
        <v/>
      </c>
      <c r="CE97">
        <f>'T_TTAFStock'!CC12</f>
        <v/>
      </c>
      <c r="CF97">
        <f>'T_TTAFStock'!CD12</f>
        <v/>
      </c>
      <c r="CG97">
        <f>'T_TTAFStock'!CE12</f>
        <v/>
      </c>
      <c r="CH97">
        <f>'T_TTAFStock'!CF12</f>
        <v/>
      </c>
      <c r="CI97">
        <f>'T_TTAFStock'!CG12</f>
        <v/>
      </c>
      <c r="CJ97">
        <f>'T_TTAFStock'!CH12</f>
        <v/>
      </c>
      <c r="CK97">
        <f>'T_TTAFStock'!CI12</f>
        <v/>
      </c>
      <c r="CL97">
        <f>'T_TTAFStock'!CJ12</f>
        <v/>
      </c>
      <c r="CM97">
        <f>'T_TTAFStock'!CK12</f>
        <v/>
      </c>
      <c r="CN97">
        <f>'T_TTAFStock'!CL12</f>
        <v/>
      </c>
      <c r="CO97">
        <f>'T_TTAFStock'!CM12</f>
        <v/>
      </c>
      <c r="CP97">
        <f>'T_TTAFStock'!CN12</f>
        <v/>
      </c>
      <c r="CQ97">
        <f>'T_TTAFStock'!CO12</f>
        <v/>
      </c>
      <c r="CR97">
        <f>'T_TTAFStock'!CP12</f>
        <v/>
      </c>
      <c r="CS97">
        <f>'T_TTAFStock'!CQ12</f>
        <v/>
      </c>
      <c r="CT97">
        <f>'T_TTAFStock'!CR12</f>
        <v/>
      </c>
      <c r="CU97">
        <f>'T_TTAFStock'!CS12</f>
        <v/>
      </c>
      <c r="CV97">
        <f>'T_TTAFStock'!CT12</f>
        <v/>
      </c>
      <c r="CW97">
        <f>'T_TTAFStock'!CU12</f>
        <v/>
      </c>
      <c r="CX97">
        <f>'T_TTAFStock'!CV12</f>
        <v/>
      </c>
      <c r="CY97">
        <f>'T_TTAFStock'!CW12</f>
        <v/>
      </c>
      <c r="CZ97">
        <f>'T_TTAFStock'!CX12</f>
        <v/>
      </c>
      <c r="DA97">
        <f>'T_TTAFStock'!CY12</f>
        <v/>
      </c>
      <c r="DB97">
        <f>'T_TTAFStock'!CZ12</f>
        <v/>
      </c>
      <c r="DC97">
        <f>'T_TTAFStock'!DA12</f>
        <v/>
      </c>
    </row>
    <row r="98">
      <c r="B98" t="inlineStr">
        <is>
          <t>自社在庫(実績,kg)</t>
        </is>
      </c>
      <c r="D98">
        <f>'T_SelfStock'!B12</f>
        <v/>
      </c>
      <c r="E98">
        <f>'T_SelfStock'!C12</f>
        <v/>
      </c>
      <c r="F98">
        <f>'T_SelfStock'!D12</f>
        <v/>
      </c>
      <c r="G98">
        <f>'T_SelfStock'!E12</f>
        <v/>
      </c>
      <c r="H98">
        <f>'T_SelfStock'!F12</f>
        <v/>
      </c>
      <c r="I98">
        <f>'T_SelfStock'!G12</f>
        <v/>
      </c>
      <c r="J98">
        <f>'T_SelfStock'!H12</f>
        <v/>
      </c>
      <c r="K98">
        <f>'T_SelfStock'!I12</f>
        <v/>
      </c>
      <c r="L98">
        <f>'T_SelfStock'!J12</f>
        <v/>
      </c>
      <c r="M98">
        <f>'T_SelfStock'!K12</f>
        <v/>
      </c>
      <c r="N98">
        <f>'T_SelfStock'!L12</f>
        <v/>
      </c>
      <c r="O98">
        <f>'T_SelfStock'!M12</f>
        <v/>
      </c>
      <c r="P98">
        <f>'T_SelfStock'!N12</f>
        <v/>
      </c>
      <c r="Q98">
        <f>'T_SelfStock'!O12</f>
        <v/>
      </c>
      <c r="R98">
        <f>'T_SelfStock'!P12</f>
        <v/>
      </c>
      <c r="S98">
        <f>'T_SelfStock'!Q12</f>
        <v/>
      </c>
      <c r="T98">
        <f>'T_SelfStock'!R12</f>
        <v/>
      </c>
      <c r="U98">
        <f>'T_SelfStock'!S12</f>
        <v/>
      </c>
      <c r="V98">
        <f>'T_SelfStock'!T12</f>
        <v/>
      </c>
      <c r="W98">
        <f>'T_SelfStock'!U12</f>
        <v/>
      </c>
      <c r="X98">
        <f>'T_SelfStock'!V12</f>
        <v/>
      </c>
      <c r="Y98">
        <f>'T_SelfStock'!W12</f>
        <v/>
      </c>
      <c r="Z98">
        <f>'T_SelfStock'!X12</f>
        <v/>
      </c>
      <c r="AA98">
        <f>'T_SelfStock'!Y12</f>
        <v/>
      </c>
      <c r="AB98">
        <f>'T_SelfStock'!Z12</f>
        <v/>
      </c>
      <c r="AC98">
        <f>'T_SelfStock'!AA12</f>
        <v/>
      </c>
      <c r="AD98">
        <f>'T_SelfStock'!AB12</f>
        <v/>
      </c>
      <c r="AE98">
        <f>'T_SelfStock'!AC12</f>
        <v/>
      </c>
      <c r="AF98">
        <f>'T_SelfStock'!AD12</f>
        <v/>
      </c>
      <c r="AG98">
        <f>'T_SelfStock'!AE12</f>
        <v/>
      </c>
      <c r="AH98">
        <f>'T_SelfStock'!AF12</f>
        <v/>
      </c>
      <c r="AI98">
        <f>'T_SelfStock'!AG12</f>
        <v/>
      </c>
      <c r="AJ98">
        <f>'T_SelfStock'!AH12</f>
        <v/>
      </c>
      <c r="AK98">
        <f>'T_SelfStock'!AI12</f>
        <v/>
      </c>
      <c r="AL98">
        <f>'T_SelfStock'!AJ12</f>
        <v/>
      </c>
      <c r="AM98">
        <f>'T_SelfStock'!AK12</f>
        <v/>
      </c>
      <c r="AN98">
        <f>'T_SelfStock'!AL12</f>
        <v/>
      </c>
      <c r="AO98">
        <f>'T_SelfStock'!AM12</f>
        <v/>
      </c>
      <c r="AP98">
        <f>'T_SelfStock'!AN12</f>
        <v/>
      </c>
      <c r="AQ98">
        <f>'T_SelfStock'!AO12</f>
        <v/>
      </c>
      <c r="AR98">
        <f>'T_SelfStock'!AP12</f>
        <v/>
      </c>
      <c r="AS98">
        <f>'T_SelfStock'!AQ12</f>
        <v/>
      </c>
      <c r="AT98">
        <f>'T_SelfStock'!AR12</f>
        <v/>
      </c>
      <c r="AU98">
        <f>'T_SelfStock'!AS12</f>
        <v/>
      </c>
      <c r="AV98">
        <f>'T_SelfStock'!AT12</f>
        <v/>
      </c>
      <c r="AW98">
        <f>'T_SelfStock'!AU12</f>
        <v/>
      </c>
      <c r="AX98">
        <f>'T_SelfStock'!AV12</f>
        <v/>
      </c>
      <c r="AY98">
        <f>'T_SelfStock'!AW12</f>
        <v/>
      </c>
      <c r="AZ98">
        <f>'T_SelfStock'!AX12</f>
        <v/>
      </c>
      <c r="BA98">
        <f>'T_SelfStock'!AY12</f>
        <v/>
      </c>
      <c r="BB98">
        <f>'T_SelfStock'!AZ12</f>
        <v/>
      </c>
      <c r="BC98">
        <f>'T_SelfStock'!BA12</f>
        <v/>
      </c>
      <c r="BD98">
        <f>'T_SelfStock'!BB12</f>
        <v/>
      </c>
      <c r="BE98">
        <f>'T_SelfStock'!BC12</f>
        <v/>
      </c>
      <c r="BF98">
        <f>'T_SelfStock'!BD12</f>
        <v/>
      </c>
      <c r="BG98">
        <f>'T_SelfStock'!BE12</f>
        <v/>
      </c>
      <c r="BH98">
        <f>'T_SelfStock'!BF12</f>
        <v/>
      </c>
      <c r="BI98">
        <f>'T_SelfStock'!BG12</f>
        <v/>
      </c>
      <c r="BJ98">
        <f>'T_SelfStock'!BH12</f>
        <v/>
      </c>
      <c r="BK98">
        <f>'T_SelfStock'!BI12</f>
        <v/>
      </c>
      <c r="BL98">
        <f>'T_SelfStock'!BJ12</f>
        <v/>
      </c>
      <c r="BM98">
        <f>'T_SelfStock'!BK12</f>
        <v/>
      </c>
      <c r="BN98">
        <f>'T_SelfStock'!BL12</f>
        <v/>
      </c>
      <c r="BO98">
        <f>'T_SelfStock'!BM12</f>
        <v/>
      </c>
      <c r="BP98">
        <f>'T_SelfStock'!BN12</f>
        <v/>
      </c>
      <c r="BQ98">
        <f>'T_SelfStock'!BO12</f>
        <v/>
      </c>
      <c r="BR98">
        <f>'T_SelfStock'!BP12</f>
        <v/>
      </c>
      <c r="BS98">
        <f>'T_SelfStock'!BQ12</f>
        <v/>
      </c>
      <c r="BT98">
        <f>'T_SelfStock'!BR12</f>
        <v/>
      </c>
      <c r="BU98">
        <f>'T_SelfStock'!BS12</f>
        <v/>
      </c>
      <c r="BV98">
        <f>'T_SelfStock'!BT12</f>
        <v/>
      </c>
      <c r="BW98">
        <f>'T_SelfStock'!BU12</f>
        <v/>
      </c>
      <c r="BX98">
        <f>'T_SelfStock'!BV12</f>
        <v/>
      </c>
      <c r="BY98">
        <f>'T_SelfStock'!BW12</f>
        <v/>
      </c>
      <c r="BZ98">
        <f>'T_SelfStock'!BX12</f>
        <v/>
      </c>
      <c r="CA98">
        <f>'T_SelfStock'!BY12</f>
        <v/>
      </c>
      <c r="CB98">
        <f>'T_SelfStock'!BZ12</f>
        <v/>
      </c>
      <c r="CC98">
        <f>'T_SelfStock'!CA12</f>
        <v/>
      </c>
      <c r="CD98">
        <f>'T_SelfStock'!CB12</f>
        <v/>
      </c>
      <c r="CE98">
        <f>'T_SelfStock'!CC12</f>
        <v/>
      </c>
      <c r="CF98">
        <f>'T_SelfStock'!CD12</f>
        <v/>
      </c>
      <c r="CG98">
        <f>'T_SelfStock'!CE12</f>
        <v/>
      </c>
      <c r="CH98">
        <f>'T_SelfStock'!CF12</f>
        <v/>
      </c>
      <c r="CI98">
        <f>'T_SelfStock'!CG12</f>
        <v/>
      </c>
      <c r="CJ98">
        <f>'T_SelfStock'!CH12</f>
        <v/>
      </c>
      <c r="CK98">
        <f>'T_SelfStock'!CI12</f>
        <v/>
      </c>
      <c r="CL98">
        <f>'T_SelfStock'!CJ12</f>
        <v/>
      </c>
      <c r="CM98">
        <f>'T_SelfStock'!CK12</f>
        <v/>
      </c>
      <c r="CN98">
        <f>'T_SelfStock'!CL12</f>
        <v/>
      </c>
      <c r="CO98">
        <f>'T_SelfStock'!CM12</f>
        <v/>
      </c>
      <c r="CP98">
        <f>'T_SelfStock'!CN12</f>
        <v/>
      </c>
      <c r="CQ98">
        <f>'T_SelfStock'!CO12</f>
        <v/>
      </c>
      <c r="CR98">
        <f>'T_SelfStock'!CP12</f>
        <v/>
      </c>
      <c r="CS98">
        <f>'T_SelfStock'!CQ12</f>
        <v/>
      </c>
      <c r="CT98">
        <f>'T_SelfStock'!CR12</f>
        <v/>
      </c>
      <c r="CU98">
        <f>'T_SelfStock'!CS12</f>
        <v/>
      </c>
      <c r="CV98">
        <f>'T_SelfStock'!CT12</f>
        <v/>
      </c>
      <c r="CW98">
        <f>'T_SelfStock'!CU12</f>
        <v/>
      </c>
      <c r="CX98">
        <f>'T_SelfStock'!CV12</f>
        <v/>
      </c>
      <c r="CY98">
        <f>'T_SelfStock'!CW12</f>
        <v/>
      </c>
      <c r="CZ98">
        <f>'T_SelfStock'!CX12</f>
        <v/>
      </c>
      <c r="DA98">
        <f>'T_SelfStock'!CY12</f>
        <v/>
      </c>
      <c r="DB98">
        <f>'T_SelfStock'!CZ12</f>
        <v/>
      </c>
      <c r="DC98">
        <f>'T_SelfStock'!DA12</f>
        <v/>
      </c>
    </row>
    <row r="99">
      <c r="B99" t="inlineStr">
        <is>
          <t>Order(発注予定,kg)</t>
        </is>
      </c>
      <c r="D99">
        <f>IF(SUMIFS(T_PlannedOrders[EffectiveQty],T_PlannedOrders[Part Name],$A93,T_PlannedOrders[WeekIndex],1)=0,"",SUMIFS(T_PlannedOrders[EffectiveQty],T_PlannedOrders[Part Name],$A93,T_PlannedOrders[WeekIndex],1)&amp;" ("&amp;TEXT(SUMPRODUCT(MAX((T_PlannedOrders[Part Name]=$A93)*(T_PlannedOrders[WeekIndex]=1)*(T_PlannedOrders[EffectiveQty]&gt;0)*T_PlannedOrders[Order_Month])),"m月")&amp;"発注)")</f>
        <v/>
      </c>
      <c r="E99">
        <f>IF(SUMIFS(T_PlannedOrders[EffectiveQty],T_PlannedOrders[Part Name],$A93,T_PlannedOrders[WeekIndex],2)=0,"",SUMIFS(T_PlannedOrders[EffectiveQty],T_PlannedOrders[Part Name],$A93,T_PlannedOrders[WeekIndex],2)&amp;" ("&amp;TEXT(SUMPRODUCT(MAX((T_PlannedOrders[Part Name]=$A93)*(T_PlannedOrders[WeekIndex]=2)*(T_PlannedOrders[EffectiveQty]&gt;0)*T_PlannedOrders[Order_Month])),"m月")&amp;"発注)")</f>
        <v/>
      </c>
      <c r="F99">
        <f>IF(SUMIFS(T_PlannedOrders[EffectiveQty],T_PlannedOrders[Part Name],$A93,T_PlannedOrders[WeekIndex],3)=0,"",SUMIFS(T_PlannedOrders[EffectiveQty],T_PlannedOrders[Part Name],$A93,T_PlannedOrders[WeekIndex],3)&amp;" ("&amp;TEXT(SUMPRODUCT(MAX((T_PlannedOrders[Part Name]=$A93)*(T_PlannedOrders[WeekIndex]=3)*(T_PlannedOrders[EffectiveQty]&gt;0)*T_PlannedOrders[Order_Month])),"m月")&amp;"発注)")</f>
        <v/>
      </c>
      <c r="G99">
        <f>IF(SUMIFS(T_PlannedOrders[EffectiveQty],T_PlannedOrders[Part Name],$A93,T_PlannedOrders[WeekIndex],4)=0,"",SUMIFS(T_PlannedOrders[EffectiveQty],T_PlannedOrders[Part Name],$A93,T_PlannedOrders[WeekIndex],4)&amp;" ("&amp;TEXT(SUMPRODUCT(MAX((T_PlannedOrders[Part Name]=$A93)*(T_PlannedOrders[WeekIndex]=4)*(T_PlannedOrders[EffectiveQty]&gt;0)*T_PlannedOrders[Order_Month])),"m月")&amp;"発注)")</f>
        <v/>
      </c>
      <c r="H99">
        <f>IF(SUMIFS(T_PlannedOrders[EffectiveQty],T_PlannedOrders[Part Name],$A93,T_PlannedOrders[WeekIndex],5)=0,"",SUMIFS(T_PlannedOrders[EffectiveQty],T_PlannedOrders[Part Name],$A93,T_PlannedOrders[WeekIndex],5)&amp;" ("&amp;TEXT(SUMPRODUCT(MAX((T_PlannedOrders[Part Name]=$A93)*(T_PlannedOrders[WeekIndex]=5)*(T_PlannedOrders[EffectiveQty]&gt;0)*T_PlannedOrders[Order_Month])),"m月")&amp;"発注)")</f>
        <v/>
      </c>
      <c r="I99">
        <f>IF(SUMIFS(T_PlannedOrders[EffectiveQty],T_PlannedOrders[Part Name],$A93,T_PlannedOrders[WeekIndex],6)=0,"",SUMIFS(T_PlannedOrders[EffectiveQty],T_PlannedOrders[Part Name],$A93,T_PlannedOrders[WeekIndex],6)&amp;" ("&amp;TEXT(SUMPRODUCT(MAX((T_PlannedOrders[Part Name]=$A93)*(T_PlannedOrders[WeekIndex]=6)*(T_PlannedOrders[EffectiveQty]&gt;0)*T_PlannedOrders[Order_Month])),"m月")&amp;"発注)")</f>
        <v/>
      </c>
      <c r="J99">
        <f>IF(SUMIFS(T_PlannedOrders[EffectiveQty],T_PlannedOrders[Part Name],$A93,T_PlannedOrders[WeekIndex],7)=0,"",SUMIFS(T_PlannedOrders[EffectiveQty],T_PlannedOrders[Part Name],$A93,T_PlannedOrders[WeekIndex],7)&amp;" ("&amp;TEXT(SUMPRODUCT(MAX((T_PlannedOrders[Part Name]=$A93)*(T_PlannedOrders[WeekIndex]=7)*(T_PlannedOrders[EffectiveQty]&gt;0)*T_PlannedOrders[Order_Month])),"m月")&amp;"発注)")</f>
        <v/>
      </c>
      <c r="K99">
        <f>IF(SUMIFS(T_PlannedOrders[EffectiveQty],T_PlannedOrders[Part Name],$A93,T_PlannedOrders[WeekIndex],8)=0,"",SUMIFS(T_PlannedOrders[EffectiveQty],T_PlannedOrders[Part Name],$A93,T_PlannedOrders[WeekIndex],8)&amp;" ("&amp;TEXT(SUMPRODUCT(MAX((T_PlannedOrders[Part Name]=$A93)*(T_PlannedOrders[WeekIndex]=8)*(T_PlannedOrders[EffectiveQty]&gt;0)*T_PlannedOrders[Order_Month])),"m月")&amp;"発注)")</f>
        <v/>
      </c>
      <c r="L99">
        <f>IF(SUMIFS(T_PlannedOrders[EffectiveQty],T_PlannedOrders[Part Name],$A93,T_PlannedOrders[WeekIndex],9)=0,"",SUMIFS(T_PlannedOrders[EffectiveQty],T_PlannedOrders[Part Name],$A93,T_PlannedOrders[WeekIndex],9)&amp;" ("&amp;TEXT(SUMPRODUCT(MAX((T_PlannedOrders[Part Name]=$A93)*(T_PlannedOrders[WeekIndex]=9)*(T_PlannedOrders[EffectiveQty]&gt;0)*T_PlannedOrders[Order_Month])),"m月")&amp;"発注)")</f>
        <v/>
      </c>
      <c r="M99">
        <f>IF(SUMIFS(T_PlannedOrders[EffectiveQty],T_PlannedOrders[Part Name],$A93,T_PlannedOrders[WeekIndex],10)=0,"",SUMIFS(T_PlannedOrders[EffectiveQty],T_PlannedOrders[Part Name],$A93,T_PlannedOrders[WeekIndex],10)&amp;" ("&amp;TEXT(SUMPRODUCT(MAX((T_PlannedOrders[Part Name]=$A93)*(T_PlannedOrders[WeekIndex]=10)*(T_PlannedOrders[EffectiveQty]&gt;0)*T_PlannedOrders[Order_Month])),"m月")&amp;"発注)")</f>
        <v/>
      </c>
      <c r="N99">
        <f>IF(SUMIFS(T_PlannedOrders[EffectiveQty],T_PlannedOrders[Part Name],$A93,T_PlannedOrders[WeekIndex],11)=0,"",SUMIFS(T_PlannedOrders[EffectiveQty],T_PlannedOrders[Part Name],$A93,T_PlannedOrders[WeekIndex],11)&amp;" ("&amp;TEXT(SUMPRODUCT(MAX((T_PlannedOrders[Part Name]=$A93)*(T_PlannedOrders[WeekIndex]=11)*(T_PlannedOrders[EffectiveQty]&gt;0)*T_PlannedOrders[Order_Month])),"m月")&amp;"発注)")</f>
        <v/>
      </c>
      <c r="O99">
        <f>IF(SUMIFS(T_PlannedOrders[EffectiveQty],T_PlannedOrders[Part Name],$A93,T_PlannedOrders[WeekIndex],12)=0,"",SUMIFS(T_PlannedOrders[EffectiveQty],T_PlannedOrders[Part Name],$A93,T_PlannedOrders[WeekIndex],12)&amp;" ("&amp;TEXT(SUMPRODUCT(MAX((T_PlannedOrders[Part Name]=$A93)*(T_PlannedOrders[WeekIndex]=12)*(T_PlannedOrders[EffectiveQty]&gt;0)*T_PlannedOrders[Order_Month])),"m月")&amp;"発注)")</f>
        <v/>
      </c>
      <c r="P99">
        <f>IF(SUMIFS(T_PlannedOrders[EffectiveQty],T_PlannedOrders[Part Name],$A93,T_PlannedOrders[WeekIndex],13)=0,"",SUMIFS(T_PlannedOrders[EffectiveQty],T_PlannedOrders[Part Name],$A93,T_PlannedOrders[WeekIndex],13)&amp;" ("&amp;TEXT(SUMPRODUCT(MAX((T_PlannedOrders[Part Name]=$A93)*(T_PlannedOrders[WeekIndex]=13)*(T_PlannedOrders[EffectiveQty]&gt;0)*T_PlannedOrders[Order_Month])),"m月")&amp;"発注)")</f>
        <v/>
      </c>
      <c r="Q99">
        <f>IF(SUMIFS(T_PlannedOrders[EffectiveQty],T_PlannedOrders[Part Name],$A93,T_PlannedOrders[WeekIndex],14)=0,"",SUMIFS(T_PlannedOrders[EffectiveQty],T_PlannedOrders[Part Name],$A93,T_PlannedOrders[WeekIndex],14)&amp;" ("&amp;TEXT(SUMPRODUCT(MAX((T_PlannedOrders[Part Name]=$A93)*(T_PlannedOrders[WeekIndex]=14)*(T_PlannedOrders[EffectiveQty]&gt;0)*T_PlannedOrders[Order_Month])),"m月")&amp;"発注)")</f>
        <v/>
      </c>
      <c r="R99">
        <f>IF(SUMIFS(T_PlannedOrders[EffectiveQty],T_PlannedOrders[Part Name],$A93,T_PlannedOrders[WeekIndex],15)=0,"",SUMIFS(T_PlannedOrders[EffectiveQty],T_PlannedOrders[Part Name],$A93,T_PlannedOrders[WeekIndex],15)&amp;" ("&amp;TEXT(SUMPRODUCT(MAX((T_PlannedOrders[Part Name]=$A93)*(T_PlannedOrders[WeekIndex]=15)*(T_PlannedOrders[EffectiveQty]&gt;0)*T_PlannedOrders[Order_Month])),"m月")&amp;"発注)")</f>
        <v/>
      </c>
      <c r="S99">
        <f>IF(SUMIFS(T_PlannedOrders[EffectiveQty],T_PlannedOrders[Part Name],$A93,T_PlannedOrders[WeekIndex],16)=0,"",SUMIFS(T_PlannedOrders[EffectiveQty],T_PlannedOrders[Part Name],$A93,T_PlannedOrders[WeekIndex],16)&amp;" ("&amp;TEXT(SUMPRODUCT(MAX((T_PlannedOrders[Part Name]=$A93)*(T_PlannedOrders[WeekIndex]=16)*(T_PlannedOrders[EffectiveQty]&gt;0)*T_PlannedOrders[Order_Month])),"m月")&amp;"発注)")</f>
        <v/>
      </c>
      <c r="T99">
        <f>IF(SUMIFS(T_PlannedOrders[EffectiveQty],T_PlannedOrders[Part Name],$A93,T_PlannedOrders[WeekIndex],17)=0,"",SUMIFS(T_PlannedOrders[EffectiveQty],T_PlannedOrders[Part Name],$A93,T_PlannedOrders[WeekIndex],17)&amp;" ("&amp;TEXT(SUMPRODUCT(MAX((T_PlannedOrders[Part Name]=$A93)*(T_PlannedOrders[WeekIndex]=17)*(T_PlannedOrders[EffectiveQty]&gt;0)*T_PlannedOrders[Order_Month])),"m月")&amp;"発注)")</f>
        <v/>
      </c>
      <c r="U99">
        <f>IF(SUMIFS(T_PlannedOrders[EffectiveQty],T_PlannedOrders[Part Name],$A93,T_PlannedOrders[WeekIndex],18)=0,"",SUMIFS(T_PlannedOrders[EffectiveQty],T_PlannedOrders[Part Name],$A93,T_PlannedOrders[WeekIndex],18)&amp;" ("&amp;TEXT(SUMPRODUCT(MAX((T_PlannedOrders[Part Name]=$A93)*(T_PlannedOrders[WeekIndex]=18)*(T_PlannedOrders[EffectiveQty]&gt;0)*T_PlannedOrders[Order_Month])),"m月")&amp;"発注)")</f>
        <v/>
      </c>
      <c r="V99">
        <f>IF(SUMIFS(T_PlannedOrders[EffectiveQty],T_PlannedOrders[Part Name],$A93,T_PlannedOrders[WeekIndex],19)=0,"",SUMIFS(T_PlannedOrders[EffectiveQty],T_PlannedOrders[Part Name],$A93,T_PlannedOrders[WeekIndex],19)&amp;" ("&amp;TEXT(SUMPRODUCT(MAX((T_PlannedOrders[Part Name]=$A93)*(T_PlannedOrders[WeekIndex]=19)*(T_PlannedOrders[EffectiveQty]&gt;0)*T_PlannedOrders[Order_Month])),"m月")&amp;"発注)")</f>
        <v/>
      </c>
      <c r="W99">
        <f>IF(SUMIFS(T_PlannedOrders[EffectiveQty],T_PlannedOrders[Part Name],$A93,T_PlannedOrders[WeekIndex],20)=0,"",SUMIFS(T_PlannedOrders[EffectiveQty],T_PlannedOrders[Part Name],$A93,T_PlannedOrders[WeekIndex],20)&amp;" ("&amp;TEXT(SUMPRODUCT(MAX((T_PlannedOrders[Part Name]=$A93)*(T_PlannedOrders[WeekIndex]=20)*(T_PlannedOrders[EffectiveQty]&gt;0)*T_PlannedOrders[Order_Month])),"m月")&amp;"発注)")</f>
        <v/>
      </c>
      <c r="X99">
        <f>IF(SUMIFS(T_PlannedOrders[EffectiveQty],T_PlannedOrders[Part Name],$A93,T_PlannedOrders[WeekIndex],21)=0,"",SUMIFS(T_PlannedOrders[EffectiveQty],T_PlannedOrders[Part Name],$A93,T_PlannedOrders[WeekIndex],21)&amp;" ("&amp;TEXT(SUMPRODUCT(MAX((T_PlannedOrders[Part Name]=$A93)*(T_PlannedOrders[WeekIndex]=21)*(T_PlannedOrders[EffectiveQty]&gt;0)*T_PlannedOrders[Order_Month])),"m月")&amp;"発注)")</f>
        <v/>
      </c>
      <c r="Y99">
        <f>IF(SUMIFS(T_PlannedOrders[EffectiveQty],T_PlannedOrders[Part Name],$A93,T_PlannedOrders[WeekIndex],22)=0,"",SUMIFS(T_PlannedOrders[EffectiveQty],T_PlannedOrders[Part Name],$A93,T_PlannedOrders[WeekIndex],22)&amp;" ("&amp;TEXT(SUMPRODUCT(MAX((T_PlannedOrders[Part Name]=$A93)*(T_PlannedOrders[WeekIndex]=22)*(T_PlannedOrders[EffectiveQty]&gt;0)*T_PlannedOrders[Order_Month])),"m月")&amp;"発注)")</f>
        <v/>
      </c>
      <c r="Z99">
        <f>IF(SUMIFS(T_PlannedOrders[EffectiveQty],T_PlannedOrders[Part Name],$A93,T_PlannedOrders[WeekIndex],23)=0,"",SUMIFS(T_PlannedOrders[EffectiveQty],T_PlannedOrders[Part Name],$A93,T_PlannedOrders[WeekIndex],23)&amp;" ("&amp;TEXT(SUMPRODUCT(MAX((T_PlannedOrders[Part Name]=$A93)*(T_PlannedOrders[WeekIndex]=23)*(T_PlannedOrders[EffectiveQty]&gt;0)*T_PlannedOrders[Order_Month])),"m月")&amp;"発注)")</f>
        <v/>
      </c>
      <c r="AA99">
        <f>IF(SUMIFS(T_PlannedOrders[EffectiveQty],T_PlannedOrders[Part Name],$A93,T_PlannedOrders[WeekIndex],24)=0,"",SUMIFS(T_PlannedOrders[EffectiveQty],T_PlannedOrders[Part Name],$A93,T_PlannedOrders[WeekIndex],24)&amp;" ("&amp;TEXT(SUMPRODUCT(MAX((T_PlannedOrders[Part Name]=$A93)*(T_PlannedOrders[WeekIndex]=24)*(T_PlannedOrders[EffectiveQty]&gt;0)*T_PlannedOrders[Order_Month])),"m月")&amp;"発注)")</f>
        <v/>
      </c>
      <c r="AB99">
        <f>IF(SUMIFS(T_PlannedOrders[EffectiveQty],T_PlannedOrders[Part Name],$A93,T_PlannedOrders[WeekIndex],25)=0,"",SUMIFS(T_PlannedOrders[EffectiveQty],T_PlannedOrders[Part Name],$A93,T_PlannedOrders[WeekIndex],25)&amp;" ("&amp;TEXT(SUMPRODUCT(MAX((T_PlannedOrders[Part Name]=$A93)*(T_PlannedOrders[WeekIndex]=25)*(T_PlannedOrders[EffectiveQty]&gt;0)*T_PlannedOrders[Order_Month])),"m月")&amp;"発注)")</f>
        <v/>
      </c>
      <c r="AC99">
        <f>IF(SUMIFS(T_PlannedOrders[EffectiveQty],T_PlannedOrders[Part Name],$A93,T_PlannedOrders[WeekIndex],26)=0,"",SUMIFS(T_PlannedOrders[EffectiveQty],T_PlannedOrders[Part Name],$A93,T_PlannedOrders[WeekIndex],26)&amp;" ("&amp;TEXT(SUMPRODUCT(MAX((T_PlannedOrders[Part Name]=$A93)*(T_PlannedOrders[WeekIndex]=26)*(T_PlannedOrders[EffectiveQty]&gt;0)*T_PlannedOrders[Order_Month])),"m月")&amp;"発注)")</f>
        <v/>
      </c>
      <c r="AD99">
        <f>IF(SUMIFS(T_PlannedOrders[EffectiveQty],T_PlannedOrders[Part Name],$A93,T_PlannedOrders[WeekIndex],27)=0,"",SUMIFS(T_PlannedOrders[EffectiveQty],T_PlannedOrders[Part Name],$A93,T_PlannedOrders[WeekIndex],27)&amp;" ("&amp;TEXT(SUMPRODUCT(MAX((T_PlannedOrders[Part Name]=$A93)*(T_PlannedOrders[WeekIndex]=27)*(T_PlannedOrders[EffectiveQty]&gt;0)*T_PlannedOrders[Order_Month])),"m月")&amp;"発注)")</f>
        <v/>
      </c>
      <c r="AE99">
        <f>IF(SUMIFS(T_PlannedOrders[EffectiveQty],T_PlannedOrders[Part Name],$A93,T_PlannedOrders[WeekIndex],28)=0,"",SUMIFS(T_PlannedOrders[EffectiveQty],T_PlannedOrders[Part Name],$A93,T_PlannedOrders[WeekIndex],28)&amp;" ("&amp;TEXT(SUMPRODUCT(MAX((T_PlannedOrders[Part Name]=$A93)*(T_PlannedOrders[WeekIndex]=28)*(T_PlannedOrders[EffectiveQty]&gt;0)*T_PlannedOrders[Order_Month])),"m月")&amp;"発注)")</f>
        <v/>
      </c>
      <c r="AF99">
        <f>IF(SUMIFS(T_PlannedOrders[EffectiveQty],T_PlannedOrders[Part Name],$A93,T_PlannedOrders[WeekIndex],29)=0,"",SUMIFS(T_PlannedOrders[EffectiveQty],T_PlannedOrders[Part Name],$A93,T_PlannedOrders[WeekIndex],29)&amp;" ("&amp;TEXT(SUMPRODUCT(MAX((T_PlannedOrders[Part Name]=$A93)*(T_PlannedOrders[WeekIndex]=29)*(T_PlannedOrders[EffectiveQty]&gt;0)*T_PlannedOrders[Order_Month])),"m月")&amp;"発注)")</f>
        <v/>
      </c>
      <c r="AG99">
        <f>IF(SUMIFS(T_PlannedOrders[EffectiveQty],T_PlannedOrders[Part Name],$A93,T_PlannedOrders[WeekIndex],30)=0,"",SUMIFS(T_PlannedOrders[EffectiveQty],T_PlannedOrders[Part Name],$A93,T_PlannedOrders[WeekIndex],30)&amp;" ("&amp;TEXT(SUMPRODUCT(MAX((T_PlannedOrders[Part Name]=$A93)*(T_PlannedOrders[WeekIndex]=30)*(T_PlannedOrders[EffectiveQty]&gt;0)*T_PlannedOrders[Order_Month])),"m月")&amp;"発注)")</f>
        <v/>
      </c>
      <c r="AH99">
        <f>IF(SUMIFS(T_PlannedOrders[EffectiveQty],T_PlannedOrders[Part Name],$A93,T_PlannedOrders[WeekIndex],31)=0,"",SUMIFS(T_PlannedOrders[EffectiveQty],T_PlannedOrders[Part Name],$A93,T_PlannedOrders[WeekIndex],31)&amp;" ("&amp;TEXT(SUMPRODUCT(MAX((T_PlannedOrders[Part Name]=$A93)*(T_PlannedOrders[WeekIndex]=31)*(T_PlannedOrders[EffectiveQty]&gt;0)*T_PlannedOrders[Order_Month])),"m月")&amp;"発注)")</f>
        <v/>
      </c>
      <c r="AI99">
        <f>IF(SUMIFS(T_PlannedOrders[EffectiveQty],T_PlannedOrders[Part Name],$A93,T_PlannedOrders[WeekIndex],32)=0,"",SUMIFS(T_PlannedOrders[EffectiveQty],T_PlannedOrders[Part Name],$A93,T_PlannedOrders[WeekIndex],32)&amp;" ("&amp;TEXT(SUMPRODUCT(MAX((T_PlannedOrders[Part Name]=$A93)*(T_PlannedOrders[WeekIndex]=32)*(T_PlannedOrders[EffectiveQty]&gt;0)*T_PlannedOrders[Order_Month])),"m月")&amp;"発注)")</f>
        <v/>
      </c>
      <c r="AJ99">
        <f>IF(SUMIFS(T_PlannedOrders[EffectiveQty],T_PlannedOrders[Part Name],$A93,T_PlannedOrders[WeekIndex],33)=0,"",SUMIFS(T_PlannedOrders[EffectiveQty],T_PlannedOrders[Part Name],$A93,T_PlannedOrders[WeekIndex],33)&amp;" ("&amp;TEXT(SUMPRODUCT(MAX((T_PlannedOrders[Part Name]=$A93)*(T_PlannedOrders[WeekIndex]=33)*(T_PlannedOrders[EffectiveQty]&gt;0)*T_PlannedOrders[Order_Month])),"m月")&amp;"発注)")</f>
        <v/>
      </c>
      <c r="AK99">
        <f>IF(SUMIFS(T_PlannedOrders[EffectiveQty],T_PlannedOrders[Part Name],$A93,T_PlannedOrders[WeekIndex],34)=0,"",SUMIFS(T_PlannedOrders[EffectiveQty],T_PlannedOrders[Part Name],$A93,T_PlannedOrders[WeekIndex],34)&amp;" ("&amp;TEXT(SUMPRODUCT(MAX((T_PlannedOrders[Part Name]=$A93)*(T_PlannedOrders[WeekIndex]=34)*(T_PlannedOrders[EffectiveQty]&gt;0)*T_PlannedOrders[Order_Month])),"m月")&amp;"発注)")</f>
        <v/>
      </c>
      <c r="AL99">
        <f>IF(SUMIFS(T_PlannedOrders[EffectiveQty],T_PlannedOrders[Part Name],$A93,T_PlannedOrders[WeekIndex],35)=0,"",SUMIFS(T_PlannedOrders[EffectiveQty],T_PlannedOrders[Part Name],$A93,T_PlannedOrders[WeekIndex],35)&amp;" ("&amp;TEXT(SUMPRODUCT(MAX((T_PlannedOrders[Part Name]=$A93)*(T_PlannedOrders[WeekIndex]=35)*(T_PlannedOrders[EffectiveQty]&gt;0)*T_PlannedOrders[Order_Month])),"m月")&amp;"発注)")</f>
        <v/>
      </c>
      <c r="AM99">
        <f>IF(SUMIFS(T_PlannedOrders[EffectiveQty],T_PlannedOrders[Part Name],$A93,T_PlannedOrders[WeekIndex],36)=0,"",SUMIFS(T_PlannedOrders[EffectiveQty],T_PlannedOrders[Part Name],$A93,T_PlannedOrders[WeekIndex],36)&amp;" ("&amp;TEXT(SUMPRODUCT(MAX((T_PlannedOrders[Part Name]=$A93)*(T_PlannedOrders[WeekIndex]=36)*(T_PlannedOrders[EffectiveQty]&gt;0)*T_PlannedOrders[Order_Month])),"m月")&amp;"発注)")</f>
        <v/>
      </c>
      <c r="AN99">
        <f>IF(SUMIFS(T_PlannedOrders[EffectiveQty],T_PlannedOrders[Part Name],$A93,T_PlannedOrders[WeekIndex],37)=0,"",SUMIFS(T_PlannedOrders[EffectiveQty],T_PlannedOrders[Part Name],$A93,T_PlannedOrders[WeekIndex],37)&amp;" ("&amp;TEXT(SUMPRODUCT(MAX((T_PlannedOrders[Part Name]=$A93)*(T_PlannedOrders[WeekIndex]=37)*(T_PlannedOrders[EffectiveQty]&gt;0)*T_PlannedOrders[Order_Month])),"m月")&amp;"発注)")</f>
        <v/>
      </c>
      <c r="AO99">
        <f>IF(SUMIFS(T_PlannedOrders[EffectiveQty],T_PlannedOrders[Part Name],$A93,T_PlannedOrders[WeekIndex],38)=0,"",SUMIFS(T_PlannedOrders[EffectiveQty],T_PlannedOrders[Part Name],$A93,T_PlannedOrders[WeekIndex],38)&amp;" ("&amp;TEXT(SUMPRODUCT(MAX((T_PlannedOrders[Part Name]=$A93)*(T_PlannedOrders[WeekIndex]=38)*(T_PlannedOrders[EffectiveQty]&gt;0)*T_PlannedOrders[Order_Month])),"m月")&amp;"発注)")</f>
        <v/>
      </c>
      <c r="AP99">
        <f>IF(SUMIFS(T_PlannedOrders[EffectiveQty],T_PlannedOrders[Part Name],$A93,T_PlannedOrders[WeekIndex],39)=0,"",SUMIFS(T_PlannedOrders[EffectiveQty],T_PlannedOrders[Part Name],$A93,T_PlannedOrders[WeekIndex],39)&amp;" ("&amp;TEXT(SUMPRODUCT(MAX((T_PlannedOrders[Part Name]=$A93)*(T_PlannedOrders[WeekIndex]=39)*(T_PlannedOrders[EffectiveQty]&gt;0)*T_PlannedOrders[Order_Month])),"m月")&amp;"発注)")</f>
        <v/>
      </c>
      <c r="AQ99">
        <f>IF(SUMIFS(T_PlannedOrders[EffectiveQty],T_PlannedOrders[Part Name],$A93,T_PlannedOrders[WeekIndex],40)=0,"",SUMIFS(T_PlannedOrders[EffectiveQty],T_PlannedOrders[Part Name],$A93,T_PlannedOrders[WeekIndex],40)&amp;" ("&amp;TEXT(SUMPRODUCT(MAX((T_PlannedOrders[Part Name]=$A93)*(T_PlannedOrders[WeekIndex]=40)*(T_PlannedOrders[EffectiveQty]&gt;0)*T_PlannedOrders[Order_Month])),"m月")&amp;"発注)")</f>
        <v/>
      </c>
      <c r="AR99">
        <f>IF(SUMIFS(T_PlannedOrders[EffectiveQty],T_PlannedOrders[Part Name],$A93,T_PlannedOrders[WeekIndex],41)=0,"",SUMIFS(T_PlannedOrders[EffectiveQty],T_PlannedOrders[Part Name],$A93,T_PlannedOrders[WeekIndex],41)&amp;" ("&amp;TEXT(SUMPRODUCT(MAX((T_PlannedOrders[Part Name]=$A93)*(T_PlannedOrders[WeekIndex]=41)*(T_PlannedOrders[EffectiveQty]&gt;0)*T_PlannedOrders[Order_Month])),"m月")&amp;"発注)")</f>
        <v/>
      </c>
      <c r="AS99">
        <f>IF(SUMIFS(T_PlannedOrders[EffectiveQty],T_PlannedOrders[Part Name],$A93,T_PlannedOrders[WeekIndex],42)=0,"",SUMIFS(T_PlannedOrders[EffectiveQty],T_PlannedOrders[Part Name],$A93,T_PlannedOrders[WeekIndex],42)&amp;" ("&amp;TEXT(SUMPRODUCT(MAX((T_PlannedOrders[Part Name]=$A93)*(T_PlannedOrders[WeekIndex]=42)*(T_PlannedOrders[EffectiveQty]&gt;0)*T_PlannedOrders[Order_Month])),"m月")&amp;"発注)")</f>
        <v/>
      </c>
      <c r="AT99">
        <f>IF(SUMIFS(T_PlannedOrders[EffectiveQty],T_PlannedOrders[Part Name],$A93,T_PlannedOrders[WeekIndex],43)=0,"",SUMIFS(T_PlannedOrders[EffectiveQty],T_PlannedOrders[Part Name],$A93,T_PlannedOrders[WeekIndex],43)&amp;" ("&amp;TEXT(SUMPRODUCT(MAX((T_PlannedOrders[Part Name]=$A93)*(T_PlannedOrders[WeekIndex]=43)*(T_PlannedOrders[EffectiveQty]&gt;0)*T_PlannedOrders[Order_Month])),"m月")&amp;"発注)")</f>
        <v/>
      </c>
      <c r="AU99">
        <f>IF(SUMIFS(T_PlannedOrders[EffectiveQty],T_PlannedOrders[Part Name],$A93,T_PlannedOrders[WeekIndex],44)=0,"",SUMIFS(T_PlannedOrders[EffectiveQty],T_PlannedOrders[Part Name],$A93,T_PlannedOrders[WeekIndex],44)&amp;" ("&amp;TEXT(SUMPRODUCT(MAX((T_PlannedOrders[Part Name]=$A93)*(T_PlannedOrders[WeekIndex]=44)*(T_PlannedOrders[EffectiveQty]&gt;0)*T_PlannedOrders[Order_Month])),"m月")&amp;"発注)")</f>
        <v/>
      </c>
      <c r="AV99">
        <f>IF(SUMIFS(T_PlannedOrders[EffectiveQty],T_PlannedOrders[Part Name],$A93,T_PlannedOrders[WeekIndex],45)=0,"",SUMIFS(T_PlannedOrders[EffectiveQty],T_PlannedOrders[Part Name],$A93,T_PlannedOrders[WeekIndex],45)&amp;" ("&amp;TEXT(SUMPRODUCT(MAX((T_PlannedOrders[Part Name]=$A93)*(T_PlannedOrders[WeekIndex]=45)*(T_PlannedOrders[EffectiveQty]&gt;0)*T_PlannedOrders[Order_Month])),"m月")&amp;"発注)")</f>
        <v/>
      </c>
      <c r="AW99">
        <f>IF(SUMIFS(T_PlannedOrders[EffectiveQty],T_PlannedOrders[Part Name],$A93,T_PlannedOrders[WeekIndex],46)=0,"",SUMIFS(T_PlannedOrders[EffectiveQty],T_PlannedOrders[Part Name],$A93,T_PlannedOrders[WeekIndex],46)&amp;" ("&amp;TEXT(SUMPRODUCT(MAX((T_PlannedOrders[Part Name]=$A93)*(T_PlannedOrders[WeekIndex]=46)*(T_PlannedOrders[EffectiveQty]&gt;0)*T_PlannedOrders[Order_Month])),"m月")&amp;"発注)")</f>
        <v/>
      </c>
      <c r="AX99">
        <f>IF(SUMIFS(T_PlannedOrders[EffectiveQty],T_PlannedOrders[Part Name],$A93,T_PlannedOrders[WeekIndex],47)=0,"",SUMIFS(T_PlannedOrders[EffectiveQty],T_PlannedOrders[Part Name],$A93,T_PlannedOrders[WeekIndex],47)&amp;" ("&amp;TEXT(SUMPRODUCT(MAX((T_PlannedOrders[Part Name]=$A93)*(T_PlannedOrders[WeekIndex]=47)*(T_PlannedOrders[EffectiveQty]&gt;0)*T_PlannedOrders[Order_Month])),"m月")&amp;"発注)")</f>
        <v/>
      </c>
      <c r="AY99">
        <f>IF(SUMIFS(T_PlannedOrders[EffectiveQty],T_PlannedOrders[Part Name],$A93,T_PlannedOrders[WeekIndex],48)=0,"",SUMIFS(T_PlannedOrders[EffectiveQty],T_PlannedOrders[Part Name],$A93,T_PlannedOrders[WeekIndex],48)&amp;" ("&amp;TEXT(SUMPRODUCT(MAX((T_PlannedOrders[Part Name]=$A93)*(T_PlannedOrders[WeekIndex]=48)*(T_PlannedOrders[EffectiveQty]&gt;0)*T_PlannedOrders[Order_Month])),"m月")&amp;"発注)")</f>
        <v/>
      </c>
      <c r="AZ99">
        <f>IF(SUMIFS(T_PlannedOrders[EffectiveQty],T_PlannedOrders[Part Name],$A93,T_PlannedOrders[WeekIndex],49)=0,"",SUMIFS(T_PlannedOrders[EffectiveQty],T_PlannedOrders[Part Name],$A93,T_PlannedOrders[WeekIndex],49)&amp;" ("&amp;TEXT(SUMPRODUCT(MAX((T_PlannedOrders[Part Name]=$A93)*(T_PlannedOrders[WeekIndex]=49)*(T_PlannedOrders[EffectiveQty]&gt;0)*T_PlannedOrders[Order_Month])),"m月")&amp;"発注)")</f>
        <v/>
      </c>
      <c r="BA99">
        <f>IF(SUMIFS(T_PlannedOrders[EffectiveQty],T_PlannedOrders[Part Name],$A93,T_PlannedOrders[WeekIndex],50)=0,"",SUMIFS(T_PlannedOrders[EffectiveQty],T_PlannedOrders[Part Name],$A93,T_PlannedOrders[WeekIndex],50)&amp;" ("&amp;TEXT(SUMPRODUCT(MAX((T_PlannedOrders[Part Name]=$A93)*(T_PlannedOrders[WeekIndex]=50)*(T_PlannedOrders[EffectiveQty]&gt;0)*T_PlannedOrders[Order_Month])),"m月")&amp;"発注)")</f>
        <v/>
      </c>
      <c r="BB99">
        <f>IF(SUMIFS(T_PlannedOrders[EffectiveQty],T_PlannedOrders[Part Name],$A93,T_PlannedOrders[WeekIndex],51)=0,"",SUMIFS(T_PlannedOrders[EffectiveQty],T_PlannedOrders[Part Name],$A93,T_PlannedOrders[WeekIndex],51)&amp;" ("&amp;TEXT(SUMPRODUCT(MAX((T_PlannedOrders[Part Name]=$A93)*(T_PlannedOrders[WeekIndex]=51)*(T_PlannedOrders[EffectiveQty]&gt;0)*T_PlannedOrders[Order_Month])),"m月")&amp;"発注)")</f>
        <v/>
      </c>
      <c r="BC99">
        <f>IF(SUMIFS(T_PlannedOrders[EffectiveQty],T_PlannedOrders[Part Name],$A93,T_PlannedOrders[WeekIndex],52)=0,"",SUMIFS(T_PlannedOrders[EffectiveQty],T_PlannedOrders[Part Name],$A93,T_PlannedOrders[WeekIndex],52)&amp;" ("&amp;TEXT(SUMPRODUCT(MAX((T_PlannedOrders[Part Name]=$A93)*(T_PlannedOrders[WeekIndex]=52)*(T_PlannedOrders[EffectiveQty]&gt;0)*T_PlannedOrders[Order_Month])),"m月")&amp;"発注)")</f>
        <v/>
      </c>
      <c r="BD99">
        <f>IF(SUMIFS(T_PlannedOrders[EffectiveQty],T_PlannedOrders[Part Name],$A93,T_PlannedOrders[WeekIndex],53)=0,"",SUMIFS(T_PlannedOrders[EffectiveQty],T_PlannedOrders[Part Name],$A93,T_PlannedOrders[WeekIndex],53)&amp;" ("&amp;TEXT(SUMPRODUCT(MAX((T_PlannedOrders[Part Name]=$A93)*(T_PlannedOrders[WeekIndex]=53)*(T_PlannedOrders[EffectiveQty]&gt;0)*T_PlannedOrders[Order_Month])),"m月")&amp;"発注)")</f>
        <v/>
      </c>
      <c r="BE99">
        <f>IF(SUMIFS(T_PlannedOrders[EffectiveQty],T_PlannedOrders[Part Name],$A93,T_PlannedOrders[WeekIndex],54)=0,"",SUMIFS(T_PlannedOrders[EffectiveQty],T_PlannedOrders[Part Name],$A93,T_PlannedOrders[WeekIndex],54)&amp;" ("&amp;TEXT(SUMPRODUCT(MAX((T_PlannedOrders[Part Name]=$A93)*(T_PlannedOrders[WeekIndex]=54)*(T_PlannedOrders[EffectiveQty]&gt;0)*T_PlannedOrders[Order_Month])),"m月")&amp;"発注)")</f>
        <v/>
      </c>
      <c r="BF99">
        <f>IF(SUMIFS(T_PlannedOrders[EffectiveQty],T_PlannedOrders[Part Name],$A93,T_PlannedOrders[WeekIndex],55)=0,"",SUMIFS(T_PlannedOrders[EffectiveQty],T_PlannedOrders[Part Name],$A93,T_PlannedOrders[WeekIndex],55)&amp;" ("&amp;TEXT(SUMPRODUCT(MAX((T_PlannedOrders[Part Name]=$A93)*(T_PlannedOrders[WeekIndex]=55)*(T_PlannedOrders[EffectiveQty]&gt;0)*T_PlannedOrders[Order_Month])),"m月")&amp;"発注)")</f>
        <v/>
      </c>
      <c r="BG99">
        <f>IF(SUMIFS(T_PlannedOrders[EffectiveQty],T_PlannedOrders[Part Name],$A93,T_PlannedOrders[WeekIndex],56)=0,"",SUMIFS(T_PlannedOrders[EffectiveQty],T_PlannedOrders[Part Name],$A93,T_PlannedOrders[WeekIndex],56)&amp;" ("&amp;TEXT(SUMPRODUCT(MAX((T_PlannedOrders[Part Name]=$A93)*(T_PlannedOrders[WeekIndex]=56)*(T_PlannedOrders[EffectiveQty]&gt;0)*T_PlannedOrders[Order_Month])),"m月")&amp;"発注)")</f>
        <v/>
      </c>
      <c r="BH99">
        <f>IF(SUMIFS(T_PlannedOrders[EffectiveQty],T_PlannedOrders[Part Name],$A93,T_PlannedOrders[WeekIndex],57)=0,"",SUMIFS(T_PlannedOrders[EffectiveQty],T_PlannedOrders[Part Name],$A93,T_PlannedOrders[WeekIndex],57)&amp;" ("&amp;TEXT(SUMPRODUCT(MAX((T_PlannedOrders[Part Name]=$A93)*(T_PlannedOrders[WeekIndex]=57)*(T_PlannedOrders[EffectiveQty]&gt;0)*T_PlannedOrders[Order_Month])),"m月")&amp;"発注)")</f>
        <v/>
      </c>
      <c r="BI99">
        <f>IF(SUMIFS(T_PlannedOrders[EffectiveQty],T_PlannedOrders[Part Name],$A93,T_PlannedOrders[WeekIndex],58)=0,"",SUMIFS(T_PlannedOrders[EffectiveQty],T_PlannedOrders[Part Name],$A93,T_PlannedOrders[WeekIndex],58)&amp;" ("&amp;TEXT(SUMPRODUCT(MAX((T_PlannedOrders[Part Name]=$A93)*(T_PlannedOrders[WeekIndex]=58)*(T_PlannedOrders[EffectiveQty]&gt;0)*T_PlannedOrders[Order_Month])),"m月")&amp;"発注)")</f>
        <v/>
      </c>
      <c r="BJ99">
        <f>IF(SUMIFS(T_PlannedOrders[EffectiveQty],T_PlannedOrders[Part Name],$A93,T_PlannedOrders[WeekIndex],59)=0,"",SUMIFS(T_PlannedOrders[EffectiveQty],T_PlannedOrders[Part Name],$A93,T_PlannedOrders[WeekIndex],59)&amp;" ("&amp;TEXT(SUMPRODUCT(MAX((T_PlannedOrders[Part Name]=$A93)*(T_PlannedOrders[WeekIndex]=59)*(T_PlannedOrders[EffectiveQty]&gt;0)*T_PlannedOrders[Order_Month])),"m月")&amp;"発注)")</f>
        <v/>
      </c>
      <c r="BK99">
        <f>IF(SUMIFS(T_PlannedOrders[EffectiveQty],T_PlannedOrders[Part Name],$A93,T_PlannedOrders[WeekIndex],60)=0,"",SUMIFS(T_PlannedOrders[EffectiveQty],T_PlannedOrders[Part Name],$A93,T_PlannedOrders[WeekIndex],60)&amp;" ("&amp;TEXT(SUMPRODUCT(MAX((T_PlannedOrders[Part Name]=$A93)*(T_PlannedOrders[WeekIndex]=60)*(T_PlannedOrders[EffectiveQty]&gt;0)*T_PlannedOrders[Order_Month])),"m月")&amp;"発注)")</f>
        <v/>
      </c>
      <c r="BL99">
        <f>IF(SUMIFS(T_PlannedOrders[EffectiveQty],T_PlannedOrders[Part Name],$A93,T_PlannedOrders[WeekIndex],61)=0,"",SUMIFS(T_PlannedOrders[EffectiveQty],T_PlannedOrders[Part Name],$A93,T_PlannedOrders[WeekIndex],61)&amp;" ("&amp;TEXT(SUMPRODUCT(MAX((T_PlannedOrders[Part Name]=$A93)*(T_PlannedOrders[WeekIndex]=61)*(T_PlannedOrders[EffectiveQty]&gt;0)*T_PlannedOrders[Order_Month])),"m月")&amp;"発注)")</f>
        <v/>
      </c>
      <c r="BM99">
        <f>IF(SUMIFS(T_PlannedOrders[EffectiveQty],T_PlannedOrders[Part Name],$A93,T_PlannedOrders[WeekIndex],62)=0,"",SUMIFS(T_PlannedOrders[EffectiveQty],T_PlannedOrders[Part Name],$A93,T_PlannedOrders[WeekIndex],62)&amp;" ("&amp;TEXT(SUMPRODUCT(MAX((T_PlannedOrders[Part Name]=$A93)*(T_PlannedOrders[WeekIndex]=62)*(T_PlannedOrders[EffectiveQty]&gt;0)*T_PlannedOrders[Order_Month])),"m月")&amp;"発注)")</f>
        <v/>
      </c>
      <c r="BN99">
        <f>IF(SUMIFS(T_PlannedOrders[EffectiveQty],T_PlannedOrders[Part Name],$A93,T_PlannedOrders[WeekIndex],63)=0,"",SUMIFS(T_PlannedOrders[EffectiveQty],T_PlannedOrders[Part Name],$A93,T_PlannedOrders[WeekIndex],63)&amp;" ("&amp;TEXT(SUMPRODUCT(MAX((T_PlannedOrders[Part Name]=$A93)*(T_PlannedOrders[WeekIndex]=63)*(T_PlannedOrders[EffectiveQty]&gt;0)*T_PlannedOrders[Order_Month])),"m月")&amp;"発注)")</f>
        <v/>
      </c>
      <c r="BO99">
        <f>IF(SUMIFS(T_PlannedOrders[EffectiveQty],T_PlannedOrders[Part Name],$A93,T_PlannedOrders[WeekIndex],64)=0,"",SUMIFS(T_PlannedOrders[EffectiveQty],T_PlannedOrders[Part Name],$A93,T_PlannedOrders[WeekIndex],64)&amp;" ("&amp;TEXT(SUMPRODUCT(MAX((T_PlannedOrders[Part Name]=$A93)*(T_PlannedOrders[WeekIndex]=64)*(T_PlannedOrders[EffectiveQty]&gt;0)*T_PlannedOrders[Order_Month])),"m月")&amp;"発注)")</f>
        <v/>
      </c>
      <c r="BP99">
        <f>IF(SUMIFS(T_PlannedOrders[EffectiveQty],T_PlannedOrders[Part Name],$A93,T_PlannedOrders[WeekIndex],65)=0,"",SUMIFS(T_PlannedOrders[EffectiveQty],T_PlannedOrders[Part Name],$A93,T_PlannedOrders[WeekIndex],65)&amp;" ("&amp;TEXT(SUMPRODUCT(MAX((T_PlannedOrders[Part Name]=$A93)*(T_PlannedOrders[WeekIndex]=65)*(T_PlannedOrders[EffectiveQty]&gt;0)*T_PlannedOrders[Order_Month])),"m月")&amp;"発注)")</f>
        <v/>
      </c>
      <c r="BQ99">
        <f>IF(SUMIFS(T_PlannedOrders[EffectiveQty],T_PlannedOrders[Part Name],$A93,T_PlannedOrders[WeekIndex],66)=0,"",SUMIFS(T_PlannedOrders[EffectiveQty],T_PlannedOrders[Part Name],$A93,T_PlannedOrders[WeekIndex],66)&amp;" ("&amp;TEXT(SUMPRODUCT(MAX((T_PlannedOrders[Part Name]=$A93)*(T_PlannedOrders[WeekIndex]=66)*(T_PlannedOrders[EffectiveQty]&gt;0)*T_PlannedOrders[Order_Month])),"m月")&amp;"発注)")</f>
        <v/>
      </c>
      <c r="BR99">
        <f>IF(SUMIFS(T_PlannedOrders[EffectiveQty],T_PlannedOrders[Part Name],$A93,T_PlannedOrders[WeekIndex],67)=0,"",SUMIFS(T_PlannedOrders[EffectiveQty],T_PlannedOrders[Part Name],$A93,T_PlannedOrders[WeekIndex],67)&amp;" ("&amp;TEXT(SUMPRODUCT(MAX((T_PlannedOrders[Part Name]=$A93)*(T_PlannedOrders[WeekIndex]=67)*(T_PlannedOrders[EffectiveQty]&gt;0)*T_PlannedOrders[Order_Month])),"m月")&amp;"発注)")</f>
        <v/>
      </c>
      <c r="BS99">
        <f>IF(SUMIFS(T_PlannedOrders[EffectiveQty],T_PlannedOrders[Part Name],$A93,T_PlannedOrders[WeekIndex],68)=0,"",SUMIFS(T_PlannedOrders[EffectiveQty],T_PlannedOrders[Part Name],$A93,T_PlannedOrders[WeekIndex],68)&amp;" ("&amp;TEXT(SUMPRODUCT(MAX((T_PlannedOrders[Part Name]=$A93)*(T_PlannedOrders[WeekIndex]=68)*(T_PlannedOrders[EffectiveQty]&gt;0)*T_PlannedOrders[Order_Month])),"m月")&amp;"発注)")</f>
        <v/>
      </c>
      <c r="BT99">
        <f>IF(SUMIFS(T_PlannedOrders[EffectiveQty],T_PlannedOrders[Part Name],$A93,T_PlannedOrders[WeekIndex],69)=0,"",SUMIFS(T_PlannedOrders[EffectiveQty],T_PlannedOrders[Part Name],$A93,T_PlannedOrders[WeekIndex],69)&amp;" ("&amp;TEXT(SUMPRODUCT(MAX((T_PlannedOrders[Part Name]=$A93)*(T_PlannedOrders[WeekIndex]=69)*(T_PlannedOrders[EffectiveQty]&gt;0)*T_PlannedOrders[Order_Month])),"m月")&amp;"発注)")</f>
        <v/>
      </c>
      <c r="BU99">
        <f>IF(SUMIFS(T_PlannedOrders[EffectiveQty],T_PlannedOrders[Part Name],$A93,T_PlannedOrders[WeekIndex],70)=0,"",SUMIFS(T_PlannedOrders[EffectiveQty],T_PlannedOrders[Part Name],$A93,T_PlannedOrders[WeekIndex],70)&amp;" ("&amp;TEXT(SUMPRODUCT(MAX((T_PlannedOrders[Part Name]=$A93)*(T_PlannedOrders[WeekIndex]=70)*(T_PlannedOrders[EffectiveQty]&gt;0)*T_PlannedOrders[Order_Month])),"m月")&amp;"発注)")</f>
        <v/>
      </c>
      <c r="BV99">
        <f>IF(SUMIFS(T_PlannedOrders[EffectiveQty],T_PlannedOrders[Part Name],$A93,T_PlannedOrders[WeekIndex],71)=0,"",SUMIFS(T_PlannedOrders[EffectiveQty],T_PlannedOrders[Part Name],$A93,T_PlannedOrders[WeekIndex],71)&amp;" ("&amp;TEXT(SUMPRODUCT(MAX((T_PlannedOrders[Part Name]=$A93)*(T_PlannedOrders[WeekIndex]=71)*(T_PlannedOrders[EffectiveQty]&gt;0)*T_PlannedOrders[Order_Month])),"m月")&amp;"発注)")</f>
        <v/>
      </c>
      <c r="BW99">
        <f>IF(SUMIFS(T_PlannedOrders[EffectiveQty],T_PlannedOrders[Part Name],$A93,T_PlannedOrders[WeekIndex],72)=0,"",SUMIFS(T_PlannedOrders[EffectiveQty],T_PlannedOrders[Part Name],$A93,T_PlannedOrders[WeekIndex],72)&amp;" ("&amp;TEXT(SUMPRODUCT(MAX((T_PlannedOrders[Part Name]=$A93)*(T_PlannedOrders[WeekIndex]=72)*(T_PlannedOrders[EffectiveQty]&gt;0)*T_PlannedOrders[Order_Month])),"m月")&amp;"発注)")</f>
        <v/>
      </c>
      <c r="BX99">
        <f>IF(SUMIFS(T_PlannedOrders[EffectiveQty],T_PlannedOrders[Part Name],$A93,T_PlannedOrders[WeekIndex],73)=0,"",SUMIFS(T_PlannedOrders[EffectiveQty],T_PlannedOrders[Part Name],$A93,T_PlannedOrders[WeekIndex],73)&amp;" ("&amp;TEXT(SUMPRODUCT(MAX((T_PlannedOrders[Part Name]=$A93)*(T_PlannedOrders[WeekIndex]=73)*(T_PlannedOrders[EffectiveQty]&gt;0)*T_PlannedOrders[Order_Month])),"m月")&amp;"発注)")</f>
        <v/>
      </c>
      <c r="BY99">
        <f>IF(SUMIFS(T_PlannedOrders[EffectiveQty],T_PlannedOrders[Part Name],$A93,T_PlannedOrders[WeekIndex],74)=0,"",SUMIFS(T_PlannedOrders[EffectiveQty],T_PlannedOrders[Part Name],$A93,T_PlannedOrders[WeekIndex],74)&amp;" ("&amp;TEXT(SUMPRODUCT(MAX((T_PlannedOrders[Part Name]=$A93)*(T_PlannedOrders[WeekIndex]=74)*(T_PlannedOrders[EffectiveQty]&gt;0)*T_PlannedOrders[Order_Month])),"m月")&amp;"発注)")</f>
        <v/>
      </c>
      <c r="BZ99">
        <f>IF(SUMIFS(T_PlannedOrders[EffectiveQty],T_PlannedOrders[Part Name],$A93,T_PlannedOrders[WeekIndex],75)=0,"",SUMIFS(T_PlannedOrders[EffectiveQty],T_PlannedOrders[Part Name],$A93,T_PlannedOrders[WeekIndex],75)&amp;" ("&amp;TEXT(SUMPRODUCT(MAX((T_PlannedOrders[Part Name]=$A93)*(T_PlannedOrders[WeekIndex]=75)*(T_PlannedOrders[EffectiveQty]&gt;0)*T_PlannedOrders[Order_Month])),"m月")&amp;"発注)")</f>
        <v/>
      </c>
      <c r="CA99">
        <f>IF(SUMIFS(T_PlannedOrders[EffectiveQty],T_PlannedOrders[Part Name],$A93,T_PlannedOrders[WeekIndex],76)=0,"",SUMIFS(T_PlannedOrders[EffectiveQty],T_PlannedOrders[Part Name],$A93,T_PlannedOrders[WeekIndex],76)&amp;" ("&amp;TEXT(SUMPRODUCT(MAX((T_PlannedOrders[Part Name]=$A93)*(T_PlannedOrders[WeekIndex]=76)*(T_PlannedOrders[EffectiveQty]&gt;0)*T_PlannedOrders[Order_Month])),"m月")&amp;"発注)")</f>
        <v/>
      </c>
      <c r="CB99">
        <f>IF(SUMIFS(T_PlannedOrders[EffectiveQty],T_PlannedOrders[Part Name],$A93,T_PlannedOrders[WeekIndex],77)=0,"",SUMIFS(T_PlannedOrders[EffectiveQty],T_PlannedOrders[Part Name],$A93,T_PlannedOrders[WeekIndex],77)&amp;" ("&amp;TEXT(SUMPRODUCT(MAX((T_PlannedOrders[Part Name]=$A93)*(T_PlannedOrders[WeekIndex]=77)*(T_PlannedOrders[EffectiveQty]&gt;0)*T_PlannedOrders[Order_Month])),"m月")&amp;"発注)")</f>
        <v/>
      </c>
      <c r="CC99">
        <f>IF(SUMIFS(T_PlannedOrders[EffectiveQty],T_PlannedOrders[Part Name],$A93,T_PlannedOrders[WeekIndex],78)=0,"",SUMIFS(T_PlannedOrders[EffectiveQty],T_PlannedOrders[Part Name],$A93,T_PlannedOrders[WeekIndex],78)&amp;" ("&amp;TEXT(SUMPRODUCT(MAX((T_PlannedOrders[Part Name]=$A93)*(T_PlannedOrders[WeekIndex]=78)*(T_PlannedOrders[EffectiveQty]&gt;0)*T_PlannedOrders[Order_Month])),"m月")&amp;"発注)")</f>
        <v/>
      </c>
      <c r="CD99">
        <f>IF(SUMIFS(T_PlannedOrders[EffectiveQty],T_PlannedOrders[Part Name],$A93,T_PlannedOrders[WeekIndex],79)=0,"",SUMIFS(T_PlannedOrders[EffectiveQty],T_PlannedOrders[Part Name],$A93,T_PlannedOrders[WeekIndex],79)&amp;" ("&amp;TEXT(SUMPRODUCT(MAX((T_PlannedOrders[Part Name]=$A93)*(T_PlannedOrders[WeekIndex]=79)*(T_PlannedOrders[EffectiveQty]&gt;0)*T_PlannedOrders[Order_Month])),"m月")&amp;"発注)")</f>
        <v/>
      </c>
      <c r="CE99">
        <f>IF(SUMIFS(T_PlannedOrders[EffectiveQty],T_PlannedOrders[Part Name],$A93,T_PlannedOrders[WeekIndex],80)=0,"",SUMIFS(T_PlannedOrders[EffectiveQty],T_PlannedOrders[Part Name],$A93,T_PlannedOrders[WeekIndex],80)&amp;" ("&amp;TEXT(SUMPRODUCT(MAX((T_PlannedOrders[Part Name]=$A93)*(T_PlannedOrders[WeekIndex]=80)*(T_PlannedOrders[EffectiveQty]&gt;0)*T_PlannedOrders[Order_Month])),"m月")&amp;"発注)")</f>
        <v/>
      </c>
      <c r="CF99">
        <f>IF(SUMIFS(T_PlannedOrders[EffectiveQty],T_PlannedOrders[Part Name],$A93,T_PlannedOrders[WeekIndex],81)=0,"",SUMIFS(T_PlannedOrders[EffectiveQty],T_PlannedOrders[Part Name],$A93,T_PlannedOrders[WeekIndex],81)&amp;" ("&amp;TEXT(SUMPRODUCT(MAX((T_PlannedOrders[Part Name]=$A93)*(T_PlannedOrders[WeekIndex]=81)*(T_PlannedOrders[EffectiveQty]&gt;0)*T_PlannedOrders[Order_Month])),"m月")&amp;"発注)")</f>
        <v/>
      </c>
      <c r="CG99">
        <f>IF(SUMIFS(T_PlannedOrders[EffectiveQty],T_PlannedOrders[Part Name],$A93,T_PlannedOrders[WeekIndex],82)=0,"",SUMIFS(T_PlannedOrders[EffectiveQty],T_PlannedOrders[Part Name],$A93,T_PlannedOrders[WeekIndex],82)&amp;" ("&amp;TEXT(SUMPRODUCT(MAX((T_PlannedOrders[Part Name]=$A93)*(T_PlannedOrders[WeekIndex]=82)*(T_PlannedOrders[EffectiveQty]&gt;0)*T_PlannedOrders[Order_Month])),"m月")&amp;"発注)")</f>
        <v/>
      </c>
      <c r="CH99">
        <f>IF(SUMIFS(T_PlannedOrders[EffectiveQty],T_PlannedOrders[Part Name],$A93,T_PlannedOrders[WeekIndex],83)=0,"",SUMIFS(T_PlannedOrders[EffectiveQty],T_PlannedOrders[Part Name],$A93,T_PlannedOrders[WeekIndex],83)&amp;" ("&amp;TEXT(SUMPRODUCT(MAX((T_PlannedOrders[Part Name]=$A93)*(T_PlannedOrders[WeekIndex]=83)*(T_PlannedOrders[EffectiveQty]&gt;0)*T_PlannedOrders[Order_Month])),"m月")&amp;"発注)")</f>
        <v/>
      </c>
      <c r="CI99">
        <f>IF(SUMIFS(T_PlannedOrders[EffectiveQty],T_PlannedOrders[Part Name],$A93,T_PlannedOrders[WeekIndex],84)=0,"",SUMIFS(T_PlannedOrders[EffectiveQty],T_PlannedOrders[Part Name],$A93,T_PlannedOrders[WeekIndex],84)&amp;" ("&amp;TEXT(SUMPRODUCT(MAX((T_PlannedOrders[Part Name]=$A93)*(T_PlannedOrders[WeekIndex]=84)*(T_PlannedOrders[EffectiveQty]&gt;0)*T_PlannedOrders[Order_Month])),"m月")&amp;"発注)")</f>
        <v/>
      </c>
      <c r="CJ99">
        <f>IF(SUMIFS(T_PlannedOrders[EffectiveQty],T_PlannedOrders[Part Name],$A93,T_PlannedOrders[WeekIndex],85)=0,"",SUMIFS(T_PlannedOrders[EffectiveQty],T_PlannedOrders[Part Name],$A93,T_PlannedOrders[WeekIndex],85)&amp;" ("&amp;TEXT(SUMPRODUCT(MAX((T_PlannedOrders[Part Name]=$A93)*(T_PlannedOrders[WeekIndex]=85)*(T_PlannedOrders[EffectiveQty]&gt;0)*T_PlannedOrders[Order_Month])),"m月")&amp;"発注)")</f>
        <v/>
      </c>
      <c r="CK99">
        <f>IF(SUMIFS(T_PlannedOrders[EffectiveQty],T_PlannedOrders[Part Name],$A93,T_PlannedOrders[WeekIndex],86)=0,"",SUMIFS(T_PlannedOrders[EffectiveQty],T_PlannedOrders[Part Name],$A93,T_PlannedOrders[WeekIndex],86)&amp;" ("&amp;TEXT(SUMPRODUCT(MAX((T_PlannedOrders[Part Name]=$A93)*(T_PlannedOrders[WeekIndex]=86)*(T_PlannedOrders[EffectiveQty]&gt;0)*T_PlannedOrders[Order_Month])),"m月")&amp;"発注)")</f>
        <v/>
      </c>
      <c r="CL99">
        <f>IF(SUMIFS(T_PlannedOrders[EffectiveQty],T_PlannedOrders[Part Name],$A93,T_PlannedOrders[WeekIndex],87)=0,"",SUMIFS(T_PlannedOrders[EffectiveQty],T_PlannedOrders[Part Name],$A93,T_PlannedOrders[WeekIndex],87)&amp;" ("&amp;TEXT(SUMPRODUCT(MAX((T_PlannedOrders[Part Name]=$A93)*(T_PlannedOrders[WeekIndex]=87)*(T_PlannedOrders[EffectiveQty]&gt;0)*T_PlannedOrders[Order_Month])),"m月")&amp;"発注)")</f>
        <v/>
      </c>
      <c r="CM99">
        <f>IF(SUMIFS(T_PlannedOrders[EffectiveQty],T_PlannedOrders[Part Name],$A93,T_PlannedOrders[WeekIndex],88)=0,"",SUMIFS(T_PlannedOrders[EffectiveQty],T_PlannedOrders[Part Name],$A93,T_PlannedOrders[WeekIndex],88)&amp;" ("&amp;TEXT(SUMPRODUCT(MAX((T_PlannedOrders[Part Name]=$A93)*(T_PlannedOrders[WeekIndex]=88)*(T_PlannedOrders[EffectiveQty]&gt;0)*T_PlannedOrders[Order_Month])),"m月")&amp;"発注)")</f>
        <v/>
      </c>
      <c r="CN99">
        <f>IF(SUMIFS(T_PlannedOrders[EffectiveQty],T_PlannedOrders[Part Name],$A93,T_PlannedOrders[WeekIndex],89)=0,"",SUMIFS(T_PlannedOrders[EffectiveQty],T_PlannedOrders[Part Name],$A93,T_PlannedOrders[WeekIndex],89)&amp;" ("&amp;TEXT(SUMPRODUCT(MAX((T_PlannedOrders[Part Name]=$A93)*(T_PlannedOrders[WeekIndex]=89)*(T_PlannedOrders[EffectiveQty]&gt;0)*T_PlannedOrders[Order_Month])),"m月")&amp;"発注)")</f>
        <v/>
      </c>
      <c r="CO99">
        <f>IF(SUMIFS(T_PlannedOrders[EffectiveQty],T_PlannedOrders[Part Name],$A93,T_PlannedOrders[WeekIndex],90)=0,"",SUMIFS(T_PlannedOrders[EffectiveQty],T_PlannedOrders[Part Name],$A93,T_PlannedOrders[WeekIndex],90)&amp;" ("&amp;TEXT(SUMPRODUCT(MAX((T_PlannedOrders[Part Name]=$A93)*(T_PlannedOrders[WeekIndex]=90)*(T_PlannedOrders[EffectiveQty]&gt;0)*T_PlannedOrders[Order_Month])),"m月")&amp;"発注)")</f>
        <v/>
      </c>
      <c r="CP99">
        <f>IF(SUMIFS(T_PlannedOrders[EffectiveQty],T_PlannedOrders[Part Name],$A93,T_PlannedOrders[WeekIndex],91)=0,"",SUMIFS(T_PlannedOrders[EffectiveQty],T_PlannedOrders[Part Name],$A93,T_PlannedOrders[WeekIndex],91)&amp;" ("&amp;TEXT(SUMPRODUCT(MAX((T_PlannedOrders[Part Name]=$A93)*(T_PlannedOrders[WeekIndex]=91)*(T_PlannedOrders[EffectiveQty]&gt;0)*T_PlannedOrders[Order_Month])),"m月")&amp;"発注)")</f>
        <v/>
      </c>
      <c r="CQ99">
        <f>IF(SUMIFS(T_PlannedOrders[EffectiveQty],T_PlannedOrders[Part Name],$A93,T_PlannedOrders[WeekIndex],92)=0,"",SUMIFS(T_PlannedOrders[EffectiveQty],T_PlannedOrders[Part Name],$A93,T_PlannedOrders[WeekIndex],92)&amp;" ("&amp;TEXT(SUMPRODUCT(MAX((T_PlannedOrders[Part Name]=$A93)*(T_PlannedOrders[WeekIndex]=92)*(T_PlannedOrders[EffectiveQty]&gt;0)*T_PlannedOrders[Order_Month])),"m月")&amp;"発注)")</f>
        <v/>
      </c>
      <c r="CR99">
        <f>IF(SUMIFS(T_PlannedOrders[EffectiveQty],T_PlannedOrders[Part Name],$A93,T_PlannedOrders[WeekIndex],93)=0,"",SUMIFS(T_PlannedOrders[EffectiveQty],T_PlannedOrders[Part Name],$A93,T_PlannedOrders[WeekIndex],93)&amp;" ("&amp;TEXT(SUMPRODUCT(MAX((T_PlannedOrders[Part Name]=$A93)*(T_PlannedOrders[WeekIndex]=93)*(T_PlannedOrders[EffectiveQty]&gt;0)*T_PlannedOrders[Order_Month])),"m月")&amp;"発注)")</f>
        <v/>
      </c>
      <c r="CS99">
        <f>IF(SUMIFS(T_PlannedOrders[EffectiveQty],T_PlannedOrders[Part Name],$A93,T_PlannedOrders[WeekIndex],94)=0,"",SUMIFS(T_PlannedOrders[EffectiveQty],T_PlannedOrders[Part Name],$A93,T_PlannedOrders[WeekIndex],94)&amp;" ("&amp;TEXT(SUMPRODUCT(MAX((T_PlannedOrders[Part Name]=$A93)*(T_PlannedOrders[WeekIndex]=94)*(T_PlannedOrders[EffectiveQty]&gt;0)*T_PlannedOrders[Order_Month])),"m月")&amp;"発注)")</f>
        <v/>
      </c>
      <c r="CT99">
        <f>IF(SUMIFS(T_PlannedOrders[EffectiveQty],T_PlannedOrders[Part Name],$A93,T_PlannedOrders[WeekIndex],95)=0,"",SUMIFS(T_PlannedOrders[EffectiveQty],T_PlannedOrders[Part Name],$A93,T_PlannedOrders[WeekIndex],95)&amp;" ("&amp;TEXT(SUMPRODUCT(MAX((T_PlannedOrders[Part Name]=$A93)*(T_PlannedOrders[WeekIndex]=95)*(T_PlannedOrders[EffectiveQty]&gt;0)*T_PlannedOrders[Order_Month])),"m月")&amp;"発注)")</f>
        <v/>
      </c>
      <c r="CU99">
        <f>IF(SUMIFS(T_PlannedOrders[EffectiveQty],T_PlannedOrders[Part Name],$A93,T_PlannedOrders[WeekIndex],96)=0,"",SUMIFS(T_PlannedOrders[EffectiveQty],T_PlannedOrders[Part Name],$A93,T_PlannedOrders[WeekIndex],96)&amp;" ("&amp;TEXT(SUMPRODUCT(MAX((T_PlannedOrders[Part Name]=$A93)*(T_PlannedOrders[WeekIndex]=96)*(T_PlannedOrders[EffectiveQty]&gt;0)*T_PlannedOrders[Order_Month])),"m月")&amp;"発注)")</f>
        <v/>
      </c>
      <c r="CV99">
        <f>IF(SUMIFS(T_PlannedOrders[EffectiveQty],T_PlannedOrders[Part Name],$A93,T_PlannedOrders[WeekIndex],97)=0,"",SUMIFS(T_PlannedOrders[EffectiveQty],T_PlannedOrders[Part Name],$A93,T_PlannedOrders[WeekIndex],97)&amp;" ("&amp;TEXT(SUMPRODUCT(MAX((T_PlannedOrders[Part Name]=$A93)*(T_PlannedOrders[WeekIndex]=97)*(T_PlannedOrders[EffectiveQty]&gt;0)*T_PlannedOrders[Order_Month])),"m月")&amp;"発注)")</f>
        <v/>
      </c>
      <c r="CW99">
        <f>IF(SUMIFS(T_PlannedOrders[EffectiveQty],T_PlannedOrders[Part Name],$A93,T_PlannedOrders[WeekIndex],98)=0,"",SUMIFS(T_PlannedOrders[EffectiveQty],T_PlannedOrders[Part Name],$A93,T_PlannedOrders[WeekIndex],98)&amp;" ("&amp;TEXT(SUMPRODUCT(MAX((T_PlannedOrders[Part Name]=$A93)*(T_PlannedOrders[WeekIndex]=98)*(T_PlannedOrders[EffectiveQty]&gt;0)*T_PlannedOrders[Order_Month])),"m月")&amp;"発注)")</f>
        <v/>
      </c>
      <c r="CX99">
        <f>IF(SUMIFS(T_PlannedOrders[EffectiveQty],T_PlannedOrders[Part Name],$A93,T_PlannedOrders[WeekIndex],99)=0,"",SUMIFS(T_PlannedOrders[EffectiveQty],T_PlannedOrders[Part Name],$A93,T_PlannedOrders[WeekIndex],99)&amp;" ("&amp;TEXT(SUMPRODUCT(MAX((T_PlannedOrders[Part Name]=$A93)*(T_PlannedOrders[WeekIndex]=99)*(T_PlannedOrders[EffectiveQty]&gt;0)*T_PlannedOrders[Order_Month])),"m月")&amp;"発注)")</f>
        <v/>
      </c>
      <c r="CY99">
        <f>IF(SUMIFS(T_PlannedOrders[EffectiveQty],T_PlannedOrders[Part Name],$A93,T_PlannedOrders[WeekIndex],100)=0,"",SUMIFS(T_PlannedOrders[EffectiveQty],T_PlannedOrders[Part Name],$A93,T_PlannedOrders[WeekIndex],100)&amp;" ("&amp;TEXT(SUMPRODUCT(MAX((T_PlannedOrders[Part Name]=$A93)*(T_PlannedOrders[WeekIndex]=100)*(T_PlannedOrders[EffectiveQty]&gt;0)*T_PlannedOrders[Order_Month])),"m月")&amp;"発注)")</f>
        <v/>
      </c>
      <c r="CZ99">
        <f>IF(SUMIFS(T_PlannedOrders[EffectiveQty],T_PlannedOrders[Part Name],$A93,T_PlannedOrders[WeekIndex],101)=0,"",SUMIFS(T_PlannedOrders[EffectiveQty],T_PlannedOrders[Part Name],$A93,T_PlannedOrders[WeekIndex],101)&amp;" ("&amp;TEXT(SUMPRODUCT(MAX((T_PlannedOrders[Part Name]=$A93)*(T_PlannedOrders[WeekIndex]=101)*(T_PlannedOrders[EffectiveQty]&gt;0)*T_PlannedOrders[Order_Month])),"m月")&amp;"発注)")</f>
        <v/>
      </c>
      <c r="DA99">
        <f>IF(SUMIFS(T_PlannedOrders[EffectiveQty],T_PlannedOrders[Part Name],$A93,T_PlannedOrders[WeekIndex],102)=0,"",SUMIFS(T_PlannedOrders[EffectiveQty],T_PlannedOrders[Part Name],$A93,T_PlannedOrders[WeekIndex],102)&amp;" ("&amp;TEXT(SUMPRODUCT(MAX((T_PlannedOrders[Part Name]=$A93)*(T_PlannedOrders[WeekIndex]=102)*(T_PlannedOrders[EffectiveQty]&gt;0)*T_PlannedOrders[Order_Month])),"m月")&amp;"発注)")</f>
        <v/>
      </c>
      <c r="DB99">
        <f>IF(SUMIFS(T_PlannedOrders[EffectiveQty],T_PlannedOrders[Part Name],$A93,T_PlannedOrders[WeekIndex],103)=0,"",SUMIFS(T_PlannedOrders[EffectiveQty],T_PlannedOrders[Part Name],$A93,T_PlannedOrders[WeekIndex],103)&amp;" ("&amp;TEXT(SUMPRODUCT(MAX((T_PlannedOrders[Part Name]=$A93)*(T_PlannedOrders[WeekIndex]=103)*(T_PlannedOrders[EffectiveQty]&gt;0)*T_PlannedOrders[Order_Month])),"m月")&amp;"発注)")</f>
        <v/>
      </c>
      <c r="DC99">
        <f>IF(SUMIFS(T_PlannedOrders[EffectiveQty],T_PlannedOrders[Part Name],$A93,T_PlannedOrders[WeekIndex],104)=0,"",SUMIFS(T_PlannedOrders[EffectiveQty],T_PlannedOrders[Part Name],$A93,T_PlannedOrders[WeekIndex],104)&amp;" ("&amp;TEXT(SUMPRODUCT(MAX((T_PlannedOrders[Part Name]=$A93)*(T_PlannedOrders[WeekIndex]=104)*(T_PlannedOrders[EffectiveQty]&gt;0)*T_PlannedOrders[Order_Month])),"m月")&amp;"発注)")</f>
        <v/>
      </c>
    </row>
    <row r="100">
      <c r="B100" s="5" t="inlineStr">
        <is>
          <t>合計在庫(週末時点,kg)</t>
        </is>
      </c>
      <c r="D100">
        <f>'Grid_Stock'!B8</f>
        <v/>
      </c>
      <c r="E100">
        <f>'Grid_Stock'!C8</f>
        <v/>
      </c>
      <c r="F100">
        <f>'Grid_Stock'!D8</f>
        <v/>
      </c>
      <c r="G100">
        <f>'Grid_Stock'!E8</f>
        <v/>
      </c>
      <c r="H100">
        <f>'Grid_Stock'!F8</f>
        <v/>
      </c>
      <c r="I100">
        <f>'Grid_Stock'!G8</f>
        <v/>
      </c>
      <c r="J100">
        <f>'Grid_Stock'!H8</f>
        <v/>
      </c>
      <c r="K100">
        <f>'Grid_Stock'!I8</f>
        <v/>
      </c>
      <c r="L100">
        <f>'Grid_Stock'!J8</f>
        <v/>
      </c>
      <c r="M100">
        <f>'Grid_Stock'!K8</f>
        <v/>
      </c>
      <c r="N100">
        <f>'Grid_Stock'!L8</f>
        <v/>
      </c>
      <c r="O100">
        <f>'Grid_Stock'!M8</f>
        <v/>
      </c>
      <c r="P100">
        <f>'Grid_Stock'!N8</f>
        <v/>
      </c>
      <c r="Q100">
        <f>'Grid_Stock'!O8</f>
        <v/>
      </c>
      <c r="R100">
        <f>'Grid_Stock'!P8</f>
        <v/>
      </c>
      <c r="S100">
        <f>'Grid_Stock'!Q8</f>
        <v/>
      </c>
      <c r="T100">
        <f>'Grid_Stock'!R8</f>
        <v/>
      </c>
      <c r="U100">
        <f>'Grid_Stock'!S8</f>
        <v/>
      </c>
      <c r="V100">
        <f>'Grid_Stock'!T8</f>
        <v/>
      </c>
      <c r="W100">
        <f>'Grid_Stock'!U8</f>
        <v/>
      </c>
      <c r="X100">
        <f>'Grid_Stock'!V8</f>
        <v/>
      </c>
      <c r="Y100">
        <f>'Grid_Stock'!W8</f>
        <v/>
      </c>
      <c r="Z100">
        <f>'Grid_Stock'!X8</f>
        <v/>
      </c>
      <c r="AA100">
        <f>'Grid_Stock'!Y8</f>
        <v/>
      </c>
      <c r="AB100">
        <f>'Grid_Stock'!Z8</f>
        <v/>
      </c>
      <c r="AC100">
        <f>'Grid_Stock'!AA8</f>
        <v/>
      </c>
      <c r="AD100">
        <f>'Grid_Stock'!AB8</f>
        <v/>
      </c>
      <c r="AE100">
        <f>'Grid_Stock'!AC8</f>
        <v/>
      </c>
      <c r="AF100">
        <f>'Grid_Stock'!AD8</f>
        <v/>
      </c>
      <c r="AG100">
        <f>'Grid_Stock'!AE8</f>
        <v/>
      </c>
      <c r="AH100">
        <f>'Grid_Stock'!AF8</f>
        <v/>
      </c>
      <c r="AI100">
        <f>'Grid_Stock'!AG8</f>
        <v/>
      </c>
      <c r="AJ100">
        <f>'Grid_Stock'!AH8</f>
        <v/>
      </c>
      <c r="AK100">
        <f>'Grid_Stock'!AI8</f>
        <v/>
      </c>
      <c r="AL100">
        <f>'Grid_Stock'!AJ8</f>
        <v/>
      </c>
      <c r="AM100">
        <f>'Grid_Stock'!AK8</f>
        <v/>
      </c>
      <c r="AN100">
        <f>'Grid_Stock'!AL8</f>
        <v/>
      </c>
      <c r="AO100">
        <f>'Grid_Stock'!AM8</f>
        <v/>
      </c>
      <c r="AP100">
        <f>'Grid_Stock'!AN8</f>
        <v/>
      </c>
      <c r="AQ100">
        <f>'Grid_Stock'!AO8</f>
        <v/>
      </c>
      <c r="AR100">
        <f>'Grid_Stock'!AP8</f>
        <v/>
      </c>
      <c r="AS100">
        <f>'Grid_Stock'!AQ8</f>
        <v/>
      </c>
      <c r="AT100">
        <f>'Grid_Stock'!AR8</f>
        <v/>
      </c>
      <c r="AU100">
        <f>'Grid_Stock'!AS8</f>
        <v/>
      </c>
      <c r="AV100">
        <f>'Grid_Stock'!AT8</f>
        <v/>
      </c>
      <c r="AW100">
        <f>'Grid_Stock'!AU8</f>
        <v/>
      </c>
      <c r="AX100">
        <f>'Grid_Stock'!AV8</f>
        <v/>
      </c>
      <c r="AY100">
        <f>'Grid_Stock'!AW8</f>
        <v/>
      </c>
      <c r="AZ100">
        <f>'Grid_Stock'!AX8</f>
        <v/>
      </c>
      <c r="BA100">
        <f>'Grid_Stock'!AY8</f>
        <v/>
      </c>
      <c r="BB100">
        <f>'Grid_Stock'!AZ8</f>
        <v/>
      </c>
      <c r="BC100">
        <f>'Grid_Stock'!BA8</f>
        <v/>
      </c>
      <c r="BD100">
        <f>'Grid_Stock'!BB8</f>
        <v/>
      </c>
      <c r="BE100">
        <f>'Grid_Stock'!BC8</f>
        <v/>
      </c>
      <c r="BF100">
        <f>'Grid_Stock'!BD8</f>
        <v/>
      </c>
      <c r="BG100">
        <f>'Grid_Stock'!BE8</f>
        <v/>
      </c>
      <c r="BH100">
        <f>'Grid_Stock'!BF8</f>
        <v/>
      </c>
      <c r="BI100">
        <f>'Grid_Stock'!BG8</f>
        <v/>
      </c>
      <c r="BJ100">
        <f>'Grid_Stock'!BH8</f>
        <v/>
      </c>
      <c r="BK100">
        <f>'Grid_Stock'!BI8</f>
        <v/>
      </c>
      <c r="BL100">
        <f>'Grid_Stock'!BJ8</f>
        <v/>
      </c>
      <c r="BM100">
        <f>'Grid_Stock'!BK8</f>
        <v/>
      </c>
      <c r="BN100">
        <f>'Grid_Stock'!BL8</f>
        <v/>
      </c>
      <c r="BO100">
        <f>'Grid_Stock'!BM8</f>
        <v/>
      </c>
      <c r="BP100">
        <f>'Grid_Stock'!BN8</f>
        <v/>
      </c>
      <c r="BQ100">
        <f>'Grid_Stock'!BO8</f>
        <v/>
      </c>
      <c r="BR100">
        <f>'Grid_Stock'!BP8</f>
        <v/>
      </c>
      <c r="BS100">
        <f>'Grid_Stock'!BQ8</f>
        <v/>
      </c>
      <c r="BT100">
        <f>'Grid_Stock'!BR8</f>
        <v/>
      </c>
      <c r="BU100">
        <f>'Grid_Stock'!BS8</f>
        <v/>
      </c>
      <c r="BV100">
        <f>'Grid_Stock'!BT8</f>
        <v/>
      </c>
      <c r="BW100">
        <f>'Grid_Stock'!BU8</f>
        <v/>
      </c>
      <c r="BX100">
        <f>'Grid_Stock'!BV8</f>
        <v/>
      </c>
      <c r="BY100">
        <f>'Grid_Stock'!BW8</f>
        <v/>
      </c>
      <c r="BZ100">
        <f>'Grid_Stock'!BX8</f>
        <v/>
      </c>
      <c r="CA100">
        <f>'Grid_Stock'!BY8</f>
        <v/>
      </c>
      <c r="CB100">
        <f>'Grid_Stock'!BZ8</f>
        <v/>
      </c>
      <c r="CC100">
        <f>'Grid_Stock'!CA8</f>
        <v/>
      </c>
      <c r="CD100">
        <f>'Grid_Stock'!CB8</f>
        <v/>
      </c>
      <c r="CE100">
        <f>'Grid_Stock'!CC8</f>
        <v/>
      </c>
      <c r="CF100">
        <f>'Grid_Stock'!CD8</f>
        <v/>
      </c>
      <c r="CG100">
        <f>'Grid_Stock'!CE8</f>
        <v/>
      </c>
      <c r="CH100">
        <f>'Grid_Stock'!CF8</f>
        <v/>
      </c>
      <c r="CI100">
        <f>'Grid_Stock'!CG8</f>
        <v/>
      </c>
      <c r="CJ100">
        <f>'Grid_Stock'!CH8</f>
        <v/>
      </c>
      <c r="CK100">
        <f>'Grid_Stock'!CI8</f>
        <v/>
      </c>
      <c r="CL100">
        <f>'Grid_Stock'!CJ8</f>
        <v/>
      </c>
      <c r="CM100">
        <f>'Grid_Stock'!CK8</f>
        <v/>
      </c>
      <c r="CN100">
        <f>'Grid_Stock'!CL8</f>
        <v/>
      </c>
      <c r="CO100">
        <f>'Grid_Stock'!CM8</f>
        <v/>
      </c>
      <c r="CP100">
        <f>'Grid_Stock'!CN8</f>
        <v/>
      </c>
      <c r="CQ100">
        <f>'Grid_Stock'!CO8</f>
        <v/>
      </c>
      <c r="CR100">
        <f>'Grid_Stock'!CP8</f>
        <v/>
      </c>
      <c r="CS100">
        <f>'Grid_Stock'!CQ8</f>
        <v/>
      </c>
      <c r="CT100">
        <f>'Grid_Stock'!CR8</f>
        <v/>
      </c>
      <c r="CU100">
        <f>'Grid_Stock'!CS8</f>
        <v/>
      </c>
      <c r="CV100">
        <f>'Grid_Stock'!CT8</f>
        <v/>
      </c>
      <c r="CW100">
        <f>'Grid_Stock'!CU8</f>
        <v/>
      </c>
      <c r="CX100">
        <f>'Grid_Stock'!CV8</f>
        <v/>
      </c>
      <c r="CY100">
        <f>'Grid_Stock'!CW8</f>
        <v/>
      </c>
      <c r="CZ100">
        <f>'Grid_Stock'!CX8</f>
        <v/>
      </c>
      <c r="DA100">
        <f>'Grid_Stock'!CY8</f>
        <v/>
      </c>
      <c r="DB100">
        <f>'Grid_Stock'!CZ8</f>
        <v/>
      </c>
      <c r="DC100">
        <f>'Grid_Stock'!DA8</f>
        <v/>
      </c>
    </row>
    <row r="101">
      <c r="B101" s="23" t="inlineStr">
        <is>
          <t>（発注の目安はDashboardの基準在庫[下限/上限]と色分けを参照）</t>
        </is>
      </c>
    </row>
    <row r="103">
      <c r="A103" s="21" t="inlineStr">
        <is>
          <t>3TP</t>
        </is>
      </c>
      <c r="B103" s="21" t="inlineStr">
        <is>
          <t>Substrate TTAF WF7</t>
        </is>
      </c>
      <c r="C103" s="22" t="n"/>
      <c r="D103" s="21" t="n"/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  <c r="AA103" s="21" t="n"/>
      <c r="AB103" s="21" t="n"/>
      <c r="AC103" s="21" t="n"/>
      <c r="AD103" s="21" t="n"/>
      <c r="AE103" s="21" t="n"/>
      <c r="AF103" s="21" t="n"/>
      <c r="AG103" s="21" t="n"/>
      <c r="AH103" s="21" t="n"/>
      <c r="AI103" s="21" t="n"/>
      <c r="AJ103" s="21" t="n"/>
      <c r="AK103" s="21" t="n"/>
      <c r="AL103" s="21" t="n"/>
      <c r="AM103" s="21" t="n"/>
      <c r="AN103" s="21" t="n"/>
      <c r="AO103" s="21" t="n"/>
      <c r="AP103" s="21" t="n"/>
      <c r="AQ103" s="21" t="n"/>
      <c r="AR103" s="21" t="n"/>
      <c r="AS103" s="21" t="n"/>
      <c r="AT103" s="21" t="n"/>
      <c r="AU103" s="21" t="n"/>
      <c r="AV103" s="21" t="n"/>
      <c r="AW103" s="21" t="n"/>
      <c r="AX103" s="21" t="n"/>
      <c r="AY103" s="21" t="n"/>
      <c r="AZ103" s="21" t="n"/>
      <c r="BA103" s="21" t="n"/>
      <c r="BB103" s="21" t="n"/>
      <c r="BC103" s="21" t="n"/>
      <c r="BD103" s="21" t="n"/>
      <c r="BE103" s="21" t="n"/>
      <c r="BF103" s="21" t="n"/>
      <c r="BG103" s="21" t="n"/>
      <c r="BH103" s="21" t="n"/>
      <c r="BI103" s="21" t="n"/>
      <c r="BJ103" s="21" t="n"/>
      <c r="BK103" s="21" t="n"/>
      <c r="BL103" s="21" t="n"/>
      <c r="BM103" s="21" t="n"/>
      <c r="BN103" s="21" t="n"/>
      <c r="BO103" s="21" t="n"/>
      <c r="BP103" s="21" t="n"/>
      <c r="BQ103" s="21" t="n"/>
      <c r="BR103" s="21" t="n"/>
      <c r="BS103" s="21" t="n"/>
      <c r="BT103" s="21" t="n"/>
      <c r="BU103" s="21" t="n"/>
      <c r="BV103" s="21" t="n"/>
      <c r="BW103" s="21" t="n"/>
      <c r="BX103" s="21" t="n"/>
      <c r="BY103" s="21" t="n"/>
      <c r="BZ103" s="21" t="n"/>
      <c r="CA103" s="21" t="n"/>
      <c r="CB103" s="21" t="n"/>
      <c r="CC103" s="21" t="n"/>
      <c r="CD103" s="21" t="n"/>
      <c r="CE103" s="21" t="n"/>
      <c r="CF103" s="21" t="n"/>
      <c r="CG103" s="21" t="n"/>
      <c r="CH103" s="21" t="n"/>
      <c r="CI103" s="21" t="n"/>
      <c r="CJ103" s="21" t="n"/>
      <c r="CK103" s="21" t="n"/>
      <c r="CL103" s="21" t="n"/>
      <c r="CM103" s="21" t="n"/>
      <c r="CN103" s="21" t="n"/>
      <c r="CO103" s="21" t="n"/>
      <c r="CP103" s="21" t="n"/>
      <c r="CQ103" s="21" t="n"/>
      <c r="CR103" s="21" t="n"/>
      <c r="CS103" s="21" t="n"/>
      <c r="CT103" s="21" t="n"/>
      <c r="CU103" s="21" t="n"/>
      <c r="CV103" s="21" t="n"/>
      <c r="CW103" s="21" t="n"/>
      <c r="CX103" s="21" t="n"/>
      <c r="CY103" s="21" t="n"/>
      <c r="CZ103" s="21" t="n"/>
      <c r="DA103" s="21" t="n"/>
      <c r="DB103" s="21" t="n"/>
      <c r="DC103" s="21" t="n"/>
    </row>
    <row r="104">
      <c r="B104" t="inlineStr">
        <is>
          <t>F2290</t>
        </is>
      </c>
      <c r="C104" t="inlineStr">
        <is>
          <t>No. of batches</t>
        </is>
      </c>
      <c r="D104">
        <f>IFERROR(INDEX(PP_Grid[#Data],$DD104,2),0)</f>
        <v/>
      </c>
      <c r="E104">
        <f>IFERROR(INDEX(PP_Grid[#Data],$DD104,3),0)</f>
        <v/>
      </c>
      <c r="F104">
        <f>IFERROR(INDEX(PP_Grid[#Data],$DD104,4),0)</f>
        <v/>
      </c>
      <c r="G104">
        <f>IFERROR(INDEX(PP_Grid[#Data],$DD104,5),0)</f>
        <v/>
      </c>
      <c r="H104">
        <f>IFERROR(INDEX(PP_Grid[#Data],$DD104,6),0)</f>
        <v/>
      </c>
      <c r="I104">
        <f>IFERROR(INDEX(PP_Grid[#Data],$DD104,7),0)</f>
        <v/>
      </c>
      <c r="J104">
        <f>IFERROR(INDEX(PP_Grid[#Data],$DD104,8),0)</f>
        <v/>
      </c>
      <c r="K104">
        <f>IFERROR(INDEX(PP_Grid[#Data],$DD104,9),0)</f>
        <v/>
      </c>
      <c r="L104">
        <f>IFERROR(INDEX(PP_Grid[#Data],$DD104,10),0)</f>
        <v/>
      </c>
      <c r="M104">
        <f>IFERROR(INDEX(PP_Grid[#Data],$DD104,11),0)</f>
        <v/>
      </c>
      <c r="N104">
        <f>IFERROR(INDEX(PP_Grid[#Data],$DD104,12),0)</f>
        <v/>
      </c>
      <c r="O104">
        <f>IFERROR(INDEX(PP_Grid[#Data],$DD104,13),0)</f>
        <v/>
      </c>
      <c r="P104">
        <f>IFERROR(INDEX(PP_Grid[#Data],$DD104,14),0)</f>
        <v/>
      </c>
      <c r="Q104">
        <f>IFERROR(INDEX(PP_Grid[#Data],$DD104,15),0)</f>
        <v/>
      </c>
      <c r="R104">
        <f>IFERROR(INDEX(PP_Grid[#Data],$DD104,16),0)</f>
        <v/>
      </c>
      <c r="S104">
        <f>IFERROR(INDEX(PP_Grid[#Data],$DD104,17),0)</f>
        <v/>
      </c>
      <c r="T104">
        <f>IFERROR(INDEX(PP_Grid[#Data],$DD104,18),0)</f>
        <v/>
      </c>
      <c r="U104">
        <f>IFERROR(INDEX(PP_Grid[#Data],$DD104,19),0)</f>
        <v/>
      </c>
      <c r="V104">
        <f>IFERROR(INDEX(PP_Grid[#Data],$DD104,20),0)</f>
        <v/>
      </c>
      <c r="W104">
        <f>IFERROR(INDEX(PP_Grid[#Data],$DD104,21),0)</f>
        <v/>
      </c>
      <c r="X104">
        <f>IFERROR(INDEX(PP_Grid[#Data],$DD104,22),0)</f>
        <v/>
      </c>
      <c r="Y104">
        <f>IFERROR(INDEX(PP_Grid[#Data],$DD104,23),0)</f>
        <v/>
      </c>
      <c r="Z104">
        <f>IFERROR(INDEX(PP_Grid[#Data],$DD104,24),0)</f>
        <v/>
      </c>
      <c r="AA104">
        <f>IFERROR(INDEX(PP_Grid[#Data],$DD104,25),0)</f>
        <v/>
      </c>
      <c r="AB104">
        <f>IFERROR(INDEX(PP_Grid[#Data],$DD104,26),0)</f>
        <v/>
      </c>
      <c r="AC104">
        <f>IFERROR(INDEX(PP_Grid[#Data],$DD104,27),0)</f>
        <v/>
      </c>
      <c r="AD104">
        <f>IFERROR(INDEX(PP_Grid[#Data],$DD104,28),0)</f>
        <v/>
      </c>
      <c r="AE104">
        <f>IFERROR(INDEX(PP_Grid[#Data],$DD104,29),0)</f>
        <v/>
      </c>
      <c r="AF104">
        <f>IFERROR(INDEX(PP_Grid[#Data],$DD104,30),0)</f>
        <v/>
      </c>
      <c r="AG104">
        <f>IFERROR(INDEX(PP_Grid[#Data],$DD104,31),0)</f>
        <v/>
      </c>
      <c r="AH104">
        <f>IFERROR(INDEX(PP_Grid[#Data],$DD104,32),0)</f>
        <v/>
      </c>
      <c r="AI104">
        <f>IFERROR(INDEX(PP_Grid[#Data],$DD104,33),0)</f>
        <v/>
      </c>
      <c r="AJ104">
        <f>IFERROR(INDEX(PP_Grid[#Data],$DD104,34),0)</f>
        <v/>
      </c>
      <c r="AK104">
        <f>IFERROR(INDEX(PP_Grid[#Data],$DD104,35),0)</f>
        <v/>
      </c>
      <c r="AL104">
        <f>IFERROR(INDEX(PP_Grid[#Data],$DD104,36),0)</f>
        <v/>
      </c>
      <c r="AM104">
        <f>IFERROR(INDEX(PP_Grid[#Data],$DD104,37),0)</f>
        <v/>
      </c>
      <c r="AN104">
        <f>IFERROR(INDEX(PP_Grid[#Data],$DD104,38),0)</f>
        <v/>
      </c>
      <c r="AO104">
        <f>IFERROR(INDEX(PP_Grid[#Data],$DD104,39),0)</f>
        <v/>
      </c>
      <c r="AP104">
        <f>IFERROR(INDEX(PP_Grid[#Data],$DD104,40),0)</f>
        <v/>
      </c>
      <c r="AQ104">
        <f>IFERROR(INDEX(PP_Grid[#Data],$DD104,41),0)</f>
        <v/>
      </c>
      <c r="AR104">
        <f>IFERROR(INDEX(PP_Grid[#Data],$DD104,42),0)</f>
        <v/>
      </c>
      <c r="AS104">
        <f>IFERROR(INDEX(PP_Grid[#Data],$DD104,43),0)</f>
        <v/>
      </c>
      <c r="AT104">
        <f>IFERROR(INDEX(PP_Grid[#Data],$DD104,44),0)</f>
        <v/>
      </c>
      <c r="AU104">
        <f>IFERROR(INDEX(PP_Grid[#Data],$DD104,45),0)</f>
        <v/>
      </c>
      <c r="AV104">
        <f>IFERROR(INDEX(PP_Grid[#Data],$DD104,46),0)</f>
        <v/>
      </c>
      <c r="AW104">
        <f>IFERROR(INDEX(PP_Grid[#Data],$DD104,47),0)</f>
        <v/>
      </c>
      <c r="AX104">
        <f>IFERROR(INDEX(PP_Grid[#Data],$DD104,48),0)</f>
        <v/>
      </c>
      <c r="AY104">
        <f>IFERROR(INDEX(PP_Grid[#Data],$DD104,49),0)</f>
        <v/>
      </c>
      <c r="AZ104">
        <f>IFERROR(INDEX(PP_Grid[#Data],$DD104,50),0)</f>
        <v/>
      </c>
      <c r="BA104">
        <f>IFERROR(INDEX(PP_Grid[#Data],$DD104,51),0)</f>
        <v/>
      </c>
      <c r="BB104">
        <f>IFERROR(INDEX(PP_Grid[#Data],$DD104,52),0)</f>
        <v/>
      </c>
      <c r="BC104">
        <f>IFERROR(INDEX(PP_Grid[#Data],$DD104,53),0)</f>
        <v/>
      </c>
      <c r="BD104">
        <f>IFERROR(INDEX(PP_Grid[#Data],$DD104,54),0)</f>
        <v/>
      </c>
      <c r="BE104">
        <f>IFERROR(INDEX(PP_Grid[#Data],$DD104,55),0)</f>
        <v/>
      </c>
      <c r="BF104">
        <f>IFERROR(INDEX(PP_Grid[#Data],$DD104,56),0)</f>
        <v/>
      </c>
      <c r="BG104">
        <f>IFERROR(INDEX(PP_Grid[#Data],$DD104,57),0)</f>
        <v/>
      </c>
      <c r="BH104">
        <f>IFERROR(INDEX(PP_Grid[#Data],$DD104,58),0)</f>
        <v/>
      </c>
      <c r="BI104">
        <f>IFERROR(INDEX(PP_Grid[#Data],$DD104,59),0)</f>
        <v/>
      </c>
      <c r="BJ104">
        <f>IFERROR(INDEX(PP_Grid[#Data],$DD104,60),0)</f>
        <v/>
      </c>
      <c r="BK104">
        <f>IFERROR(INDEX(PP_Grid[#Data],$DD104,61),0)</f>
        <v/>
      </c>
      <c r="BL104">
        <f>IFERROR(INDEX(PP_Grid[#Data],$DD104,62),0)</f>
        <v/>
      </c>
      <c r="BM104">
        <f>IFERROR(INDEX(PP_Grid[#Data],$DD104,63),0)</f>
        <v/>
      </c>
      <c r="BN104">
        <f>IFERROR(INDEX(PP_Grid[#Data],$DD104,64),0)</f>
        <v/>
      </c>
      <c r="BO104">
        <f>IFERROR(INDEX(PP_Grid[#Data],$DD104,65),0)</f>
        <v/>
      </c>
      <c r="BP104">
        <f>IFERROR(INDEX(PP_Grid[#Data],$DD104,66),0)</f>
        <v/>
      </c>
      <c r="BQ104">
        <f>IFERROR(INDEX(PP_Grid[#Data],$DD104,67),0)</f>
        <v/>
      </c>
      <c r="BR104">
        <f>IFERROR(INDEX(PP_Grid[#Data],$DD104,68),0)</f>
        <v/>
      </c>
      <c r="BS104">
        <f>IFERROR(INDEX(PP_Grid[#Data],$DD104,69),0)</f>
        <v/>
      </c>
      <c r="BT104">
        <f>IFERROR(INDEX(PP_Grid[#Data],$DD104,70),0)</f>
        <v/>
      </c>
      <c r="BU104">
        <f>IFERROR(INDEX(PP_Grid[#Data],$DD104,71),0)</f>
        <v/>
      </c>
      <c r="BV104">
        <f>IFERROR(INDEX(PP_Grid[#Data],$DD104,72),0)</f>
        <v/>
      </c>
      <c r="BW104">
        <f>IFERROR(INDEX(PP_Grid[#Data],$DD104,73),0)</f>
        <v/>
      </c>
      <c r="BX104">
        <f>IFERROR(INDEX(PP_Grid[#Data],$DD104,74),0)</f>
        <v/>
      </c>
      <c r="BY104">
        <f>IFERROR(INDEX(PP_Grid[#Data],$DD104,75),0)</f>
        <v/>
      </c>
      <c r="BZ104">
        <f>IFERROR(INDEX(PP_Grid[#Data],$DD104,76),0)</f>
        <v/>
      </c>
      <c r="CA104">
        <f>IFERROR(INDEX(PP_Grid[#Data],$DD104,77),0)</f>
        <v/>
      </c>
      <c r="CB104">
        <f>IFERROR(INDEX(PP_Grid[#Data],$DD104,78),0)</f>
        <v/>
      </c>
      <c r="CC104">
        <f>IFERROR(INDEX(PP_Grid[#Data],$DD104,79),0)</f>
        <v/>
      </c>
      <c r="CD104">
        <f>IFERROR(INDEX(PP_Grid[#Data],$DD104,80),0)</f>
        <v/>
      </c>
      <c r="CE104">
        <f>IFERROR(INDEX(PP_Grid[#Data],$DD104,81),0)</f>
        <v/>
      </c>
      <c r="CF104">
        <f>IFERROR(INDEX(PP_Grid[#Data],$DD104,82),0)</f>
        <v/>
      </c>
      <c r="CG104">
        <f>IFERROR(INDEX(PP_Grid[#Data],$DD104,83),0)</f>
        <v/>
      </c>
      <c r="CH104">
        <f>IFERROR(INDEX(PP_Grid[#Data],$DD104,84),0)</f>
        <v/>
      </c>
      <c r="CI104">
        <f>IFERROR(INDEX(PP_Grid[#Data],$DD104,85),0)</f>
        <v/>
      </c>
      <c r="CJ104">
        <f>IFERROR(INDEX(PP_Grid[#Data],$DD104,86),0)</f>
        <v/>
      </c>
      <c r="CK104">
        <f>IFERROR(INDEX(PP_Grid[#Data],$DD104,87),0)</f>
        <v/>
      </c>
      <c r="CL104">
        <f>IFERROR(INDEX(PP_Grid[#Data],$DD104,88),0)</f>
        <v/>
      </c>
      <c r="CM104">
        <f>IFERROR(INDEX(PP_Grid[#Data],$DD104,89),0)</f>
        <v/>
      </c>
      <c r="CN104">
        <f>IFERROR(INDEX(PP_Grid[#Data],$DD104,90),0)</f>
        <v/>
      </c>
      <c r="CO104">
        <f>IFERROR(INDEX(PP_Grid[#Data],$DD104,91),0)</f>
        <v/>
      </c>
      <c r="CP104">
        <f>IFERROR(INDEX(PP_Grid[#Data],$DD104,92),0)</f>
        <v/>
      </c>
      <c r="CQ104">
        <f>IFERROR(INDEX(PP_Grid[#Data],$DD104,93),0)</f>
        <v/>
      </c>
      <c r="CR104">
        <f>IFERROR(INDEX(PP_Grid[#Data],$DD104,94),0)</f>
        <v/>
      </c>
      <c r="CS104">
        <f>IFERROR(INDEX(PP_Grid[#Data],$DD104,95),0)</f>
        <v/>
      </c>
      <c r="CT104">
        <f>IFERROR(INDEX(PP_Grid[#Data],$DD104,96),0)</f>
        <v/>
      </c>
      <c r="CU104">
        <f>IFERROR(INDEX(PP_Grid[#Data],$DD104,97),0)</f>
        <v/>
      </c>
      <c r="CV104">
        <f>IFERROR(INDEX(PP_Grid[#Data],$DD104,98),0)</f>
        <v/>
      </c>
      <c r="CW104">
        <f>IFERROR(INDEX(PP_Grid[#Data],$DD104,99),0)</f>
        <v/>
      </c>
      <c r="CX104">
        <f>IFERROR(INDEX(PP_Grid[#Data],$DD104,100),0)</f>
        <v/>
      </c>
      <c r="CY104">
        <f>IFERROR(INDEX(PP_Grid[#Data],$DD104,101),0)</f>
        <v/>
      </c>
      <c r="CZ104">
        <f>IFERROR(INDEX(PP_Grid[#Data],$DD104,102),0)</f>
        <v/>
      </c>
      <c r="DA104">
        <f>IFERROR(INDEX(PP_Grid[#Data],$DD104,103),0)</f>
        <v/>
      </c>
      <c r="DB104">
        <f>IFERROR(INDEX(PP_Grid[#Data],$DD104,104),0)</f>
        <v/>
      </c>
      <c r="DC104">
        <f>IFERROR(INDEX(PP_Grid[#Data],$DD104,105),0)</f>
        <v/>
      </c>
      <c r="DD104" s="12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SUMIFS(M_BOM[RM_Qty_Per_Batch],M_BOM[Intermediate],$B104,M_BOM[Part Name],$A103)</f>
        <v/>
      </c>
      <c r="D105">
        <f>$C105*D104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</row>
    <row r="106">
      <c r="B106" s="5" t="inlineStr">
        <is>
          <t>合計使用量(kg)/週</t>
        </is>
      </c>
      <c r="D106">
        <f>'Grid_Requirement'!B9</f>
        <v/>
      </c>
      <c r="E106">
        <f>'Grid_Requirement'!C9</f>
        <v/>
      </c>
      <c r="F106">
        <f>'Grid_Requirement'!D9</f>
        <v/>
      </c>
      <c r="G106">
        <f>'Grid_Requirement'!E9</f>
        <v/>
      </c>
      <c r="H106">
        <f>'Grid_Requirement'!F9</f>
        <v/>
      </c>
      <c r="I106">
        <f>'Grid_Requirement'!G9</f>
        <v/>
      </c>
      <c r="J106">
        <f>'Grid_Requirement'!H9</f>
        <v/>
      </c>
      <c r="K106">
        <f>'Grid_Requirement'!I9</f>
        <v/>
      </c>
      <c r="L106">
        <f>'Grid_Requirement'!J9</f>
        <v/>
      </c>
      <c r="M106">
        <f>'Grid_Requirement'!K9</f>
        <v/>
      </c>
      <c r="N106">
        <f>'Grid_Requirement'!L9</f>
        <v/>
      </c>
      <c r="O106">
        <f>'Grid_Requirement'!M9</f>
        <v/>
      </c>
      <c r="P106">
        <f>'Grid_Requirement'!N9</f>
        <v/>
      </c>
      <c r="Q106">
        <f>'Grid_Requirement'!O9</f>
        <v/>
      </c>
      <c r="R106">
        <f>'Grid_Requirement'!P9</f>
        <v/>
      </c>
      <c r="S106">
        <f>'Grid_Requirement'!Q9</f>
        <v/>
      </c>
      <c r="T106">
        <f>'Grid_Requirement'!R9</f>
        <v/>
      </c>
      <c r="U106">
        <f>'Grid_Requirement'!S9</f>
        <v/>
      </c>
      <c r="V106">
        <f>'Grid_Requirement'!T9</f>
        <v/>
      </c>
      <c r="W106">
        <f>'Grid_Requirement'!U9</f>
        <v/>
      </c>
      <c r="X106">
        <f>'Grid_Requirement'!V9</f>
        <v/>
      </c>
      <c r="Y106">
        <f>'Grid_Requirement'!W9</f>
        <v/>
      </c>
      <c r="Z106">
        <f>'Grid_Requirement'!X9</f>
        <v/>
      </c>
      <c r="AA106">
        <f>'Grid_Requirement'!Y9</f>
        <v/>
      </c>
      <c r="AB106">
        <f>'Grid_Requirement'!Z9</f>
        <v/>
      </c>
      <c r="AC106">
        <f>'Grid_Requirement'!AA9</f>
        <v/>
      </c>
      <c r="AD106">
        <f>'Grid_Requirement'!AB9</f>
        <v/>
      </c>
      <c r="AE106">
        <f>'Grid_Requirement'!AC9</f>
        <v/>
      </c>
      <c r="AF106">
        <f>'Grid_Requirement'!AD9</f>
        <v/>
      </c>
      <c r="AG106">
        <f>'Grid_Requirement'!AE9</f>
        <v/>
      </c>
      <c r="AH106">
        <f>'Grid_Requirement'!AF9</f>
        <v/>
      </c>
      <c r="AI106">
        <f>'Grid_Requirement'!AG9</f>
        <v/>
      </c>
      <c r="AJ106">
        <f>'Grid_Requirement'!AH9</f>
        <v/>
      </c>
      <c r="AK106">
        <f>'Grid_Requirement'!AI9</f>
        <v/>
      </c>
      <c r="AL106">
        <f>'Grid_Requirement'!AJ9</f>
        <v/>
      </c>
      <c r="AM106">
        <f>'Grid_Requirement'!AK9</f>
        <v/>
      </c>
      <c r="AN106">
        <f>'Grid_Requirement'!AL9</f>
        <v/>
      </c>
      <c r="AO106">
        <f>'Grid_Requirement'!AM9</f>
        <v/>
      </c>
      <c r="AP106">
        <f>'Grid_Requirement'!AN9</f>
        <v/>
      </c>
      <c r="AQ106">
        <f>'Grid_Requirement'!AO9</f>
        <v/>
      </c>
      <c r="AR106">
        <f>'Grid_Requirement'!AP9</f>
        <v/>
      </c>
      <c r="AS106">
        <f>'Grid_Requirement'!AQ9</f>
        <v/>
      </c>
      <c r="AT106">
        <f>'Grid_Requirement'!AR9</f>
        <v/>
      </c>
      <c r="AU106">
        <f>'Grid_Requirement'!AS9</f>
        <v/>
      </c>
      <c r="AV106">
        <f>'Grid_Requirement'!AT9</f>
        <v/>
      </c>
      <c r="AW106">
        <f>'Grid_Requirement'!AU9</f>
        <v/>
      </c>
      <c r="AX106">
        <f>'Grid_Requirement'!AV9</f>
        <v/>
      </c>
      <c r="AY106">
        <f>'Grid_Requirement'!AW9</f>
        <v/>
      </c>
      <c r="AZ106">
        <f>'Grid_Requirement'!AX9</f>
        <v/>
      </c>
      <c r="BA106">
        <f>'Grid_Requirement'!AY9</f>
        <v/>
      </c>
      <c r="BB106">
        <f>'Grid_Requirement'!AZ9</f>
        <v/>
      </c>
      <c r="BC106">
        <f>'Grid_Requirement'!BA9</f>
        <v/>
      </c>
      <c r="BD106">
        <f>'Grid_Requirement'!BB9</f>
        <v/>
      </c>
      <c r="BE106">
        <f>'Grid_Requirement'!BC9</f>
        <v/>
      </c>
      <c r="BF106">
        <f>'Grid_Requirement'!BD9</f>
        <v/>
      </c>
      <c r="BG106">
        <f>'Grid_Requirement'!BE9</f>
        <v/>
      </c>
      <c r="BH106">
        <f>'Grid_Requirement'!BF9</f>
        <v/>
      </c>
      <c r="BI106">
        <f>'Grid_Requirement'!BG9</f>
        <v/>
      </c>
      <c r="BJ106">
        <f>'Grid_Requirement'!BH9</f>
        <v/>
      </c>
      <c r="BK106">
        <f>'Grid_Requirement'!BI9</f>
        <v/>
      </c>
      <c r="BL106">
        <f>'Grid_Requirement'!BJ9</f>
        <v/>
      </c>
      <c r="BM106">
        <f>'Grid_Requirement'!BK9</f>
        <v/>
      </c>
      <c r="BN106">
        <f>'Grid_Requirement'!BL9</f>
        <v/>
      </c>
      <c r="BO106">
        <f>'Grid_Requirement'!BM9</f>
        <v/>
      </c>
      <c r="BP106">
        <f>'Grid_Requirement'!BN9</f>
        <v/>
      </c>
      <c r="BQ106">
        <f>'Grid_Requirement'!BO9</f>
        <v/>
      </c>
      <c r="BR106">
        <f>'Grid_Requirement'!BP9</f>
        <v/>
      </c>
      <c r="BS106">
        <f>'Grid_Requirement'!BQ9</f>
        <v/>
      </c>
      <c r="BT106">
        <f>'Grid_Requirement'!BR9</f>
        <v/>
      </c>
      <c r="BU106">
        <f>'Grid_Requirement'!BS9</f>
        <v/>
      </c>
      <c r="BV106">
        <f>'Grid_Requirement'!BT9</f>
        <v/>
      </c>
      <c r="BW106">
        <f>'Grid_Requirement'!BU9</f>
        <v/>
      </c>
      <c r="BX106">
        <f>'Grid_Requirement'!BV9</f>
        <v/>
      </c>
      <c r="BY106">
        <f>'Grid_Requirement'!BW9</f>
        <v/>
      </c>
      <c r="BZ106">
        <f>'Grid_Requirement'!BX9</f>
        <v/>
      </c>
      <c r="CA106">
        <f>'Grid_Requirement'!BY9</f>
        <v/>
      </c>
      <c r="CB106">
        <f>'Grid_Requirement'!BZ9</f>
        <v/>
      </c>
      <c r="CC106">
        <f>'Grid_Requirement'!CA9</f>
        <v/>
      </c>
      <c r="CD106">
        <f>'Grid_Requirement'!CB9</f>
        <v/>
      </c>
      <c r="CE106">
        <f>'Grid_Requirement'!CC9</f>
        <v/>
      </c>
      <c r="CF106">
        <f>'Grid_Requirement'!CD9</f>
        <v/>
      </c>
      <c r="CG106">
        <f>'Grid_Requirement'!CE9</f>
        <v/>
      </c>
      <c r="CH106">
        <f>'Grid_Requirement'!CF9</f>
        <v/>
      </c>
      <c r="CI106">
        <f>'Grid_Requirement'!CG9</f>
        <v/>
      </c>
      <c r="CJ106">
        <f>'Grid_Requirement'!CH9</f>
        <v/>
      </c>
      <c r="CK106">
        <f>'Grid_Requirement'!CI9</f>
        <v/>
      </c>
      <c r="CL106">
        <f>'Grid_Requirement'!CJ9</f>
        <v/>
      </c>
      <c r="CM106">
        <f>'Grid_Requirement'!CK9</f>
        <v/>
      </c>
      <c r="CN106">
        <f>'Grid_Requirement'!CL9</f>
        <v/>
      </c>
      <c r="CO106">
        <f>'Grid_Requirement'!CM9</f>
        <v/>
      </c>
      <c r="CP106">
        <f>'Grid_Requirement'!CN9</f>
        <v/>
      </c>
      <c r="CQ106">
        <f>'Grid_Requirement'!CO9</f>
        <v/>
      </c>
      <c r="CR106">
        <f>'Grid_Requirement'!CP9</f>
        <v/>
      </c>
      <c r="CS106">
        <f>'Grid_Requirement'!CQ9</f>
        <v/>
      </c>
      <c r="CT106">
        <f>'Grid_Requirement'!CR9</f>
        <v/>
      </c>
      <c r="CU106">
        <f>'Grid_Requirement'!CS9</f>
        <v/>
      </c>
      <c r="CV106">
        <f>'Grid_Requirement'!CT9</f>
        <v/>
      </c>
      <c r="CW106">
        <f>'Grid_Requirement'!CU9</f>
        <v/>
      </c>
      <c r="CX106">
        <f>'Grid_Requirement'!CV9</f>
        <v/>
      </c>
      <c r="CY106">
        <f>'Grid_Requirement'!CW9</f>
        <v/>
      </c>
      <c r="CZ106">
        <f>'Grid_Requirement'!CX9</f>
        <v/>
      </c>
      <c r="DA106">
        <f>'Grid_Requirement'!CY9</f>
        <v/>
      </c>
      <c r="DB106">
        <f>'Grid_Requirement'!CZ9</f>
        <v/>
      </c>
      <c r="DC106">
        <f>'Grid_Requirement'!DA9</f>
        <v/>
      </c>
    </row>
    <row r="107">
      <c r="B107" t="inlineStr">
        <is>
          <t>TTAF在庫(実績,kg)</t>
        </is>
      </c>
      <c r="D107">
        <f>'T_TTAFStock'!B13</f>
        <v/>
      </c>
      <c r="E107">
        <f>'T_TTAFStock'!C13</f>
        <v/>
      </c>
      <c r="F107">
        <f>'T_TTAFStock'!D13</f>
        <v/>
      </c>
      <c r="G107">
        <f>'T_TTAFStock'!E13</f>
        <v/>
      </c>
      <c r="H107">
        <f>'T_TTAFStock'!F13</f>
        <v/>
      </c>
      <c r="I107">
        <f>'T_TTAFStock'!G13</f>
        <v/>
      </c>
      <c r="J107">
        <f>'T_TTAFStock'!H13</f>
        <v/>
      </c>
      <c r="K107">
        <f>'T_TTAFStock'!I13</f>
        <v/>
      </c>
      <c r="L107">
        <f>'T_TTAFStock'!J13</f>
        <v/>
      </c>
      <c r="M107">
        <f>'T_TTAFStock'!K13</f>
        <v/>
      </c>
      <c r="N107">
        <f>'T_TTAFStock'!L13</f>
        <v/>
      </c>
      <c r="O107">
        <f>'T_TTAFStock'!M13</f>
        <v/>
      </c>
      <c r="P107">
        <f>'T_TTAFStock'!N13</f>
        <v/>
      </c>
      <c r="Q107">
        <f>'T_TTAFStock'!O13</f>
        <v/>
      </c>
      <c r="R107">
        <f>'T_TTAFStock'!P13</f>
        <v/>
      </c>
      <c r="S107">
        <f>'T_TTAFStock'!Q13</f>
        <v/>
      </c>
      <c r="T107">
        <f>'T_TTAFStock'!R13</f>
        <v/>
      </c>
      <c r="U107">
        <f>'T_TTAFStock'!S13</f>
        <v/>
      </c>
      <c r="V107">
        <f>'T_TTAFStock'!T13</f>
        <v/>
      </c>
      <c r="W107">
        <f>'T_TTAFStock'!U13</f>
        <v/>
      </c>
      <c r="X107">
        <f>'T_TTAFStock'!V13</f>
        <v/>
      </c>
      <c r="Y107">
        <f>'T_TTAFStock'!W13</f>
        <v/>
      </c>
      <c r="Z107">
        <f>'T_TTAFStock'!X13</f>
        <v/>
      </c>
      <c r="AA107">
        <f>'T_TTAFStock'!Y13</f>
        <v/>
      </c>
      <c r="AB107">
        <f>'T_TTAFStock'!Z13</f>
        <v/>
      </c>
      <c r="AC107">
        <f>'T_TTAFStock'!AA13</f>
        <v/>
      </c>
      <c r="AD107">
        <f>'T_TTAFStock'!AB13</f>
        <v/>
      </c>
      <c r="AE107">
        <f>'T_TTAFStock'!AC13</f>
        <v/>
      </c>
      <c r="AF107">
        <f>'T_TTAFStock'!AD13</f>
        <v/>
      </c>
      <c r="AG107">
        <f>'T_TTAFStock'!AE13</f>
        <v/>
      </c>
      <c r="AH107">
        <f>'T_TTAFStock'!AF13</f>
        <v/>
      </c>
      <c r="AI107">
        <f>'T_TTAFStock'!AG13</f>
        <v/>
      </c>
      <c r="AJ107">
        <f>'T_TTAFStock'!AH13</f>
        <v/>
      </c>
      <c r="AK107">
        <f>'T_TTAFStock'!AI13</f>
        <v/>
      </c>
      <c r="AL107">
        <f>'T_TTAFStock'!AJ13</f>
        <v/>
      </c>
      <c r="AM107">
        <f>'T_TTAFStock'!AK13</f>
        <v/>
      </c>
      <c r="AN107">
        <f>'T_TTAFStock'!AL13</f>
        <v/>
      </c>
      <c r="AO107">
        <f>'T_TTAFStock'!AM13</f>
        <v/>
      </c>
      <c r="AP107">
        <f>'T_TTAFStock'!AN13</f>
        <v/>
      </c>
      <c r="AQ107">
        <f>'T_TTAFStock'!AO13</f>
        <v/>
      </c>
      <c r="AR107">
        <f>'T_TTAFStock'!AP13</f>
        <v/>
      </c>
      <c r="AS107">
        <f>'T_TTAFStock'!AQ13</f>
        <v/>
      </c>
      <c r="AT107">
        <f>'T_TTAFStock'!AR13</f>
        <v/>
      </c>
      <c r="AU107">
        <f>'T_TTAFStock'!AS13</f>
        <v/>
      </c>
      <c r="AV107">
        <f>'T_TTAFStock'!AT13</f>
        <v/>
      </c>
      <c r="AW107">
        <f>'T_TTAFStock'!AU13</f>
        <v/>
      </c>
      <c r="AX107">
        <f>'T_TTAFStock'!AV13</f>
        <v/>
      </c>
      <c r="AY107">
        <f>'T_TTAFStock'!AW13</f>
        <v/>
      </c>
      <c r="AZ107">
        <f>'T_TTAFStock'!AX13</f>
        <v/>
      </c>
      <c r="BA107">
        <f>'T_TTAFStock'!AY13</f>
        <v/>
      </c>
      <c r="BB107">
        <f>'T_TTAFStock'!AZ13</f>
        <v/>
      </c>
      <c r="BC107">
        <f>'T_TTAFStock'!BA13</f>
        <v/>
      </c>
      <c r="BD107">
        <f>'T_TTAFStock'!BB13</f>
        <v/>
      </c>
      <c r="BE107">
        <f>'T_TTAFStock'!BC13</f>
        <v/>
      </c>
      <c r="BF107">
        <f>'T_TTAFStock'!BD13</f>
        <v/>
      </c>
      <c r="BG107">
        <f>'T_TTAFStock'!BE13</f>
        <v/>
      </c>
      <c r="BH107">
        <f>'T_TTAFStock'!BF13</f>
        <v/>
      </c>
      <c r="BI107">
        <f>'T_TTAFStock'!BG13</f>
        <v/>
      </c>
      <c r="BJ107">
        <f>'T_TTAFStock'!BH13</f>
        <v/>
      </c>
      <c r="BK107">
        <f>'T_TTAFStock'!BI13</f>
        <v/>
      </c>
      <c r="BL107">
        <f>'T_TTAFStock'!BJ13</f>
        <v/>
      </c>
      <c r="BM107">
        <f>'T_TTAFStock'!BK13</f>
        <v/>
      </c>
      <c r="BN107">
        <f>'T_TTAFStock'!BL13</f>
        <v/>
      </c>
      <c r="BO107">
        <f>'T_TTAFStock'!BM13</f>
        <v/>
      </c>
      <c r="BP107">
        <f>'T_TTAFStock'!BN13</f>
        <v/>
      </c>
      <c r="BQ107">
        <f>'T_TTAFStock'!BO13</f>
        <v/>
      </c>
      <c r="BR107">
        <f>'T_TTAFStock'!BP13</f>
        <v/>
      </c>
      <c r="BS107">
        <f>'T_TTAFStock'!BQ13</f>
        <v/>
      </c>
      <c r="BT107">
        <f>'T_TTAFStock'!BR13</f>
        <v/>
      </c>
      <c r="BU107">
        <f>'T_TTAFStock'!BS13</f>
        <v/>
      </c>
      <c r="BV107">
        <f>'T_TTAFStock'!BT13</f>
        <v/>
      </c>
      <c r="BW107">
        <f>'T_TTAFStock'!BU13</f>
        <v/>
      </c>
      <c r="BX107">
        <f>'T_TTAFStock'!BV13</f>
        <v/>
      </c>
      <c r="BY107">
        <f>'T_TTAFStock'!BW13</f>
        <v/>
      </c>
      <c r="BZ107">
        <f>'T_TTAFStock'!BX13</f>
        <v/>
      </c>
      <c r="CA107">
        <f>'T_TTAFStock'!BY13</f>
        <v/>
      </c>
      <c r="CB107">
        <f>'T_TTAFStock'!BZ13</f>
        <v/>
      </c>
      <c r="CC107">
        <f>'T_TTAFStock'!CA13</f>
        <v/>
      </c>
      <c r="CD107">
        <f>'T_TTAFStock'!CB13</f>
        <v/>
      </c>
      <c r="CE107">
        <f>'T_TTAFStock'!CC13</f>
        <v/>
      </c>
      <c r="CF107">
        <f>'T_TTAFStock'!CD13</f>
        <v/>
      </c>
      <c r="CG107">
        <f>'T_TTAFStock'!CE13</f>
        <v/>
      </c>
      <c r="CH107">
        <f>'T_TTAFStock'!CF13</f>
        <v/>
      </c>
      <c r="CI107">
        <f>'T_TTAFStock'!CG13</f>
        <v/>
      </c>
      <c r="CJ107">
        <f>'T_TTAFStock'!CH13</f>
        <v/>
      </c>
      <c r="CK107">
        <f>'T_TTAFStock'!CI13</f>
        <v/>
      </c>
      <c r="CL107">
        <f>'T_TTAFStock'!CJ13</f>
        <v/>
      </c>
      <c r="CM107">
        <f>'T_TTAFStock'!CK13</f>
        <v/>
      </c>
      <c r="CN107">
        <f>'T_TTAFStock'!CL13</f>
        <v/>
      </c>
      <c r="CO107">
        <f>'T_TTAFStock'!CM13</f>
        <v/>
      </c>
      <c r="CP107">
        <f>'T_TTAFStock'!CN13</f>
        <v/>
      </c>
      <c r="CQ107">
        <f>'T_TTAFStock'!CO13</f>
        <v/>
      </c>
      <c r="CR107">
        <f>'T_TTAFStock'!CP13</f>
        <v/>
      </c>
      <c r="CS107">
        <f>'T_TTAFStock'!CQ13</f>
        <v/>
      </c>
      <c r="CT107">
        <f>'T_TTAFStock'!CR13</f>
        <v/>
      </c>
      <c r="CU107">
        <f>'T_TTAFStock'!CS13</f>
        <v/>
      </c>
      <c r="CV107">
        <f>'T_TTAFStock'!CT13</f>
        <v/>
      </c>
      <c r="CW107">
        <f>'T_TTAFStock'!CU13</f>
        <v/>
      </c>
      <c r="CX107">
        <f>'T_TTAFStock'!CV13</f>
        <v/>
      </c>
      <c r="CY107">
        <f>'T_TTAFStock'!CW13</f>
        <v/>
      </c>
      <c r="CZ107">
        <f>'T_TTAFStock'!CX13</f>
        <v/>
      </c>
      <c r="DA107">
        <f>'T_TTAFStock'!CY13</f>
        <v/>
      </c>
      <c r="DB107">
        <f>'T_TTAFStock'!CZ13</f>
        <v/>
      </c>
      <c r="DC107">
        <f>'T_TTAFStock'!DA13</f>
        <v/>
      </c>
    </row>
    <row r="108">
      <c r="B108" t="inlineStr">
        <is>
          <t>自社在庫(実績,kg)</t>
        </is>
      </c>
      <c r="D108">
        <f>'T_SelfStock'!B13</f>
        <v/>
      </c>
      <c r="E108">
        <f>'T_SelfStock'!C13</f>
        <v/>
      </c>
      <c r="F108">
        <f>'T_SelfStock'!D13</f>
        <v/>
      </c>
      <c r="G108">
        <f>'T_SelfStock'!E13</f>
        <v/>
      </c>
      <c r="H108">
        <f>'T_SelfStock'!F13</f>
        <v/>
      </c>
      <c r="I108">
        <f>'T_SelfStock'!G13</f>
        <v/>
      </c>
      <c r="J108">
        <f>'T_SelfStock'!H13</f>
        <v/>
      </c>
      <c r="K108">
        <f>'T_SelfStock'!I13</f>
        <v/>
      </c>
      <c r="L108">
        <f>'T_SelfStock'!J13</f>
        <v/>
      </c>
      <c r="M108">
        <f>'T_SelfStock'!K13</f>
        <v/>
      </c>
      <c r="N108">
        <f>'T_SelfStock'!L13</f>
        <v/>
      </c>
      <c r="O108">
        <f>'T_SelfStock'!M13</f>
        <v/>
      </c>
      <c r="P108">
        <f>'T_SelfStock'!N13</f>
        <v/>
      </c>
      <c r="Q108">
        <f>'T_SelfStock'!O13</f>
        <v/>
      </c>
      <c r="R108">
        <f>'T_SelfStock'!P13</f>
        <v/>
      </c>
      <c r="S108">
        <f>'T_SelfStock'!Q13</f>
        <v/>
      </c>
      <c r="T108">
        <f>'T_SelfStock'!R13</f>
        <v/>
      </c>
      <c r="U108">
        <f>'T_SelfStock'!S13</f>
        <v/>
      </c>
      <c r="V108">
        <f>'T_SelfStock'!T13</f>
        <v/>
      </c>
      <c r="W108">
        <f>'T_SelfStock'!U13</f>
        <v/>
      </c>
      <c r="X108">
        <f>'T_SelfStock'!V13</f>
        <v/>
      </c>
      <c r="Y108">
        <f>'T_SelfStock'!W13</f>
        <v/>
      </c>
      <c r="Z108">
        <f>'T_SelfStock'!X13</f>
        <v/>
      </c>
      <c r="AA108">
        <f>'T_SelfStock'!Y13</f>
        <v/>
      </c>
      <c r="AB108">
        <f>'T_SelfStock'!Z13</f>
        <v/>
      </c>
      <c r="AC108">
        <f>'T_SelfStock'!AA13</f>
        <v/>
      </c>
      <c r="AD108">
        <f>'T_SelfStock'!AB13</f>
        <v/>
      </c>
      <c r="AE108">
        <f>'T_SelfStock'!AC13</f>
        <v/>
      </c>
      <c r="AF108">
        <f>'T_SelfStock'!AD13</f>
        <v/>
      </c>
      <c r="AG108">
        <f>'T_SelfStock'!AE13</f>
        <v/>
      </c>
      <c r="AH108">
        <f>'T_SelfStock'!AF13</f>
        <v/>
      </c>
      <c r="AI108">
        <f>'T_SelfStock'!AG13</f>
        <v/>
      </c>
      <c r="AJ108">
        <f>'T_SelfStock'!AH13</f>
        <v/>
      </c>
      <c r="AK108">
        <f>'T_SelfStock'!AI13</f>
        <v/>
      </c>
      <c r="AL108">
        <f>'T_SelfStock'!AJ13</f>
        <v/>
      </c>
      <c r="AM108">
        <f>'T_SelfStock'!AK13</f>
        <v/>
      </c>
      <c r="AN108">
        <f>'T_SelfStock'!AL13</f>
        <v/>
      </c>
      <c r="AO108">
        <f>'T_SelfStock'!AM13</f>
        <v/>
      </c>
      <c r="AP108">
        <f>'T_SelfStock'!AN13</f>
        <v/>
      </c>
      <c r="AQ108">
        <f>'T_SelfStock'!AO13</f>
        <v/>
      </c>
      <c r="AR108">
        <f>'T_SelfStock'!AP13</f>
        <v/>
      </c>
      <c r="AS108">
        <f>'T_SelfStock'!AQ13</f>
        <v/>
      </c>
      <c r="AT108">
        <f>'T_SelfStock'!AR13</f>
        <v/>
      </c>
      <c r="AU108">
        <f>'T_SelfStock'!AS13</f>
        <v/>
      </c>
      <c r="AV108">
        <f>'T_SelfStock'!AT13</f>
        <v/>
      </c>
      <c r="AW108">
        <f>'T_SelfStock'!AU13</f>
        <v/>
      </c>
      <c r="AX108">
        <f>'T_SelfStock'!AV13</f>
        <v/>
      </c>
      <c r="AY108">
        <f>'T_SelfStock'!AW13</f>
        <v/>
      </c>
      <c r="AZ108">
        <f>'T_SelfStock'!AX13</f>
        <v/>
      </c>
      <c r="BA108">
        <f>'T_SelfStock'!AY13</f>
        <v/>
      </c>
      <c r="BB108">
        <f>'T_SelfStock'!AZ13</f>
        <v/>
      </c>
      <c r="BC108">
        <f>'T_SelfStock'!BA13</f>
        <v/>
      </c>
      <c r="BD108">
        <f>'T_SelfStock'!BB13</f>
        <v/>
      </c>
      <c r="BE108">
        <f>'T_SelfStock'!BC13</f>
        <v/>
      </c>
      <c r="BF108">
        <f>'T_SelfStock'!BD13</f>
        <v/>
      </c>
      <c r="BG108">
        <f>'T_SelfStock'!BE13</f>
        <v/>
      </c>
      <c r="BH108">
        <f>'T_SelfStock'!BF13</f>
        <v/>
      </c>
      <c r="BI108">
        <f>'T_SelfStock'!BG13</f>
        <v/>
      </c>
      <c r="BJ108">
        <f>'T_SelfStock'!BH13</f>
        <v/>
      </c>
      <c r="BK108">
        <f>'T_SelfStock'!BI13</f>
        <v/>
      </c>
      <c r="BL108">
        <f>'T_SelfStock'!BJ13</f>
        <v/>
      </c>
      <c r="BM108">
        <f>'T_SelfStock'!BK13</f>
        <v/>
      </c>
      <c r="BN108">
        <f>'T_SelfStock'!BL13</f>
        <v/>
      </c>
      <c r="BO108">
        <f>'T_SelfStock'!BM13</f>
        <v/>
      </c>
      <c r="BP108">
        <f>'T_SelfStock'!BN13</f>
        <v/>
      </c>
      <c r="BQ108">
        <f>'T_SelfStock'!BO13</f>
        <v/>
      </c>
      <c r="BR108">
        <f>'T_SelfStock'!BP13</f>
        <v/>
      </c>
      <c r="BS108">
        <f>'T_SelfStock'!BQ13</f>
        <v/>
      </c>
      <c r="BT108">
        <f>'T_SelfStock'!BR13</f>
        <v/>
      </c>
      <c r="BU108">
        <f>'T_SelfStock'!BS13</f>
        <v/>
      </c>
      <c r="BV108">
        <f>'T_SelfStock'!BT13</f>
        <v/>
      </c>
      <c r="BW108">
        <f>'T_SelfStock'!BU13</f>
        <v/>
      </c>
      <c r="BX108">
        <f>'T_SelfStock'!BV13</f>
        <v/>
      </c>
      <c r="BY108">
        <f>'T_SelfStock'!BW13</f>
        <v/>
      </c>
      <c r="BZ108">
        <f>'T_SelfStock'!BX13</f>
        <v/>
      </c>
      <c r="CA108">
        <f>'T_SelfStock'!BY13</f>
        <v/>
      </c>
      <c r="CB108">
        <f>'T_SelfStock'!BZ13</f>
        <v/>
      </c>
      <c r="CC108">
        <f>'T_SelfStock'!CA13</f>
        <v/>
      </c>
      <c r="CD108">
        <f>'T_SelfStock'!CB13</f>
        <v/>
      </c>
      <c r="CE108">
        <f>'T_SelfStock'!CC13</f>
        <v/>
      </c>
      <c r="CF108">
        <f>'T_SelfStock'!CD13</f>
        <v/>
      </c>
      <c r="CG108">
        <f>'T_SelfStock'!CE13</f>
        <v/>
      </c>
      <c r="CH108">
        <f>'T_SelfStock'!CF13</f>
        <v/>
      </c>
      <c r="CI108">
        <f>'T_SelfStock'!CG13</f>
        <v/>
      </c>
      <c r="CJ108">
        <f>'T_SelfStock'!CH13</f>
        <v/>
      </c>
      <c r="CK108">
        <f>'T_SelfStock'!CI13</f>
        <v/>
      </c>
      <c r="CL108">
        <f>'T_SelfStock'!CJ13</f>
        <v/>
      </c>
      <c r="CM108">
        <f>'T_SelfStock'!CK13</f>
        <v/>
      </c>
      <c r="CN108">
        <f>'T_SelfStock'!CL13</f>
        <v/>
      </c>
      <c r="CO108">
        <f>'T_SelfStock'!CM13</f>
        <v/>
      </c>
      <c r="CP108">
        <f>'T_SelfStock'!CN13</f>
        <v/>
      </c>
      <c r="CQ108">
        <f>'T_SelfStock'!CO13</f>
        <v/>
      </c>
      <c r="CR108">
        <f>'T_SelfStock'!CP13</f>
        <v/>
      </c>
      <c r="CS108">
        <f>'T_SelfStock'!CQ13</f>
        <v/>
      </c>
      <c r="CT108">
        <f>'T_SelfStock'!CR13</f>
        <v/>
      </c>
      <c r="CU108">
        <f>'T_SelfStock'!CS13</f>
        <v/>
      </c>
      <c r="CV108">
        <f>'T_SelfStock'!CT13</f>
        <v/>
      </c>
      <c r="CW108">
        <f>'T_SelfStock'!CU13</f>
        <v/>
      </c>
      <c r="CX108">
        <f>'T_SelfStock'!CV13</f>
        <v/>
      </c>
      <c r="CY108">
        <f>'T_SelfStock'!CW13</f>
        <v/>
      </c>
      <c r="CZ108">
        <f>'T_SelfStock'!CX13</f>
        <v/>
      </c>
      <c r="DA108">
        <f>'T_SelfStock'!CY13</f>
        <v/>
      </c>
      <c r="DB108">
        <f>'T_SelfStock'!CZ13</f>
        <v/>
      </c>
      <c r="DC108">
        <f>'T_SelfStock'!DA13</f>
        <v/>
      </c>
    </row>
    <row r="109">
      <c r="B109" t="inlineStr">
        <is>
          <t>Order(発注予定,kg)</t>
        </is>
      </c>
      <c r="D109">
        <f>IF(SUMIFS(T_PlannedOrders[EffectiveQty],T_PlannedOrders[Part Name],$A103,T_PlannedOrders[WeekIndex],1)=0,"",SUMIFS(T_PlannedOrders[EffectiveQty],T_PlannedOrders[Part Name],$A103,T_PlannedOrders[WeekIndex],1)&amp;" ("&amp;TEXT(SUMPRODUCT(MAX((T_PlannedOrders[Part Name]=$A103)*(T_PlannedOrders[WeekIndex]=1)*(T_PlannedOrders[EffectiveQty]&gt;0)*T_PlannedOrders[Order_Month])),"m月")&amp;"発注)")</f>
        <v/>
      </c>
      <c r="E109">
        <f>IF(SUMIFS(T_PlannedOrders[EffectiveQty],T_PlannedOrders[Part Name],$A103,T_PlannedOrders[WeekIndex],2)=0,"",SUMIFS(T_PlannedOrders[EffectiveQty],T_PlannedOrders[Part Name],$A103,T_PlannedOrders[WeekIndex],2)&amp;" ("&amp;TEXT(SUMPRODUCT(MAX((T_PlannedOrders[Part Name]=$A103)*(T_PlannedOrders[WeekIndex]=2)*(T_PlannedOrders[EffectiveQty]&gt;0)*T_PlannedOrders[Order_Month])),"m月")&amp;"発注)")</f>
        <v/>
      </c>
      <c r="F109">
        <f>IF(SUMIFS(T_PlannedOrders[EffectiveQty],T_PlannedOrders[Part Name],$A103,T_PlannedOrders[WeekIndex],3)=0,"",SUMIFS(T_PlannedOrders[EffectiveQty],T_PlannedOrders[Part Name],$A103,T_PlannedOrders[WeekIndex],3)&amp;" ("&amp;TEXT(SUMPRODUCT(MAX((T_PlannedOrders[Part Name]=$A103)*(T_PlannedOrders[WeekIndex]=3)*(T_PlannedOrders[EffectiveQty]&gt;0)*T_PlannedOrders[Order_Month])),"m月")&amp;"発注)")</f>
        <v/>
      </c>
      <c r="G109">
        <f>IF(SUMIFS(T_PlannedOrders[EffectiveQty],T_PlannedOrders[Part Name],$A103,T_PlannedOrders[WeekIndex],4)=0,"",SUMIFS(T_PlannedOrders[EffectiveQty],T_PlannedOrders[Part Name],$A103,T_PlannedOrders[WeekIndex],4)&amp;" ("&amp;TEXT(SUMPRODUCT(MAX((T_PlannedOrders[Part Name]=$A103)*(T_PlannedOrders[WeekIndex]=4)*(T_PlannedOrders[EffectiveQty]&gt;0)*T_PlannedOrders[Order_Month])),"m月")&amp;"発注)")</f>
        <v/>
      </c>
      <c r="H109">
        <f>IF(SUMIFS(T_PlannedOrders[EffectiveQty],T_PlannedOrders[Part Name],$A103,T_PlannedOrders[WeekIndex],5)=0,"",SUMIFS(T_PlannedOrders[EffectiveQty],T_PlannedOrders[Part Name],$A103,T_PlannedOrders[WeekIndex],5)&amp;" ("&amp;TEXT(SUMPRODUCT(MAX((T_PlannedOrders[Part Name]=$A103)*(T_PlannedOrders[WeekIndex]=5)*(T_PlannedOrders[EffectiveQty]&gt;0)*T_PlannedOrders[Order_Month])),"m月")&amp;"発注)")</f>
        <v/>
      </c>
      <c r="I109">
        <f>IF(SUMIFS(T_PlannedOrders[EffectiveQty],T_PlannedOrders[Part Name],$A103,T_PlannedOrders[WeekIndex],6)=0,"",SUMIFS(T_PlannedOrders[EffectiveQty],T_PlannedOrders[Part Name],$A103,T_PlannedOrders[WeekIndex],6)&amp;" ("&amp;TEXT(SUMPRODUCT(MAX((T_PlannedOrders[Part Name]=$A103)*(T_PlannedOrders[WeekIndex]=6)*(T_PlannedOrders[EffectiveQty]&gt;0)*T_PlannedOrders[Order_Month])),"m月")&amp;"発注)")</f>
        <v/>
      </c>
      <c r="J109">
        <f>IF(SUMIFS(T_PlannedOrders[EffectiveQty],T_PlannedOrders[Part Name],$A103,T_PlannedOrders[WeekIndex],7)=0,"",SUMIFS(T_PlannedOrders[EffectiveQty],T_PlannedOrders[Part Name],$A103,T_PlannedOrders[WeekIndex],7)&amp;" ("&amp;TEXT(SUMPRODUCT(MAX((T_PlannedOrders[Part Name]=$A103)*(T_PlannedOrders[WeekIndex]=7)*(T_PlannedOrders[EffectiveQty]&gt;0)*T_PlannedOrders[Order_Month])),"m月")&amp;"発注)")</f>
        <v/>
      </c>
      <c r="K109">
        <f>IF(SUMIFS(T_PlannedOrders[EffectiveQty],T_PlannedOrders[Part Name],$A103,T_PlannedOrders[WeekIndex],8)=0,"",SUMIFS(T_PlannedOrders[EffectiveQty],T_PlannedOrders[Part Name],$A103,T_PlannedOrders[WeekIndex],8)&amp;" ("&amp;TEXT(SUMPRODUCT(MAX((T_PlannedOrders[Part Name]=$A103)*(T_PlannedOrders[WeekIndex]=8)*(T_PlannedOrders[EffectiveQty]&gt;0)*T_PlannedOrders[Order_Month])),"m月")&amp;"発注)")</f>
        <v/>
      </c>
      <c r="L109">
        <f>IF(SUMIFS(T_PlannedOrders[EffectiveQty],T_PlannedOrders[Part Name],$A103,T_PlannedOrders[WeekIndex],9)=0,"",SUMIFS(T_PlannedOrders[EffectiveQty],T_PlannedOrders[Part Name],$A103,T_PlannedOrders[WeekIndex],9)&amp;" ("&amp;TEXT(SUMPRODUCT(MAX((T_PlannedOrders[Part Name]=$A103)*(T_PlannedOrders[WeekIndex]=9)*(T_PlannedOrders[EffectiveQty]&gt;0)*T_PlannedOrders[Order_Month])),"m月")&amp;"発注)")</f>
        <v/>
      </c>
      <c r="M109">
        <f>IF(SUMIFS(T_PlannedOrders[EffectiveQty],T_PlannedOrders[Part Name],$A103,T_PlannedOrders[WeekIndex],10)=0,"",SUMIFS(T_PlannedOrders[EffectiveQty],T_PlannedOrders[Part Name],$A103,T_PlannedOrders[WeekIndex],10)&amp;" ("&amp;TEXT(SUMPRODUCT(MAX((T_PlannedOrders[Part Name]=$A103)*(T_PlannedOrders[WeekIndex]=10)*(T_PlannedOrders[EffectiveQty]&gt;0)*T_PlannedOrders[Order_Month])),"m月")&amp;"発注)")</f>
        <v/>
      </c>
      <c r="N109">
        <f>IF(SUMIFS(T_PlannedOrders[EffectiveQty],T_PlannedOrders[Part Name],$A103,T_PlannedOrders[WeekIndex],11)=0,"",SUMIFS(T_PlannedOrders[EffectiveQty],T_PlannedOrders[Part Name],$A103,T_PlannedOrders[WeekIndex],11)&amp;" ("&amp;TEXT(SUMPRODUCT(MAX((T_PlannedOrders[Part Name]=$A103)*(T_PlannedOrders[WeekIndex]=11)*(T_PlannedOrders[EffectiveQty]&gt;0)*T_PlannedOrders[Order_Month])),"m月")&amp;"発注)")</f>
        <v/>
      </c>
      <c r="O109">
        <f>IF(SUMIFS(T_PlannedOrders[EffectiveQty],T_PlannedOrders[Part Name],$A103,T_PlannedOrders[WeekIndex],12)=0,"",SUMIFS(T_PlannedOrders[EffectiveQty],T_PlannedOrders[Part Name],$A103,T_PlannedOrders[WeekIndex],12)&amp;" ("&amp;TEXT(SUMPRODUCT(MAX((T_PlannedOrders[Part Name]=$A103)*(T_PlannedOrders[WeekIndex]=12)*(T_PlannedOrders[EffectiveQty]&gt;0)*T_PlannedOrders[Order_Month])),"m月")&amp;"発注)")</f>
        <v/>
      </c>
      <c r="P109">
        <f>IF(SUMIFS(T_PlannedOrders[EffectiveQty],T_PlannedOrders[Part Name],$A103,T_PlannedOrders[WeekIndex],13)=0,"",SUMIFS(T_PlannedOrders[EffectiveQty],T_PlannedOrders[Part Name],$A103,T_PlannedOrders[WeekIndex],13)&amp;" ("&amp;TEXT(SUMPRODUCT(MAX((T_PlannedOrders[Part Name]=$A103)*(T_PlannedOrders[WeekIndex]=13)*(T_PlannedOrders[EffectiveQty]&gt;0)*T_PlannedOrders[Order_Month])),"m月")&amp;"発注)")</f>
        <v/>
      </c>
      <c r="Q109">
        <f>IF(SUMIFS(T_PlannedOrders[EffectiveQty],T_PlannedOrders[Part Name],$A103,T_PlannedOrders[WeekIndex],14)=0,"",SUMIFS(T_PlannedOrders[EffectiveQty],T_PlannedOrders[Part Name],$A103,T_PlannedOrders[WeekIndex],14)&amp;" ("&amp;TEXT(SUMPRODUCT(MAX((T_PlannedOrders[Part Name]=$A103)*(T_PlannedOrders[WeekIndex]=14)*(T_PlannedOrders[EffectiveQty]&gt;0)*T_PlannedOrders[Order_Month])),"m月")&amp;"発注)")</f>
        <v/>
      </c>
      <c r="R109">
        <f>IF(SUMIFS(T_PlannedOrders[EffectiveQty],T_PlannedOrders[Part Name],$A103,T_PlannedOrders[WeekIndex],15)=0,"",SUMIFS(T_PlannedOrders[EffectiveQty],T_PlannedOrders[Part Name],$A103,T_PlannedOrders[WeekIndex],15)&amp;" ("&amp;TEXT(SUMPRODUCT(MAX((T_PlannedOrders[Part Name]=$A103)*(T_PlannedOrders[WeekIndex]=15)*(T_PlannedOrders[EffectiveQty]&gt;0)*T_PlannedOrders[Order_Month])),"m月")&amp;"発注)")</f>
        <v/>
      </c>
      <c r="S109">
        <f>IF(SUMIFS(T_PlannedOrders[EffectiveQty],T_PlannedOrders[Part Name],$A103,T_PlannedOrders[WeekIndex],16)=0,"",SUMIFS(T_PlannedOrders[EffectiveQty],T_PlannedOrders[Part Name],$A103,T_PlannedOrders[WeekIndex],16)&amp;" ("&amp;TEXT(SUMPRODUCT(MAX((T_PlannedOrders[Part Name]=$A103)*(T_PlannedOrders[WeekIndex]=16)*(T_PlannedOrders[EffectiveQty]&gt;0)*T_PlannedOrders[Order_Month])),"m月")&amp;"発注)")</f>
        <v/>
      </c>
      <c r="T109">
        <f>IF(SUMIFS(T_PlannedOrders[EffectiveQty],T_PlannedOrders[Part Name],$A103,T_PlannedOrders[WeekIndex],17)=0,"",SUMIFS(T_PlannedOrders[EffectiveQty],T_PlannedOrders[Part Name],$A103,T_PlannedOrders[WeekIndex],17)&amp;" ("&amp;TEXT(SUMPRODUCT(MAX((T_PlannedOrders[Part Name]=$A103)*(T_PlannedOrders[WeekIndex]=17)*(T_PlannedOrders[EffectiveQty]&gt;0)*T_PlannedOrders[Order_Month])),"m月")&amp;"発注)")</f>
        <v/>
      </c>
      <c r="U109">
        <f>IF(SUMIFS(T_PlannedOrders[EffectiveQty],T_PlannedOrders[Part Name],$A103,T_PlannedOrders[WeekIndex],18)=0,"",SUMIFS(T_PlannedOrders[EffectiveQty],T_PlannedOrders[Part Name],$A103,T_PlannedOrders[WeekIndex],18)&amp;" ("&amp;TEXT(SUMPRODUCT(MAX((T_PlannedOrders[Part Name]=$A103)*(T_PlannedOrders[WeekIndex]=18)*(T_PlannedOrders[EffectiveQty]&gt;0)*T_PlannedOrders[Order_Month])),"m月")&amp;"発注)")</f>
        <v/>
      </c>
      <c r="V109">
        <f>IF(SUMIFS(T_PlannedOrders[EffectiveQty],T_PlannedOrders[Part Name],$A103,T_PlannedOrders[WeekIndex],19)=0,"",SUMIFS(T_PlannedOrders[EffectiveQty],T_PlannedOrders[Part Name],$A103,T_PlannedOrders[WeekIndex],19)&amp;" ("&amp;TEXT(SUMPRODUCT(MAX((T_PlannedOrders[Part Name]=$A103)*(T_PlannedOrders[WeekIndex]=19)*(T_PlannedOrders[EffectiveQty]&gt;0)*T_PlannedOrders[Order_Month])),"m月")&amp;"発注)")</f>
        <v/>
      </c>
      <c r="W109">
        <f>IF(SUMIFS(T_PlannedOrders[EffectiveQty],T_PlannedOrders[Part Name],$A103,T_PlannedOrders[WeekIndex],20)=0,"",SUMIFS(T_PlannedOrders[EffectiveQty],T_PlannedOrders[Part Name],$A103,T_PlannedOrders[WeekIndex],20)&amp;" ("&amp;TEXT(SUMPRODUCT(MAX((T_PlannedOrders[Part Name]=$A103)*(T_PlannedOrders[WeekIndex]=20)*(T_PlannedOrders[EffectiveQty]&gt;0)*T_PlannedOrders[Order_Month])),"m月")&amp;"発注)")</f>
        <v/>
      </c>
      <c r="X109">
        <f>IF(SUMIFS(T_PlannedOrders[EffectiveQty],T_PlannedOrders[Part Name],$A103,T_PlannedOrders[WeekIndex],21)=0,"",SUMIFS(T_PlannedOrders[EffectiveQty],T_PlannedOrders[Part Name],$A103,T_PlannedOrders[WeekIndex],21)&amp;" ("&amp;TEXT(SUMPRODUCT(MAX((T_PlannedOrders[Part Name]=$A103)*(T_PlannedOrders[WeekIndex]=21)*(T_PlannedOrders[EffectiveQty]&gt;0)*T_PlannedOrders[Order_Month])),"m月")&amp;"発注)")</f>
        <v/>
      </c>
      <c r="Y109">
        <f>IF(SUMIFS(T_PlannedOrders[EffectiveQty],T_PlannedOrders[Part Name],$A103,T_PlannedOrders[WeekIndex],22)=0,"",SUMIFS(T_PlannedOrders[EffectiveQty],T_PlannedOrders[Part Name],$A103,T_PlannedOrders[WeekIndex],22)&amp;" ("&amp;TEXT(SUMPRODUCT(MAX((T_PlannedOrders[Part Name]=$A103)*(T_PlannedOrders[WeekIndex]=22)*(T_PlannedOrders[EffectiveQty]&gt;0)*T_PlannedOrders[Order_Month])),"m月")&amp;"発注)")</f>
        <v/>
      </c>
      <c r="Z109">
        <f>IF(SUMIFS(T_PlannedOrders[EffectiveQty],T_PlannedOrders[Part Name],$A103,T_PlannedOrders[WeekIndex],23)=0,"",SUMIFS(T_PlannedOrders[EffectiveQty],T_PlannedOrders[Part Name],$A103,T_PlannedOrders[WeekIndex],23)&amp;" ("&amp;TEXT(SUMPRODUCT(MAX((T_PlannedOrders[Part Name]=$A103)*(T_PlannedOrders[WeekIndex]=23)*(T_PlannedOrders[EffectiveQty]&gt;0)*T_PlannedOrders[Order_Month])),"m月")&amp;"発注)")</f>
        <v/>
      </c>
      <c r="AA109">
        <f>IF(SUMIFS(T_PlannedOrders[EffectiveQty],T_PlannedOrders[Part Name],$A103,T_PlannedOrders[WeekIndex],24)=0,"",SUMIFS(T_PlannedOrders[EffectiveQty],T_PlannedOrders[Part Name],$A103,T_PlannedOrders[WeekIndex],24)&amp;" ("&amp;TEXT(SUMPRODUCT(MAX((T_PlannedOrders[Part Name]=$A103)*(T_PlannedOrders[WeekIndex]=24)*(T_PlannedOrders[EffectiveQty]&gt;0)*T_PlannedOrders[Order_Month])),"m月")&amp;"発注)")</f>
        <v/>
      </c>
      <c r="AB109">
        <f>IF(SUMIFS(T_PlannedOrders[EffectiveQty],T_PlannedOrders[Part Name],$A103,T_PlannedOrders[WeekIndex],25)=0,"",SUMIFS(T_PlannedOrders[EffectiveQty],T_PlannedOrders[Part Name],$A103,T_PlannedOrders[WeekIndex],25)&amp;" ("&amp;TEXT(SUMPRODUCT(MAX((T_PlannedOrders[Part Name]=$A103)*(T_PlannedOrders[WeekIndex]=25)*(T_PlannedOrders[EffectiveQty]&gt;0)*T_PlannedOrders[Order_Month])),"m月")&amp;"発注)")</f>
        <v/>
      </c>
      <c r="AC109">
        <f>IF(SUMIFS(T_PlannedOrders[EffectiveQty],T_PlannedOrders[Part Name],$A103,T_PlannedOrders[WeekIndex],26)=0,"",SUMIFS(T_PlannedOrders[EffectiveQty],T_PlannedOrders[Part Name],$A103,T_PlannedOrders[WeekIndex],26)&amp;" ("&amp;TEXT(SUMPRODUCT(MAX((T_PlannedOrders[Part Name]=$A103)*(T_PlannedOrders[WeekIndex]=26)*(T_PlannedOrders[EffectiveQty]&gt;0)*T_PlannedOrders[Order_Month])),"m月")&amp;"発注)")</f>
        <v/>
      </c>
      <c r="AD109">
        <f>IF(SUMIFS(T_PlannedOrders[EffectiveQty],T_PlannedOrders[Part Name],$A103,T_PlannedOrders[WeekIndex],27)=0,"",SUMIFS(T_PlannedOrders[EffectiveQty],T_PlannedOrders[Part Name],$A103,T_PlannedOrders[WeekIndex],27)&amp;" ("&amp;TEXT(SUMPRODUCT(MAX((T_PlannedOrders[Part Name]=$A103)*(T_PlannedOrders[WeekIndex]=27)*(T_PlannedOrders[EffectiveQty]&gt;0)*T_PlannedOrders[Order_Month])),"m月")&amp;"発注)")</f>
        <v/>
      </c>
      <c r="AE109">
        <f>IF(SUMIFS(T_PlannedOrders[EffectiveQty],T_PlannedOrders[Part Name],$A103,T_PlannedOrders[WeekIndex],28)=0,"",SUMIFS(T_PlannedOrders[EffectiveQty],T_PlannedOrders[Part Name],$A103,T_PlannedOrders[WeekIndex],28)&amp;" ("&amp;TEXT(SUMPRODUCT(MAX((T_PlannedOrders[Part Name]=$A103)*(T_PlannedOrders[WeekIndex]=28)*(T_PlannedOrders[EffectiveQty]&gt;0)*T_PlannedOrders[Order_Month])),"m月")&amp;"発注)")</f>
        <v/>
      </c>
      <c r="AF109">
        <f>IF(SUMIFS(T_PlannedOrders[EffectiveQty],T_PlannedOrders[Part Name],$A103,T_PlannedOrders[WeekIndex],29)=0,"",SUMIFS(T_PlannedOrders[EffectiveQty],T_PlannedOrders[Part Name],$A103,T_PlannedOrders[WeekIndex],29)&amp;" ("&amp;TEXT(SUMPRODUCT(MAX((T_PlannedOrders[Part Name]=$A103)*(T_PlannedOrders[WeekIndex]=29)*(T_PlannedOrders[EffectiveQty]&gt;0)*T_PlannedOrders[Order_Month])),"m月")&amp;"発注)")</f>
        <v/>
      </c>
      <c r="AG109">
        <f>IF(SUMIFS(T_PlannedOrders[EffectiveQty],T_PlannedOrders[Part Name],$A103,T_PlannedOrders[WeekIndex],30)=0,"",SUMIFS(T_PlannedOrders[EffectiveQty],T_PlannedOrders[Part Name],$A103,T_PlannedOrders[WeekIndex],30)&amp;" ("&amp;TEXT(SUMPRODUCT(MAX((T_PlannedOrders[Part Name]=$A103)*(T_PlannedOrders[WeekIndex]=30)*(T_PlannedOrders[EffectiveQty]&gt;0)*T_PlannedOrders[Order_Month])),"m月")&amp;"発注)")</f>
        <v/>
      </c>
      <c r="AH109">
        <f>IF(SUMIFS(T_PlannedOrders[EffectiveQty],T_PlannedOrders[Part Name],$A103,T_PlannedOrders[WeekIndex],31)=0,"",SUMIFS(T_PlannedOrders[EffectiveQty],T_PlannedOrders[Part Name],$A103,T_PlannedOrders[WeekIndex],31)&amp;" ("&amp;TEXT(SUMPRODUCT(MAX((T_PlannedOrders[Part Name]=$A103)*(T_PlannedOrders[WeekIndex]=31)*(T_PlannedOrders[EffectiveQty]&gt;0)*T_PlannedOrders[Order_Month])),"m月")&amp;"発注)")</f>
        <v/>
      </c>
      <c r="AI109">
        <f>IF(SUMIFS(T_PlannedOrders[EffectiveQty],T_PlannedOrders[Part Name],$A103,T_PlannedOrders[WeekIndex],32)=0,"",SUMIFS(T_PlannedOrders[EffectiveQty],T_PlannedOrders[Part Name],$A103,T_PlannedOrders[WeekIndex],32)&amp;" ("&amp;TEXT(SUMPRODUCT(MAX((T_PlannedOrders[Part Name]=$A103)*(T_PlannedOrders[WeekIndex]=32)*(T_PlannedOrders[EffectiveQty]&gt;0)*T_PlannedOrders[Order_Month])),"m月")&amp;"発注)")</f>
        <v/>
      </c>
      <c r="AJ109">
        <f>IF(SUMIFS(T_PlannedOrders[EffectiveQty],T_PlannedOrders[Part Name],$A103,T_PlannedOrders[WeekIndex],33)=0,"",SUMIFS(T_PlannedOrders[EffectiveQty],T_PlannedOrders[Part Name],$A103,T_PlannedOrders[WeekIndex],33)&amp;" ("&amp;TEXT(SUMPRODUCT(MAX((T_PlannedOrders[Part Name]=$A103)*(T_PlannedOrders[WeekIndex]=33)*(T_PlannedOrders[EffectiveQty]&gt;0)*T_PlannedOrders[Order_Month])),"m月")&amp;"発注)")</f>
        <v/>
      </c>
      <c r="AK109">
        <f>IF(SUMIFS(T_PlannedOrders[EffectiveQty],T_PlannedOrders[Part Name],$A103,T_PlannedOrders[WeekIndex],34)=0,"",SUMIFS(T_PlannedOrders[EffectiveQty],T_PlannedOrders[Part Name],$A103,T_PlannedOrders[WeekIndex],34)&amp;" ("&amp;TEXT(SUMPRODUCT(MAX((T_PlannedOrders[Part Name]=$A103)*(T_PlannedOrders[WeekIndex]=34)*(T_PlannedOrders[EffectiveQty]&gt;0)*T_PlannedOrders[Order_Month])),"m月")&amp;"発注)")</f>
        <v/>
      </c>
      <c r="AL109">
        <f>IF(SUMIFS(T_PlannedOrders[EffectiveQty],T_PlannedOrders[Part Name],$A103,T_PlannedOrders[WeekIndex],35)=0,"",SUMIFS(T_PlannedOrders[EffectiveQty],T_PlannedOrders[Part Name],$A103,T_PlannedOrders[WeekIndex],35)&amp;" ("&amp;TEXT(SUMPRODUCT(MAX((T_PlannedOrders[Part Name]=$A103)*(T_PlannedOrders[WeekIndex]=35)*(T_PlannedOrders[EffectiveQty]&gt;0)*T_PlannedOrders[Order_Month])),"m月")&amp;"発注)")</f>
        <v/>
      </c>
      <c r="AM109">
        <f>IF(SUMIFS(T_PlannedOrders[EffectiveQty],T_PlannedOrders[Part Name],$A103,T_PlannedOrders[WeekIndex],36)=0,"",SUMIFS(T_PlannedOrders[EffectiveQty],T_PlannedOrders[Part Name],$A103,T_PlannedOrders[WeekIndex],36)&amp;" ("&amp;TEXT(SUMPRODUCT(MAX((T_PlannedOrders[Part Name]=$A103)*(T_PlannedOrders[WeekIndex]=36)*(T_PlannedOrders[EffectiveQty]&gt;0)*T_PlannedOrders[Order_Month])),"m月")&amp;"発注)")</f>
        <v/>
      </c>
      <c r="AN109">
        <f>IF(SUMIFS(T_PlannedOrders[EffectiveQty],T_PlannedOrders[Part Name],$A103,T_PlannedOrders[WeekIndex],37)=0,"",SUMIFS(T_PlannedOrders[EffectiveQty],T_PlannedOrders[Part Name],$A103,T_PlannedOrders[WeekIndex],37)&amp;" ("&amp;TEXT(SUMPRODUCT(MAX((T_PlannedOrders[Part Name]=$A103)*(T_PlannedOrders[WeekIndex]=37)*(T_PlannedOrders[EffectiveQty]&gt;0)*T_PlannedOrders[Order_Month])),"m月")&amp;"発注)")</f>
        <v/>
      </c>
      <c r="AO109">
        <f>IF(SUMIFS(T_PlannedOrders[EffectiveQty],T_PlannedOrders[Part Name],$A103,T_PlannedOrders[WeekIndex],38)=0,"",SUMIFS(T_PlannedOrders[EffectiveQty],T_PlannedOrders[Part Name],$A103,T_PlannedOrders[WeekIndex],38)&amp;" ("&amp;TEXT(SUMPRODUCT(MAX((T_PlannedOrders[Part Name]=$A103)*(T_PlannedOrders[WeekIndex]=38)*(T_PlannedOrders[EffectiveQty]&gt;0)*T_PlannedOrders[Order_Month])),"m月")&amp;"発注)")</f>
        <v/>
      </c>
      <c r="AP109">
        <f>IF(SUMIFS(T_PlannedOrders[EffectiveQty],T_PlannedOrders[Part Name],$A103,T_PlannedOrders[WeekIndex],39)=0,"",SUMIFS(T_PlannedOrders[EffectiveQty],T_PlannedOrders[Part Name],$A103,T_PlannedOrders[WeekIndex],39)&amp;" ("&amp;TEXT(SUMPRODUCT(MAX((T_PlannedOrders[Part Name]=$A103)*(T_PlannedOrders[WeekIndex]=39)*(T_PlannedOrders[EffectiveQty]&gt;0)*T_PlannedOrders[Order_Month])),"m月")&amp;"発注)")</f>
        <v/>
      </c>
      <c r="AQ109">
        <f>IF(SUMIFS(T_PlannedOrders[EffectiveQty],T_PlannedOrders[Part Name],$A103,T_PlannedOrders[WeekIndex],40)=0,"",SUMIFS(T_PlannedOrders[EffectiveQty],T_PlannedOrders[Part Name],$A103,T_PlannedOrders[WeekIndex],40)&amp;" ("&amp;TEXT(SUMPRODUCT(MAX((T_PlannedOrders[Part Name]=$A103)*(T_PlannedOrders[WeekIndex]=40)*(T_PlannedOrders[EffectiveQty]&gt;0)*T_PlannedOrders[Order_Month])),"m月")&amp;"発注)")</f>
        <v/>
      </c>
      <c r="AR109">
        <f>IF(SUMIFS(T_PlannedOrders[EffectiveQty],T_PlannedOrders[Part Name],$A103,T_PlannedOrders[WeekIndex],41)=0,"",SUMIFS(T_PlannedOrders[EffectiveQty],T_PlannedOrders[Part Name],$A103,T_PlannedOrders[WeekIndex],41)&amp;" ("&amp;TEXT(SUMPRODUCT(MAX((T_PlannedOrders[Part Name]=$A103)*(T_PlannedOrders[WeekIndex]=41)*(T_PlannedOrders[EffectiveQty]&gt;0)*T_PlannedOrders[Order_Month])),"m月")&amp;"発注)")</f>
        <v/>
      </c>
      <c r="AS109">
        <f>IF(SUMIFS(T_PlannedOrders[EffectiveQty],T_PlannedOrders[Part Name],$A103,T_PlannedOrders[WeekIndex],42)=0,"",SUMIFS(T_PlannedOrders[EffectiveQty],T_PlannedOrders[Part Name],$A103,T_PlannedOrders[WeekIndex],42)&amp;" ("&amp;TEXT(SUMPRODUCT(MAX((T_PlannedOrders[Part Name]=$A103)*(T_PlannedOrders[WeekIndex]=42)*(T_PlannedOrders[EffectiveQty]&gt;0)*T_PlannedOrders[Order_Month])),"m月")&amp;"発注)")</f>
        <v/>
      </c>
      <c r="AT109">
        <f>IF(SUMIFS(T_PlannedOrders[EffectiveQty],T_PlannedOrders[Part Name],$A103,T_PlannedOrders[WeekIndex],43)=0,"",SUMIFS(T_PlannedOrders[EffectiveQty],T_PlannedOrders[Part Name],$A103,T_PlannedOrders[WeekIndex],43)&amp;" ("&amp;TEXT(SUMPRODUCT(MAX((T_PlannedOrders[Part Name]=$A103)*(T_PlannedOrders[WeekIndex]=43)*(T_PlannedOrders[EffectiveQty]&gt;0)*T_PlannedOrders[Order_Month])),"m月")&amp;"発注)")</f>
        <v/>
      </c>
      <c r="AU109">
        <f>IF(SUMIFS(T_PlannedOrders[EffectiveQty],T_PlannedOrders[Part Name],$A103,T_PlannedOrders[WeekIndex],44)=0,"",SUMIFS(T_PlannedOrders[EffectiveQty],T_PlannedOrders[Part Name],$A103,T_PlannedOrders[WeekIndex],44)&amp;" ("&amp;TEXT(SUMPRODUCT(MAX((T_PlannedOrders[Part Name]=$A103)*(T_PlannedOrders[WeekIndex]=44)*(T_PlannedOrders[EffectiveQty]&gt;0)*T_PlannedOrders[Order_Month])),"m月")&amp;"発注)")</f>
        <v/>
      </c>
      <c r="AV109">
        <f>IF(SUMIFS(T_PlannedOrders[EffectiveQty],T_PlannedOrders[Part Name],$A103,T_PlannedOrders[WeekIndex],45)=0,"",SUMIFS(T_PlannedOrders[EffectiveQty],T_PlannedOrders[Part Name],$A103,T_PlannedOrders[WeekIndex],45)&amp;" ("&amp;TEXT(SUMPRODUCT(MAX((T_PlannedOrders[Part Name]=$A103)*(T_PlannedOrders[WeekIndex]=45)*(T_PlannedOrders[EffectiveQty]&gt;0)*T_PlannedOrders[Order_Month])),"m月")&amp;"発注)")</f>
        <v/>
      </c>
      <c r="AW109">
        <f>IF(SUMIFS(T_PlannedOrders[EffectiveQty],T_PlannedOrders[Part Name],$A103,T_PlannedOrders[WeekIndex],46)=0,"",SUMIFS(T_PlannedOrders[EffectiveQty],T_PlannedOrders[Part Name],$A103,T_PlannedOrders[WeekIndex],46)&amp;" ("&amp;TEXT(SUMPRODUCT(MAX((T_PlannedOrders[Part Name]=$A103)*(T_PlannedOrders[WeekIndex]=46)*(T_PlannedOrders[EffectiveQty]&gt;0)*T_PlannedOrders[Order_Month])),"m月")&amp;"発注)")</f>
        <v/>
      </c>
      <c r="AX109">
        <f>IF(SUMIFS(T_PlannedOrders[EffectiveQty],T_PlannedOrders[Part Name],$A103,T_PlannedOrders[WeekIndex],47)=0,"",SUMIFS(T_PlannedOrders[EffectiveQty],T_PlannedOrders[Part Name],$A103,T_PlannedOrders[WeekIndex],47)&amp;" ("&amp;TEXT(SUMPRODUCT(MAX((T_PlannedOrders[Part Name]=$A103)*(T_PlannedOrders[WeekIndex]=47)*(T_PlannedOrders[EffectiveQty]&gt;0)*T_PlannedOrders[Order_Month])),"m月")&amp;"発注)")</f>
        <v/>
      </c>
      <c r="AY109">
        <f>IF(SUMIFS(T_PlannedOrders[EffectiveQty],T_PlannedOrders[Part Name],$A103,T_PlannedOrders[WeekIndex],48)=0,"",SUMIFS(T_PlannedOrders[EffectiveQty],T_PlannedOrders[Part Name],$A103,T_PlannedOrders[WeekIndex],48)&amp;" ("&amp;TEXT(SUMPRODUCT(MAX((T_PlannedOrders[Part Name]=$A103)*(T_PlannedOrders[WeekIndex]=48)*(T_PlannedOrders[EffectiveQty]&gt;0)*T_PlannedOrders[Order_Month])),"m月")&amp;"発注)")</f>
        <v/>
      </c>
      <c r="AZ109">
        <f>IF(SUMIFS(T_PlannedOrders[EffectiveQty],T_PlannedOrders[Part Name],$A103,T_PlannedOrders[WeekIndex],49)=0,"",SUMIFS(T_PlannedOrders[EffectiveQty],T_PlannedOrders[Part Name],$A103,T_PlannedOrders[WeekIndex],49)&amp;" ("&amp;TEXT(SUMPRODUCT(MAX((T_PlannedOrders[Part Name]=$A103)*(T_PlannedOrders[WeekIndex]=49)*(T_PlannedOrders[EffectiveQty]&gt;0)*T_PlannedOrders[Order_Month])),"m月")&amp;"発注)")</f>
        <v/>
      </c>
      <c r="BA109">
        <f>IF(SUMIFS(T_PlannedOrders[EffectiveQty],T_PlannedOrders[Part Name],$A103,T_PlannedOrders[WeekIndex],50)=0,"",SUMIFS(T_PlannedOrders[EffectiveQty],T_PlannedOrders[Part Name],$A103,T_PlannedOrders[WeekIndex],50)&amp;" ("&amp;TEXT(SUMPRODUCT(MAX((T_PlannedOrders[Part Name]=$A103)*(T_PlannedOrders[WeekIndex]=50)*(T_PlannedOrders[EffectiveQty]&gt;0)*T_PlannedOrders[Order_Month])),"m月")&amp;"発注)")</f>
        <v/>
      </c>
      <c r="BB109">
        <f>IF(SUMIFS(T_PlannedOrders[EffectiveQty],T_PlannedOrders[Part Name],$A103,T_PlannedOrders[WeekIndex],51)=0,"",SUMIFS(T_PlannedOrders[EffectiveQty],T_PlannedOrders[Part Name],$A103,T_PlannedOrders[WeekIndex],51)&amp;" ("&amp;TEXT(SUMPRODUCT(MAX((T_PlannedOrders[Part Name]=$A103)*(T_PlannedOrders[WeekIndex]=51)*(T_PlannedOrders[EffectiveQty]&gt;0)*T_PlannedOrders[Order_Month])),"m月")&amp;"発注)")</f>
        <v/>
      </c>
      <c r="BC109">
        <f>IF(SUMIFS(T_PlannedOrders[EffectiveQty],T_PlannedOrders[Part Name],$A103,T_PlannedOrders[WeekIndex],52)=0,"",SUMIFS(T_PlannedOrders[EffectiveQty],T_PlannedOrders[Part Name],$A103,T_PlannedOrders[WeekIndex],52)&amp;" ("&amp;TEXT(SUMPRODUCT(MAX((T_PlannedOrders[Part Name]=$A103)*(T_PlannedOrders[WeekIndex]=52)*(T_PlannedOrders[EffectiveQty]&gt;0)*T_PlannedOrders[Order_Month])),"m月")&amp;"発注)")</f>
        <v/>
      </c>
      <c r="BD109">
        <f>IF(SUMIFS(T_PlannedOrders[EffectiveQty],T_PlannedOrders[Part Name],$A103,T_PlannedOrders[WeekIndex],53)=0,"",SUMIFS(T_PlannedOrders[EffectiveQty],T_PlannedOrders[Part Name],$A103,T_PlannedOrders[WeekIndex],53)&amp;" ("&amp;TEXT(SUMPRODUCT(MAX((T_PlannedOrders[Part Name]=$A103)*(T_PlannedOrders[WeekIndex]=53)*(T_PlannedOrders[EffectiveQty]&gt;0)*T_PlannedOrders[Order_Month])),"m月")&amp;"発注)")</f>
        <v/>
      </c>
      <c r="BE109">
        <f>IF(SUMIFS(T_PlannedOrders[EffectiveQty],T_PlannedOrders[Part Name],$A103,T_PlannedOrders[WeekIndex],54)=0,"",SUMIFS(T_PlannedOrders[EffectiveQty],T_PlannedOrders[Part Name],$A103,T_PlannedOrders[WeekIndex],54)&amp;" ("&amp;TEXT(SUMPRODUCT(MAX((T_PlannedOrders[Part Name]=$A103)*(T_PlannedOrders[WeekIndex]=54)*(T_PlannedOrders[EffectiveQty]&gt;0)*T_PlannedOrders[Order_Month])),"m月")&amp;"発注)")</f>
        <v/>
      </c>
      <c r="BF109">
        <f>IF(SUMIFS(T_PlannedOrders[EffectiveQty],T_PlannedOrders[Part Name],$A103,T_PlannedOrders[WeekIndex],55)=0,"",SUMIFS(T_PlannedOrders[EffectiveQty],T_PlannedOrders[Part Name],$A103,T_PlannedOrders[WeekIndex],55)&amp;" ("&amp;TEXT(SUMPRODUCT(MAX((T_PlannedOrders[Part Name]=$A103)*(T_PlannedOrders[WeekIndex]=55)*(T_PlannedOrders[EffectiveQty]&gt;0)*T_PlannedOrders[Order_Month])),"m月")&amp;"発注)")</f>
        <v/>
      </c>
      <c r="BG109">
        <f>IF(SUMIFS(T_PlannedOrders[EffectiveQty],T_PlannedOrders[Part Name],$A103,T_PlannedOrders[WeekIndex],56)=0,"",SUMIFS(T_PlannedOrders[EffectiveQty],T_PlannedOrders[Part Name],$A103,T_PlannedOrders[WeekIndex],56)&amp;" ("&amp;TEXT(SUMPRODUCT(MAX((T_PlannedOrders[Part Name]=$A103)*(T_PlannedOrders[WeekIndex]=56)*(T_PlannedOrders[EffectiveQty]&gt;0)*T_PlannedOrders[Order_Month])),"m月")&amp;"発注)")</f>
        <v/>
      </c>
      <c r="BH109">
        <f>IF(SUMIFS(T_PlannedOrders[EffectiveQty],T_PlannedOrders[Part Name],$A103,T_PlannedOrders[WeekIndex],57)=0,"",SUMIFS(T_PlannedOrders[EffectiveQty],T_PlannedOrders[Part Name],$A103,T_PlannedOrders[WeekIndex],57)&amp;" ("&amp;TEXT(SUMPRODUCT(MAX((T_PlannedOrders[Part Name]=$A103)*(T_PlannedOrders[WeekIndex]=57)*(T_PlannedOrders[EffectiveQty]&gt;0)*T_PlannedOrders[Order_Month])),"m月")&amp;"発注)")</f>
        <v/>
      </c>
      <c r="BI109">
        <f>IF(SUMIFS(T_PlannedOrders[EffectiveQty],T_PlannedOrders[Part Name],$A103,T_PlannedOrders[WeekIndex],58)=0,"",SUMIFS(T_PlannedOrders[EffectiveQty],T_PlannedOrders[Part Name],$A103,T_PlannedOrders[WeekIndex],58)&amp;" ("&amp;TEXT(SUMPRODUCT(MAX((T_PlannedOrders[Part Name]=$A103)*(T_PlannedOrders[WeekIndex]=58)*(T_PlannedOrders[EffectiveQty]&gt;0)*T_PlannedOrders[Order_Month])),"m月")&amp;"発注)")</f>
        <v/>
      </c>
      <c r="BJ109">
        <f>IF(SUMIFS(T_PlannedOrders[EffectiveQty],T_PlannedOrders[Part Name],$A103,T_PlannedOrders[WeekIndex],59)=0,"",SUMIFS(T_PlannedOrders[EffectiveQty],T_PlannedOrders[Part Name],$A103,T_PlannedOrders[WeekIndex],59)&amp;" ("&amp;TEXT(SUMPRODUCT(MAX((T_PlannedOrders[Part Name]=$A103)*(T_PlannedOrders[WeekIndex]=59)*(T_PlannedOrders[EffectiveQty]&gt;0)*T_PlannedOrders[Order_Month])),"m月")&amp;"発注)")</f>
        <v/>
      </c>
      <c r="BK109">
        <f>IF(SUMIFS(T_PlannedOrders[EffectiveQty],T_PlannedOrders[Part Name],$A103,T_PlannedOrders[WeekIndex],60)=0,"",SUMIFS(T_PlannedOrders[EffectiveQty],T_PlannedOrders[Part Name],$A103,T_PlannedOrders[WeekIndex],60)&amp;" ("&amp;TEXT(SUMPRODUCT(MAX((T_PlannedOrders[Part Name]=$A103)*(T_PlannedOrders[WeekIndex]=60)*(T_PlannedOrders[EffectiveQty]&gt;0)*T_PlannedOrders[Order_Month])),"m月")&amp;"発注)")</f>
        <v/>
      </c>
      <c r="BL109">
        <f>IF(SUMIFS(T_PlannedOrders[EffectiveQty],T_PlannedOrders[Part Name],$A103,T_PlannedOrders[WeekIndex],61)=0,"",SUMIFS(T_PlannedOrders[EffectiveQty],T_PlannedOrders[Part Name],$A103,T_PlannedOrders[WeekIndex],61)&amp;" ("&amp;TEXT(SUMPRODUCT(MAX((T_PlannedOrders[Part Name]=$A103)*(T_PlannedOrders[WeekIndex]=61)*(T_PlannedOrders[EffectiveQty]&gt;0)*T_PlannedOrders[Order_Month])),"m月")&amp;"発注)")</f>
        <v/>
      </c>
      <c r="BM109">
        <f>IF(SUMIFS(T_PlannedOrders[EffectiveQty],T_PlannedOrders[Part Name],$A103,T_PlannedOrders[WeekIndex],62)=0,"",SUMIFS(T_PlannedOrders[EffectiveQty],T_PlannedOrders[Part Name],$A103,T_PlannedOrders[WeekIndex],62)&amp;" ("&amp;TEXT(SUMPRODUCT(MAX((T_PlannedOrders[Part Name]=$A103)*(T_PlannedOrders[WeekIndex]=62)*(T_PlannedOrders[EffectiveQty]&gt;0)*T_PlannedOrders[Order_Month])),"m月")&amp;"発注)")</f>
        <v/>
      </c>
      <c r="BN109">
        <f>IF(SUMIFS(T_PlannedOrders[EffectiveQty],T_PlannedOrders[Part Name],$A103,T_PlannedOrders[WeekIndex],63)=0,"",SUMIFS(T_PlannedOrders[EffectiveQty],T_PlannedOrders[Part Name],$A103,T_PlannedOrders[WeekIndex],63)&amp;" ("&amp;TEXT(SUMPRODUCT(MAX((T_PlannedOrders[Part Name]=$A103)*(T_PlannedOrders[WeekIndex]=63)*(T_PlannedOrders[EffectiveQty]&gt;0)*T_PlannedOrders[Order_Month])),"m月")&amp;"発注)")</f>
        <v/>
      </c>
      <c r="BO109">
        <f>IF(SUMIFS(T_PlannedOrders[EffectiveQty],T_PlannedOrders[Part Name],$A103,T_PlannedOrders[WeekIndex],64)=0,"",SUMIFS(T_PlannedOrders[EffectiveQty],T_PlannedOrders[Part Name],$A103,T_PlannedOrders[WeekIndex],64)&amp;" ("&amp;TEXT(SUMPRODUCT(MAX((T_PlannedOrders[Part Name]=$A103)*(T_PlannedOrders[WeekIndex]=64)*(T_PlannedOrders[EffectiveQty]&gt;0)*T_PlannedOrders[Order_Month])),"m月")&amp;"発注)")</f>
        <v/>
      </c>
      <c r="BP109">
        <f>IF(SUMIFS(T_PlannedOrders[EffectiveQty],T_PlannedOrders[Part Name],$A103,T_PlannedOrders[WeekIndex],65)=0,"",SUMIFS(T_PlannedOrders[EffectiveQty],T_PlannedOrders[Part Name],$A103,T_PlannedOrders[WeekIndex],65)&amp;" ("&amp;TEXT(SUMPRODUCT(MAX((T_PlannedOrders[Part Name]=$A103)*(T_PlannedOrders[WeekIndex]=65)*(T_PlannedOrders[EffectiveQty]&gt;0)*T_PlannedOrders[Order_Month])),"m月")&amp;"発注)")</f>
        <v/>
      </c>
      <c r="BQ109">
        <f>IF(SUMIFS(T_PlannedOrders[EffectiveQty],T_PlannedOrders[Part Name],$A103,T_PlannedOrders[WeekIndex],66)=0,"",SUMIFS(T_PlannedOrders[EffectiveQty],T_PlannedOrders[Part Name],$A103,T_PlannedOrders[WeekIndex],66)&amp;" ("&amp;TEXT(SUMPRODUCT(MAX((T_PlannedOrders[Part Name]=$A103)*(T_PlannedOrders[WeekIndex]=66)*(T_PlannedOrders[EffectiveQty]&gt;0)*T_PlannedOrders[Order_Month])),"m月")&amp;"発注)")</f>
        <v/>
      </c>
      <c r="BR109">
        <f>IF(SUMIFS(T_PlannedOrders[EffectiveQty],T_PlannedOrders[Part Name],$A103,T_PlannedOrders[WeekIndex],67)=0,"",SUMIFS(T_PlannedOrders[EffectiveQty],T_PlannedOrders[Part Name],$A103,T_PlannedOrders[WeekIndex],67)&amp;" ("&amp;TEXT(SUMPRODUCT(MAX((T_PlannedOrders[Part Name]=$A103)*(T_PlannedOrders[WeekIndex]=67)*(T_PlannedOrders[EffectiveQty]&gt;0)*T_PlannedOrders[Order_Month])),"m月")&amp;"発注)")</f>
        <v/>
      </c>
      <c r="BS109">
        <f>IF(SUMIFS(T_PlannedOrders[EffectiveQty],T_PlannedOrders[Part Name],$A103,T_PlannedOrders[WeekIndex],68)=0,"",SUMIFS(T_PlannedOrders[EffectiveQty],T_PlannedOrders[Part Name],$A103,T_PlannedOrders[WeekIndex],68)&amp;" ("&amp;TEXT(SUMPRODUCT(MAX((T_PlannedOrders[Part Name]=$A103)*(T_PlannedOrders[WeekIndex]=68)*(T_PlannedOrders[EffectiveQty]&gt;0)*T_PlannedOrders[Order_Month])),"m月")&amp;"発注)")</f>
        <v/>
      </c>
      <c r="BT109">
        <f>IF(SUMIFS(T_PlannedOrders[EffectiveQty],T_PlannedOrders[Part Name],$A103,T_PlannedOrders[WeekIndex],69)=0,"",SUMIFS(T_PlannedOrders[EffectiveQty],T_PlannedOrders[Part Name],$A103,T_PlannedOrders[WeekIndex],69)&amp;" ("&amp;TEXT(SUMPRODUCT(MAX((T_PlannedOrders[Part Name]=$A103)*(T_PlannedOrders[WeekIndex]=69)*(T_PlannedOrders[EffectiveQty]&gt;0)*T_PlannedOrders[Order_Month])),"m月")&amp;"発注)")</f>
        <v/>
      </c>
      <c r="BU109">
        <f>IF(SUMIFS(T_PlannedOrders[EffectiveQty],T_PlannedOrders[Part Name],$A103,T_PlannedOrders[WeekIndex],70)=0,"",SUMIFS(T_PlannedOrders[EffectiveQty],T_PlannedOrders[Part Name],$A103,T_PlannedOrders[WeekIndex],70)&amp;" ("&amp;TEXT(SUMPRODUCT(MAX((T_PlannedOrders[Part Name]=$A103)*(T_PlannedOrders[WeekIndex]=70)*(T_PlannedOrders[EffectiveQty]&gt;0)*T_PlannedOrders[Order_Month])),"m月")&amp;"発注)")</f>
        <v/>
      </c>
      <c r="BV109">
        <f>IF(SUMIFS(T_PlannedOrders[EffectiveQty],T_PlannedOrders[Part Name],$A103,T_PlannedOrders[WeekIndex],71)=0,"",SUMIFS(T_PlannedOrders[EffectiveQty],T_PlannedOrders[Part Name],$A103,T_PlannedOrders[WeekIndex],71)&amp;" ("&amp;TEXT(SUMPRODUCT(MAX((T_PlannedOrders[Part Name]=$A103)*(T_PlannedOrders[WeekIndex]=71)*(T_PlannedOrders[EffectiveQty]&gt;0)*T_PlannedOrders[Order_Month])),"m月")&amp;"発注)")</f>
        <v/>
      </c>
      <c r="BW109">
        <f>IF(SUMIFS(T_PlannedOrders[EffectiveQty],T_PlannedOrders[Part Name],$A103,T_PlannedOrders[WeekIndex],72)=0,"",SUMIFS(T_PlannedOrders[EffectiveQty],T_PlannedOrders[Part Name],$A103,T_PlannedOrders[WeekIndex],72)&amp;" ("&amp;TEXT(SUMPRODUCT(MAX((T_PlannedOrders[Part Name]=$A103)*(T_PlannedOrders[WeekIndex]=72)*(T_PlannedOrders[EffectiveQty]&gt;0)*T_PlannedOrders[Order_Month])),"m月")&amp;"発注)")</f>
        <v/>
      </c>
      <c r="BX109">
        <f>IF(SUMIFS(T_PlannedOrders[EffectiveQty],T_PlannedOrders[Part Name],$A103,T_PlannedOrders[WeekIndex],73)=0,"",SUMIFS(T_PlannedOrders[EffectiveQty],T_PlannedOrders[Part Name],$A103,T_PlannedOrders[WeekIndex],73)&amp;" ("&amp;TEXT(SUMPRODUCT(MAX((T_PlannedOrders[Part Name]=$A103)*(T_PlannedOrders[WeekIndex]=73)*(T_PlannedOrders[EffectiveQty]&gt;0)*T_PlannedOrders[Order_Month])),"m月")&amp;"発注)")</f>
        <v/>
      </c>
      <c r="BY109">
        <f>IF(SUMIFS(T_PlannedOrders[EffectiveQty],T_PlannedOrders[Part Name],$A103,T_PlannedOrders[WeekIndex],74)=0,"",SUMIFS(T_PlannedOrders[EffectiveQty],T_PlannedOrders[Part Name],$A103,T_PlannedOrders[WeekIndex],74)&amp;" ("&amp;TEXT(SUMPRODUCT(MAX((T_PlannedOrders[Part Name]=$A103)*(T_PlannedOrders[WeekIndex]=74)*(T_PlannedOrders[EffectiveQty]&gt;0)*T_PlannedOrders[Order_Month])),"m月")&amp;"発注)")</f>
        <v/>
      </c>
      <c r="BZ109">
        <f>IF(SUMIFS(T_PlannedOrders[EffectiveQty],T_PlannedOrders[Part Name],$A103,T_PlannedOrders[WeekIndex],75)=0,"",SUMIFS(T_PlannedOrders[EffectiveQty],T_PlannedOrders[Part Name],$A103,T_PlannedOrders[WeekIndex],75)&amp;" ("&amp;TEXT(SUMPRODUCT(MAX((T_PlannedOrders[Part Name]=$A103)*(T_PlannedOrders[WeekIndex]=75)*(T_PlannedOrders[EffectiveQty]&gt;0)*T_PlannedOrders[Order_Month])),"m月")&amp;"発注)")</f>
        <v/>
      </c>
      <c r="CA109">
        <f>IF(SUMIFS(T_PlannedOrders[EffectiveQty],T_PlannedOrders[Part Name],$A103,T_PlannedOrders[WeekIndex],76)=0,"",SUMIFS(T_PlannedOrders[EffectiveQty],T_PlannedOrders[Part Name],$A103,T_PlannedOrders[WeekIndex],76)&amp;" ("&amp;TEXT(SUMPRODUCT(MAX((T_PlannedOrders[Part Name]=$A103)*(T_PlannedOrders[WeekIndex]=76)*(T_PlannedOrders[EffectiveQty]&gt;0)*T_PlannedOrders[Order_Month])),"m月")&amp;"発注)")</f>
        <v/>
      </c>
      <c r="CB109">
        <f>IF(SUMIFS(T_PlannedOrders[EffectiveQty],T_PlannedOrders[Part Name],$A103,T_PlannedOrders[WeekIndex],77)=0,"",SUMIFS(T_PlannedOrders[EffectiveQty],T_PlannedOrders[Part Name],$A103,T_PlannedOrders[WeekIndex],77)&amp;" ("&amp;TEXT(SUMPRODUCT(MAX((T_PlannedOrders[Part Name]=$A103)*(T_PlannedOrders[WeekIndex]=77)*(T_PlannedOrders[EffectiveQty]&gt;0)*T_PlannedOrders[Order_Month])),"m月")&amp;"発注)")</f>
        <v/>
      </c>
      <c r="CC109">
        <f>IF(SUMIFS(T_PlannedOrders[EffectiveQty],T_PlannedOrders[Part Name],$A103,T_PlannedOrders[WeekIndex],78)=0,"",SUMIFS(T_PlannedOrders[EffectiveQty],T_PlannedOrders[Part Name],$A103,T_PlannedOrders[WeekIndex],78)&amp;" ("&amp;TEXT(SUMPRODUCT(MAX((T_PlannedOrders[Part Name]=$A103)*(T_PlannedOrders[WeekIndex]=78)*(T_PlannedOrders[EffectiveQty]&gt;0)*T_PlannedOrders[Order_Month])),"m月")&amp;"発注)")</f>
        <v/>
      </c>
      <c r="CD109">
        <f>IF(SUMIFS(T_PlannedOrders[EffectiveQty],T_PlannedOrders[Part Name],$A103,T_PlannedOrders[WeekIndex],79)=0,"",SUMIFS(T_PlannedOrders[EffectiveQty],T_PlannedOrders[Part Name],$A103,T_PlannedOrders[WeekIndex],79)&amp;" ("&amp;TEXT(SUMPRODUCT(MAX((T_PlannedOrders[Part Name]=$A103)*(T_PlannedOrders[WeekIndex]=79)*(T_PlannedOrders[EffectiveQty]&gt;0)*T_PlannedOrders[Order_Month])),"m月")&amp;"発注)")</f>
        <v/>
      </c>
      <c r="CE109">
        <f>IF(SUMIFS(T_PlannedOrders[EffectiveQty],T_PlannedOrders[Part Name],$A103,T_PlannedOrders[WeekIndex],80)=0,"",SUMIFS(T_PlannedOrders[EffectiveQty],T_PlannedOrders[Part Name],$A103,T_PlannedOrders[WeekIndex],80)&amp;" ("&amp;TEXT(SUMPRODUCT(MAX((T_PlannedOrders[Part Name]=$A103)*(T_PlannedOrders[WeekIndex]=80)*(T_PlannedOrders[EffectiveQty]&gt;0)*T_PlannedOrders[Order_Month])),"m月")&amp;"発注)")</f>
        <v/>
      </c>
      <c r="CF109">
        <f>IF(SUMIFS(T_PlannedOrders[EffectiveQty],T_PlannedOrders[Part Name],$A103,T_PlannedOrders[WeekIndex],81)=0,"",SUMIFS(T_PlannedOrders[EffectiveQty],T_PlannedOrders[Part Name],$A103,T_PlannedOrders[WeekIndex],81)&amp;" ("&amp;TEXT(SUMPRODUCT(MAX((T_PlannedOrders[Part Name]=$A103)*(T_PlannedOrders[WeekIndex]=81)*(T_PlannedOrders[EffectiveQty]&gt;0)*T_PlannedOrders[Order_Month])),"m月")&amp;"発注)")</f>
        <v/>
      </c>
      <c r="CG109">
        <f>IF(SUMIFS(T_PlannedOrders[EffectiveQty],T_PlannedOrders[Part Name],$A103,T_PlannedOrders[WeekIndex],82)=0,"",SUMIFS(T_PlannedOrders[EffectiveQty],T_PlannedOrders[Part Name],$A103,T_PlannedOrders[WeekIndex],82)&amp;" ("&amp;TEXT(SUMPRODUCT(MAX((T_PlannedOrders[Part Name]=$A103)*(T_PlannedOrders[WeekIndex]=82)*(T_PlannedOrders[EffectiveQty]&gt;0)*T_PlannedOrders[Order_Month])),"m月")&amp;"発注)")</f>
        <v/>
      </c>
      <c r="CH109">
        <f>IF(SUMIFS(T_PlannedOrders[EffectiveQty],T_PlannedOrders[Part Name],$A103,T_PlannedOrders[WeekIndex],83)=0,"",SUMIFS(T_PlannedOrders[EffectiveQty],T_PlannedOrders[Part Name],$A103,T_PlannedOrders[WeekIndex],83)&amp;" ("&amp;TEXT(SUMPRODUCT(MAX((T_PlannedOrders[Part Name]=$A103)*(T_PlannedOrders[WeekIndex]=83)*(T_PlannedOrders[EffectiveQty]&gt;0)*T_PlannedOrders[Order_Month])),"m月")&amp;"発注)")</f>
        <v/>
      </c>
      <c r="CI109">
        <f>IF(SUMIFS(T_PlannedOrders[EffectiveQty],T_PlannedOrders[Part Name],$A103,T_PlannedOrders[WeekIndex],84)=0,"",SUMIFS(T_PlannedOrders[EffectiveQty],T_PlannedOrders[Part Name],$A103,T_PlannedOrders[WeekIndex],84)&amp;" ("&amp;TEXT(SUMPRODUCT(MAX((T_PlannedOrders[Part Name]=$A103)*(T_PlannedOrders[WeekIndex]=84)*(T_PlannedOrders[EffectiveQty]&gt;0)*T_PlannedOrders[Order_Month])),"m月")&amp;"発注)")</f>
        <v/>
      </c>
      <c r="CJ109">
        <f>IF(SUMIFS(T_PlannedOrders[EffectiveQty],T_PlannedOrders[Part Name],$A103,T_PlannedOrders[WeekIndex],85)=0,"",SUMIFS(T_PlannedOrders[EffectiveQty],T_PlannedOrders[Part Name],$A103,T_PlannedOrders[WeekIndex],85)&amp;" ("&amp;TEXT(SUMPRODUCT(MAX((T_PlannedOrders[Part Name]=$A103)*(T_PlannedOrders[WeekIndex]=85)*(T_PlannedOrders[EffectiveQty]&gt;0)*T_PlannedOrders[Order_Month])),"m月")&amp;"発注)")</f>
        <v/>
      </c>
      <c r="CK109">
        <f>IF(SUMIFS(T_PlannedOrders[EffectiveQty],T_PlannedOrders[Part Name],$A103,T_PlannedOrders[WeekIndex],86)=0,"",SUMIFS(T_PlannedOrders[EffectiveQty],T_PlannedOrders[Part Name],$A103,T_PlannedOrders[WeekIndex],86)&amp;" ("&amp;TEXT(SUMPRODUCT(MAX((T_PlannedOrders[Part Name]=$A103)*(T_PlannedOrders[WeekIndex]=86)*(T_PlannedOrders[EffectiveQty]&gt;0)*T_PlannedOrders[Order_Month])),"m月")&amp;"発注)")</f>
        <v/>
      </c>
      <c r="CL109">
        <f>IF(SUMIFS(T_PlannedOrders[EffectiveQty],T_PlannedOrders[Part Name],$A103,T_PlannedOrders[WeekIndex],87)=0,"",SUMIFS(T_PlannedOrders[EffectiveQty],T_PlannedOrders[Part Name],$A103,T_PlannedOrders[WeekIndex],87)&amp;" ("&amp;TEXT(SUMPRODUCT(MAX((T_PlannedOrders[Part Name]=$A103)*(T_PlannedOrders[WeekIndex]=87)*(T_PlannedOrders[EffectiveQty]&gt;0)*T_PlannedOrders[Order_Month])),"m月")&amp;"発注)")</f>
        <v/>
      </c>
      <c r="CM109">
        <f>IF(SUMIFS(T_PlannedOrders[EffectiveQty],T_PlannedOrders[Part Name],$A103,T_PlannedOrders[WeekIndex],88)=0,"",SUMIFS(T_PlannedOrders[EffectiveQty],T_PlannedOrders[Part Name],$A103,T_PlannedOrders[WeekIndex],88)&amp;" ("&amp;TEXT(SUMPRODUCT(MAX((T_PlannedOrders[Part Name]=$A103)*(T_PlannedOrders[WeekIndex]=88)*(T_PlannedOrders[EffectiveQty]&gt;0)*T_PlannedOrders[Order_Month])),"m月")&amp;"発注)")</f>
        <v/>
      </c>
      <c r="CN109">
        <f>IF(SUMIFS(T_PlannedOrders[EffectiveQty],T_PlannedOrders[Part Name],$A103,T_PlannedOrders[WeekIndex],89)=0,"",SUMIFS(T_PlannedOrders[EffectiveQty],T_PlannedOrders[Part Name],$A103,T_PlannedOrders[WeekIndex],89)&amp;" ("&amp;TEXT(SUMPRODUCT(MAX((T_PlannedOrders[Part Name]=$A103)*(T_PlannedOrders[WeekIndex]=89)*(T_PlannedOrders[EffectiveQty]&gt;0)*T_PlannedOrders[Order_Month])),"m月")&amp;"発注)")</f>
        <v/>
      </c>
      <c r="CO109">
        <f>IF(SUMIFS(T_PlannedOrders[EffectiveQty],T_PlannedOrders[Part Name],$A103,T_PlannedOrders[WeekIndex],90)=0,"",SUMIFS(T_PlannedOrders[EffectiveQty],T_PlannedOrders[Part Name],$A103,T_PlannedOrders[WeekIndex],90)&amp;" ("&amp;TEXT(SUMPRODUCT(MAX((T_PlannedOrders[Part Name]=$A103)*(T_PlannedOrders[WeekIndex]=90)*(T_PlannedOrders[EffectiveQty]&gt;0)*T_PlannedOrders[Order_Month])),"m月")&amp;"発注)")</f>
        <v/>
      </c>
      <c r="CP109">
        <f>IF(SUMIFS(T_PlannedOrders[EffectiveQty],T_PlannedOrders[Part Name],$A103,T_PlannedOrders[WeekIndex],91)=0,"",SUMIFS(T_PlannedOrders[EffectiveQty],T_PlannedOrders[Part Name],$A103,T_PlannedOrders[WeekIndex],91)&amp;" ("&amp;TEXT(SUMPRODUCT(MAX((T_PlannedOrders[Part Name]=$A103)*(T_PlannedOrders[WeekIndex]=91)*(T_PlannedOrders[EffectiveQty]&gt;0)*T_PlannedOrders[Order_Month])),"m月")&amp;"発注)")</f>
        <v/>
      </c>
      <c r="CQ109">
        <f>IF(SUMIFS(T_PlannedOrders[EffectiveQty],T_PlannedOrders[Part Name],$A103,T_PlannedOrders[WeekIndex],92)=0,"",SUMIFS(T_PlannedOrders[EffectiveQty],T_PlannedOrders[Part Name],$A103,T_PlannedOrders[WeekIndex],92)&amp;" ("&amp;TEXT(SUMPRODUCT(MAX((T_PlannedOrders[Part Name]=$A103)*(T_PlannedOrders[WeekIndex]=92)*(T_PlannedOrders[EffectiveQty]&gt;0)*T_PlannedOrders[Order_Month])),"m月")&amp;"発注)")</f>
        <v/>
      </c>
      <c r="CR109">
        <f>IF(SUMIFS(T_PlannedOrders[EffectiveQty],T_PlannedOrders[Part Name],$A103,T_PlannedOrders[WeekIndex],93)=0,"",SUMIFS(T_PlannedOrders[EffectiveQty],T_PlannedOrders[Part Name],$A103,T_PlannedOrders[WeekIndex],93)&amp;" ("&amp;TEXT(SUMPRODUCT(MAX((T_PlannedOrders[Part Name]=$A103)*(T_PlannedOrders[WeekIndex]=93)*(T_PlannedOrders[EffectiveQty]&gt;0)*T_PlannedOrders[Order_Month])),"m月")&amp;"発注)")</f>
        <v/>
      </c>
      <c r="CS109">
        <f>IF(SUMIFS(T_PlannedOrders[EffectiveQty],T_PlannedOrders[Part Name],$A103,T_PlannedOrders[WeekIndex],94)=0,"",SUMIFS(T_PlannedOrders[EffectiveQty],T_PlannedOrders[Part Name],$A103,T_PlannedOrders[WeekIndex],94)&amp;" ("&amp;TEXT(SUMPRODUCT(MAX((T_PlannedOrders[Part Name]=$A103)*(T_PlannedOrders[WeekIndex]=94)*(T_PlannedOrders[EffectiveQty]&gt;0)*T_PlannedOrders[Order_Month])),"m月")&amp;"発注)")</f>
        <v/>
      </c>
      <c r="CT109">
        <f>IF(SUMIFS(T_PlannedOrders[EffectiveQty],T_PlannedOrders[Part Name],$A103,T_PlannedOrders[WeekIndex],95)=0,"",SUMIFS(T_PlannedOrders[EffectiveQty],T_PlannedOrders[Part Name],$A103,T_PlannedOrders[WeekIndex],95)&amp;" ("&amp;TEXT(SUMPRODUCT(MAX((T_PlannedOrders[Part Name]=$A103)*(T_PlannedOrders[WeekIndex]=95)*(T_PlannedOrders[EffectiveQty]&gt;0)*T_PlannedOrders[Order_Month])),"m月")&amp;"発注)")</f>
        <v/>
      </c>
      <c r="CU109">
        <f>IF(SUMIFS(T_PlannedOrders[EffectiveQty],T_PlannedOrders[Part Name],$A103,T_PlannedOrders[WeekIndex],96)=0,"",SUMIFS(T_PlannedOrders[EffectiveQty],T_PlannedOrders[Part Name],$A103,T_PlannedOrders[WeekIndex],96)&amp;" ("&amp;TEXT(SUMPRODUCT(MAX((T_PlannedOrders[Part Name]=$A103)*(T_PlannedOrders[WeekIndex]=96)*(T_PlannedOrders[EffectiveQty]&gt;0)*T_PlannedOrders[Order_Month])),"m月")&amp;"発注)")</f>
        <v/>
      </c>
      <c r="CV109">
        <f>IF(SUMIFS(T_PlannedOrders[EffectiveQty],T_PlannedOrders[Part Name],$A103,T_PlannedOrders[WeekIndex],97)=0,"",SUMIFS(T_PlannedOrders[EffectiveQty],T_PlannedOrders[Part Name],$A103,T_PlannedOrders[WeekIndex],97)&amp;" ("&amp;TEXT(SUMPRODUCT(MAX((T_PlannedOrders[Part Name]=$A103)*(T_PlannedOrders[WeekIndex]=97)*(T_PlannedOrders[EffectiveQty]&gt;0)*T_PlannedOrders[Order_Month])),"m月")&amp;"発注)")</f>
        <v/>
      </c>
      <c r="CW109">
        <f>IF(SUMIFS(T_PlannedOrders[EffectiveQty],T_PlannedOrders[Part Name],$A103,T_PlannedOrders[WeekIndex],98)=0,"",SUMIFS(T_PlannedOrders[EffectiveQty],T_PlannedOrders[Part Name],$A103,T_PlannedOrders[WeekIndex],98)&amp;" ("&amp;TEXT(SUMPRODUCT(MAX((T_PlannedOrders[Part Name]=$A103)*(T_PlannedOrders[WeekIndex]=98)*(T_PlannedOrders[EffectiveQty]&gt;0)*T_PlannedOrders[Order_Month])),"m月")&amp;"発注)")</f>
        <v/>
      </c>
      <c r="CX109">
        <f>IF(SUMIFS(T_PlannedOrders[EffectiveQty],T_PlannedOrders[Part Name],$A103,T_PlannedOrders[WeekIndex],99)=0,"",SUMIFS(T_PlannedOrders[EffectiveQty],T_PlannedOrders[Part Name],$A103,T_PlannedOrders[WeekIndex],99)&amp;" ("&amp;TEXT(SUMPRODUCT(MAX((T_PlannedOrders[Part Name]=$A103)*(T_PlannedOrders[WeekIndex]=99)*(T_PlannedOrders[EffectiveQty]&gt;0)*T_PlannedOrders[Order_Month])),"m月")&amp;"発注)")</f>
        <v/>
      </c>
      <c r="CY109">
        <f>IF(SUMIFS(T_PlannedOrders[EffectiveQty],T_PlannedOrders[Part Name],$A103,T_PlannedOrders[WeekIndex],100)=0,"",SUMIFS(T_PlannedOrders[EffectiveQty],T_PlannedOrders[Part Name],$A103,T_PlannedOrders[WeekIndex],100)&amp;" ("&amp;TEXT(SUMPRODUCT(MAX((T_PlannedOrders[Part Name]=$A103)*(T_PlannedOrders[WeekIndex]=100)*(T_PlannedOrders[EffectiveQty]&gt;0)*T_PlannedOrders[Order_Month])),"m月")&amp;"発注)")</f>
        <v/>
      </c>
      <c r="CZ109">
        <f>IF(SUMIFS(T_PlannedOrders[EffectiveQty],T_PlannedOrders[Part Name],$A103,T_PlannedOrders[WeekIndex],101)=0,"",SUMIFS(T_PlannedOrders[EffectiveQty],T_PlannedOrders[Part Name],$A103,T_PlannedOrders[WeekIndex],101)&amp;" ("&amp;TEXT(SUMPRODUCT(MAX((T_PlannedOrders[Part Name]=$A103)*(T_PlannedOrders[WeekIndex]=101)*(T_PlannedOrders[EffectiveQty]&gt;0)*T_PlannedOrders[Order_Month])),"m月")&amp;"発注)")</f>
        <v/>
      </c>
      <c r="DA109">
        <f>IF(SUMIFS(T_PlannedOrders[EffectiveQty],T_PlannedOrders[Part Name],$A103,T_PlannedOrders[WeekIndex],102)=0,"",SUMIFS(T_PlannedOrders[EffectiveQty],T_PlannedOrders[Part Name],$A103,T_PlannedOrders[WeekIndex],102)&amp;" ("&amp;TEXT(SUMPRODUCT(MAX((T_PlannedOrders[Part Name]=$A103)*(T_PlannedOrders[WeekIndex]=102)*(T_PlannedOrders[EffectiveQty]&gt;0)*T_PlannedOrders[Order_Month])),"m月")&amp;"発注)")</f>
        <v/>
      </c>
      <c r="DB109">
        <f>IF(SUMIFS(T_PlannedOrders[EffectiveQty],T_PlannedOrders[Part Name],$A103,T_PlannedOrders[WeekIndex],103)=0,"",SUMIFS(T_PlannedOrders[EffectiveQty],T_PlannedOrders[Part Name],$A103,T_PlannedOrders[WeekIndex],103)&amp;" ("&amp;TEXT(SUMPRODUCT(MAX((T_PlannedOrders[Part Name]=$A103)*(T_PlannedOrders[WeekIndex]=103)*(T_PlannedOrders[EffectiveQty]&gt;0)*T_PlannedOrders[Order_Month])),"m月")&amp;"発注)")</f>
        <v/>
      </c>
      <c r="DC109">
        <f>IF(SUMIFS(T_PlannedOrders[EffectiveQty],T_PlannedOrders[Part Name],$A103,T_PlannedOrders[WeekIndex],104)=0,"",SUMIFS(T_PlannedOrders[EffectiveQty],T_PlannedOrders[Part Name],$A103,T_PlannedOrders[WeekIndex],104)&amp;" ("&amp;TEXT(SUMPRODUCT(MAX((T_PlannedOrders[Part Name]=$A103)*(T_PlannedOrders[WeekIndex]=104)*(T_PlannedOrders[EffectiveQty]&gt;0)*T_PlannedOrders[Order_Month])),"m月")&amp;"発注)")</f>
        <v/>
      </c>
    </row>
    <row r="110">
      <c r="B110" s="5" t="inlineStr">
        <is>
          <t>合計在庫(週末時点,kg)</t>
        </is>
      </c>
      <c r="D110">
        <f>'Grid_Stock'!B9</f>
        <v/>
      </c>
      <c r="E110">
        <f>'Grid_Stock'!C9</f>
        <v/>
      </c>
      <c r="F110">
        <f>'Grid_Stock'!D9</f>
        <v/>
      </c>
      <c r="G110">
        <f>'Grid_Stock'!E9</f>
        <v/>
      </c>
      <c r="H110">
        <f>'Grid_Stock'!F9</f>
        <v/>
      </c>
      <c r="I110">
        <f>'Grid_Stock'!G9</f>
        <v/>
      </c>
      <c r="J110">
        <f>'Grid_Stock'!H9</f>
        <v/>
      </c>
      <c r="K110">
        <f>'Grid_Stock'!I9</f>
        <v/>
      </c>
      <c r="L110">
        <f>'Grid_Stock'!J9</f>
        <v/>
      </c>
      <c r="M110">
        <f>'Grid_Stock'!K9</f>
        <v/>
      </c>
      <c r="N110">
        <f>'Grid_Stock'!L9</f>
        <v/>
      </c>
      <c r="O110">
        <f>'Grid_Stock'!M9</f>
        <v/>
      </c>
      <c r="P110">
        <f>'Grid_Stock'!N9</f>
        <v/>
      </c>
      <c r="Q110">
        <f>'Grid_Stock'!O9</f>
        <v/>
      </c>
      <c r="R110">
        <f>'Grid_Stock'!P9</f>
        <v/>
      </c>
      <c r="S110">
        <f>'Grid_Stock'!Q9</f>
        <v/>
      </c>
      <c r="T110">
        <f>'Grid_Stock'!R9</f>
        <v/>
      </c>
      <c r="U110">
        <f>'Grid_Stock'!S9</f>
        <v/>
      </c>
      <c r="V110">
        <f>'Grid_Stock'!T9</f>
        <v/>
      </c>
      <c r="W110">
        <f>'Grid_Stock'!U9</f>
        <v/>
      </c>
      <c r="X110">
        <f>'Grid_Stock'!V9</f>
        <v/>
      </c>
      <c r="Y110">
        <f>'Grid_Stock'!W9</f>
        <v/>
      </c>
      <c r="Z110">
        <f>'Grid_Stock'!X9</f>
        <v/>
      </c>
      <c r="AA110">
        <f>'Grid_Stock'!Y9</f>
        <v/>
      </c>
      <c r="AB110">
        <f>'Grid_Stock'!Z9</f>
        <v/>
      </c>
      <c r="AC110">
        <f>'Grid_Stock'!AA9</f>
        <v/>
      </c>
      <c r="AD110">
        <f>'Grid_Stock'!AB9</f>
        <v/>
      </c>
      <c r="AE110">
        <f>'Grid_Stock'!AC9</f>
        <v/>
      </c>
      <c r="AF110">
        <f>'Grid_Stock'!AD9</f>
        <v/>
      </c>
      <c r="AG110">
        <f>'Grid_Stock'!AE9</f>
        <v/>
      </c>
      <c r="AH110">
        <f>'Grid_Stock'!AF9</f>
        <v/>
      </c>
      <c r="AI110">
        <f>'Grid_Stock'!AG9</f>
        <v/>
      </c>
      <c r="AJ110">
        <f>'Grid_Stock'!AH9</f>
        <v/>
      </c>
      <c r="AK110">
        <f>'Grid_Stock'!AI9</f>
        <v/>
      </c>
      <c r="AL110">
        <f>'Grid_Stock'!AJ9</f>
        <v/>
      </c>
      <c r="AM110">
        <f>'Grid_Stock'!AK9</f>
        <v/>
      </c>
      <c r="AN110">
        <f>'Grid_Stock'!AL9</f>
        <v/>
      </c>
      <c r="AO110">
        <f>'Grid_Stock'!AM9</f>
        <v/>
      </c>
      <c r="AP110">
        <f>'Grid_Stock'!AN9</f>
        <v/>
      </c>
      <c r="AQ110">
        <f>'Grid_Stock'!AO9</f>
        <v/>
      </c>
      <c r="AR110">
        <f>'Grid_Stock'!AP9</f>
        <v/>
      </c>
      <c r="AS110">
        <f>'Grid_Stock'!AQ9</f>
        <v/>
      </c>
      <c r="AT110">
        <f>'Grid_Stock'!AR9</f>
        <v/>
      </c>
      <c r="AU110">
        <f>'Grid_Stock'!AS9</f>
        <v/>
      </c>
      <c r="AV110">
        <f>'Grid_Stock'!AT9</f>
        <v/>
      </c>
      <c r="AW110">
        <f>'Grid_Stock'!AU9</f>
        <v/>
      </c>
      <c r="AX110">
        <f>'Grid_Stock'!AV9</f>
        <v/>
      </c>
      <c r="AY110">
        <f>'Grid_Stock'!AW9</f>
        <v/>
      </c>
      <c r="AZ110">
        <f>'Grid_Stock'!AX9</f>
        <v/>
      </c>
      <c r="BA110">
        <f>'Grid_Stock'!AY9</f>
        <v/>
      </c>
      <c r="BB110">
        <f>'Grid_Stock'!AZ9</f>
        <v/>
      </c>
      <c r="BC110">
        <f>'Grid_Stock'!BA9</f>
        <v/>
      </c>
      <c r="BD110">
        <f>'Grid_Stock'!BB9</f>
        <v/>
      </c>
      <c r="BE110">
        <f>'Grid_Stock'!BC9</f>
        <v/>
      </c>
      <c r="BF110">
        <f>'Grid_Stock'!BD9</f>
        <v/>
      </c>
      <c r="BG110">
        <f>'Grid_Stock'!BE9</f>
        <v/>
      </c>
      <c r="BH110">
        <f>'Grid_Stock'!BF9</f>
        <v/>
      </c>
      <c r="BI110">
        <f>'Grid_Stock'!BG9</f>
        <v/>
      </c>
      <c r="BJ110">
        <f>'Grid_Stock'!BH9</f>
        <v/>
      </c>
      <c r="BK110">
        <f>'Grid_Stock'!BI9</f>
        <v/>
      </c>
      <c r="BL110">
        <f>'Grid_Stock'!BJ9</f>
        <v/>
      </c>
      <c r="BM110">
        <f>'Grid_Stock'!BK9</f>
        <v/>
      </c>
      <c r="BN110">
        <f>'Grid_Stock'!BL9</f>
        <v/>
      </c>
      <c r="BO110">
        <f>'Grid_Stock'!BM9</f>
        <v/>
      </c>
      <c r="BP110">
        <f>'Grid_Stock'!BN9</f>
        <v/>
      </c>
      <c r="BQ110">
        <f>'Grid_Stock'!BO9</f>
        <v/>
      </c>
      <c r="BR110">
        <f>'Grid_Stock'!BP9</f>
        <v/>
      </c>
      <c r="BS110">
        <f>'Grid_Stock'!BQ9</f>
        <v/>
      </c>
      <c r="BT110">
        <f>'Grid_Stock'!BR9</f>
        <v/>
      </c>
      <c r="BU110">
        <f>'Grid_Stock'!BS9</f>
        <v/>
      </c>
      <c r="BV110">
        <f>'Grid_Stock'!BT9</f>
        <v/>
      </c>
      <c r="BW110">
        <f>'Grid_Stock'!BU9</f>
        <v/>
      </c>
      <c r="BX110">
        <f>'Grid_Stock'!BV9</f>
        <v/>
      </c>
      <c r="BY110">
        <f>'Grid_Stock'!BW9</f>
        <v/>
      </c>
      <c r="BZ110">
        <f>'Grid_Stock'!BX9</f>
        <v/>
      </c>
      <c r="CA110">
        <f>'Grid_Stock'!BY9</f>
        <v/>
      </c>
      <c r="CB110">
        <f>'Grid_Stock'!BZ9</f>
        <v/>
      </c>
      <c r="CC110">
        <f>'Grid_Stock'!CA9</f>
        <v/>
      </c>
      <c r="CD110">
        <f>'Grid_Stock'!CB9</f>
        <v/>
      </c>
      <c r="CE110">
        <f>'Grid_Stock'!CC9</f>
        <v/>
      </c>
      <c r="CF110">
        <f>'Grid_Stock'!CD9</f>
        <v/>
      </c>
      <c r="CG110">
        <f>'Grid_Stock'!CE9</f>
        <v/>
      </c>
      <c r="CH110">
        <f>'Grid_Stock'!CF9</f>
        <v/>
      </c>
      <c r="CI110">
        <f>'Grid_Stock'!CG9</f>
        <v/>
      </c>
      <c r="CJ110">
        <f>'Grid_Stock'!CH9</f>
        <v/>
      </c>
      <c r="CK110">
        <f>'Grid_Stock'!CI9</f>
        <v/>
      </c>
      <c r="CL110">
        <f>'Grid_Stock'!CJ9</f>
        <v/>
      </c>
      <c r="CM110">
        <f>'Grid_Stock'!CK9</f>
        <v/>
      </c>
      <c r="CN110">
        <f>'Grid_Stock'!CL9</f>
        <v/>
      </c>
      <c r="CO110">
        <f>'Grid_Stock'!CM9</f>
        <v/>
      </c>
      <c r="CP110">
        <f>'Grid_Stock'!CN9</f>
        <v/>
      </c>
      <c r="CQ110">
        <f>'Grid_Stock'!CO9</f>
        <v/>
      </c>
      <c r="CR110">
        <f>'Grid_Stock'!CP9</f>
        <v/>
      </c>
      <c r="CS110">
        <f>'Grid_Stock'!CQ9</f>
        <v/>
      </c>
      <c r="CT110">
        <f>'Grid_Stock'!CR9</f>
        <v/>
      </c>
      <c r="CU110">
        <f>'Grid_Stock'!CS9</f>
        <v/>
      </c>
      <c r="CV110">
        <f>'Grid_Stock'!CT9</f>
        <v/>
      </c>
      <c r="CW110">
        <f>'Grid_Stock'!CU9</f>
        <v/>
      </c>
      <c r="CX110">
        <f>'Grid_Stock'!CV9</f>
        <v/>
      </c>
      <c r="CY110">
        <f>'Grid_Stock'!CW9</f>
        <v/>
      </c>
      <c r="CZ110">
        <f>'Grid_Stock'!CX9</f>
        <v/>
      </c>
      <c r="DA110">
        <f>'Grid_Stock'!CY9</f>
        <v/>
      </c>
      <c r="DB110">
        <f>'Grid_Stock'!CZ9</f>
        <v/>
      </c>
      <c r="DC110">
        <f>'Grid_Stock'!DA9</f>
        <v/>
      </c>
    </row>
    <row r="111">
      <c r="B111" s="23" t="inlineStr">
        <is>
          <t>（発注の目安はDashboardの基準在庫[下限/上限]と色分けを参照）</t>
        </is>
      </c>
    </row>
    <row r="113">
      <c r="A113" s="21" t="inlineStr">
        <is>
          <t>OLJ</t>
        </is>
      </c>
      <c r="B113" s="21" t="inlineStr">
        <is>
          <t>Substrate NGK N126-103-105xT5</t>
        </is>
      </c>
      <c r="C113" s="22" t="n"/>
      <c r="D113" s="21" t="n"/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  <c r="AA113" s="21" t="n"/>
      <c r="AB113" s="21" t="n"/>
      <c r="AC113" s="21" t="n"/>
      <c r="AD113" s="21" t="n"/>
      <c r="AE113" s="21" t="n"/>
      <c r="AF113" s="21" t="n"/>
      <c r="AG113" s="21" t="n"/>
      <c r="AH113" s="21" t="n"/>
      <c r="AI113" s="21" t="n"/>
      <c r="AJ113" s="21" t="n"/>
      <c r="AK113" s="21" t="n"/>
      <c r="AL113" s="21" t="n"/>
      <c r="AM113" s="21" t="n"/>
      <c r="AN113" s="21" t="n"/>
      <c r="AO113" s="21" t="n"/>
      <c r="AP113" s="21" t="n"/>
      <c r="AQ113" s="21" t="n"/>
      <c r="AR113" s="21" t="n"/>
      <c r="AS113" s="21" t="n"/>
      <c r="AT113" s="21" t="n"/>
      <c r="AU113" s="21" t="n"/>
      <c r="AV113" s="21" t="n"/>
      <c r="AW113" s="21" t="n"/>
      <c r="AX113" s="21" t="n"/>
      <c r="AY113" s="21" t="n"/>
      <c r="AZ113" s="21" t="n"/>
      <c r="BA113" s="21" t="n"/>
      <c r="BB113" s="21" t="n"/>
      <c r="BC113" s="21" t="n"/>
      <c r="BD113" s="21" t="n"/>
      <c r="BE113" s="21" t="n"/>
      <c r="BF113" s="21" t="n"/>
      <c r="BG113" s="21" t="n"/>
      <c r="BH113" s="21" t="n"/>
      <c r="BI113" s="21" t="n"/>
      <c r="BJ113" s="21" t="n"/>
      <c r="BK113" s="21" t="n"/>
      <c r="BL113" s="21" t="n"/>
      <c r="BM113" s="21" t="n"/>
      <c r="BN113" s="21" t="n"/>
      <c r="BO113" s="21" t="n"/>
      <c r="BP113" s="21" t="n"/>
      <c r="BQ113" s="21" t="n"/>
      <c r="BR113" s="21" t="n"/>
      <c r="BS113" s="21" t="n"/>
      <c r="BT113" s="21" t="n"/>
      <c r="BU113" s="21" t="n"/>
      <c r="BV113" s="21" t="n"/>
      <c r="BW113" s="21" t="n"/>
      <c r="BX113" s="21" t="n"/>
      <c r="BY113" s="21" t="n"/>
      <c r="BZ113" s="21" t="n"/>
      <c r="CA113" s="21" t="n"/>
      <c r="CB113" s="21" t="n"/>
      <c r="CC113" s="21" t="n"/>
      <c r="CD113" s="21" t="n"/>
      <c r="CE113" s="21" t="n"/>
      <c r="CF113" s="21" t="n"/>
      <c r="CG113" s="21" t="n"/>
      <c r="CH113" s="21" t="n"/>
      <c r="CI113" s="21" t="n"/>
      <c r="CJ113" s="21" t="n"/>
      <c r="CK113" s="21" t="n"/>
      <c r="CL113" s="21" t="n"/>
      <c r="CM113" s="21" t="n"/>
      <c r="CN113" s="21" t="n"/>
      <c r="CO113" s="21" t="n"/>
      <c r="CP113" s="21" t="n"/>
      <c r="CQ113" s="21" t="n"/>
      <c r="CR113" s="21" t="n"/>
      <c r="CS113" s="21" t="n"/>
      <c r="CT113" s="21" t="n"/>
      <c r="CU113" s="21" t="n"/>
      <c r="CV113" s="21" t="n"/>
      <c r="CW113" s="21" t="n"/>
      <c r="CX113" s="21" t="n"/>
      <c r="CY113" s="21" t="n"/>
      <c r="CZ113" s="21" t="n"/>
      <c r="DA113" s="21" t="n"/>
      <c r="DB113" s="21" t="n"/>
      <c r="DC113" s="21" t="n"/>
    </row>
    <row r="114">
      <c r="B114" t="inlineStr">
        <is>
          <t>0T150</t>
        </is>
      </c>
      <c r="C114" t="inlineStr">
        <is>
          <t>No. of batches</t>
        </is>
      </c>
      <c r="D114">
        <f>IFERROR(INDEX(PP_Grid[#Data],$DD114,2),0)</f>
        <v/>
      </c>
      <c r="E114">
        <f>IFERROR(INDEX(PP_Grid[#Data],$DD114,3),0)</f>
        <v/>
      </c>
      <c r="F114">
        <f>IFERROR(INDEX(PP_Grid[#Data],$DD114,4),0)</f>
        <v/>
      </c>
      <c r="G114">
        <f>IFERROR(INDEX(PP_Grid[#Data],$DD114,5),0)</f>
        <v/>
      </c>
      <c r="H114">
        <f>IFERROR(INDEX(PP_Grid[#Data],$DD114,6),0)</f>
        <v/>
      </c>
      <c r="I114">
        <f>IFERROR(INDEX(PP_Grid[#Data],$DD114,7),0)</f>
        <v/>
      </c>
      <c r="J114">
        <f>IFERROR(INDEX(PP_Grid[#Data],$DD114,8),0)</f>
        <v/>
      </c>
      <c r="K114">
        <f>IFERROR(INDEX(PP_Grid[#Data],$DD114,9),0)</f>
        <v/>
      </c>
      <c r="L114">
        <f>IFERROR(INDEX(PP_Grid[#Data],$DD114,10),0)</f>
        <v/>
      </c>
      <c r="M114">
        <f>IFERROR(INDEX(PP_Grid[#Data],$DD114,11),0)</f>
        <v/>
      </c>
      <c r="N114">
        <f>IFERROR(INDEX(PP_Grid[#Data],$DD114,12),0)</f>
        <v/>
      </c>
      <c r="O114">
        <f>IFERROR(INDEX(PP_Grid[#Data],$DD114,13),0)</f>
        <v/>
      </c>
      <c r="P114">
        <f>IFERROR(INDEX(PP_Grid[#Data],$DD114,14),0)</f>
        <v/>
      </c>
      <c r="Q114">
        <f>IFERROR(INDEX(PP_Grid[#Data],$DD114,15),0)</f>
        <v/>
      </c>
      <c r="R114">
        <f>IFERROR(INDEX(PP_Grid[#Data],$DD114,16),0)</f>
        <v/>
      </c>
      <c r="S114">
        <f>IFERROR(INDEX(PP_Grid[#Data],$DD114,17),0)</f>
        <v/>
      </c>
      <c r="T114">
        <f>IFERROR(INDEX(PP_Grid[#Data],$DD114,18),0)</f>
        <v/>
      </c>
      <c r="U114">
        <f>IFERROR(INDEX(PP_Grid[#Data],$DD114,19),0)</f>
        <v/>
      </c>
      <c r="V114">
        <f>IFERROR(INDEX(PP_Grid[#Data],$DD114,20),0)</f>
        <v/>
      </c>
      <c r="W114">
        <f>IFERROR(INDEX(PP_Grid[#Data],$DD114,21),0)</f>
        <v/>
      </c>
      <c r="X114">
        <f>IFERROR(INDEX(PP_Grid[#Data],$DD114,22),0)</f>
        <v/>
      </c>
      <c r="Y114">
        <f>IFERROR(INDEX(PP_Grid[#Data],$DD114,23),0)</f>
        <v/>
      </c>
      <c r="Z114">
        <f>IFERROR(INDEX(PP_Grid[#Data],$DD114,24),0)</f>
        <v/>
      </c>
      <c r="AA114">
        <f>IFERROR(INDEX(PP_Grid[#Data],$DD114,25),0)</f>
        <v/>
      </c>
      <c r="AB114">
        <f>IFERROR(INDEX(PP_Grid[#Data],$DD114,26),0)</f>
        <v/>
      </c>
      <c r="AC114">
        <f>IFERROR(INDEX(PP_Grid[#Data],$DD114,27),0)</f>
        <v/>
      </c>
      <c r="AD114">
        <f>IFERROR(INDEX(PP_Grid[#Data],$DD114,28),0)</f>
        <v/>
      </c>
      <c r="AE114">
        <f>IFERROR(INDEX(PP_Grid[#Data],$DD114,29),0)</f>
        <v/>
      </c>
      <c r="AF114">
        <f>IFERROR(INDEX(PP_Grid[#Data],$DD114,30),0)</f>
        <v/>
      </c>
      <c r="AG114">
        <f>IFERROR(INDEX(PP_Grid[#Data],$DD114,31),0)</f>
        <v/>
      </c>
      <c r="AH114">
        <f>IFERROR(INDEX(PP_Grid[#Data],$DD114,32),0)</f>
        <v/>
      </c>
      <c r="AI114">
        <f>IFERROR(INDEX(PP_Grid[#Data],$DD114,33),0)</f>
        <v/>
      </c>
      <c r="AJ114">
        <f>IFERROR(INDEX(PP_Grid[#Data],$DD114,34),0)</f>
        <v/>
      </c>
      <c r="AK114">
        <f>IFERROR(INDEX(PP_Grid[#Data],$DD114,35),0)</f>
        <v/>
      </c>
      <c r="AL114">
        <f>IFERROR(INDEX(PP_Grid[#Data],$DD114,36),0)</f>
        <v/>
      </c>
      <c r="AM114">
        <f>IFERROR(INDEX(PP_Grid[#Data],$DD114,37),0)</f>
        <v/>
      </c>
      <c r="AN114">
        <f>IFERROR(INDEX(PP_Grid[#Data],$DD114,38),0)</f>
        <v/>
      </c>
      <c r="AO114">
        <f>IFERROR(INDEX(PP_Grid[#Data],$DD114,39),0)</f>
        <v/>
      </c>
      <c r="AP114">
        <f>IFERROR(INDEX(PP_Grid[#Data],$DD114,40),0)</f>
        <v/>
      </c>
      <c r="AQ114">
        <f>IFERROR(INDEX(PP_Grid[#Data],$DD114,41),0)</f>
        <v/>
      </c>
      <c r="AR114">
        <f>IFERROR(INDEX(PP_Grid[#Data],$DD114,42),0)</f>
        <v/>
      </c>
      <c r="AS114">
        <f>IFERROR(INDEX(PP_Grid[#Data],$DD114,43),0)</f>
        <v/>
      </c>
      <c r="AT114">
        <f>IFERROR(INDEX(PP_Grid[#Data],$DD114,44),0)</f>
        <v/>
      </c>
      <c r="AU114">
        <f>IFERROR(INDEX(PP_Grid[#Data],$DD114,45),0)</f>
        <v/>
      </c>
      <c r="AV114">
        <f>IFERROR(INDEX(PP_Grid[#Data],$DD114,46),0)</f>
        <v/>
      </c>
      <c r="AW114">
        <f>IFERROR(INDEX(PP_Grid[#Data],$DD114,47),0)</f>
        <v/>
      </c>
      <c r="AX114">
        <f>IFERROR(INDEX(PP_Grid[#Data],$DD114,48),0)</f>
        <v/>
      </c>
      <c r="AY114">
        <f>IFERROR(INDEX(PP_Grid[#Data],$DD114,49),0)</f>
        <v/>
      </c>
      <c r="AZ114">
        <f>IFERROR(INDEX(PP_Grid[#Data],$DD114,50),0)</f>
        <v/>
      </c>
      <c r="BA114">
        <f>IFERROR(INDEX(PP_Grid[#Data],$DD114,51),0)</f>
        <v/>
      </c>
      <c r="BB114">
        <f>IFERROR(INDEX(PP_Grid[#Data],$DD114,52),0)</f>
        <v/>
      </c>
      <c r="BC114">
        <f>IFERROR(INDEX(PP_Grid[#Data],$DD114,53),0)</f>
        <v/>
      </c>
      <c r="BD114">
        <f>IFERROR(INDEX(PP_Grid[#Data],$DD114,54),0)</f>
        <v/>
      </c>
      <c r="BE114">
        <f>IFERROR(INDEX(PP_Grid[#Data],$DD114,55),0)</f>
        <v/>
      </c>
      <c r="BF114">
        <f>IFERROR(INDEX(PP_Grid[#Data],$DD114,56),0)</f>
        <v/>
      </c>
      <c r="BG114">
        <f>IFERROR(INDEX(PP_Grid[#Data],$DD114,57),0)</f>
        <v/>
      </c>
      <c r="BH114">
        <f>IFERROR(INDEX(PP_Grid[#Data],$DD114,58),0)</f>
        <v/>
      </c>
      <c r="BI114">
        <f>IFERROR(INDEX(PP_Grid[#Data],$DD114,59),0)</f>
        <v/>
      </c>
      <c r="BJ114">
        <f>IFERROR(INDEX(PP_Grid[#Data],$DD114,60),0)</f>
        <v/>
      </c>
      <c r="BK114">
        <f>IFERROR(INDEX(PP_Grid[#Data],$DD114,61),0)</f>
        <v/>
      </c>
      <c r="BL114">
        <f>IFERROR(INDEX(PP_Grid[#Data],$DD114,62),0)</f>
        <v/>
      </c>
      <c r="BM114">
        <f>IFERROR(INDEX(PP_Grid[#Data],$DD114,63),0)</f>
        <v/>
      </c>
      <c r="BN114">
        <f>IFERROR(INDEX(PP_Grid[#Data],$DD114,64),0)</f>
        <v/>
      </c>
      <c r="BO114">
        <f>IFERROR(INDEX(PP_Grid[#Data],$DD114,65),0)</f>
        <v/>
      </c>
      <c r="BP114">
        <f>IFERROR(INDEX(PP_Grid[#Data],$DD114,66),0)</f>
        <v/>
      </c>
      <c r="BQ114">
        <f>IFERROR(INDEX(PP_Grid[#Data],$DD114,67),0)</f>
        <v/>
      </c>
      <c r="BR114">
        <f>IFERROR(INDEX(PP_Grid[#Data],$DD114,68),0)</f>
        <v/>
      </c>
      <c r="BS114">
        <f>IFERROR(INDEX(PP_Grid[#Data],$DD114,69),0)</f>
        <v/>
      </c>
      <c r="BT114">
        <f>IFERROR(INDEX(PP_Grid[#Data],$DD114,70),0)</f>
        <v/>
      </c>
      <c r="BU114">
        <f>IFERROR(INDEX(PP_Grid[#Data],$DD114,71),0)</f>
        <v/>
      </c>
      <c r="BV114">
        <f>IFERROR(INDEX(PP_Grid[#Data],$DD114,72),0)</f>
        <v/>
      </c>
      <c r="BW114">
        <f>IFERROR(INDEX(PP_Grid[#Data],$DD114,73),0)</f>
        <v/>
      </c>
      <c r="BX114">
        <f>IFERROR(INDEX(PP_Grid[#Data],$DD114,74),0)</f>
        <v/>
      </c>
      <c r="BY114">
        <f>IFERROR(INDEX(PP_Grid[#Data],$DD114,75),0)</f>
        <v/>
      </c>
      <c r="BZ114">
        <f>IFERROR(INDEX(PP_Grid[#Data],$DD114,76),0)</f>
        <v/>
      </c>
      <c r="CA114">
        <f>IFERROR(INDEX(PP_Grid[#Data],$DD114,77),0)</f>
        <v/>
      </c>
      <c r="CB114">
        <f>IFERROR(INDEX(PP_Grid[#Data],$DD114,78),0)</f>
        <v/>
      </c>
      <c r="CC114">
        <f>IFERROR(INDEX(PP_Grid[#Data],$DD114,79),0)</f>
        <v/>
      </c>
      <c r="CD114">
        <f>IFERROR(INDEX(PP_Grid[#Data],$DD114,80),0)</f>
        <v/>
      </c>
      <c r="CE114">
        <f>IFERROR(INDEX(PP_Grid[#Data],$DD114,81),0)</f>
        <v/>
      </c>
      <c r="CF114">
        <f>IFERROR(INDEX(PP_Grid[#Data],$DD114,82),0)</f>
        <v/>
      </c>
      <c r="CG114">
        <f>IFERROR(INDEX(PP_Grid[#Data],$DD114,83),0)</f>
        <v/>
      </c>
      <c r="CH114">
        <f>IFERROR(INDEX(PP_Grid[#Data],$DD114,84),0)</f>
        <v/>
      </c>
      <c r="CI114">
        <f>IFERROR(INDEX(PP_Grid[#Data],$DD114,85),0)</f>
        <v/>
      </c>
      <c r="CJ114">
        <f>IFERROR(INDEX(PP_Grid[#Data],$DD114,86),0)</f>
        <v/>
      </c>
      <c r="CK114">
        <f>IFERROR(INDEX(PP_Grid[#Data],$DD114,87),0)</f>
        <v/>
      </c>
      <c r="CL114">
        <f>IFERROR(INDEX(PP_Grid[#Data],$DD114,88),0)</f>
        <v/>
      </c>
      <c r="CM114">
        <f>IFERROR(INDEX(PP_Grid[#Data],$DD114,89),0)</f>
        <v/>
      </c>
      <c r="CN114">
        <f>IFERROR(INDEX(PP_Grid[#Data],$DD114,90),0)</f>
        <v/>
      </c>
      <c r="CO114">
        <f>IFERROR(INDEX(PP_Grid[#Data],$DD114,91),0)</f>
        <v/>
      </c>
      <c r="CP114">
        <f>IFERROR(INDEX(PP_Grid[#Data],$DD114,92),0)</f>
        <v/>
      </c>
      <c r="CQ114">
        <f>IFERROR(INDEX(PP_Grid[#Data],$DD114,93),0)</f>
        <v/>
      </c>
      <c r="CR114">
        <f>IFERROR(INDEX(PP_Grid[#Data],$DD114,94),0)</f>
        <v/>
      </c>
      <c r="CS114">
        <f>IFERROR(INDEX(PP_Grid[#Data],$DD114,95),0)</f>
        <v/>
      </c>
      <c r="CT114">
        <f>IFERROR(INDEX(PP_Grid[#Data],$DD114,96),0)</f>
        <v/>
      </c>
      <c r="CU114">
        <f>IFERROR(INDEX(PP_Grid[#Data],$DD114,97),0)</f>
        <v/>
      </c>
      <c r="CV114">
        <f>IFERROR(INDEX(PP_Grid[#Data],$DD114,98),0)</f>
        <v/>
      </c>
      <c r="CW114">
        <f>IFERROR(INDEX(PP_Grid[#Data],$DD114,99),0)</f>
        <v/>
      </c>
      <c r="CX114">
        <f>IFERROR(INDEX(PP_Grid[#Data],$DD114,100),0)</f>
        <v/>
      </c>
      <c r="CY114">
        <f>IFERROR(INDEX(PP_Grid[#Data],$DD114,101),0)</f>
        <v/>
      </c>
      <c r="CZ114">
        <f>IFERROR(INDEX(PP_Grid[#Data],$DD114,102),0)</f>
        <v/>
      </c>
      <c r="DA114">
        <f>IFERROR(INDEX(PP_Grid[#Data],$DD114,103),0)</f>
        <v/>
      </c>
      <c r="DB114">
        <f>IFERROR(INDEX(PP_Grid[#Data],$DD114,104),0)</f>
        <v/>
      </c>
      <c r="DC114">
        <f>IFERROR(INDEX(PP_Grid[#Data],$DD114,105),0)</f>
        <v/>
      </c>
      <c r="DD114" s="12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SUMIFS(M_BOM[RM_Qty_Per_Batch],M_BOM[Intermediate],$B114,M_BOM[Part Name],$A113)</f>
        <v/>
      </c>
      <c r="D115">
        <f>$C115*D114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</row>
    <row r="116">
      <c r="B116" t="inlineStr">
        <is>
          <t>0T410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12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Name],$A113)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0T420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12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Name],$A113)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0T470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12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Name],$A113)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0T490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12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Name],$A113)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0W750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12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Name],$A113)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0W780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12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Name],$A113)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s="5" t="inlineStr">
        <is>
          <t>合計使用量(kg)/週</t>
        </is>
      </c>
      <c r="D128">
        <f>'Grid_Requirement'!B14</f>
        <v/>
      </c>
      <c r="E128">
        <f>'Grid_Requirement'!C14</f>
        <v/>
      </c>
      <c r="F128">
        <f>'Grid_Requirement'!D14</f>
        <v/>
      </c>
      <c r="G128">
        <f>'Grid_Requirement'!E14</f>
        <v/>
      </c>
      <c r="H128">
        <f>'Grid_Requirement'!F14</f>
        <v/>
      </c>
      <c r="I128">
        <f>'Grid_Requirement'!G14</f>
        <v/>
      </c>
      <c r="J128">
        <f>'Grid_Requirement'!H14</f>
        <v/>
      </c>
      <c r="K128">
        <f>'Grid_Requirement'!I14</f>
        <v/>
      </c>
      <c r="L128">
        <f>'Grid_Requirement'!J14</f>
        <v/>
      </c>
      <c r="M128">
        <f>'Grid_Requirement'!K14</f>
        <v/>
      </c>
      <c r="N128">
        <f>'Grid_Requirement'!L14</f>
        <v/>
      </c>
      <c r="O128">
        <f>'Grid_Requirement'!M14</f>
        <v/>
      </c>
      <c r="P128">
        <f>'Grid_Requirement'!N14</f>
        <v/>
      </c>
      <c r="Q128">
        <f>'Grid_Requirement'!O14</f>
        <v/>
      </c>
      <c r="R128">
        <f>'Grid_Requirement'!P14</f>
        <v/>
      </c>
      <c r="S128">
        <f>'Grid_Requirement'!Q14</f>
        <v/>
      </c>
      <c r="T128">
        <f>'Grid_Requirement'!R14</f>
        <v/>
      </c>
      <c r="U128">
        <f>'Grid_Requirement'!S14</f>
        <v/>
      </c>
      <c r="V128">
        <f>'Grid_Requirement'!T14</f>
        <v/>
      </c>
      <c r="W128">
        <f>'Grid_Requirement'!U14</f>
        <v/>
      </c>
      <c r="X128">
        <f>'Grid_Requirement'!V14</f>
        <v/>
      </c>
      <c r="Y128">
        <f>'Grid_Requirement'!W14</f>
        <v/>
      </c>
      <c r="Z128">
        <f>'Grid_Requirement'!X14</f>
        <v/>
      </c>
      <c r="AA128">
        <f>'Grid_Requirement'!Y14</f>
        <v/>
      </c>
      <c r="AB128">
        <f>'Grid_Requirement'!Z14</f>
        <v/>
      </c>
      <c r="AC128">
        <f>'Grid_Requirement'!AA14</f>
        <v/>
      </c>
      <c r="AD128">
        <f>'Grid_Requirement'!AB14</f>
        <v/>
      </c>
      <c r="AE128">
        <f>'Grid_Requirement'!AC14</f>
        <v/>
      </c>
      <c r="AF128">
        <f>'Grid_Requirement'!AD14</f>
        <v/>
      </c>
      <c r="AG128">
        <f>'Grid_Requirement'!AE14</f>
        <v/>
      </c>
      <c r="AH128">
        <f>'Grid_Requirement'!AF14</f>
        <v/>
      </c>
      <c r="AI128">
        <f>'Grid_Requirement'!AG14</f>
        <v/>
      </c>
      <c r="AJ128">
        <f>'Grid_Requirement'!AH14</f>
        <v/>
      </c>
      <c r="AK128">
        <f>'Grid_Requirement'!AI14</f>
        <v/>
      </c>
      <c r="AL128">
        <f>'Grid_Requirement'!AJ14</f>
        <v/>
      </c>
      <c r="AM128">
        <f>'Grid_Requirement'!AK14</f>
        <v/>
      </c>
      <c r="AN128">
        <f>'Grid_Requirement'!AL14</f>
        <v/>
      </c>
      <c r="AO128">
        <f>'Grid_Requirement'!AM14</f>
        <v/>
      </c>
      <c r="AP128">
        <f>'Grid_Requirement'!AN14</f>
        <v/>
      </c>
      <c r="AQ128">
        <f>'Grid_Requirement'!AO14</f>
        <v/>
      </c>
      <c r="AR128">
        <f>'Grid_Requirement'!AP14</f>
        <v/>
      </c>
      <c r="AS128">
        <f>'Grid_Requirement'!AQ14</f>
        <v/>
      </c>
      <c r="AT128">
        <f>'Grid_Requirement'!AR14</f>
        <v/>
      </c>
      <c r="AU128">
        <f>'Grid_Requirement'!AS14</f>
        <v/>
      </c>
      <c r="AV128">
        <f>'Grid_Requirement'!AT14</f>
        <v/>
      </c>
      <c r="AW128">
        <f>'Grid_Requirement'!AU14</f>
        <v/>
      </c>
      <c r="AX128">
        <f>'Grid_Requirement'!AV14</f>
        <v/>
      </c>
      <c r="AY128">
        <f>'Grid_Requirement'!AW14</f>
        <v/>
      </c>
      <c r="AZ128">
        <f>'Grid_Requirement'!AX14</f>
        <v/>
      </c>
      <c r="BA128">
        <f>'Grid_Requirement'!AY14</f>
        <v/>
      </c>
      <c r="BB128">
        <f>'Grid_Requirement'!AZ14</f>
        <v/>
      </c>
      <c r="BC128">
        <f>'Grid_Requirement'!BA14</f>
        <v/>
      </c>
      <c r="BD128">
        <f>'Grid_Requirement'!BB14</f>
        <v/>
      </c>
      <c r="BE128">
        <f>'Grid_Requirement'!BC14</f>
        <v/>
      </c>
      <c r="BF128">
        <f>'Grid_Requirement'!BD14</f>
        <v/>
      </c>
      <c r="BG128">
        <f>'Grid_Requirement'!BE14</f>
        <v/>
      </c>
      <c r="BH128">
        <f>'Grid_Requirement'!BF14</f>
        <v/>
      </c>
      <c r="BI128">
        <f>'Grid_Requirement'!BG14</f>
        <v/>
      </c>
      <c r="BJ128">
        <f>'Grid_Requirement'!BH14</f>
        <v/>
      </c>
      <c r="BK128">
        <f>'Grid_Requirement'!BI14</f>
        <v/>
      </c>
      <c r="BL128">
        <f>'Grid_Requirement'!BJ14</f>
        <v/>
      </c>
      <c r="BM128">
        <f>'Grid_Requirement'!BK14</f>
        <v/>
      </c>
      <c r="BN128">
        <f>'Grid_Requirement'!BL14</f>
        <v/>
      </c>
      <c r="BO128">
        <f>'Grid_Requirement'!BM14</f>
        <v/>
      </c>
      <c r="BP128">
        <f>'Grid_Requirement'!BN14</f>
        <v/>
      </c>
      <c r="BQ128">
        <f>'Grid_Requirement'!BO14</f>
        <v/>
      </c>
      <c r="BR128">
        <f>'Grid_Requirement'!BP14</f>
        <v/>
      </c>
      <c r="BS128">
        <f>'Grid_Requirement'!BQ14</f>
        <v/>
      </c>
      <c r="BT128">
        <f>'Grid_Requirement'!BR14</f>
        <v/>
      </c>
      <c r="BU128">
        <f>'Grid_Requirement'!BS14</f>
        <v/>
      </c>
      <c r="BV128">
        <f>'Grid_Requirement'!BT14</f>
        <v/>
      </c>
      <c r="BW128">
        <f>'Grid_Requirement'!BU14</f>
        <v/>
      </c>
      <c r="BX128">
        <f>'Grid_Requirement'!BV14</f>
        <v/>
      </c>
      <c r="BY128">
        <f>'Grid_Requirement'!BW14</f>
        <v/>
      </c>
      <c r="BZ128">
        <f>'Grid_Requirement'!BX14</f>
        <v/>
      </c>
      <c r="CA128">
        <f>'Grid_Requirement'!BY14</f>
        <v/>
      </c>
      <c r="CB128">
        <f>'Grid_Requirement'!BZ14</f>
        <v/>
      </c>
      <c r="CC128">
        <f>'Grid_Requirement'!CA14</f>
        <v/>
      </c>
      <c r="CD128">
        <f>'Grid_Requirement'!CB14</f>
        <v/>
      </c>
      <c r="CE128">
        <f>'Grid_Requirement'!CC14</f>
        <v/>
      </c>
      <c r="CF128">
        <f>'Grid_Requirement'!CD14</f>
        <v/>
      </c>
      <c r="CG128">
        <f>'Grid_Requirement'!CE14</f>
        <v/>
      </c>
      <c r="CH128">
        <f>'Grid_Requirement'!CF14</f>
        <v/>
      </c>
      <c r="CI128">
        <f>'Grid_Requirement'!CG14</f>
        <v/>
      </c>
      <c r="CJ128">
        <f>'Grid_Requirement'!CH14</f>
        <v/>
      </c>
      <c r="CK128">
        <f>'Grid_Requirement'!CI14</f>
        <v/>
      </c>
      <c r="CL128">
        <f>'Grid_Requirement'!CJ14</f>
        <v/>
      </c>
      <c r="CM128">
        <f>'Grid_Requirement'!CK14</f>
        <v/>
      </c>
      <c r="CN128">
        <f>'Grid_Requirement'!CL14</f>
        <v/>
      </c>
      <c r="CO128">
        <f>'Grid_Requirement'!CM14</f>
        <v/>
      </c>
      <c r="CP128">
        <f>'Grid_Requirement'!CN14</f>
        <v/>
      </c>
      <c r="CQ128">
        <f>'Grid_Requirement'!CO14</f>
        <v/>
      </c>
      <c r="CR128">
        <f>'Grid_Requirement'!CP14</f>
        <v/>
      </c>
      <c r="CS128">
        <f>'Grid_Requirement'!CQ14</f>
        <v/>
      </c>
      <c r="CT128">
        <f>'Grid_Requirement'!CR14</f>
        <v/>
      </c>
      <c r="CU128">
        <f>'Grid_Requirement'!CS14</f>
        <v/>
      </c>
      <c r="CV128">
        <f>'Grid_Requirement'!CT14</f>
        <v/>
      </c>
      <c r="CW128">
        <f>'Grid_Requirement'!CU14</f>
        <v/>
      </c>
      <c r="CX128">
        <f>'Grid_Requirement'!CV14</f>
        <v/>
      </c>
      <c r="CY128">
        <f>'Grid_Requirement'!CW14</f>
        <v/>
      </c>
      <c r="CZ128">
        <f>'Grid_Requirement'!CX14</f>
        <v/>
      </c>
      <c r="DA128">
        <f>'Grid_Requirement'!CY14</f>
        <v/>
      </c>
      <c r="DB128">
        <f>'Grid_Requirement'!CZ14</f>
        <v/>
      </c>
      <c r="DC128">
        <f>'Grid_Requirement'!DA14</f>
        <v/>
      </c>
    </row>
    <row r="129">
      <c r="B129" t="inlineStr">
        <is>
          <t>TTAF在庫(実績,kg)</t>
        </is>
      </c>
      <c r="D129">
        <f>'T_TTAFStock'!B18</f>
        <v/>
      </c>
      <c r="E129">
        <f>'T_TTAFStock'!C18</f>
        <v/>
      </c>
      <c r="F129">
        <f>'T_TTAFStock'!D18</f>
        <v/>
      </c>
      <c r="G129">
        <f>'T_TTAFStock'!E18</f>
        <v/>
      </c>
      <c r="H129">
        <f>'T_TTAFStock'!F18</f>
        <v/>
      </c>
      <c r="I129">
        <f>'T_TTAFStock'!G18</f>
        <v/>
      </c>
      <c r="J129">
        <f>'T_TTAFStock'!H18</f>
        <v/>
      </c>
      <c r="K129">
        <f>'T_TTAFStock'!I18</f>
        <v/>
      </c>
      <c r="L129">
        <f>'T_TTAFStock'!J18</f>
        <v/>
      </c>
      <c r="M129">
        <f>'T_TTAFStock'!K18</f>
        <v/>
      </c>
      <c r="N129">
        <f>'T_TTAFStock'!L18</f>
        <v/>
      </c>
      <c r="O129">
        <f>'T_TTAFStock'!M18</f>
        <v/>
      </c>
      <c r="P129">
        <f>'T_TTAFStock'!N18</f>
        <v/>
      </c>
      <c r="Q129">
        <f>'T_TTAFStock'!O18</f>
        <v/>
      </c>
      <c r="R129">
        <f>'T_TTAFStock'!P18</f>
        <v/>
      </c>
      <c r="S129">
        <f>'T_TTAFStock'!Q18</f>
        <v/>
      </c>
      <c r="T129">
        <f>'T_TTAFStock'!R18</f>
        <v/>
      </c>
      <c r="U129">
        <f>'T_TTAFStock'!S18</f>
        <v/>
      </c>
      <c r="V129">
        <f>'T_TTAFStock'!T18</f>
        <v/>
      </c>
      <c r="W129">
        <f>'T_TTAFStock'!U18</f>
        <v/>
      </c>
      <c r="X129">
        <f>'T_TTAFStock'!V18</f>
        <v/>
      </c>
      <c r="Y129">
        <f>'T_TTAFStock'!W18</f>
        <v/>
      </c>
      <c r="Z129">
        <f>'T_TTAFStock'!X18</f>
        <v/>
      </c>
      <c r="AA129">
        <f>'T_TTAFStock'!Y18</f>
        <v/>
      </c>
      <c r="AB129">
        <f>'T_TTAFStock'!Z18</f>
        <v/>
      </c>
      <c r="AC129">
        <f>'T_TTAFStock'!AA18</f>
        <v/>
      </c>
      <c r="AD129">
        <f>'T_TTAFStock'!AB18</f>
        <v/>
      </c>
      <c r="AE129">
        <f>'T_TTAFStock'!AC18</f>
        <v/>
      </c>
      <c r="AF129">
        <f>'T_TTAFStock'!AD18</f>
        <v/>
      </c>
      <c r="AG129">
        <f>'T_TTAFStock'!AE18</f>
        <v/>
      </c>
      <c r="AH129">
        <f>'T_TTAFStock'!AF18</f>
        <v/>
      </c>
      <c r="AI129">
        <f>'T_TTAFStock'!AG18</f>
        <v/>
      </c>
      <c r="AJ129">
        <f>'T_TTAFStock'!AH18</f>
        <v/>
      </c>
      <c r="AK129">
        <f>'T_TTAFStock'!AI18</f>
        <v/>
      </c>
      <c r="AL129">
        <f>'T_TTAFStock'!AJ18</f>
        <v/>
      </c>
      <c r="AM129">
        <f>'T_TTAFStock'!AK18</f>
        <v/>
      </c>
      <c r="AN129">
        <f>'T_TTAFStock'!AL18</f>
        <v/>
      </c>
      <c r="AO129">
        <f>'T_TTAFStock'!AM18</f>
        <v/>
      </c>
      <c r="AP129">
        <f>'T_TTAFStock'!AN18</f>
        <v/>
      </c>
      <c r="AQ129">
        <f>'T_TTAFStock'!AO18</f>
        <v/>
      </c>
      <c r="AR129">
        <f>'T_TTAFStock'!AP18</f>
        <v/>
      </c>
      <c r="AS129">
        <f>'T_TTAFStock'!AQ18</f>
        <v/>
      </c>
      <c r="AT129">
        <f>'T_TTAFStock'!AR18</f>
        <v/>
      </c>
      <c r="AU129">
        <f>'T_TTAFStock'!AS18</f>
        <v/>
      </c>
      <c r="AV129">
        <f>'T_TTAFStock'!AT18</f>
        <v/>
      </c>
      <c r="AW129">
        <f>'T_TTAFStock'!AU18</f>
        <v/>
      </c>
      <c r="AX129">
        <f>'T_TTAFStock'!AV18</f>
        <v/>
      </c>
      <c r="AY129">
        <f>'T_TTAFStock'!AW18</f>
        <v/>
      </c>
      <c r="AZ129">
        <f>'T_TTAFStock'!AX18</f>
        <v/>
      </c>
      <c r="BA129">
        <f>'T_TTAFStock'!AY18</f>
        <v/>
      </c>
      <c r="BB129">
        <f>'T_TTAFStock'!AZ18</f>
        <v/>
      </c>
      <c r="BC129">
        <f>'T_TTAFStock'!BA18</f>
        <v/>
      </c>
      <c r="BD129">
        <f>'T_TTAFStock'!BB18</f>
        <v/>
      </c>
      <c r="BE129">
        <f>'T_TTAFStock'!BC18</f>
        <v/>
      </c>
      <c r="BF129">
        <f>'T_TTAFStock'!BD18</f>
        <v/>
      </c>
      <c r="BG129">
        <f>'T_TTAFStock'!BE18</f>
        <v/>
      </c>
      <c r="BH129">
        <f>'T_TTAFStock'!BF18</f>
        <v/>
      </c>
      <c r="BI129">
        <f>'T_TTAFStock'!BG18</f>
        <v/>
      </c>
      <c r="BJ129">
        <f>'T_TTAFStock'!BH18</f>
        <v/>
      </c>
      <c r="BK129">
        <f>'T_TTAFStock'!BI18</f>
        <v/>
      </c>
      <c r="BL129">
        <f>'T_TTAFStock'!BJ18</f>
        <v/>
      </c>
      <c r="BM129">
        <f>'T_TTAFStock'!BK18</f>
        <v/>
      </c>
      <c r="BN129">
        <f>'T_TTAFStock'!BL18</f>
        <v/>
      </c>
      <c r="BO129">
        <f>'T_TTAFStock'!BM18</f>
        <v/>
      </c>
      <c r="BP129">
        <f>'T_TTAFStock'!BN18</f>
        <v/>
      </c>
      <c r="BQ129">
        <f>'T_TTAFStock'!BO18</f>
        <v/>
      </c>
      <c r="BR129">
        <f>'T_TTAFStock'!BP18</f>
        <v/>
      </c>
      <c r="BS129">
        <f>'T_TTAFStock'!BQ18</f>
        <v/>
      </c>
      <c r="BT129">
        <f>'T_TTAFStock'!BR18</f>
        <v/>
      </c>
      <c r="BU129">
        <f>'T_TTAFStock'!BS18</f>
        <v/>
      </c>
      <c r="BV129">
        <f>'T_TTAFStock'!BT18</f>
        <v/>
      </c>
      <c r="BW129">
        <f>'T_TTAFStock'!BU18</f>
        <v/>
      </c>
      <c r="BX129">
        <f>'T_TTAFStock'!BV18</f>
        <v/>
      </c>
      <c r="BY129">
        <f>'T_TTAFStock'!BW18</f>
        <v/>
      </c>
      <c r="BZ129">
        <f>'T_TTAFStock'!BX18</f>
        <v/>
      </c>
      <c r="CA129">
        <f>'T_TTAFStock'!BY18</f>
        <v/>
      </c>
      <c r="CB129">
        <f>'T_TTAFStock'!BZ18</f>
        <v/>
      </c>
      <c r="CC129">
        <f>'T_TTAFStock'!CA18</f>
        <v/>
      </c>
      <c r="CD129">
        <f>'T_TTAFStock'!CB18</f>
        <v/>
      </c>
      <c r="CE129">
        <f>'T_TTAFStock'!CC18</f>
        <v/>
      </c>
      <c r="CF129">
        <f>'T_TTAFStock'!CD18</f>
        <v/>
      </c>
      <c r="CG129">
        <f>'T_TTAFStock'!CE18</f>
        <v/>
      </c>
      <c r="CH129">
        <f>'T_TTAFStock'!CF18</f>
        <v/>
      </c>
      <c r="CI129">
        <f>'T_TTAFStock'!CG18</f>
        <v/>
      </c>
      <c r="CJ129">
        <f>'T_TTAFStock'!CH18</f>
        <v/>
      </c>
      <c r="CK129">
        <f>'T_TTAFStock'!CI18</f>
        <v/>
      </c>
      <c r="CL129">
        <f>'T_TTAFStock'!CJ18</f>
        <v/>
      </c>
      <c r="CM129">
        <f>'T_TTAFStock'!CK18</f>
        <v/>
      </c>
      <c r="CN129">
        <f>'T_TTAFStock'!CL18</f>
        <v/>
      </c>
      <c r="CO129">
        <f>'T_TTAFStock'!CM18</f>
        <v/>
      </c>
      <c r="CP129">
        <f>'T_TTAFStock'!CN18</f>
        <v/>
      </c>
      <c r="CQ129">
        <f>'T_TTAFStock'!CO18</f>
        <v/>
      </c>
      <c r="CR129">
        <f>'T_TTAFStock'!CP18</f>
        <v/>
      </c>
      <c r="CS129">
        <f>'T_TTAFStock'!CQ18</f>
        <v/>
      </c>
      <c r="CT129">
        <f>'T_TTAFStock'!CR18</f>
        <v/>
      </c>
      <c r="CU129">
        <f>'T_TTAFStock'!CS18</f>
        <v/>
      </c>
      <c r="CV129">
        <f>'T_TTAFStock'!CT18</f>
        <v/>
      </c>
      <c r="CW129">
        <f>'T_TTAFStock'!CU18</f>
        <v/>
      </c>
      <c r="CX129">
        <f>'T_TTAFStock'!CV18</f>
        <v/>
      </c>
      <c r="CY129">
        <f>'T_TTAFStock'!CW18</f>
        <v/>
      </c>
      <c r="CZ129">
        <f>'T_TTAFStock'!CX18</f>
        <v/>
      </c>
      <c r="DA129">
        <f>'T_TTAFStock'!CY18</f>
        <v/>
      </c>
      <c r="DB129">
        <f>'T_TTAFStock'!CZ18</f>
        <v/>
      </c>
      <c r="DC129">
        <f>'T_TTAFStock'!DA18</f>
        <v/>
      </c>
    </row>
    <row r="130">
      <c r="B130" t="inlineStr">
        <is>
          <t>自社在庫(実績,kg)</t>
        </is>
      </c>
      <c r="D130">
        <f>'T_SelfStock'!B18</f>
        <v/>
      </c>
      <c r="E130">
        <f>'T_SelfStock'!C18</f>
        <v/>
      </c>
      <c r="F130">
        <f>'T_SelfStock'!D18</f>
        <v/>
      </c>
      <c r="G130">
        <f>'T_SelfStock'!E18</f>
        <v/>
      </c>
      <c r="H130">
        <f>'T_SelfStock'!F18</f>
        <v/>
      </c>
      <c r="I130">
        <f>'T_SelfStock'!G18</f>
        <v/>
      </c>
      <c r="J130">
        <f>'T_SelfStock'!H18</f>
        <v/>
      </c>
      <c r="K130">
        <f>'T_SelfStock'!I18</f>
        <v/>
      </c>
      <c r="L130">
        <f>'T_SelfStock'!J18</f>
        <v/>
      </c>
      <c r="M130">
        <f>'T_SelfStock'!K18</f>
        <v/>
      </c>
      <c r="N130">
        <f>'T_SelfStock'!L18</f>
        <v/>
      </c>
      <c r="O130">
        <f>'T_SelfStock'!M18</f>
        <v/>
      </c>
      <c r="P130">
        <f>'T_SelfStock'!N18</f>
        <v/>
      </c>
      <c r="Q130">
        <f>'T_SelfStock'!O18</f>
        <v/>
      </c>
      <c r="R130">
        <f>'T_SelfStock'!P18</f>
        <v/>
      </c>
      <c r="S130">
        <f>'T_SelfStock'!Q18</f>
        <v/>
      </c>
      <c r="T130">
        <f>'T_SelfStock'!R18</f>
        <v/>
      </c>
      <c r="U130">
        <f>'T_SelfStock'!S18</f>
        <v/>
      </c>
      <c r="V130">
        <f>'T_SelfStock'!T18</f>
        <v/>
      </c>
      <c r="W130">
        <f>'T_SelfStock'!U18</f>
        <v/>
      </c>
      <c r="X130">
        <f>'T_SelfStock'!V18</f>
        <v/>
      </c>
      <c r="Y130">
        <f>'T_SelfStock'!W18</f>
        <v/>
      </c>
      <c r="Z130">
        <f>'T_SelfStock'!X18</f>
        <v/>
      </c>
      <c r="AA130">
        <f>'T_SelfStock'!Y18</f>
        <v/>
      </c>
      <c r="AB130">
        <f>'T_SelfStock'!Z18</f>
        <v/>
      </c>
      <c r="AC130">
        <f>'T_SelfStock'!AA18</f>
        <v/>
      </c>
      <c r="AD130">
        <f>'T_SelfStock'!AB18</f>
        <v/>
      </c>
      <c r="AE130">
        <f>'T_SelfStock'!AC18</f>
        <v/>
      </c>
      <c r="AF130">
        <f>'T_SelfStock'!AD18</f>
        <v/>
      </c>
      <c r="AG130">
        <f>'T_SelfStock'!AE18</f>
        <v/>
      </c>
      <c r="AH130">
        <f>'T_SelfStock'!AF18</f>
        <v/>
      </c>
      <c r="AI130">
        <f>'T_SelfStock'!AG18</f>
        <v/>
      </c>
      <c r="AJ130">
        <f>'T_SelfStock'!AH18</f>
        <v/>
      </c>
      <c r="AK130">
        <f>'T_SelfStock'!AI18</f>
        <v/>
      </c>
      <c r="AL130">
        <f>'T_SelfStock'!AJ18</f>
        <v/>
      </c>
      <c r="AM130">
        <f>'T_SelfStock'!AK18</f>
        <v/>
      </c>
      <c r="AN130">
        <f>'T_SelfStock'!AL18</f>
        <v/>
      </c>
      <c r="AO130">
        <f>'T_SelfStock'!AM18</f>
        <v/>
      </c>
      <c r="AP130">
        <f>'T_SelfStock'!AN18</f>
        <v/>
      </c>
      <c r="AQ130">
        <f>'T_SelfStock'!AO18</f>
        <v/>
      </c>
      <c r="AR130">
        <f>'T_SelfStock'!AP18</f>
        <v/>
      </c>
      <c r="AS130">
        <f>'T_SelfStock'!AQ18</f>
        <v/>
      </c>
      <c r="AT130">
        <f>'T_SelfStock'!AR18</f>
        <v/>
      </c>
      <c r="AU130">
        <f>'T_SelfStock'!AS18</f>
        <v/>
      </c>
      <c r="AV130">
        <f>'T_SelfStock'!AT18</f>
        <v/>
      </c>
      <c r="AW130">
        <f>'T_SelfStock'!AU18</f>
        <v/>
      </c>
      <c r="AX130">
        <f>'T_SelfStock'!AV18</f>
        <v/>
      </c>
      <c r="AY130">
        <f>'T_SelfStock'!AW18</f>
        <v/>
      </c>
      <c r="AZ130">
        <f>'T_SelfStock'!AX18</f>
        <v/>
      </c>
      <c r="BA130">
        <f>'T_SelfStock'!AY18</f>
        <v/>
      </c>
      <c r="BB130">
        <f>'T_SelfStock'!AZ18</f>
        <v/>
      </c>
      <c r="BC130">
        <f>'T_SelfStock'!BA18</f>
        <v/>
      </c>
      <c r="BD130">
        <f>'T_SelfStock'!BB18</f>
        <v/>
      </c>
      <c r="BE130">
        <f>'T_SelfStock'!BC18</f>
        <v/>
      </c>
      <c r="BF130">
        <f>'T_SelfStock'!BD18</f>
        <v/>
      </c>
      <c r="BG130">
        <f>'T_SelfStock'!BE18</f>
        <v/>
      </c>
      <c r="BH130">
        <f>'T_SelfStock'!BF18</f>
        <v/>
      </c>
      <c r="BI130">
        <f>'T_SelfStock'!BG18</f>
        <v/>
      </c>
      <c r="BJ130">
        <f>'T_SelfStock'!BH18</f>
        <v/>
      </c>
      <c r="BK130">
        <f>'T_SelfStock'!BI18</f>
        <v/>
      </c>
      <c r="BL130">
        <f>'T_SelfStock'!BJ18</f>
        <v/>
      </c>
      <c r="BM130">
        <f>'T_SelfStock'!BK18</f>
        <v/>
      </c>
      <c r="BN130">
        <f>'T_SelfStock'!BL18</f>
        <v/>
      </c>
      <c r="BO130">
        <f>'T_SelfStock'!BM18</f>
        <v/>
      </c>
      <c r="BP130">
        <f>'T_SelfStock'!BN18</f>
        <v/>
      </c>
      <c r="BQ130">
        <f>'T_SelfStock'!BO18</f>
        <v/>
      </c>
      <c r="BR130">
        <f>'T_SelfStock'!BP18</f>
        <v/>
      </c>
      <c r="BS130">
        <f>'T_SelfStock'!BQ18</f>
        <v/>
      </c>
      <c r="BT130">
        <f>'T_SelfStock'!BR18</f>
        <v/>
      </c>
      <c r="BU130">
        <f>'T_SelfStock'!BS18</f>
        <v/>
      </c>
      <c r="BV130">
        <f>'T_SelfStock'!BT18</f>
        <v/>
      </c>
      <c r="BW130">
        <f>'T_SelfStock'!BU18</f>
        <v/>
      </c>
      <c r="BX130">
        <f>'T_SelfStock'!BV18</f>
        <v/>
      </c>
      <c r="BY130">
        <f>'T_SelfStock'!BW18</f>
        <v/>
      </c>
      <c r="BZ130">
        <f>'T_SelfStock'!BX18</f>
        <v/>
      </c>
      <c r="CA130">
        <f>'T_SelfStock'!BY18</f>
        <v/>
      </c>
      <c r="CB130">
        <f>'T_SelfStock'!BZ18</f>
        <v/>
      </c>
      <c r="CC130">
        <f>'T_SelfStock'!CA18</f>
        <v/>
      </c>
      <c r="CD130">
        <f>'T_SelfStock'!CB18</f>
        <v/>
      </c>
      <c r="CE130">
        <f>'T_SelfStock'!CC18</f>
        <v/>
      </c>
      <c r="CF130">
        <f>'T_SelfStock'!CD18</f>
        <v/>
      </c>
      <c r="CG130">
        <f>'T_SelfStock'!CE18</f>
        <v/>
      </c>
      <c r="CH130">
        <f>'T_SelfStock'!CF18</f>
        <v/>
      </c>
      <c r="CI130">
        <f>'T_SelfStock'!CG18</f>
        <v/>
      </c>
      <c r="CJ130">
        <f>'T_SelfStock'!CH18</f>
        <v/>
      </c>
      <c r="CK130">
        <f>'T_SelfStock'!CI18</f>
        <v/>
      </c>
      <c r="CL130">
        <f>'T_SelfStock'!CJ18</f>
        <v/>
      </c>
      <c r="CM130">
        <f>'T_SelfStock'!CK18</f>
        <v/>
      </c>
      <c r="CN130">
        <f>'T_SelfStock'!CL18</f>
        <v/>
      </c>
      <c r="CO130">
        <f>'T_SelfStock'!CM18</f>
        <v/>
      </c>
      <c r="CP130">
        <f>'T_SelfStock'!CN18</f>
        <v/>
      </c>
      <c r="CQ130">
        <f>'T_SelfStock'!CO18</f>
        <v/>
      </c>
      <c r="CR130">
        <f>'T_SelfStock'!CP18</f>
        <v/>
      </c>
      <c r="CS130">
        <f>'T_SelfStock'!CQ18</f>
        <v/>
      </c>
      <c r="CT130">
        <f>'T_SelfStock'!CR18</f>
        <v/>
      </c>
      <c r="CU130">
        <f>'T_SelfStock'!CS18</f>
        <v/>
      </c>
      <c r="CV130">
        <f>'T_SelfStock'!CT18</f>
        <v/>
      </c>
      <c r="CW130">
        <f>'T_SelfStock'!CU18</f>
        <v/>
      </c>
      <c r="CX130">
        <f>'T_SelfStock'!CV18</f>
        <v/>
      </c>
      <c r="CY130">
        <f>'T_SelfStock'!CW18</f>
        <v/>
      </c>
      <c r="CZ130">
        <f>'T_SelfStock'!CX18</f>
        <v/>
      </c>
      <c r="DA130">
        <f>'T_SelfStock'!CY18</f>
        <v/>
      </c>
      <c r="DB130">
        <f>'T_SelfStock'!CZ18</f>
        <v/>
      </c>
      <c r="DC130">
        <f>'T_SelfStock'!DA18</f>
        <v/>
      </c>
    </row>
    <row r="131">
      <c r="B131" t="inlineStr">
        <is>
          <t>Order(発注予定,kg)</t>
        </is>
      </c>
      <c r="D131">
        <f>IF(SUMIFS(T_PlannedOrders[EffectiveQty],T_PlannedOrders[Part Name],$A113,T_PlannedOrders[WeekIndex],1)=0,"",SUMIFS(T_PlannedOrders[EffectiveQty],T_PlannedOrders[Part Name],$A113,T_PlannedOrders[WeekIndex],1)&amp;" ("&amp;TEXT(SUMPRODUCT(MAX((T_PlannedOrders[Part Name]=$A113)*(T_PlannedOrders[WeekIndex]=1)*(T_PlannedOrders[EffectiveQty]&gt;0)*T_PlannedOrders[Order_Month])),"m月")&amp;"発注)")</f>
        <v/>
      </c>
      <c r="E131">
        <f>IF(SUMIFS(T_PlannedOrders[EffectiveQty],T_PlannedOrders[Part Name],$A113,T_PlannedOrders[WeekIndex],2)=0,"",SUMIFS(T_PlannedOrders[EffectiveQty],T_PlannedOrders[Part Name],$A113,T_PlannedOrders[WeekIndex],2)&amp;" ("&amp;TEXT(SUMPRODUCT(MAX((T_PlannedOrders[Part Name]=$A113)*(T_PlannedOrders[WeekIndex]=2)*(T_PlannedOrders[EffectiveQty]&gt;0)*T_PlannedOrders[Order_Month])),"m月")&amp;"発注)")</f>
        <v/>
      </c>
      <c r="F131">
        <f>IF(SUMIFS(T_PlannedOrders[EffectiveQty],T_PlannedOrders[Part Name],$A113,T_PlannedOrders[WeekIndex],3)=0,"",SUMIFS(T_PlannedOrders[EffectiveQty],T_PlannedOrders[Part Name],$A113,T_PlannedOrders[WeekIndex],3)&amp;" ("&amp;TEXT(SUMPRODUCT(MAX((T_PlannedOrders[Part Name]=$A113)*(T_PlannedOrders[WeekIndex]=3)*(T_PlannedOrders[EffectiveQty]&gt;0)*T_PlannedOrders[Order_Month])),"m月")&amp;"発注)")</f>
        <v/>
      </c>
      <c r="G131">
        <f>IF(SUMIFS(T_PlannedOrders[EffectiveQty],T_PlannedOrders[Part Name],$A113,T_PlannedOrders[WeekIndex],4)=0,"",SUMIFS(T_PlannedOrders[EffectiveQty],T_PlannedOrders[Part Name],$A113,T_PlannedOrders[WeekIndex],4)&amp;" ("&amp;TEXT(SUMPRODUCT(MAX((T_PlannedOrders[Part Name]=$A113)*(T_PlannedOrders[WeekIndex]=4)*(T_PlannedOrders[EffectiveQty]&gt;0)*T_PlannedOrders[Order_Month])),"m月")&amp;"発注)")</f>
        <v/>
      </c>
      <c r="H131">
        <f>IF(SUMIFS(T_PlannedOrders[EffectiveQty],T_PlannedOrders[Part Name],$A113,T_PlannedOrders[WeekIndex],5)=0,"",SUMIFS(T_PlannedOrders[EffectiveQty],T_PlannedOrders[Part Name],$A113,T_PlannedOrders[WeekIndex],5)&amp;" ("&amp;TEXT(SUMPRODUCT(MAX((T_PlannedOrders[Part Name]=$A113)*(T_PlannedOrders[WeekIndex]=5)*(T_PlannedOrders[EffectiveQty]&gt;0)*T_PlannedOrders[Order_Month])),"m月")&amp;"発注)")</f>
        <v/>
      </c>
      <c r="I131">
        <f>IF(SUMIFS(T_PlannedOrders[EffectiveQty],T_PlannedOrders[Part Name],$A113,T_PlannedOrders[WeekIndex],6)=0,"",SUMIFS(T_PlannedOrders[EffectiveQty],T_PlannedOrders[Part Name],$A113,T_PlannedOrders[WeekIndex],6)&amp;" ("&amp;TEXT(SUMPRODUCT(MAX((T_PlannedOrders[Part Name]=$A113)*(T_PlannedOrders[WeekIndex]=6)*(T_PlannedOrders[EffectiveQty]&gt;0)*T_PlannedOrders[Order_Month])),"m月")&amp;"発注)")</f>
        <v/>
      </c>
      <c r="J131">
        <f>IF(SUMIFS(T_PlannedOrders[EffectiveQty],T_PlannedOrders[Part Name],$A113,T_PlannedOrders[WeekIndex],7)=0,"",SUMIFS(T_PlannedOrders[EffectiveQty],T_PlannedOrders[Part Name],$A113,T_PlannedOrders[WeekIndex],7)&amp;" ("&amp;TEXT(SUMPRODUCT(MAX((T_PlannedOrders[Part Name]=$A113)*(T_PlannedOrders[WeekIndex]=7)*(T_PlannedOrders[EffectiveQty]&gt;0)*T_PlannedOrders[Order_Month])),"m月")&amp;"発注)")</f>
        <v/>
      </c>
      <c r="K131">
        <f>IF(SUMIFS(T_PlannedOrders[EffectiveQty],T_PlannedOrders[Part Name],$A113,T_PlannedOrders[WeekIndex],8)=0,"",SUMIFS(T_PlannedOrders[EffectiveQty],T_PlannedOrders[Part Name],$A113,T_PlannedOrders[WeekIndex],8)&amp;" ("&amp;TEXT(SUMPRODUCT(MAX((T_PlannedOrders[Part Name]=$A113)*(T_PlannedOrders[WeekIndex]=8)*(T_PlannedOrders[EffectiveQty]&gt;0)*T_PlannedOrders[Order_Month])),"m月")&amp;"発注)")</f>
        <v/>
      </c>
      <c r="L131">
        <f>IF(SUMIFS(T_PlannedOrders[EffectiveQty],T_PlannedOrders[Part Name],$A113,T_PlannedOrders[WeekIndex],9)=0,"",SUMIFS(T_PlannedOrders[EffectiveQty],T_PlannedOrders[Part Name],$A113,T_PlannedOrders[WeekIndex],9)&amp;" ("&amp;TEXT(SUMPRODUCT(MAX((T_PlannedOrders[Part Name]=$A113)*(T_PlannedOrders[WeekIndex]=9)*(T_PlannedOrders[EffectiveQty]&gt;0)*T_PlannedOrders[Order_Month])),"m月")&amp;"発注)")</f>
        <v/>
      </c>
      <c r="M131">
        <f>IF(SUMIFS(T_PlannedOrders[EffectiveQty],T_PlannedOrders[Part Name],$A113,T_PlannedOrders[WeekIndex],10)=0,"",SUMIFS(T_PlannedOrders[EffectiveQty],T_PlannedOrders[Part Name],$A113,T_PlannedOrders[WeekIndex],10)&amp;" ("&amp;TEXT(SUMPRODUCT(MAX((T_PlannedOrders[Part Name]=$A113)*(T_PlannedOrders[WeekIndex]=10)*(T_PlannedOrders[EffectiveQty]&gt;0)*T_PlannedOrders[Order_Month])),"m月")&amp;"発注)")</f>
        <v/>
      </c>
      <c r="N131">
        <f>IF(SUMIFS(T_PlannedOrders[EffectiveQty],T_PlannedOrders[Part Name],$A113,T_PlannedOrders[WeekIndex],11)=0,"",SUMIFS(T_PlannedOrders[EffectiveQty],T_PlannedOrders[Part Name],$A113,T_PlannedOrders[WeekIndex],11)&amp;" ("&amp;TEXT(SUMPRODUCT(MAX((T_PlannedOrders[Part Name]=$A113)*(T_PlannedOrders[WeekIndex]=11)*(T_PlannedOrders[EffectiveQty]&gt;0)*T_PlannedOrders[Order_Month])),"m月")&amp;"発注)")</f>
        <v/>
      </c>
      <c r="O131">
        <f>IF(SUMIFS(T_PlannedOrders[EffectiveQty],T_PlannedOrders[Part Name],$A113,T_PlannedOrders[WeekIndex],12)=0,"",SUMIFS(T_PlannedOrders[EffectiveQty],T_PlannedOrders[Part Name],$A113,T_PlannedOrders[WeekIndex],12)&amp;" ("&amp;TEXT(SUMPRODUCT(MAX((T_PlannedOrders[Part Name]=$A113)*(T_PlannedOrders[WeekIndex]=12)*(T_PlannedOrders[EffectiveQty]&gt;0)*T_PlannedOrders[Order_Month])),"m月")&amp;"発注)")</f>
        <v/>
      </c>
      <c r="P131">
        <f>IF(SUMIFS(T_PlannedOrders[EffectiveQty],T_PlannedOrders[Part Name],$A113,T_PlannedOrders[WeekIndex],13)=0,"",SUMIFS(T_PlannedOrders[EffectiveQty],T_PlannedOrders[Part Name],$A113,T_PlannedOrders[WeekIndex],13)&amp;" ("&amp;TEXT(SUMPRODUCT(MAX((T_PlannedOrders[Part Name]=$A113)*(T_PlannedOrders[WeekIndex]=13)*(T_PlannedOrders[EffectiveQty]&gt;0)*T_PlannedOrders[Order_Month])),"m月")&amp;"発注)")</f>
        <v/>
      </c>
      <c r="Q131">
        <f>IF(SUMIFS(T_PlannedOrders[EffectiveQty],T_PlannedOrders[Part Name],$A113,T_PlannedOrders[WeekIndex],14)=0,"",SUMIFS(T_PlannedOrders[EffectiveQty],T_PlannedOrders[Part Name],$A113,T_PlannedOrders[WeekIndex],14)&amp;" ("&amp;TEXT(SUMPRODUCT(MAX((T_PlannedOrders[Part Name]=$A113)*(T_PlannedOrders[WeekIndex]=14)*(T_PlannedOrders[EffectiveQty]&gt;0)*T_PlannedOrders[Order_Month])),"m月")&amp;"発注)")</f>
        <v/>
      </c>
      <c r="R131">
        <f>IF(SUMIFS(T_PlannedOrders[EffectiveQty],T_PlannedOrders[Part Name],$A113,T_PlannedOrders[WeekIndex],15)=0,"",SUMIFS(T_PlannedOrders[EffectiveQty],T_PlannedOrders[Part Name],$A113,T_PlannedOrders[WeekIndex],15)&amp;" ("&amp;TEXT(SUMPRODUCT(MAX((T_PlannedOrders[Part Name]=$A113)*(T_PlannedOrders[WeekIndex]=15)*(T_PlannedOrders[EffectiveQty]&gt;0)*T_PlannedOrders[Order_Month])),"m月")&amp;"発注)")</f>
        <v/>
      </c>
      <c r="S131">
        <f>IF(SUMIFS(T_PlannedOrders[EffectiveQty],T_PlannedOrders[Part Name],$A113,T_PlannedOrders[WeekIndex],16)=0,"",SUMIFS(T_PlannedOrders[EffectiveQty],T_PlannedOrders[Part Name],$A113,T_PlannedOrders[WeekIndex],16)&amp;" ("&amp;TEXT(SUMPRODUCT(MAX((T_PlannedOrders[Part Name]=$A113)*(T_PlannedOrders[WeekIndex]=16)*(T_PlannedOrders[EffectiveQty]&gt;0)*T_PlannedOrders[Order_Month])),"m月")&amp;"発注)")</f>
        <v/>
      </c>
      <c r="T131">
        <f>IF(SUMIFS(T_PlannedOrders[EffectiveQty],T_PlannedOrders[Part Name],$A113,T_PlannedOrders[WeekIndex],17)=0,"",SUMIFS(T_PlannedOrders[EffectiveQty],T_PlannedOrders[Part Name],$A113,T_PlannedOrders[WeekIndex],17)&amp;" ("&amp;TEXT(SUMPRODUCT(MAX((T_PlannedOrders[Part Name]=$A113)*(T_PlannedOrders[WeekIndex]=17)*(T_PlannedOrders[EffectiveQty]&gt;0)*T_PlannedOrders[Order_Month])),"m月")&amp;"発注)")</f>
        <v/>
      </c>
      <c r="U131">
        <f>IF(SUMIFS(T_PlannedOrders[EffectiveQty],T_PlannedOrders[Part Name],$A113,T_PlannedOrders[WeekIndex],18)=0,"",SUMIFS(T_PlannedOrders[EffectiveQty],T_PlannedOrders[Part Name],$A113,T_PlannedOrders[WeekIndex],18)&amp;" ("&amp;TEXT(SUMPRODUCT(MAX((T_PlannedOrders[Part Name]=$A113)*(T_PlannedOrders[WeekIndex]=18)*(T_PlannedOrders[EffectiveQty]&gt;0)*T_PlannedOrders[Order_Month])),"m月")&amp;"発注)")</f>
        <v/>
      </c>
      <c r="V131">
        <f>IF(SUMIFS(T_PlannedOrders[EffectiveQty],T_PlannedOrders[Part Name],$A113,T_PlannedOrders[WeekIndex],19)=0,"",SUMIFS(T_PlannedOrders[EffectiveQty],T_PlannedOrders[Part Name],$A113,T_PlannedOrders[WeekIndex],19)&amp;" ("&amp;TEXT(SUMPRODUCT(MAX((T_PlannedOrders[Part Name]=$A113)*(T_PlannedOrders[WeekIndex]=19)*(T_PlannedOrders[EffectiveQty]&gt;0)*T_PlannedOrders[Order_Month])),"m月")&amp;"発注)")</f>
        <v/>
      </c>
      <c r="W131">
        <f>IF(SUMIFS(T_PlannedOrders[EffectiveQty],T_PlannedOrders[Part Name],$A113,T_PlannedOrders[WeekIndex],20)=0,"",SUMIFS(T_PlannedOrders[EffectiveQty],T_PlannedOrders[Part Name],$A113,T_PlannedOrders[WeekIndex],20)&amp;" ("&amp;TEXT(SUMPRODUCT(MAX((T_PlannedOrders[Part Name]=$A113)*(T_PlannedOrders[WeekIndex]=20)*(T_PlannedOrders[EffectiveQty]&gt;0)*T_PlannedOrders[Order_Month])),"m月")&amp;"発注)")</f>
        <v/>
      </c>
      <c r="X131">
        <f>IF(SUMIFS(T_PlannedOrders[EffectiveQty],T_PlannedOrders[Part Name],$A113,T_PlannedOrders[WeekIndex],21)=0,"",SUMIFS(T_PlannedOrders[EffectiveQty],T_PlannedOrders[Part Name],$A113,T_PlannedOrders[WeekIndex],21)&amp;" ("&amp;TEXT(SUMPRODUCT(MAX((T_PlannedOrders[Part Name]=$A113)*(T_PlannedOrders[WeekIndex]=21)*(T_PlannedOrders[EffectiveQty]&gt;0)*T_PlannedOrders[Order_Month])),"m月")&amp;"発注)")</f>
        <v/>
      </c>
      <c r="Y131">
        <f>IF(SUMIFS(T_PlannedOrders[EffectiveQty],T_PlannedOrders[Part Name],$A113,T_PlannedOrders[WeekIndex],22)=0,"",SUMIFS(T_PlannedOrders[EffectiveQty],T_PlannedOrders[Part Name],$A113,T_PlannedOrders[WeekIndex],22)&amp;" ("&amp;TEXT(SUMPRODUCT(MAX((T_PlannedOrders[Part Name]=$A113)*(T_PlannedOrders[WeekIndex]=22)*(T_PlannedOrders[EffectiveQty]&gt;0)*T_PlannedOrders[Order_Month])),"m月")&amp;"発注)")</f>
        <v/>
      </c>
      <c r="Z131">
        <f>IF(SUMIFS(T_PlannedOrders[EffectiveQty],T_PlannedOrders[Part Name],$A113,T_PlannedOrders[WeekIndex],23)=0,"",SUMIFS(T_PlannedOrders[EffectiveQty],T_PlannedOrders[Part Name],$A113,T_PlannedOrders[WeekIndex],23)&amp;" ("&amp;TEXT(SUMPRODUCT(MAX((T_PlannedOrders[Part Name]=$A113)*(T_PlannedOrders[WeekIndex]=23)*(T_PlannedOrders[EffectiveQty]&gt;0)*T_PlannedOrders[Order_Month])),"m月")&amp;"発注)")</f>
        <v/>
      </c>
      <c r="AA131">
        <f>IF(SUMIFS(T_PlannedOrders[EffectiveQty],T_PlannedOrders[Part Name],$A113,T_PlannedOrders[WeekIndex],24)=0,"",SUMIFS(T_PlannedOrders[EffectiveQty],T_PlannedOrders[Part Name],$A113,T_PlannedOrders[WeekIndex],24)&amp;" ("&amp;TEXT(SUMPRODUCT(MAX((T_PlannedOrders[Part Name]=$A113)*(T_PlannedOrders[WeekIndex]=24)*(T_PlannedOrders[EffectiveQty]&gt;0)*T_PlannedOrders[Order_Month])),"m月")&amp;"発注)")</f>
        <v/>
      </c>
      <c r="AB131">
        <f>IF(SUMIFS(T_PlannedOrders[EffectiveQty],T_PlannedOrders[Part Name],$A113,T_PlannedOrders[WeekIndex],25)=0,"",SUMIFS(T_PlannedOrders[EffectiveQty],T_PlannedOrders[Part Name],$A113,T_PlannedOrders[WeekIndex],25)&amp;" ("&amp;TEXT(SUMPRODUCT(MAX((T_PlannedOrders[Part Name]=$A113)*(T_PlannedOrders[WeekIndex]=25)*(T_PlannedOrders[EffectiveQty]&gt;0)*T_PlannedOrders[Order_Month])),"m月")&amp;"発注)")</f>
        <v/>
      </c>
      <c r="AC131">
        <f>IF(SUMIFS(T_PlannedOrders[EffectiveQty],T_PlannedOrders[Part Name],$A113,T_PlannedOrders[WeekIndex],26)=0,"",SUMIFS(T_PlannedOrders[EffectiveQty],T_PlannedOrders[Part Name],$A113,T_PlannedOrders[WeekIndex],26)&amp;" ("&amp;TEXT(SUMPRODUCT(MAX((T_PlannedOrders[Part Name]=$A113)*(T_PlannedOrders[WeekIndex]=26)*(T_PlannedOrders[EffectiveQty]&gt;0)*T_PlannedOrders[Order_Month])),"m月")&amp;"発注)")</f>
        <v/>
      </c>
      <c r="AD131">
        <f>IF(SUMIFS(T_PlannedOrders[EffectiveQty],T_PlannedOrders[Part Name],$A113,T_PlannedOrders[WeekIndex],27)=0,"",SUMIFS(T_PlannedOrders[EffectiveQty],T_PlannedOrders[Part Name],$A113,T_PlannedOrders[WeekIndex],27)&amp;" ("&amp;TEXT(SUMPRODUCT(MAX((T_PlannedOrders[Part Name]=$A113)*(T_PlannedOrders[WeekIndex]=27)*(T_PlannedOrders[EffectiveQty]&gt;0)*T_PlannedOrders[Order_Month])),"m月")&amp;"発注)")</f>
        <v/>
      </c>
      <c r="AE131">
        <f>IF(SUMIFS(T_PlannedOrders[EffectiveQty],T_PlannedOrders[Part Name],$A113,T_PlannedOrders[WeekIndex],28)=0,"",SUMIFS(T_PlannedOrders[EffectiveQty],T_PlannedOrders[Part Name],$A113,T_PlannedOrders[WeekIndex],28)&amp;" ("&amp;TEXT(SUMPRODUCT(MAX((T_PlannedOrders[Part Name]=$A113)*(T_PlannedOrders[WeekIndex]=28)*(T_PlannedOrders[EffectiveQty]&gt;0)*T_PlannedOrders[Order_Month])),"m月")&amp;"発注)")</f>
        <v/>
      </c>
      <c r="AF131">
        <f>IF(SUMIFS(T_PlannedOrders[EffectiveQty],T_PlannedOrders[Part Name],$A113,T_PlannedOrders[WeekIndex],29)=0,"",SUMIFS(T_PlannedOrders[EffectiveQty],T_PlannedOrders[Part Name],$A113,T_PlannedOrders[WeekIndex],29)&amp;" ("&amp;TEXT(SUMPRODUCT(MAX((T_PlannedOrders[Part Name]=$A113)*(T_PlannedOrders[WeekIndex]=29)*(T_PlannedOrders[EffectiveQty]&gt;0)*T_PlannedOrders[Order_Month])),"m月")&amp;"発注)")</f>
        <v/>
      </c>
      <c r="AG131">
        <f>IF(SUMIFS(T_PlannedOrders[EffectiveQty],T_PlannedOrders[Part Name],$A113,T_PlannedOrders[WeekIndex],30)=0,"",SUMIFS(T_PlannedOrders[EffectiveQty],T_PlannedOrders[Part Name],$A113,T_PlannedOrders[WeekIndex],30)&amp;" ("&amp;TEXT(SUMPRODUCT(MAX((T_PlannedOrders[Part Name]=$A113)*(T_PlannedOrders[WeekIndex]=30)*(T_PlannedOrders[EffectiveQty]&gt;0)*T_PlannedOrders[Order_Month])),"m月")&amp;"発注)")</f>
        <v/>
      </c>
      <c r="AH131">
        <f>IF(SUMIFS(T_PlannedOrders[EffectiveQty],T_PlannedOrders[Part Name],$A113,T_PlannedOrders[WeekIndex],31)=0,"",SUMIFS(T_PlannedOrders[EffectiveQty],T_PlannedOrders[Part Name],$A113,T_PlannedOrders[WeekIndex],31)&amp;" ("&amp;TEXT(SUMPRODUCT(MAX((T_PlannedOrders[Part Name]=$A113)*(T_PlannedOrders[WeekIndex]=31)*(T_PlannedOrders[EffectiveQty]&gt;0)*T_PlannedOrders[Order_Month])),"m月")&amp;"発注)")</f>
        <v/>
      </c>
      <c r="AI131">
        <f>IF(SUMIFS(T_PlannedOrders[EffectiveQty],T_PlannedOrders[Part Name],$A113,T_PlannedOrders[WeekIndex],32)=0,"",SUMIFS(T_PlannedOrders[EffectiveQty],T_PlannedOrders[Part Name],$A113,T_PlannedOrders[WeekIndex],32)&amp;" ("&amp;TEXT(SUMPRODUCT(MAX((T_PlannedOrders[Part Name]=$A113)*(T_PlannedOrders[WeekIndex]=32)*(T_PlannedOrders[EffectiveQty]&gt;0)*T_PlannedOrders[Order_Month])),"m月")&amp;"発注)")</f>
        <v/>
      </c>
      <c r="AJ131">
        <f>IF(SUMIFS(T_PlannedOrders[EffectiveQty],T_PlannedOrders[Part Name],$A113,T_PlannedOrders[WeekIndex],33)=0,"",SUMIFS(T_PlannedOrders[EffectiveQty],T_PlannedOrders[Part Name],$A113,T_PlannedOrders[WeekIndex],33)&amp;" ("&amp;TEXT(SUMPRODUCT(MAX((T_PlannedOrders[Part Name]=$A113)*(T_PlannedOrders[WeekIndex]=33)*(T_PlannedOrders[EffectiveQty]&gt;0)*T_PlannedOrders[Order_Month])),"m月")&amp;"発注)")</f>
        <v/>
      </c>
      <c r="AK131">
        <f>IF(SUMIFS(T_PlannedOrders[EffectiveQty],T_PlannedOrders[Part Name],$A113,T_PlannedOrders[WeekIndex],34)=0,"",SUMIFS(T_PlannedOrders[EffectiveQty],T_PlannedOrders[Part Name],$A113,T_PlannedOrders[WeekIndex],34)&amp;" ("&amp;TEXT(SUMPRODUCT(MAX((T_PlannedOrders[Part Name]=$A113)*(T_PlannedOrders[WeekIndex]=34)*(T_PlannedOrders[EffectiveQty]&gt;0)*T_PlannedOrders[Order_Month])),"m月")&amp;"発注)")</f>
        <v/>
      </c>
      <c r="AL131">
        <f>IF(SUMIFS(T_PlannedOrders[EffectiveQty],T_PlannedOrders[Part Name],$A113,T_PlannedOrders[WeekIndex],35)=0,"",SUMIFS(T_PlannedOrders[EffectiveQty],T_PlannedOrders[Part Name],$A113,T_PlannedOrders[WeekIndex],35)&amp;" ("&amp;TEXT(SUMPRODUCT(MAX((T_PlannedOrders[Part Name]=$A113)*(T_PlannedOrders[WeekIndex]=35)*(T_PlannedOrders[EffectiveQty]&gt;0)*T_PlannedOrders[Order_Month])),"m月")&amp;"発注)")</f>
        <v/>
      </c>
      <c r="AM131">
        <f>IF(SUMIFS(T_PlannedOrders[EffectiveQty],T_PlannedOrders[Part Name],$A113,T_PlannedOrders[WeekIndex],36)=0,"",SUMIFS(T_PlannedOrders[EffectiveQty],T_PlannedOrders[Part Name],$A113,T_PlannedOrders[WeekIndex],36)&amp;" ("&amp;TEXT(SUMPRODUCT(MAX((T_PlannedOrders[Part Name]=$A113)*(T_PlannedOrders[WeekIndex]=36)*(T_PlannedOrders[EffectiveQty]&gt;0)*T_PlannedOrders[Order_Month])),"m月")&amp;"発注)")</f>
        <v/>
      </c>
      <c r="AN131">
        <f>IF(SUMIFS(T_PlannedOrders[EffectiveQty],T_PlannedOrders[Part Name],$A113,T_PlannedOrders[WeekIndex],37)=0,"",SUMIFS(T_PlannedOrders[EffectiveQty],T_PlannedOrders[Part Name],$A113,T_PlannedOrders[WeekIndex],37)&amp;" ("&amp;TEXT(SUMPRODUCT(MAX((T_PlannedOrders[Part Name]=$A113)*(T_PlannedOrders[WeekIndex]=37)*(T_PlannedOrders[EffectiveQty]&gt;0)*T_PlannedOrders[Order_Month])),"m月")&amp;"発注)")</f>
        <v/>
      </c>
      <c r="AO131">
        <f>IF(SUMIFS(T_PlannedOrders[EffectiveQty],T_PlannedOrders[Part Name],$A113,T_PlannedOrders[WeekIndex],38)=0,"",SUMIFS(T_PlannedOrders[EffectiveQty],T_PlannedOrders[Part Name],$A113,T_PlannedOrders[WeekIndex],38)&amp;" ("&amp;TEXT(SUMPRODUCT(MAX((T_PlannedOrders[Part Name]=$A113)*(T_PlannedOrders[WeekIndex]=38)*(T_PlannedOrders[EffectiveQty]&gt;0)*T_PlannedOrders[Order_Month])),"m月")&amp;"発注)")</f>
        <v/>
      </c>
      <c r="AP131">
        <f>IF(SUMIFS(T_PlannedOrders[EffectiveQty],T_PlannedOrders[Part Name],$A113,T_PlannedOrders[WeekIndex],39)=0,"",SUMIFS(T_PlannedOrders[EffectiveQty],T_PlannedOrders[Part Name],$A113,T_PlannedOrders[WeekIndex],39)&amp;" ("&amp;TEXT(SUMPRODUCT(MAX((T_PlannedOrders[Part Name]=$A113)*(T_PlannedOrders[WeekIndex]=39)*(T_PlannedOrders[EffectiveQty]&gt;0)*T_PlannedOrders[Order_Month])),"m月")&amp;"発注)")</f>
        <v/>
      </c>
      <c r="AQ131">
        <f>IF(SUMIFS(T_PlannedOrders[EffectiveQty],T_PlannedOrders[Part Name],$A113,T_PlannedOrders[WeekIndex],40)=0,"",SUMIFS(T_PlannedOrders[EffectiveQty],T_PlannedOrders[Part Name],$A113,T_PlannedOrders[WeekIndex],40)&amp;" ("&amp;TEXT(SUMPRODUCT(MAX((T_PlannedOrders[Part Name]=$A113)*(T_PlannedOrders[WeekIndex]=40)*(T_PlannedOrders[EffectiveQty]&gt;0)*T_PlannedOrders[Order_Month])),"m月")&amp;"発注)")</f>
        <v/>
      </c>
      <c r="AR131">
        <f>IF(SUMIFS(T_PlannedOrders[EffectiveQty],T_PlannedOrders[Part Name],$A113,T_PlannedOrders[WeekIndex],41)=0,"",SUMIFS(T_PlannedOrders[EffectiveQty],T_PlannedOrders[Part Name],$A113,T_PlannedOrders[WeekIndex],41)&amp;" ("&amp;TEXT(SUMPRODUCT(MAX((T_PlannedOrders[Part Name]=$A113)*(T_PlannedOrders[WeekIndex]=41)*(T_PlannedOrders[EffectiveQty]&gt;0)*T_PlannedOrders[Order_Month])),"m月")&amp;"発注)")</f>
        <v/>
      </c>
      <c r="AS131">
        <f>IF(SUMIFS(T_PlannedOrders[EffectiveQty],T_PlannedOrders[Part Name],$A113,T_PlannedOrders[WeekIndex],42)=0,"",SUMIFS(T_PlannedOrders[EffectiveQty],T_PlannedOrders[Part Name],$A113,T_PlannedOrders[WeekIndex],42)&amp;" ("&amp;TEXT(SUMPRODUCT(MAX((T_PlannedOrders[Part Name]=$A113)*(T_PlannedOrders[WeekIndex]=42)*(T_PlannedOrders[EffectiveQty]&gt;0)*T_PlannedOrders[Order_Month])),"m月")&amp;"発注)")</f>
        <v/>
      </c>
      <c r="AT131">
        <f>IF(SUMIFS(T_PlannedOrders[EffectiveQty],T_PlannedOrders[Part Name],$A113,T_PlannedOrders[WeekIndex],43)=0,"",SUMIFS(T_PlannedOrders[EffectiveQty],T_PlannedOrders[Part Name],$A113,T_PlannedOrders[WeekIndex],43)&amp;" ("&amp;TEXT(SUMPRODUCT(MAX((T_PlannedOrders[Part Name]=$A113)*(T_PlannedOrders[WeekIndex]=43)*(T_PlannedOrders[EffectiveQty]&gt;0)*T_PlannedOrders[Order_Month])),"m月")&amp;"発注)")</f>
        <v/>
      </c>
      <c r="AU131">
        <f>IF(SUMIFS(T_PlannedOrders[EffectiveQty],T_PlannedOrders[Part Name],$A113,T_PlannedOrders[WeekIndex],44)=0,"",SUMIFS(T_PlannedOrders[EffectiveQty],T_PlannedOrders[Part Name],$A113,T_PlannedOrders[WeekIndex],44)&amp;" ("&amp;TEXT(SUMPRODUCT(MAX((T_PlannedOrders[Part Name]=$A113)*(T_PlannedOrders[WeekIndex]=44)*(T_PlannedOrders[EffectiveQty]&gt;0)*T_PlannedOrders[Order_Month])),"m月")&amp;"発注)")</f>
        <v/>
      </c>
      <c r="AV131">
        <f>IF(SUMIFS(T_PlannedOrders[EffectiveQty],T_PlannedOrders[Part Name],$A113,T_PlannedOrders[WeekIndex],45)=0,"",SUMIFS(T_PlannedOrders[EffectiveQty],T_PlannedOrders[Part Name],$A113,T_PlannedOrders[WeekIndex],45)&amp;" ("&amp;TEXT(SUMPRODUCT(MAX((T_PlannedOrders[Part Name]=$A113)*(T_PlannedOrders[WeekIndex]=45)*(T_PlannedOrders[EffectiveQty]&gt;0)*T_PlannedOrders[Order_Month])),"m月")&amp;"発注)")</f>
        <v/>
      </c>
      <c r="AW131">
        <f>IF(SUMIFS(T_PlannedOrders[EffectiveQty],T_PlannedOrders[Part Name],$A113,T_PlannedOrders[WeekIndex],46)=0,"",SUMIFS(T_PlannedOrders[EffectiveQty],T_PlannedOrders[Part Name],$A113,T_PlannedOrders[WeekIndex],46)&amp;" ("&amp;TEXT(SUMPRODUCT(MAX((T_PlannedOrders[Part Name]=$A113)*(T_PlannedOrders[WeekIndex]=46)*(T_PlannedOrders[EffectiveQty]&gt;0)*T_PlannedOrders[Order_Month])),"m月")&amp;"発注)")</f>
        <v/>
      </c>
      <c r="AX131">
        <f>IF(SUMIFS(T_PlannedOrders[EffectiveQty],T_PlannedOrders[Part Name],$A113,T_PlannedOrders[WeekIndex],47)=0,"",SUMIFS(T_PlannedOrders[EffectiveQty],T_PlannedOrders[Part Name],$A113,T_PlannedOrders[WeekIndex],47)&amp;" ("&amp;TEXT(SUMPRODUCT(MAX((T_PlannedOrders[Part Name]=$A113)*(T_PlannedOrders[WeekIndex]=47)*(T_PlannedOrders[EffectiveQty]&gt;0)*T_PlannedOrders[Order_Month])),"m月")&amp;"発注)")</f>
        <v/>
      </c>
      <c r="AY131">
        <f>IF(SUMIFS(T_PlannedOrders[EffectiveQty],T_PlannedOrders[Part Name],$A113,T_PlannedOrders[WeekIndex],48)=0,"",SUMIFS(T_PlannedOrders[EffectiveQty],T_PlannedOrders[Part Name],$A113,T_PlannedOrders[WeekIndex],48)&amp;" ("&amp;TEXT(SUMPRODUCT(MAX((T_PlannedOrders[Part Name]=$A113)*(T_PlannedOrders[WeekIndex]=48)*(T_PlannedOrders[EffectiveQty]&gt;0)*T_PlannedOrders[Order_Month])),"m月")&amp;"発注)")</f>
        <v/>
      </c>
      <c r="AZ131">
        <f>IF(SUMIFS(T_PlannedOrders[EffectiveQty],T_PlannedOrders[Part Name],$A113,T_PlannedOrders[WeekIndex],49)=0,"",SUMIFS(T_PlannedOrders[EffectiveQty],T_PlannedOrders[Part Name],$A113,T_PlannedOrders[WeekIndex],49)&amp;" ("&amp;TEXT(SUMPRODUCT(MAX((T_PlannedOrders[Part Name]=$A113)*(T_PlannedOrders[WeekIndex]=49)*(T_PlannedOrders[EffectiveQty]&gt;0)*T_PlannedOrders[Order_Month])),"m月")&amp;"発注)")</f>
        <v/>
      </c>
      <c r="BA131">
        <f>IF(SUMIFS(T_PlannedOrders[EffectiveQty],T_PlannedOrders[Part Name],$A113,T_PlannedOrders[WeekIndex],50)=0,"",SUMIFS(T_PlannedOrders[EffectiveQty],T_PlannedOrders[Part Name],$A113,T_PlannedOrders[WeekIndex],50)&amp;" ("&amp;TEXT(SUMPRODUCT(MAX((T_PlannedOrders[Part Name]=$A113)*(T_PlannedOrders[WeekIndex]=50)*(T_PlannedOrders[EffectiveQty]&gt;0)*T_PlannedOrders[Order_Month])),"m月")&amp;"発注)")</f>
        <v/>
      </c>
      <c r="BB131">
        <f>IF(SUMIFS(T_PlannedOrders[EffectiveQty],T_PlannedOrders[Part Name],$A113,T_PlannedOrders[WeekIndex],51)=0,"",SUMIFS(T_PlannedOrders[EffectiveQty],T_PlannedOrders[Part Name],$A113,T_PlannedOrders[WeekIndex],51)&amp;" ("&amp;TEXT(SUMPRODUCT(MAX((T_PlannedOrders[Part Name]=$A113)*(T_PlannedOrders[WeekIndex]=51)*(T_PlannedOrders[EffectiveQty]&gt;0)*T_PlannedOrders[Order_Month])),"m月")&amp;"発注)")</f>
        <v/>
      </c>
      <c r="BC131">
        <f>IF(SUMIFS(T_PlannedOrders[EffectiveQty],T_PlannedOrders[Part Name],$A113,T_PlannedOrders[WeekIndex],52)=0,"",SUMIFS(T_PlannedOrders[EffectiveQty],T_PlannedOrders[Part Name],$A113,T_PlannedOrders[WeekIndex],52)&amp;" ("&amp;TEXT(SUMPRODUCT(MAX((T_PlannedOrders[Part Name]=$A113)*(T_PlannedOrders[WeekIndex]=52)*(T_PlannedOrders[EffectiveQty]&gt;0)*T_PlannedOrders[Order_Month])),"m月")&amp;"発注)")</f>
        <v/>
      </c>
      <c r="BD131">
        <f>IF(SUMIFS(T_PlannedOrders[EffectiveQty],T_PlannedOrders[Part Name],$A113,T_PlannedOrders[WeekIndex],53)=0,"",SUMIFS(T_PlannedOrders[EffectiveQty],T_PlannedOrders[Part Name],$A113,T_PlannedOrders[WeekIndex],53)&amp;" ("&amp;TEXT(SUMPRODUCT(MAX((T_PlannedOrders[Part Name]=$A113)*(T_PlannedOrders[WeekIndex]=53)*(T_PlannedOrders[EffectiveQty]&gt;0)*T_PlannedOrders[Order_Month])),"m月")&amp;"発注)")</f>
        <v/>
      </c>
      <c r="BE131">
        <f>IF(SUMIFS(T_PlannedOrders[EffectiveQty],T_PlannedOrders[Part Name],$A113,T_PlannedOrders[WeekIndex],54)=0,"",SUMIFS(T_PlannedOrders[EffectiveQty],T_PlannedOrders[Part Name],$A113,T_PlannedOrders[WeekIndex],54)&amp;" ("&amp;TEXT(SUMPRODUCT(MAX((T_PlannedOrders[Part Name]=$A113)*(T_PlannedOrders[WeekIndex]=54)*(T_PlannedOrders[EffectiveQty]&gt;0)*T_PlannedOrders[Order_Month])),"m月")&amp;"発注)")</f>
        <v/>
      </c>
      <c r="BF131">
        <f>IF(SUMIFS(T_PlannedOrders[EffectiveQty],T_PlannedOrders[Part Name],$A113,T_PlannedOrders[WeekIndex],55)=0,"",SUMIFS(T_PlannedOrders[EffectiveQty],T_PlannedOrders[Part Name],$A113,T_PlannedOrders[WeekIndex],55)&amp;" ("&amp;TEXT(SUMPRODUCT(MAX((T_PlannedOrders[Part Name]=$A113)*(T_PlannedOrders[WeekIndex]=55)*(T_PlannedOrders[EffectiveQty]&gt;0)*T_PlannedOrders[Order_Month])),"m月")&amp;"発注)")</f>
        <v/>
      </c>
      <c r="BG131">
        <f>IF(SUMIFS(T_PlannedOrders[EffectiveQty],T_PlannedOrders[Part Name],$A113,T_PlannedOrders[WeekIndex],56)=0,"",SUMIFS(T_PlannedOrders[EffectiveQty],T_PlannedOrders[Part Name],$A113,T_PlannedOrders[WeekIndex],56)&amp;" ("&amp;TEXT(SUMPRODUCT(MAX((T_PlannedOrders[Part Name]=$A113)*(T_PlannedOrders[WeekIndex]=56)*(T_PlannedOrders[EffectiveQty]&gt;0)*T_PlannedOrders[Order_Month])),"m月")&amp;"発注)")</f>
        <v/>
      </c>
      <c r="BH131">
        <f>IF(SUMIFS(T_PlannedOrders[EffectiveQty],T_PlannedOrders[Part Name],$A113,T_PlannedOrders[WeekIndex],57)=0,"",SUMIFS(T_PlannedOrders[EffectiveQty],T_PlannedOrders[Part Name],$A113,T_PlannedOrders[WeekIndex],57)&amp;" ("&amp;TEXT(SUMPRODUCT(MAX((T_PlannedOrders[Part Name]=$A113)*(T_PlannedOrders[WeekIndex]=57)*(T_PlannedOrders[EffectiveQty]&gt;0)*T_PlannedOrders[Order_Month])),"m月")&amp;"発注)")</f>
        <v/>
      </c>
      <c r="BI131">
        <f>IF(SUMIFS(T_PlannedOrders[EffectiveQty],T_PlannedOrders[Part Name],$A113,T_PlannedOrders[WeekIndex],58)=0,"",SUMIFS(T_PlannedOrders[EffectiveQty],T_PlannedOrders[Part Name],$A113,T_PlannedOrders[WeekIndex],58)&amp;" ("&amp;TEXT(SUMPRODUCT(MAX((T_PlannedOrders[Part Name]=$A113)*(T_PlannedOrders[WeekIndex]=58)*(T_PlannedOrders[EffectiveQty]&gt;0)*T_PlannedOrders[Order_Month])),"m月")&amp;"発注)")</f>
        <v/>
      </c>
      <c r="BJ131">
        <f>IF(SUMIFS(T_PlannedOrders[EffectiveQty],T_PlannedOrders[Part Name],$A113,T_PlannedOrders[WeekIndex],59)=0,"",SUMIFS(T_PlannedOrders[EffectiveQty],T_PlannedOrders[Part Name],$A113,T_PlannedOrders[WeekIndex],59)&amp;" ("&amp;TEXT(SUMPRODUCT(MAX((T_PlannedOrders[Part Name]=$A113)*(T_PlannedOrders[WeekIndex]=59)*(T_PlannedOrders[EffectiveQty]&gt;0)*T_PlannedOrders[Order_Month])),"m月")&amp;"発注)")</f>
        <v/>
      </c>
      <c r="BK131">
        <f>IF(SUMIFS(T_PlannedOrders[EffectiveQty],T_PlannedOrders[Part Name],$A113,T_PlannedOrders[WeekIndex],60)=0,"",SUMIFS(T_PlannedOrders[EffectiveQty],T_PlannedOrders[Part Name],$A113,T_PlannedOrders[WeekIndex],60)&amp;" ("&amp;TEXT(SUMPRODUCT(MAX((T_PlannedOrders[Part Name]=$A113)*(T_PlannedOrders[WeekIndex]=60)*(T_PlannedOrders[EffectiveQty]&gt;0)*T_PlannedOrders[Order_Month])),"m月")&amp;"発注)")</f>
        <v/>
      </c>
      <c r="BL131">
        <f>IF(SUMIFS(T_PlannedOrders[EffectiveQty],T_PlannedOrders[Part Name],$A113,T_PlannedOrders[WeekIndex],61)=0,"",SUMIFS(T_PlannedOrders[EffectiveQty],T_PlannedOrders[Part Name],$A113,T_PlannedOrders[WeekIndex],61)&amp;" ("&amp;TEXT(SUMPRODUCT(MAX((T_PlannedOrders[Part Name]=$A113)*(T_PlannedOrders[WeekIndex]=61)*(T_PlannedOrders[EffectiveQty]&gt;0)*T_PlannedOrders[Order_Month])),"m月")&amp;"発注)")</f>
        <v/>
      </c>
      <c r="BM131">
        <f>IF(SUMIFS(T_PlannedOrders[EffectiveQty],T_PlannedOrders[Part Name],$A113,T_PlannedOrders[WeekIndex],62)=0,"",SUMIFS(T_PlannedOrders[EffectiveQty],T_PlannedOrders[Part Name],$A113,T_PlannedOrders[WeekIndex],62)&amp;" ("&amp;TEXT(SUMPRODUCT(MAX((T_PlannedOrders[Part Name]=$A113)*(T_PlannedOrders[WeekIndex]=62)*(T_PlannedOrders[EffectiveQty]&gt;0)*T_PlannedOrders[Order_Month])),"m月")&amp;"発注)")</f>
        <v/>
      </c>
      <c r="BN131">
        <f>IF(SUMIFS(T_PlannedOrders[EffectiveQty],T_PlannedOrders[Part Name],$A113,T_PlannedOrders[WeekIndex],63)=0,"",SUMIFS(T_PlannedOrders[EffectiveQty],T_PlannedOrders[Part Name],$A113,T_PlannedOrders[WeekIndex],63)&amp;" ("&amp;TEXT(SUMPRODUCT(MAX((T_PlannedOrders[Part Name]=$A113)*(T_PlannedOrders[WeekIndex]=63)*(T_PlannedOrders[EffectiveQty]&gt;0)*T_PlannedOrders[Order_Month])),"m月")&amp;"発注)")</f>
        <v/>
      </c>
      <c r="BO131">
        <f>IF(SUMIFS(T_PlannedOrders[EffectiveQty],T_PlannedOrders[Part Name],$A113,T_PlannedOrders[WeekIndex],64)=0,"",SUMIFS(T_PlannedOrders[EffectiveQty],T_PlannedOrders[Part Name],$A113,T_PlannedOrders[WeekIndex],64)&amp;" ("&amp;TEXT(SUMPRODUCT(MAX((T_PlannedOrders[Part Name]=$A113)*(T_PlannedOrders[WeekIndex]=64)*(T_PlannedOrders[EffectiveQty]&gt;0)*T_PlannedOrders[Order_Month])),"m月")&amp;"発注)")</f>
        <v/>
      </c>
      <c r="BP131">
        <f>IF(SUMIFS(T_PlannedOrders[EffectiveQty],T_PlannedOrders[Part Name],$A113,T_PlannedOrders[WeekIndex],65)=0,"",SUMIFS(T_PlannedOrders[EffectiveQty],T_PlannedOrders[Part Name],$A113,T_PlannedOrders[WeekIndex],65)&amp;" ("&amp;TEXT(SUMPRODUCT(MAX((T_PlannedOrders[Part Name]=$A113)*(T_PlannedOrders[WeekIndex]=65)*(T_PlannedOrders[EffectiveQty]&gt;0)*T_PlannedOrders[Order_Month])),"m月")&amp;"発注)")</f>
        <v/>
      </c>
      <c r="BQ131">
        <f>IF(SUMIFS(T_PlannedOrders[EffectiveQty],T_PlannedOrders[Part Name],$A113,T_PlannedOrders[WeekIndex],66)=0,"",SUMIFS(T_PlannedOrders[EffectiveQty],T_PlannedOrders[Part Name],$A113,T_PlannedOrders[WeekIndex],66)&amp;" ("&amp;TEXT(SUMPRODUCT(MAX((T_PlannedOrders[Part Name]=$A113)*(T_PlannedOrders[WeekIndex]=66)*(T_PlannedOrders[EffectiveQty]&gt;0)*T_PlannedOrders[Order_Month])),"m月")&amp;"発注)")</f>
        <v/>
      </c>
      <c r="BR131">
        <f>IF(SUMIFS(T_PlannedOrders[EffectiveQty],T_PlannedOrders[Part Name],$A113,T_PlannedOrders[WeekIndex],67)=0,"",SUMIFS(T_PlannedOrders[EffectiveQty],T_PlannedOrders[Part Name],$A113,T_PlannedOrders[WeekIndex],67)&amp;" ("&amp;TEXT(SUMPRODUCT(MAX((T_PlannedOrders[Part Name]=$A113)*(T_PlannedOrders[WeekIndex]=67)*(T_PlannedOrders[EffectiveQty]&gt;0)*T_PlannedOrders[Order_Month])),"m月")&amp;"発注)")</f>
        <v/>
      </c>
      <c r="BS131">
        <f>IF(SUMIFS(T_PlannedOrders[EffectiveQty],T_PlannedOrders[Part Name],$A113,T_PlannedOrders[WeekIndex],68)=0,"",SUMIFS(T_PlannedOrders[EffectiveQty],T_PlannedOrders[Part Name],$A113,T_PlannedOrders[WeekIndex],68)&amp;" ("&amp;TEXT(SUMPRODUCT(MAX((T_PlannedOrders[Part Name]=$A113)*(T_PlannedOrders[WeekIndex]=68)*(T_PlannedOrders[EffectiveQty]&gt;0)*T_PlannedOrders[Order_Month])),"m月")&amp;"発注)")</f>
        <v/>
      </c>
      <c r="BT131">
        <f>IF(SUMIFS(T_PlannedOrders[EffectiveQty],T_PlannedOrders[Part Name],$A113,T_PlannedOrders[WeekIndex],69)=0,"",SUMIFS(T_PlannedOrders[EffectiveQty],T_PlannedOrders[Part Name],$A113,T_PlannedOrders[WeekIndex],69)&amp;" ("&amp;TEXT(SUMPRODUCT(MAX((T_PlannedOrders[Part Name]=$A113)*(T_PlannedOrders[WeekIndex]=69)*(T_PlannedOrders[EffectiveQty]&gt;0)*T_PlannedOrders[Order_Month])),"m月")&amp;"発注)")</f>
        <v/>
      </c>
      <c r="BU131">
        <f>IF(SUMIFS(T_PlannedOrders[EffectiveQty],T_PlannedOrders[Part Name],$A113,T_PlannedOrders[WeekIndex],70)=0,"",SUMIFS(T_PlannedOrders[EffectiveQty],T_PlannedOrders[Part Name],$A113,T_PlannedOrders[WeekIndex],70)&amp;" ("&amp;TEXT(SUMPRODUCT(MAX((T_PlannedOrders[Part Name]=$A113)*(T_PlannedOrders[WeekIndex]=70)*(T_PlannedOrders[EffectiveQty]&gt;0)*T_PlannedOrders[Order_Month])),"m月")&amp;"発注)")</f>
        <v/>
      </c>
      <c r="BV131">
        <f>IF(SUMIFS(T_PlannedOrders[EffectiveQty],T_PlannedOrders[Part Name],$A113,T_PlannedOrders[WeekIndex],71)=0,"",SUMIFS(T_PlannedOrders[EffectiveQty],T_PlannedOrders[Part Name],$A113,T_PlannedOrders[WeekIndex],71)&amp;" ("&amp;TEXT(SUMPRODUCT(MAX((T_PlannedOrders[Part Name]=$A113)*(T_PlannedOrders[WeekIndex]=71)*(T_PlannedOrders[EffectiveQty]&gt;0)*T_PlannedOrders[Order_Month])),"m月")&amp;"発注)")</f>
        <v/>
      </c>
      <c r="BW131">
        <f>IF(SUMIFS(T_PlannedOrders[EffectiveQty],T_PlannedOrders[Part Name],$A113,T_PlannedOrders[WeekIndex],72)=0,"",SUMIFS(T_PlannedOrders[EffectiveQty],T_PlannedOrders[Part Name],$A113,T_PlannedOrders[WeekIndex],72)&amp;" ("&amp;TEXT(SUMPRODUCT(MAX((T_PlannedOrders[Part Name]=$A113)*(T_PlannedOrders[WeekIndex]=72)*(T_PlannedOrders[EffectiveQty]&gt;0)*T_PlannedOrders[Order_Month])),"m月")&amp;"発注)")</f>
        <v/>
      </c>
      <c r="BX131">
        <f>IF(SUMIFS(T_PlannedOrders[EffectiveQty],T_PlannedOrders[Part Name],$A113,T_PlannedOrders[WeekIndex],73)=0,"",SUMIFS(T_PlannedOrders[EffectiveQty],T_PlannedOrders[Part Name],$A113,T_PlannedOrders[WeekIndex],73)&amp;" ("&amp;TEXT(SUMPRODUCT(MAX((T_PlannedOrders[Part Name]=$A113)*(T_PlannedOrders[WeekIndex]=73)*(T_PlannedOrders[EffectiveQty]&gt;0)*T_PlannedOrders[Order_Month])),"m月")&amp;"発注)")</f>
        <v/>
      </c>
      <c r="BY131">
        <f>IF(SUMIFS(T_PlannedOrders[EffectiveQty],T_PlannedOrders[Part Name],$A113,T_PlannedOrders[WeekIndex],74)=0,"",SUMIFS(T_PlannedOrders[EffectiveQty],T_PlannedOrders[Part Name],$A113,T_PlannedOrders[WeekIndex],74)&amp;" ("&amp;TEXT(SUMPRODUCT(MAX((T_PlannedOrders[Part Name]=$A113)*(T_PlannedOrders[WeekIndex]=74)*(T_PlannedOrders[EffectiveQty]&gt;0)*T_PlannedOrders[Order_Month])),"m月")&amp;"発注)")</f>
        <v/>
      </c>
      <c r="BZ131">
        <f>IF(SUMIFS(T_PlannedOrders[EffectiveQty],T_PlannedOrders[Part Name],$A113,T_PlannedOrders[WeekIndex],75)=0,"",SUMIFS(T_PlannedOrders[EffectiveQty],T_PlannedOrders[Part Name],$A113,T_PlannedOrders[WeekIndex],75)&amp;" ("&amp;TEXT(SUMPRODUCT(MAX((T_PlannedOrders[Part Name]=$A113)*(T_PlannedOrders[WeekIndex]=75)*(T_PlannedOrders[EffectiveQty]&gt;0)*T_PlannedOrders[Order_Month])),"m月")&amp;"発注)")</f>
        <v/>
      </c>
      <c r="CA131">
        <f>IF(SUMIFS(T_PlannedOrders[EffectiveQty],T_PlannedOrders[Part Name],$A113,T_PlannedOrders[WeekIndex],76)=0,"",SUMIFS(T_PlannedOrders[EffectiveQty],T_PlannedOrders[Part Name],$A113,T_PlannedOrders[WeekIndex],76)&amp;" ("&amp;TEXT(SUMPRODUCT(MAX((T_PlannedOrders[Part Name]=$A113)*(T_PlannedOrders[WeekIndex]=76)*(T_PlannedOrders[EffectiveQty]&gt;0)*T_PlannedOrders[Order_Month])),"m月")&amp;"発注)")</f>
        <v/>
      </c>
      <c r="CB131">
        <f>IF(SUMIFS(T_PlannedOrders[EffectiveQty],T_PlannedOrders[Part Name],$A113,T_PlannedOrders[WeekIndex],77)=0,"",SUMIFS(T_PlannedOrders[EffectiveQty],T_PlannedOrders[Part Name],$A113,T_PlannedOrders[WeekIndex],77)&amp;" ("&amp;TEXT(SUMPRODUCT(MAX((T_PlannedOrders[Part Name]=$A113)*(T_PlannedOrders[WeekIndex]=77)*(T_PlannedOrders[EffectiveQty]&gt;0)*T_PlannedOrders[Order_Month])),"m月")&amp;"発注)")</f>
        <v/>
      </c>
      <c r="CC131">
        <f>IF(SUMIFS(T_PlannedOrders[EffectiveQty],T_PlannedOrders[Part Name],$A113,T_PlannedOrders[WeekIndex],78)=0,"",SUMIFS(T_PlannedOrders[EffectiveQty],T_PlannedOrders[Part Name],$A113,T_PlannedOrders[WeekIndex],78)&amp;" ("&amp;TEXT(SUMPRODUCT(MAX((T_PlannedOrders[Part Name]=$A113)*(T_PlannedOrders[WeekIndex]=78)*(T_PlannedOrders[EffectiveQty]&gt;0)*T_PlannedOrders[Order_Month])),"m月")&amp;"発注)")</f>
        <v/>
      </c>
      <c r="CD131">
        <f>IF(SUMIFS(T_PlannedOrders[EffectiveQty],T_PlannedOrders[Part Name],$A113,T_PlannedOrders[WeekIndex],79)=0,"",SUMIFS(T_PlannedOrders[EffectiveQty],T_PlannedOrders[Part Name],$A113,T_PlannedOrders[WeekIndex],79)&amp;" ("&amp;TEXT(SUMPRODUCT(MAX((T_PlannedOrders[Part Name]=$A113)*(T_PlannedOrders[WeekIndex]=79)*(T_PlannedOrders[EffectiveQty]&gt;0)*T_PlannedOrders[Order_Month])),"m月")&amp;"発注)")</f>
        <v/>
      </c>
      <c r="CE131">
        <f>IF(SUMIFS(T_PlannedOrders[EffectiveQty],T_PlannedOrders[Part Name],$A113,T_PlannedOrders[WeekIndex],80)=0,"",SUMIFS(T_PlannedOrders[EffectiveQty],T_PlannedOrders[Part Name],$A113,T_PlannedOrders[WeekIndex],80)&amp;" ("&amp;TEXT(SUMPRODUCT(MAX((T_PlannedOrders[Part Name]=$A113)*(T_PlannedOrders[WeekIndex]=80)*(T_PlannedOrders[EffectiveQty]&gt;0)*T_PlannedOrders[Order_Month])),"m月")&amp;"発注)")</f>
        <v/>
      </c>
      <c r="CF131">
        <f>IF(SUMIFS(T_PlannedOrders[EffectiveQty],T_PlannedOrders[Part Name],$A113,T_PlannedOrders[WeekIndex],81)=0,"",SUMIFS(T_PlannedOrders[EffectiveQty],T_PlannedOrders[Part Name],$A113,T_PlannedOrders[WeekIndex],81)&amp;" ("&amp;TEXT(SUMPRODUCT(MAX((T_PlannedOrders[Part Name]=$A113)*(T_PlannedOrders[WeekIndex]=81)*(T_PlannedOrders[EffectiveQty]&gt;0)*T_PlannedOrders[Order_Month])),"m月")&amp;"発注)")</f>
        <v/>
      </c>
      <c r="CG131">
        <f>IF(SUMIFS(T_PlannedOrders[EffectiveQty],T_PlannedOrders[Part Name],$A113,T_PlannedOrders[WeekIndex],82)=0,"",SUMIFS(T_PlannedOrders[EffectiveQty],T_PlannedOrders[Part Name],$A113,T_PlannedOrders[WeekIndex],82)&amp;" ("&amp;TEXT(SUMPRODUCT(MAX((T_PlannedOrders[Part Name]=$A113)*(T_PlannedOrders[WeekIndex]=82)*(T_PlannedOrders[EffectiveQty]&gt;0)*T_PlannedOrders[Order_Month])),"m月")&amp;"発注)")</f>
        <v/>
      </c>
      <c r="CH131">
        <f>IF(SUMIFS(T_PlannedOrders[EffectiveQty],T_PlannedOrders[Part Name],$A113,T_PlannedOrders[WeekIndex],83)=0,"",SUMIFS(T_PlannedOrders[EffectiveQty],T_PlannedOrders[Part Name],$A113,T_PlannedOrders[WeekIndex],83)&amp;" ("&amp;TEXT(SUMPRODUCT(MAX((T_PlannedOrders[Part Name]=$A113)*(T_PlannedOrders[WeekIndex]=83)*(T_PlannedOrders[EffectiveQty]&gt;0)*T_PlannedOrders[Order_Month])),"m月")&amp;"発注)")</f>
        <v/>
      </c>
      <c r="CI131">
        <f>IF(SUMIFS(T_PlannedOrders[EffectiveQty],T_PlannedOrders[Part Name],$A113,T_PlannedOrders[WeekIndex],84)=0,"",SUMIFS(T_PlannedOrders[EffectiveQty],T_PlannedOrders[Part Name],$A113,T_PlannedOrders[WeekIndex],84)&amp;" ("&amp;TEXT(SUMPRODUCT(MAX((T_PlannedOrders[Part Name]=$A113)*(T_PlannedOrders[WeekIndex]=84)*(T_PlannedOrders[EffectiveQty]&gt;0)*T_PlannedOrders[Order_Month])),"m月")&amp;"発注)")</f>
        <v/>
      </c>
      <c r="CJ131">
        <f>IF(SUMIFS(T_PlannedOrders[EffectiveQty],T_PlannedOrders[Part Name],$A113,T_PlannedOrders[WeekIndex],85)=0,"",SUMIFS(T_PlannedOrders[EffectiveQty],T_PlannedOrders[Part Name],$A113,T_PlannedOrders[WeekIndex],85)&amp;" ("&amp;TEXT(SUMPRODUCT(MAX((T_PlannedOrders[Part Name]=$A113)*(T_PlannedOrders[WeekIndex]=85)*(T_PlannedOrders[EffectiveQty]&gt;0)*T_PlannedOrders[Order_Month])),"m月")&amp;"発注)")</f>
        <v/>
      </c>
      <c r="CK131">
        <f>IF(SUMIFS(T_PlannedOrders[EffectiveQty],T_PlannedOrders[Part Name],$A113,T_PlannedOrders[WeekIndex],86)=0,"",SUMIFS(T_PlannedOrders[EffectiveQty],T_PlannedOrders[Part Name],$A113,T_PlannedOrders[WeekIndex],86)&amp;" ("&amp;TEXT(SUMPRODUCT(MAX((T_PlannedOrders[Part Name]=$A113)*(T_PlannedOrders[WeekIndex]=86)*(T_PlannedOrders[EffectiveQty]&gt;0)*T_PlannedOrders[Order_Month])),"m月")&amp;"発注)")</f>
        <v/>
      </c>
      <c r="CL131">
        <f>IF(SUMIFS(T_PlannedOrders[EffectiveQty],T_PlannedOrders[Part Name],$A113,T_PlannedOrders[WeekIndex],87)=0,"",SUMIFS(T_PlannedOrders[EffectiveQty],T_PlannedOrders[Part Name],$A113,T_PlannedOrders[WeekIndex],87)&amp;" ("&amp;TEXT(SUMPRODUCT(MAX((T_PlannedOrders[Part Name]=$A113)*(T_PlannedOrders[WeekIndex]=87)*(T_PlannedOrders[EffectiveQty]&gt;0)*T_PlannedOrders[Order_Month])),"m月")&amp;"発注)")</f>
        <v/>
      </c>
      <c r="CM131">
        <f>IF(SUMIFS(T_PlannedOrders[EffectiveQty],T_PlannedOrders[Part Name],$A113,T_PlannedOrders[WeekIndex],88)=0,"",SUMIFS(T_PlannedOrders[EffectiveQty],T_PlannedOrders[Part Name],$A113,T_PlannedOrders[WeekIndex],88)&amp;" ("&amp;TEXT(SUMPRODUCT(MAX((T_PlannedOrders[Part Name]=$A113)*(T_PlannedOrders[WeekIndex]=88)*(T_PlannedOrders[EffectiveQty]&gt;0)*T_PlannedOrders[Order_Month])),"m月")&amp;"発注)")</f>
        <v/>
      </c>
      <c r="CN131">
        <f>IF(SUMIFS(T_PlannedOrders[EffectiveQty],T_PlannedOrders[Part Name],$A113,T_PlannedOrders[WeekIndex],89)=0,"",SUMIFS(T_PlannedOrders[EffectiveQty],T_PlannedOrders[Part Name],$A113,T_PlannedOrders[WeekIndex],89)&amp;" ("&amp;TEXT(SUMPRODUCT(MAX((T_PlannedOrders[Part Name]=$A113)*(T_PlannedOrders[WeekIndex]=89)*(T_PlannedOrders[EffectiveQty]&gt;0)*T_PlannedOrders[Order_Month])),"m月")&amp;"発注)")</f>
        <v/>
      </c>
      <c r="CO131">
        <f>IF(SUMIFS(T_PlannedOrders[EffectiveQty],T_PlannedOrders[Part Name],$A113,T_PlannedOrders[WeekIndex],90)=0,"",SUMIFS(T_PlannedOrders[EffectiveQty],T_PlannedOrders[Part Name],$A113,T_PlannedOrders[WeekIndex],90)&amp;" ("&amp;TEXT(SUMPRODUCT(MAX((T_PlannedOrders[Part Name]=$A113)*(T_PlannedOrders[WeekIndex]=90)*(T_PlannedOrders[EffectiveQty]&gt;0)*T_PlannedOrders[Order_Month])),"m月")&amp;"発注)")</f>
        <v/>
      </c>
      <c r="CP131">
        <f>IF(SUMIFS(T_PlannedOrders[EffectiveQty],T_PlannedOrders[Part Name],$A113,T_PlannedOrders[WeekIndex],91)=0,"",SUMIFS(T_PlannedOrders[EffectiveQty],T_PlannedOrders[Part Name],$A113,T_PlannedOrders[WeekIndex],91)&amp;" ("&amp;TEXT(SUMPRODUCT(MAX((T_PlannedOrders[Part Name]=$A113)*(T_PlannedOrders[WeekIndex]=91)*(T_PlannedOrders[EffectiveQty]&gt;0)*T_PlannedOrders[Order_Month])),"m月")&amp;"発注)")</f>
        <v/>
      </c>
      <c r="CQ131">
        <f>IF(SUMIFS(T_PlannedOrders[EffectiveQty],T_PlannedOrders[Part Name],$A113,T_PlannedOrders[WeekIndex],92)=0,"",SUMIFS(T_PlannedOrders[EffectiveQty],T_PlannedOrders[Part Name],$A113,T_PlannedOrders[WeekIndex],92)&amp;" ("&amp;TEXT(SUMPRODUCT(MAX((T_PlannedOrders[Part Name]=$A113)*(T_PlannedOrders[WeekIndex]=92)*(T_PlannedOrders[EffectiveQty]&gt;0)*T_PlannedOrders[Order_Month])),"m月")&amp;"発注)")</f>
        <v/>
      </c>
      <c r="CR131">
        <f>IF(SUMIFS(T_PlannedOrders[EffectiveQty],T_PlannedOrders[Part Name],$A113,T_PlannedOrders[WeekIndex],93)=0,"",SUMIFS(T_PlannedOrders[EffectiveQty],T_PlannedOrders[Part Name],$A113,T_PlannedOrders[WeekIndex],93)&amp;" ("&amp;TEXT(SUMPRODUCT(MAX((T_PlannedOrders[Part Name]=$A113)*(T_PlannedOrders[WeekIndex]=93)*(T_PlannedOrders[EffectiveQty]&gt;0)*T_PlannedOrders[Order_Month])),"m月")&amp;"発注)")</f>
        <v/>
      </c>
      <c r="CS131">
        <f>IF(SUMIFS(T_PlannedOrders[EffectiveQty],T_PlannedOrders[Part Name],$A113,T_PlannedOrders[WeekIndex],94)=0,"",SUMIFS(T_PlannedOrders[EffectiveQty],T_PlannedOrders[Part Name],$A113,T_PlannedOrders[WeekIndex],94)&amp;" ("&amp;TEXT(SUMPRODUCT(MAX((T_PlannedOrders[Part Name]=$A113)*(T_PlannedOrders[WeekIndex]=94)*(T_PlannedOrders[EffectiveQty]&gt;0)*T_PlannedOrders[Order_Month])),"m月")&amp;"発注)")</f>
        <v/>
      </c>
      <c r="CT131">
        <f>IF(SUMIFS(T_PlannedOrders[EffectiveQty],T_PlannedOrders[Part Name],$A113,T_PlannedOrders[WeekIndex],95)=0,"",SUMIFS(T_PlannedOrders[EffectiveQty],T_PlannedOrders[Part Name],$A113,T_PlannedOrders[WeekIndex],95)&amp;" ("&amp;TEXT(SUMPRODUCT(MAX((T_PlannedOrders[Part Name]=$A113)*(T_PlannedOrders[WeekIndex]=95)*(T_PlannedOrders[EffectiveQty]&gt;0)*T_PlannedOrders[Order_Month])),"m月")&amp;"発注)")</f>
        <v/>
      </c>
      <c r="CU131">
        <f>IF(SUMIFS(T_PlannedOrders[EffectiveQty],T_PlannedOrders[Part Name],$A113,T_PlannedOrders[WeekIndex],96)=0,"",SUMIFS(T_PlannedOrders[EffectiveQty],T_PlannedOrders[Part Name],$A113,T_PlannedOrders[WeekIndex],96)&amp;" ("&amp;TEXT(SUMPRODUCT(MAX((T_PlannedOrders[Part Name]=$A113)*(T_PlannedOrders[WeekIndex]=96)*(T_PlannedOrders[EffectiveQty]&gt;0)*T_PlannedOrders[Order_Month])),"m月")&amp;"発注)")</f>
        <v/>
      </c>
      <c r="CV131">
        <f>IF(SUMIFS(T_PlannedOrders[EffectiveQty],T_PlannedOrders[Part Name],$A113,T_PlannedOrders[WeekIndex],97)=0,"",SUMIFS(T_PlannedOrders[EffectiveQty],T_PlannedOrders[Part Name],$A113,T_PlannedOrders[WeekIndex],97)&amp;" ("&amp;TEXT(SUMPRODUCT(MAX((T_PlannedOrders[Part Name]=$A113)*(T_PlannedOrders[WeekIndex]=97)*(T_PlannedOrders[EffectiveQty]&gt;0)*T_PlannedOrders[Order_Month])),"m月")&amp;"発注)")</f>
        <v/>
      </c>
      <c r="CW131">
        <f>IF(SUMIFS(T_PlannedOrders[EffectiveQty],T_PlannedOrders[Part Name],$A113,T_PlannedOrders[WeekIndex],98)=0,"",SUMIFS(T_PlannedOrders[EffectiveQty],T_PlannedOrders[Part Name],$A113,T_PlannedOrders[WeekIndex],98)&amp;" ("&amp;TEXT(SUMPRODUCT(MAX((T_PlannedOrders[Part Name]=$A113)*(T_PlannedOrders[WeekIndex]=98)*(T_PlannedOrders[EffectiveQty]&gt;0)*T_PlannedOrders[Order_Month])),"m月")&amp;"発注)")</f>
        <v/>
      </c>
      <c r="CX131">
        <f>IF(SUMIFS(T_PlannedOrders[EffectiveQty],T_PlannedOrders[Part Name],$A113,T_PlannedOrders[WeekIndex],99)=0,"",SUMIFS(T_PlannedOrders[EffectiveQty],T_PlannedOrders[Part Name],$A113,T_PlannedOrders[WeekIndex],99)&amp;" ("&amp;TEXT(SUMPRODUCT(MAX((T_PlannedOrders[Part Name]=$A113)*(T_PlannedOrders[WeekIndex]=99)*(T_PlannedOrders[EffectiveQty]&gt;0)*T_PlannedOrders[Order_Month])),"m月")&amp;"発注)")</f>
        <v/>
      </c>
      <c r="CY131">
        <f>IF(SUMIFS(T_PlannedOrders[EffectiveQty],T_PlannedOrders[Part Name],$A113,T_PlannedOrders[WeekIndex],100)=0,"",SUMIFS(T_PlannedOrders[EffectiveQty],T_PlannedOrders[Part Name],$A113,T_PlannedOrders[WeekIndex],100)&amp;" ("&amp;TEXT(SUMPRODUCT(MAX((T_PlannedOrders[Part Name]=$A113)*(T_PlannedOrders[WeekIndex]=100)*(T_PlannedOrders[EffectiveQty]&gt;0)*T_PlannedOrders[Order_Month])),"m月")&amp;"発注)")</f>
        <v/>
      </c>
      <c r="CZ131">
        <f>IF(SUMIFS(T_PlannedOrders[EffectiveQty],T_PlannedOrders[Part Name],$A113,T_PlannedOrders[WeekIndex],101)=0,"",SUMIFS(T_PlannedOrders[EffectiveQty],T_PlannedOrders[Part Name],$A113,T_PlannedOrders[WeekIndex],101)&amp;" ("&amp;TEXT(SUMPRODUCT(MAX((T_PlannedOrders[Part Name]=$A113)*(T_PlannedOrders[WeekIndex]=101)*(T_PlannedOrders[EffectiveQty]&gt;0)*T_PlannedOrders[Order_Month])),"m月")&amp;"発注)")</f>
        <v/>
      </c>
      <c r="DA131">
        <f>IF(SUMIFS(T_PlannedOrders[EffectiveQty],T_PlannedOrders[Part Name],$A113,T_PlannedOrders[WeekIndex],102)=0,"",SUMIFS(T_PlannedOrders[EffectiveQty],T_PlannedOrders[Part Name],$A113,T_PlannedOrders[WeekIndex],102)&amp;" ("&amp;TEXT(SUMPRODUCT(MAX((T_PlannedOrders[Part Name]=$A113)*(T_PlannedOrders[WeekIndex]=102)*(T_PlannedOrders[EffectiveQty]&gt;0)*T_PlannedOrders[Order_Month])),"m月")&amp;"発注)")</f>
        <v/>
      </c>
      <c r="DB131">
        <f>IF(SUMIFS(T_PlannedOrders[EffectiveQty],T_PlannedOrders[Part Name],$A113,T_PlannedOrders[WeekIndex],103)=0,"",SUMIFS(T_PlannedOrders[EffectiveQty],T_PlannedOrders[Part Name],$A113,T_PlannedOrders[WeekIndex],103)&amp;" ("&amp;TEXT(SUMPRODUCT(MAX((T_PlannedOrders[Part Name]=$A113)*(T_PlannedOrders[WeekIndex]=103)*(T_PlannedOrders[EffectiveQty]&gt;0)*T_PlannedOrders[Order_Month])),"m月")&amp;"発注)")</f>
        <v/>
      </c>
      <c r="DC131">
        <f>IF(SUMIFS(T_PlannedOrders[EffectiveQty],T_PlannedOrders[Part Name],$A113,T_PlannedOrders[WeekIndex],104)=0,"",SUMIFS(T_PlannedOrders[EffectiveQty],T_PlannedOrders[Part Name],$A113,T_PlannedOrders[WeekIndex],104)&amp;" ("&amp;TEXT(SUMPRODUCT(MAX((T_PlannedOrders[Part Name]=$A113)*(T_PlannedOrders[WeekIndex]=104)*(T_PlannedOrders[EffectiveQty]&gt;0)*T_PlannedOrders[Order_Month])),"m月")&amp;"発注)")</f>
        <v/>
      </c>
    </row>
    <row r="132">
      <c r="B132" s="5" t="inlineStr">
        <is>
          <t>合計在庫(週末時点,kg)</t>
        </is>
      </c>
      <c r="D132">
        <f>'Grid_Stock'!B14</f>
        <v/>
      </c>
      <c r="E132">
        <f>'Grid_Stock'!C14</f>
        <v/>
      </c>
      <c r="F132">
        <f>'Grid_Stock'!D14</f>
        <v/>
      </c>
      <c r="G132">
        <f>'Grid_Stock'!E14</f>
        <v/>
      </c>
      <c r="H132">
        <f>'Grid_Stock'!F14</f>
        <v/>
      </c>
      <c r="I132">
        <f>'Grid_Stock'!G14</f>
        <v/>
      </c>
      <c r="J132">
        <f>'Grid_Stock'!H14</f>
        <v/>
      </c>
      <c r="K132">
        <f>'Grid_Stock'!I14</f>
        <v/>
      </c>
      <c r="L132">
        <f>'Grid_Stock'!J14</f>
        <v/>
      </c>
      <c r="M132">
        <f>'Grid_Stock'!K14</f>
        <v/>
      </c>
      <c r="N132">
        <f>'Grid_Stock'!L14</f>
        <v/>
      </c>
      <c r="O132">
        <f>'Grid_Stock'!M14</f>
        <v/>
      </c>
      <c r="P132">
        <f>'Grid_Stock'!N14</f>
        <v/>
      </c>
      <c r="Q132">
        <f>'Grid_Stock'!O14</f>
        <v/>
      </c>
      <c r="R132">
        <f>'Grid_Stock'!P14</f>
        <v/>
      </c>
      <c r="S132">
        <f>'Grid_Stock'!Q14</f>
        <v/>
      </c>
      <c r="T132">
        <f>'Grid_Stock'!R14</f>
        <v/>
      </c>
      <c r="U132">
        <f>'Grid_Stock'!S14</f>
        <v/>
      </c>
      <c r="V132">
        <f>'Grid_Stock'!T14</f>
        <v/>
      </c>
      <c r="W132">
        <f>'Grid_Stock'!U14</f>
        <v/>
      </c>
      <c r="X132">
        <f>'Grid_Stock'!V14</f>
        <v/>
      </c>
      <c r="Y132">
        <f>'Grid_Stock'!W14</f>
        <v/>
      </c>
      <c r="Z132">
        <f>'Grid_Stock'!X14</f>
        <v/>
      </c>
      <c r="AA132">
        <f>'Grid_Stock'!Y14</f>
        <v/>
      </c>
      <c r="AB132">
        <f>'Grid_Stock'!Z14</f>
        <v/>
      </c>
      <c r="AC132">
        <f>'Grid_Stock'!AA14</f>
        <v/>
      </c>
      <c r="AD132">
        <f>'Grid_Stock'!AB14</f>
        <v/>
      </c>
      <c r="AE132">
        <f>'Grid_Stock'!AC14</f>
        <v/>
      </c>
      <c r="AF132">
        <f>'Grid_Stock'!AD14</f>
        <v/>
      </c>
      <c r="AG132">
        <f>'Grid_Stock'!AE14</f>
        <v/>
      </c>
      <c r="AH132">
        <f>'Grid_Stock'!AF14</f>
        <v/>
      </c>
      <c r="AI132">
        <f>'Grid_Stock'!AG14</f>
        <v/>
      </c>
      <c r="AJ132">
        <f>'Grid_Stock'!AH14</f>
        <v/>
      </c>
      <c r="AK132">
        <f>'Grid_Stock'!AI14</f>
        <v/>
      </c>
      <c r="AL132">
        <f>'Grid_Stock'!AJ14</f>
        <v/>
      </c>
      <c r="AM132">
        <f>'Grid_Stock'!AK14</f>
        <v/>
      </c>
      <c r="AN132">
        <f>'Grid_Stock'!AL14</f>
        <v/>
      </c>
      <c r="AO132">
        <f>'Grid_Stock'!AM14</f>
        <v/>
      </c>
      <c r="AP132">
        <f>'Grid_Stock'!AN14</f>
        <v/>
      </c>
      <c r="AQ132">
        <f>'Grid_Stock'!AO14</f>
        <v/>
      </c>
      <c r="AR132">
        <f>'Grid_Stock'!AP14</f>
        <v/>
      </c>
      <c r="AS132">
        <f>'Grid_Stock'!AQ14</f>
        <v/>
      </c>
      <c r="AT132">
        <f>'Grid_Stock'!AR14</f>
        <v/>
      </c>
      <c r="AU132">
        <f>'Grid_Stock'!AS14</f>
        <v/>
      </c>
      <c r="AV132">
        <f>'Grid_Stock'!AT14</f>
        <v/>
      </c>
      <c r="AW132">
        <f>'Grid_Stock'!AU14</f>
        <v/>
      </c>
      <c r="AX132">
        <f>'Grid_Stock'!AV14</f>
        <v/>
      </c>
      <c r="AY132">
        <f>'Grid_Stock'!AW14</f>
        <v/>
      </c>
      <c r="AZ132">
        <f>'Grid_Stock'!AX14</f>
        <v/>
      </c>
      <c r="BA132">
        <f>'Grid_Stock'!AY14</f>
        <v/>
      </c>
      <c r="BB132">
        <f>'Grid_Stock'!AZ14</f>
        <v/>
      </c>
      <c r="BC132">
        <f>'Grid_Stock'!BA14</f>
        <v/>
      </c>
      <c r="BD132">
        <f>'Grid_Stock'!BB14</f>
        <v/>
      </c>
      <c r="BE132">
        <f>'Grid_Stock'!BC14</f>
        <v/>
      </c>
      <c r="BF132">
        <f>'Grid_Stock'!BD14</f>
        <v/>
      </c>
      <c r="BG132">
        <f>'Grid_Stock'!BE14</f>
        <v/>
      </c>
      <c r="BH132">
        <f>'Grid_Stock'!BF14</f>
        <v/>
      </c>
      <c r="BI132">
        <f>'Grid_Stock'!BG14</f>
        <v/>
      </c>
      <c r="BJ132">
        <f>'Grid_Stock'!BH14</f>
        <v/>
      </c>
      <c r="BK132">
        <f>'Grid_Stock'!BI14</f>
        <v/>
      </c>
      <c r="BL132">
        <f>'Grid_Stock'!BJ14</f>
        <v/>
      </c>
      <c r="BM132">
        <f>'Grid_Stock'!BK14</f>
        <v/>
      </c>
      <c r="BN132">
        <f>'Grid_Stock'!BL14</f>
        <v/>
      </c>
      <c r="BO132">
        <f>'Grid_Stock'!BM14</f>
        <v/>
      </c>
      <c r="BP132">
        <f>'Grid_Stock'!BN14</f>
        <v/>
      </c>
      <c r="BQ132">
        <f>'Grid_Stock'!BO14</f>
        <v/>
      </c>
      <c r="BR132">
        <f>'Grid_Stock'!BP14</f>
        <v/>
      </c>
      <c r="BS132">
        <f>'Grid_Stock'!BQ14</f>
        <v/>
      </c>
      <c r="BT132">
        <f>'Grid_Stock'!BR14</f>
        <v/>
      </c>
      <c r="BU132">
        <f>'Grid_Stock'!BS14</f>
        <v/>
      </c>
      <c r="BV132">
        <f>'Grid_Stock'!BT14</f>
        <v/>
      </c>
      <c r="BW132">
        <f>'Grid_Stock'!BU14</f>
        <v/>
      </c>
      <c r="BX132">
        <f>'Grid_Stock'!BV14</f>
        <v/>
      </c>
      <c r="BY132">
        <f>'Grid_Stock'!BW14</f>
        <v/>
      </c>
      <c r="BZ132">
        <f>'Grid_Stock'!BX14</f>
        <v/>
      </c>
      <c r="CA132">
        <f>'Grid_Stock'!BY14</f>
        <v/>
      </c>
      <c r="CB132">
        <f>'Grid_Stock'!BZ14</f>
        <v/>
      </c>
      <c r="CC132">
        <f>'Grid_Stock'!CA14</f>
        <v/>
      </c>
      <c r="CD132">
        <f>'Grid_Stock'!CB14</f>
        <v/>
      </c>
      <c r="CE132">
        <f>'Grid_Stock'!CC14</f>
        <v/>
      </c>
      <c r="CF132">
        <f>'Grid_Stock'!CD14</f>
        <v/>
      </c>
      <c r="CG132">
        <f>'Grid_Stock'!CE14</f>
        <v/>
      </c>
      <c r="CH132">
        <f>'Grid_Stock'!CF14</f>
        <v/>
      </c>
      <c r="CI132">
        <f>'Grid_Stock'!CG14</f>
        <v/>
      </c>
      <c r="CJ132">
        <f>'Grid_Stock'!CH14</f>
        <v/>
      </c>
      <c r="CK132">
        <f>'Grid_Stock'!CI14</f>
        <v/>
      </c>
      <c r="CL132">
        <f>'Grid_Stock'!CJ14</f>
        <v/>
      </c>
      <c r="CM132">
        <f>'Grid_Stock'!CK14</f>
        <v/>
      </c>
      <c r="CN132">
        <f>'Grid_Stock'!CL14</f>
        <v/>
      </c>
      <c r="CO132">
        <f>'Grid_Stock'!CM14</f>
        <v/>
      </c>
      <c r="CP132">
        <f>'Grid_Stock'!CN14</f>
        <v/>
      </c>
      <c r="CQ132">
        <f>'Grid_Stock'!CO14</f>
        <v/>
      </c>
      <c r="CR132">
        <f>'Grid_Stock'!CP14</f>
        <v/>
      </c>
      <c r="CS132">
        <f>'Grid_Stock'!CQ14</f>
        <v/>
      </c>
      <c r="CT132">
        <f>'Grid_Stock'!CR14</f>
        <v/>
      </c>
      <c r="CU132">
        <f>'Grid_Stock'!CS14</f>
        <v/>
      </c>
      <c r="CV132">
        <f>'Grid_Stock'!CT14</f>
        <v/>
      </c>
      <c r="CW132">
        <f>'Grid_Stock'!CU14</f>
        <v/>
      </c>
      <c r="CX132">
        <f>'Grid_Stock'!CV14</f>
        <v/>
      </c>
      <c r="CY132">
        <f>'Grid_Stock'!CW14</f>
        <v/>
      </c>
      <c r="CZ132">
        <f>'Grid_Stock'!CX14</f>
        <v/>
      </c>
      <c r="DA132">
        <f>'Grid_Stock'!CY14</f>
        <v/>
      </c>
      <c r="DB132">
        <f>'Grid_Stock'!CZ14</f>
        <v/>
      </c>
      <c r="DC132">
        <f>'Grid_Stock'!DA14</f>
        <v/>
      </c>
    </row>
    <row r="133">
      <c r="B133" s="23" t="inlineStr">
        <is>
          <t>（発注の目安はDashboardの基準在庫[下限/上限]と色分けを参照）</t>
        </is>
      </c>
    </row>
    <row r="135">
      <c r="A135" s="21" t="inlineStr">
        <is>
          <t>5SN</t>
        </is>
      </c>
      <c r="B135" s="21" t="inlineStr">
        <is>
          <t>Substrate NGK WF6</t>
        </is>
      </c>
      <c r="C135" s="22" t="n"/>
      <c r="D135" s="21" t="n"/>
      <c r="E135" s="21" t="n"/>
      <c r="F135" s="21" t="n"/>
      <c r="G135" s="21" t="n"/>
      <c r="H135" s="21" t="n"/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1" t="n"/>
      <c r="AE135" s="21" t="n"/>
      <c r="AF135" s="21" t="n"/>
      <c r="AG135" s="21" t="n"/>
      <c r="AH135" s="21" t="n"/>
      <c r="AI135" s="21" t="n"/>
      <c r="AJ135" s="21" t="n"/>
      <c r="AK135" s="21" t="n"/>
      <c r="AL135" s="21" t="n"/>
      <c r="AM135" s="21" t="n"/>
      <c r="AN135" s="21" t="n"/>
      <c r="AO135" s="21" t="n"/>
      <c r="AP135" s="21" t="n"/>
      <c r="AQ135" s="21" t="n"/>
      <c r="AR135" s="21" t="n"/>
      <c r="AS135" s="21" t="n"/>
      <c r="AT135" s="21" t="n"/>
      <c r="AU135" s="21" t="n"/>
      <c r="AV135" s="21" t="n"/>
      <c r="AW135" s="21" t="n"/>
      <c r="AX135" s="21" t="n"/>
      <c r="AY135" s="21" t="n"/>
      <c r="AZ135" s="21" t="n"/>
      <c r="BA135" s="21" t="n"/>
      <c r="BB135" s="21" t="n"/>
      <c r="BC135" s="21" t="n"/>
      <c r="BD135" s="21" t="n"/>
      <c r="BE135" s="21" t="n"/>
      <c r="BF135" s="21" t="n"/>
      <c r="BG135" s="21" t="n"/>
      <c r="BH135" s="21" t="n"/>
      <c r="BI135" s="21" t="n"/>
      <c r="BJ135" s="21" t="n"/>
      <c r="BK135" s="21" t="n"/>
      <c r="BL135" s="21" t="n"/>
      <c r="BM135" s="21" t="n"/>
      <c r="BN135" s="21" t="n"/>
      <c r="BO135" s="21" t="n"/>
      <c r="BP135" s="21" t="n"/>
      <c r="BQ135" s="21" t="n"/>
      <c r="BR135" s="21" t="n"/>
      <c r="BS135" s="21" t="n"/>
      <c r="BT135" s="21" t="n"/>
      <c r="BU135" s="21" t="n"/>
      <c r="BV135" s="21" t="n"/>
      <c r="BW135" s="21" t="n"/>
      <c r="BX135" s="21" t="n"/>
      <c r="BY135" s="21" t="n"/>
      <c r="BZ135" s="21" t="n"/>
      <c r="CA135" s="21" t="n"/>
      <c r="CB135" s="21" t="n"/>
      <c r="CC135" s="21" t="n"/>
      <c r="CD135" s="21" t="n"/>
      <c r="CE135" s="21" t="n"/>
      <c r="CF135" s="21" t="n"/>
      <c r="CG135" s="21" t="n"/>
      <c r="CH135" s="21" t="n"/>
      <c r="CI135" s="21" t="n"/>
      <c r="CJ135" s="21" t="n"/>
      <c r="CK135" s="21" t="n"/>
      <c r="CL135" s="21" t="n"/>
      <c r="CM135" s="21" t="n"/>
      <c r="CN135" s="21" t="n"/>
      <c r="CO135" s="21" t="n"/>
      <c r="CP135" s="21" t="n"/>
      <c r="CQ135" s="21" t="n"/>
      <c r="CR135" s="21" t="n"/>
      <c r="CS135" s="21" t="n"/>
      <c r="CT135" s="21" t="n"/>
      <c r="CU135" s="21" t="n"/>
      <c r="CV135" s="21" t="n"/>
      <c r="CW135" s="21" t="n"/>
      <c r="CX135" s="21" t="n"/>
      <c r="CY135" s="21" t="n"/>
      <c r="CZ135" s="21" t="n"/>
      <c r="DA135" s="21" t="n"/>
      <c r="DB135" s="21" t="n"/>
      <c r="DC135" s="21" t="n"/>
    </row>
    <row r="136">
      <c r="B136" t="inlineStr">
        <is>
          <t>0Q110</t>
        </is>
      </c>
      <c r="C136" t="inlineStr">
        <is>
          <t>No. of batches</t>
        </is>
      </c>
      <c r="D136">
        <f>IFERROR(INDEX(PP_Grid[#Data],$DD136,2),0)</f>
        <v/>
      </c>
      <c r="E136">
        <f>IFERROR(INDEX(PP_Grid[#Data],$DD136,3),0)</f>
        <v/>
      </c>
      <c r="F136">
        <f>IFERROR(INDEX(PP_Grid[#Data],$DD136,4),0)</f>
        <v/>
      </c>
      <c r="G136">
        <f>IFERROR(INDEX(PP_Grid[#Data],$DD136,5),0)</f>
        <v/>
      </c>
      <c r="H136">
        <f>IFERROR(INDEX(PP_Grid[#Data],$DD136,6),0)</f>
        <v/>
      </c>
      <c r="I136">
        <f>IFERROR(INDEX(PP_Grid[#Data],$DD136,7),0)</f>
        <v/>
      </c>
      <c r="J136">
        <f>IFERROR(INDEX(PP_Grid[#Data],$DD136,8),0)</f>
        <v/>
      </c>
      <c r="K136">
        <f>IFERROR(INDEX(PP_Grid[#Data],$DD136,9),0)</f>
        <v/>
      </c>
      <c r="L136">
        <f>IFERROR(INDEX(PP_Grid[#Data],$DD136,10),0)</f>
        <v/>
      </c>
      <c r="M136">
        <f>IFERROR(INDEX(PP_Grid[#Data],$DD136,11),0)</f>
        <v/>
      </c>
      <c r="N136">
        <f>IFERROR(INDEX(PP_Grid[#Data],$DD136,12),0)</f>
        <v/>
      </c>
      <c r="O136">
        <f>IFERROR(INDEX(PP_Grid[#Data],$DD136,13),0)</f>
        <v/>
      </c>
      <c r="P136">
        <f>IFERROR(INDEX(PP_Grid[#Data],$DD136,14),0)</f>
        <v/>
      </c>
      <c r="Q136">
        <f>IFERROR(INDEX(PP_Grid[#Data],$DD136,15),0)</f>
        <v/>
      </c>
      <c r="R136">
        <f>IFERROR(INDEX(PP_Grid[#Data],$DD136,16),0)</f>
        <v/>
      </c>
      <c r="S136">
        <f>IFERROR(INDEX(PP_Grid[#Data],$DD136,17),0)</f>
        <v/>
      </c>
      <c r="T136">
        <f>IFERROR(INDEX(PP_Grid[#Data],$DD136,18),0)</f>
        <v/>
      </c>
      <c r="U136">
        <f>IFERROR(INDEX(PP_Grid[#Data],$DD136,19),0)</f>
        <v/>
      </c>
      <c r="V136">
        <f>IFERROR(INDEX(PP_Grid[#Data],$DD136,20),0)</f>
        <v/>
      </c>
      <c r="W136">
        <f>IFERROR(INDEX(PP_Grid[#Data],$DD136,21),0)</f>
        <v/>
      </c>
      <c r="X136">
        <f>IFERROR(INDEX(PP_Grid[#Data],$DD136,22),0)</f>
        <v/>
      </c>
      <c r="Y136">
        <f>IFERROR(INDEX(PP_Grid[#Data],$DD136,23),0)</f>
        <v/>
      </c>
      <c r="Z136">
        <f>IFERROR(INDEX(PP_Grid[#Data],$DD136,24),0)</f>
        <v/>
      </c>
      <c r="AA136">
        <f>IFERROR(INDEX(PP_Grid[#Data],$DD136,25),0)</f>
        <v/>
      </c>
      <c r="AB136">
        <f>IFERROR(INDEX(PP_Grid[#Data],$DD136,26),0)</f>
        <v/>
      </c>
      <c r="AC136">
        <f>IFERROR(INDEX(PP_Grid[#Data],$DD136,27),0)</f>
        <v/>
      </c>
      <c r="AD136">
        <f>IFERROR(INDEX(PP_Grid[#Data],$DD136,28),0)</f>
        <v/>
      </c>
      <c r="AE136">
        <f>IFERROR(INDEX(PP_Grid[#Data],$DD136,29),0)</f>
        <v/>
      </c>
      <c r="AF136">
        <f>IFERROR(INDEX(PP_Grid[#Data],$DD136,30),0)</f>
        <v/>
      </c>
      <c r="AG136">
        <f>IFERROR(INDEX(PP_Grid[#Data],$DD136,31),0)</f>
        <v/>
      </c>
      <c r="AH136">
        <f>IFERROR(INDEX(PP_Grid[#Data],$DD136,32),0)</f>
        <v/>
      </c>
      <c r="AI136">
        <f>IFERROR(INDEX(PP_Grid[#Data],$DD136,33),0)</f>
        <v/>
      </c>
      <c r="AJ136">
        <f>IFERROR(INDEX(PP_Grid[#Data],$DD136,34),0)</f>
        <v/>
      </c>
      <c r="AK136">
        <f>IFERROR(INDEX(PP_Grid[#Data],$DD136,35),0)</f>
        <v/>
      </c>
      <c r="AL136">
        <f>IFERROR(INDEX(PP_Grid[#Data],$DD136,36),0)</f>
        <v/>
      </c>
      <c r="AM136">
        <f>IFERROR(INDEX(PP_Grid[#Data],$DD136,37),0)</f>
        <v/>
      </c>
      <c r="AN136">
        <f>IFERROR(INDEX(PP_Grid[#Data],$DD136,38),0)</f>
        <v/>
      </c>
      <c r="AO136">
        <f>IFERROR(INDEX(PP_Grid[#Data],$DD136,39),0)</f>
        <v/>
      </c>
      <c r="AP136">
        <f>IFERROR(INDEX(PP_Grid[#Data],$DD136,40),0)</f>
        <v/>
      </c>
      <c r="AQ136">
        <f>IFERROR(INDEX(PP_Grid[#Data],$DD136,41),0)</f>
        <v/>
      </c>
      <c r="AR136">
        <f>IFERROR(INDEX(PP_Grid[#Data],$DD136,42),0)</f>
        <v/>
      </c>
      <c r="AS136">
        <f>IFERROR(INDEX(PP_Grid[#Data],$DD136,43),0)</f>
        <v/>
      </c>
      <c r="AT136">
        <f>IFERROR(INDEX(PP_Grid[#Data],$DD136,44),0)</f>
        <v/>
      </c>
      <c r="AU136">
        <f>IFERROR(INDEX(PP_Grid[#Data],$DD136,45),0)</f>
        <v/>
      </c>
      <c r="AV136">
        <f>IFERROR(INDEX(PP_Grid[#Data],$DD136,46),0)</f>
        <v/>
      </c>
      <c r="AW136">
        <f>IFERROR(INDEX(PP_Grid[#Data],$DD136,47),0)</f>
        <v/>
      </c>
      <c r="AX136">
        <f>IFERROR(INDEX(PP_Grid[#Data],$DD136,48),0)</f>
        <v/>
      </c>
      <c r="AY136">
        <f>IFERROR(INDEX(PP_Grid[#Data],$DD136,49),0)</f>
        <v/>
      </c>
      <c r="AZ136">
        <f>IFERROR(INDEX(PP_Grid[#Data],$DD136,50),0)</f>
        <v/>
      </c>
      <c r="BA136">
        <f>IFERROR(INDEX(PP_Grid[#Data],$DD136,51),0)</f>
        <v/>
      </c>
      <c r="BB136">
        <f>IFERROR(INDEX(PP_Grid[#Data],$DD136,52),0)</f>
        <v/>
      </c>
      <c r="BC136">
        <f>IFERROR(INDEX(PP_Grid[#Data],$DD136,53),0)</f>
        <v/>
      </c>
      <c r="BD136">
        <f>IFERROR(INDEX(PP_Grid[#Data],$DD136,54),0)</f>
        <v/>
      </c>
      <c r="BE136">
        <f>IFERROR(INDEX(PP_Grid[#Data],$DD136,55),0)</f>
        <v/>
      </c>
      <c r="BF136">
        <f>IFERROR(INDEX(PP_Grid[#Data],$DD136,56),0)</f>
        <v/>
      </c>
      <c r="BG136">
        <f>IFERROR(INDEX(PP_Grid[#Data],$DD136,57),0)</f>
        <v/>
      </c>
      <c r="BH136">
        <f>IFERROR(INDEX(PP_Grid[#Data],$DD136,58),0)</f>
        <v/>
      </c>
      <c r="BI136">
        <f>IFERROR(INDEX(PP_Grid[#Data],$DD136,59),0)</f>
        <v/>
      </c>
      <c r="BJ136">
        <f>IFERROR(INDEX(PP_Grid[#Data],$DD136,60),0)</f>
        <v/>
      </c>
      <c r="BK136">
        <f>IFERROR(INDEX(PP_Grid[#Data],$DD136,61),0)</f>
        <v/>
      </c>
      <c r="BL136">
        <f>IFERROR(INDEX(PP_Grid[#Data],$DD136,62),0)</f>
        <v/>
      </c>
      <c r="BM136">
        <f>IFERROR(INDEX(PP_Grid[#Data],$DD136,63),0)</f>
        <v/>
      </c>
      <c r="BN136">
        <f>IFERROR(INDEX(PP_Grid[#Data],$DD136,64),0)</f>
        <v/>
      </c>
      <c r="BO136">
        <f>IFERROR(INDEX(PP_Grid[#Data],$DD136,65),0)</f>
        <v/>
      </c>
      <c r="BP136">
        <f>IFERROR(INDEX(PP_Grid[#Data],$DD136,66),0)</f>
        <v/>
      </c>
      <c r="BQ136">
        <f>IFERROR(INDEX(PP_Grid[#Data],$DD136,67),0)</f>
        <v/>
      </c>
      <c r="BR136">
        <f>IFERROR(INDEX(PP_Grid[#Data],$DD136,68),0)</f>
        <v/>
      </c>
      <c r="BS136">
        <f>IFERROR(INDEX(PP_Grid[#Data],$DD136,69),0)</f>
        <v/>
      </c>
      <c r="BT136">
        <f>IFERROR(INDEX(PP_Grid[#Data],$DD136,70),0)</f>
        <v/>
      </c>
      <c r="BU136">
        <f>IFERROR(INDEX(PP_Grid[#Data],$DD136,71),0)</f>
        <v/>
      </c>
      <c r="BV136">
        <f>IFERROR(INDEX(PP_Grid[#Data],$DD136,72),0)</f>
        <v/>
      </c>
      <c r="BW136">
        <f>IFERROR(INDEX(PP_Grid[#Data],$DD136,73),0)</f>
        <v/>
      </c>
      <c r="BX136">
        <f>IFERROR(INDEX(PP_Grid[#Data],$DD136,74),0)</f>
        <v/>
      </c>
      <c r="BY136">
        <f>IFERROR(INDEX(PP_Grid[#Data],$DD136,75),0)</f>
        <v/>
      </c>
      <c r="BZ136">
        <f>IFERROR(INDEX(PP_Grid[#Data],$DD136,76),0)</f>
        <v/>
      </c>
      <c r="CA136">
        <f>IFERROR(INDEX(PP_Grid[#Data],$DD136,77),0)</f>
        <v/>
      </c>
      <c r="CB136">
        <f>IFERROR(INDEX(PP_Grid[#Data],$DD136,78),0)</f>
        <v/>
      </c>
      <c r="CC136">
        <f>IFERROR(INDEX(PP_Grid[#Data],$DD136,79),0)</f>
        <v/>
      </c>
      <c r="CD136">
        <f>IFERROR(INDEX(PP_Grid[#Data],$DD136,80),0)</f>
        <v/>
      </c>
      <c r="CE136">
        <f>IFERROR(INDEX(PP_Grid[#Data],$DD136,81),0)</f>
        <v/>
      </c>
      <c r="CF136">
        <f>IFERROR(INDEX(PP_Grid[#Data],$DD136,82),0)</f>
        <v/>
      </c>
      <c r="CG136">
        <f>IFERROR(INDEX(PP_Grid[#Data],$DD136,83),0)</f>
        <v/>
      </c>
      <c r="CH136">
        <f>IFERROR(INDEX(PP_Grid[#Data],$DD136,84),0)</f>
        <v/>
      </c>
      <c r="CI136">
        <f>IFERROR(INDEX(PP_Grid[#Data],$DD136,85),0)</f>
        <v/>
      </c>
      <c r="CJ136">
        <f>IFERROR(INDEX(PP_Grid[#Data],$DD136,86),0)</f>
        <v/>
      </c>
      <c r="CK136">
        <f>IFERROR(INDEX(PP_Grid[#Data],$DD136,87),0)</f>
        <v/>
      </c>
      <c r="CL136">
        <f>IFERROR(INDEX(PP_Grid[#Data],$DD136,88),0)</f>
        <v/>
      </c>
      <c r="CM136">
        <f>IFERROR(INDEX(PP_Grid[#Data],$DD136,89),0)</f>
        <v/>
      </c>
      <c r="CN136">
        <f>IFERROR(INDEX(PP_Grid[#Data],$DD136,90),0)</f>
        <v/>
      </c>
      <c r="CO136">
        <f>IFERROR(INDEX(PP_Grid[#Data],$DD136,91),0)</f>
        <v/>
      </c>
      <c r="CP136">
        <f>IFERROR(INDEX(PP_Grid[#Data],$DD136,92),0)</f>
        <v/>
      </c>
      <c r="CQ136">
        <f>IFERROR(INDEX(PP_Grid[#Data],$DD136,93),0)</f>
        <v/>
      </c>
      <c r="CR136">
        <f>IFERROR(INDEX(PP_Grid[#Data],$DD136,94),0)</f>
        <v/>
      </c>
      <c r="CS136">
        <f>IFERROR(INDEX(PP_Grid[#Data],$DD136,95),0)</f>
        <v/>
      </c>
      <c r="CT136">
        <f>IFERROR(INDEX(PP_Grid[#Data],$DD136,96),0)</f>
        <v/>
      </c>
      <c r="CU136">
        <f>IFERROR(INDEX(PP_Grid[#Data],$DD136,97),0)</f>
        <v/>
      </c>
      <c r="CV136">
        <f>IFERROR(INDEX(PP_Grid[#Data],$DD136,98),0)</f>
        <v/>
      </c>
      <c r="CW136">
        <f>IFERROR(INDEX(PP_Grid[#Data],$DD136,99),0)</f>
        <v/>
      </c>
      <c r="CX136">
        <f>IFERROR(INDEX(PP_Grid[#Data],$DD136,100),0)</f>
        <v/>
      </c>
      <c r="CY136">
        <f>IFERROR(INDEX(PP_Grid[#Data],$DD136,101),0)</f>
        <v/>
      </c>
      <c r="CZ136">
        <f>IFERROR(INDEX(PP_Grid[#Data],$DD136,102),0)</f>
        <v/>
      </c>
      <c r="DA136">
        <f>IFERROR(INDEX(PP_Grid[#Data],$DD136,103),0)</f>
        <v/>
      </c>
      <c r="DB136">
        <f>IFERROR(INDEX(PP_Grid[#Data],$DD136,104),0)</f>
        <v/>
      </c>
      <c r="DC136">
        <f>IFERROR(INDEX(PP_Grid[#Data],$DD136,105),0)</f>
        <v/>
      </c>
      <c r="DD136" s="12">
        <f>IFERROR(MATCH($B136,PP_Grid[Intermediate],0),99999)</f>
        <v/>
      </c>
    </row>
    <row r="137">
      <c r="B137" t="inlineStr">
        <is>
          <t>使用量(kg)</t>
        </is>
      </c>
      <c r="C137">
        <f>SUMIFS(M_BOM[RM_Qty_Per_Batch],M_BOM[Intermediate],$B136,M_BOM[Part Name],$A135)</f>
        <v/>
      </c>
      <c r="D137">
        <f>$C137*D136</f>
        <v/>
      </c>
      <c r="E137">
        <f>$C137*E136</f>
        <v/>
      </c>
      <c r="F137">
        <f>$C137*F136</f>
        <v/>
      </c>
      <c r="G137">
        <f>$C137*G136</f>
        <v/>
      </c>
      <c r="H137">
        <f>$C137*H136</f>
        <v/>
      </c>
      <c r="I137">
        <f>$C137*I136</f>
        <v/>
      </c>
      <c r="J137">
        <f>$C137*J136</f>
        <v/>
      </c>
      <c r="K137">
        <f>$C137*K136</f>
        <v/>
      </c>
      <c r="L137">
        <f>$C137*L136</f>
        <v/>
      </c>
      <c r="M137">
        <f>$C137*M136</f>
        <v/>
      </c>
      <c r="N137">
        <f>$C137*N136</f>
        <v/>
      </c>
      <c r="O137">
        <f>$C137*O136</f>
        <v/>
      </c>
      <c r="P137">
        <f>$C137*P136</f>
        <v/>
      </c>
      <c r="Q137">
        <f>$C137*Q136</f>
        <v/>
      </c>
      <c r="R137">
        <f>$C137*R136</f>
        <v/>
      </c>
      <c r="S137">
        <f>$C137*S136</f>
        <v/>
      </c>
      <c r="T137">
        <f>$C137*T136</f>
        <v/>
      </c>
      <c r="U137">
        <f>$C137*U136</f>
        <v/>
      </c>
      <c r="V137">
        <f>$C137*V136</f>
        <v/>
      </c>
      <c r="W137">
        <f>$C137*W136</f>
        <v/>
      </c>
      <c r="X137">
        <f>$C137*X136</f>
        <v/>
      </c>
      <c r="Y137">
        <f>$C137*Y136</f>
        <v/>
      </c>
      <c r="Z137">
        <f>$C137*Z136</f>
        <v/>
      </c>
      <c r="AA137">
        <f>$C137*AA136</f>
        <v/>
      </c>
      <c r="AB137">
        <f>$C137*AB136</f>
        <v/>
      </c>
      <c r="AC137">
        <f>$C137*AC136</f>
        <v/>
      </c>
      <c r="AD137">
        <f>$C137*AD136</f>
        <v/>
      </c>
      <c r="AE137">
        <f>$C137*AE136</f>
        <v/>
      </c>
      <c r="AF137">
        <f>$C137*AF136</f>
        <v/>
      </c>
      <c r="AG137">
        <f>$C137*AG136</f>
        <v/>
      </c>
      <c r="AH137">
        <f>$C137*AH136</f>
        <v/>
      </c>
      <c r="AI137">
        <f>$C137*AI136</f>
        <v/>
      </c>
      <c r="AJ137">
        <f>$C137*AJ136</f>
        <v/>
      </c>
      <c r="AK137">
        <f>$C137*AK136</f>
        <v/>
      </c>
      <c r="AL137">
        <f>$C137*AL136</f>
        <v/>
      </c>
      <c r="AM137">
        <f>$C137*AM136</f>
        <v/>
      </c>
      <c r="AN137">
        <f>$C137*AN136</f>
        <v/>
      </c>
      <c r="AO137">
        <f>$C137*AO136</f>
        <v/>
      </c>
      <c r="AP137">
        <f>$C137*AP136</f>
        <v/>
      </c>
      <c r="AQ137">
        <f>$C137*AQ136</f>
        <v/>
      </c>
      <c r="AR137">
        <f>$C137*AR136</f>
        <v/>
      </c>
      <c r="AS137">
        <f>$C137*AS136</f>
        <v/>
      </c>
      <c r="AT137">
        <f>$C137*AT136</f>
        <v/>
      </c>
      <c r="AU137">
        <f>$C137*AU136</f>
        <v/>
      </c>
      <c r="AV137">
        <f>$C137*AV136</f>
        <v/>
      </c>
      <c r="AW137">
        <f>$C137*AW136</f>
        <v/>
      </c>
      <c r="AX137">
        <f>$C137*AX136</f>
        <v/>
      </c>
      <c r="AY137">
        <f>$C137*AY136</f>
        <v/>
      </c>
      <c r="AZ137">
        <f>$C137*AZ136</f>
        <v/>
      </c>
      <c r="BA137">
        <f>$C137*BA136</f>
        <v/>
      </c>
      <c r="BB137">
        <f>$C137*BB136</f>
        <v/>
      </c>
      <c r="BC137">
        <f>$C137*BC136</f>
        <v/>
      </c>
      <c r="BD137">
        <f>$C137*BD136</f>
        <v/>
      </c>
      <c r="BE137">
        <f>$C137*BE136</f>
        <v/>
      </c>
      <c r="BF137">
        <f>$C137*BF136</f>
        <v/>
      </c>
      <c r="BG137">
        <f>$C137*BG136</f>
        <v/>
      </c>
      <c r="BH137">
        <f>$C137*BH136</f>
        <v/>
      </c>
      <c r="BI137">
        <f>$C137*BI136</f>
        <v/>
      </c>
      <c r="BJ137">
        <f>$C137*BJ136</f>
        <v/>
      </c>
      <c r="BK137">
        <f>$C137*BK136</f>
        <v/>
      </c>
      <c r="BL137">
        <f>$C137*BL136</f>
        <v/>
      </c>
      <c r="BM137">
        <f>$C137*BM136</f>
        <v/>
      </c>
      <c r="BN137">
        <f>$C137*BN136</f>
        <v/>
      </c>
      <c r="BO137">
        <f>$C137*BO136</f>
        <v/>
      </c>
      <c r="BP137">
        <f>$C137*BP136</f>
        <v/>
      </c>
      <c r="BQ137">
        <f>$C137*BQ136</f>
        <v/>
      </c>
      <c r="BR137">
        <f>$C137*BR136</f>
        <v/>
      </c>
      <c r="BS137">
        <f>$C137*BS136</f>
        <v/>
      </c>
      <c r="BT137">
        <f>$C137*BT136</f>
        <v/>
      </c>
      <c r="BU137">
        <f>$C137*BU136</f>
        <v/>
      </c>
      <c r="BV137">
        <f>$C137*BV136</f>
        <v/>
      </c>
      <c r="BW137">
        <f>$C137*BW136</f>
        <v/>
      </c>
      <c r="BX137">
        <f>$C137*BX136</f>
        <v/>
      </c>
      <c r="BY137">
        <f>$C137*BY136</f>
        <v/>
      </c>
      <c r="BZ137">
        <f>$C137*BZ136</f>
        <v/>
      </c>
      <c r="CA137">
        <f>$C137*CA136</f>
        <v/>
      </c>
      <c r="CB137">
        <f>$C137*CB136</f>
        <v/>
      </c>
      <c r="CC137">
        <f>$C137*CC136</f>
        <v/>
      </c>
      <c r="CD137">
        <f>$C137*CD136</f>
        <v/>
      </c>
      <c r="CE137">
        <f>$C137*CE136</f>
        <v/>
      </c>
      <c r="CF137">
        <f>$C137*CF136</f>
        <v/>
      </c>
      <c r="CG137">
        <f>$C137*CG136</f>
        <v/>
      </c>
      <c r="CH137">
        <f>$C137*CH136</f>
        <v/>
      </c>
      <c r="CI137">
        <f>$C137*CI136</f>
        <v/>
      </c>
      <c r="CJ137">
        <f>$C137*CJ136</f>
        <v/>
      </c>
      <c r="CK137">
        <f>$C137*CK136</f>
        <v/>
      </c>
      <c r="CL137">
        <f>$C137*CL136</f>
        <v/>
      </c>
      <c r="CM137">
        <f>$C137*CM136</f>
        <v/>
      </c>
      <c r="CN137">
        <f>$C137*CN136</f>
        <v/>
      </c>
      <c r="CO137">
        <f>$C137*CO136</f>
        <v/>
      </c>
      <c r="CP137">
        <f>$C137*CP136</f>
        <v/>
      </c>
      <c r="CQ137">
        <f>$C137*CQ136</f>
        <v/>
      </c>
      <c r="CR137">
        <f>$C137*CR136</f>
        <v/>
      </c>
      <c r="CS137">
        <f>$C137*CS136</f>
        <v/>
      </c>
      <c r="CT137">
        <f>$C137*CT136</f>
        <v/>
      </c>
      <c r="CU137">
        <f>$C137*CU136</f>
        <v/>
      </c>
      <c r="CV137">
        <f>$C137*CV136</f>
        <v/>
      </c>
      <c r="CW137">
        <f>$C137*CW136</f>
        <v/>
      </c>
      <c r="CX137">
        <f>$C137*CX136</f>
        <v/>
      </c>
      <c r="CY137">
        <f>$C137*CY136</f>
        <v/>
      </c>
      <c r="CZ137">
        <f>$C137*CZ136</f>
        <v/>
      </c>
      <c r="DA137">
        <f>$C137*DA136</f>
        <v/>
      </c>
      <c r="DB137">
        <f>$C137*DB136</f>
        <v/>
      </c>
      <c r="DC137">
        <f>$C137*DC136</f>
        <v/>
      </c>
    </row>
    <row r="138">
      <c r="B138" s="5" t="inlineStr">
        <is>
          <t>合計使用量(kg)/週</t>
        </is>
      </c>
      <c r="D138">
        <f>'Grid_Requirement'!B15</f>
        <v/>
      </c>
      <c r="E138">
        <f>'Grid_Requirement'!C15</f>
        <v/>
      </c>
      <c r="F138">
        <f>'Grid_Requirement'!D15</f>
        <v/>
      </c>
      <c r="G138">
        <f>'Grid_Requirement'!E15</f>
        <v/>
      </c>
      <c r="H138">
        <f>'Grid_Requirement'!F15</f>
        <v/>
      </c>
      <c r="I138">
        <f>'Grid_Requirement'!G15</f>
        <v/>
      </c>
      <c r="J138">
        <f>'Grid_Requirement'!H15</f>
        <v/>
      </c>
      <c r="K138">
        <f>'Grid_Requirement'!I15</f>
        <v/>
      </c>
      <c r="L138">
        <f>'Grid_Requirement'!J15</f>
        <v/>
      </c>
      <c r="M138">
        <f>'Grid_Requirement'!K15</f>
        <v/>
      </c>
      <c r="N138">
        <f>'Grid_Requirement'!L15</f>
        <v/>
      </c>
      <c r="O138">
        <f>'Grid_Requirement'!M15</f>
        <v/>
      </c>
      <c r="P138">
        <f>'Grid_Requirement'!N15</f>
        <v/>
      </c>
      <c r="Q138">
        <f>'Grid_Requirement'!O15</f>
        <v/>
      </c>
      <c r="R138">
        <f>'Grid_Requirement'!P15</f>
        <v/>
      </c>
      <c r="S138">
        <f>'Grid_Requirement'!Q15</f>
        <v/>
      </c>
      <c r="T138">
        <f>'Grid_Requirement'!R15</f>
        <v/>
      </c>
      <c r="U138">
        <f>'Grid_Requirement'!S15</f>
        <v/>
      </c>
      <c r="V138">
        <f>'Grid_Requirement'!T15</f>
        <v/>
      </c>
      <c r="W138">
        <f>'Grid_Requirement'!U15</f>
        <v/>
      </c>
      <c r="X138">
        <f>'Grid_Requirement'!V15</f>
        <v/>
      </c>
      <c r="Y138">
        <f>'Grid_Requirement'!W15</f>
        <v/>
      </c>
      <c r="Z138">
        <f>'Grid_Requirement'!X15</f>
        <v/>
      </c>
      <c r="AA138">
        <f>'Grid_Requirement'!Y15</f>
        <v/>
      </c>
      <c r="AB138">
        <f>'Grid_Requirement'!Z15</f>
        <v/>
      </c>
      <c r="AC138">
        <f>'Grid_Requirement'!AA15</f>
        <v/>
      </c>
      <c r="AD138">
        <f>'Grid_Requirement'!AB15</f>
        <v/>
      </c>
      <c r="AE138">
        <f>'Grid_Requirement'!AC15</f>
        <v/>
      </c>
      <c r="AF138">
        <f>'Grid_Requirement'!AD15</f>
        <v/>
      </c>
      <c r="AG138">
        <f>'Grid_Requirement'!AE15</f>
        <v/>
      </c>
      <c r="AH138">
        <f>'Grid_Requirement'!AF15</f>
        <v/>
      </c>
      <c r="AI138">
        <f>'Grid_Requirement'!AG15</f>
        <v/>
      </c>
      <c r="AJ138">
        <f>'Grid_Requirement'!AH15</f>
        <v/>
      </c>
      <c r="AK138">
        <f>'Grid_Requirement'!AI15</f>
        <v/>
      </c>
      <c r="AL138">
        <f>'Grid_Requirement'!AJ15</f>
        <v/>
      </c>
      <c r="AM138">
        <f>'Grid_Requirement'!AK15</f>
        <v/>
      </c>
      <c r="AN138">
        <f>'Grid_Requirement'!AL15</f>
        <v/>
      </c>
      <c r="AO138">
        <f>'Grid_Requirement'!AM15</f>
        <v/>
      </c>
      <c r="AP138">
        <f>'Grid_Requirement'!AN15</f>
        <v/>
      </c>
      <c r="AQ138">
        <f>'Grid_Requirement'!AO15</f>
        <v/>
      </c>
      <c r="AR138">
        <f>'Grid_Requirement'!AP15</f>
        <v/>
      </c>
      <c r="AS138">
        <f>'Grid_Requirement'!AQ15</f>
        <v/>
      </c>
      <c r="AT138">
        <f>'Grid_Requirement'!AR15</f>
        <v/>
      </c>
      <c r="AU138">
        <f>'Grid_Requirement'!AS15</f>
        <v/>
      </c>
      <c r="AV138">
        <f>'Grid_Requirement'!AT15</f>
        <v/>
      </c>
      <c r="AW138">
        <f>'Grid_Requirement'!AU15</f>
        <v/>
      </c>
      <c r="AX138">
        <f>'Grid_Requirement'!AV15</f>
        <v/>
      </c>
      <c r="AY138">
        <f>'Grid_Requirement'!AW15</f>
        <v/>
      </c>
      <c r="AZ138">
        <f>'Grid_Requirement'!AX15</f>
        <v/>
      </c>
      <c r="BA138">
        <f>'Grid_Requirement'!AY15</f>
        <v/>
      </c>
      <c r="BB138">
        <f>'Grid_Requirement'!AZ15</f>
        <v/>
      </c>
      <c r="BC138">
        <f>'Grid_Requirement'!BA15</f>
        <v/>
      </c>
      <c r="BD138">
        <f>'Grid_Requirement'!BB15</f>
        <v/>
      </c>
      <c r="BE138">
        <f>'Grid_Requirement'!BC15</f>
        <v/>
      </c>
      <c r="BF138">
        <f>'Grid_Requirement'!BD15</f>
        <v/>
      </c>
      <c r="BG138">
        <f>'Grid_Requirement'!BE15</f>
        <v/>
      </c>
      <c r="BH138">
        <f>'Grid_Requirement'!BF15</f>
        <v/>
      </c>
      <c r="BI138">
        <f>'Grid_Requirement'!BG15</f>
        <v/>
      </c>
      <c r="BJ138">
        <f>'Grid_Requirement'!BH15</f>
        <v/>
      </c>
      <c r="BK138">
        <f>'Grid_Requirement'!BI15</f>
        <v/>
      </c>
      <c r="BL138">
        <f>'Grid_Requirement'!BJ15</f>
        <v/>
      </c>
      <c r="BM138">
        <f>'Grid_Requirement'!BK15</f>
        <v/>
      </c>
      <c r="BN138">
        <f>'Grid_Requirement'!BL15</f>
        <v/>
      </c>
      <c r="BO138">
        <f>'Grid_Requirement'!BM15</f>
        <v/>
      </c>
      <c r="BP138">
        <f>'Grid_Requirement'!BN15</f>
        <v/>
      </c>
      <c r="BQ138">
        <f>'Grid_Requirement'!BO15</f>
        <v/>
      </c>
      <c r="BR138">
        <f>'Grid_Requirement'!BP15</f>
        <v/>
      </c>
      <c r="BS138">
        <f>'Grid_Requirement'!BQ15</f>
        <v/>
      </c>
      <c r="BT138">
        <f>'Grid_Requirement'!BR15</f>
        <v/>
      </c>
      <c r="BU138">
        <f>'Grid_Requirement'!BS15</f>
        <v/>
      </c>
      <c r="BV138">
        <f>'Grid_Requirement'!BT15</f>
        <v/>
      </c>
      <c r="BW138">
        <f>'Grid_Requirement'!BU15</f>
        <v/>
      </c>
      <c r="BX138">
        <f>'Grid_Requirement'!BV15</f>
        <v/>
      </c>
      <c r="BY138">
        <f>'Grid_Requirement'!BW15</f>
        <v/>
      </c>
      <c r="BZ138">
        <f>'Grid_Requirement'!BX15</f>
        <v/>
      </c>
      <c r="CA138">
        <f>'Grid_Requirement'!BY15</f>
        <v/>
      </c>
      <c r="CB138">
        <f>'Grid_Requirement'!BZ15</f>
        <v/>
      </c>
      <c r="CC138">
        <f>'Grid_Requirement'!CA15</f>
        <v/>
      </c>
      <c r="CD138">
        <f>'Grid_Requirement'!CB15</f>
        <v/>
      </c>
      <c r="CE138">
        <f>'Grid_Requirement'!CC15</f>
        <v/>
      </c>
      <c r="CF138">
        <f>'Grid_Requirement'!CD15</f>
        <v/>
      </c>
      <c r="CG138">
        <f>'Grid_Requirement'!CE15</f>
        <v/>
      </c>
      <c r="CH138">
        <f>'Grid_Requirement'!CF15</f>
        <v/>
      </c>
      <c r="CI138">
        <f>'Grid_Requirement'!CG15</f>
        <v/>
      </c>
      <c r="CJ138">
        <f>'Grid_Requirement'!CH15</f>
        <v/>
      </c>
      <c r="CK138">
        <f>'Grid_Requirement'!CI15</f>
        <v/>
      </c>
      <c r="CL138">
        <f>'Grid_Requirement'!CJ15</f>
        <v/>
      </c>
      <c r="CM138">
        <f>'Grid_Requirement'!CK15</f>
        <v/>
      </c>
      <c r="CN138">
        <f>'Grid_Requirement'!CL15</f>
        <v/>
      </c>
      <c r="CO138">
        <f>'Grid_Requirement'!CM15</f>
        <v/>
      </c>
      <c r="CP138">
        <f>'Grid_Requirement'!CN15</f>
        <v/>
      </c>
      <c r="CQ138">
        <f>'Grid_Requirement'!CO15</f>
        <v/>
      </c>
      <c r="CR138">
        <f>'Grid_Requirement'!CP15</f>
        <v/>
      </c>
      <c r="CS138">
        <f>'Grid_Requirement'!CQ15</f>
        <v/>
      </c>
      <c r="CT138">
        <f>'Grid_Requirement'!CR15</f>
        <v/>
      </c>
      <c r="CU138">
        <f>'Grid_Requirement'!CS15</f>
        <v/>
      </c>
      <c r="CV138">
        <f>'Grid_Requirement'!CT15</f>
        <v/>
      </c>
      <c r="CW138">
        <f>'Grid_Requirement'!CU15</f>
        <v/>
      </c>
      <c r="CX138">
        <f>'Grid_Requirement'!CV15</f>
        <v/>
      </c>
      <c r="CY138">
        <f>'Grid_Requirement'!CW15</f>
        <v/>
      </c>
      <c r="CZ138">
        <f>'Grid_Requirement'!CX15</f>
        <v/>
      </c>
      <c r="DA138">
        <f>'Grid_Requirement'!CY15</f>
        <v/>
      </c>
      <c r="DB138">
        <f>'Grid_Requirement'!CZ15</f>
        <v/>
      </c>
      <c r="DC138">
        <f>'Grid_Requirement'!DA15</f>
        <v/>
      </c>
    </row>
    <row r="139">
      <c r="B139" t="inlineStr">
        <is>
          <t>TTAF在庫(実績,kg)</t>
        </is>
      </c>
      <c r="D139">
        <f>'T_TTAFStock'!B19</f>
        <v/>
      </c>
      <c r="E139">
        <f>'T_TTAFStock'!C19</f>
        <v/>
      </c>
      <c r="F139">
        <f>'T_TTAFStock'!D19</f>
        <v/>
      </c>
      <c r="G139">
        <f>'T_TTAFStock'!E19</f>
        <v/>
      </c>
      <c r="H139">
        <f>'T_TTAFStock'!F19</f>
        <v/>
      </c>
      <c r="I139">
        <f>'T_TTAFStock'!G19</f>
        <v/>
      </c>
      <c r="J139">
        <f>'T_TTAFStock'!H19</f>
        <v/>
      </c>
      <c r="K139">
        <f>'T_TTAFStock'!I19</f>
        <v/>
      </c>
      <c r="L139">
        <f>'T_TTAFStock'!J19</f>
        <v/>
      </c>
      <c r="M139">
        <f>'T_TTAFStock'!K19</f>
        <v/>
      </c>
      <c r="N139">
        <f>'T_TTAFStock'!L19</f>
        <v/>
      </c>
      <c r="O139">
        <f>'T_TTAFStock'!M19</f>
        <v/>
      </c>
      <c r="P139">
        <f>'T_TTAFStock'!N19</f>
        <v/>
      </c>
      <c r="Q139">
        <f>'T_TTAFStock'!O19</f>
        <v/>
      </c>
      <c r="R139">
        <f>'T_TTAFStock'!P19</f>
        <v/>
      </c>
      <c r="S139">
        <f>'T_TTAFStock'!Q19</f>
        <v/>
      </c>
      <c r="T139">
        <f>'T_TTAFStock'!R19</f>
        <v/>
      </c>
      <c r="U139">
        <f>'T_TTAFStock'!S19</f>
        <v/>
      </c>
      <c r="V139">
        <f>'T_TTAFStock'!T19</f>
        <v/>
      </c>
      <c r="W139">
        <f>'T_TTAFStock'!U19</f>
        <v/>
      </c>
      <c r="X139">
        <f>'T_TTAFStock'!V19</f>
        <v/>
      </c>
      <c r="Y139">
        <f>'T_TTAFStock'!W19</f>
        <v/>
      </c>
      <c r="Z139">
        <f>'T_TTAFStock'!X19</f>
        <v/>
      </c>
      <c r="AA139">
        <f>'T_TTAFStock'!Y19</f>
        <v/>
      </c>
      <c r="AB139">
        <f>'T_TTAFStock'!Z19</f>
        <v/>
      </c>
      <c r="AC139">
        <f>'T_TTAFStock'!AA19</f>
        <v/>
      </c>
      <c r="AD139">
        <f>'T_TTAFStock'!AB19</f>
        <v/>
      </c>
      <c r="AE139">
        <f>'T_TTAFStock'!AC19</f>
        <v/>
      </c>
      <c r="AF139">
        <f>'T_TTAFStock'!AD19</f>
        <v/>
      </c>
      <c r="AG139">
        <f>'T_TTAFStock'!AE19</f>
        <v/>
      </c>
      <c r="AH139">
        <f>'T_TTAFStock'!AF19</f>
        <v/>
      </c>
      <c r="AI139">
        <f>'T_TTAFStock'!AG19</f>
        <v/>
      </c>
      <c r="AJ139">
        <f>'T_TTAFStock'!AH19</f>
        <v/>
      </c>
      <c r="AK139">
        <f>'T_TTAFStock'!AI19</f>
        <v/>
      </c>
      <c r="AL139">
        <f>'T_TTAFStock'!AJ19</f>
        <v/>
      </c>
      <c r="AM139">
        <f>'T_TTAFStock'!AK19</f>
        <v/>
      </c>
      <c r="AN139">
        <f>'T_TTAFStock'!AL19</f>
        <v/>
      </c>
      <c r="AO139">
        <f>'T_TTAFStock'!AM19</f>
        <v/>
      </c>
      <c r="AP139">
        <f>'T_TTAFStock'!AN19</f>
        <v/>
      </c>
      <c r="AQ139">
        <f>'T_TTAFStock'!AO19</f>
        <v/>
      </c>
      <c r="AR139">
        <f>'T_TTAFStock'!AP19</f>
        <v/>
      </c>
      <c r="AS139">
        <f>'T_TTAFStock'!AQ19</f>
        <v/>
      </c>
      <c r="AT139">
        <f>'T_TTAFStock'!AR19</f>
        <v/>
      </c>
      <c r="AU139">
        <f>'T_TTAFStock'!AS19</f>
        <v/>
      </c>
      <c r="AV139">
        <f>'T_TTAFStock'!AT19</f>
        <v/>
      </c>
      <c r="AW139">
        <f>'T_TTAFStock'!AU19</f>
        <v/>
      </c>
      <c r="AX139">
        <f>'T_TTAFStock'!AV19</f>
        <v/>
      </c>
      <c r="AY139">
        <f>'T_TTAFStock'!AW19</f>
        <v/>
      </c>
      <c r="AZ139">
        <f>'T_TTAFStock'!AX19</f>
        <v/>
      </c>
      <c r="BA139">
        <f>'T_TTAFStock'!AY19</f>
        <v/>
      </c>
      <c r="BB139">
        <f>'T_TTAFStock'!AZ19</f>
        <v/>
      </c>
      <c r="BC139">
        <f>'T_TTAFStock'!BA19</f>
        <v/>
      </c>
      <c r="BD139">
        <f>'T_TTAFStock'!BB19</f>
        <v/>
      </c>
      <c r="BE139">
        <f>'T_TTAFStock'!BC19</f>
        <v/>
      </c>
      <c r="BF139">
        <f>'T_TTAFStock'!BD19</f>
        <v/>
      </c>
      <c r="BG139">
        <f>'T_TTAFStock'!BE19</f>
        <v/>
      </c>
      <c r="BH139">
        <f>'T_TTAFStock'!BF19</f>
        <v/>
      </c>
      <c r="BI139">
        <f>'T_TTAFStock'!BG19</f>
        <v/>
      </c>
      <c r="BJ139">
        <f>'T_TTAFStock'!BH19</f>
        <v/>
      </c>
      <c r="BK139">
        <f>'T_TTAFStock'!BI19</f>
        <v/>
      </c>
      <c r="BL139">
        <f>'T_TTAFStock'!BJ19</f>
        <v/>
      </c>
      <c r="BM139">
        <f>'T_TTAFStock'!BK19</f>
        <v/>
      </c>
      <c r="BN139">
        <f>'T_TTAFStock'!BL19</f>
        <v/>
      </c>
      <c r="BO139">
        <f>'T_TTAFStock'!BM19</f>
        <v/>
      </c>
      <c r="BP139">
        <f>'T_TTAFStock'!BN19</f>
        <v/>
      </c>
      <c r="BQ139">
        <f>'T_TTAFStock'!BO19</f>
        <v/>
      </c>
      <c r="BR139">
        <f>'T_TTAFStock'!BP19</f>
        <v/>
      </c>
      <c r="BS139">
        <f>'T_TTAFStock'!BQ19</f>
        <v/>
      </c>
      <c r="BT139">
        <f>'T_TTAFStock'!BR19</f>
        <v/>
      </c>
      <c r="BU139">
        <f>'T_TTAFStock'!BS19</f>
        <v/>
      </c>
      <c r="BV139">
        <f>'T_TTAFStock'!BT19</f>
        <v/>
      </c>
      <c r="BW139">
        <f>'T_TTAFStock'!BU19</f>
        <v/>
      </c>
      <c r="BX139">
        <f>'T_TTAFStock'!BV19</f>
        <v/>
      </c>
      <c r="BY139">
        <f>'T_TTAFStock'!BW19</f>
        <v/>
      </c>
      <c r="BZ139">
        <f>'T_TTAFStock'!BX19</f>
        <v/>
      </c>
      <c r="CA139">
        <f>'T_TTAFStock'!BY19</f>
        <v/>
      </c>
      <c r="CB139">
        <f>'T_TTAFStock'!BZ19</f>
        <v/>
      </c>
      <c r="CC139">
        <f>'T_TTAFStock'!CA19</f>
        <v/>
      </c>
      <c r="CD139">
        <f>'T_TTAFStock'!CB19</f>
        <v/>
      </c>
      <c r="CE139">
        <f>'T_TTAFStock'!CC19</f>
        <v/>
      </c>
      <c r="CF139">
        <f>'T_TTAFStock'!CD19</f>
        <v/>
      </c>
      <c r="CG139">
        <f>'T_TTAFStock'!CE19</f>
        <v/>
      </c>
      <c r="CH139">
        <f>'T_TTAFStock'!CF19</f>
        <v/>
      </c>
      <c r="CI139">
        <f>'T_TTAFStock'!CG19</f>
        <v/>
      </c>
      <c r="CJ139">
        <f>'T_TTAFStock'!CH19</f>
        <v/>
      </c>
      <c r="CK139">
        <f>'T_TTAFStock'!CI19</f>
        <v/>
      </c>
      <c r="CL139">
        <f>'T_TTAFStock'!CJ19</f>
        <v/>
      </c>
      <c r="CM139">
        <f>'T_TTAFStock'!CK19</f>
        <v/>
      </c>
      <c r="CN139">
        <f>'T_TTAFStock'!CL19</f>
        <v/>
      </c>
      <c r="CO139">
        <f>'T_TTAFStock'!CM19</f>
        <v/>
      </c>
      <c r="CP139">
        <f>'T_TTAFStock'!CN19</f>
        <v/>
      </c>
      <c r="CQ139">
        <f>'T_TTAFStock'!CO19</f>
        <v/>
      </c>
      <c r="CR139">
        <f>'T_TTAFStock'!CP19</f>
        <v/>
      </c>
      <c r="CS139">
        <f>'T_TTAFStock'!CQ19</f>
        <v/>
      </c>
      <c r="CT139">
        <f>'T_TTAFStock'!CR19</f>
        <v/>
      </c>
      <c r="CU139">
        <f>'T_TTAFStock'!CS19</f>
        <v/>
      </c>
      <c r="CV139">
        <f>'T_TTAFStock'!CT19</f>
        <v/>
      </c>
      <c r="CW139">
        <f>'T_TTAFStock'!CU19</f>
        <v/>
      </c>
      <c r="CX139">
        <f>'T_TTAFStock'!CV19</f>
        <v/>
      </c>
      <c r="CY139">
        <f>'T_TTAFStock'!CW19</f>
        <v/>
      </c>
      <c r="CZ139">
        <f>'T_TTAFStock'!CX19</f>
        <v/>
      </c>
      <c r="DA139">
        <f>'T_TTAFStock'!CY19</f>
        <v/>
      </c>
      <c r="DB139">
        <f>'T_TTAFStock'!CZ19</f>
        <v/>
      </c>
      <c r="DC139">
        <f>'T_TTAFStock'!DA19</f>
        <v/>
      </c>
    </row>
    <row r="140">
      <c r="B140" t="inlineStr">
        <is>
          <t>自社在庫(実績,kg)</t>
        </is>
      </c>
      <c r="D140">
        <f>'T_SelfStock'!B19</f>
        <v/>
      </c>
      <c r="E140">
        <f>'T_SelfStock'!C19</f>
        <v/>
      </c>
      <c r="F140">
        <f>'T_SelfStock'!D19</f>
        <v/>
      </c>
      <c r="G140">
        <f>'T_SelfStock'!E19</f>
        <v/>
      </c>
      <c r="H140">
        <f>'T_SelfStock'!F19</f>
        <v/>
      </c>
      <c r="I140">
        <f>'T_SelfStock'!G19</f>
        <v/>
      </c>
      <c r="J140">
        <f>'T_SelfStock'!H19</f>
        <v/>
      </c>
      <c r="K140">
        <f>'T_SelfStock'!I19</f>
        <v/>
      </c>
      <c r="L140">
        <f>'T_SelfStock'!J19</f>
        <v/>
      </c>
      <c r="M140">
        <f>'T_SelfStock'!K19</f>
        <v/>
      </c>
      <c r="N140">
        <f>'T_SelfStock'!L19</f>
        <v/>
      </c>
      <c r="O140">
        <f>'T_SelfStock'!M19</f>
        <v/>
      </c>
      <c r="P140">
        <f>'T_SelfStock'!N19</f>
        <v/>
      </c>
      <c r="Q140">
        <f>'T_SelfStock'!O19</f>
        <v/>
      </c>
      <c r="R140">
        <f>'T_SelfStock'!P19</f>
        <v/>
      </c>
      <c r="S140">
        <f>'T_SelfStock'!Q19</f>
        <v/>
      </c>
      <c r="T140">
        <f>'T_SelfStock'!R19</f>
        <v/>
      </c>
      <c r="U140">
        <f>'T_SelfStock'!S19</f>
        <v/>
      </c>
      <c r="V140">
        <f>'T_SelfStock'!T19</f>
        <v/>
      </c>
      <c r="W140">
        <f>'T_SelfStock'!U19</f>
        <v/>
      </c>
      <c r="X140">
        <f>'T_SelfStock'!V19</f>
        <v/>
      </c>
      <c r="Y140">
        <f>'T_SelfStock'!W19</f>
        <v/>
      </c>
      <c r="Z140">
        <f>'T_SelfStock'!X19</f>
        <v/>
      </c>
      <c r="AA140">
        <f>'T_SelfStock'!Y19</f>
        <v/>
      </c>
      <c r="AB140">
        <f>'T_SelfStock'!Z19</f>
        <v/>
      </c>
      <c r="AC140">
        <f>'T_SelfStock'!AA19</f>
        <v/>
      </c>
      <c r="AD140">
        <f>'T_SelfStock'!AB19</f>
        <v/>
      </c>
      <c r="AE140">
        <f>'T_SelfStock'!AC19</f>
        <v/>
      </c>
      <c r="AF140">
        <f>'T_SelfStock'!AD19</f>
        <v/>
      </c>
      <c r="AG140">
        <f>'T_SelfStock'!AE19</f>
        <v/>
      </c>
      <c r="AH140">
        <f>'T_SelfStock'!AF19</f>
        <v/>
      </c>
      <c r="AI140">
        <f>'T_SelfStock'!AG19</f>
        <v/>
      </c>
      <c r="AJ140">
        <f>'T_SelfStock'!AH19</f>
        <v/>
      </c>
      <c r="AK140">
        <f>'T_SelfStock'!AI19</f>
        <v/>
      </c>
      <c r="AL140">
        <f>'T_SelfStock'!AJ19</f>
        <v/>
      </c>
      <c r="AM140">
        <f>'T_SelfStock'!AK19</f>
        <v/>
      </c>
      <c r="AN140">
        <f>'T_SelfStock'!AL19</f>
        <v/>
      </c>
      <c r="AO140">
        <f>'T_SelfStock'!AM19</f>
        <v/>
      </c>
      <c r="AP140">
        <f>'T_SelfStock'!AN19</f>
        <v/>
      </c>
      <c r="AQ140">
        <f>'T_SelfStock'!AO19</f>
        <v/>
      </c>
      <c r="AR140">
        <f>'T_SelfStock'!AP19</f>
        <v/>
      </c>
      <c r="AS140">
        <f>'T_SelfStock'!AQ19</f>
        <v/>
      </c>
      <c r="AT140">
        <f>'T_SelfStock'!AR19</f>
        <v/>
      </c>
      <c r="AU140">
        <f>'T_SelfStock'!AS19</f>
        <v/>
      </c>
      <c r="AV140">
        <f>'T_SelfStock'!AT19</f>
        <v/>
      </c>
      <c r="AW140">
        <f>'T_SelfStock'!AU19</f>
        <v/>
      </c>
      <c r="AX140">
        <f>'T_SelfStock'!AV19</f>
        <v/>
      </c>
      <c r="AY140">
        <f>'T_SelfStock'!AW19</f>
        <v/>
      </c>
      <c r="AZ140">
        <f>'T_SelfStock'!AX19</f>
        <v/>
      </c>
      <c r="BA140">
        <f>'T_SelfStock'!AY19</f>
        <v/>
      </c>
      <c r="BB140">
        <f>'T_SelfStock'!AZ19</f>
        <v/>
      </c>
      <c r="BC140">
        <f>'T_SelfStock'!BA19</f>
        <v/>
      </c>
      <c r="BD140">
        <f>'T_SelfStock'!BB19</f>
        <v/>
      </c>
      <c r="BE140">
        <f>'T_SelfStock'!BC19</f>
        <v/>
      </c>
      <c r="BF140">
        <f>'T_SelfStock'!BD19</f>
        <v/>
      </c>
      <c r="BG140">
        <f>'T_SelfStock'!BE19</f>
        <v/>
      </c>
      <c r="BH140">
        <f>'T_SelfStock'!BF19</f>
        <v/>
      </c>
      <c r="BI140">
        <f>'T_SelfStock'!BG19</f>
        <v/>
      </c>
      <c r="BJ140">
        <f>'T_SelfStock'!BH19</f>
        <v/>
      </c>
      <c r="BK140">
        <f>'T_SelfStock'!BI19</f>
        <v/>
      </c>
      <c r="BL140">
        <f>'T_SelfStock'!BJ19</f>
        <v/>
      </c>
      <c r="BM140">
        <f>'T_SelfStock'!BK19</f>
        <v/>
      </c>
      <c r="BN140">
        <f>'T_SelfStock'!BL19</f>
        <v/>
      </c>
      <c r="BO140">
        <f>'T_SelfStock'!BM19</f>
        <v/>
      </c>
      <c r="BP140">
        <f>'T_SelfStock'!BN19</f>
        <v/>
      </c>
      <c r="BQ140">
        <f>'T_SelfStock'!BO19</f>
        <v/>
      </c>
      <c r="BR140">
        <f>'T_SelfStock'!BP19</f>
        <v/>
      </c>
      <c r="BS140">
        <f>'T_SelfStock'!BQ19</f>
        <v/>
      </c>
      <c r="BT140">
        <f>'T_SelfStock'!BR19</f>
        <v/>
      </c>
      <c r="BU140">
        <f>'T_SelfStock'!BS19</f>
        <v/>
      </c>
      <c r="BV140">
        <f>'T_SelfStock'!BT19</f>
        <v/>
      </c>
      <c r="BW140">
        <f>'T_SelfStock'!BU19</f>
        <v/>
      </c>
      <c r="BX140">
        <f>'T_SelfStock'!BV19</f>
        <v/>
      </c>
      <c r="BY140">
        <f>'T_SelfStock'!BW19</f>
        <v/>
      </c>
      <c r="BZ140">
        <f>'T_SelfStock'!BX19</f>
        <v/>
      </c>
      <c r="CA140">
        <f>'T_SelfStock'!BY19</f>
        <v/>
      </c>
      <c r="CB140">
        <f>'T_SelfStock'!BZ19</f>
        <v/>
      </c>
      <c r="CC140">
        <f>'T_SelfStock'!CA19</f>
        <v/>
      </c>
      <c r="CD140">
        <f>'T_SelfStock'!CB19</f>
        <v/>
      </c>
      <c r="CE140">
        <f>'T_SelfStock'!CC19</f>
        <v/>
      </c>
      <c r="CF140">
        <f>'T_SelfStock'!CD19</f>
        <v/>
      </c>
      <c r="CG140">
        <f>'T_SelfStock'!CE19</f>
        <v/>
      </c>
      <c r="CH140">
        <f>'T_SelfStock'!CF19</f>
        <v/>
      </c>
      <c r="CI140">
        <f>'T_SelfStock'!CG19</f>
        <v/>
      </c>
      <c r="CJ140">
        <f>'T_SelfStock'!CH19</f>
        <v/>
      </c>
      <c r="CK140">
        <f>'T_SelfStock'!CI19</f>
        <v/>
      </c>
      <c r="CL140">
        <f>'T_SelfStock'!CJ19</f>
        <v/>
      </c>
      <c r="CM140">
        <f>'T_SelfStock'!CK19</f>
        <v/>
      </c>
      <c r="CN140">
        <f>'T_SelfStock'!CL19</f>
        <v/>
      </c>
      <c r="CO140">
        <f>'T_SelfStock'!CM19</f>
        <v/>
      </c>
      <c r="CP140">
        <f>'T_SelfStock'!CN19</f>
        <v/>
      </c>
      <c r="CQ140">
        <f>'T_SelfStock'!CO19</f>
        <v/>
      </c>
      <c r="CR140">
        <f>'T_SelfStock'!CP19</f>
        <v/>
      </c>
      <c r="CS140">
        <f>'T_SelfStock'!CQ19</f>
        <v/>
      </c>
      <c r="CT140">
        <f>'T_SelfStock'!CR19</f>
        <v/>
      </c>
      <c r="CU140">
        <f>'T_SelfStock'!CS19</f>
        <v/>
      </c>
      <c r="CV140">
        <f>'T_SelfStock'!CT19</f>
        <v/>
      </c>
      <c r="CW140">
        <f>'T_SelfStock'!CU19</f>
        <v/>
      </c>
      <c r="CX140">
        <f>'T_SelfStock'!CV19</f>
        <v/>
      </c>
      <c r="CY140">
        <f>'T_SelfStock'!CW19</f>
        <v/>
      </c>
      <c r="CZ140">
        <f>'T_SelfStock'!CX19</f>
        <v/>
      </c>
      <c r="DA140">
        <f>'T_SelfStock'!CY19</f>
        <v/>
      </c>
      <c r="DB140">
        <f>'T_SelfStock'!CZ19</f>
        <v/>
      </c>
      <c r="DC140">
        <f>'T_SelfStock'!DA19</f>
        <v/>
      </c>
    </row>
    <row r="141">
      <c r="B141" t="inlineStr">
        <is>
          <t>Order(発注予定,kg)</t>
        </is>
      </c>
      <c r="D141">
        <f>IF(SUMIFS(T_PlannedOrders[EffectiveQty],T_PlannedOrders[Part Name],$A135,T_PlannedOrders[WeekIndex],1)=0,"",SUMIFS(T_PlannedOrders[EffectiveQty],T_PlannedOrders[Part Name],$A135,T_PlannedOrders[WeekIndex],1)&amp;" ("&amp;TEXT(SUMPRODUCT(MAX((T_PlannedOrders[Part Name]=$A135)*(T_PlannedOrders[WeekIndex]=1)*(T_PlannedOrders[EffectiveQty]&gt;0)*T_PlannedOrders[Order_Month])),"m月")&amp;"発注)")</f>
        <v/>
      </c>
      <c r="E141">
        <f>IF(SUMIFS(T_PlannedOrders[EffectiveQty],T_PlannedOrders[Part Name],$A135,T_PlannedOrders[WeekIndex],2)=0,"",SUMIFS(T_PlannedOrders[EffectiveQty],T_PlannedOrders[Part Name],$A135,T_PlannedOrders[WeekIndex],2)&amp;" ("&amp;TEXT(SUMPRODUCT(MAX((T_PlannedOrders[Part Name]=$A135)*(T_PlannedOrders[WeekIndex]=2)*(T_PlannedOrders[EffectiveQty]&gt;0)*T_PlannedOrders[Order_Month])),"m月")&amp;"発注)")</f>
        <v/>
      </c>
      <c r="F141">
        <f>IF(SUMIFS(T_PlannedOrders[EffectiveQty],T_PlannedOrders[Part Name],$A135,T_PlannedOrders[WeekIndex],3)=0,"",SUMIFS(T_PlannedOrders[EffectiveQty],T_PlannedOrders[Part Name],$A135,T_PlannedOrders[WeekIndex],3)&amp;" ("&amp;TEXT(SUMPRODUCT(MAX((T_PlannedOrders[Part Name]=$A135)*(T_PlannedOrders[WeekIndex]=3)*(T_PlannedOrders[EffectiveQty]&gt;0)*T_PlannedOrders[Order_Month])),"m月")&amp;"発注)")</f>
        <v/>
      </c>
      <c r="G141">
        <f>IF(SUMIFS(T_PlannedOrders[EffectiveQty],T_PlannedOrders[Part Name],$A135,T_PlannedOrders[WeekIndex],4)=0,"",SUMIFS(T_PlannedOrders[EffectiveQty],T_PlannedOrders[Part Name],$A135,T_PlannedOrders[WeekIndex],4)&amp;" ("&amp;TEXT(SUMPRODUCT(MAX((T_PlannedOrders[Part Name]=$A135)*(T_PlannedOrders[WeekIndex]=4)*(T_PlannedOrders[EffectiveQty]&gt;0)*T_PlannedOrders[Order_Month])),"m月")&amp;"発注)")</f>
        <v/>
      </c>
      <c r="H141">
        <f>IF(SUMIFS(T_PlannedOrders[EffectiveQty],T_PlannedOrders[Part Name],$A135,T_PlannedOrders[WeekIndex],5)=0,"",SUMIFS(T_PlannedOrders[EffectiveQty],T_PlannedOrders[Part Name],$A135,T_PlannedOrders[WeekIndex],5)&amp;" ("&amp;TEXT(SUMPRODUCT(MAX((T_PlannedOrders[Part Name]=$A135)*(T_PlannedOrders[WeekIndex]=5)*(T_PlannedOrders[EffectiveQty]&gt;0)*T_PlannedOrders[Order_Month])),"m月")&amp;"発注)")</f>
        <v/>
      </c>
      <c r="I141">
        <f>IF(SUMIFS(T_PlannedOrders[EffectiveQty],T_PlannedOrders[Part Name],$A135,T_PlannedOrders[WeekIndex],6)=0,"",SUMIFS(T_PlannedOrders[EffectiveQty],T_PlannedOrders[Part Name],$A135,T_PlannedOrders[WeekIndex],6)&amp;" ("&amp;TEXT(SUMPRODUCT(MAX((T_PlannedOrders[Part Name]=$A135)*(T_PlannedOrders[WeekIndex]=6)*(T_PlannedOrders[EffectiveQty]&gt;0)*T_PlannedOrders[Order_Month])),"m月")&amp;"発注)")</f>
        <v/>
      </c>
      <c r="J141">
        <f>IF(SUMIFS(T_PlannedOrders[EffectiveQty],T_PlannedOrders[Part Name],$A135,T_PlannedOrders[WeekIndex],7)=0,"",SUMIFS(T_PlannedOrders[EffectiveQty],T_PlannedOrders[Part Name],$A135,T_PlannedOrders[WeekIndex],7)&amp;" ("&amp;TEXT(SUMPRODUCT(MAX((T_PlannedOrders[Part Name]=$A135)*(T_PlannedOrders[WeekIndex]=7)*(T_PlannedOrders[EffectiveQty]&gt;0)*T_PlannedOrders[Order_Month])),"m月")&amp;"発注)")</f>
        <v/>
      </c>
      <c r="K141">
        <f>IF(SUMIFS(T_PlannedOrders[EffectiveQty],T_PlannedOrders[Part Name],$A135,T_PlannedOrders[WeekIndex],8)=0,"",SUMIFS(T_PlannedOrders[EffectiveQty],T_PlannedOrders[Part Name],$A135,T_PlannedOrders[WeekIndex],8)&amp;" ("&amp;TEXT(SUMPRODUCT(MAX((T_PlannedOrders[Part Name]=$A135)*(T_PlannedOrders[WeekIndex]=8)*(T_PlannedOrders[EffectiveQty]&gt;0)*T_PlannedOrders[Order_Month])),"m月")&amp;"発注)")</f>
        <v/>
      </c>
      <c r="L141">
        <f>IF(SUMIFS(T_PlannedOrders[EffectiveQty],T_PlannedOrders[Part Name],$A135,T_PlannedOrders[WeekIndex],9)=0,"",SUMIFS(T_PlannedOrders[EffectiveQty],T_PlannedOrders[Part Name],$A135,T_PlannedOrders[WeekIndex],9)&amp;" ("&amp;TEXT(SUMPRODUCT(MAX((T_PlannedOrders[Part Name]=$A135)*(T_PlannedOrders[WeekIndex]=9)*(T_PlannedOrders[EffectiveQty]&gt;0)*T_PlannedOrders[Order_Month])),"m月")&amp;"発注)")</f>
        <v/>
      </c>
      <c r="M141">
        <f>IF(SUMIFS(T_PlannedOrders[EffectiveQty],T_PlannedOrders[Part Name],$A135,T_PlannedOrders[WeekIndex],10)=0,"",SUMIFS(T_PlannedOrders[EffectiveQty],T_PlannedOrders[Part Name],$A135,T_PlannedOrders[WeekIndex],10)&amp;" ("&amp;TEXT(SUMPRODUCT(MAX((T_PlannedOrders[Part Name]=$A135)*(T_PlannedOrders[WeekIndex]=10)*(T_PlannedOrders[EffectiveQty]&gt;0)*T_PlannedOrders[Order_Month])),"m月")&amp;"発注)")</f>
        <v/>
      </c>
      <c r="N141">
        <f>IF(SUMIFS(T_PlannedOrders[EffectiveQty],T_PlannedOrders[Part Name],$A135,T_PlannedOrders[WeekIndex],11)=0,"",SUMIFS(T_PlannedOrders[EffectiveQty],T_PlannedOrders[Part Name],$A135,T_PlannedOrders[WeekIndex],11)&amp;" ("&amp;TEXT(SUMPRODUCT(MAX((T_PlannedOrders[Part Name]=$A135)*(T_PlannedOrders[WeekIndex]=11)*(T_PlannedOrders[EffectiveQty]&gt;0)*T_PlannedOrders[Order_Month])),"m月")&amp;"発注)")</f>
        <v/>
      </c>
      <c r="O141">
        <f>IF(SUMIFS(T_PlannedOrders[EffectiveQty],T_PlannedOrders[Part Name],$A135,T_PlannedOrders[WeekIndex],12)=0,"",SUMIFS(T_PlannedOrders[EffectiveQty],T_PlannedOrders[Part Name],$A135,T_PlannedOrders[WeekIndex],12)&amp;" ("&amp;TEXT(SUMPRODUCT(MAX((T_PlannedOrders[Part Name]=$A135)*(T_PlannedOrders[WeekIndex]=12)*(T_PlannedOrders[EffectiveQty]&gt;0)*T_PlannedOrders[Order_Month])),"m月")&amp;"発注)")</f>
        <v/>
      </c>
      <c r="P141">
        <f>IF(SUMIFS(T_PlannedOrders[EffectiveQty],T_PlannedOrders[Part Name],$A135,T_PlannedOrders[WeekIndex],13)=0,"",SUMIFS(T_PlannedOrders[EffectiveQty],T_PlannedOrders[Part Name],$A135,T_PlannedOrders[WeekIndex],13)&amp;" ("&amp;TEXT(SUMPRODUCT(MAX((T_PlannedOrders[Part Name]=$A135)*(T_PlannedOrders[WeekIndex]=13)*(T_PlannedOrders[EffectiveQty]&gt;0)*T_PlannedOrders[Order_Month])),"m月")&amp;"発注)")</f>
        <v/>
      </c>
      <c r="Q141">
        <f>IF(SUMIFS(T_PlannedOrders[EffectiveQty],T_PlannedOrders[Part Name],$A135,T_PlannedOrders[WeekIndex],14)=0,"",SUMIFS(T_PlannedOrders[EffectiveQty],T_PlannedOrders[Part Name],$A135,T_PlannedOrders[WeekIndex],14)&amp;" ("&amp;TEXT(SUMPRODUCT(MAX((T_PlannedOrders[Part Name]=$A135)*(T_PlannedOrders[WeekIndex]=14)*(T_PlannedOrders[EffectiveQty]&gt;0)*T_PlannedOrders[Order_Month])),"m月")&amp;"発注)")</f>
        <v/>
      </c>
      <c r="R141">
        <f>IF(SUMIFS(T_PlannedOrders[EffectiveQty],T_PlannedOrders[Part Name],$A135,T_PlannedOrders[WeekIndex],15)=0,"",SUMIFS(T_PlannedOrders[EffectiveQty],T_PlannedOrders[Part Name],$A135,T_PlannedOrders[WeekIndex],15)&amp;" ("&amp;TEXT(SUMPRODUCT(MAX((T_PlannedOrders[Part Name]=$A135)*(T_PlannedOrders[WeekIndex]=15)*(T_PlannedOrders[EffectiveQty]&gt;0)*T_PlannedOrders[Order_Month])),"m月")&amp;"発注)")</f>
        <v/>
      </c>
      <c r="S141">
        <f>IF(SUMIFS(T_PlannedOrders[EffectiveQty],T_PlannedOrders[Part Name],$A135,T_PlannedOrders[WeekIndex],16)=0,"",SUMIFS(T_PlannedOrders[EffectiveQty],T_PlannedOrders[Part Name],$A135,T_PlannedOrders[WeekIndex],16)&amp;" ("&amp;TEXT(SUMPRODUCT(MAX((T_PlannedOrders[Part Name]=$A135)*(T_PlannedOrders[WeekIndex]=16)*(T_PlannedOrders[EffectiveQty]&gt;0)*T_PlannedOrders[Order_Month])),"m月")&amp;"発注)")</f>
        <v/>
      </c>
      <c r="T141">
        <f>IF(SUMIFS(T_PlannedOrders[EffectiveQty],T_PlannedOrders[Part Name],$A135,T_PlannedOrders[WeekIndex],17)=0,"",SUMIFS(T_PlannedOrders[EffectiveQty],T_PlannedOrders[Part Name],$A135,T_PlannedOrders[WeekIndex],17)&amp;" ("&amp;TEXT(SUMPRODUCT(MAX((T_PlannedOrders[Part Name]=$A135)*(T_PlannedOrders[WeekIndex]=17)*(T_PlannedOrders[EffectiveQty]&gt;0)*T_PlannedOrders[Order_Month])),"m月")&amp;"発注)")</f>
        <v/>
      </c>
      <c r="U141">
        <f>IF(SUMIFS(T_PlannedOrders[EffectiveQty],T_PlannedOrders[Part Name],$A135,T_PlannedOrders[WeekIndex],18)=0,"",SUMIFS(T_PlannedOrders[EffectiveQty],T_PlannedOrders[Part Name],$A135,T_PlannedOrders[WeekIndex],18)&amp;" ("&amp;TEXT(SUMPRODUCT(MAX((T_PlannedOrders[Part Name]=$A135)*(T_PlannedOrders[WeekIndex]=18)*(T_PlannedOrders[EffectiveQty]&gt;0)*T_PlannedOrders[Order_Month])),"m月")&amp;"発注)")</f>
        <v/>
      </c>
      <c r="V141">
        <f>IF(SUMIFS(T_PlannedOrders[EffectiveQty],T_PlannedOrders[Part Name],$A135,T_PlannedOrders[WeekIndex],19)=0,"",SUMIFS(T_PlannedOrders[EffectiveQty],T_PlannedOrders[Part Name],$A135,T_PlannedOrders[WeekIndex],19)&amp;" ("&amp;TEXT(SUMPRODUCT(MAX((T_PlannedOrders[Part Name]=$A135)*(T_PlannedOrders[WeekIndex]=19)*(T_PlannedOrders[EffectiveQty]&gt;0)*T_PlannedOrders[Order_Month])),"m月")&amp;"発注)")</f>
        <v/>
      </c>
      <c r="W141">
        <f>IF(SUMIFS(T_PlannedOrders[EffectiveQty],T_PlannedOrders[Part Name],$A135,T_PlannedOrders[WeekIndex],20)=0,"",SUMIFS(T_PlannedOrders[EffectiveQty],T_PlannedOrders[Part Name],$A135,T_PlannedOrders[WeekIndex],20)&amp;" ("&amp;TEXT(SUMPRODUCT(MAX((T_PlannedOrders[Part Name]=$A135)*(T_PlannedOrders[WeekIndex]=20)*(T_PlannedOrders[EffectiveQty]&gt;0)*T_PlannedOrders[Order_Month])),"m月")&amp;"発注)")</f>
        <v/>
      </c>
      <c r="X141">
        <f>IF(SUMIFS(T_PlannedOrders[EffectiveQty],T_PlannedOrders[Part Name],$A135,T_PlannedOrders[WeekIndex],21)=0,"",SUMIFS(T_PlannedOrders[EffectiveQty],T_PlannedOrders[Part Name],$A135,T_PlannedOrders[WeekIndex],21)&amp;" ("&amp;TEXT(SUMPRODUCT(MAX((T_PlannedOrders[Part Name]=$A135)*(T_PlannedOrders[WeekIndex]=21)*(T_PlannedOrders[EffectiveQty]&gt;0)*T_PlannedOrders[Order_Month])),"m月")&amp;"発注)")</f>
        <v/>
      </c>
      <c r="Y141">
        <f>IF(SUMIFS(T_PlannedOrders[EffectiveQty],T_PlannedOrders[Part Name],$A135,T_PlannedOrders[WeekIndex],22)=0,"",SUMIFS(T_PlannedOrders[EffectiveQty],T_PlannedOrders[Part Name],$A135,T_PlannedOrders[WeekIndex],22)&amp;" ("&amp;TEXT(SUMPRODUCT(MAX((T_PlannedOrders[Part Name]=$A135)*(T_PlannedOrders[WeekIndex]=22)*(T_PlannedOrders[EffectiveQty]&gt;0)*T_PlannedOrders[Order_Month])),"m月")&amp;"発注)")</f>
        <v/>
      </c>
      <c r="Z141">
        <f>IF(SUMIFS(T_PlannedOrders[EffectiveQty],T_PlannedOrders[Part Name],$A135,T_PlannedOrders[WeekIndex],23)=0,"",SUMIFS(T_PlannedOrders[EffectiveQty],T_PlannedOrders[Part Name],$A135,T_PlannedOrders[WeekIndex],23)&amp;" ("&amp;TEXT(SUMPRODUCT(MAX((T_PlannedOrders[Part Name]=$A135)*(T_PlannedOrders[WeekIndex]=23)*(T_PlannedOrders[EffectiveQty]&gt;0)*T_PlannedOrders[Order_Month])),"m月")&amp;"発注)")</f>
        <v/>
      </c>
      <c r="AA141">
        <f>IF(SUMIFS(T_PlannedOrders[EffectiveQty],T_PlannedOrders[Part Name],$A135,T_PlannedOrders[WeekIndex],24)=0,"",SUMIFS(T_PlannedOrders[EffectiveQty],T_PlannedOrders[Part Name],$A135,T_PlannedOrders[WeekIndex],24)&amp;" ("&amp;TEXT(SUMPRODUCT(MAX((T_PlannedOrders[Part Name]=$A135)*(T_PlannedOrders[WeekIndex]=24)*(T_PlannedOrders[EffectiveQty]&gt;0)*T_PlannedOrders[Order_Month])),"m月")&amp;"発注)")</f>
        <v/>
      </c>
      <c r="AB141">
        <f>IF(SUMIFS(T_PlannedOrders[EffectiveQty],T_PlannedOrders[Part Name],$A135,T_PlannedOrders[WeekIndex],25)=0,"",SUMIFS(T_PlannedOrders[EffectiveQty],T_PlannedOrders[Part Name],$A135,T_PlannedOrders[WeekIndex],25)&amp;" ("&amp;TEXT(SUMPRODUCT(MAX((T_PlannedOrders[Part Name]=$A135)*(T_PlannedOrders[WeekIndex]=25)*(T_PlannedOrders[EffectiveQty]&gt;0)*T_PlannedOrders[Order_Month])),"m月")&amp;"発注)")</f>
        <v/>
      </c>
      <c r="AC141">
        <f>IF(SUMIFS(T_PlannedOrders[EffectiveQty],T_PlannedOrders[Part Name],$A135,T_PlannedOrders[WeekIndex],26)=0,"",SUMIFS(T_PlannedOrders[EffectiveQty],T_PlannedOrders[Part Name],$A135,T_PlannedOrders[WeekIndex],26)&amp;" ("&amp;TEXT(SUMPRODUCT(MAX((T_PlannedOrders[Part Name]=$A135)*(T_PlannedOrders[WeekIndex]=26)*(T_PlannedOrders[EffectiveQty]&gt;0)*T_PlannedOrders[Order_Month])),"m月")&amp;"発注)")</f>
        <v/>
      </c>
      <c r="AD141">
        <f>IF(SUMIFS(T_PlannedOrders[EffectiveQty],T_PlannedOrders[Part Name],$A135,T_PlannedOrders[WeekIndex],27)=0,"",SUMIFS(T_PlannedOrders[EffectiveQty],T_PlannedOrders[Part Name],$A135,T_PlannedOrders[WeekIndex],27)&amp;" ("&amp;TEXT(SUMPRODUCT(MAX((T_PlannedOrders[Part Name]=$A135)*(T_PlannedOrders[WeekIndex]=27)*(T_PlannedOrders[EffectiveQty]&gt;0)*T_PlannedOrders[Order_Month])),"m月")&amp;"発注)")</f>
        <v/>
      </c>
      <c r="AE141">
        <f>IF(SUMIFS(T_PlannedOrders[EffectiveQty],T_PlannedOrders[Part Name],$A135,T_PlannedOrders[WeekIndex],28)=0,"",SUMIFS(T_PlannedOrders[EffectiveQty],T_PlannedOrders[Part Name],$A135,T_PlannedOrders[WeekIndex],28)&amp;" ("&amp;TEXT(SUMPRODUCT(MAX((T_PlannedOrders[Part Name]=$A135)*(T_PlannedOrders[WeekIndex]=28)*(T_PlannedOrders[EffectiveQty]&gt;0)*T_PlannedOrders[Order_Month])),"m月")&amp;"発注)")</f>
        <v/>
      </c>
      <c r="AF141">
        <f>IF(SUMIFS(T_PlannedOrders[EffectiveQty],T_PlannedOrders[Part Name],$A135,T_PlannedOrders[WeekIndex],29)=0,"",SUMIFS(T_PlannedOrders[EffectiveQty],T_PlannedOrders[Part Name],$A135,T_PlannedOrders[WeekIndex],29)&amp;" ("&amp;TEXT(SUMPRODUCT(MAX((T_PlannedOrders[Part Name]=$A135)*(T_PlannedOrders[WeekIndex]=29)*(T_PlannedOrders[EffectiveQty]&gt;0)*T_PlannedOrders[Order_Month])),"m月")&amp;"発注)")</f>
        <v/>
      </c>
      <c r="AG141">
        <f>IF(SUMIFS(T_PlannedOrders[EffectiveQty],T_PlannedOrders[Part Name],$A135,T_PlannedOrders[WeekIndex],30)=0,"",SUMIFS(T_PlannedOrders[EffectiveQty],T_PlannedOrders[Part Name],$A135,T_PlannedOrders[WeekIndex],30)&amp;" ("&amp;TEXT(SUMPRODUCT(MAX((T_PlannedOrders[Part Name]=$A135)*(T_PlannedOrders[WeekIndex]=30)*(T_PlannedOrders[EffectiveQty]&gt;0)*T_PlannedOrders[Order_Month])),"m月")&amp;"発注)")</f>
        <v/>
      </c>
      <c r="AH141">
        <f>IF(SUMIFS(T_PlannedOrders[EffectiveQty],T_PlannedOrders[Part Name],$A135,T_PlannedOrders[WeekIndex],31)=0,"",SUMIFS(T_PlannedOrders[EffectiveQty],T_PlannedOrders[Part Name],$A135,T_PlannedOrders[WeekIndex],31)&amp;" ("&amp;TEXT(SUMPRODUCT(MAX((T_PlannedOrders[Part Name]=$A135)*(T_PlannedOrders[WeekIndex]=31)*(T_PlannedOrders[EffectiveQty]&gt;0)*T_PlannedOrders[Order_Month])),"m月")&amp;"発注)")</f>
        <v/>
      </c>
      <c r="AI141">
        <f>IF(SUMIFS(T_PlannedOrders[EffectiveQty],T_PlannedOrders[Part Name],$A135,T_PlannedOrders[WeekIndex],32)=0,"",SUMIFS(T_PlannedOrders[EffectiveQty],T_PlannedOrders[Part Name],$A135,T_PlannedOrders[WeekIndex],32)&amp;" ("&amp;TEXT(SUMPRODUCT(MAX((T_PlannedOrders[Part Name]=$A135)*(T_PlannedOrders[WeekIndex]=32)*(T_PlannedOrders[EffectiveQty]&gt;0)*T_PlannedOrders[Order_Month])),"m月")&amp;"発注)")</f>
        <v/>
      </c>
      <c r="AJ141">
        <f>IF(SUMIFS(T_PlannedOrders[EffectiveQty],T_PlannedOrders[Part Name],$A135,T_PlannedOrders[WeekIndex],33)=0,"",SUMIFS(T_PlannedOrders[EffectiveQty],T_PlannedOrders[Part Name],$A135,T_PlannedOrders[WeekIndex],33)&amp;" ("&amp;TEXT(SUMPRODUCT(MAX((T_PlannedOrders[Part Name]=$A135)*(T_PlannedOrders[WeekIndex]=33)*(T_PlannedOrders[EffectiveQty]&gt;0)*T_PlannedOrders[Order_Month])),"m月")&amp;"発注)")</f>
        <v/>
      </c>
      <c r="AK141">
        <f>IF(SUMIFS(T_PlannedOrders[EffectiveQty],T_PlannedOrders[Part Name],$A135,T_PlannedOrders[WeekIndex],34)=0,"",SUMIFS(T_PlannedOrders[EffectiveQty],T_PlannedOrders[Part Name],$A135,T_PlannedOrders[WeekIndex],34)&amp;" ("&amp;TEXT(SUMPRODUCT(MAX((T_PlannedOrders[Part Name]=$A135)*(T_PlannedOrders[WeekIndex]=34)*(T_PlannedOrders[EffectiveQty]&gt;0)*T_PlannedOrders[Order_Month])),"m月")&amp;"発注)")</f>
        <v/>
      </c>
      <c r="AL141">
        <f>IF(SUMIFS(T_PlannedOrders[EffectiveQty],T_PlannedOrders[Part Name],$A135,T_PlannedOrders[WeekIndex],35)=0,"",SUMIFS(T_PlannedOrders[EffectiveQty],T_PlannedOrders[Part Name],$A135,T_PlannedOrders[WeekIndex],35)&amp;" ("&amp;TEXT(SUMPRODUCT(MAX((T_PlannedOrders[Part Name]=$A135)*(T_PlannedOrders[WeekIndex]=35)*(T_PlannedOrders[EffectiveQty]&gt;0)*T_PlannedOrders[Order_Month])),"m月")&amp;"発注)")</f>
        <v/>
      </c>
      <c r="AM141">
        <f>IF(SUMIFS(T_PlannedOrders[EffectiveQty],T_PlannedOrders[Part Name],$A135,T_PlannedOrders[WeekIndex],36)=0,"",SUMIFS(T_PlannedOrders[EffectiveQty],T_PlannedOrders[Part Name],$A135,T_PlannedOrders[WeekIndex],36)&amp;" ("&amp;TEXT(SUMPRODUCT(MAX((T_PlannedOrders[Part Name]=$A135)*(T_PlannedOrders[WeekIndex]=36)*(T_PlannedOrders[EffectiveQty]&gt;0)*T_PlannedOrders[Order_Month])),"m月")&amp;"発注)")</f>
        <v/>
      </c>
      <c r="AN141">
        <f>IF(SUMIFS(T_PlannedOrders[EffectiveQty],T_PlannedOrders[Part Name],$A135,T_PlannedOrders[WeekIndex],37)=0,"",SUMIFS(T_PlannedOrders[EffectiveQty],T_PlannedOrders[Part Name],$A135,T_PlannedOrders[WeekIndex],37)&amp;" ("&amp;TEXT(SUMPRODUCT(MAX((T_PlannedOrders[Part Name]=$A135)*(T_PlannedOrders[WeekIndex]=37)*(T_PlannedOrders[EffectiveQty]&gt;0)*T_PlannedOrders[Order_Month])),"m月")&amp;"発注)")</f>
        <v/>
      </c>
      <c r="AO141">
        <f>IF(SUMIFS(T_PlannedOrders[EffectiveQty],T_PlannedOrders[Part Name],$A135,T_PlannedOrders[WeekIndex],38)=0,"",SUMIFS(T_PlannedOrders[EffectiveQty],T_PlannedOrders[Part Name],$A135,T_PlannedOrders[WeekIndex],38)&amp;" ("&amp;TEXT(SUMPRODUCT(MAX((T_PlannedOrders[Part Name]=$A135)*(T_PlannedOrders[WeekIndex]=38)*(T_PlannedOrders[EffectiveQty]&gt;0)*T_PlannedOrders[Order_Month])),"m月")&amp;"発注)")</f>
        <v/>
      </c>
      <c r="AP141">
        <f>IF(SUMIFS(T_PlannedOrders[EffectiveQty],T_PlannedOrders[Part Name],$A135,T_PlannedOrders[WeekIndex],39)=0,"",SUMIFS(T_PlannedOrders[EffectiveQty],T_PlannedOrders[Part Name],$A135,T_PlannedOrders[WeekIndex],39)&amp;" ("&amp;TEXT(SUMPRODUCT(MAX((T_PlannedOrders[Part Name]=$A135)*(T_PlannedOrders[WeekIndex]=39)*(T_PlannedOrders[EffectiveQty]&gt;0)*T_PlannedOrders[Order_Month])),"m月")&amp;"発注)")</f>
        <v/>
      </c>
      <c r="AQ141">
        <f>IF(SUMIFS(T_PlannedOrders[EffectiveQty],T_PlannedOrders[Part Name],$A135,T_PlannedOrders[WeekIndex],40)=0,"",SUMIFS(T_PlannedOrders[EffectiveQty],T_PlannedOrders[Part Name],$A135,T_PlannedOrders[WeekIndex],40)&amp;" ("&amp;TEXT(SUMPRODUCT(MAX((T_PlannedOrders[Part Name]=$A135)*(T_PlannedOrders[WeekIndex]=40)*(T_PlannedOrders[EffectiveQty]&gt;0)*T_PlannedOrders[Order_Month])),"m月")&amp;"発注)")</f>
        <v/>
      </c>
      <c r="AR141">
        <f>IF(SUMIFS(T_PlannedOrders[EffectiveQty],T_PlannedOrders[Part Name],$A135,T_PlannedOrders[WeekIndex],41)=0,"",SUMIFS(T_PlannedOrders[EffectiveQty],T_PlannedOrders[Part Name],$A135,T_PlannedOrders[WeekIndex],41)&amp;" ("&amp;TEXT(SUMPRODUCT(MAX((T_PlannedOrders[Part Name]=$A135)*(T_PlannedOrders[WeekIndex]=41)*(T_PlannedOrders[EffectiveQty]&gt;0)*T_PlannedOrders[Order_Month])),"m月")&amp;"発注)")</f>
        <v/>
      </c>
      <c r="AS141">
        <f>IF(SUMIFS(T_PlannedOrders[EffectiveQty],T_PlannedOrders[Part Name],$A135,T_PlannedOrders[WeekIndex],42)=0,"",SUMIFS(T_PlannedOrders[EffectiveQty],T_PlannedOrders[Part Name],$A135,T_PlannedOrders[WeekIndex],42)&amp;" ("&amp;TEXT(SUMPRODUCT(MAX((T_PlannedOrders[Part Name]=$A135)*(T_PlannedOrders[WeekIndex]=42)*(T_PlannedOrders[EffectiveQty]&gt;0)*T_PlannedOrders[Order_Month])),"m月")&amp;"発注)")</f>
        <v/>
      </c>
      <c r="AT141">
        <f>IF(SUMIFS(T_PlannedOrders[EffectiveQty],T_PlannedOrders[Part Name],$A135,T_PlannedOrders[WeekIndex],43)=0,"",SUMIFS(T_PlannedOrders[EffectiveQty],T_PlannedOrders[Part Name],$A135,T_PlannedOrders[WeekIndex],43)&amp;" ("&amp;TEXT(SUMPRODUCT(MAX((T_PlannedOrders[Part Name]=$A135)*(T_PlannedOrders[WeekIndex]=43)*(T_PlannedOrders[EffectiveQty]&gt;0)*T_PlannedOrders[Order_Month])),"m月")&amp;"発注)")</f>
        <v/>
      </c>
      <c r="AU141">
        <f>IF(SUMIFS(T_PlannedOrders[EffectiveQty],T_PlannedOrders[Part Name],$A135,T_PlannedOrders[WeekIndex],44)=0,"",SUMIFS(T_PlannedOrders[EffectiveQty],T_PlannedOrders[Part Name],$A135,T_PlannedOrders[WeekIndex],44)&amp;" ("&amp;TEXT(SUMPRODUCT(MAX((T_PlannedOrders[Part Name]=$A135)*(T_PlannedOrders[WeekIndex]=44)*(T_PlannedOrders[EffectiveQty]&gt;0)*T_PlannedOrders[Order_Month])),"m月")&amp;"発注)")</f>
        <v/>
      </c>
      <c r="AV141">
        <f>IF(SUMIFS(T_PlannedOrders[EffectiveQty],T_PlannedOrders[Part Name],$A135,T_PlannedOrders[WeekIndex],45)=0,"",SUMIFS(T_PlannedOrders[EffectiveQty],T_PlannedOrders[Part Name],$A135,T_PlannedOrders[WeekIndex],45)&amp;" ("&amp;TEXT(SUMPRODUCT(MAX((T_PlannedOrders[Part Name]=$A135)*(T_PlannedOrders[WeekIndex]=45)*(T_PlannedOrders[EffectiveQty]&gt;0)*T_PlannedOrders[Order_Month])),"m月")&amp;"発注)")</f>
        <v/>
      </c>
      <c r="AW141">
        <f>IF(SUMIFS(T_PlannedOrders[EffectiveQty],T_PlannedOrders[Part Name],$A135,T_PlannedOrders[WeekIndex],46)=0,"",SUMIFS(T_PlannedOrders[EffectiveQty],T_PlannedOrders[Part Name],$A135,T_PlannedOrders[WeekIndex],46)&amp;" ("&amp;TEXT(SUMPRODUCT(MAX((T_PlannedOrders[Part Name]=$A135)*(T_PlannedOrders[WeekIndex]=46)*(T_PlannedOrders[EffectiveQty]&gt;0)*T_PlannedOrders[Order_Month])),"m月")&amp;"発注)")</f>
        <v/>
      </c>
      <c r="AX141">
        <f>IF(SUMIFS(T_PlannedOrders[EffectiveQty],T_PlannedOrders[Part Name],$A135,T_PlannedOrders[WeekIndex],47)=0,"",SUMIFS(T_PlannedOrders[EffectiveQty],T_PlannedOrders[Part Name],$A135,T_PlannedOrders[WeekIndex],47)&amp;" ("&amp;TEXT(SUMPRODUCT(MAX((T_PlannedOrders[Part Name]=$A135)*(T_PlannedOrders[WeekIndex]=47)*(T_PlannedOrders[EffectiveQty]&gt;0)*T_PlannedOrders[Order_Month])),"m月")&amp;"発注)")</f>
        <v/>
      </c>
      <c r="AY141">
        <f>IF(SUMIFS(T_PlannedOrders[EffectiveQty],T_PlannedOrders[Part Name],$A135,T_PlannedOrders[WeekIndex],48)=0,"",SUMIFS(T_PlannedOrders[EffectiveQty],T_PlannedOrders[Part Name],$A135,T_PlannedOrders[WeekIndex],48)&amp;" ("&amp;TEXT(SUMPRODUCT(MAX((T_PlannedOrders[Part Name]=$A135)*(T_PlannedOrders[WeekIndex]=48)*(T_PlannedOrders[EffectiveQty]&gt;0)*T_PlannedOrders[Order_Month])),"m月")&amp;"発注)")</f>
        <v/>
      </c>
      <c r="AZ141">
        <f>IF(SUMIFS(T_PlannedOrders[EffectiveQty],T_PlannedOrders[Part Name],$A135,T_PlannedOrders[WeekIndex],49)=0,"",SUMIFS(T_PlannedOrders[EffectiveQty],T_PlannedOrders[Part Name],$A135,T_PlannedOrders[WeekIndex],49)&amp;" ("&amp;TEXT(SUMPRODUCT(MAX((T_PlannedOrders[Part Name]=$A135)*(T_PlannedOrders[WeekIndex]=49)*(T_PlannedOrders[EffectiveQty]&gt;0)*T_PlannedOrders[Order_Month])),"m月")&amp;"発注)")</f>
        <v/>
      </c>
      <c r="BA141">
        <f>IF(SUMIFS(T_PlannedOrders[EffectiveQty],T_PlannedOrders[Part Name],$A135,T_PlannedOrders[WeekIndex],50)=0,"",SUMIFS(T_PlannedOrders[EffectiveQty],T_PlannedOrders[Part Name],$A135,T_PlannedOrders[WeekIndex],50)&amp;" ("&amp;TEXT(SUMPRODUCT(MAX((T_PlannedOrders[Part Name]=$A135)*(T_PlannedOrders[WeekIndex]=50)*(T_PlannedOrders[EffectiveQty]&gt;0)*T_PlannedOrders[Order_Month])),"m月")&amp;"発注)")</f>
        <v/>
      </c>
      <c r="BB141">
        <f>IF(SUMIFS(T_PlannedOrders[EffectiveQty],T_PlannedOrders[Part Name],$A135,T_PlannedOrders[WeekIndex],51)=0,"",SUMIFS(T_PlannedOrders[EffectiveQty],T_PlannedOrders[Part Name],$A135,T_PlannedOrders[WeekIndex],51)&amp;" ("&amp;TEXT(SUMPRODUCT(MAX((T_PlannedOrders[Part Name]=$A135)*(T_PlannedOrders[WeekIndex]=51)*(T_PlannedOrders[EffectiveQty]&gt;0)*T_PlannedOrders[Order_Month])),"m月")&amp;"発注)")</f>
        <v/>
      </c>
      <c r="BC141">
        <f>IF(SUMIFS(T_PlannedOrders[EffectiveQty],T_PlannedOrders[Part Name],$A135,T_PlannedOrders[WeekIndex],52)=0,"",SUMIFS(T_PlannedOrders[EffectiveQty],T_PlannedOrders[Part Name],$A135,T_PlannedOrders[WeekIndex],52)&amp;" ("&amp;TEXT(SUMPRODUCT(MAX((T_PlannedOrders[Part Name]=$A135)*(T_PlannedOrders[WeekIndex]=52)*(T_PlannedOrders[EffectiveQty]&gt;0)*T_PlannedOrders[Order_Month])),"m月")&amp;"発注)")</f>
        <v/>
      </c>
      <c r="BD141">
        <f>IF(SUMIFS(T_PlannedOrders[EffectiveQty],T_PlannedOrders[Part Name],$A135,T_PlannedOrders[WeekIndex],53)=0,"",SUMIFS(T_PlannedOrders[EffectiveQty],T_PlannedOrders[Part Name],$A135,T_PlannedOrders[WeekIndex],53)&amp;" ("&amp;TEXT(SUMPRODUCT(MAX((T_PlannedOrders[Part Name]=$A135)*(T_PlannedOrders[WeekIndex]=53)*(T_PlannedOrders[EffectiveQty]&gt;0)*T_PlannedOrders[Order_Month])),"m月")&amp;"発注)")</f>
        <v/>
      </c>
      <c r="BE141">
        <f>IF(SUMIFS(T_PlannedOrders[EffectiveQty],T_PlannedOrders[Part Name],$A135,T_PlannedOrders[WeekIndex],54)=0,"",SUMIFS(T_PlannedOrders[EffectiveQty],T_PlannedOrders[Part Name],$A135,T_PlannedOrders[WeekIndex],54)&amp;" ("&amp;TEXT(SUMPRODUCT(MAX((T_PlannedOrders[Part Name]=$A135)*(T_PlannedOrders[WeekIndex]=54)*(T_PlannedOrders[EffectiveQty]&gt;0)*T_PlannedOrders[Order_Month])),"m月")&amp;"発注)")</f>
        <v/>
      </c>
      <c r="BF141">
        <f>IF(SUMIFS(T_PlannedOrders[EffectiveQty],T_PlannedOrders[Part Name],$A135,T_PlannedOrders[WeekIndex],55)=0,"",SUMIFS(T_PlannedOrders[EffectiveQty],T_PlannedOrders[Part Name],$A135,T_PlannedOrders[WeekIndex],55)&amp;" ("&amp;TEXT(SUMPRODUCT(MAX((T_PlannedOrders[Part Name]=$A135)*(T_PlannedOrders[WeekIndex]=55)*(T_PlannedOrders[EffectiveQty]&gt;0)*T_PlannedOrders[Order_Month])),"m月")&amp;"発注)")</f>
        <v/>
      </c>
      <c r="BG141">
        <f>IF(SUMIFS(T_PlannedOrders[EffectiveQty],T_PlannedOrders[Part Name],$A135,T_PlannedOrders[WeekIndex],56)=0,"",SUMIFS(T_PlannedOrders[EffectiveQty],T_PlannedOrders[Part Name],$A135,T_PlannedOrders[WeekIndex],56)&amp;" ("&amp;TEXT(SUMPRODUCT(MAX((T_PlannedOrders[Part Name]=$A135)*(T_PlannedOrders[WeekIndex]=56)*(T_PlannedOrders[EffectiveQty]&gt;0)*T_PlannedOrders[Order_Month])),"m月")&amp;"発注)")</f>
        <v/>
      </c>
      <c r="BH141">
        <f>IF(SUMIFS(T_PlannedOrders[EffectiveQty],T_PlannedOrders[Part Name],$A135,T_PlannedOrders[WeekIndex],57)=0,"",SUMIFS(T_PlannedOrders[EffectiveQty],T_PlannedOrders[Part Name],$A135,T_PlannedOrders[WeekIndex],57)&amp;" ("&amp;TEXT(SUMPRODUCT(MAX((T_PlannedOrders[Part Name]=$A135)*(T_PlannedOrders[WeekIndex]=57)*(T_PlannedOrders[EffectiveQty]&gt;0)*T_PlannedOrders[Order_Month])),"m月")&amp;"発注)")</f>
        <v/>
      </c>
      <c r="BI141">
        <f>IF(SUMIFS(T_PlannedOrders[EffectiveQty],T_PlannedOrders[Part Name],$A135,T_PlannedOrders[WeekIndex],58)=0,"",SUMIFS(T_PlannedOrders[EffectiveQty],T_PlannedOrders[Part Name],$A135,T_PlannedOrders[WeekIndex],58)&amp;" ("&amp;TEXT(SUMPRODUCT(MAX((T_PlannedOrders[Part Name]=$A135)*(T_PlannedOrders[WeekIndex]=58)*(T_PlannedOrders[EffectiveQty]&gt;0)*T_PlannedOrders[Order_Month])),"m月")&amp;"発注)")</f>
        <v/>
      </c>
      <c r="BJ141">
        <f>IF(SUMIFS(T_PlannedOrders[EffectiveQty],T_PlannedOrders[Part Name],$A135,T_PlannedOrders[WeekIndex],59)=0,"",SUMIFS(T_PlannedOrders[EffectiveQty],T_PlannedOrders[Part Name],$A135,T_PlannedOrders[WeekIndex],59)&amp;" ("&amp;TEXT(SUMPRODUCT(MAX((T_PlannedOrders[Part Name]=$A135)*(T_PlannedOrders[WeekIndex]=59)*(T_PlannedOrders[EffectiveQty]&gt;0)*T_PlannedOrders[Order_Month])),"m月")&amp;"発注)")</f>
        <v/>
      </c>
      <c r="BK141">
        <f>IF(SUMIFS(T_PlannedOrders[EffectiveQty],T_PlannedOrders[Part Name],$A135,T_PlannedOrders[WeekIndex],60)=0,"",SUMIFS(T_PlannedOrders[EffectiveQty],T_PlannedOrders[Part Name],$A135,T_PlannedOrders[WeekIndex],60)&amp;" ("&amp;TEXT(SUMPRODUCT(MAX((T_PlannedOrders[Part Name]=$A135)*(T_PlannedOrders[WeekIndex]=60)*(T_PlannedOrders[EffectiveQty]&gt;0)*T_PlannedOrders[Order_Month])),"m月")&amp;"発注)")</f>
        <v/>
      </c>
      <c r="BL141">
        <f>IF(SUMIFS(T_PlannedOrders[EffectiveQty],T_PlannedOrders[Part Name],$A135,T_PlannedOrders[WeekIndex],61)=0,"",SUMIFS(T_PlannedOrders[EffectiveQty],T_PlannedOrders[Part Name],$A135,T_PlannedOrders[WeekIndex],61)&amp;" ("&amp;TEXT(SUMPRODUCT(MAX((T_PlannedOrders[Part Name]=$A135)*(T_PlannedOrders[WeekIndex]=61)*(T_PlannedOrders[EffectiveQty]&gt;0)*T_PlannedOrders[Order_Month])),"m月")&amp;"発注)")</f>
        <v/>
      </c>
      <c r="BM141">
        <f>IF(SUMIFS(T_PlannedOrders[EffectiveQty],T_PlannedOrders[Part Name],$A135,T_PlannedOrders[WeekIndex],62)=0,"",SUMIFS(T_PlannedOrders[EffectiveQty],T_PlannedOrders[Part Name],$A135,T_PlannedOrders[WeekIndex],62)&amp;" ("&amp;TEXT(SUMPRODUCT(MAX((T_PlannedOrders[Part Name]=$A135)*(T_PlannedOrders[WeekIndex]=62)*(T_PlannedOrders[EffectiveQty]&gt;0)*T_PlannedOrders[Order_Month])),"m月")&amp;"発注)")</f>
        <v/>
      </c>
      <c r="BN141">
        <f>IF(SUMIFS(T_PlannedOrders[EffectiveQty],T_PlannedOrders[Part Name],$A135,T_PlannedOrders[WeekIndex],63)=0,"",SUMIFS(T_PlannedOrders[EffectiveQty],T_PlannedOrders[Part Name],$A135,T_PlannedOrders[WeekIndex],63)&amp;" ("&amp;TEXT(SUMPRODUCT(MAX((T_PlannedOrders[Part Name]=$A135)*(T_PlannedOrders[WeekIndex]=63)*(T_PlannedOrders[EffectiveQty]&gt;0)*T_PlannedOrders[Order_Month])),"m月")&amp;"発注)")</f>
        <v/>
      </c>
      <c r="BO141">
        <f>IF(SUMIFS(T_PlannedOrders[EffectiveQty],T_PlannedOrders[Part Name],$A135,T_PlannedOrders[WeekIndex],64)=0,"",SUMIFS(T_PlannedOrders[EffectiveQty],T_PlannedOrders[Part Name],$A135,T_PlannedOrders[WeekIndex],64)&amp;" ("&amp;TEXT(SUMPRODUCT(MAX((T_PlannedOrders[Part Name]=$A135)*(T_PlannedOrders[WeekIndex]=64)*(T_PlannedOrders[EffectiveQty]&gt;0)*T_PlannedOrders[Order_Month])),"m月")&amp;"発注)")</f>
        <v/>
      </c>
      <c r="BP141">
        <f>IF(SUMIFS(T_PlannedOrders[EffectiveQty],T_PlannedOrders[Part Name],$A135,T_PlannedOrders[WeekIndex],65)=0,"",SUMIFS(T_PlannedOrders[EffectiveQty],T_PlannedOrders[Part Name],$A135,T_PlannedOrders[WeekIndex],65)&amp;" ("&amp;TEXT(SUMPRODUCT(MAX((T_PlannedOrders[Part Name]=$A135)*(T_PlannedOrders[WeekIndex]=65)*(T_PlannedOrders[EffectiveQty]&gt;0)*T_PlannedOrders[Order_Month])),"m月")&amp;"発注)")</f>
        <v/>
      </c>
      <c r="BQ141">
        <f>IF(SUMIFS(T_PlannedOrders[EffectiveQty],T_PlannedOrders[Part Name],$A135,T_PlannedOrders[WeekIndex],66)=0,"",SUMIFS(T_PlannedOrders[EffectiveQty],T_PlannedOrders[Part Name],$A135,T_PlannedOrders[WeekIndex],66)&amp;" ("&amp;TEXT(SUMPRODUCT(MAX((T_PlannedOrders[Part Name]=$A135)*(T_PlannedOrders[WeekIndex]=66)*(T_PlannedOrders[EffectiveQty]&gt;0)*T_PlannedOrders[Order_Month])),"m月")&amp;"発注)")</f>
        <v/>
      </c>
      <c r="BR141">
        <f>IF(SUMIFS(T_PlannedOrders[EffectiveQty],T_PlannedOrders[Part Name],$A135,T_PlannedOrders[WeekIndex],67)=0,"",SUMIFS(T_PlannedOrders[EffectiveQty],T_PlannedOrders[Part Name],$A135,T_PlannedOrders[WeekIndex],67)&amp;" ("&amp;TEXT(SUMPRODUCT(MAX((T_PlannedOrders[Part Name]=$A135)*(T_PlannedOrders[WeekIndex]=67)*(T_PlannedOrders[EffectiveQty]&gt;0)*T_PlannedOrders[Order_Month])),"m月")&amp;"発注)")</f>
        <v/>
      </c>
      <c r="BS141">
        <f>IF(SUMIFS(T_PlannedOrders[EffectiveQty],T_PlannedOrders[Part Name],$A135,T_PlannedOrders[WeekIndex],68)=0,"",SUMIFS(T_PlannedOrders[EffectiveQty],T_PlannedOrders[Part Name],$A135,T_PlannedOrders[WeekIndex],68)&amp;" ("&amp;TEXT(SUMPRODUCT(MAX((T_PlannedOrders[Part Name]=$A135)*(T_PlannedOrders[WeekIndex]=68)*(T_PlannedOrders[EffectiveQty]&gt;0)*T_PlannedOrders[Order_Month])),"m月")&amp;"発注)")</f>
        <v/>
      </c>
      <c r="BT141">
        <f>IF(SUMIFS(T_PlannedOrders[EffectiveQty],T_PlannedOrders[Part Name],$A135,T_PlannedOrders[WeekIndex],69)=0,"",SUMIFS(T_PlannedOrders[EffectiveQty],T_PlannedOrders[Part Name],$A135,T_PlannedOrders[WeekIndex],69)&amp;" ("&amp;TEXT(SUMPRODUCT(MAX((T_PlannedOrders[Part Name]=$A135)*(T_PlannedOrders[WeekIndex]=69)*(T_PlannedOrders[EffectiveQty]&gt;0)*T_PlannedOrders[Order_Month])),"m月")&amp;"発注)")</f>
        <v/>
      </c>
      <c r="BU141">
        <f>IF(SUMIFS(T_PlannedOrders[EffectiveQty],T_PlannedOrders[Part Name],$A135,T_PlannedOrders[WeekIndex],70)=0,"",SUMIFS(T_PlannedOrders[EffectiveQty],T_PlannedOrders[Part Name],$A135,T_PlannedOrders[WeekIndex],70)&amp;" ("&amp;TEXT(SUMPRODUCT(MAX((T_PlannedOrders[Part Name]=$A135)*(T_PlannedOrders[WeekIndex]=70)*(T_PlannedOrders[EffectiveQty]&gt;0)*T_PlannedOrders[Order_Month])),"m月")&amp;"発注)")</f>
        <v/>
      </c>
      <c r="BV141">
        <f>IF(SUMIFS(T_PlannedOrders[EffectiveQty],T_PlannedOrders[Part Name],$A135,T_PlannedOrders[WeekIndex],71)=0,"",SUMIFS(T_PlannedOrders[EffectiveQty],T_PlannedOrders[Part Name],$A135,T_PlannedOrders[WeekIndex],71)&amp;" ("&amp;TEXT(SUMPRODUCT(MAX((T_PlannedOrders[Part Name]=$A135)*(T_PlannedOrders[WeekIndex]=71)*(T_PlannedOrders[EffectiveQty]&gt;0)*T_PlannedOrders[Order_Month])),"m月")&amp;"発注)")</f>
        <v/>
      </c>
      <c r="BW141">
        <f>IF(SUMIFS(T_PlannedOrders[EffectiveQty],T_PlannedOrders[Part Name],$A135,T_PlannedOrders[WeekIndex],72)=0,"",SUMIFS(T_PlannedOrders[EffectiveQty],T_PlannedOrders[Part Name],$A135,T_PlannedOrders[WeekIndex],72)&amp;" ("&amp;TEXT(SUMPRODUCT(MAX((T_PlannedOrders[Part Name]=$A135)*(T_PlannedOrders[WeekIndex]=72)*(T_PlannedOrders[EffectiveQty]&gt;0)*T_PlannedOrders[Order_Month])),"m月")&amp;"発注)")</f>
        <v/>
      </c>
      <c r="BX141">
        <f>IF(SUMIFS(T_PlannedOrders[EffectiveQty],T_PlannedOrders[Part Name],$A135,T_PlannedOrders[WeekIndex],73)=0,"",SUMIFS(T_PlannedOrders[EffectiveQty],T_PlannedOrders[Part Name],$A135,T_PlannedOrders[WeekIndex],73)&amp;" ("&amp;TEXT(SUMPRODUCT(MAX((T_PlannedOrders[Part Name]=$A135)*(T_PlannedOrders[WeekIndex]=73)*(T_PlannedOrders[EffectiveQty]&gt;0)*T_PlannedOrders[Order_Month])),"m月")&amp;"発注)")</f>
        <v/>
      </c>
      <c r="BY141">
        <f>IF(SUMIFS(T_PlannedOrders[EffectiveQty],T_PlannedOrders[Part Name],$A135,T_PlannedOrders[WeekIndex],74)=0,"",SUMIFS(T_PlannedOrders[EffectiveQty],T_PlannedOrders[Part Name],$A135,T_PlannedOrders[WeekIndex],74)&amp;" ("&amp;TEXT(SUMPRODUCT(MAX((T_PlannedOrders[Part Name]=$A135)*(T_PlannedOrders[WeekIndex]=74)*(T_PlannedOrders[EffectiveQty]&gt;0)*T_PlannedOrders[Order_Month])),"m月")&amp;"発注)")</f>
        <v/>
      </c>
      <c r="BZ141">
        <f>IF(SUMIFS(T_PlannedOrders[EffectiveQty],T_PlannedOrders[Part Name],$A135,T_PlannedOrders[WeekIndex],75)=0,"",SUMIFS(T_PlannedOrders[EffectiveQty],T_PlannedOrders[Part Name],$A135,T_PlannedOrders[WeekIndex],75)&amp;" ("&amp;TEXT(SUMPRODUCT(MAX((T_PlannedOrders[Part Name]=$A135)*(T_PlannedOrders[WeekIndex]=75)*(T_PlannedOrders[EffectiveQty]&gt;0)*T_PlannedOrders[Order_Month])),"m月")&amp;"発注)")</f>
        <v/>
      </c>
      <c r="CA141">
        <f>IF(SUMIFS(T_PlannedOrders[EffectiveQty],T_PlannedOrders[Part Name],$A135,T_PlannedOrders[WeekIndex],76)=0,"",SUMIFS(T_PlannedOrders[EffectiveQty],T_PlannedOrders[Part Name],$A135,T_PlannedOrders[WeekIndex],76)&amp;" ("&amp;TEXT(SUMPRODUCT(MAX((T_PlannedOrders[Part Name]=$A135)*(T_PlannedOrders[WeekIndex]=76)*(T_PlannedOrders[EffectiveQty]&gt;0)*T_PlannedOrders[Order_Month])),"m月")&amp;"発注)")</f>
        <v/>
      </c>
      <c r="CB141">
        <f>IF(SUMIFS(T_PlannedOrders[EffectiveQty],T_PlannedOrders[Part Name],$A135,T_PlannedOrders[WeekIndex],77)=0,"",SUMIFS(T_PlannedOrders[EffectiveQty],T_PlannedOrders[Part Name],$A135,T_PlannedOrders[WeekIndex],77)&amp;" ("&amp;TEXT(SUMPRODUCT(MAX((T_PlannedOrders[Part Name]=$A135)*(T_PlannedOrders[WeekIndex]=77)*(T_PlannedOrders[EffectiveQty]&gt;0)*T_PlannedOrders[Order_Month])),"m月")&amp;"発注)")</f>
        <v/>
      </c>
      <c r="CC141">
        <f>IF(SUMIFS(T_PlannedOrders[EffectiveQty],T_PlannedOrders[Part Name],$A135,T_PlannedOrders[WeekIndex],78)=0,"",SUMIFS(T_PlannedOrders[EffectiveQty],T_PlannedOrders[Part Name],$A135,T_PlannedOrders[WeekIndex],78)&amp;" ("&amp;TEXT(SUMPRODUCT(MAX((T_PlannedOrders[Part Name]=$A135)*(T_PlannedOrders[WeekIndex]=78)*(T_PlannedOrders[EffectiveQty]&gt;0)*T_PlannedOrders[Order_Month])),"m月")&amp;"発注)")</f>
        <v/>
      </c>
      <c r="CD141">
        <f>IF(SUMIFS(T_PlannedOrders[EffectiveQty],T_PlannedOrders[Part Name],$A135,T_PlannedOrders[WeekIndex],79)=0,"",SUMIFS(T_PlannedOrders[EffectiveQty],T_PlannedOrders[Part Name],$A135,T_PlannedOrders[WeekIndex],79)&amp;" ("&amp;TEXT(SUMPRODUCT(MAX((T_PlannedOrders[Part Name]=$A135)*(T_PlannedOrders[WeekIndex]=79)*(T_PlannedOrders[EffectiveQty]&gt;0)*T_PlannedOrders[Order_Month])),"m月")&amp;"発注)")</f>
        <v/>
      </c>
      <c r="CE141">
        <f>IF(SUMIFS(T_PlannedOrders[EffectiveQty],T_PlannedOrders[Part Name],$A135,T_PlannedOrders[WeekIndex],80)=0,"",SUMIFS(T_PlannedOrders[EffectiveQty],T_PlannedOrders[Part Name],$A135,T_PlannedOrders[WeekIndex],80)&amp;" ("&amp;TEXT(SUMPRODUCT(MAX((T_PlannedOrders[Part Name]=$A135)*(T_PlannedOrders[WeekIndex]=80)*(T_PlannedOrders[EffectiveQty]&gt;0)*T_PlannedOrders[Order_Month])),"m月")&amp;"発注)")</f>
        <v/>
      </c>
      <c r="CF141">
        <f>IF(SUMIFS(T_PlannedOrders[EffectiveQty],T_PlannedOrders[Part Name],$A135,T_PlannedOrders[WeekIndex],81)=0,"",SUMIFS(T_PlannedOrders[EffectiveQty],T_PlannedOrders[Part Name],$A135,T_PlannedOrders[WeekIndex],81)&amp;" ("&amp;TEXT(SUMPRODUCT(MAX((T_PlannedOrders[Part Name]=$A135)*(T_PlannedOrders[WeekIndex]=81)*(T_PlannedOrders[EffectiveQty]&gt;0)*T_PlannedOrders[Order_Month])),"m月")&amp;"発注)")</f>
        <v/>
      </c>
      <c r="CG141">
        <f>IF(SUMIFS(T_PlannedOrders[EffectiveQty],T_PlannedOrders[Part Name],$A135,T_PlannedOrders[WeekIndex],82)=0,"",SUMIFS(T_PlannedOrders[EffectiveQty],T_PlannedOrders[Part Name],$A135,T_PlannedOrders[WeekIndex],82)&amp;" ("&amp;TEXT(SUMPRODUCT(MAX((T_PlannedOrders[Part Name]=$A135)*(T_PlannedOrders[WeekIndex]=82)*(T_PlannedOrders[EffectiveQty]&gt;0)*T_PlannedOrders[Order_Month])),"m月")&amp;"発注)")</f>
        <v/>
      </c>
      <c r="CH141">
        <f>IF(SUMIFS(T_PlannedOrders[EffectiveQty],T_PlannedOrders[Part Name],$A135,T_PlannedOrders[WeekIndex],83)=0,"",SUMIFS(T_PlannedOrders[EffectiveQty],T_PlannedOrders[Part Name],$A135,T_PlannedOrders[WeekIndex],83)&amp;" ("&amp;TEXT(SUMPRODUCT(MAX((T_PlannedOrders[Part Name]=$A135)*(T_PlannedOrders[WeekIndex]=83)*(T_PlannedOrders[EffectiveQty]&gt;0)*T_PlannedOrders[Order_Month])),"m月")&amp;"発注)")</f>
        <v/>
      </c>
      <c r="CI141">
        <f>IF(SUMIFS(T_PlannedOrders[EffectiveQty],T_PlannedOrders[Part Name],$A135,T_PlannedOrders[WeekIndex],84)=0,"",SUMIFS(T_PlannedOrders[EffectiveQty],T_PlannedOrders[Part Name],$A135,T_PlannedOrders[WeekIndex],84)&amp;" ("&amp;TEXT(SUMPRODUCT(MAX((T_PlannedOrders[Part Name]=$A135)*(T_PlannedOrders[WeekIndex]=84)*(T_PlannedOrders[EffectiveQty]&gt;0)*T_PlannedOrders[Order_Month])),"m月")&amp;"発注)")</f>
        <v/>
      </c>
      <c r="CJ141">
        <f>IF(SUMIFS(T_PlannedOrders[EffectiveQty],T_PlannedOrders[Part Name],$A135,T_PlannedOrders[WeekIndex],85)=0,"",SUMIFS(T_PlannedOrders[EffectiveQty],T_PlannedOrders[Part Name],$A135,T_PlannedOrders[WeekIndex],85)&amp;" ("&amp;TEXT(SUMPRODUCT(MAX((T_PlannedOrders[Part Name]=$A135)*(T_PlannedOrders[WeekIndex]=85)*(T_PlannedOrders[EffectiveQty]&gt;0)*T_PlannedOrders[Order_Month])),"m月")&amp;"発注)")</f>
        <v/>
      </c>
      <c r="CK141">
        <f>IF(SUMIFS(T_PlannedOrders[EffectiveQty],T_PlannedOrders[Part Name],$A135,T_PlannedOrders[WeekIndex],86)=0,"",SUMIFS(T_PlannedOrders[EffectiveQty],T_PlannedOrders[Part Name],$A135,T_PlannedOrders[WeekIndex],86)&amp;" ("&amp;TEXT(SUMPRODUCT(MAX((T_PlannedOrders[Part Name]=$A135)*(T_PlannedOrders[WeekIndex]=86)*(T_PlannedOrders[EffectiveQty]&gt;0)*T_PlannedOrders[Order_Month])),"m月")&amp;"発注)")</f>
        <v/>
      </c>
      <c r="CL141">
        <f>IF(SUMIFS(T_PlannedOrders[EffectiveQty],T_PlannedOrders[Part Name],$A135,T_PlannedOrders[WeekIndex],87)=0,"",SUMIFS(T_PlannedOrders[EffectiveQty],T_PlannedOrders[Part Name],$A135,T_PlannedOrders[WeekIndex],87)&amp;" ("&amp;TEXT(SUMPRODUCT(MAX((T_PlannedOrders[Part Name]=$A135)*(T_PlannedOrders[WeekIndex]=87)*(T_PlannedOrders[EffectiveQty]&gt;0)*T_PlannedOrders[Order_Month])),"m月")&amp;"発注)")</f>
        <v/>
      </c>
      <c r="CM141">
        <f>IF(SUMIFS(T_PlannedOrders[EffectiveQty],T_PlannedOrders[Part Name],$A135,T_PlannedOrders[WeekIndex],88)=0,"",SUMIFS(T_PlannedOrders[EffectiveQty],T_PlannedOrders[Part Name],$A135,T_PlannedOrders[WeekIndex],88)&amp;" ("&amp;TEXT(SUMPRODUCT(MAX((T_PlannedOrders[Part Name]=$A135)*(T_PlannedOrders[WeekIndex]=88)*(T_PlannedOrders[EffectiveQty]&gt;0)*T_PlannedOrders[Order_Month])),"m月")&amp;"発注)")</f>
        <v/>
      </c>
      <c r="CN141">
        <f>IF(SUMIFS(T_PlannedOrders[EffectiveQty],T_PlannedOrders[Part Name],$A135,T_PlannedOrders[WeekIndex],89)=0,"",SUMIFS(T_PlannedOrders[EffectiveQty],T_PlannedOrders[Part Name],$A135,T_PlannedOrders[WeekIndex],89)&amp;" ("&amp;TEXT(SUMPRODUCT(MAX((T_PlannedOrders[Part Name]=$A135)*(T_PlannedOrders[WeekIndex]=89)*(T_PlannedOrders[EffectiveQty]&gt;0)*T_PlannedOrders[Order_Month])),"m月")&amp;"発注)")</f>
        <v/>
      </c>
      <c r="CO141">
        <f>IF(SUMIFS(T_PlannedOrders[EffectiveQty],T_PlannedOrders[Part Name],$A135,T_PlannedOrders[WeekIndex],90)=0,"",SUMIFS(T_PlannedOrders[EffectiveQty],T_PlannedOrders[Part Name],$A135,T_PlannedOrders[WeekIndex],90)&amp;" ("&amp;TEXT(SUMPRODUCT(MAX((T_PlannedOrders[Part Name]=$A135)*(T_PlannedOrders[WeekIndex]=90)*(T_PlannedOrders[EffectiveQty]&gt;0)*T_PlannedOrders[Order_Month])),"m月")&amp;"発注)")</f>
        <v/>
      </c>
      <c r="CP141">
        <f>IF(SUMIFS(T_PlannedOrders[EffectiveQty],T_PlannedOrders[Part Name],$A135,T_PlannedOrders[WeekIndex],91)=0,"",SUMIFS(T_PlannedOrders[EffectiveQty],T_PlannedOrders[Part Name],$A135,T_PlannedOrders[WeekIndex],91)&amp;" ("&amp;TEXT(SUMPRODUCT(MAX((T_PlannedOrders[Part Name]=$A135)*(T_PlannedOrders[WeekIndex]=91)*(T_PlannedOrders[EffectiveQty]&gt;0)*T_PlannedOrders[Order_Month])),"m月")&amp;"発注)")</f>
        <v/>
      </c>
      <c r="CQ141">
        <f>IF(SUMIFS(T_PlannedOrders[EffectiveQty],T_PlannedOrders[Part Name],$A135,T_PlannedOrders[WeekIndex],92)=0,"",SUMIFS(T_PlannedOrders[EffectiveQty],T_PlannedOrders[Part Name],$A135,T_PlannedOrders[WeekIndex],92)&amp;" ("&amp;TEXT(SUMPRODUCT(MAX((T_PlannedOrders[Part Name]=$A135)*(T_PlannedOrders[WeekIndex]=92)*(T_PlannedOrders[EffectiveQty]&gt;0)*T_PlannedOrders[Order_Month])),"m月")&amp;"発注)")</f>
        <v/>
      </c>
      <c r="CR141">
        <f>IF(SUMIFS(T_PlannedOrders[EffectiveQty],T_PlannedOrders[Part Name],$A135,T_PlannedOrders[WeekIndex],93)=0,"",SUMIFS(T_PlannedOrders[EffectiveQty],T_PlannedOrders[Part Name],$A135,T_PlannedOrders[WeekIndex],93)&amp;" ("&amp;TEXT(SUMPRODUCT(MAX((T_PlannedOrders[Part Name]=$A135)*(T_PlannedOrders[WeekIndex]=93)*(T_PlannedOrders[EffectiveQty]&gt;0)*T_PlannedOrders[Order_Month])),"m月")&amp;"発注)")</f>
        <v/>
      </c>
      <c r="CS141">
        <f>IF(SUMIFS(T_PlannedOrders[EffectiveQty],T_PlannedOrders[Part Name],$A135,T_PlannedOrders[WeekIndex],94)=0,"",SUMIFS(T_PlannedOrders[EffectiveQty],T_PlannedOrders[Part Name],$A135,T_PlannedOrders[WeekIndex],94)&amp;" ("&amp;TEXT(SUMPRODUCT(MAX((T_PlannedOrders[Part Name]=$A135)*(T_PlannedOrders[WeekIndex]=94)*(T_PlannedOrders[EffectiveQty]&gt;0)*T_PlannedOrders[Order_Month])),"m月")&amp;"発注)")</f>
        <v/>
      </c>
      <c r="CT141">
        <f>IF(SUMIFS(T_PlannedOrders[EffectiveQty],T_PlannedOrders[Part Name],$A135,T_PlannedOrders[WeekIndex],95)=0,"",SUMIFS(T_PlannedOrders[EffectiveQty],T_PlannedOrders[Part Name],$A135,T_PlannedOrders[WeekIndex],95)&amp;" ("&amp;TEXT(SUMPRODUCT(MAX((T_PlannedOrders[Part Name]=$A135)*(T_PlannedOrders[WeekIndex]=95)*(T_PlannedOrders[EffectiveQty]&gt;0)*T_PlannedOrders[Order_Month])),"m月")&amp;"発注)")</f>
        <v/>
      </c>
      <c r="CU141">
        <f>IF(SUMIFS(T_PlannedOrders[EffectiveQty],T_PlannedOrders[Part Name],$A135,T_PlannedOrders[WeekIndex],96)=0,"",SUMIFS(T_PlannedOrders[EffectiveQty],T_PlannedOrders[Part Name],$A135,T_PlannedOrders[WeekIndex],96)&amp;" ("&amp;TEXT(SUMPRODUCT(MAX((T_PlannedOrders[Part Name]=$A135)*(T_PlannedOrders[WeekIndex]=96)*(T_PlannedOrders[EffectiveQty]&gt;0)*T_PlannedOrders[Order_Month])),"m月")&amp;"発注)")</f>
        <v/>
      </c>
      <c r="CV141">
        <f>IF(SUMIFS(T_PlannedOrders[EffectiveQty],T_PlannedOrders[Part Name],$A135,T_PlannedOrders[WeekIndex],97)=0,"",SUMIFS(T_PlannedOrders[EffectiveQty],T_PlannedOrders[Part Name],$A135,T_PlannedOrders[WeekIndex],97)&amp;" ("&amp;TEXT(SUMPRODUCT(MAX((T_PlannedOrders[Part Name]=$A135)*(T_PlannedOrders[WeekIndex]=97)*(T_PlannedOrders[EffectiveQty]&gt;0)*T_PlannedOrders[Order_Month])),"m月")&amp;"発注)")</f>
        <v/>
      </c>
      <c r="CW141">
        <f>IF(SUMIFS(T_PlannedOrders[EffectiveQty],T_PlannedOrders[Part Name],$A135,T_PlannedOrders[WeekIndex],98)=0,"",SUMIFS(T_PlannedOrders[EffectiveQty],T_PlannedOrders[Part Name],$A135,T_PlannedOrders[WeekIndex],98)&amp;" ("&amp;TEXT(SUMPRODUCT(MAX((T_PlannedOrders[Part Name]=$A135)*(T_PlannedOrders[WeekIndex]=98)*(T_PlannedOrders[EffectiveQty]&gt;0)*T_PlannedOrders[Order_Month])),"m月")&amp;"発注)")</f>
        <v/>
      </c>
      <c r="CX141">
        <f>IF(SUMIFS(T_PlannedOrders[EffectiveQty],T_PlannedOrders[Part Name],$A135,T_PlannedOrders[WeekIndex],99)=0,"",SUMIFS(T_PlannedOrders[EffectiveQty],T_PlannedOrders[Part Name],$A135,T_PlannedOrders[WeekIndex],99)&amp;" ("&amp;TEXT(SUMPRODUCT(MAX((T_PlannedOrders[Part Name]=$A135)*(T_PlannedOrders[WeekIndex]=99)*(T_PlannedOrders[EffectiveQty]&gt;0)*T_PlannedOrders[Order_Month])),"m月")&amp;"発注)")</f>
        <v/>
      </c>
      <c r="CY141">
        <f>IF(SUMIFS(T_PlannedOrders[EffectiveQty],T_PlannedOrders[Part Name],$A135,T_PlannedOrders[WeekIndex],100)=0,"",SUMIFS(T_PlannedOrders[EffectiveQty],T_PlannedOrders[Part Name],$A135,T_PlannedOrders[WeekIndex],100)&amp;" ("&amp;TEXT(SUMPRODUCT(MAX((T_PlannedOrders[Part Name]=$A135)*(T_PlannedOrders[WeekIndex]=100)*(T_PlannedOrders[EffectiveQty]&gt;0)*T_PlannedOrders[Order_Month])),"m月")&amp;"発注)")</f>
        <v/>
      </c>
      <c r="CZ141">
        <f>IF(SUMIFS(T_PlannedOrders[EffectiveQty],T_PlannedOrders[Part Name],$A135,T_PlannedOrders[WeekIndex],101)=0,"",SUMIFS(T_PlannedOrders[EffectiveQty],T_PlannedOrders[Part Name],$A135,T_PlannedOrders[WeekIndex],101)&amp;" ("&amp;TEXT(SUMPRODUCT(MAX((T_PlannedOrders[Part Name]=$A135)*(T_PlannedOrders[WeekIndex]=101)*(T_PlannedOrders[EffectiveQty]&gt;0)*T_PlannedOrders[Order_Month])),"m月")&amp;"発注)")</f>
        <v/>
      </c>
      <c r="DA141">
        <f>IF(SUMIFS(T_PlannedOrders[EffectiveQty],T_PlannedOrders[Part Name],$A135,T_PlannedOrders[WeekIndex],102)=0,"",SUMIFS(T_PlannedOrders[EffectiveQty],T_PlannedOrders[Part Name],$A135,T_PlannedOrders[WeekIndex],102)&amp;" ("&amp;TEXT(SUMPRODUCT(MAX((T_PlannedOrders[Part Name]=$A135)*(T_PlannedOrders[WeekIndex]=102)*(T_PlannedOrders[EffectiveQty]&gt;0)*T_PlannedOrders[Order_Month])),"m月")&amp;"発注)")</f>
        <v/>
      </c>
      <c r="DB141">
        <f>IF(SUMIFS(T_PlannedOrders[EffectiveQty],T_PlannedOrders[Part Name],$A135,T_PlannedOrders[WeekIndex],103)=0,"",SUMIFS(T_PlannedOrders[EffectiveQty],T_PlannedOrders[Part Name],$A135,T_PlannedOrders[WeekIndex],103)&amp;" ("&amp;TEXT(SUMPRODUCT(MAX((T_PlannedOrders[Part Name]=$A135)*(T_PlannedOrders[WeekIndex]=103)*(T_PlannedOrders[EffectiveQty]&gt;0)*T_PlannedOrders[Order_Month])),"m月")&amp;"発注)")</f>
        <v/>
      </c>
      <c r="DC141">
        <f>IF(SUMIFS(T_PlannedOrders[EffectiveQty],T_PlannedOrders[Part Name],$A135,T_PlannedOrders[WeekIndex],104)=0,"",SUMIFS(T_PlannedOrders[EffectiveQty],T_PlannedOrders[Part Name],$A135,T_PlannedOrders[WeekIndex],104)&amp;" ("&amp;TEXT(SUMPRODUCT(MAX((T_PlannedOrders[Part Name]=$A135)*(T_PlannedOrders[WeekIndex]=104)*(T_PlannedOrders[EffectiveQty]&gt;0)*T_PlannedOrders[Order_Month])),"m月")&amp;"発注)")</f>
        <v/>
      </c>
    </row>
    <row r="142">
      <c r="B142" s="5" t="inlineStr">
        <is>
          <t>合計在庫(週末時点,kg)</t>
        </is>
      </c>
      <c r="D142">
        <f>'Grid_Stock'!B15</f>
        <v/>
      </c>
      <c r="E142">
        <f>'Grid_Stock'!C15</f>
        <v/>
      </c>
      <c r="F142">
        <f>'Grid_Stock'!D15</f>
        <v/>
      </c>
      <c r="G142">
        <f>'Grid_Stock'!E15</f>
        <v/>
      </c>
      <c r="H142">
        <f>'Grid_Stock'!F15</f>
        <v/>
      </c>
      <c r="I142">
        <f>'Grid_Stock'!G15</f>
        <v/>
      </c>
      <c r="J142">
        <f>'Grid_Stock'!H15</f>
        <v/>
      </c>
      <c r="K142">
        <f>'Grid_Stock'!I15</f>
        <v/>
      </c>
      <c r="L142">
        <f>'Grid_Stock'!J15</f>
        <v/>
      </c>
      <c r="M142">
        <f>'Grid_Stock'!K15</f>
        <v/>
      </c>
      <c r="N142">
        <f>'Grid_Stock'!L15</f>
        <v/>
      </c>
      <c r="O142">
        <f>'Grid_Stock'!M15</f>
        <v/>
      </c>
      <c r="P142">
        <f>'Grid_Stock'!N15</f>
        <v/>
      </c>
      <c r="Q142">
        <f>'Grid_Stock'!O15</f>
        <v/>
      </c>
      <c r="R142">
        <f>'Grid_Stock'!P15</f>
        <v/>
      </c>
      <c r="S142">
        <f>'Grid_Stock'!Q15</f>
        <v/>
      </c>
      <c r="T142">
        <f>'Grid_Stock'!R15</f>
        <v/>
      </c>
      <c r="U142">
        <f>'Grid_Stock'!S15</f>
        <v/>
      </c>
      <c r="V142">
        <f>'Grid_Stock'!T15</f>
        <v/>
      </c>
      <c r="W142">
        <f>'Grid_Stock'!U15</f>
        <v/>
      </c>
      <c r="X142">
        <f>'Grid_Stock'!V15</f>
        <v/>
      </c>
      <c r="Y142">
        <f>'Grid_Stock'!W15</f>
        <v/>
      </c>
      <c r="Z142">
        <f>'Grid_Stock'!X15</f>
        <v/>
      </c>
      <c r="AA142">
        <f>'Grid_Stock'!Y15</f>
        <v/>
      </c>
      <c r="AB142">
        <f>'Grid_Stock'!Z15</f>
        <v/>
      </c>
      <c r="AC142">
        <f>'Grid_Stock'!AA15</f>
        <v/>
      </c>
      <c r="AD142">
        <f>'Grid_Stock'!AB15</f>
        <v/>
      </c>
      <c r="AE142">
        <f>'Grid_Stock'!AC15</f>
        <v/>
      </c>
      <c r="AF142">
        <f>'Grid_Stock'!AD15</f>
        <v/>
      </c>
      <c r="AG142">
        <f>'Grid_Stock'!AE15</f>
        <v/>
      </c>
      <c r="AH142">
        <f>'Grid_Stock'!AF15</f>
        <v/>
      </c>
      <c r="AI142">
        <f>'Grid_Stock'!AG15</f>
        <v/>
      </c>
      <c r="AJ142">
        <f>'Grid_Stock'!AH15</f>
        <v/>
      </c>
      <c r="AK142">
        <f>'Grid_Stock'!AI15</f>
        <v/>
      </c>
      <c r="AL142">
        <f>'Grid_Stock'!AJ15</f>
        <v/>
      </c>
      <c r="AM142">
        <f>'Grid_Stock'!AK15</f>
        <v/>
      </c>
      <c r="AN142">
        <f>'Grid_Stock'!AL15</f>
        <v/>
      </c>
      <c r="AO142">
        <f>'Grid_Stock'!AM15</f>
        <v/>
      </c>
      <c r="AP142">
        <f>'Grid_Stock'!AN15</f>
        <v/>
      </c>
      <c r="AQ142">
        <f>'Grid_Stock'!AO15</f>
        <v/>
      </c>
      <c r="AR142">
        <f>'Grid_Stock'!AP15</f>
        <v/>
      </c>
      <c r="AS142">
        <f>'Grid_Stock'!AQ15</f>
        <v/>
      </c>
      <c r="AT142">
        <f>'Grid_Stock'!AR15</f>
        <v/>
      </c>
      <c r="AU142">
        <f>'Grid_Stock'!AS15</f>
        <v/>
      </c>
      <c r="AV142">
        <f>'Grid_Stock'!AT15</f>
        <v/>
      </c>
      <c r="AW142">
        <f>'Grid_Stock'!AU15</f>
        <v/>
      </c>
      <c r="AX142">
        <f>'Grid_Stock'!AV15</f>
        <v/>
      </c>
      <c r="AY142">
        <f>'Grid_Stock'!AW15</f>
        <v/>
      </c>
      <c r="AZ142">
        <f>'Grid_Stock'!AX15</f>
        <v/>
      </c>
      <c r="BA142">
        <f>'Grid_Stock'!AY15</f>
        <v/>
      </c>
      <c r="BB142">
        <f>'Grid_Stock'!AZ15</f>
        <v/>
      </c>
      <c r="BC142">
        <f>'Grid_Stock'!BA15</f>
        <v/>
      </c>
      <c r="BD142">
        <f>'Grid_Stock'!BB15</f>
        <v/>
      </c>
      <c r="BE142">
        <f>'Grid_Stock'!BC15</f>
        <v/>
      </c>
      <c r="BF142">
        <f>'Grid_Stock'!BD15</f>
        <v/>
      </c>
      <c r="BG142">
        <f>'Grid_Stock'!BE15</f>
        <v/>
      </c>
      <c r="BH142">
        <f>'Grid_Stock'!BF15</f>
        <v/>
      </c>
      <c r="BI142">
        <f>'Grid_Stock'!BG15</f>
        <v/>
      </c>
      <c r="BJ142">
        <f>'Grid_Stock'!BH15</f>
        <v/>
      </c>
      <c r="BK142">
        <f>'Grid_Stock'!BI15</f>
        <v/>
      </c>
      <c r="BL142">
        <f>'Grid_Stock'!BJ15</f>
        <v/>
      </c>
      <c r="BM142">
        <f>'Grid_Stock'!BK15</f>
        <v/>
      </c>
      <c r="BN142">
        <f>'Grid_Stock'!BL15</f>
        <v/>
      </c>
      <c r="BO142">
        <f>'Grid_Stock'!BM15</f>
        <v/>
      </c>
      <c r="BP142">
        <f>'Grid_Stock'!BN15</f>
        <v/>
      </c>
      <c r="BQ142">
        <f>'Grid_Stock'!BO15</f>
        <v/>
      </c>
      <c r="BR142">
        <f>'Grid_Stock'!BP15</f>
        <v/>
      </c>
      <c r="BS142">
        <f>'Grid_Stock'!BQ15</f>
        <v/>
      </c>
      <c r="BT142">
        <f>'Grid_Stock'!BR15</f>
        <v/>
      </c>
      <c r="BU142">
        <f>'Grid_Stock'!BS15</f>
        <v/>
      </c>
      <c r="BV142">
        <f>'Grid_Stock'!BT15</f>
        <v/>
      </c>
      <c r="BW142">
        <f>'Grid_Stock'!BU15</f>
        <v/>
      </c>
      <c r="BX142">
        <f>'Grid_Stock'!BV15</f>
        <v/>
      </c>
      <c r="BY142">
        <f>'Grid_Stock'!BW15</f>
        <v/>
      </c>
      <c r="BZ142">
        <f>'Grid_Stock'!BX15</f>
        <v/>
      </c>
      <c r="CA142">
        <f>'Grid_Stock'!BY15</f>
        <v/>
      </c>
      <c r="CB142">
        <f>'Grid_Stock'!BZ15</f>
        <v/>
      </c>
      <c r="CC142">
        <f>'Grid_Stock'!CA15</f>
        <v/>
      </c>
      <c r="CD142">
        <f>'Grid_Stock'!CB15</f>
        <v/>
      </c>
      <c r="CE142">
        <f>'Grid_Stock'!CC15</f>
        <v/>
      </c>
      <c r="CF142">
        <f>'Grid_Stock'!CD15</f>
        <v/>
      </c>
      <c r="CG142">
        <f>'Grid_Stock'!CE15</f>
        <v/>
      </c>
      <c r="CH142">
        <f>'Grid_Stock'!CF15</f>
        <v/>
      </c>
      <c r="CI142">
        <f>'Grid_Stock'!CG15</f>
        <v/>
      </c>
      <c r="CJ142">
        <f>'Grid_Stock'!CH15</f>
        <v/>
      </c>
      <c r="CK142">
        <f>'Grid_Stock'!CI15</f>
        <v/>
      </c>
      <c r="CL142">
        <f>'Grid_Stock'!CJ15</f>
        <v/>
      </c>
      <c r="CM142">
        <f>'Grid_Stock'!CK15</f>
        <v/>
      </c>
      <c r="CN142">
        <f>'Grid_Stock'!CL15</f>
        <v/>
      </c>
      <c r="CO142">
        <f>'Grid_Stock'!CM15</f>
        <v/>
      </c>
      <c r="CP142">
        <f>'Grid_Stock'!CN15</f>
        <v/>
      </c>
      <c r="CQ142">
        <f>'Grid_Stock'!CO15</f>
        <v/>
      </c>
      <c r="CR142">
        <f>'Grid_Stock'!CP15</f>
        <v/>
      </c>
      <c r="CS142">
        <f>'Grid_Stock'!CQ15</f>
        <v/>
      </c>
      <c r="CT142">
        <f>'Grid_Stock'!CR15</f>
        <v/>
      </c>
      <c r="CU142">
        <f>'Grid_Stock'!CS15</f>
        <v/>
      </c>
      <c r="CV142">
        <f>'Grid_Stock'!CT15</f>
        <v/>
      </c>
      <c r="CW142">
        <f>'Grid_Stock'!CU15</f>
        <v/>
      </c>
      <c r="CX142">
        <f>'Grid_Stock'!CV15</f>
        <v/>
      </c>
      <c r="CY142">
        <f>'Grid_Stock'!CW15</f>
        <v/>
      </c>
      <c r="CZ142">
        <f>'Grid_Stock'!CX15</f>
        <v/>
      </c>
      <c r="DA142">
        <f>'Grid_Stock'!CY15</f>
        <v/>
      </c>
      <c r="DB142">
        <f>'Grid_Stock'!CZ15</f>
        <v/>
      </c>
      <c r="DC142">
        <f>'Grid_Stock'!DA15</f>
        <v/>
      </c>
    </row>
    <row r="143">
      <c r="B143" s="23" t="inlineStr">
        <is>
          <t>（発注の目安はDashboardの基準在庫[下限/上限]と色分けを参照）</t>
        </is>
      </c>
    </row>
    <row r="145">
      <c r="A145" s="21" t="inlineStr">
        <is>
          <t>8EN</t>
        </is>
      </c>
      <c r="B145" s="21" t="inlineStr">
        <is>
          <t>Substrate NGK KFK1D118-152xX1</t>
        </is>
      </c>
      <c r="C145" s="22" t="n"/>
      <c r="D145" s="21" t="n"/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n"/>
      <c r="AB145" s="21" t="n"/>
      <c r="AC145" s="21" t="n"/>
      <c r="AD145" s="21" t="n"/>
      <c r="AE145" s="21" t="n"/>
      <c r="AF145" s="21" t="n"/>
      <c r="AG145" s="21" t="n"/>
      <c r="AH145" s="21" t="n"/>
      <c r="AI145" s="21" t="n"/>
      <c r="AJ145" s="21" t="n"/>
      <c r="AK145" s="21" t="n"/>
      <c r="AL145" s="21" t="n"/>
      <c r="AM145" s="21" t="n"/>
      <c r="AN145" s="21" t="n"/>
      <c r="AO145" s="21" t="n"/>
      <c r="AP145" s="21" t="n"/>
      <c r="AQ145" s="21" t="n"/>
      <c r="AR145" s="21" t="n"/>
      <c r="AS145" s="21" t="n"/>
      <c r="AT145" s="21" t="n"/>
      <c r="AU145" s="21" t="n"/>
      <c r="AV145" s="21" t="n"/>
      <c r="AW145" s="21" t="n"/>
      <c r="AX145" s="21" t="n"/>
      <c r="AY145" s="21" t="n"/>
      <c r="AZ145" s="21" t="n"/>
      <c r="BA145" s="21" t="n"/>
      <c r="BB145" s="21" t="n"/>
      <c r="BC145" s="21" t="n"/>
      <c r="BD145" s="21" t="n"/>
      <c r="BE145" s="21" t="n"/>
      <c r="BF145" s="21" t="n"/>
      <c r="BG145" s="21" t="n"/>
      <c r="BH145" s="21" t="n"/>
      <c r="BI145" s="21" t="n"/>
      <c r="BJ145" s="21" t="n"/>
      <c r="BK145" s="21" t="n"/>
      <c r="BL145" s="21" t="n"/>
      <c r="BM145" s="21" t="n"/>
      <c r="BN145" s="21" t="n"/>
      <c r="BO145" s="21" t="n"/>
      <c r="BP145" s="21" t="n"/>
      <c r="BQ145" s="21" t="n"/>
      <c r="BR145" s="21" t="n"/>
      <c r="BS145" s="21" t="n"/>
      <c r="BT145" s="21" t="n"/>
      <c r="BU145" s="21" t="n"/>
      <c r="BV145" s="21" t="n"/>
      <c r="BW145" s="21" t="n"/>
      <c r="BX145" s="21" t="n"/>
      <c r="BY145" s="21" t="n"/>
      <c r="BZ145" s="21" t="n"/>
      <c r="CA145" s="21" t="n"/>
      <c r="CB145" s="21" t="n"/>
      <c r="CC145" s="21" t="n"/>
      <c r="CD145" s="21" t="n"/>
      <c r="CE145" s="21" t="n"/>
      <c r="CF145" s="21" t="n"/>
      <c r="CG145" s="21" t="n"/>
      <c r="CH145" s="21" t="n"/>
      <c r="CI145" s="21" t="n"/>
      <c r="CJ145" s="21" t="n"/>
      <c r="CK145" s="21" t="n"/>
      <c r="CL145" s="21" t="n"/>
      <c r="CM145" s="21" t="n"/>
      <c r="CN145" s="21" t="n"/>
      <c r="CO145" s="21" t="n"/>
      <c r="CP145" s="21" t="n"/>
      <c r="CQ145" s="21" t="n"/>
      <c r="CR145" s="21" t="n"/>
      <c r="CS145" s="21" t="n"/>
      <c r="CT145" s="21" t="n"/>
      <c r="CU145" s="21" t="n"/>
      <c r="CV145" s="21" t="n"/>
      <c r="CW145" s="21" t="n"/>
      <c r="CX145" s="21" t="n"/>
      <c r="CY145" s="21" t="n"/>
      <c r="CZ145" s="21" t="n"/>
      <c r="DA145" s="21" t="n"/>
      <c r="DB145" s="21" t="n"/>
      <c r="DC145" s="21" t="n"/>
    </row>
    <row r="146">
      <c r="B146" t="inlineStr">
        <is>
          <t>V14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12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SUMIFS(M_BOM[RM_Qty_Per_Batch],M_BOM[Intermediate],$B146,M_BOM[Part Name],$A145)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V17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12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SUMIFS(M_BOM[RM_Qty_Per_Batch],M_BOM[Intermediate],$B148,M_BOM[Part Name],$A145)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V18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12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SUMIFS(M_BOM[RM_Qty_Per_Batch],M_BOM[Intermediate],$B150,M_BOM[Part Name],$A145)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s="5" t="inlineStr">
        <is>
          <t>合計使用量(kg)/週</t>
        </is>
      </c>
      <c r="D152">
        <f>'Grid_Requirement'!B16</f>
        <v/>
      </c>
      <c r="E152">
        <f>'Grid_Requirement'!C16</f>
        <v/>
      </c>
      <c r="F152">
        <f>'Grid_Requirement'!D16</f>
        <v/>
      </c>
      <c r="G152">
        <f>'Grid_Requirement'!E16</f>
        <v/>
      </c>
      <c r="H152">
        <f>'Grid_Requirement'!F16</f>
        <v/>
      </c>
      <c r="I152">
        <f>'Grid_Requirement'!G16</f>
        <v/>
      </c>
      <c r="J152">
        <f>'Grid_Requirement'!H16</f>
        <v/>
      </c>
      <c r="K152">
        <f>'Grid_Requirement'!I16</f>
        <v/>
      </c>
      <c r="L152">
        <f>'Grid_Requirement'!J16</f>
        <v/>
      </c>
      <c r="M152">
        <f>'Grid_Requirement'!K16</f>
        <v/>
      </c>
      <c r="N152">
        <f>'Grid_Requirement'!L16</f>
        <v/>
      </c>
      <c r="O152">
        <f>'Grid_Requirement'!M16</f>
        <v/>
      </c>
      <c r="P152">
        <f>'Grid_Requirement'!N16</f>
        <v/>
      </c>
      <c r="Q152">
        <f>'Grid_Requirement'!O16</f>
        <v/>
      </c>
      <c r="R152">
        <f>'Grid_Requirement'!P16</f>
        <v/>
      </c>
      <c r="S152">
        <f>'Grid_Requirement'!Q16</f>
        <v/>
      </c>
      <c r="T152">
        <f>'Grid_Requirement'!R16</f>
        <v/>
      </c>
      <c r="U152">
        <f>'Grid_Requirement'!S16</f>
        <v/>
      </c>
      <c r="V152">
        <f>'Grid_Requirement'!T16</f>
        <v/>
      </c>
      <c r="W152">
        <f>'Grid_Requirement'!U16</f>
        <v/>
      </c>
      <c r="X152">
        <f>'Grid_Requirement'!V16</f>
        <v/>
      </c>
      <c r="Y152">
        <f>'Grid_Requirement'!W16</f>
        <v/>
      </c>
      <c r="Z152">
        <f>'Grid_Requirement'!X16</f>
        <v/>
      </c>
      <c r="AA152">
        <f>'Grid_Requirement'!Y16</f>
        <v/>
      </c>
      <c r="AB152">
        <f>'Grid_Requirement'!Z16</f>
        <v/>
      </c>
      <c r="AC152">
        <f>'Grid_Requirement'!AA16</f>
        <v/>
      </c>
      <c r="AD152">
        <f>'Grid_Requirement'!AB16</f>
        <v/>
      </c>
      <c r="AE152">
        <f>'Grid_Requirement'!AC16</f>
        <v/>
      </c>
      <c r="AF152">
        <f>'Grid_Requirement'!AD16</f>
        <v/>
      </c>
      <c r="AG152">
        <f>'Grid_Requirement'!AE16</f>
        <v/>
      </c>
      <c r="AH152">
        <f>'Grid_Requirement'!AF16</f>
        <v/>
      </c>
      <c r="AI152">
        <f>'Grid_Requirement'!AG16</f>
        <v/>
      </c>
      <c r="AJ152">
        <f>'Grid_Requirement'!AH16</f>
        <v/>
      </c>
      <c r="AK152">
        <f>'Grid_Requirement'!AI16</f>
        <v/>
      </c>
      <c r="AL152">
        <f>'Grid_Requirement'!AJ16</f>
        <v/>
      </c>
      <c r="AM152">
        <f>'Grid_Requirement'!AK16</f>
        <v/>
      </c>
      <c r="AN152">
        <f>'Grid_Requirement'!AL16</f>
        <v/>
      </c>
      <c r="AO152">
        <f>'Grid_Requirement'!AM16</f>
        <v/>
      </c>
      <c r="AP152">
        <f>'Grid_Requirement'!AN16</f>
        <v/>
      </c>
      <c r="AQ152">
        <f>'Grid_Requirement'!AO16</f>
        <v/>
      </c>
      <c r="AR152">
        <f>'Grid_Requirement'!AP16</f>
        <v/>
      </c>
      <c r="AS152">
        <f>'Grid_Requirement'!AQ16</f>
        <v/>
      </c>
      <c r="AT152">
        <f>'Grid_Requirement'!AR16</f>
        <v/>
      </c>
      <c r="AU152">
        <f>'Grid_Requirement'!AS16</f>
        <v/>
      </c>
      <c r="AV152">
        <f>'Grid_Requirement'!AT16</f>
        <v/>
      </c>
      <c r="AW152">
        <f>'Grid_Requirement'!AU16</f>
        <v/>
      </c>
      <c r="AX152">
        <f>'Grid_Requirement'!AV16</f>
        <v/>
      </c>
      <c r="AY152">
        <f>'Grid_Requirement'!AW16</f>
        <v/>
      </c>
      <c r="AZ152">
        <f>'Grid_Requirement'!AX16</f>
        <v/>
      </c>
      <c r="BA152">
        <f>'Grid_Requirement'!AY16</f>
        <v/>
      </c>
      <c r="BB152">
        <f>'Grid_Requirement'!AZ16</f>
        <v/>
      </c>
      <c r="BC152">
        <f>'Grid_Requirement'!BA16</f>
        <v/>
      </c>
      <c r="BD152">
        <f>'Grid_Requirement'!BB16</f>
        <v/>
      </c>
      <c r="BE152">
        <f>'Grid_Requirement'!BC16</f>
        <v/>
      </c>
      <c r="BF152">
        <f>'Grid_Requirement'!BD16</f>
        <v/>
      </c>
      <c r="BG152">
        <f>'Grid_Requirement'!BE16</f>
        <v/>
      </c>
      <c r="BH152">
        <f>'Grid_Requirement'!BF16</f>
        <v/>
      </c>
      <c r="BI152">
        <f>'Grid_Requirement'!BG16</f>
        <v/>
      </c>
      <c r="BJ152">
        <f>'Grid_Requirement'!BH16</f>
        <v/>
      </c>
      <c r="BK152">
        <f>'Grid_Requirement'!BI16</f>
        <v/>
      </c>
      <c r="BL152">
        <f>'Grid_Requirement'!BJ16</f>
        <v/>
      </c>
      <c r="BM152">
        <f>'Grid_Requirement'!BK16</f>
        <v/>
      </c>
      <c r="BN152">
        <f>'Grid_Requirement'!BL16</f>
        <v/>
      </c>
      <c r="BO152">
        <f>'Grid_Requirement'!BM16</f>
        <v/>
      </c>
      <c r="BP152">
        <f>'Grid_Requirement'!BN16</f>
        <v/>
      </c>
      <c r="BQ152">
        <f>'Grid_Requirement'!BO16</f>
        <v/>
      </c>
      <c r="BR152">
        <f>'Grid_Requirement'!BP16</f>
        <v/>
      </c>
      <c r="BS152">
        <f>'Grid_Requirement'!BQ16</f>
        <v/>
      </c>
      <c r="BT152">
        <f>'Grid_Requirement'!BR16</f>
        <v/>
      </c>
      <c r="BU152">
        <f>'Grid_Requirement'!BS16</f>
        <v/>
      </c>
      <c r="BV152">
        <f>'Grid_Requirement'!BT16</f>
        <v/>
      </c>
      <c r="BW152">
        <f>'Grid_Requirement'!BU16</f>
        <v/>
      </c>
      <c r="BX152">
        <f>'Grid_Requirement'!BV16</f>
        <v/>
      </c>
      <c r="BY152">
        <f>'Grid_Requirement'!BW16</f>
        <v/>
      </c>
      <c r="BZ152">
        <f>'Grid_Requirement'!BX16</f>
        <v/>
      </c>
      <c r="CA152">
        <f>'Grid_Requirement'!BY16</f>
        <v/>
      </c>
      <c r="CB152">
        <f>'Grid_Requirement'!BZ16</f>
        <v/>
      </c>
      <c r="CC152">
        <f>'Grid_Requirement'!CA16</f>
        <v/>
      </c>
      <c r="CD152">
        <f>'Grid_Requirement'!CB16</f>
        <v/>
      </c>
      <c r="CE152">
        <f>'Grid_Requirement'!CC16</f>
        <v/>
      </c>
      <c r="CF152">
        <f>'Grid_Requirement'!CD16</f>
        <v/>
      </c>
      <c r="CG152">
        <f>'Grid_Requirement'!CE16</f>
        <v/>
      </c>
      <c r="CH152">
        <f>'Grid_Requirement'!CF16</f>
        <v/>
      </c>
      <c r="CI152">
        <f>'Grid_Requirement'!CG16</f>
        <v/>
      </c>
      <c r="CJ152">
        <f>'Grid_Requirement'!CH16</f>
        <v/>
      </c>
      <c r="CK152">
        <f>'Grid_Requirement'!CI16</f>
        <v/>
      </c>
      <c r="CL152">
        <f>'Grid_Requirement'!CJ16</f>
        <v/>
      </c>
      <c r="CM152">
        <f>'Grid_Requirement'!CK16</f>
        <v/>
      </c>
      <c r="CN152">
        <f>'Grid_Requirement'!CL16</f>
        <v/>
      </c>
      <c r="CO152">
        <f>'Grid_Requirement'!CM16</f>
        <v/>
      </c>
      <c r="CP152">
        <f>'Grid_Requirement'!CN16</f>
        <v/>
      </c>
      <c r="CQ152">
        <f>'Grid_Requirement'!CO16</f>
        <v/>
      </c>
      <c r="CR152">
        <f>'Grid_Requirement'!CP16</f>
        <v/>
      </c>
      <c r="CS152">
        <f>'Grid_Requirement'!CQ16</f>
        <v/>
      </c>
      <c r="CT152">
        <f>'Grid_Requirement'!CR16</f>
        <v/>
      </c>
      <c r="CU152">
        <f>'Grid_Requirement'!CS16</f>
        <v/>
      </c>
      <c r="CV152">
        <f>'Grid_Requirement'!CT16</f>
        <v/>
      </c>
      <c r="CW152">
        <f>'Grid_Requirement'!CU16</f>
        <v/>
      </c>
      <c r="CX152">
        <f>'Grid_Requirement'!CV16</f>
        <v/>
      </c>
      <c r="CY152">
        <f>'Grid_Requirement'!CW16</f>
        <v/>
      </c>
      <c r="CZ152">
        <f>'Grid_Requirement'!CX16</f>
        <v/>
      </c>
      <c r="DA152">
        <f>'Grid_Requirement'!CY16</f>
        <v/>
      </c>
      <c r="DB152">
        <f>'Grid_Requirement'!CZ16</f>
        <v/>
      </c>
      <c r="DC152">
        <f>'Grid_Requirement'!DA16</f>
        <v/>
      </c>
    </row>
    <row r="153">
      <c r="B153" t="inlineStr">
        <is>
          <t>TTAF在庫(実績,kg)</t>
        </is>
      </c>
      <c r="D153">
        <f>'T_TTAFStock'!B20</f>
        <v/>
      </c>
      <c r="E153">
        <f>'T_TTAFStock'!C20</f>
        <v/>
      </c>
      <c r="F153">
        <f>'T_TTAFStock'!D20</f>
        <v/>
      </c>
      <c r="G153">
        <f>'T_TTAFStock'!E20</f>
        <v/>
      </c>
      <c r="H153">
        <f>'T_TTAFStock'!F20</f>
        <v/>
      </c>
      <c r="I153">
        <f>'T_TTAFStock'!G20</f>
        <v/>
      </c>
      <c r="J153">
        <f>'T_TTAFStock'!H20</f>
        <v/>
      </c>
      <c r="K153">
        <f>'T_TTAFStock'!I20</f>
        <v/>
      </c>
      <c r="L153">
        <f>'T_TTAFStock'!J20</f>
        <v/>
      </c>
      <c r="M153">
        <f>'T_TTAFStock'!K20</f>
        <v/>
      </c>
      <c r="N153">
        <f>'T_TTAFStock'!L20</f>
        <v/>
      </c>
      <c r="O153">
        <f>'T_TTAFStock'!M20</f>
        <v/>
      </c>
      <c r="P153">
        <f>'T_TTAFStock'!N20</f>
        <v/>
      </c>
      <c r="Q153">
        <f>'T_TTAFStock'!O20</f>
        <v/>
      </c>
      <c r="R153">
        <f>'T_TTAFStock'!P20</f>
        <v/>
      </c>
      <c r="S153">
        <f>'T_TTAFStock'!Q20</f>
        <v/>
      </c>
      <c r="T153">
        <f>'T_TTAFStock'!R20</f>
        <v/>
      </c>
      <c r="U153">
        <f>'T_TTAFStock'!S20</f>
        <v/>
      </c>
      <c r="V153">
        <f>'T_TTAFStock'!T20</f>
        <v/>
      </c>
      <c r="W153">
        <f>'T_TTAFStock'!U20</f>
        <v/>
      </c>
      <c r="X153">
        <f>'T_TTAFStock'!V20</f>
        <v/>
      </c>
      <c r="Y153">
        <f>'T_TTAFStock'!W20</f>
        <v/>
      </c>
      <c r="Z153">
        <f>'T_TTAFStock'!X20</f>
        <v/>
      </c>
      <c r="AA153">
        <f>'T_TTAFStock'!Y20</f>
        <v/>
      </c>
      <c r="AB153">
        <f>'T_TTAFStock'!Z20</f>
        <v/>
      </c>
      <c r="AC153">
        <f>'T_TTAFStock'!AA20</f>
        <v/>
      </c>
      <c r="AD153">
        <f>'T_TTAFStock'!AB20</f>
        <v/>
      </c>
      <c r="AE153">
        <f>'T_TTAFStock'!AC20</f>
        <v/>
      </c>
      <c r="AF153">
        <f>'T_TTAFStock'!AD20</f>
        <v/>
      </c>
      <c r="AG153">
        <f>'T_TTAFStock'!AE20</f>
        <v/>
      </c>
      <c r="AH153">
        <f>'T_TTAFStock'!AF20</f>
        <v/>
      </c>
      <c r="AI153">
        <f>'T_TTAFStock'!AG20</f>
        <v/>
      </c>
      <c r="AJ153">
        <f>'T_TTAFStock'!AH20</f>
        <v/>
      </c>
      <c r="AK153">
        <f>'T_TTAFStock'!AI20</f>
        <v/>
      </c>
      <c r="AL153">
        <f>'T_TTAFStock'!AJ20</f>
        <v/>
      </c>
      <c r="AM153">
        <f>'T_TTAFStock'!AK20</f>
        <v/>
      </c>
      <c r="AN153">
        <f>'T_TTAFStock'!AL20</f>
        <v/>
      </c>
      <c r="AO153">
        <f>'T_TTAFStock'!AM20</f>
        <v/>
      </c>
      <c r="AP153">
        <f>'T_TTAFStock'!AN20</f>
        <v/>
      </c>
      <c r="AQ153">
        <f>'T_TTAFStock'!AO20</f>
        <v/>
      </c>
      <c r="AR153">
        <f>'T_TTAFStock'!AP20</f>
        <v/>
      </c>
      <c r="AS153">
        <f>'T_TTAFStock'!AQ20</f>
        <v/>
      </c>
      <c r="AT153">
        <f>'T_TTAFStock'!AR20</f>
        <v/>
      </c>
      <c r="AU153">
        <f>'T_TTAFStock'!AS20</f>
        <v/>
      </c>
      <c r="AV153">
        <f>'T_TTAFStock'!AT20</f>
        <v/>
      </c>
      <c r="AW153">
        <f>'T_TTAFStock'!AU20</f>
        <v/>
      </c>
      <c r="AX153">
        <f>'T_TTAFStock'!AV20</f>
        <v/>
      </c>
      <c r="AY153">
        <f>'T_TTAFStock'!AW20</f>
        <v/>
      </c>
      <c r="AZ153">
        <f>'T_TTAFStock'!AX20</f>
        <v/>
      </c>
      <c r="BA153">
        <f>'T_TTAFStock'!AY20</f>
        <v/>
      </c>
      <c r="BB153">
        <f>'T_TTAFStock'!AZ20</f>
        <v/>
      </c>
      <c r="BC153">
        <f>'T_TTAFStock'!BA20</f>
        <v/>
      </c>
      <c r="BD153">
        <f>'T_TTAFStock'!BB20</f>
        <v/>
      </c>
      <c r="BE153">
        <f>'T_TTAFStock'!BC20</f>
        <v/>
      </c>
      <c r="BF153">
        <f>'T_TTAFStock'!BD20</f>
        <v/>
      </c>
      <c r="BG153">
        <f>'T_TTAFStock'!BE20</f>
        <v/>
      </c>
      <c r="BH153">
        <f>'T_TTAFStock'!BF20</f>
        <v/>
      </c>
      <c r="BI153">
        <f>'T_TTAFStock'!BG20</f>
        <v/>
      </c>
      <c r="BJ153">
        <f>'T_TTAFStock'!BH20</f>
        <v/>
      </c>
      <c r="BK153">
        <f>'T_TTAFStock'!BI20</f>
        <v/>
      </c>
      <c r="BL153">
        <f>'T_TTAFStock'!BJ20</f>
        <v/>
      </c>
      <c r="BM153">
        <f>'T_TTAFStock'!BK20</f>
        <v/>
      </c>
      <c r="BN153">
        <f>'T_TTAFStock'!BL20</f>
        <v/>
      </c>
      <c r="BO153">
        <f>'T_TTAFStock'!BM20</f>
        <v/>
      </c>
      <c r="BP153">
        <f>'T_TTAFStock'!BN20</f>
        <v/>
      </c>
      <c r="BQ153">
        <f>'T_TTAFStock'!BO20</f>
        <v/>
      </c>
      <c r="BR153">
        <f>'T_TTAFStock'!BP20</f>
        <v/>
      </c>
      <c r="BS153">
        <f>'T_TTAFStock'!BQ20</f>
        <v/>
      </c>
      <c r="BT153">
        <f>'T_TTAFStock'!BR20</f>
        <v/>
      </c>
      <c r="BU153">
        <f>'T_TTAFStock'!BS20</f>
        <v/>
      </c>
      <c r="BV153">
        <f>'T_TTAFStock'!BT20</f>
        <v/>
      </c>
      <c r="BW153">
        <f>'T_TTAFStock'!BU20</f>
        <v/>
      </c>
      <c r="BX153">
        <f>'T_TTAFStock'!BV20</f>
        <v/>
      </c>
      <c r="BY153">
        <f>'T_TTAFStock'!BW20</f>
        <v/>
      </c>
      <c r="BZ153">
        <f>'T_TTAFStock'!BX20</f>
        <v/>
      </c>
      <c r="CA153">
        <f>'T_TTAFStock'!BY20</f>
        <v/>
      </c>
      <c r="CB153">
        <f>'T_TTAFStock'!BZ20</f>
        <v/>
      </c>
      <c r="CC153">
        <f>'T_TTAFStock'!CA20</f>
        <v/>
      </c>
      <c r="CD153">
        <f>'T_TTAFStock'!CB20</f>
        <v/>
      </c>
      <c r="CE153">
        <f>'T_TTAFStock'!CC20</f>
        <v/>
      </c>
      <c r="CF153">
        <f>'T_TTAFStock'!CD20</f>
        <v/>
      </c>
      <c r="CG153">
        <f>'T_TTAFStock'!CE20</f>
        <v/>
      </c>
      <c r="CH153">
        <f>'T_TTAFStock'!CF20</f>
        <v/>
      </c>
      <c r="CI153">
        <f>'T_TTAFStock'!CG20</f>
        <v/>
      </c>
      <c r="CJ153">
        <f>'T_TTAFStock'!CH20</f>
        <v/>
      </c>
      <c r="CK153">
        <f>'T_TTAFStock'!CI20</f>
        <v/>
      </c>
      <c r="CL153">
        <f>'T_TTAFStock'!CJ20</f>
        <v/>
      </c>
      <c r="CM153">
        <f>'T_TTAFStock'!CK20</f>
        <v/>
      </c>
      <c r="CN153">
        <f>'T_TTAFStock'!CL20</f>
        <v/>
      </c>
      <c r="CO153">
        <f>'T_TTAFStock'!CM20</f>
        <v/>
      </c>
      <c r="CP153">
        <f>'T_TTAFStock'!CN20</f>
        <v/>
      </c>
      <c r="CQ153">
        <f>'T_TTAFStock'!CO20</f>
        <v/>
      </c>
      <c r="CR153">
        <f>'T_TTAFStock'!CP20</f>
        <v/>
      </c>
      <c r="CS153">
        <f>'T_TTAFStock'!CQ20</f>
        <v/>
      </c>
      <c r="CT153">
        <f>'T_TTAFStock'!CR20</f>
        <v/>
      </c>
      <c r="CU153">
        <f>'T_TTAFStock'!CS20</f>
        <v/>
      </c>
      <c r="CV153">
        <f>'T_TTAFStock'!CT20</f>
        <v/>
      </c>
      <c r="CW153">
        <f>'T_TTAFStock'!CU20</f>
        <v/>
      </c>
      <c r="CX153">
        <f>'T_TTAFStock'!CV20</f>
        <v/>
      </c>
      <c r="CY153">
        <f>'T_TTAFStock'!CW20</f>
        <v/>
      </c>
      <c r="CZ153">
        <f>'T_TTAFStock'!CX20</f>
        <v/>
      </c>
      <c r="DA153">
        <f>'T_TTAFStock'!CY20</f>
        <v/>
      </c>
      <c r="DB153">
        <f>'T_TTAFStock'!CZ20</f>
        <v/>
      </c>
      <c r="DC153">
        <f>'T_TTAFStock'!DA20</f>
        <v/>
      </c>
    </row>
    <row r="154">
      <c r="B154" t="inlineStr">
        <is>
          <t>自社在庫(実績,kg)</t>
        </is>
      </c>
      <c r="D154">
        <f>'T_SelfStock'!B20</f>
        <v/>
      </c>
      <c r="E154">
        <f>'T_SelfStock'!C20</f>
        <v/>
      </c>
      <c r="F154">
        <f>'T_SelfStock'!D20</f>
        <v/>
      </c>
      <c r="G154">
        <f>'T_SelfStock'!E20</f>
        <v/>
      </c>
      <c r="H154">
        <f>'T_SelfStock'!F20</f>
        <v/>
      </c>
      <c r="I154">
        <f>'T_SelfStock'!G20</f>
        <v/>
      </c>
      <c r="J154">
        <f>'T_SelfStock'!H20</f>
        <v/>
      </c>
      <c r="K154">
        <f>'T_SelfStock'!I20</f>
        <v/>
      </c>
      <c r="L154">
        <f>'T_SelfStock'!J20</f>
        <v/>
      </c>
      <c r="M154">
        <f>'T_SelfStock'!K20</f>
        <v/>
      </c>
      <c r="N154">
        <f>'T_SelfStock'!L20</f>
        <v/>
      </c>
      <c r="O154">
        <f>'T_SelfStock'!M20</f>
        <v/>
      </c>
      <c r="P154">
        <f>'T_SelfStock'!N20</f>
        <v/>
      </c>
      <c r="Q154">
        <f>'T_SelfStock'!O20</f>
        <v/>
      </c>
      <c r="R154">
        <f>'T_SelfStock'!P20</f>
        <v/>
      </c>
      <c r="S154">
        <f>'T_SelfStock'!Q20</f>
        <v/>
      </c>
      <c r="T154">
        <f>'T_SelfStock'!R20</f>
        <v/>
      </c>
      <c r="U154">
        <f>'T_SelfStock'!S20</f>
        <v/>
      </c>
      <c r="V154">
        <f>'T_SelfStock'!T20</f>
        <v/>
      </c>
      <c r="W154">
        <f>'T_SelfStock'!U20</f>
        <v/>
      </c>
      <c r="X154">
        <f>'T_SelfStock'!V20</f>
        <v/>
      </c>
      <c r="Y154">
        <f>'T_SelfStock'!W20</f>
        <v/>
      </c>
      <c r="Z154">
        <f>'T_SelfStock'!X20</f>
        <v/>
      </c>
      <c r="AA154">
        <f>'T_SelfStock'!Y20</f>
        <v/>
      </c>
      <c r="AB154">
        <f>'T_SelfStock'!Z20</f>
        <v/>
      </c>
      <c r="AC154">
        <f>'T_SelfStock'!AA20</f>
        <v/>
      </c>
      <c r="AD154">
        <f>'T_SelfStock'!AB20</f>
        <v/>
      </c>
      <c r="AE154">
        <f>'T_SelfStock'!AC20</f>
        <v/>
      </c>
      <c r="AF154">
        <f>'T_SelfStock'!AD20</f>
        <v/>
      </c>
      <c r="AG154">
        <f>'T_SelfStock'!AE20</f>
        <v/>
      </c>
      <c r="AH154">
        <f>'T_SelfStock'!AF20</f>
        <v/>
      </c>
      <c r="AI154">
        <f>'T_SelfStock'!AG20</f>
        <v/>
      </c>
      <c r="AJ154">
        <f>'T_SelfStock'!AH20</f>
        <v/>
      </c>
      <c r="AK154">
        <f>'T_SelfStock'!AI20</f>
        <v/>
      </c>
      <c r="AL154">
        <f>'T_SelfStock'!AJ20</f>
        <v/>
      </c>
      <c r="AM154">
        <f>'T_SelfStock'!AK20</f>
        <v/>
      </c>
      <c r="AN154">
        <f>'T_SelfStock'!AL20</f>
        <v/>
      </c>
      <c r="AO154">
        <f>'T_SelfStock'!AM20</f>
        <v/>
      </c>
      <c r="AP154">
        <f>'T_SelfStock'!AN20</f>
        <v/>
      </c>
      <c r="AQ154">
        <f>'T_SelfStock'!AO20</f>
        <v/>
      </c>
      <c r="AR154">
        <f>'T_SelfStock'!AP20</f>
        <v/>
      </c>
      <c r="AS154">
        <f>'T_SelfStock'!AQ20</f>
        <v/>
      </c>
      <c r="AT154">
        <f>'T_SelfStock'!AR20</f>
        <v/>
      </c>
      <c r="AU154">
        <f>'T_SelfStock'!AS20</f>
        <v/>
      </c>
      <c r="AV154">
        <f>'T_SelfStock'!AT20</f>
        <v/>
      </c>
      <c r="AW154">
        <f>'T_SelfStock'!AU20</f>
        <v/>
      </c>
      <c r="AX154">
        <f>'T_SelfStock'!AV20</f>
        <v/>
      </c>
      <c r="AY154">
        <f>'T_SelfStock'!AW20</f>
        <v/>
      </c>
      <c r="AZ154">
        <f>'T_SelfStock'!AX20</f>
        <v/>
      </c>
      <c r="BA154">
        <f>'T_SelfStock'!AY20</f>
        <v/>
      </c>
      <c r="BB154">
        <f>'T_SelfStock'!AZ20</f>
        <v/>
      </c>
      <c r="BC154">
        <f>'T_SelfStock'!BA20</f>
        <v/>
      </c>
      <c r="BD154">
        <f>'T_SelfStock'!BB20</f>
        <v/>
      </c>
      <c r="BE154">
        <f>'T_SelfStock'!BC20</f>
        <v/>
      </c>
      <c r="BF154">
        <f>'T_SelfStock'!BD20</f>
        <v/>
      </c>
      <c r="BG154">
        <f>'T_SelfStock'!BE20</f>
        <v/>
      </c>
      <c r="BH154">
        <f>'T_SelfStock'!BF20</f>
        <v/>
      </c>
      <c r="BI154">
        <f>'T_SelfStock'!BG20</f>
        <v/>
      </c>
      <c r="BJ154">
        <f>'T_SelfStock'!BH20</f>
        <v/>
      </c>
      <c r="BK154">
        <f>'T_SelfStock'!BI20</f>
        <v/>
      </c>
      <c r="BL154">
        <f>'T_SelfStock'!BJ20</f>
        <v/>
      </c>
      <c r="BM154">
        <f>'T_SelfStock'!BK20</f>
        <v/>
      </c>
      <c r="BN154">
        <f>'T_SelfStock'!BL20</f>
        <v/>
      </c>
      <c r="BO154">
        <f>'T_SelfStock'!BM20</f>
        <v/>
      </c>
      <c r="BP154">
        <f>'T_SelfStock'!BN20</f>
        <v/>
      </c>
      <c r="BQ154">
        <f>'T_SelfStock'!BO20</f>
        <v/>
      </c>
      <c r="BR154">
        <f>'T_SelfStock'!BP20</f>
        <v/>
      </c>
      <c r="BS154">
        <f>'T_SelfStock'!BQ20</f>
        <v/>
      </c>
      <c r="BT154">
        <f>'T_SelfStock'!BR20</f>
        <v/>
      </c>
      <c r="BU154">
        <f>'T_SelfStock'!BS20</f>
        <v/>
      </c>
      <c r="BV154">
        <f>'T_SelfStock'!BT20</f>
        <v/>
      </c>
      <c r="BW154">
        <f>'T_SelfStock'!BU20</f>
        <v/>
      </c>
      <c r="BX154">
        <f>'T_SelfStock'!BV20</f>
        <v/>
      </c>
      <c r="BY154">
        <f>'T_SelfStock'!BW20</f>
        <v/>
      </c>
      <c r="BZ154">
        <f>'T_SelfStock'!BX20</f>
        <v/>
      </c>
      <c r="CA154">
        <f>'T_SelfStock'!BY20</f>
        <v/>
      </c>
      <c r="CB154">
        <f>'T_SelfStock'!BZ20</f>
        <v/>
      </c>
      <c r="CC154">
        <f>'T_SelfStock'!CA20</f>
        <v/>
      </c>
      <c r="CD154">
        <f>'T_SelfStock'!CB20</f>
        <v/>
      </c>
      <c r="CE154">
        <f>'T_SelfStock'!CC20</f>
        <v/>
      </c>
      <c r="CF154">
        <f>'T_SelfStock'!CD20</f>
        <v/>
      </c>
      <c r="CG154">
        <f>'T_SelfStock'!CE20</f>
        <v/>
      </c>
      <c r="CH154">
        <f>'T_SelfStock'!CF20</f>
        <v/>
      </c>
      <c r="CI154">
        <f>'T_SelfStock'!CG20</f>
        <v/>
      </c>
      <c r="CJ154">
        <f>'T_SelfStock'!CH20</f>
        <v/>
      </c>
      <c r="CK154">
        <f>'T_SelfStock'!CI20</f>
        <v/>
      </c>
      <c r="CL154">
        <f>'T_SelfStock'!CJ20</f>
        <v/>
      </c>
      <c r="CM154">
        <f>'T_SelfStock'!CK20</f>
        <v/>
      </c>
      <c r="CN154">
        <f>'T_SelfStock'!CL20</f>
        <v/>
      </c>
      <c r="CO154">
        <f>'T_SelfStock'!CM20</f>
        <v/>
      </c>
      <c r="CP154">
        <f>'T_SelfStock'!CN20</f>
        <v/>
      </c>
      <c r="CQ154">
        <f>'T_SelfStock'!CO20</f>
        <v/>
      </c>
      <c r="CR154">
        <f>'T_SelfStock'!CP20</f>
        <v/>
      </c>
      <c r="CS154">
        <f>'T_SelfStock'!CQ20</f>
        <v/>
      </c>
      <c r="CT154">
        <f>'T_SelfStock'!CR20</f>
        <v/>
      </c>
      <c r="CU154">
        <f>'T_SelfStock'!CS20</f>
        <v/>
      </c>
      <c r="CV154">
        <f>'T_SelfStock'!CT20</f>
        <v/>
      </c>
      <c r="CW154">
        <f>'T_SelfStock'!CU20</f>
        <v/>
      </c>
      <c r="CX154">
        <f>'T_SelfStock'!CV20</f>
        <v/>
      </c>
      <c r="CY154">
        <f>'T_SelfStock'!CW20</f>
        <v/>
      </c>
      <c r="CZ154">
        <f>'T_SelfStock'!CX20</f>
        <v/>
      </c>
      <c r="DA154">
        <f>'T_SelfStock'!CY20</f>
        <v/>
      </c>
      <c r="DB154">
        <f>'T_SelfStock'!CZ20</f>
        <v/>
      </c>
      <c r="DC154">
        <f>'T_SelfStock'!DA20</f>
        <v/>
      </c>
    </row>
    <row r="155">
      <c r="B155" t="inlineStr">
        <is>
          <t>Order(発注予定,kg)</t>
        </is>
      </c>
      <c r="D155">
        <f>IF(SUMIFS(T_PlannedOrders[EffectiveQty],T_PlannedOrders[Part Name],$A145,T_PlannedOrders[WeekIndex],1)=0,"",SUMIFS(T_PlannedOrders[EffectiveQty],T_PlannedOrders[Part Name],$A145,T_PlannedOrders[WeekIndex],1)&amp;" ("&amp;TEXT(SUMPRODUCT(MAX((T_PlannedOrders[Part Name]=$A145)*(T_PlannedOrders[WeekIndex]=1)*(T_PlannedOrders[EffectiveQty]&gt;0)*T_PlannedOrders[Order_Month])),"m月")&amp;"発注)")</f>
        <v/>
      </c>
      <c r="E155">
        <f>IF(SUMIFS(T_PlannedOrders[EffectiveQty],T_PlannedOrders[Part Name],$A145,T_PlannedOrders[WeekIndex],2)=0,"",SUMIFS(T_PlannedOrders[EffectiveQty],T_PlannedOrders[Part Name],$A145,T_PlannedOrders[WeekIndex],2)&amp;" ("&amp;TEXT(SUMPRODUCT(MAX((T_PlannedOrders[Part Name]=$A145)*(T_PlannedOrders[WeekIndex]=2)*(T_PlannedOrders[EffectiveQty]&gt;0)*T_PlannedOrders[Order_Month])),"m月")&amp;"発注)")</f>
        <v/>
      </c>
      <c r="F155">
        <f>IF(SUMIFS(T_PlannedOrders[EffectiveQty],T_PlannedOrders[Part Name],$A145,T_PlannedOrders[WeekIndex],3)=0,"",SUMIFS(T_PlannedOrders[EffectiveQty],T_PlannedOrders[Part Name],$A145,T_PlannedOrders[WeekIndex],3)&amp;" ("&amp;TEXT(SUMPRODUCT(MAX((T_PlannedOrders[Part Name]=$A145)*(T_PlannedOrders[WeekIndex]=3)*(T_PlannedOrders[EffectiveQty]&gt;0)*T_PlannedOrders[Order_Month])),"m月")&amp;"発注)")</f>
        <v/>
      </c>
      <c r="G155">
        <f>IF(SUMIFS(T_PlannedOrders[EffectiveQty],T_PlannedOrders[Part Name],$A145,T_PlannedOrders[WeekIndex],4)=0,"",SUMIFS(T_PlannedOrders[EffectiveQty],T_PlannedOrders[Part Name],$A145,T_PlannedOrders[WeekIndex],4)&amp;" ("&amp;TEXT(SUMPRODUCT(MAX((T_PlannedOrders[Part Name]=$A145)*(T_PlannedOrders[WeekIndex]=4)*(T_PlannedOrders[EffectiveQty]&gt;0)*T_PlannedOrders[Order_Month])),"m月")&amp;"発注)")</f>
        <v/>
      </c>
      <c r="H155">
        <f>IF(SUMIFS(T_PlannedOrders[EffectiveQty],T_PlannedOrders[Part Name],$A145,T_PlannedOrders[WeekIndex],5)=0,"",SUMIFS(T_PlannedOrders[EffectiveQty],T_PlannedOrders[Part Name],$A145,T_PlannedOrders[WeekIndex],5)&amp;" ("&amp;TEXT(SUMPRODUCT(MAX((T_PlannedOrders[Part Name]=$A145)*(T_PlannedOrders[WeekIndex]=5)*(T_PlannedOrders[EffectiveQty]&gt;0)*T_PlannedOrders[Order_Month])),"m月")&amp;"発注)")</f>
        <v/>
      </c>
      <c r="I155">
        <f>IF(SUMIFS(T_PlannedOrders[EffectiveQty],T_PlannedOrders[Part Name],$A145,T_PlannedOrders[WeekIndex],6)=0,"",SUMIFS(T_PlannedOrders[EffectiveQty],T_PlannedOrders[Part Name],$A145,T_PlannedOrders[WeekIndex],6)&amp;" ("&amp;TEXT(SUMPRODUCT(MAX((T_PlannedOrders[Part Name]=$A145)*(T_PlannedOrders[WeekIndex]=6)*(T_PlannedOrders[EffectiveQty]&gt;0)*T_PlannedOrders[Order_Month])),"m月")&amp;"発注)")</f>
        <v/>
      </c>
      <c r="J155">
        <f>IF(SUMIFS(T_PlannedOrders[EffectiveQty],T_PlannedOrders[Part Name],$A145,T_PlannedOrders[WeekIndex],7)=0,"",SUMIFS(T_PlannedOrders[EffectiveQty],T_PlannedOrders[Part Name],$A145,T_PlannedOrders[WeekIndex],7)&amp;" ("&amp;TEXT(SUMPRODUCT(MAX((T_PlannedOrders[Part Name]=$A145)*(T_PlannedOrders[WeekIndex]=7)*(T_PlannedOrders[EffectiveQty]&gt;0)*T_PlannedOrders[Order_Month])),"m月")&amp;"発注)")</f>
        <v/>
      </c>
      <c r="K155">
        <f>IF(SUMIFS(T_PlannedOrders[EffectiveQty],T_PlannedOrders[Part Name],$A145,T_PlannedOrders[WeekIndex],8)=0,"",SUMIFS(T_PlannedOrders[EffectiveQty],T_PlannedOrders[Part Name],$A145,T_PlannedOrders[WeekIndex],8)&amp;" ("&amp;TEXT(SUMPRODUCT(MAX((T_PlannedOrders[Part Name]=$A145)*(T_PlannedOrders[WeekIndex]=8)*(T_PlannedOrders[EffectiveQty]&gt;0)*T_PlannedOrders[Order_Month])),"m月")&amp;"発注)")</f>
        <v/>
      </c>
      <c r="L155">
        <f>IF(SUMIFS(T_PlannedOrders[EffectiveQty],T_PlannedOrders[Part Name],$A145,T_PlannedOrders[WeekIndex],9)=0,"",SUMIFS(T_PlannedOrders[EffectiveQty],T_PlannedOrders[Part Name],$A145,T_PlannedOrders[WeekIndex],9)&amp;" ("&amp;TEXT(SUMPRODUCT(MAX((T_PlannedOrders[Part Name]=$A145)*(T_PlannedOrders[WeekIndex]=9)*(T_PlannedOrders[EffectiveQty]&gt;0)*T_PlannedOrders[Order_Month])),"m月")&amp;"発注)")</f>
        <v/>
      </c>
      <c r="M155">
        <f>IF(SUMIFS(T_PlannedOrders[EffectiveQty],T_PlannedOrders[Part Name],$A145,T_PlannedOrders[WeekIndex],10)=0,"",SUMIFS(T_PlannedOrders[EffectiveQty],T_PlannedOrders[Part Name],$A145,T_PlannedOrders[WeekIndex],10)&amp;" ("&amp;TEXT(SUMPRODUCT(MAX((T_PlannedOrders[Part Name]=$A145)*(T_PlannedOrders[WeekIndex]=10)*(T_PlannedOrders[EffectiveQty]&gt;0)*T_PlannedOrders[Order_Month])),"m月")&amp;"発注)")</f>
        <v/>
      </c>
      <c r="N155">
        <f>IF(SUMIFS(T_PlannedOrders[EffectiveQty],T_PlannedOrders[Part Name],$A145,T_PlannedOrders[WeekIndex],11)=0,"",SUMIFS(T_PlannedOrders[EffectiveQty],T_PlannedOrders[Part Name],$A145,T_PlannedOrders[WeekIndex],11)&amp;" ("&amp;TEXT(SUMPRODUCT(MAX((T_PlannedOrders[Part Name]=$A145)*(T_PlannedOrders[WeekIndex]=11)*(T_PlannedOrders[EffectiveQty]&gt;0)*T_PlannedOrders[Order_Month])),"m月")&amp;"発注)")</f>
        <v/>
      </c>
      <c r="O155">
        <f>IF(SUMIFS(T_PlannedOrders[EffectiveQty],T_PlannedOrders[Part Name],$A145,T_PlannedOrders[WeekIndex],12)=0,"",SUMIFS(T_PlannedOrders[EffectiveQty],T_PlannedOrders[Part Name],$A145,T_PlannedOrders[WeekIndex],12)&amp;" ("&amp;TEXT(SUMPRODUCT(MAX((T_PlannedOrders[Part Name]=$A145)*(T_PlannedOrders[WeekIndex]=12)*(T_PlannedOrders[EffectiveQty]&gt;0)*T_PlannedOrders[Order_Month])),"m月")&amp;"発注)")</f>
        <v/>
      </c>
      <c r="P155">
        <f>IF(SUMIFS(T_PlannedOrders[EffectiveQty],T_PlannedOrders[Part Name],$A145,T_PlannedOrders[WeekIndex],13)=0,"",SUMIFS(T_PlannedOrders[EffectiveQty],T_PlannedOrders[Part Name],$A145,T_PlannedOrders[WeekIndex],13)&amp;" ("&amp;TEXT(SUMPRODUCT(MAX((T_PlannedOrders[Part Name]=$A145)*(T_PlannedOrders[WeekIndex]=13)*(T_PlannedOrders[EffectiveQty]&gt;0)*T_PlannedOrders[Order_Month])),"m月")&amp;"発注)")</f>
        <v/>
      </c>
      <c r="Q155">
        <f>IF(SUMIFS(T_PlannedOrders[EffectiveQty],T_PlannedOrders[Part Name],$A145,T_PlannedOrders[WeekIndex],14)=0,"",SUMIFS(T_PlannedOrders[EffectiveQty],T_PlannedOrders[Part Name],$A145,T_PlannedOrders[WeekIndex],14)&amp;" ("&amp;TEXT(SUMPRODUCT(MAX((T_PlannedOrders[Part Name]=$A145)*(T_PlannedOrders[WeekIndex]=14)*(T_PlannedOrders[EffectiveQty]&gt;0)*T_PlannedOrders[Order_Month])),"m月")&amp;"発注)")</f>
        <v/>
      </c>
      <c r="R155">
        <f>IF(SUMIFS(T_PlannedOrders[EffectiveQty],T_PlannedOrders[Part Name],$A145,T_PlannedOrders[WeekIndex],15)=0,"",SUMIFS(T_PlannedOrders[EffectiveQty],T_PlannedOrders[Part Name],$A145,T_PlannedOrders[WeekIndex],15)&amp;" ("&amp;TEXT(SUMPRODUCT(MAX((T_PlannedOrders[Part Name]=$A145)*(T_PlannedOrders[WeekIndex]=15)*(T_PlannedOrders[EffectiveQty]&gt;0)*T_PlannedOrders[Order_Month])),"m月")&amp;"発注)")</f>
        <v/>
      </c>
      <c r="S155">
        <f>IF(SUMIFS(T_PlannedOrders[EffectiveQty],T_PlannedOrders[Part Name],$A145,T_PlannedOrders[WeekIndex],16)=0,"",SUMIFS(T_PlannedOrders[EffectiveQty],T_PlannedOrders[Part Name],$A145,T_PlannedOrders[WeekIndex],16)&amp;" ("&amp;TEXT(SUMPRODUCT(MAX((T_PlannedOrders[Part Name]=$A145)*(T_PlannedOrders[WeekIndex]=16)*(T_PlannedOrders[EffectiveQty]&gt;0)*T_PlannedOrders[Order_Month])),"m月")&amp;"発注)")</f>
        <v/>
      </c>
      <c r="T155">
        <f>IF(SUMIFS(T_PlannedOrders[EffectiveQty],T_PlannedOrders[Part Name],$A145,T_PlannedOrders[WeekIndex],17)=0,"",SUMIFS(T_PlannedOrders[EffectiveQty],T_PlannedOrders[Part Name],$A145,T_PlannedOrders[WeekIndex],17)&amp;" ("&amp;TEXT(SUMPRODUCT(MAX((T_PlannedOrders[Part Name]=$A145)*(T_PlannedOrders[WeekIndex]=17)*(T_PlannedOrders[EffectiveQty]&gt;0)*T_PlannedOrders[Order_Month])),"m月")&amp;"発注)")</f>
        <v/>
      </c>
      <c r="U155">
        <f>IF(SUMIFS(T_PlannedOrders[EffectiveQty],T_PlannedOrders[Part Name],$A145,T_PlannedOrders[WeekIndex],18)=0,"",SUMIFS(T_PlannedOrders[EffectiveQty],T_PlannedOrders[Part Name],$A145,T_PlannedOrders[WeekIndex],18)&amp;" ("&amp;TEXT(SUMPRODUCT(MAX((T_PlannedOrders[Part Name]=$A145)*(T_PlannedOrders[WeekIndex]=18)*(T_PlannedOrders[EffectiveQty]&gt;0)*T_PlannedOrders[Order_Month])),"m月")&amp;"発注)")</f>
        <v/>
      </c>
      <c r="V155">
        <f>IF(SUMIFS(T_PlannedOrders[EffectiveQty],T_PlannedOrders[Part Name],$A145,T_PlannedOrders[WeekIndex],19)=0,"",SUMIFS(T_PlannedOrders[EffectiveQty],T_PlannedOrders[Part Name],$A145,T_PlannedOrders[WeekIndex],19)&amp;" ("&amp;TEXT(SUMPRODUCT(MAX((T_PlannedOrders[Part Name]=$A145)*(T_PlannedOrders[WeekIndex]=19)*(T_PlannedOrders[EffectiveQty]&gt;0)*T_PlannedOrders[Order_Month])),"m月")&amp;"発注)")</f>
        <v/>
      </c>
      <c r="W155">
        <f>IF(SUMIFS(T_PlannedOrders[EffectiveQty],T_PlannedOrders[Part Name],$A145,T_PlannedOrders[WeekIndex],20)=0,"",SUMIFS(T_PlannedOrders[EffectiveQty],T_PlannedOrders[Part Name],$A145,T_PlannedOrders[WeekIndex],20)&amp;" ("&amp;TEXT(SUMPRODUCT(MAX((T_PlannedOrders[Part Name]=$A145)*(T_PlannedOrders[WeekIndex]=20)*(T_PlannedOrders[EffectiveQty]&gt;0)*T_PlannedOrders[Order_Month])),"m月")&amp;"発注)")</f>
        <v/>
      </c>
      <c r="X155">
        <f>IF(SUMIFS(T_PlannedOrders[EffectiveQty],T_PlannedOrders[Part Name],$A145,T_PlannedOrders[WeekIndex],21)=0,"",SUMIFS(T_PlannedOrders[EffectiveQty],T_PlannedOrders[Part Name],$A145,T_PlannedOrders[WeekIndex],21)&amp;" ("&amp;TEXT(SUMPRODUCT(MAX((T_PlannedOrders[Part Name]=$A145)*(T_PlannedOrders[WeekIndex]=21)*(T_PlannedOrders[EffectiveQty]&gt;0)*T_PlannedOrders[Order_Month])),"m月")&amp;"発注)")</f>
        <v/>
      </c>
      <c r="Y155">
        <f>IF(SUMIFS(T_PlannedOrders[EffectiveQty],T_PlannedOrders[Part Name],$A145,T_PlannedOrders[WeekIndex],22)=0,"",SUMIFS(T_PlannedOrders[EffectiveQty],T_PlannedOrders[Part Name],$A145,T_PlannedOrders[WeekIndex],22)&amp;" ("&amp;TEXT(SUMPRODUCT(MAX((T_PlannedOrders[Part Name]=$A145)*(T_PlannedOrders[WeekIndex]=22)*(T_PlannedOrders[EffectiveQty]&gt;0)*T_PlannedOrders[Order_Month])),"m月")&amp;"発注)")</f>
        <v/>
      </c>
      <c r="Z155">
        <f>IF(SUMIFS(T_PlannedOrders[EffectiveQty],T_PlannedOrders[Part Name],$A145,T_PlannedOrders[WeekIndex],23)=0,"",SUMIFS(T_PlannedOrders[EffectiveQty],T_PlannedOrders[Part Name],$A145,T_PlannedOrders[WeekIndex],23)&amp;" ("&amp;TEXT(SUMPRODUCT(MAX((T_PlannedOrders[Part Name]=$A145)*(T_PlannedOrders[WeekIndex]=23)*(T_PlannedOrders[EffectiveQty]&gt;0)*T_PlannedOrders[Order_Month])),"m月")&amp;"発注)")</f>
        <v/>
      </c>
      <c r="AA155">
        <f>IF(SUMIFS(T_PlannedOrders[EffectiveQty],T_PlannedOrders[Part Name],$A145,T_PlannedOrders[WeekIndex],24)=0,"",SUMIFS(T_PlannedOrders[EffectiveQty],T_PlannedOrders[Part Name],$A145,T_PlannedOrders[WeekIndex],24)&amp;" ("&amp;TEXT(SUMPRODUCT(MAX((T_PlannedOrders[Part Name]=$A145)*(T_PlannedOrders[WeekIndex]=24)*(T_PlannedOrders[EffectiveQty]&gt;0)*T_PlannedOrders[Order_Month])),"m月")&amp;"発注)")</f>
        <v/>
      </c>
      <c r="AB155">
        <f>IF(SUMIFS(T_PlannedOrders[EffectiveQty],T_PlannedOrders[Part Name],$A145,T_PlannedOrders[WeekIndex],25)=0,"",SUMIFS(T_PlannedOrders[EffectiveQty],T_PlannedOrders[Part Name],$A145,T_PlannedOrders[WeekIndex],25)&amp;" ("&amp;TEXT(SUMPRODUCT(MAX((T_PlannedOrders[Part Name]=$A145)*(T_PlannedOrders[WeekIndex]=25)*(T_PlannedOrders[EffectiveQty]&gt;0)*T_PlannedOrders[Order_Month])),"m月")&amp;"発注)")</f>
        <v/>
      </c>
      <c r="AC155">
        <f>IF(SUMIFS(T_PlannedOrders[EffectiveQty],T_PlannedOrders[Part Name],$A145,T_PlannedOrders[WeekIndex],26)=0,"",SUMIFS(T_PlannedOrders[EffectiveQty],T_PlannedOrders[Part Name],$A145,T_PlannedOrders[WeekIndex],26)&amp;" ("&amp;TEXT(SUMPRODUCT(MAX((T_PlannedOrders[Part Name]=$A145)*(T_PlannedOrders[WeekIndex]=26)*(T_PlannedOrders[EffectiveQty]&gt;0)*T_PlannedOrders[Order_Month])),"m月")&amp;"発注)")</f>
        <v/>
      </c>
      <c r="AD155">
        <f>IF(SUMIFS(T_PlannedOrders[EffectiveQty],T_PlannedOrders[Part Name],$A145,T_PlannedOrders[WeekIndex],27)=0,"",SUMIFS(T_PlannedOrders[EffectiveQty],T_PlannedOrders[Part Name],$A145,T_PlannedOrders[WeekIndex],27)&amp;" ("&amp;TEXT(SUMPRODUCT(MAX((T_PlannedOrders[Part Name]=$A145)*(T_PlannedOrders[WeekIndex]=27)*(T_PlannedOrders[EffectiveQty]&gt;0)*T_PlannedOrders[Order_Month])),"m月")&amp;"発注)")</f>
        <v/>
      </c>
      <c r="AE155">
        <f>IF(SUMIFS(T_PlannedOrders[EffectiveQty],T_PlannedOrders[Part Name],$A145,T_PlannedOrders[WeekIndex],28)=0,"",SUMIFS(T_PlannedOrders[EffectiveQty],T_PlannedOrders[Part Name],$A145,T_PlannedOrders[WeekIndex],28)&amp;" ("&amp;TEXT(SUMPRODUCT(MAX((T_PlannedOrders[Part Name]=$A145)*(T_PlannedOrders[WeekIndex]=28)*(T_PlannedOrders[EffectiveQty]&gt;0)*T_PlannedOrders[Order_Month])),"m月")&amp;"発注)")</f>
        <v/>
      </c>
      <c r="AF155">
        <f>IF(SUMIFS(T_PlannedOrders[EffectiveQty],T_PlannedOrders[Part Name],$A145,T_PlannedOrders[WeekIndex],29)=0,"",SUMIFS(T_PlannedOrders[EffectiveQty],T_PlannedOrders[Part Name],$A145,T_PlannedOrders[WeekIndex],29)&amp;" ("&amp;TEXT(SUMPRODUCT(MAX((T_PlannedOrders[Part Name]=$A145)*(T_PlannedOrders[WeekIndex]=29)*(T_PlannedOrders[EffectiveQty]&gt;0)*T_PlannedOrders[Order_Month])),"m月")&amp;"発注)")</f>
        <v/>
      </c>
      <c r="AG155">
        <f>IF(SUMIFS(T_PlannedOrders[EffectiveQty],T_PlannedOrders[Part Name],$A145,T_PlannedOrders[WeekIndex],30)=0,"",SUMIFS(T_PlannedOrders[EffectiveQty],T_PlannedOrders[Part Name],$A145,T_PlannedOrders[WeekIndex],30)&amp;" ("&amp;TEXT(SUMPRODUCT(MAX((T_PlannedOrders[Part Name]=$A145)*(T_PlannedOrders[WeekIndex]=30)*(T_PlannedOrders[EffectiveQty]&gt;0)*T_PlannedOrders[Order_Month])),"m月")&amp;"発注)")</f>
        <v/>
      </c>
      <c r="AH155">
        <f>IF(SUMIFS(T_PlannedOrders[EffectiveQty],T_PlannedOrders[Part Name],$A145,T_PlannedOrders[WeekIndex],31)=0,"",SUMIFS(T_PlannedOrders[EffectiveQty],T_PlannedOrders[Part Name],$A145,T_PlannedOrders[WeekIndex],31)&amp;" ("&amp;TEXT(SUMPRODUCT(MAX((T_PlannedOrders[Part Name]=$A145)*(T_PlannedOrders[WeekIndex]=31)*(T_PlannedOrders[EffectiveQty]&gt;0)*T_PlannedOrders[Order_Month])),"m月")&amp;"発注)")</f>
        <v/>
      </c>
      <c r="AI155">
        <f>IF(SUMIFS(T_PlannedOrders[EffectiveQty],T_PlannedOrders[Part Name],$A145,T_PlannedOrders[WeekIndex],32)=0,"",SUMIFS(T_PlannedOrders[EffectiveQty],T_PlannedOrders[Part Name],$A145,T_PlannedOrders[WeekIndex],32)&amp;" ("&amp;TEXT(SUMPRODUCT(MAX((T_PlannedOrders[Part Name]=$A145)*(T_PlannedOrders[WeekIndex]=32)*(T_PlannedOrders[EffectiveQty]&gt;0)*T_PlannedOrders[Order_Month])),"m月")&amp;"発注)")</f>
        <v/>
      </c>
      <c r="AJ155">
        <f>IF(SUMIFS(T_PlannedOrders[EffectiveQty],T_PlannedOrders[Part Name],$A145,T_PlannedOrders[WeekIndex],33)=0,"",SUMIFS(T_PlannedOrders[EffectiveQty],T_PlannedOrders[Part Name],$A145,T_PlannedOrders[WeekIndex],33)&amp;" ("&amp;TEXT(SUMPRODUCT(MAX((T_PlannedOrders[Part Name]=$A145)*(T_PlannedOrders[WeekIndex]=33)*(T_PlannedOrders[EffectiveQty]&gt;0)*T_PlannedOrders[Order_Month])),"m月")&amp;"発注)")</f>
        <v/>
      </c>
      <c r="AK155">
        <f>IF(SUMIFS(T_PlannedOrders[EffectiveQty],T_PlannedOrders[Part Name],$A145,T_PlannedOrders[WeekIndex],34)=0,"",SUMIFS(T_PlannedOrders[EffectiveQty],T_PlannedOrders[Part Name],$A145,T_PlannedOrders[WeekIndex],34)&amp;" ("&amp;TEXT(SUMPRODUCT(MAX((T_PlannedOrders[Part Name]=$A145)*(T_PlannedOrders[WeekIndex]=34)*(T_PlannedOrders[EffectiveQty]&gt;0)*T_PlannedOrders[Order_Month])),"m月")&amp;"発注)")</f>
        <v/>
      </c>
      <c r="AL155">
        <f>IF(SUMIFS(T_PlannedOrders[EffectiveQty],T_PlannedOrders[Part Name],$A145,T_PlannedOrders[WeekIndex],35)=0,"",SUMIFS(T_PlannedOrders[EffectiveQty],T_PlannedOrders[Part Name],$A145,T_PlannedOrders[WeekIndex],35)&amp;" ("&amp;TEXT(SUMPRODUCT(MAX((T_PlannedOrders[Part Name]=$A145)*(T_PlannedOrders[WeekIndex]=35)*(T_PlannedOrders[EffectiveQty]&gt;0)*T_PlannedOrders[Order_Month])),"m月")&amp;"発注)")</f>
        <v/>
      </c>
      <c r="AM155">
        <f>IF(SUMIFS(T_PlannedOrders[EffectiveQty],T_PlannedOrders[Part Name],$A145,T_PlannedOrders[WeekIndex],36)=0,"",SUMIFS(T_PlannedOrders[EffectiveQty],T_PlannedOrders[Part Name],$A145,T_PlannedOrders[WeekIndex],36)&amp;" ("&amp;TEXT(SUMPRODUCT(MAX((T_PlannedOrders[Part Name]=$A145)*(T_PlannedOrders[WeekIndex]=36)*(T_PlannedOrders[EffectiveQty]&gt;0)*T_PlannedOrders[Order_Month])),"m月")&amp;"発注)")</f>
        <v/>
      </c>
      <c r="AN155">
        <f>IF(SUMIFS(T_PlannedOrders[EffectiveQty],T_PlannedOrders[Part Name],$A145,T_PlannedOrders[WeekIndex],37)=0,"",SUMIFS(T_PlannedOrders[EffectiveQty],T_PlannedOrders[Part Name],$A145,T_PlannedOrders[WeekIndex],37)&amp;" ("&amp;TEXT(SUMPRODUCT(MAX((T_PlannedOrders[Part Name]=$A145)*(T_PlannedOrders[WeekIndex]=37)*(T_PlannedOrders[EffectiveQty]&gt;0)*T_PlannedOrders[Order_Month])),"m月")&amp;"発注)")</f>
        <v/>
      </c>
      <c r="AO155">
        <f>IF(SUMIFS(T_PlannedOrders[EffectiveQty],T_PlannedOrders[Part Name],$A145,T_PlannedOrders[WeekIndex],38)=0,"",SUMIFS(T_PlannedOrders[EffectiveQty],T_PlannedOrders[Part Name],$A145,T_PlannedOrders[WeekIndex],38)&amp;" ("&amp;TEXT(SUMPRODUCT(MAX((T_PlannedOrders[Part Name]=$A145)*(T_PlannedOrders[WeekIndex]=38)*(T_PlannedOrders[EffectiveQty]&gt;0)*T_PlannedOrders[Order_Month])),"m月")&amp;"発注)")</f>
        <v/>
      </c>
      <c r="AP155">
        <f>IF(SUMIFS(T_PlannedOrders[EffectiveQty],T_PlannedOrders[Part Name],$A145,T_PlannedOrders[WeekIndex],39)=0,"",SUMIFS(T_PlannedOrders[EffectiveQty],T_PlannedOrders[Part Name],$A145,T_PlannedOrders[WeekIndex],39)&amp;" ("&amp;TEXT(SUMPRODUCT(MAX((T_PlannedOrders[Part Name]=$A145)*(T_PlannedOrders[WeekIndex]=39)*(T_PlannedOrders[EffectiveQty]&gt;0)*T_PlannedOrders[Order_Month])),"m月")&amp;"発注)")</f>
        <v/>
      </c>
      <c r="AQ155">
        <f>IF(SUMIFS(T_PlannedOrders[EffectiveQty],T_PlannedOrders[Part Name],$A145,T_PlannedOrders[WeekIndex],40)=0,"",SUMIFS(T_PlannedOrders[EffectiveQty],T_PlannedOrders[Part Name],$A145,T_PlannedOrders[WeekIndex],40)&amp;" ("&amp;TEXT(SUMPRODUCT(MAX((T_PlannedOrders[Part Name]=$A145)*(T_PlannedOrders[WeekIndex]=40)*(T_PlannedOrders[EffectiveQty]&gt;0)*T_PlannedOrders[Order_Month])),"m月")&amp;"発注)")</f>
        <v/>
      </c>
      <c r="AR155">
        <f>IF(SUMIFS(T_PlannedOrders[EffectiveQty],T_PlannedOrders[Part Name],$A145,T_PlannedOrders[WeekIndex],41)=0,"",SUMIFS(T_PlannedOrders[EffectiveQty],T_PlannedOrders[Part Name],$A145,T_PlannedOrders[WeekIndex],41)&amp;" ("&amp;TEXT(SUMPRODUCT(MAX((T_PlannedOrders[Part Name]=$A145)*(T_PlannedOrders[WeekIndex]=41)*(T_PlannedOrders[EffectiveQty]&gt;0)*T_PlannedOrders[Order_Month])),"m月")&amp;"発注)")</f>
        <v/>
      </c>
      <c r="AS155">
        <f>IF(SUMIFS(T_PlannedOrders[EffectiveQty],T_PlannedOrders[Part Name],$A145,T_PlannedOrders[WeekIndex],42)=0,"",SUMIFS(T_PlannedOrders[EffectiveQty],T_PlannedOrders[Part Name],$A145,T_PlannedOrders[WeekIndex],42)&amp;" ("&amp;TEXT(SUMPRODUCT(MAX((T_PlannedOrders[Part Name]=$A145)*(T_PlannedOrders[WeekIndex]=42)*(T_PlannedOrders[EffectiveQty]&gt;0)*T_PlannedOrders[Order_Month])),"m月")&amp;"発注)")</f>
        <v/>
      </c>
      <c r="AT155">
        <f>IF(SUMIFS(T_PlannedOrders[EffectiveQty],T_PlannedOrders[Part Name],$A145,T_PlannedOrders[WeekIndex],43)=0,"",SUMIFS(T_PlannedOrders[EffectiveQty],T_PlannedOrders[Part Name],$A145,T_PlannedOrders[WeekIndex],43)&amp;" ("&amp;TEXT(SUMPRODUCT(MAX((T_PlannedOrders[Part Name]=$A145)*(T_PlannedOrders[WeekIndex]=43)*(T_PlannedOrders[EffectiveQty]&gt;0)*T_PlannedOrders[Order_Month])),"m月")&amp;"発注)")</f>
        <v/>
      </c>
      <c r="AU155">
        <f>IF(SUMIFS(T_PlannedOrders[EffectiveQty],T_PlannedOrders[Part Name],$A145,T_PlannedOrders[WeekIndex],44)=0,"",SUMIFS(T_PlannedOrders[EffectiveQty],T_PlannedOrders[Part Name],$A145,T_PlannedOrders[WeekIndex],44)&amp;" ("&amp;TEXT(SUMPRODUCT(MAX((T_PlannedOrders[Part Name]=$A145)*(T_PlannedOrders[WeekIndex]=44)*(T_PlannedOrders[EffectiveQty]&gt;0)*T_PlannedOrders[Order_Month])),"m月")&amp;"発注)")</f>
        <v/>
      </c>
      <c r="AV155">
        <f>IF(SUMIFS(T_PlannedOrders[EffectiveQty],T_PlannedOrders[Part Name],$A145,T_PlannedOrders[WeekIndex],45)=0,"",SUMIFS(T_PlannedOrders[EffectiveQty],T_PlannedOrders[Part Name],$A145,T_PlannedOrders[WeekIndex],45)&amp;" ("&amp;TEXT(SUMPRODUCT(MAX((T_PlannedOrders[Part Name]=$A145)*(T_PlannedOrders[WeekIndex]=45)*(T_PlannedOrders[EffectiveQty]&gt;0)*T_PlannedOrders[Order_Month])),"m月")&amp;"発注)")</f>
        <v/>
      </c>
      <c r="AW155">
        <f>IF(SUMIFS(T_PlannedOrders[EffectiveQty],T_PlannedOrders[Part Name],$A145,T_PlannedOrders[WeekIndex],46)=0,"",SUMIFS(T_PlannedOrders[EffectiveQty],T_PlannedOrders[Part Name],$A145,T_PlannedOrders[WeekIndex],46)&amp;" ("&amp;TEXT(SUMPRODUCT(MAX((T_PlannedOrders[Part Name]=$A145)*(T_PlannedOrders[WeekIndex]=46)*(T_PlannedOrders[EffectiveQty]&gt;0)*T_PlannedOrders[Order_Month])),"m月")&amp;"発注)")</f>
        <v/>
      </c>
      <c r="AX155">
        <f>IF(SUMIFS(T_PlannedOrders[EffectiveQty],T_PlannedOrders[Part Name],$A145,T_PlannedOrders[WeekIndex],47)=0,"",SUMIFS(T_PlannedOrders[EffectiveQty],T_PlannedOrders[Part Name],$A145,T_PlannedOrders[WeekIndex],47)&amp;" ("&amp;TEXT(SUMPRODUCT(MAX((T_PlannedOrders[Part Name]=$A145)*(T_PlannedOrders[WeekIndex]=47)*(T_PlannedOrders[EffectiveQty]&gt;0)*T_PlannedOrders[Order_Month])),"m月")&amp;"発注)")</f>
        <v/>
      </c>
      <c r="AY155">
        <f>IF(SUMIFS(T_PlannedOrders[EffectiveQty],T_PlannedOrders[Part Name],$A145,T_PlannedOrders[WeekIndex],48)=0,"",SUMIFS(T_PlannedOrders[EffectiveQty],T_PlannedOrders[Part Name],$A145,T_PlannedOrders[WeekIndex],48)&amp;" ("&amp;TEXT(SUMPRODUCT(MAX((T_PlannedOrders[Part Name]=$A145)*(T_PlannedOrders[WeekIndex]=48)*(T_PlannedOrders[EffectiveQty]&gt;0)*T_PlannedOrders[Order_Month])),"m月")&amp;"発注)")</f>
        <v/>
      </c>
      <c r="AZ155">
        <f>IF(SUMIFS(T_PlannedOrders[EffectiveQty],T_PlannedOrders[Part Name],$A145,T_PlannedOrders[WeekIndex],49)=0,"",SUMIFS(T_PlannedOrders[EffectiveQty],T_PlannedOrders[Part Name],$A145,T_PlannedOrders[WeekIndex],49)&amp;" ("&amp;TEXT(SUMPRODUCT(MAX((T_PlannedOrders[Part Name]=$A145)*(T_PlannedOrders[WeekIndex]=49)*(T_PlannedOrders[EffectiveQty]&gt;0)*T_PlannedOrders[Order_Month])),"m月")&amp;"発注)")</f>
        <v/>
      </c>
      <c r="BA155">
        <f>IF(SUMIFS(T_PlannedOrders[EffectiveQty],T_PlannedOrders[Part Name],$A145,T_PlannedOrders[WeekIndex],50)=0,"",SUMIFS(T_PlannedOrders[EffectiveQty],T_PlannedOrders[Part Name],$A145,T_PlannedOrders[WeekIndex],50)&amp;" ("&amp;TEXT(SUMPRODUCT(MAX((T_PlannedOrders[Part Name]=$A145)*(T_PlannedOrders[WeekIndex]=50)*(T_PlannedOrders[EffectiveQty]&gt;0)*T_PlannedOrders[Order_Month])),"m月")&amp;"発注)")</f>
        <v/>
      </c>
      <c r="BB155">
        <f>IF(SUMIFS(T_PlannedOrders[EffectiveQty],T_PlannedOrders[Part Name],$A145,T_PlannedOrders[WeekIndex],51)=0,"",SUMIFS(T_PlannedOrders[EffectiveQty],T_PlannedOrders[Part Name],$A145,T_PlannedOrders[WeekIndex],51)&amp;" ("&amp;TEXT(SUMPRODUCT(MAX((T_PlannedOrders[Part Name]=$A145)*(T_PlannedOrders[WeekIndex]=51)*(T_PlannedOrders[EffectiveQty]&gt;0)*T_PlannedOrders[Order_Month])),"m月")&amp;"発注)")</f>
        <v/>
      </c>
      <c r="BC155">
        <f>IF(SUMIFS(T_PlannedOrders[EffectiveQty],T_PlannedOrders[Part Name],$A145,T_PlannedOrders[WeekIndex],52)=0,"",SUMIFS(T_PlannedOrders[EffectiveQty],T_PlannedOrders[Part Name],$A145,T_PlannedOrders[WeekIndex],52)&amp;" ("&amp;TEXT(SUMPRODUCT(MAX((T_PlannedOrders[Part Name]=$A145)*(T_PlannedOrders[WeekIndex]=52)*(T_PlannedOrders[EffectiveQty]&gt;0)*T_PlannedOrders[Order_Month])),"m月")&amp;"発注)")</f>
        <v/>
      </c>
      <c r="BD155">
        <f>IF(SUMIFS(T_PlannedOrders[EffectiveQty],T_PlannedOrders[Part Name],$A145,T_PlannedOrders[WeekIndex],53)=0,"",SUMIFS(T_PlannedOrders[EffectiveQty],T_PlannedOrders[Part Name],$A145,T_PlannedOrders[WeekIndex],53)&amp;" ("&amp;TEXT(SUMPRODUCT(MAX((T_PlannedOrders[Part Name]=$A145)*(T_PlannedOrders[WeekIndex]=53)*(T_PlannedOrders[EffectiveQty]&gt;0)*T_PlannedOrders[Order_Month])),"m月")&amp;"発注)")</f>
        <v/>
      </c>
      <c r="BE155">
        <f>IF(SUMIFS(T_PlannedOrders[EffectiveQty],T_PlannedOrders[Part Name],$A145,T_PlannedOrders[WeekIndex],54)=0,"",SUMIFS(T_PlannedOrders[EffectiveQty],T_PlannedOrders[Part Name],$A145,T_PlannedOrders[WeekIndex],54)&amp;" ("&amp;TEXT(SUMPRODUCT(MAX((T_PlannedOrders[Part Name]=$A145)*(T_PlannedOrders[WeekIndex]=54)*(T_PlannedOrders[EffectiveQty]&gt;0)*T_PlannedOrders[Order_Month])),"m月")&amp;"発注)")</f>
        <v/>
      </c>
      <c r="BF155">
        <f>IF(SUMIFS(T_PlannedOrders[EffectiveQty],T_PlannedOrders[Part Name],$A145,T_PlannedOrders[WeekIndex],55)=0,"",SUMIFS(T_PlannedOrders[EffectiveQty],T_PlannedOrders[Part Name],$A145,T_PlannedOrders[WeekIndex],55)&amp;" ("&amp;TEXT(SUMPRODUCT(MAX((T_PlannedOrders[Part Name]=$A145)*(T_PlannedOrders[WeekIndex]=55)*(T_PlannedOrders[EffectiveQty]&gt;0)*T_PlannedOrders[Order_Month])),"m月")&amp;"発注)")</f>
        <v/>
      </c>
      <c r="BG155">
        <f>IF(SUMIFS(T_PlannedOrders[EffectiveQty],T_PlannedOrders[Part Name],$A145,T_PlannedOrders[WeekIndex],56)=0,"",SUMIFS(T_PlannedOrders[EffectiveQty],T_PlannedOrders[Part Name],$A145,T_PlannedOrders[WeekIndex],56)&amp;" ("&amp;TEXT(SUMPRODUCT(MAX((T_PlannedOrders[Part Name]=$A145)*(T_PlannedOrders[WeekIndex]=56)*(T_PlannedOrders[EffectiveQty]&gt;0)*T_PlannedOrders[Order_Month])),"m月")&amp;"発注)")</f>
        <v/>
      </c>
      <c r="BH155">
        <f>IF(SUMIFS(T_PlannedOrders[EffectiveQty],T_PlannedOrders[Part Name],$A145,T_PlannedOrders[WeekIndex],57)=0,"",SUMIFS(T_PlannedOrders[EffectiveQty],T_PlannedOrders[Part Name],$A145,T_PlannedOrders[WeekIndex],57)&amp;" ("&amp;TEXT(SUMPRODUCT(MAX((T_PlannedOrders[Part Name]=$A145)*(T_PlannedOrders[WeekIndex]=57)*(T_PlannedOrders[EffectiveQty]&gt;0)*T_PlannedOrders[Order_Month])),"m月")&amp;"発注)")</f>
        <v/>
      </c>
      <c r="BI155">
        <f>IF(SUMIFS(T_PlannedOrders[EffectiveQty],T_PlannedOrders[Part Name],$A145,T_PlannedOrders[WeekIndex],58)=0,"",SUMIFS(T_PlannedOrders[EffectiveQty],T_PlannedOrders[Part Name],$A145,T_PlannedOrders[WeekIndex],58)&amp;" ("&amp;TEXT(SUMPRODUCT(MAX((T_PlannedOrders[Part Name]=$A145)*(T_PlannedOrders[WeekIndex]=58)*(T_PlannedOrders[EffectiveQty]&gt;0)*T_PlannedOrders[Order_Month])),"m月")&amp;"発注)")</f>
        <v/>
      </c>
      <c r="BJ155">
        <f>IF(SUMIFS(T_PlannedOrders[EffectiveQty],T_PlannedOrders[Part Name],$A145,T_PlannedOrders[WeekIndex],59)=0,"",SUMIFS(T_PlannedOrders[EffectiveQty],T_PlannedOrders[Part Name],$A145,T_PlannedOrders[WeekIndex],59)&amp;" ("&amp;TEXT(SUMPRODUCT(MAX((T_PlannedOrders[Part Name]=$A145)*(T_PlannedOrders[WeekIndex]=59)*(T_PlannedOrders[EffectiveQty]&gt;0)*T_PlannedOrders[Order_Month])),"m月")&amp;"発注)")</f>
        <v/>
      </c>
      <c r="BK155">
        <f>IF(SUMIFS(T_PlannedOrders[EffectiveQty],T_PlannedOrders[Part Name],$A145,T_PlannedOrders[WeekIndex],60)=0,"",SUMIFS(T_PlannedOrders[EffectiveQty],T_PlannedOrders[Part Name],$A145,T_PlannedOrders[WeekIndex],60)&amp;" ("&amp;TEXT(SUMPRODUCT(MAX((T_PlannedOrders[Part Name]=$A145)*(T_PlannedOrders[WeekIndex]=60)*(T_PlannedOrders[EffectiveQty]&gt;0)*T_PlannedOrders[Order_Month])),"m月")&amp;"発注)")</f>
        <v/>
      </c>
      <c r="BL155">
        <f>IF(SUMIFS(T_PlannedOrders[EffectiveQty],T_PlannedOrders[Part Name],$A145,T_PlannedOrders[WeekIndex],61)=0,"",SUMIFS(T_PlannedOrders[EffectiveQty],T_PlannedOrders[Part Name],$A145,T_PlannedOrders[WeekIndex],61)&amp;" ("&amp;TEXT(SUMPRODUCT(MAX((T_PlannedOrders[Part Name]=$A145)*(T_PlannedOrders[WeekIndex]=61)*(T_PlannedOrders[EffectiveQty]&gt;0)*T_PlannedOrders[Order_Month])),"m月")&amp;"発注)")</f>
        <v/>
      </c>
      <c r="BM155">
        <f>IF(SUMIFS(T_PlannedOrders[EffectiveQty],T_PlannedOrders[Part Name],$A145,T_PlannedOrders[WeekIndex],62)=0,"",SUMIFS(T_PlannedOrders[EffectiveQty],T_PlannedOrders[Part Name],$A145,T_PlannedOrders[WeekIndex],62)&amp;" ("&amp;TEXT(SUMPRODUCT(MAX((T_PlannedOrders[Part Name]=$A145)*(T_PlannedOrders[WeekIndex]=62)*(T_PlannedOrders[EffectiveQty]&gt;0)*T_PlannedOrders[Order_Month])),"m月")&amp;"発注)")</f>
        <v/>
      </c>
      <c r="BN155">
        <f>IF(SUMIFS(T_PlannedOrders[EffectiveQty],T_PlannedOrders[Part Name],$A145,T_PlannedOrders[WeekIndex],63)=0,"",SUMIFS(T_PlannedOrders[EffectiveQty],T_PlannedOrders[Part Name],$A145,T_PlannedOrders[WeekIndex],63)&amp;" ("&amp;TEXT(SUMPRODUCT(MAX((T_PlannedOrders[Part Name]=$A145)*(T_PlannedOrders[WeekIndex]=63)*(T_PlannedOrders[EffectiveQty]&gt;0)*T_PlannedOrders[Order_Month])),"m月")&amp;"発注)")</f>
        <v/>
      </c>
      <c r="BO155">
        <f>IF(SUMIFS(T_PlannedOrders[EffectiveQty],T_PlannedOrders[Part Name],$A145,T_PlannedOrders[WeekIndex],64)=0,"",SUMIFS(T_PlannedOrders[EffectiveQty],T_PlannedOrders[Part Name],$A145,T_PlannedOrders[WeekIndex],64)&amp;" ("&amp;TEXT(SUMPRODUCT(MAX((T_PlannedOrders[Part Name]=$A145)*(T_PlannedOrders[WeekIndex]=64)*(T_PlannedOrders[EffectiveQty]&gt;0)*T_PlannedOrders[Order_Month])),"m月")&amp;"発注)")</f>
        <v/>
      </c>
      <c r="BP155">
        <f>IF(SUMIFS(T_PlannedOrders[EffectiveQty],T_PlannedOrders[Part Name],$A145,T_PlannedOrders[WeekIndex],65)=0,"",SUMIFS(T_PlannedOrders[EffectiveQty],T_PlannedOrders[Part Name],$A145,T_PlannedOrders[WeekIndex],65)&amp;" ("&amp;TEXT(SUMPRODUCT(MAX((T_PlannedOrders[Part Name]=$A145)*(T_PlannedOrders[WeekIndex]=65)*(T_PlannedOrders[EffectiveQty]&gt;0)*T_PlannedOrders[Order_Month])),"m月")&amp;"発注)")</f>
        <v/>
      </c>
      <c r="BQ155">
        <f>IF(SUMIFS(T_PlannedOrders[EffectiveQty],T_PlannedOrders[Part Name],$A145,T_PlannedOrders[WeekIndex],66)=0,"",SUMIFS(T_PlannedOrders[EffectiveQty],T_PlannedOrders[Part Name],$A145,T_PlannedOrders[WeekIndex],66)&amp;" ("&amp;TEXT(SUMPRODUCT(MAX((T_PlannedOrders[Part Name]=$A145)*(T_PlannedOrders[WeekIndex]=66)*(T_PlannedOrders[EffectiveQty]&gt;0)*T_PlannedOrders[Order_Month])),"m月")&amp;"発注)")</f>
        <v/>
      </c>
      <c r="BR155">
        <f>IF(SUMIFS(T_PlannedOrders[EffectiveQty],T_PlannedOrders[Part Name],$A145,T_PlannedOrders[WeekIndex],67)=0,"",SUMIFS(T_PlannedOrders[EffectiveQty],T_PlannedOrders[Part Name],$A145,T_PlannedOrders[WeekIndex],67)&amp;" ("&amp;TEXT(SUMPRODUCT(MAX((T_PlannedOrders[Part Name]=$A145)*(T_PlannedOrders[WeekIndex]=67)*(T_PlannedOrders[EffectiveQty]&gt;0)*T_PlannedOrders[Order_Month])),"m月")&amp;"発注)")</f>
        <v/>
      </c>
      <c r="BS155">
        <f>IF(SUMIFS(T_PlannedOrders[EffectiveQty],T_PlannedOrders[Part Name],$A145,T_PlannedOrders[WeekIndex],68)=0,"",SUMIFS(T_PlannedOrders[EffectiveQty],T_PlannedOrders[Part Name],$A145,T_PlannedOrders[WeekIndex],68)&amp;" ("&amp;TEXT(SUMPRODUCT(MAX((T_PlannedOrders[Part Name]=$A145)*(T_PlannedOrders[WeekIndex]=68)*(T_PlannedOrders[EffectiveQty]&gt;0)*T_PlannedOrders[Order_Month])),"m月")&amp;"発注)")</f>
        <v/>
      </c>
      <c r="BT155">
        <f>IF(SUMIFS(T_PlannedOrders[EffectiveQty],T_PlannedOrders[Part Name],$A145,T_PlannedOrders[WeekIndex],69)=0,"",SUMIFS(T_PlannedOrders[EffectiveQty],T_PlannedOrders[Part Name],$A145,T_PlannedOrders[WeekIndex],69)&amp;" ("&amp;TEXT(SUMPRODUCT(MAX((T_PlannedOrders[Part Name]=$A145)*(T_PlannedOrders[WeekIndex]=69)*(T_PlannedOrders[EffectiveQty]&gt;0)*T_PlannedOrders[Order_Month])),"m月")&amp;"発注)")</f>
        <v/>
      </c>
      <c r="BU155">
        <f>IF(SUMIFS(T_PlannedOrders[EffectiveQty],T_PlannedOrders[Part Name],$A145,T_PlannedOrders[WeekIndex],70)=0,"",SUMIFS(T_PlannedOrders[EffectiveQty],T_PlannedOrders[Part Name],$A145,T_PlannedOrders[WeekIndex],70)&amp;" ("&amp;TEXT(SUMPRODUCT(MAX((T_PlannedOrders[Part Name]=$A145)*(T_PlannedOrders[WeekIndex]=70)*(T_PlannedOrders[EffectiveQty]&gt;0)*T_PlannedOrders[Order_Month])),"m月")&amp;"発注)")</f>
        <v/>
      </c>
      <c r="BV155">
        <f>IF(SUMIFS(T_PlannedOrders[EffectiveQty],T_PlannedOrders[Part Name],$A145,T_PlannedOrders[WeekIndex],71)=0,"",SUMIFS(T_PlannedOrders[EffectiveQty],T_PlannedOrders[Part Name],$A145,T_PlannedOrders[WeekIndex],71)&amp;" ("&amp;TEXT(SUMPRODUCT(MAX((T_PlannedOrders[Part Name]=$A145)*(T_PlannedOrders[WeekIndex]=71)*(T_PlannedOrders[EffectiveQty]&gt;0)*T_PlannedOrders[Order_Month])),"m月")&amp;"発注)")</f>
        <v/>
      </c>
      <c r="BW155">
        <f>IF(SUMIFS(T_PlannedOrders[EffectiveQty],T_PlannedOrders[Part Name],$A145,T_PlannedOrders[WeekIndex],72)=0,"",SUMIFS(T_PlannedOrders[EffectiveQty],T_PlannedOrders[Part Name],$A145,T_PlannedOrders[WeekIndex],72)&amp;" ("&amp;TEXT(SUMPRODUCT(MAX((T_PlannedOrders[Part Name]=$A145)*(T_PlannedOrders[WeekIndex]=72)*(T_PlannedOrders[EffectiveQty]&gt;0)*T_PlannedOrders[Order_Month])),"m月")&amp;"発注)")</f>
        <v/>
      </c>
      <c r="BX155">
        <f>IF(SUMIFS(T_PlannedOrders[EffectiveQty],T_PlannedOrders[Part Name],$A145,T_PlannedOrders[WeekIndex],73)=0,"",SUMIFS(T_PlannedOrders[EffectiveQty],T_PlannedOrders[Part Name],$A145,T_PlannedOrders[WeekIndex],73)&amp;" ("&amp;TEXT(SUMPRODUCT(MAX((T_PlannedOrders[Part Name]=$A145)*(T_PlannedOrders[WeekIndex]=73)*(T_PlannedOrders[EffectiveQty]&gt;0)*T_PlannedOrders[Order_Month])),"m月")&amp;"発注)")</f>
        <v/>
      </c>
      <c r="BY155">
        <f>IF(SUMIFS(T_PlannedOrders[EffectiveQty],T_PlannedOrders[Part Name],$A145,T_PlannedOrders[WeekIndex],74)=0,"",SUMIFS(T_PlannedOrders[EffectiveQty],T_PlannedOrders[Part Name],$A145,T_PlannedOrders[WeekIndex],74)&amp;" ("&amp;TEXT(SUMPRODUCT(MAX((T_PlannedOrders[Part Name]=$A145)*(T_PlannedOrders[WeekIndex]=74)*(T_PlannedOrders[EffectiveQty]&gt;0)*T_PlannedOrders[Order_Month])),"m月")&amp;"発注)")</f>
        <v/>
      </c>
      <c r="BZ155">
        <f>IF(SUMIFS(T_PlannedOrders[EffectiveQty],T_PlannedOrders[Part Name],$A145,T_PlannedOrders[WeekIndex],75)=0,"",SUMIFS(T_PlannedOrders[EffectiveQty],T_PlannedOrders[Part Name],$A145,T_PlannedOrders[WeekIndex],75)&amp;" ("&amp;TEXT(SUMPRODUCT(MAX((T_PlannedOrders[Part Name]=$A145)*(T_PlannedOrders[WeekIndex]=75)*(T_PlannedOrders[EffectiveQty]&gt;0)*T_PlannedOrders[Order_Month])),"m月")&amp;"発注)")</f>
        <v/>
      </c>
      <c r="CA155">
        <f>IF(SUMIFS(T_PlannedOrders[EffectiveQty],T_PlannedOrders[Part Name],$A145,T_PlannedOrders[WeekIndex],76)=0,"",SUMIFS(T_PlannedOrders[EffectiveQty],T_PlannedOrders[Part Name],$A145,T_PlannedOrders[WeekIndex],76)&amp;" ("&amp;TEXT(SUMPRODUCT(MAX((T_PlannedOrders[Part Name]=$A145)*(T_PlannedOrders[WeekIndex]=76)*(T_PlannedOrders[EffectiveQty]&gt;0)*T_PlannedOrders[Order_Month])),"m月")&amp;"発注)")</f>
        <v/>
      </c>
      <c r="CB155">
        <f>IF(SUMIFS(T_PlannedOrders[EffectiveQty],T_PlannedOrders[Part Name],$A145,T_PlannedOrders[WeekIndex],77)=0,"",SUMIFS(T_PlannedOrders[EffectiveQty],T_PlannedOrders[Part Name],$A145,T_PlannedOrders[WeekIndex],77)&amp;" ("&amp;TEXT(SUMPRODUCT(MAX((T_PlannedOrders[Part Name]=$A145)*(T_PlannedOrders[WeekIndex]=77)*(T_PlannedOrders[EffectiveQty]&gt;0)*T_PlannedOrders[Order_Month])),"m月")&amp;"発注)")</f>
        <v/>
      </c>
      <c r="CC155">
        <f>IF(SUMIFS(T_PlannedOrders[EffectiveQty],T_PlannedOrders[Part Name],$A145,T_PlannedOrders[WeekIndex],78)=0,"",SUMIFS(T_PlannedOrders[EffectiveQty],T_PlannedOrders[Part Name],$A145,T_PlannedOrders[WeekIndex],78)&amp;" ("&amp;TEXT(SUMPRODUCT(MAX((T_PlannedOrders[Part Name]=$A145)*(T_PlannedOrders[WeekIndex]=78)*(T_PlannedOrders[EffectiveQty]&gt;0)*T_PlannedOrders[Order_Month])),"m月")&amp;"発注)")</f>
        <v/>
      </c>
      <c r="CD155">
        <f>IF(SUMIFS(T_PlannedOrders[EffectiveQty],T_PlannedOrders[Part Name],$A145,T_PlannedOrders[WeekIndex],79)=0,"",SUMIFS(T_PlannedOrders[EffectiveQty],T_PlannedOrders[Part Name],$A145,T_PlannedOrders[WeekIndex],79)&amp;" ("&amp;TEXT(SUMPRODUCT(MAX((T_PlannedOrders[Part Name]=$A145)*(T_PlannedOrders[WeekIndex]=79)*(T_PlannedOrders[EffectiveQty]&gt;0)*T_PlannedOrders[Order_Month])),"m月")&amp;"発注)")</f>
        <v/>
      </c>
      <c r="CE155">
        <f>IF(SUMIFS(T_PlannedOrders[EffectiveQty],T_PlannedOrders[Part Name],$A145,T_PlannedOrders[WeekIndex],80)=0,"",SUMIFS(T_PlannedOrders[EffectiveQty],T_PlannedOrders[Part Name],$A145,T_PlannedOrders[WeekIndex],80)&amp;" ("&amp;TEXT(SUMPRODUCT(MAX((T_PlannedOrders[Part Name]=$A145)*(T_PlannedOrders[WeekIndex]=80)*(T_PlannedOrders[EffectiveQty]&gt;0)*T_PlannedOrders[Order_Month])),"m月")&amp;"発注)")</f>
        <v/>
      </c>
      <c r="CF155">
        <f>IF(SUMIFS(T_PlannedOrders[EffectiveQty],T_PlannedOrders[Part Name],$A145,T_PlannedOrders[WeekIndex],81)=0,"",SUMIFS(T_PlannedOrders[EffectiveQty],T_PlannedOrders[Part Name],$A145,T_PlannedOrders[WeekIndex],81)&amp;" ("&amp;TEXT(SUMPRODUCT(MAX((T_PlannedOrders[Part Name]=$A145)*(T_PlannedOrders[WeekIndex]=81)*(T_PlannedOrders[EffectiveQty]&gt;0)*T_PlannedOrders[Order_Month])),"m月")&amp;"発注)")</f>
        <v/>
      </c>
      <c r="CG155">
        <f>IF(SUMIFS(T_PlannedOrders[EffectiveQty],T_PlannedOrders[Part Name],$A145,T_PlannedOrders[WeekIndex],82)=0,"",SUMIFS(T_PlannedOrders[EffectiveQty],T_PlannedOrders[Part Name],$A145,T_PlannedOrders[WeekIndex],82)&amp;" ("&amp;TEXT(SUMPRODUCT(MAX((T_PlannedOrders[Part Name]=$A145)*(T_PlannedOrders[WeekIndex]=82)*(T_PlannedOrders[EffectiveQty]&gt;0)*T_PlannedOrders[Order_Month])),"m月")&amp;"発注)")</f>
        <v/>
      </c>
      <c r="CH155">
        <f>IF(SUMIFS(T_PlannedOrders[EffectiveQty],T_PlannedOrders[Part Name],$A145,T_PlannedOrders[WeekIndex],83)=0,"",SUMIFS(T_PlannedOrders[EffectiveQty],T_PlannedOrders[Part Name],$A145,T_PlannedOrders[WeekIndex],83)&amp;" ("&amp;TEXT(SUMPRODUCT(MAX((T_PlannedOrders[Part Name]=$A145)*(T_PlannedOrders[WeekIndex]=83)*(T_PlannedOrders[EffectiveQty]&gt;0)*T_PlannedOrders[Order_Month])),"m月")&amp;"発注)")</f>
        <v/>
      </c>
      <c r="CI155">
        <f>IF(SUMIFS(T_PlannedOrders[EffectiveQty],T_PlannedOrders[Part Name],$A145,T_PlannedOrders[WeekIndex],84)=0,"",SUMIFS(T_PlannedOrders[EffectiveQty],T_PlannedOrders[Part Name],$A145,T_PlannedOrders[WeekIndex],84)&amp;" ("&amp;TEXT(SUMPRODUCT(MAX((T_PlannedOrders[Part Name]=$A145)*(T_PlannedOrders[WeekIndex]=84)*(T_PlannedOrders[EffectiveQty]&gt;0)*T_PlannedOrders[Order_Month])),"m月")&amp;"発注)")</f>
        <v/>
      </c>
      <c r="CJ155">
        <f>IF(SUMIFS(T_PlannedOrders[EffectiveQty],T_PlannedOrders[Part Name],$A145,T_PlannedOrders[WeekIndex],85)=0,"",SUMIFS(T_PlannedOrders[EffectiveQty],T_PlannedOrders[Part Name],$A145,T_PlannedOrders[WeekIndex],85)&amp;" ("&amp;TEXT(SUMPRODUCT(MAX((T_PlannedOrders[Part Name]=$A145)*(T_PlannedOrders[WeekIndex]=85)*(T_PlannedOrders[EffectiveQty]&gt;0)*T_PlannedOrders[Order_Month])),"m月")&amp;"発注)")</f>
        <v/>
      </c>
      <c r="CK155">
        <f>IF(SUMIFS(T_PlannedOrders[EffectiveQty],T_PlannedOrders[Part Name],$A145,T_PlannedOrders[WeekIndex],86)=0,"",SUMIFS(T_PlannedOrders[EffectiveQty],T_PlannedOrders[Part Name],$A145,T_PlannedOrders[WeekIndex],86)&amp;" ("&amp;TEXT(SUMPRODUCT(MAX((T_PlannedOrders[Part Name]=$A145)*(T_PlannedOrders[WeekIndex]=86)*(T_PlannedOrders[EffectiveQty]&gt;0)*T_PlannedOrders[Order_Month])),"m月")&amp;"発注)")</f>
        <v/>
      </c>
      <c r="CL155">
        <f>IF(SUMIFS(T_PlannedOrders[EffectiveQty],T_PlannedOrders[Part Name],$A145,T_PlannedOrders[WeekIndex],87)=0,"",SUMIFS(T_PlannedOrders[EffectiveQty],T_PlannedOrders[Part Name],$A145,T_PlannedOrders[WeekIndex],87)&amp;" ("&amp;TEXT(SUMPRODUCT(MAX((T_PlannedOrders[Part Name]=$A145)*(T_PlannedOrders[WeekIndex]=87)*(T_PlannedOrders[EffectiveQty]&gt;0)*T_PlannedOrders[Order_Month])),"m月")&amp;"発注)")</f>
        <v/>
      </c>
      <c r="CM155">
        <f>IF(SUMIFS(T_PlannedOrders[EffectiveQty],T_PlannedOrders[Part Name],$A145,T_PlannedOrders[WeekIndex],88)=0,"",SUMIFS(T_PlannedOrders[EffectiveQty],T_PlannedOrders[Part Name],$A145,T_PlannedOrders[WeekIndex],88)&amp;" ("&amp;TEXT(SUMPRODUCT(MAX((T_PlannedOrders[Part Name]=$A145)*(T_PlannedOrders[WeekIndex]=88)*(T_PlannedOrders[EffectiveQty]&gt;0)*T_PlannedOrders[Order_Month])),"m月")&amp;"発注)")</f>
        <v/>
      </c>
      <c r="CN155">
        <f>IF(SUMIFS(T_PlannedOrders[EffectiveQty],T_PlannedOrders[Part Name],$A145,T_PlannedOrders[WeekIndex],89)=0,"",SUMIFS(T_PlannedOrders[EffectiveQty],T_PlannedOrders[Part Name],$A145,T_PlannedOrders[WeekIndex],89)&amp;" ("&amp;TEXT(SUMPRODUCT(MAX((T_PlannedOrders[Part Name]=$A145)*(T_PlannedOrders[WeekIndex]=89)*(T_PlannedOrders[EffectiveQty]&gt;0)*T_PlannedOrders[Order_Month])),"m月")&amp;"発注)")</f>
        <v/>
      </c>
      <c r="CO155">
        <f>IF(SUMIFS(T_PlannedOrders[EffectiveQty],T_PlannedOrders[Part Name],$A145,T_PlannedOrders[WeekIndex],90)=0,"",SUMIFS(T_PlannedOrders[EffectiveQty],T_PlannedOrders[Part Name],$A145,T_PlannedOrders[WeekIndex],90)&amp;" ("&amp;TEXT(SUMPRODUCT(MAX((T_PlannedOrders[Part Name]=$A145)*(T_PlannedOrders[WeekIndex]=90)*(T_PlannedOrders[EffectiveQty]&gt;0)*T_PlannedOrders[Order_Month])),"m月")&amp;"発注)")</f>
        <v/>
      </c>
      <c r="CP155">
        <f>IF(SUMIFS(T_PlannedOrders[EffectiveQty],T_PlannedOrders[Part Name],$A145,T_PlannedOrders[WeekIndex],91)=0,"",SUMIFS(T_PlannedOrders[EffectiveQty],T_PlannedOrders[Part Name],$A145,T_PlannedOrders[WeekIndex],91)&amp;" ("&amp;TEXT(SUMPRODUCT(MAX((T_PlannedOrders[Part Name]=$A145)*(T_PlannedOrders[WeekIndex]=91)*(T_PlannedOrders[EffectiveQty]&gt;0)*T_PlannedOrders[Order_Month])),"m月")&amp;"発注)")</f>
        <v/>
      </c>
      <c r="CQ155">
        <f>IF(SUMIFS(T_PlannedOrders[EffectiveQty],T_PlannedOrders[Part Name],$A145,T_PlannedOrders[WeekIndex],92)=0,"",SUMIFS(T_PlannedOrders[EffectiveQty],T_PlannedOrders[Part Name],$A145,T_PlannedOrders[WeekIndex],92)&amp;" ("&amp;TEXT(SUMPRODUCT(MAX((T_PlannedOrders[Part Name]=$A145)*(T_PlannedOrders[WeekIndex]=92)*(T_PlannedOrders[EffectiveQty]&gt;0)*T_PlannedOrders[Order_Month])),"m月")&amp;"発注)")</f>
        <v/>
      </c>
      <c r="CR155">
        <f>IF(SUMIFS(T_PlannedOrders[EffectiveQty],T_PlannedOrders[Part Name],$A145,T_PlannedOrders[WeekIndex],93)=0,"",SUMIFS(T_PlannedOrders[EffectiveQty],T_PlannedOrders[Part Name],$A145,T_PlannedOrders[WeekIndex],93)&amp;" ("&amp;TEXT(SUMPRODUCT(MAX((T_PlannedOrders[Part Name]=$A145)*(T_PlannedOrders[WeekIndex]=93)*(T_PlannedOrders[EffectiveQty]&gt;0)*T_PlannedOrders[Order_Month])),"m月")&amp;"発注)")</f>
        <v/>
      </c>
      <c r="CS155">
        <f>IF(SUMIFS(T_PlannedOrders[EffectiveQty],T_PlannedOrders[Part Name],$A145,T_PlannedOrders[WeekIndex],94)=0,"",SUMIFS(T_PlannedOrders[EffectiveQty],T_PlannedOrders[Part Name],$A145,T_PlannedOrders[WeekIndex],94)&amp;" ("&amp;TEXT(SUMPRODUCT(MAX((T_PlannedOrders[Part Name]=$A145)*(T_PlannedOrders[WeekIndex]=94)*(T_PlannedOrders[EffectiveQty]&gt;0)*T_PlannedOrders[Order_Month])),"m月")&amp;"発注)")</f>
        <v/>
      </c>
      <c r="CT155">
        <f>IF(SUMIFS(T_PlannedOrders[EffectiveQty],T_PlannedOrders[Part Name],$A145,T_PlannedOrders[WeekIndex],95)=0,"",SUMIFS(T_PlannedOrders[EffectiveQty],T_PlannedOrders[Part Name],$A145,T_PlannedOrders[WeekIndex],95)&amp;" ("&amp;TEXT(SUMPRODUCT(MAX((T_PlannedOrders[Part Name]=$A145)*(T_PlannedOrders[WeekIndex]=95)*(T_PlannedOrders[EffectiveQty]&gt;0)*T_PlannedOrders[Order_Month])),"m月")&amp;"発注)")</f>
        <v/>
      </c>
      <c r="CU155">
        <f>IF(SUMIFS(T_PlannedOrders[EffectiveQty],T_PlannedOrders[Part Name],$A145,T_PlannedOrders[WeekIndex],96)=0,"",SUMIFS(T_PlannedOrders[EffectiveQty],T_PlannedOrders[Part Name],$A145,T_PlannedOrders[WeekIndex],96)&amp;" ("&amp;TEXT(SUMPRODUCT(MAX((T_PlannedOrders[Part Name]=$A145)*(T_PlannedOrders[WeekIndex]=96)*(T_PlannedOrders[EffectiveQty]&gt;0)*T_PlannedOrders[Order_Month])),"m月")&amp;"発注)")</f>
        <v/>
      </c>
      <c r="CV155">
        <f>IF(SUMIFS(T_PlannedOrders[EffectiveQty],T_PlannedOrders[Part Name],$A145,T_PlannedOrders[WeekIndex],97)=0,"",SUMIFS(T_PlannedOrders[EffectiveQty],T_PlannedOrders[Part Name],$A145,T_PlannedOrders[WeekIndex],97)&amp;" ("&amp;TEXT(SUMPRODUCT(MAX((T_PlannedOrders[Part Name]=$A145)*(T_PlannedOrders[WeekIndex]=97)*(T_PlannedOrders[EffectiveQty]&gt;0)*T_PlannedOrders[Order_Month])),"m月")&amp;"発注)")</f>
        <v/>
      </c>
      <c r="CW155">
        <f>IF(SUMIFS(T_PlannedOrders[EffectiveQty],T_PlannedOrders[Part Name],$A145,T_PlannedOrders[WeekIndex],98)=0,"",SUMIFS(T_PlannedOrders[EffectiveQty],T_PlannedOrders[Part Name],$A145,T_PlannedOrders[WeekIndex],98)&amp;" ("&amp;TEXT(SUMPRODUCT(MAX((T_PlannedOrders[Part Name]=$A145)*(T_PlannedOrders[WeekIndex]=98)*(T_PlannedOrders[EffectiveQty]&gt;0)*T_PlannedOrders[Order_Month])),"m月")&amp;"発注)")</f>
        <v/>
      </c>
      <c r="CX155">
        <f>IF(SUMIFS(T_PlannedOrders[EffectiveQty],T_PlannedOrders[Part Name],$A145,T_PlannedOrders[WeekIndex],99)=0,"",SUMIFS(T_PlannedOrders[EffectiveQty],T_PlannedOrders[Part Name],$A145,T_PlannedOrders[WeekIndex],99)&amp;" ("&amp;TEXT(SUMPRODUCT(MAX((T_PlannedOrders[Part Name]=$A145)*(T_PlannedOrders[WeekIndex]=99)*(T_PlannedOrders[EffectiveQty]&gt;0)*T_PlannedOrders[Order_Month])),"m月")&amp;"発注)")</f>
        <v/>
      </c>
      <c r="CY155">
        <f>IF(SUMIFS(T_PlannedOrders[EffectiveQty],T_PlannedOrders[Part Name],$A145,T_PlannedOrders[WeekIndex],100)=0,"",SUMIFS(T_PlannedOrders[EffectiveQty],T_PlannedOrders[Part Name],$A145,T_PlannedOrders[WeekIndex],100)&amp;" ("&amp;TEXT(SUMPRODUCT(MAX((T_PlannedOrders[Part Name]=$A145)*(T_PlannedOrders[WeekIndex]=100)*(T_PlannedOrders[EffectiveQty]&gt;0)*T_PlannedOrders[Order_Month])),"m月")&amp;"発注)")</f>
        <v/>
      </c>
      <c r="CZ155">
        <f>IF(SUMIFS(T_PlannedOrders[EffectiveQty],T_PlannedOrders[Part Name],$A145,T_PlannedOrders[WeekIndex],101)=0,"",SUMIFS(T_PlannedOrders[EffectiveQty],T_PlannedOrders[Part Name],$A145,T_PlannedOrders[WeekIndex],101)&amp;" ("&amp;TEXT(SUMPRODUCT(MAX((T_PlannedOrders[Part Name]=$A145)*(T_PlannedOrders[WeekIndex]=101)*(T_PlannedOrders[EffectiveQty]&gt;0)*T_PlannedOrders[Order_Month])),"m月")&amp;"発注)")</f>
        <v/>
      </c>
      <c r="DA155">
        <f>IF(SUMIFS(T_PlannedOrders[EffectiveQty],T_PlannedOrders[Part Name],$A145,T_PlannedOrders[WeekIndex],102)=0,"",SUMIFS(T_PlannedOrders[EffectiveQty],T_PlannedOrders[Part Name],$A145,T_PlannedOrders[WeekIndex],102)&amp;" ("&amp;TEXT(SUMPRODUCT(MAX((T_PlannedOrders[Part Name]=$A145)*(T_PlannedOrders[WeekIndex]=102)*(T_PlannedOrders[EffectiveQty]&gt;0)*T_PlannedOrders[Order_Month])),"m月")&amp;"発注)")</f>
        <v/>
      </c>
      <c r="DB155">
        <f>IF(SUMIFS(T_PlannedOrders[EffectiveQty],T_PlannedOrders[Part Name],$A145,T_PlannedOrders[WeekIndex],103)=0,"",SUMIFS(T_PlannedOrders[EffectiveQty],T_PlannedOrders[Part Name],$A145,T_PlannedOrders[WeekIndex],103)&amp;" ("&amp;TEXT(SUMPRODUCT(MAX((T_PlannedOrders[Part Name]=$A145)*(T_PlannedOrders[WeekIndex]=103)*(T_PlannedOrders[EffectiveQty]&gt;0)*T_PlannedOrders[Order_Month])),"m月")&amp;"発注)")</f>
        <v/>
      </c>
      <c r="DC155">
        <f>IF(SUMIFS(T_PlannedOrders[EffectiveQty],T_PlannedOrders[Part Name],$A145,T_PlannedOrders[WeekIndex],104)=0,"",SUMIFS(T_PlannedOrders[EffectiveQty],T_PlannedOrders[Part Name],$A145,T_PlannedOrders[WeekIndex],104)&amp;" ("&amp;TEXT(SUMPRODUCT(MAX((T_PlannedOrders[Part Name]=$A145)*(T_PlannedOrders[WeekIndex]=104)*(T_PlannedOrders[EffectiveQty]&gt;0)*T_PlannedOrders[Order_Month])),"m月")&amp;"発注)")</f>
        <v/>
      </c>
    </row>
    <row r="156">
      <c r="B156" s="5" t="inlineStr">
        <is>
          <t>合計在庫(週末時点,kg)</t>
        </is>
      </c>
      <c r="D156">
        <f>'Grid_Stock'!B16</f>
        <v/>
      </c>
      <c r="E156">
        <f>'Grid_Stock'!C16</f>
        <v/>
      </c>
      <c r="F156">
        <f>'Grid_Stock'!D16</f>
        <v/>
      </c>
      <c r="G156">
        <f>'Grid_Stock'!E16</f>
        <v/>
      </c>
      <c r="H156">
        <f>'Grid_Stock'!F16</f>
        <v/>
      </c>
      <c r="I156">
        <f>'Grid_Stock'!G16</f>
        <v/>
      </c>
      <c r="J156">
        <f>'Grid_Stock'!H16</f>
        <v/>
      </c>
      <c r="K156">
        <f>'Grid_Stock'!I16</f>
        <v/>
      </c>
      <c r="L156">
        <f>'Grid_Stock'!J16</f>
        <v/>
      </c>
      <c r="M156">
        <f>'Grid_Stock'!K16</f>
        <v/>
      </c>
      <c r="N156">
        <f>'Grid_Stock'!L16</f>
        <v/>
      </c>
      <c r="O156">
        <f>'Grid_Stock'!M16</f>
        <v/>
      </c>
      <c r="P156">
        <f>'Grid_Stock'!N16</f>
        <v/>
      </c>
      <c r="Q156">
        <f>'Grid_Stock'!O16</f>
        <v/>
      </c>
      <c r="R156">
        <f>'Grid_Stock'!P16</f>
        <v/>
      </c>
      <c r="S156">
        <f>'Grid_Stock'!Q16</f>
        <v/>
      </c>
      <c r="T156">
        <f>'Grid_Stock'!R16</f>
        <v/>
      </c>
      <c r="U156">
        <f>'Grid_Stock'!S16</f>
        <v/>
      </c>
      <c r="V156">
        <f>'Grid_Stock'!T16</f>
        <v/>
      </c>
      <c r="W156">
        <f>'Grid_Stock'!U16</f>
        <v/>
      </c>
      <c r="X156">
        <f>'Grid_Stock'!V16</f>
        <v/>
      </c>
      <c r="Y156">
        <f>'Grid_Stock'!W16</f>
        <v/>
      </c>
      <c r="Z156">
        <f>'Grid_Stock'!X16</f>
        <v/>
      </c>
      <c r="AA156">
        <f>'Grid_Stock'!Y16</f>
        <v/>
      </c>
      <c r="AB156">
        <f>'Grid_Stock'!Z16</f>
        <v/>
      </c>
      <c r="AC156">
        <f>'Grid_Stock'!AA16</f>
        <v/>
      </c>
      <c r="AD156">
        <f>'Grid_Stock'!AB16</f>
        <v/>
      </c>
      <c r="AE156">
        <f>'Grid_Stock'!AC16</f>
        <v/>
      </c>
      <c r="AF156">
        <f>'Grid_Stock'!AD16</f>
        <v/>
      </c>
      <c r="AG156">
        <f>'Grid_Stock'!AE16</f>
        <v/>
      </c>
      <c r="AH156">
        <f>'Grid_Stock'!AF16</f>
        <v/>
      </c>
      <c r="AI156">
        <f>'Grid_Stock'!AG16</f>
        <v/>
      </c>
      <c r="AJ156">
        <f>'Grid_Stock'!AH16</f>
        <v/>
      </c>
      <c r="AK156">
        <f>'Grid_Stock'!AI16</f>
        <v/>
      </c>
      <c r="AL156">
        <f>'Grid_Stock'!AJ16</f>
        <v/>
      </c>
      <c r="AM156">
        <f>'Grid_Stock'!AK16</f>
        <v/>
      </c>
      <c r="AN156">
        <f>'Grid_Stock'!AL16</f>
        <v/>
      </c>
      <c r="AO156">
        <f>'Grid_Stock'!AM16</f>
        <v/>
      </c>
      <c r="AP156">
        <f>'Grid_Stock'!AN16</f>
        <v/>
      </c>
      <c r="AQ156">
        <f>'Grid_Stock'!AO16</f>
        <v/>
      </c>
      <c r="AR156">
        <f>'Grid_Stock'!AP16</f>
        <v/>
      </c>
      <c r="AS156">
        <f>'Grid_Stock'!AQ16</f>
        <v/>
      </c>
      <c r="AT156">
        <f>'Grid_Stock'!AR16</f>
        <v/>
      </c>
      <c r="AU156">
        <f>'Grid_Stock'!AS16</f>
        <v/>
      </c>
      <c r="AV156">
        <f>'Grid_Stock'!AT16</f>
        <v/>
      </c>
      <c r="AW156">
        <f>'Grid_Stock'!AU16</f>
        <v/>
      </c>
      <c r="AX156">
        <f>'Grid_Stock'!AV16</f>
        <v/>
      </c>
      <c r="AY156">
        <f>'Grid_Stock'!AW16</f>
        <v/>
      </c>
      <c r="AZ156">
        <f>'Grid_Stock'!AX16</f>
        <v/>
      </c>
      <c r="BA156">
        <f>'Grid_Stock'!AY16</f>
        <v/>
      </c>
      <c r="BB156">
        <f>'Grid_Stock'!AZ16</f>
        <v/>
      </c>
      <c r="BC156">
        <f>'Grid_Stock'!BA16</f>
        <v/>
      </c>
      <c r="BD156">
        <f>'Grid_Stock'!BB16</f>
        <v/>
      </c>
      <c r="BE156">
        <f>'Grid_Stock'!BC16</f>
        <v/>
      </c>
      <c r="BF156">
        <f>'Grid_Stock'!BD16</f>
        <v/>
      </c>
      <c r="BG156">
        <f>'Grid_Stock'!BE16</f>
        <v/>
      </c>
      <c r="BH156">
        <f>'Grid_Stock'!BF16</f>
        <v/>
      </c>
      <c r="BI156">
        <f>'Grid_Stock'!BG16</f>
        <v/>
      </c>
      <c r="BJ156">
        <f>'Grid_Stock'!BH16</f>
        <v/>
      </c>
      <c r="BK156">
        <f>'Grid_Stock'!BI16</f>
        <v/>
      </c>
      <c r="BL156">
        <f>'Grid_Stock'!BJ16</f>
        <v/>
      </c>
      <c r="BM156">
        <f>'Grid_Stock'!BK16</f>
        <v/>
      </c>
      <c r="BN156">
        <f>'Grid_Stock'!BL16</f>
        <v/>
      </c>
      <c r="BO156">
        <f>'Grid_Stock'!BM16</f>
        <v/>
      </c>
      <c r="BP156">
        <f>'Grid_Stock'!BN16</f>
        <v/>
      </c>
      <c r="BQ156">
        <f>'Grid_Stock'!BO16</f>
        <v/>
      </c>
      <c r="BR156">
        <f>'Grid_Stock'!BP16</f>
        <v/>
      </c>
      <c r="BS156">
        <f>'Grid_Stock'!BQ16</f>
        <v/>
      </c>
      <c r="BT156">
        <f>'Grid_Stock'!BR16</f>
        <v/>
      </c>
      <c r="BU156">
        <f>'Grid_Stock'!BS16</f>
        <v/>
      </c>
      <c r="BV156">
        <f>'Grid_Stock'!BT16</f>
        <v/>
      </c>
      <c r="BW156">
        <f>'Grid_Stock'!BU16</f>
        <v/>
      </c>
      <c r="BX156">
        <f>'Grid_Stock'!BV16</f>
        <v/>
      </c>
      <c r="BY156">
        <f>'Grid_Stock'!BW16</f>
        <v/>
      </c>
      <c r="BZ156">
        <f>'Grid_Stock'!BX16</f>
        <v/>
      </c>
      <c r="CA156">
        <f>'Grid_Stock'!BY16</f>
        <v/>
      </c>
      <c r="CB156">
        <f>'Grid_Stock'!BZ16</f>
        <v/>
      </c>
      <c r="CC156">
        <f>'Grid_Stock'!CA16</f>
        <v/>
      </c>
      <c r="CD156">
        <f>'Grid_Stock'!CB16</f>
        <v/>
      </c>
      <c r="CE156">
        <f>'Grid_Stock'!CC16</f>
        <v/>
      </c>
      <c r="CF156">
        <f>'Grid_Stock'!CD16</f>
        <v/>
      </c>
      <c r="CG156">
        <f>'Grid_Stock'!CE16</f>
        <v/>
      </c>
      <c r="CH156">
        <f>'Grid_Stock'!CF16</f>
        <v/>
      </c>
      <c r="CI156">
        <f>'Grid_Stock'!CG16</f>
        <v/>
      </c>
      <c r="CJ156">
        <f>'Grid_Stock'!CH16</f>
        <v/>
      </c>
      <c r="CK156">
        <f>'Grid_Stock'!CI16</f>
        <v/>
      </c>
      <c r="CL156">
        <f>'Grid_Stock'!CJ16</f>
        <v/>
      </c>
      <c r="CM156">
        <f>'Grid_Stock'!CK16</f>
        <v/>
      </c>
      <c r="CN156">
        <f>'Grid_Stock'!CL16</f>
        <v/>
      </c>
      <c r="CO156">
        <f>'Grid_Stock'!CM16</f>
        <v/>
      </c>
      <c r="CP156">
        <f>'Grid_Stock'!CN16</f>
        <v/>
      </c>
      <c r="CQ156">
        <f>'Grid_Stock'!CO16</f>
        <v/>
      </c>
      <c r="CR156">
        <f>'Grid_Stock'!CP16</f>
        <v/>
      </c>
      <c r="CS156">
        <f>'Grid_Stock'!CQ16</f>
        <v/>
      </c>
      <c r="CT156">
        <f>'Grid_Stock'!CR16</f>
        <v/>
      </c>
      <c r="CU156">
        <f>'Grid_Stock'!CS16</f>
        <v/>
      </c>
      <c r="CV156">
        <f>'Grid_Stock'!CT16</f>
        <v/>
      </c>
      <c r="CW156">
        <f>'Grid_Stock'!CU16</f>
        <v/>
      </c>
      <c r="CX156">
        <f>'Grid_Stock'!CV16</f>
        <v/>
      </c>
      <c r="CY156">
        <f>'Grid_Stock'!CW16</f>
        <v/>
      </c>
      <c r="CZ156">
        <f>'Grid_Stock'!CX16</f>
        <v/>
      </c>
      <c r="DA156">
        <f>'Grid_Stock'!CY16</f>
        <v/>
      </c>
      <c r="DB156">
        <f>'Grid_Stock'!CZ16</f>
        <v/>
      </c>
      <c r="DC156">
        <f>'Grid_Stock'!DA16</f>
        <v/>
      </c>
    </row>
    <row r="157">
      <c r="B157" s="23" t="inlineStr">
        <is>
          <t>（発注の目安はDashboardの基準在庫[下限/上限]と色分けを参照）</t>
        </is>
      </c>
    </row>
    <row r="159">
      <c r="A159" s="21" t="inlineStr">
        <is>
          <t>9RJ</t>
        </is>
      </c>
      <c r="B159" s="21" t="inlineStr">
        <is>
          <t>Substrate NGK N116-103-130xTB</t>
        </is>
      </c>
      <c r="C159" s="22" t="n"/>
      <c r="D159" s="21" t="n"/>
      <c r="E159" s="21" t="n"/>
      <c r="F159" s="21" t="n"/>
      <c r="G159" s="21" t="n"/>
      <c r="H159" s="21" t="n"/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  <c r="AA159" s="21" t="n"/>
      <c r="AB159" s="21" t="n"/>
      <c r="AC159" s="21" t="n"/>
      <c r="AD159" s="21" t="n"/>
      <c r="AE159" s="21" t="n"/>
      <c r="AF159" s="21" t="n"/>
      <c r="AG159" s="21" t="n"/>
      <c r="AH159" s="21" t="n"/>
      <c r="AI159" s="21" t="n"/>
      <c r="AJ159" s="21" t="n"/>
      <c r="AK159" s="21" t="n"/>
      <c r="AL159" s="21" t="n"/>
      <c r="AM159" s="21" t="n"/>
      <c r="AN159" s="21" t="n"/>
      <c r="AO159" s="21" t="n"/>
      <c r="AP159" s="21" t="n"/>
      <c r="AQ159" s="21" t="n"/>
      <c r="AR159" s="21" t="n"/>
      <c r="AS159" s="21" t="n"/>
      <c r="AT159" s="21" t="n"/>
      <c r="AU159" s="21" t="n"/>
      <c r="AV159" s="21" t="n"/>
      <c r="AW159" s="21" t="n"/>
      <c r="AX159" s="21" t="n"/>
      <c r="AY159" s="21" t="n"/>
      <c r="AZ159" s="21" t="n"/>
      <c r="BA159" s="21" t="n"/>
      <c r="BB159" s="21" t="n"/>
      <c r="BC159" s="21" t="n"/>
      <c r="BD159" s="21" t="n"/>
      <c r="BE159" s="21" t="n"/>
      <c r="BF159" s="21" t="n"/>
      <c r="BG159" s="21" t="n"/>
      <c r="BH159" s="21" t="n"/>
      <c r="BI159" s="21" t="n"/>
      <c r="BJ159" s="21" t="n"/>
      <c r="BK159" s="21" t="n"/>
      <c r="BL159" s="21" t="n"/>
      <c r="BM159" s="21" t="n"/>
      <c r="BN159" s="21" t="n"/>
      <c r="BO159" s="21" t="n"/>
      <c r="BP159" s="21" t="n"/>
      <c r="BQ159" s="21" t="n"/>
      <c r="BR159" s="21" t="n"/>
      <c r="BS159" s="21" t="n"/>
      <c r="BT159" s="21" t="n"/>
      <c r="BU159" s="21" t="n"/>
      <c r="BV159" s="21" t="n"/>
      <c r="BW159" s="21" t="n"/>
      <c r="BX159" s="21" t="n"/>
      <c r="BY159" s="21" t="n"/>
      <c r="BZ159" s="21" t="n"/>
      <c r="CA159" s="21" t="n"/>
      <c r="CB159" s="21" t="n"/>
      <c r="CC159" s="21" t="n"/>
      <c r="CD159" s="21" t="n"/>
      <c r="CE159" s="21" t="n"/>
      <c r="CF159" s="21" t="n"/>
      <c r="CG159" s="21" t="n"/>
      <c r="CH159" s="21" t="n"/>
      <c r="CI159" s="21" t="n"/>
      <c r="CJ159" s="21" t="n"/>
      <c r="CK159" s="21" t="n"/>
      <c r="CL159" s="21" t="n"/>
      <c r="CM159" s="21" t="n"/>
      <c r="CN159" s="21" t="n"/>
      <c r="CO159" s="21" t="n"/>
      <c r="CP159" s="21" t="n"/>
      <c r="CQ159" s="21" t="n"/>
      <c r="CR159" s="21" t="n"/>
      <c r="CS159" s="21" t="n"/>
      <c r="CT159" s="21" t="n"/>
      <c r="CU159" s="21" t="n"/>
      <c r="CV159" s="21" t="n"/>
      <c r="CW159" s="21" t="n"/>
      <c r="CX159" s="21" t="n"/>
      <c r="CY159" s="21" t="n"/>
      <c r="CZ159" s="21" t="n"/>
      <c r="DA159" s="21" t="n"/>
      <c r="DB159" s="21" t="n"/>
      <c r="DC159" s="21" t="n"/>
    </row>
    <row r="160">
      <c r="B160" t="inlineStr">
        <is>
          <t>0T160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12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Name],$A159)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s="5" t="inlineStr">
        <is>
          <t>合計使用量(kg)/週</t>
        </is>
      </c>
      <c r="D162">
        <f>'Grid_Requirement'!B17</f>
        <v/>
      </c>
      <c r="E162">
        <f>'Grid_Requirement'!C17</f>
        <v/>
      </c>
      <c r="F162">
        <f>'Grid_Requirement'!D17</f>
        <v/>
      </c>
      <c r="G162">
        <f>'Grid_Requirement'!E17</f>
        <v/>
      </c>
      <c r="H162">
        <f>'Grid_Requirement'!F17</f>
        <v/>
      </c>
      <c r="I162">
        <f>'Grid_Requirement'!G17</f>
        <v/>
      </c>
      <c r="J162">
        <f>'Grid_Requirement'!H17</f>
        <v/>
      </c>
      <c r="K162">
        <f>'Grid_Requirement'!I17</f>
        <v/>
      </c>
      <c r="L162">
        <f>'Grid_Requirement'!J17</f>
        <v/>
      </c>
      <c r="M162">
        <f>'Grid_Requirement'!K17</f>
        <v/>
      </c>
      <c r="N162">
        <f>'Grid_Requirement'!L17</f>
        <v/>
      </c>
      <c r="O162">
        <f>'Grid_Requirement'!M17</f>
        <v/>
      </c>
      <c r="P162">
        <f>'Grid_Requirement'!N17</f>
        <v/>
      </c>
      <c r="Q162">
        <f>'Grid_Requirement'!O17</f>
        <v/>
      </c>
      <c r="R162">
        <f>'Grid_Requirement'!P17</f>
        <v/>
      </c>
      <c r="S162">
        <f>'Grid_Requirement'!Q17</f>
        <v/>
      </c>
      <c r="T162">
        <f>'Grid_Requirement'!R17</f>
        <v/>
      </c>
      <c r="U162">
        <f>'Grid_Requirement'!S17</f>
        <v/>
      </c>
      <c r="V162">
        <f>'Grid_Requirement'!T17</f>
        <v/>
      </c>
      <c r="W162">
        <f>'Grid_Requirement'!U17</f>
        <v/>
      </c>
      <c r="X162">
        <f>'Grid_Requirement'!V17</f>
        <v/>
      </c>
      <c r="Y162">
        <f>'Grid_Requirement'!W17</f>
        <v/>
      </c>
      <c r="Z162">
        <f>'Grid_Requirement'!X17</f>
        <v/>
      </c>
      <c r="AA162">
        <f>'Grid_Requirement'!Y17</f>
        <v/>
      </c>
      <c r="AB162">
        <f>'Grid_Requirement'!Z17</f>
        <v/>
      </c>
      <c r="AC162">
        <f>'Grid_Requirement'!AA17</f>
        <v/>
      </c>
      <c r="AD162">
        <f>'Grid_Requirement'!AB17</f>
        <v/>
      </c>
      <c r="AE162">
        <f>'Grid_Requirement'!AC17</f>
        <v/>
      </c>
      <c r="AF162">
        <f>'Grid_Requirement'!AD17</f>
        <v/>
      </c>
      <c r="AG162">
        <f>'Grid_Requirement'!AE17</f>
        <v/>
      </c>
      <c r="AH162">
        <f>'Grid_Requirement'!AF17</f>
        <v/>
      </c>
      <c r="AI162">
        <f>'Grid_Requirement'!AG17</f>
        <v/>
      </c>
      <c r="AJ162">
        <f>'Grid_Requirement'!AH17</f>
        <v/>
      </c>
      <c r="AK162">
        <f>'Grid_Requirement'!AI17</f>
        <v/>
      </c>
      <c r="AL162">
        <f>'Grid_Requirement'!AJ17</f>
        <v/>
      </c>
      <c r="AM162">
        <f>'Grid_Requirement'!AK17</f>
        <v/>
      </c>
      <c r="AN162">
        <f>'Grid_Requirement'!AL17</f>
        <v/>
      </c>
      <c r="AO162">
        <f>'Grid_Requirement'!AM17</f>
        <v/>
      </c>
      <c r="AP162">
        <f>'Grid_Requirement'!AN17</f>
        <v/>
      </c>
      <c r="AQ162">
        <f>'Grid_Requirement'!AO17</f>
        <v/>
      </c>
      <c r="AR162">
        <f>'Grid_Requirement'!AP17</f>
        <v/>
      </c>
      <c r="AS162">
        <f>'Grid_Requirement'!AQ17</f>
        <v/>
      </c>
      <c r="AT162">
        <f>'Grid_Requirement'!AR17</f>
        <v/>
      </c>
      <c r="AU162">
        <f>'Grid_Requirement'!AS17</f>
        <v/>
      </c>
      <c r="AV162">
        <f>'Grid_Requirement'!AT17</f>
        <v/>
      </c>
      <c r="AW162">
        <f>'Grid_Requirement'!AU17</f>
        <v/>
      </c>
      <c r="AX162">
        <f>'Grid_Requirement'!AV17</f>
        <v/>
      </c>
      <c r="AY162">
        <f>'Grid_Requirement'!AW17</f>
        <v/>
      </c>
      <c r="AZ162">
        <f>'Grid_Requirement'!AX17</f>
        <v/>
      </c>
      <c r="BA162">
        <f>'Grid_Requirement'!AY17</f>
        <v/>
      </c>
      <c r="BB162">
        <f>'Grid_Requirement'!AZ17</f>
        <v/>
      </c>
      <c r="BC162">
        <f>'Grid_Requirement'!BA17</f>
        <v/>
      </c>
      <c r="BD162">
        <f>'Grid_Requirement'!BB17</f>
        <v/>
      </c>
      <c r="BE162">
        <f>'Grid_Requirement'!BC17</f>
        <v/>
      </c>
      <c r="BF162">
        <f>'Grid_Requirement'!BD17</f>
        <v/>
      </c>
      <c r="BG162">
        <f>'Grid_Requirement'!BE17</f>
        <v/>
      </c>
      <c r="BH162">
        <f>'Grid_Requirement'!BF17</f>
        <v/>
      </c>
      <c r="BI162">
        <f>'Grid_Requirement'!BG17</f>
        <v/>
      </c>
      <c r="BJ162">
        <f>'Grid_Requirement'!BH17</f>
        <v/>
      </c>
      <c r="BK162">
        <f>'Grid_Requirement'!BI17</f>
        <v/>
      </c>
      <c r="BL162">
        <f>'Grid_Requirement'!BJ17</f>
        <v/>
      </c>
      <c r="BM162">
        <f>'Grid_Requirement'!BK17</f>
        <v/>
      </c>
      <c r="BN162">
        <f>'Grid_Requirement'!BL17</f>
        <v/>
      </c>
      <c r="BO162">
        <f>'Grid_Requirement'!BM17</f>
        <v/>
      </c>
      <c r="BP162">
        <f>'Grid_Requirement'!BN17</f>
        <v/>
      </c>
      <c r="BQ162">
        <f>'Grid_Requirement'!BO17</f>
        <v/>
      </c>
      <c r="BR162">
        <f>'Grid_Requirement'!BP17</f>
        <v/>
      </c>
      <c r="BS162">
        <f>'Grid_Requirement'!BQ17</f>
        <v/>
      </c>
      <c r="BT162">
        <f>'Grid_Requirement'!BR17</f>
        <v/>
      </c>
      <c r="BU162">
        <f>'Grid_Requirement'!BS17</f>
        <v/>
      </c>
      <c r="BV162">
        <f>'Grid_Requirement'!BT17</f>
        <v/>
      </c>
      <c r="BW162">
        <f>'Grid_Requirement'!BU17</f>
        <v/>
      </c>
      <c r="BX162">
        <f>'Grid_Requirement'!BV17</f>
        <v/>
      </c>
      <c r="BY162">
        <f>'Grid_Requirement'!BW17</f>
        <v/>
      </c>
      <c r="BZ162">
        <f>'Grid_Requirement'!BX17</f>
        <v/>
      </c>
      <c r="CA162">
        <f>'Grid_Requirement'!BY17</f>
        <v/>
      </c>
      <c r="CB162">
        <f>'Grid_Requirement'!BZ17</f>
        <v/>
      </c>
      <c r="CC162">
        <f>'Grid_Requirement'!CA17</f>
        <v/>
      </c>
      <c r="CD162">
        <f>'Grid_Requirement'!CB17</f>
        <v/>
      </c>
      <c r="CE162">
        <f>'Grid_Requirement'!CC17</f>
        <v/>
      </c>
      <c r="CF162">
        <f>'Grid_Requirement'!CD17</f>
        <v/>
      </c>
      <c r="CG162">
        <f>'Grid_Requirement'!CE17</f>
        <v/>
      </c>
      <c r="CH162">
        <f>'Grid_Requirement'!CF17</f>
        <v/>
      </c>
      <c r="CI162">
        <f>'Grid_Requirement'!CG17</f>
        <v/>
      </c>
      <c r="CJ162">
        <f>'Grid_Requirement'!CH17</f>
        <v/>
      </c>
      <c r="CK162">
        <f>'Grid_Requirement'!CI17</f>
        <v/>
      </c>
      <c r="CL162">
        <f>'Grid_Requirement'!CJ17</f>
        <v/>
      </c>
      <c r="CM162">
        <f>'Grid_Requirement'!CK17</f>
        <v/>
      </c>
      <c r="CN162">
        <f>'Grid_Requirement'!CL17</f>
        <v/>
      </c>
      <c r="CO162">
        <f>'Grid_Requirement'!CM17</f>
        <v/>
      </c>
      <c r="CP162">
        <f>'Grid_Requirement'!CN17</f>
        <v/>
      </c>
      <c r="CQ162">
        <f>'Grid_Requirement'!CO17</f>
        <v/>
      </c>
      <c r="CR162">
        <f>'Grid_Requirement'!CP17</f>
        <v/>
      </c>
      <c r="CS162">
        <f>'Grid_Requirement'!CQ17</f>
        <v/>
      </c>
      <c r="CT162">
        <f>'Grid_Requirement'!CR17</f>
        <v/>
      </c>
      <c r="CU162">
        <f>'Grid_Requirement'!CS17</f>
        <v/>
      </c>
      <c r="CV162">
        <f>'Grid_Requirement'!CT17</f>
        <v/>
      </c>
      <c r="CW162">
        <f>'Grid_Requirement'!CU17</f>
        <v/>
      </c>
      <c r="CX162">
        <f>'Grid_Requirement'!CV17</f>
        <v/>
      </c>
      <c r="CY162">
        <f>'Grid_Requirement'!CW17</f>
        <v/>
      </c>
      <c r="CZ162">
        <f>'Grid_Requirement'!CX17</f>
        <v/>
      </c>
      <c r="DA162">
        <f>'Grid_Requirement'!CY17</f>
        <v/>
      </c>
      <c r="DB162">
        <f>'Grid_Requirement'!CZ17</f>
        <v/>
      </c>
      <c r="DC162">
        <f>'Grid_Requirement'!DA17</f>
        <v/>
      </c>
    </row>
    <row r="163">
      <c r="B163" t="inlineStr">
        <is>
          <t>TTAF在庫(実績,kg)</t>
        </is>
      </c>
      <c r="D163">
        <f>'T_TTAFStock'!B21</f>
        <v/>
      </c>
      <c r="E163">
        <f>'T_TTAFStock'!C21</f>
        <v/>
      </c>
      <c r="F163">
        <f>'T_TTAFStock'!D21</f>
        <v/>
      </c>
      <c r="G163">
        <f>'T_TTAFStock'!E21</f>
        <v/>
      </c>
      <c r="H163">
        <f>'T_TTAFStock'!F21</f>
        <v/>
      </c>
      <c r="I163">
        <f>'T_TTAFStock'!G21</f>
        <v/>
      </c>
      <c r="J163">
        <f>'T_TTAFStock'!H21</f>
        <v/>
      </c>
      <c r="K163">
        <f>'T_TTAFStock'!I21</f>
        <v/>
      </c>
      <c r="L163">
        <f>'T_TTAFStock'!J21</f>
        <v/>
      </c>
      <c r="M163">
        <f>'T_TTAFStock'!K21</f>
        <v/>
      </c>
      <c r="N163">
        <f>'T_TTAFStock'!L21</f>
        <v/>
      </c>
      <c r="O163">
        <f>'T_TTAFStock'!M21</f>
        <v/>
      </c>
      <c r="P163">
        <f>'T_TTAFStock'!N21</f>
        <v/>
      </c>
      <c r="Q163">
        <f>'T_TTAFStock'!O21</f>
        <v/>
      </c>
      <c r="R163">
        <f>'T_TTAFStock'!P21</f>
        <v/>
      </c>
      <c r="S163">
        <f>'T_TTAFStock'!Q21</f>
        <v/>
      </c>
      <c r="T163">
        <f>'T_TTAFStock'!R21</f>
        <v/>
      </c>
      <c r="U163">
        <f>'T_TTAFStock'!S21</f>
        <v/>
      </c>
      <c r="V163">
        <f>'T_TTAFStock'!T21</f>
        <v/>
      </c>
      <c r="W163">
        <f>'T_TTAFStock'!U21</f>
        <v/>
      </c>
      <c r="X163">
        <f>'T_TTAFStock'!V21</f>
        <v/>
      </c>
      <c r="Y163">
        <f>'T_TTAFStock'!W21</f>
        <v/>
      </c>
      <c r="Z163">
        <f>'T_TTAFStock'!X21</f>
        <v/>
      </c>
      <c r="AA163">
        <f>'T_TTAFStock'!Y21</f>
        <v/>
      </c>
      <c r="AB163">
        <f>'T_TTAFStock'!Z21</f>
        <v/>
      </c>
      <c r="AC163">
        <f>'T_TTAFStock'!AA21</f>
        <v/>
      </c>
      <c r="AD163">
        <f>'T_TTAFStock'!AB21</f>
        <v/>
      </c>
      <c r="AE163">
        <f>'T_TTAFStock'!AC21</f>
        <v/>
      </c>
      <c r="AF163">
        <f>'T_TTAFStock'!AD21</f>
        <v/>
      </c>
      <c r="AG163">
        <f>'T_TTAFStock'!AE21</f>
        <v/>
      </c>
      <c r="AH163">
        <f>'T_TTAFStock'!AF21</f>
        <v/>
      </c>
      <c r="AI163">
        <f>'T_TTAFStock'!AG21</f>
        <v/>
      </c>
      <c r="AJ163">
        <f>'T_TTAFStock'!AH21</f>
        <v/>
      </c>
      <c r="AK163">
        <f>'T_TTAFStock'!AI21</f>
        <v/>
      </c>
      <c r="AL163">
        <f>'T_TTAFStock'!AJ21</f>
        <v/>
      </c>
      <c r="AM163">
        <f>'T_TTAFStock'!AK21</f>
        <v/>
      </c>
      <c r="AN163">
        <f>'T_TTAFStock'!AL21</f>
        <v/>
      </c>
      <c r="AO163">
        <f>'T_TTAFStock'!AM21</f>
        <v/>
      </c>
      <c r="AP163">
        <f>'T_TTAFStock'!AN21</f>
        <v/>
      </c>
      <c r="AQ163">
        <f>'T_TTAFStock'!AO21</f>
        <v/>
      </c>
      <c r="AR163">
        <f>'T_TTAFStock'!AP21</f>
        <v/>
      </c>
      <c r="AS163">
        <f>'T_TTAFStock'!AQ21</f>
        <v/>
      </c>
      <c r="AT163">
        <f>'T_TTAFStock'!AR21</f>
        <v/>
      </c>
      <c r="AU163">
        <f>'T_TTAFStock'!AS21</f>
        <v/>
      </c>
      <c r="AV163">
        <f>'T_TTAFStock'!AT21</f>
        <v/>
      </c>
      <c r="AW163">
        <f>'T_TTAFStock'!AU21</f>
        <v/>
      </c>
      <c r="AX163">
        <f>'T_TTAFStock'!AV21</f>
        <v/>
      </c>
      <c r="AY163">
        <f>'T_TTAFStock'!AW21</f>
        <v/>
      </c>
      <c r="AZ163">
        <f>'T_TTAFStock'!AX21</f>
        <v/>
      </c>
      <c r="BA163">
        <f>'T_TTAFStock'!AY21</f>
        <v/>
      </c>
      <c r="BB163">
        <f>'T_TTAFStock'!AZ21</f>
        <v/>
      </c>
      <c r="BC163">
        <f>'T_TTAFStock'!BA21</f>
        <v/>
      </c>
      <c r="BD163">
        <f>'T_TTAFStock'!BB21</f>
        <v/>
      </c>
      <c r="BE163">
        <f>'T_TTAFStock'!BC21</f>
        <v/>
      </c>
      <c r="BF163">
        <f>'T_TTAFStock'!BD21</f>
        <v/>
      </c>
      <c r="BG163">
        <f>'T_TTAFStock'!BE21</f>
        <v/>
      </c>
      <c r="BH163">
        <f>'T_TTAFStock'!BF21</f>
        <v/>
      </c>
      <c r="BI163">
        <f>'T_TTAFStock'!BG21</f>
        <v/>
      </c>
      <c r="BJ163">
        <f>'T_TTAFStock'!BH21</f>
        <v/>
      </c>
      <c r="BK163">
        <f>'T_TTAFStock'!BI21</f>
        <v/>
      </c>
      <c r="BL163">
        <f>'T_TTAFStock'!BJ21</f>
        <v/>
      </c>
      <c r="BM163">
        <f>'T_TTAFStock'!BK21</f>
        <v/>
      </c>
      <c r="BN163">
        <f>'T_TTAFStock'!BL21</f>
        <v/>
      </c>
      <c r="BO163">
        <f>'T_TTAFStock'!BM21</f>
        <v/>
      </c>
      <c r="BP163">
        <f>'T_TTAFStock'!BN21</f>
        <v/>
      </c>
      <c r="BQ163">
        <f>'T_TTAFStock'!BO21</f>
        <v/>
      </c>
      <c r="BR163">
        <f>'T_TTAFStock'!BP21</f>
        <v/>
      </c>
      <c r="BS163">
        <f>'T_TTAFStock'!BQ21</f>
        <v/>
      </c>
      <c r="BT163">
        <f>'T_TTAFStock'!BR21</f>
        <v/>
      </c>
      <c r="BU163">
        <f>'T_TTAFStock'!BS21</f>
        <v/>
      </c>
      <c r="BV163">
        <f>'T_TTAFStock'!BT21</f>
        <v/>
      </c>
      <c r="BW163">
        <f>'T_TTAFStock'!BU21</f>
        <v/>
      </c>
      <c r="BX163">
        <f>'T_TTAFStock'!BV21</f>
        <v/>
      </c>
      <c r="BY163">
        <f>'T_TTAFStock'!BW21</f>
        <v/>
      </c>
      <c r="BZ163">
        <f>'T_TTAFStock'!BX21</f>
        <v/>
      </c>
      <c r="CA163">
        <f>'T_TTAFStock'!BY21</f>
        <v/>
      </c>
      <c r="CB163">
        <f>'T_TTAFStock'!BZ21</f>
        <v/>
      </c>
      <c r="CC163">
        <f>'T_TTAFStock'!CA21</f>
        <v/>
      </c>
      <c r="CD163">
        <f>'T_TTAFStock'!CB21</f>
        <v/>
      </c>
      <c r="CE163">
        <f>'T_TTAFStock'!CC21</f>
        <v/>
      </c>
      <c r="CF163">
        <f>'T_TTAFStock'!CD21</f>
        <v/>
      </c>
      <c r="CG163">
        <f>'T_TTAFStock'!CE21</f>
        <v/>
      </c>
      <c r="CH163">
        <f>'T_TTAFStock'!CF21</f>
        <v/>
      </c>
      <c r="CI163">
        <f>'T_TTAFStock'!CG21</f>
        <v/>
      </c>
      <c r="CJ163">
        <f>'T_TTAFStock'!CH21</f>
        <v/>
      </c>
      <c r="CK163">
        <f>'T_TTAFStock'!CI21</f>
        <v/>
      </c>
      <c r="CL163">
        <f>'T_TTAFStock'!CJ21</f>
        <v/>
      </c>
      <c r="CM163">
        <f>'T_TTAFStock'!CK21</f>
        <v/>
      </c>
      <c r="CN163">
        <f>'T_TTAFStock'!CL21</f>
        <v/>
      </c>
      <c r="CO163">
        <f>'T_TTAFStock'!CM21</f>
        <v/>
      </c>
      <c r="CP163">
        <f>'T_TTAFStock'!CN21</f>
        <v/>
      </c>
      <c r="CQ163">
        <f>'T_TTAFStock'!CO21</f>
        <v/>
      </c>
      <c r="CR163">
        <f>'T_TTAFStock'!CP21</f>
        <v/>
      </c>
      <c r="CS163">
        <f>'T_TTAFStock'!CQ21</f>
        <v/>
      </c>
      <c r="CT163">
        <f>'T_TTAFStock'!CR21</f>
        <v/>
      </c>
      <c r="CU163">
        <f>'T_TTAFStock'!CS21</f>
        <v/>
      </c>
      <c r="CV163">
        <f>'T_TTAFStock'!CT21</f>
        <v/>
      </c>
      <c r="CW163">
        <f>'T_TTAFStock'!CU21</f>
        <v/>
      </c>
      <c r="CX163">
        <f>'T_TTAFStock'!CV21</f>
        <v/>
      </c>
      <c r="CY163">
        <f>'T_TTAFStock'!CW21</f>
        <v/>
      </c>
      <c r="CZ163">
        <f>'T_TTAFStock'!CX21</f>
        <v/>
      </c>
      <c r="DA163">
        <f>'T_TTAFStock'!CY21</f>
        <v/>
      </c>
      <c r="DB163">
        <f>'T_TTAFStock'!CZ21</f>
        <v/>
      </c>
      <c r="DC163">
        <f>'T_TTAFStock'!DA21</f>
        <v/>
      </c>
    </row>
    <row r="164">
      <c r="B164" t="inlineStr">
        <is>
          <t>自社在庫(実績,kg)</t>
        </is>
      </c>
      <c r="D164">
        <f>'T_SelfStock'!B21</f>
        <v/>
      </c>
      <c r="E164">
        <f>'T_SelfStock'!C21</f>
        <v/>
      </c>
      <c r="F164">
        <f>'T_SelfStock'!D21</f>
        <v/>
      </c>
      <c r="G164">
        <f>'T_SelfStock'!E21</f>
        <v/>
      </c>
      <c r="H164">
        <f>'T_SelfStock'!F21</f>
        <v/>
      </c>
      <c r="I164">
        <f>'T_SelfStock'!G21</f>
        <v/>
      </c>
      <c r="J164">
        <f>'T_SelfStock'!H21</f>
        <v/>
      </c>
      <c r="K164">
        <f>'T_SelfStock'!I21</f>
        <v/>
      </c>
      <c r="L164">
        <f>'T_SelfStock'!J21</f>
        <v/>
      </c>
      <c r="M164">
        <f>'T_SelfStock'!K21</f>
        <v/>
      </c>
      <c r="N164">
        <f>'T_SelfStock'!L21</f>
        <v/>
      </c>
      <c r="O164">
        <f>'T_SelfStock'!M21</f>
        <v/>
      </c>
      <c r="P164">
        <f>'T_SelfStock'!N21</f>
        <v/>
      </c>
      <c r="Q164">
        <f>'T_SelfStock'!O21</f>
        <v/>
      </c>
      <c r="R164">
        <f>'T_SelfStock'!P21</f>
        <v/>
      </c>
      <c r="S164">
        <f>'T_SelfStock'!Q21</f>
        <v/>
      </c>
      <c r="T164">
        <f>'T_SelfStock'!R21</f>
        <v/>
      </c>
      <c r="U164">
        <f>'T_SelfStock'!S21</f>
        <v/>
      </c>
      <c r="V164">
        <f>'T_SelfStock'!T21</f>
        <v/>
      </c>
      <c r="W164">
        <f>'T_SelfStock'!U21</f>
        <v/>
      </c>
      <c r="X164">
        <f>'T_SelfStock'!V21</f>
        <v/>
      </c>
      <c r="Y164">
        <f>'T_SelfStock'!W21</f>
        <v/>
      </c>
      <c r="Z164">
        <f>'T_SelfStock'!X21</f>
        <v/>
      </c>
      <c r="AA164">
        <f>'T_SelfStock'!Y21</f>
        <v/>
      </c>
      <c r="AB164">
        <f>'T_SelfStock'!Z21</f>
        <v/>
      </c>
      <c r="AC164">
        <f>'T_SelfStock'!AA21</f>
        <v/>
      </c>
      <c r="AD164">
        <f>'T_SelfStock'!AB21</f>
        <v/>
      </c>
      <c r="AE164">
        <f>'T_SelfStock'!AC21</f>
        <v/>
      </c>
      <c r="AF164">
        <f>'T_SelfStock'!AD21</f>
        <v/>
      </c>
      <c r="AG164">
        <f>'T_SelfStock'!AE21</f>
        <v/>
      </c>
      <c r="AH164">
        <f>'T_SelfStock'!AF21</f>
        <v/>
      </c>
      <c r="AI164">
        <f>'T_SelfStock'!AG21</f>
        <v/>
      </c>
      <c r="AJ164">
        <f>'T_SelfStock'!AH21</f>
        <v/>
      </c>
      <c r="AK164">
        <f>'T_SelfStock'!AI21</f>
        <v/>
      </c>
      <c r="AL164">
        <f>'T_SelfStock'!AJ21</f>
        <v/>
      </c>
      <c r="AM164">
        <f>'T_SelfStock'!AK21</f>
        <v/>
      </c>
      <c r="AN164">
        <f>'T_SelfStock'!AL21</f>
        <v/>
      </c>
      <c r="AO164">
        <f>'T_SelfStock'!AM21</f>
        <v/>
      </c>
      <c r="AP164">
        <f>'T_SelfStock'!AN21</f>
        <v/>
      </c>
      <c r="AQ164">
        <f>'T_SelfStock'!AO21</f>
        <v/>
      </c>
      <c r="AR164">
        <f>'T_SelfStock'!AP21</f>
        <v/>
      </c>
      <c r="AS164">
        <f>'T_SelfStock'!AQ21</f>
        <v/>
      </c>
      <c r="AT164">
        <f>'T_SelfStock'!AR21</f>
        <v/>
      </c>
      <c r="AU164">
        <f>'T_SelfStock'!AS21</f>
        <v/>
      </c>
      <c r="AV164">
        <f>'T_SelfStock'!AT21</f>
        <v/>
      </c>
      <c r="AW164">
        <f>'T_SelfStock'!AU21</f>
        <v/>
      </c>
      <c r="AX164">
        <f>'T_SelfStock'!AV21</f>
        <v/>
      </c>
      <c r="AY164">
        <f>'T_SelfStock'!AW21</f>
        <v/>
      </c>
      <c r="AZ164">
        <f>'T_SelfStock'!AX21</f>
        <v/>
      </c>
      <c r="BA164">
        <f>'T_SelfStock'!AY21</f>
        <v/>
      </c>
      <c r="BB164">
        <f>'T_SelfStock'!AZ21</f>
        <v/>
      </c>
      <c r="BC164">
        <f>'T_SelfStock'!BA21</f>
        <v/>
      </c>
      <c r="BD164">
        <f>'T_SelfStock'!BB21</f>
        <v/>
      </c>
      <c r="BE164">
        <f>'T_SelfStock'!BC21</f>
        <v/>
      </c>
      <c r="BF164">
        <f>'T_SelfStock'!BD21</f>
        <v/>
      </c>
      <c r="BG164">
        <f>'T_SelfStock'!BE21</f>
        <v/>
      </c>
      <c r="BH164">
        <f>'T_SelfStock'!BF21</f>
        <v/>
      </c>
      <c r="BI164">
        <f>'T_SelfStock'!BG21</f>
        <v/>
      </c>
      <c r="BJ164">
        <f>'T_SelfStock'!BH21</f>
        <v/>
      </c>
      <c r="BK164">
        <f>'T_SelfStock'!BI21</f>
        <v/>
      </c>
      <c r="BL164">
        <f>'T_SelfStock'!BJ21</f>
        <v/>
      </c>
      <c r="BM164">
        <f>'T_SelfStock'!BK21</f>
        <v/>
      </c>
      <c r="BN164">
        <f>'T_SelfStock'!BL21</f>
        <v/>
      </c>
      <c r="BO164">
        <f>'T_SelfStock'!BM21</f>
        <v/>
      </c>
      <c r="BP164">
        <f>'T_SelfStock'!BN21</f>
        <v/>
      </c>
      <c r="BQ164">
        <f>'T_SelfStock'!BO21</f>
        <v/>
      </c>
      <c r="BR164">
        <f>'T_SelfStock'!BP21</f>
        <v/>
      </c>
      <c r="BS164">
        <f>'T_SelfStock'!BQ21</f>
        <v/>
      </c>
      <c r="BT164">
        <f>'T_SelfStock'!BR21</f>
        <v/>
      </c>
      <c r="BU164">
        <f>'T_SelfStock'!BS21</f>
        <v/>
      </c>
      <c r="BV164">
        <f>'T_SelfStock'!BT21</f>
        <v/>
      </c>
      <c r="BW164">
        <f>'T_SelfStock'!BU21</f>
        <v/>
      </c>
      <c r="BX164">
        <f>'T_SelfStock'!BV21</f>
        <v/>
      </c>
      <c r="BY164">
        <f>'T_SelfStock'!BW21</f>
        <v/>
      </c>
      <c r="BZ164">
        <f>'T_SelfStock'!BX21</f>
        <v/>
      </c>
      <c r="CA164">
        <f>'T_SelfStock'!BY21</f>
        <v/>
      </c>
      <c r="CB164">
        <f>'T_SelfStock'!BZ21</f>
        <v/>
      </c>
      <c r="CC164">
        <f>'T_SelfStock'!CA21</f>
        <v/>
      </c>
      <c r="CD164">
        <f>'T_SelfStock'!CB21</f>
        <v/>
      </c>
      <c r="CE164">
        <f>'T_SelfStock'!CC21</f>
        <v/>
      </c>
      <c r="CF164">
        <f>'T_SelfStock'!CD21</f>
        <v/>
      </c>
      <c r="CG164">
        <f>'T_SelfStock'!CE21</f>
        <v/>
      </c>
      <c r="CH164">
        <f>'T_SelfStock'!CF21</f>
        <v/>
      </c>
      <c r="CI164">
        <f>'T_SelfStock'!CG21</f>
        <v/>
      </c>
      <c r="CJ164">
        <f>'T_SelfStock'!CH21</f>
        <v/>
      </c>
      <c r="CK164">
        <f>'T_SelfStock'!CI21</f>
        <v/>
      </c>
      <c r="CL164">
        <f>'T_SelfStock'!CJ21</f>
        <v/>
      </c>
      <c r="CM164">
        <f>'T_SelfStock'!CK21</f>
        <v/>
      </c>
      <c r="CN164">
        <f>'T_SelfStock'!CL21</f>
        <v/>
      </c>
      <c r="CO164">
        <f>'T_SelfStock'!CM21</f>
        <v/>
      </c>
      <c r="CP164">
        <f>'T_SelfStock'!CN21</f>
        <v/>
      </c>
      <c r="CQ164">
        <f>'T_SelfStock'!CO21</f>
        <v/>
      </c>
      <c r="CR164">
        <f>'T_SelfStock'!CP21</f>
        <v/>
      </c>
      <c r="CS164">
        <f>'T_SelfStock'!CQ21</f>
        <v/>
      </c>
      <c r="CT164">
        <f>'T_SelfStock'!CR21</f>
        <v/>
      </c>
      <c r="CU164">
        <f>'T_SelfStock'!CS21</f>
        <v/>
      </c>
      <c r="CV164">
        <f>'T_SelfStock'!CT21</f>
        <v/>
      </c>
      <c r="CW164">
        <f>'T_SelfStock'!CU21</f>
        <v/>
      </c>
      <c r="CX164">
        <f>'T_SelfStock'!CV21</f>
        <v/>
      </c>
      <c r="CY164">
        <f>'T_SelfStock'!CW21</f>
        <v/>
      </c>
      <c r="CZ164">
        <f>'T_SelfStock'!CX21</f>
        <v/>
      </c>
      <c r="DA164">
        <f>'T_SelfStock'!CY21</f>
        <v/>
      </c>
      <c r="DB164">
        <f>'T_SelfStock'!CZ21</f>
        <v/>
      </c>
      <c r="DC164">
        <f>'T_SelfStock'!DA21</f>
        <v/>
      </c>
    </row>
    <row r="165">
      <c r="B165" t="inlineStr">
        <is>
          <t>Order(発注予定,kg)</t>
        </is>
      </c>
      <c r="D165">
        <f>IF(SUMIFS(T_PlannedOrders[EffectiveQty],T_PlannedOrders[Part Name],$A159,T_PlannedOrders[WeekIndex],1)=0,"",SUMIFS(T_PlannedOrders[EffectiveQty],T_PlannedOrders[Part Name],$A159,T_PlannedOrders[WeekIndex],1)&amp;" ("&amp;TEXT(SUMPRODUCT(MAX((T_PlannedOrders[Part Name]=$A159)*(T_PlannedOrders[WeekIndex]=1)*(T_PlannedOrders[EffectiveQty]&gt;0)*T_PlannedOrders[Order_Month])),"m月")&amp;"発注)")</f>
        <v/>
      </c>
      <c r="E165">
        <f>IF(SUMIFS(T_PlannedOrders[EffectiveQty],T_PlannedOrders[Part Name],$A159,T_PlannedOrders[WeekIndex],2)=0,"",SUMIFS(T_PlannedOrders[EffectiveQty],T_PlannedOrders[Part Name],$A159,T_PlannedOrders[WeekIndex],2)&amp;" ("&amp;TEXT(SUMPRODUCT(MAX((T_PlannedOrders[Part Name]=$A159)*(T_PlannedOrders[WeekIndex]=2)*(T_PlannedOrders[EffectiveQty]&gt;0)*T_PlannedOrders[Order_Month])),"m月")&amp;"発注)")</f>
        <v/>
      </c>
      <c r="F165">
        <f>IF(SUMIFS(T_PlannedOrders[EffectiveQty],T_PlannedOrders[Part Name],$A159,T_PlannedOrders[WeekIndex],3)=0,"",SUMIFS(T_PlannedOrders[EffectiveQty],T_PlannedOrders[Part Name],$A159,T_PlannedOrders[WeekIndex],3)&amp;" ("&amp;TEXT(SUMPRODUCT(MAX((T_PlannedOrders[Part Name]=$A159)*(T_PlannedOrders[WeekIndex]=3)*(T_PlannedOrders[EffectiveQty]&gt;0)*T_PlannedOrders[Order_Month])),"m月")&amp;"発注)")</f>
        <v/>
      </c>
      <c r="G165">
        <f>IF(SUMIFS(T_PlannedOrders[EffectiveQty],T_PlannedOrders[Part Name],$A159,T_PlannedOrders[WeekIndex],4)=0,"",SUMIFS(T_PlannedOrders[EffectiveQty],T_PlannedOrders[Part Name],$A159,T_PlannedOrders[WeekIndex],4)&amp;" ("&amp;TEXT(SUMPRODUCT(MAX((T_PlannedOrders[Part Name]=$A159)*(T_PlannedOrders[WeekIndex]=4)*(T_PlannedOrders[EffectiveQty]&gt;0)*T_PlannedOrders[Order_Month])),"m月")&amp;"発注)")</f>
        <v/>
      </c>
      <c r="H165">
        <f>IF(SUMIFS(T_PlannedOrders[EffectiveQty],T_PlannedOrders[Part Name],$A159,T_PlannedOrders[WeekIndex],5)=0,"",SUMIFS(T_PlannedOrders[EffectiveQty],T_PlannedOrders[Part Name],$A159,T_PlannedOrders[WeekIndex],5)&amp;" ("&amp;TEXT(SUMPRODUCT(MAX((T_PlannedOrders[Part Name]=$A159)*(T_PlannedOrders[WeekIndex]=5)*(T_PlannedOrders[EffectiveQty]&gt;0)*T_PlannedOrders[Order_Month])),"m月")&amp;"発注)")</f>
        <v/>
      </c>
      <c r="I165">
        <f>IF(SUMIFS(T_PlannedOrders[EffectiveQty],T_PlannedOrders[Part Name],$A159,T_PlannedOrders[WeekIndex],6)=0,"",SUMIFS(T_PlannedOrders[EffectiveQty],T_PlannedOrders[Part Name],$A159,T_PlannedOrders[WeekIndex],6)&amp;" ("&amp;TEXT(SUMPRODUCT(MAX((T_PlannedOrders[Part Name]=$A159)*(T_PlannedOrders[WeekIndex]=6)*(T_PlannedOrders[EffectiveQty]&gt;0)*T_PlannedOrders[Order_Month])),"m月")&amp;"発注)")</f>
        <v/>
      </c>
      <c r="J165">
        <f>IF(SUMIFS(T_PlannedOrders[EffectiveQty],T_PlannedOrders[Part Name],$A159,T_PlannedOrders[WeekIndex],7)=0,"",SUMIFS(T_PlannedOrders[EffectiveQty],T_PlannedOrders[Part Name],$A159,T_PlannedOrders[WeekIndex],7)&amp;" ("&amp;TEXT(SUMPRODUCT(MAX((T_PlannedOrders[Part Name]=$A159)*(T_PlannedOrders[WeekIndex]=7)*(T_PlannedOrders[EffectiveQty]&gt;0)*T_PlannedOrders[Order_Month])),"m月")&amp;"発注)")</f>
        <v/>
      </c>
      <c r="K165">
        <f>IF(SUMIFS(T_PlannedOrders[EffectiveQty],T_PlannedOrders[Part Name],$A159,T_PlannedOrders[WeekIndex],8)=0,"",SUMIFS(T_PlannedOrders[EffectiveQty],T_PlannedOrders[Part Name],$A159,T_PlannedOrders[WeekIndex],8)&amp;" ("&amp;TEXT(SUMPRODUCT(MAX((T_PlannedOrders[Part Name]=$A159)*(T_PlannedOrders[WeekIndex]=8)*(T_PlannedOrders[EffectiveQty]&gt;0)*T_PlannedOrders[Order_Month])),"m月")&amp;"発注)")</f>
        <v/>
      </c>
      <c r="L165">
        <f>IF(SUMIFS(T_PlannedOrders[EffectiveQty],T_PlannedOrders[Part Name],$A159,T_PlannedOrders[WeekIndex],9)=0,"",SUMIFS(T_PlannedOrders[EffectiveQty],T_PlannedOrders[Part Name],$A159,T_PlannedOrders[WeekIndex],9)&amp;" ("&amp;TEXT(SUMPRODUCT(MAX((T_PlannedOrders[Part Name]=$A159)*(T_PlannedOrders[WeekIndex]=9)*(T_PlannedOrders[EffectiveQty]&gt;0)*T_PlannedOrders[Order_Month])),"m月")&amp;"発注)")</f>
        <v/>
      </c>
      <c r="M165">
        <f>IF(SUMIFS(T_PlannedOrders[EffectiveQty],T_PlannedOrders[Part Name],$A159,T_PlannedOrders[WeekIndex],10)=0,"",SUMIFS(T_PlannedOrders[EffectiveQty],T_PlannedOrders[Part Name],$A159,T_PlannedOrders[WeekIndex],10)&amp;" ("&amp;TEXT(SUMPRODUCT(MAX((T_PlannedOrders[Part Name]=$A159)*(T_PlannedOrders[WeekIndex]=10)*(T_PlannedOrders[EffectiveQty]&gt;0)*T_PlannedOrders[Order_Month])),"m月")&amp;"発注)")</f>
        <v/>
      </c>
      <c r="N165">
        <f>IF(SUMIFS(T_PlannedOrders[EffectiveQty],T_PlannedOrders[Part Name],$A159,T_PlannedOrders[WeekIndex],11)=0,"",SUMIFS(T_PlannedOrders[EffectiveQty],T_PlannedOrders[Part Name],$A159,T_PlannedOrders[WeekIndex],11)&amp;" ("&amp;TEXT(SUMPRODUCT(MAX((T_PlannedOrders[Part Name]=$A159)*(T_PlannedOrders[WeekIndex]=11)*(T_PlannedOrders[EffectiveQty]&gt;0)*T_PlannedOrders[Order_Month])),"m月")&amp;"発注)")</f>
        <v/>
      </c>
      <c r="O165">
        <f>IF(SUMIFS(T_PlannedOrders[EffectiveQty],T_PlannedOrders[Part Name],$A159,T_PlannedOrders[WeekIndex],12)=0,"",SUMIFS(T_PlannedOrders[EffectiveQty],T_PlannedOrders[Part Name],$A159,T_PlannedOrders[WeekIndex],12)&amp;" ("&amp;TEXT(SUMPRODUCT(MAX((T_PlannedOrders[Part Name]=$A159)*(T_PlannedOrders[WeekIndex]=12)*(T_PlannedOrders[EffectiveQty]&gt;0)*T_PlannedOrders[Order_Month])),"m月")&amp;"発注)")</f>
        <v/>
      </c>
      <c r="P165">
        <f>IF(SUMIFS(T_PlannedOrders[EffectiveQty],T_PlannedOrders[Part Name],$A159,T_PlannedOrders[WeekIndex],13)=0,"",SUMIFS(T_PlannedOrders[EffectiveQty],T_PlannedOrders[Part Name],$A159,T_PlannedOrders[WeekIndex],13)&amp;" ("&amp;TEXT(SUMPRODUCT(MAX((T_PlannedOrders[Part Name]=$A159)*(T_PlannedOrders[WeekIndex]=13)*(T_PlannedOrders[EffectiveQty]&gt;0)*T_PlannedOrders[Order_Month])),"m月")&amp;"発注)")</f>
        <v/>
      </c>
      <c r="Q165">
        <f>IF(SUMIFS(T_PlannedOrders[EffectiveQty],T_PlannedOrders[Part Name],$A159,T_PlannedOrders[WeekIndex],14)=0,"",SUMIFS(T_PlannedOrders[EffectiveQty],T_PlannedOrders[Part Name],$A159,T_PlannedOrders[WeekIndex],14)&amp;" ("&amp;TEXT(SUMPRODUCT(MAX((T_PlannedOrders[Part Name]=$A159)*(T_PlannedOrders[WeekIndex]=14)*(T_PlannedOrders[EffectiveQty]&gt;0)*T_PlannedOrders[Order_Month])),"m月")&amp;"発注)")</f>
        <v/>
      </c>
      <c r="R165">
        <f>IF(SUMIFS(T_PlannedOrders[EffectiveQty],T_PlannedOrders[Part Name],$A159,T_PlannedOrders[WeekIndex],15)=0,"",SUMIFS(T_PlannedOrders[EffectiveQty],T_PlannedOrders[Part Name],$A159,T_PlannedOrders[WeekIndex],15)&amp;" ("&amp;TEXT(SUMPRODUCT(MAX((T_PlannedOrders[Part Name]=$A159)*(T_PlannedOrders[WeekIndex]=15)*(T_PlannedOrders[EffectiveQty]&gt;0)*T_PlannedOrders[Order_Month])),"m月")&amp;"発注)")</f>
        <v/>
      </c>
      <c r="S165">
        <f>IF(SUMIFS(T_PlannedOrders[EffectiveQty],T_PlannedOrders[Part Name],$A159,T_PlannedOrders[WeekIndex],16)=0,"",SUMIFS(T_PlannedOrders[EffectiveQty],T_PlannedOrders[Part Name],$A159,T_PlannedOrders[WeekIndex],16)&amp;" ("&amp;TEXT(SUMPRODUCT(MAX((T_PlannedOrders[Part Name]=$A159)*(T_PlannedOrders[WeekIndex]=16)*(T_PlannedOrders[EffectiveQty]&gt;0)*T_PlannedOrders[Order_Month])),"m月")&amp;"発注)")</f>
        <v/>
      </c>
      <c r="T165">
        <f>IF(SUMIFS(T_PlannedOrders[EffectiveQty],T_PlannedOrders[Part Name],$A159,T_PlannedOrders[WeekIndex],17)=0,"",SUMIFS(T_PlannedOrders[EffectiveQty],T_PlannedOrders[Part Name],$A159,T_PlannedOrders[WeekIndex],17)&amp;" ("&amp;TEXT(SUMPRODUCT(MAX((T_PlannedOrders[Part Name]=$A159)*(T_PlannedOrders[WeekIndex]=17)*(T_PlannedOrders[EffectiveQty]&gt;0)*T_PlannedOrders[Order_Month])),"m月")&amp;"発注)")</f>
        <v/>
      </c>
      <c r="U165">
        <f>IF(SUMIFS(T_PlannedOrders[EffectiveQty],T_PlannedOrders[Part Name],$A159,T_PlannedOrders[WeekIndex],18)=0,"",SUMIFS(T_PlannedOrders[EffectiveQty],T_PlannedOrders[Part Name],$A159,T_PlannedOrders[WeekIndex],18)&amp;" ("&amp;TEXT(SUMPRODUCT(MAX((T_PlannedOrders[Part Name]=$A159)*(T_PlannedOrders[WeekIndex]=18)*(T_PlannedOrders[EffectiveQty]&gt;0)*T_PlannedOrders[Order_Month])),"m月")&amp;"発注)")</f>
        <v/>
      </c>
      <c r="V165">
        <f>IF(SUMIFS(T_PlannedOrders[EffectiveQty],T_PlannedOrders[Part Name],$A159,T_PlannedOrders[WeekIndex],19)=0,"",SUMIFS(T_PlannedOrders[EffectiveQty],T_PlannedOrders[Part Name],$A159,T_PlannedOrders[WeekIndex],19)&amp;" ("&amp;TEXT(SUMPRODUCT(MAX((T_PlannedOrders[Part Name]=$A159)*(T_PlannedOrders[WeekIndex]=19)*(T_PlannedOrders[EffectiveQty]&gt;0)*T_PlannedOrders[Order_Month])),"m月")&amp;"発注)")</f>
        <v/>
      </c>
      <c r="W165">
        <f>IF(SUMIFS(T_PlannedOrders[EffectiveQty],T_PlannedOrders[Part Name],$A159,T_PlannedOrders[WeekIndex],20)=0,"",SUMIFS(T_PlannedOrders[EffectiveQty],T_PlannedOrders[Part Name],$A159,T_PlannedOrders[WeekIndex],20)&amp;" ("&amp;TEXT(SUMPRODUCT(MAX((T_PlannedOrders[Part Name]=$A159)*(T_PlannedOrders[WeekIndex]=20)*(T_PlannedOrders[EffectiveQty]&gt;0)*T_PlannedOrders[Order_Month])),"m月")&amp;"発注)")</f>
        <v/>
      </c>
      <c r="X165">
        <f>IF(SUMIFS(T_PlannedOrders[EffectiveQty],T_PlannedOrders[Part Name],$A159,T_PlannedOrders[WeekIndex],21)=0,"",SUMIFS(T_PlannedOrders[EffectiveQty],T_PlannedOrders[Part Name],$A159,T_PlannedOrders[WeekIndex],21)&amp;" ("&amp;TEXT(SUMPRODUCT(MAX((T_PlannedOrders[Part Name]=$A159)*(T_PlannedOrders[WeekIndex]=21)*(T_PlannedOrders[EffectiveQty]&gt;0)*T_PlannedOrders[Order_Month])),"m月")&amp;"発注)")</f>
        <v/>
      </c>
      <c r="Y165">
        <f>IF(SUMIFS(T_PlannedOrders[EffectiveQty],T_PlannedOrders[Part Name],$A159,T_PlannedOrders[WeekIndex],22)=0,"",SUMIFS(T_PlannedOrders[EffectiveQty],T_PlannedOrders[Part Name],$A159,T_PlannedOrders[WeekIndex],22)&amp;" ("&amp;TEXT(SUMPRODUCT(MAX((T_PlannedOrders[Part Name]=$A159)*(T_PlannedOrders[WeekIndex]=22)*(T_PlannedOrders[EffectiveQty]&gt;0)*T_PlannedOrders[Order_Month])),"m月")&amp;"発注)")</f>
        <v/>
      </c>
      <c r="Z165">
        <f>IF(SUMIFS(T_PlannedOrders[EffectiveQty],T_PlannedOrders[Part Name],$A159,T_PlannedOrders[WeekIndex],23)=0,"",SUMIFS(T_PlannedOrders[EffectiveQty],T_PlannedOrders[Part Name],$A159,T_PlannedOrders[WeekIndex],23)&amp;" ("&amp;TEXT(SUMPRODUCT(MAX((T_PlannedOrders[Part Name]=$A159)*(T_PlannedOrders[WeekIndex]=23)*(T_PlannedOrders[EffectiveQty]&gt;0)*T_PlannedOrders[Order_Month])),"m月")&amp;"発注)")</f>
        <v/>
      </c>
      <c r="AA165">
        <f>IF(SUMIFS(T_PlannedOrders[EffectiveQty],T_PlannedOrders[Part Name],$A159,T_PlannedOrders[WeekIndex],24)=0,"",SUMIFS(T_PlannedOrders[EffectiveQty],T_PlannedOrders[Part Name],$A159,T_PlannedOrders[WeekIndex],24)&amp;" ("&amp;TEXT(SUMPRODUCT(MAX((T_PlannedOrders[Part Name]=$A159)*(T_PlannedOrders[WeekIndex]=24)*(T_PlannedOrders[EffectiveQty]&gt;0)*T_PlannedOrders[Order_Month])),"m月")&amp;"発注)")</f>
        <v/>
      </c>
      <c r="AB165">
        <f>IF(SUMIFS(T_PlannedOrders[EffectiveQty],T_PlannedOrders[Part Name],$A159,T_PlannedOrders[WeekIndex],25)=0,"",SUMIFS(T_PlannedOrders[EffectiveQty],T_PlannedOrders[Part Name],$A159,T_PlannedOrders[WeekIndex],25)&amp;" ("&amp;TEXT(SUMPRODUCT(MAX((T_PlannedOrders[Part Name]=$A159)*(T_PlannedOrders[WeekIndex]=25)*(T_PlannedOrders[EffectiveQty]&gt;0)*T_PlannedOrders[Order_Month])),"m月")&amp;"発注)")</f>
        <v/>
      </c>
      <c r="AC165">
        <f>IF(SUMIFS(T_PlannedOrders[EffectiveQty],T_PlannedOrders[Part Name],$A159,T_PlannedOrders[WeekIndex],26)=0,"",SUMIFS(T_PlannedOrders[EffectiveQty],T_PlannedOrders[Part Name],$A159,T_PlannedOrders[WeekIndex],26)&amp;" ("&amp;TEXT(SUMPRODUCT(MAX((T_PlannedOrders[Part Name]=$A159)*(T_PlannedOrders[WeekIndex]=26)*(T_PlannedOrders[EffectiveQty]&gt;0)*T_PlannedOrders[Order_Month])),"m月")&amp;"発注)")</f>
        <v/>
      </c>
      <c r="AD165">
        <f>IF(SUMIFS(T_PlannedOrders[EffectiveQty],T_PlannedOrders[Part Name],$A159,T_PlannedOrders[WeekIndex],27)=0,"",SUMIFS(T_PlannedOrders[EffectiveQty],T_PlannedOrders[Part Name],$A159,T_PlannedOrders[WeekIndex],27)&amp;" ("&amp;TEXT(SUMPRODUCT(MAX((T_PlannedOrders[Part Name]=$A159)*(T_PlannedOrders[WeekIndex]=27)*(T_PlannedOrders[EffectiveQty]&gt;0)*T_PlannedOrders[Order_Month])),"m月")&amp;"発注)")</f>
        <v/>
      </c>
      <c r="AE165">
        <f>IF(SUMIFS(T_PlannedOrders[EffectiveQty],T_PlannedOrders[Part Name],$A159,T_PlannedOrders[WeekIndex],28)=0,"",SUMIFS(T_PlannedOrders[EffectiveQty],T_PlannedOrders[Part Name],$A159,T_PlannedOrders[WeekIndex],28)&amp;" ("&amp;TEXT(SUMPRODUCT(MAX((T_PlannedOrders[Part Name]=$A159)*(T_PlannedOrders[WeekIndex]=28)*(T_PlannedOrders[EffectiveQty]&gt;0)*T_PlannedOrders[Order_Month])),"m月")&amp;"発注)")</f>
        <v/>
      </c>
      <c r="AF165">
        <f>IF(SUMIFS(T_PlannedOrders[EffectiveQty],T_PlannedOrders[Part Name],$A159,T_PlannedOrders[WeekIndex],29)=0,"",SUMIFS(T_PlannedOrders[EffectiveQty],T_PlannedOrders[Part Name],$A159,T_PlannedOrders[WeekIndex],29)&amp;" ("&amp;TEXT(SUMPRODUCT(MAX((T_PlannedOrders[Part Name]=$A159)*(T_PlannedOrders[WeekIndex]=29)*(T_PlannedOrders[EffectiveQty]&gt;0)*T_PlannedOrders[Order_Month])),"m月")&amp;"発注)")</f>
        <v/>
      </c>
      <c r="AG165">
        <f>IF(SUMIFS(T_PlannedOrders[EffectiveQty],T_PlannedOrders[Part Name],$A159,T_PlannedOrders[WeekIndex],30)=0,"",SUMIFS(T_PlannedOrders[EffectiveQty],T_PlannedOrders[Part Name],$A159,T_PlannedOrders[WeekIndex],30)&amp;" ("&amp;TEXT(SUMPRODUCT(MAX((T_PlannedOrders[Part Name]=$A159)*(T_PlannedOrders[WeekIndex]=30)*(T_PlannedOrders[EffectiveQty]&gt;0)*T_PlannedOrders[Order_Month])),"m月")&amp;"発注)")</f>
        <v/>
      </c>
      <c r="AH165">
        <f>IF(SUMIFS(T_PlannedOrders[EffectiveQty],T_PlannedOrders[Part Name],$A159,T_PlannedOrders[WeekIndex],31)=0,"",SUMIFS(T_PlannedOrders[EffectiveQty],T_PlannedOrders[Part Name],$A159,T_PlannedOrders[WeekIndex],31)&amp;" ("&amp;TEXT(SUMPRODUCT(MAX((T_PlannedOrders[Part Name]=$A159)*(T_PlannedOrders[WeekIndex]=31)*(T_PlannedOrders[EffectiveQty]&gt;0)*T_PlannedOrders[Order_Month])),"m月")&amp;"発注)")</f>
        <v/>
      </c>
      <c r="AI165">
        <f>IF(SUMIFS(T_PlannedOrders[EffectiveQty],T_PlannedOrders[Part Name],$A159,T_PlannedOrders[WeekIndex],32)=0,"",SUMIFS(T_PlannedOrders[EffectiveQty],T_PlannedOrders[Part Name],$A159,T_PlannedOrders[WeekIndex],32)&amp;" ("&amp;TEXT(SUMPRODUCT(MAX((T_PlannedOrders[Part Name]=$A159)*(T_PlannedOrders[WeekIndex]=32)*(T_PlannedOrders[EffectiveQty]&gt;0)*T_PlannedOrders[Order_Month])),"m月")&amp;"発注)")</f>
        <v/>
      </c>
      <c r="AJ165">
        <f>IF(SUMIFS(T_PlannedOrders[EffectiveQty],T_PlannedOrders[Part Name],$A159,T_PlannedOrders[WeekIndex],33)=0,"",SUMIFS(T_PlannedOrders[EffectiveQty],T_PlannedOrders[Part Name],$A159,T_PlannedOrders[WeekIndex],33)&amp;" ("&amp;TEXT(SUMPRODUCT(MAX((T_PlannedOrders[Part Name]=$A159)*(T_PlannedOrders[WeekIndex]=33)*(T_PlannedOrders[EffectiveQty]&gt;0)*T_PlannedOrders[Order_Month])),"m月")&amp;"発注)")</f>
        <v/>
      </c>
      <c r="AK165">
        <f>IF(SUMIFS(T_PlannedOrders[EffectiveQty],T_PlannedOrders[Part Name],$A159,T_PlannedOrders[WeekIndex],34)=0,"",SUMIFS(T_PlannedOrders[EffectiveQty],T_PlannedOrders[Part Name],$A159,T_PlannedOrders[WeekIndex],34)&amp;" ("&amp;TEXT(SUMPRODUCT(MAX((T_PlannedOrders[Part Name]=$A159)*(T_PlannedOrders[WeekIndex]=34)*(T_PlannedOrders[EffectiveQty]&gt;0)*T_PlannedOrders[Order_Month])),"m月")&amp;"発注)")</f>
        <v/>
      </c>
      <c r="AL165">
        <f>IF(SUMIFS(T_PlannedOrders[EffectiveQty],T_PlannedOrders[Part Name],$A159,T_PlannedOrders[WeekIndex],35)=0,"",SUMIFS(T_PlannedOrders[EffectiveQty],T_PlannedOrders[Part Name],$A159,T_PlannedOrders[WeekIndex],35)&amp;" ("&amp;TEXT(SUMPRODUCT(MAX((T_PlannedOrders[Part Name]=$A159)*(T_PlannedOrders[WeekIndex]=35)*(T_PlannedOrders[EffectiveQty]&gt;0)*T_PlannedOrders[Order_Month])),"m月")&amp;"発注)")</f>
        <v/>
      </c>
      <c r="AM165">
        <f>IF(SUMIFS(T_PlannedOrders[EffectiveQty],T_PlannedOrders[Part Name],$A159,T_PlannedOrders[WeekIndex],36)=0,"",SUMIFS(T_PlannedOrders[EffectiveQty],T_PlannedOrders[Part Name],$A159,T_PlannedOrders[WeekIndex],36)&amp;" ("&amp;TEXT(SUMPRODUCT(MAX((T_PlannedOrders[Part Name]=$A159)*(T_PlannedOrders[WeekIndex]=36)*(T_PlannedOrders[EffectiveQty]&gt;0)*T_PlannedOrders[Order_Month])),"m月")&amp;"発注)")</f>
        <v/>
      </c>
      <c r="AN165">
        <f>IF(SUMIFS(T_PlannedOrders[EffectiveQty],T_PlannedOrders[Part Name],$A159,T_PlannedOrders[WeekIndex],37)=0,"",SUMIFS(T_PlannedOrders[EffectiveQty],T_PlannedOrders[Part Name],$A159,T_PlannedOrders[WeekIndex],37)&amp;" ("&amp;TEXT(SUMPRODUCT(MAX((T_PlannedOrders[Part Name]=$A159)*(T_PlannedOrders[WeekIndex]=37)*(T_PlannedOrders[EffectiveQty]&gt;0)*T_PlannedOrders[Order_Month])),"m月")&amp;"発注)")</f>
        <v/>
      </c>
      <c r="AO165">
        <f>IF(SUMIFS(T_PlannedOrders[EffectiveQty],T_PlannedOrders[Part Name],$A159,T_PlannedOrders[WeekIndex],38)=0,"",SUMIFS(T_PlannedOrders[EffectiveQty],T_PlannedOrders[Part Name],$A159,T_PlannedOrders[WeekIndex],38)&amp;" ("&amp;TEXT(SUMPRODUCT(MAX((T_PlannedOrders[Part Name]=$A159)*(T_PlannedOrders[WeekIndex]=38)*(T_PlannedOrders[EffectiveQty]&gt;0)*T_PlannedOrders[Order_Month])),"m月")&amp;"発注)")</f>
        <v/>
      </c>
      <c r="AP165">
        <f>IF(SUMIFS(T_PlannedOrders[EffectiveQty],T_PlannedOrders[Part Name],$A159,T_PlannedOrders[WeekIndex],39)=0,"",SUMIFS(T_PlannedOrders[EffectiveQty],T_PlannedOrders[Part Name],$A159,T_PlannedOrders[WeekIndex],39)&amp;" ("&amp;TEXT(SUMPRODUCT(MAX((T_PlannedOrders[Part Name]=$A159)*(T_PlannedOrders[WeekIndex]=39)*(T_PlannedOrders[EffectiveQty]&gt;0)*T_PlannedOrders[Order_Month])),"m月")&amp;"発注)")</f>
        <v/>
      </c>
      <c r="AQ165">
        <f>IF(SUMIFS(T_PlannedOrders[EffectiveQty],T_PlannedOrders[Part Name],$A159,T_PlannedOrders[WeekIndex],40)=0,"",SUMIFS(T_PlannedOrders[EffectiveQty],T_PlannedOrders[Part Name],$A159,T_PlannedOrders[WeekIndex],40)&amp;" ("&amp;TEXT(SUMPRODUCT(MAX((T_PlannedOrders[Part Name]=$A159)*(T_PlannedOrders[WeekIndex]=40)*(T_PlannedOrders[EffectiveQty]&gt;0)*T_PlannedOrders[Order_Month])),"m月")&amp;"発注)")</f>
        <v/>
      </c>
      <c r="AR165">
        <f>IF(SUMIFS(T_PlannedOrders[EffectiveQty],T_PlannedOrders[Part Name],$A159,T_PlannedOrders[WeekIndex],41)=0,"",SUMIFS(T_PlannedOrders[EffectiveQty],T_PlannedOrders[Part Name],$A159,T_PlannedOrders[WeekIndex],41)&amp;" ("&amp;TEXT(SUMPRODUCT(MAX((T_PlannedOrders[Part Name]=$A159)*(T_PlannedOrders[WeekIndex]=41)*(T_PlannedOrders[EffectiveQty]&gt;0)*T_PlannedOrders[Order_Month])),"m月")&amp;"発注)")</f>
        <v/>
      </c>
      <c r="AS165">
        <f>IF(SUMIFS(T_PlannedOrders[EffectiveQty],T_PlannedOrders[Part Name],$A159,T_PlannedOrders[WeekIndex],42)=0,"",SUMIFS(T_PlannedOrders[EffectiveQty],T_PlannedOrders[Part Name],$A159,T_PlannedOrders[WeekIndex],42)&amp;" ("&amp;TEXT(SUMPRODUCT(MAX((T_PlannedOrders[Part Name]=$A159)*(T_PlannedOrders[WeekIndex]=42)*(T_PlannedOrders[EffectiveQty]&gt;0)*T_PlannedOrders[Order_Month])),"m月")&amp;"発注)")</f>
        <v/>
      </c>
      <c r="AT165">
        <f>IF(SUMIFS(T_PlannedOrders[EffectiveQty],T_PlannedOrders[Part Name],$A159,T_PlannedOrders[WeekIndex],43)=0,"",SUMIFS(T_PlannedOrders[EffectiveQty],T_PlannedOrders[Part Name],$A159,T_PlannedOrders[WeekIndex],43)&amp;" ("&amp;TEXT(SUMPRODUCT(MAX((T_PlannedOrders[Part Name]=$A159)*(T_PlannedOrders[WeekIndex]=43)*(T_PlannedOrders[EffectiveQty]&gt;0)*T_PlannedOrders[Order_Month])),"m月")&amp;"発注)")</f>
        <v/>
      </c>
      <c r="AU165">
        <f>IF(SUMIFS(T_PlannedOrders[EffectiveQty],T_PlannedOrders[Part Name],$A159,T_PlannedOrders[WeekIndex],44)=0,"",SUMIFS(T_PlannedOrders[EffectiveQty],T_PlannedOrders[Part Name],$A159,T_PlannedOrders[WeekIndex],44)&amp;" ("&amp;TEXT(SUMPRODUCT(MAX((T_PlannedOrders[Part Name]=$A159)*(T_PlannedOrders[WeekIndex]=44)*(T_PlannedOrders[EffectiveQty]&gt;0)*T_PlannedOrders[Order_Month])),"m月")&amp;"発注)")</f>
        <v/>
      </c>
      <c r="AV165">
        <f>IF(SUMIFS(T_PlannedOrders[EffectiveQty],T_PlannedOrders[Part Name],$A159,T_PlannedOrders[WeekIndex],45)=0,"",SUMIFS(T_PlannedOrders[EffectiveQty],T_PlannedOrders[Part Name],$A159,T_PlannedOrders[WeekIndex],45)&amp;" ("&amp;TEXT(SUMPRODUCT(MAX((T_PlannedOrders[Part Name]=$A159)*(T_PlannedOrders[WeekIndex]=45)*(T_PlannedOrders[EffectiveQty]&gt;0)*T_PlannedOrders[Order_Month])),"m月")&amp;"発注)")</f>
        <v/>
      </c>
      <c r="AW165">
        <f>IF(SUMIFS(T_PlannedOrders[EffectiveQty],T_PlannedOrders[Part Name],$A159,T_PlannedOrders[WeekIndex],46)=0,"",SUMIFS(T_PlannedOrders[EffectiveQty],T_PlannedOrders[Part Name],$A159,T_PlannedOrders[WeekIndex],46)&amp;" ("&amp;TEXT(SUMPRODUCT(MAX((T_PlannedOrders[Part Name]=$A159)*(T_PlannedOrders[WeekIndex]=46)*(T_PlannedOrders[EffectiveQty]&gt;0)*T_PlannedOrders[Order_Month])),"m月")&amp;"発注)")</f>
        <v/>
      </c>
      <c r="AX165">
        <f>IF(SUMIFS(T_PlannedOrders[EffectiveQty],T_PlannedOrders[Part Name],$A159,T_PlannedOrders[WeekIndex],47)=0,"",SUMIFS(T_PlannedOrders[EffectiveQty],T_PlannedOrders[Part Name],$A159,T_PlannedOrders[WeekIndex],47)&amp;" ("&amp;TEXT(SUMPRODUCT(MAX((T_PlannedOrders[Part Name]=$A159)*(T_PlannedOrders[WeekIndex]=47)*(T_PlannedOrders[EffectiveQty]&gt;0)*T_PlannedOrders[Order_Month])),"m月")&amp;"発注)")</f>
        <v/>
      </c>
      <c r="AY165">
        <f>IF(SUMIFS(T_PlannedOrders[EffectiveQty],T_PlannedOrders[Part Name],$A159,T_PlannedOrders[WeekIndex],48)=0,"",SUMIFS(T_PlannedOrders[EffectiveQty],T_PlannedOrders[Part Name],$A159,T_PlannedOrders[WeekIndex],48)&amp;" ("&amp;TEXT(SUMPRODUCT(MAX((T_PlannedOrders[Part Name]=$A159)*(T_PlannedOrders[WeekIndex]=48)*(T_PlannedOrders[EffectiveQty]&gt;0)*T_PlannedOrders[Order_Month])),"m月")&amp;"発注)")</f>
        <v/>
      </c>
      <c r="AZ165">
        <f>IF(SUMIFS(T_PlannedOrders[EffectiveQty],T_PlannedOrders[Part Name],$A159,T_PlannedOrders[WeekIndex],49)=0,"",SUMIFS(T_PlannedOrders[EffectiveQty],T_PlannedOrders[Part Name],$A159,T_PlannedOrders[WeekIndex],49)&amp;" ("&amp;TEXT(SUMPRODUCT(MAX((T_PlannedOrders[Part Name]=$A159)*(T_PlannedOrders[WeekIndex]=49)*(T_PlannedOrders[EffectiveQty]&gt;0)*T_PlannedOrders[Order_Month])),"m月")&amp;"発注)")</f>
        <v/>
      </c>
      <c r="BA165">
        <f>IF(SUMIFS(T_PlannedOrders[EffectiveQty],T_PlannedOrders[Part Name],$A159,T_PlannedOrders[WeekIndex],50)=0,"",SUMIFS(T_PlannedOrders[EffectiveQty],T_PlannedOrders[Part Name],$A159,T_PlannedOrders[WeekIndex],50)&amp;" ("&amp;TEXT(SUMPRODUCT(MAX((T_PlannedOrders[Part Name]=$A159)*(T_PlannedOrders[WeekIndex]=50)*(T_PlannedOrders[EffectiveQty]&gt;0)*T_PlannedOrders[Order_Month])),"m月")&amp;"発注)")</f>
        <v/>
      </c>
      <c r="BB165">
        <f>IF(SUMIFS(T_PlannedOrders[EffectiveQty],T_PlannedOrders[Part Name],$A159,T_PlannedOrders[WeekIndex],51)=0,"",SUMIFS(T_PlannedOrders[EffectiveQty],T_PlannedOrders[Part Name],$A159,T_PlannedOrders[WeekIndex],51)&amp;" ("&amp;TEXT(SUMPRODUCT(MAX((T_PlannedOrders[Part Name]=$A159)*(T_PlannedOrders[WeekIndex]=51)*(T_PlannedOrders[EffectiveQty]&gt;0)*T_PlannedOrders[Order_Month])),"m月")&amp;"発注)")</f>
        <v/>
      </c>
      <c r="BC165">
        <f>IF(SUMIFS(T_PlannedOrders[EffectiveQty],T_PlannedOrders[Part Name],$A159,T_PlannedOrders[WeekIndex],52)=0,"",SUMIFS(T_PlannedOrders[EffectiveQty],T_PlannedOrders[Part Name],$A159,T_PlannedOrders[WeekIndex],52)&amp;" ("&amp;TEXT(SUMPRODUCT(MAX((T_PlannedOrders[Part Name]=$A159)*(T_PlannedOrders[WeekIndex]=52)*(T_PlannedOrders[EffectiveQty]&gt;0)*T_PlannedOrders[Order_Month])),"m月")&amp;"発注)")</f>
        <v/>
      </c>
      <c r="BD165">
        <f>IF(SUMIFS(T_PlannedOrders[EffectiveQty],T_PlannedOrders[Part Name],$A159,T_PlannedOrders[WeekIndex],53)=0,"",SUMIFS(T_PlannedOrders[EffectiveQty],T_PlannedOrders[Part Name],$A159,T_PlannedOrders[WeekIndex],53)&amp;" ("&amp;TEXT(SUMPRODUCT(MAX((T_PlannedOrders[Part Name]=$A159)*(T_PlannedOrders[WeekIndex]=53)*(T_PlannedOrders[EffectiveQty]&gt;0)*T_PlannedOrders[Order_Month])),"m月")&amp;"発注)")</f>
        <v/>
      </c>
      <c r="BE165">
        <f>IF(SUMIFS(T_PlannedOrders[EffectiveQty],T_PlannedOrders[Part Name],$A159,T_PlannedOrders[WeekIndex],54)=0,"",SUMIFS(T_PlannedOrders[EffectiveQty],T_PlannedOrders[Part Name],$A159,T_PlannedOrders[WeekIndex],54)&amp;" ("&amp;TEXT(SUMPRODUCT(MAX((T_PlannedOrders[Part Name]=$A159)*(T_PlannedOrders[WeekIndex]=54)*(T_PlannedOrders[EffectiveQty]&gt;0)*T_PlannedOrders[Order_Month])),"m月")&amp;"発注)")</f>
        <v/>
      </c>
      <c r="BF165">
        <f>IF(SUMIFS(T_PlannedOrders[EffectiveQty],T_PlannedOrders[Part Name],$A159,T_PlannedOrders[WeekIndex],55)=0,"",SUMIFS(T_PlannedOrders[EffectiveQty],T_PlannedOrders[Part Name],$A159,T_PlannedOrders[WeekIndex],55)&amp;" ("&amp;TEXT(SUMPRODUCT(MAX((T_PlannedOrders[Part Name]=$A159)*(T_PlannedOrders[WeekIndex]=55)*(T_PlannedOrders[EffectiveQty]&gt;0)*T_PlannedOrders[Order_Month])),"m月")&amp;"発注)")</f>
        <v/>
      </c>
      <c r="BG165">
        <f>IF(SUMIFS(T_PlannedOrders[EffectiveQty],T_PlannedOrders[Part Name],$A159,T_PlannedOrders[WeekIndex],56)=0,"",SUMIFS(T_PlannedOrders[EffectiveQty],T_PlannedOrders[Part Name],$A159,T_PlannedOrders[WeekIndex],56)&amp;" ("&amp;TEXT(SUMPRODUCT(MAX((T_PlannedOrders[Part Name]=$A159)*(T_PlannedOrders[WeekIndex]=56)*(T_PlannedOrders[EffectiveQty]&gt;0)*T_PlannedOrders[Order_Month])),"m月")&amp;"発注)")</f>
        <v/>
      </c>
      <c r="BH165">
        <f>IF(SUMIFS(T_PlannedOrders[EffectiveQty],T_PlannedOrders[Part Name],$A159,T_PlannedOrders[WeekIndex],57)=0,"",SUMIFS(T_PlannedOrders[EffectiveQty],T_PlannedOrders[Part Name],$A159,T_PlannedOrders[WeekIndex],57)&amp;" ("&amp;TEXT(SUMPRODUCT(MAX((T_PlannedOrders[Part Name]=$A159)*(T_PlannedOrders[WeekIndex]=57)*(T_PlannedOrders[EffectiveQty]&gt;0)*T_PlannedOrders[Order_Month])),"m月")&amp;"発注)")</f>
        <v/>
      </c>
      <c r="BI165">
        <f>IF(SUMIFS(T_PlannedOrders[EffectiveQty],T_PlannedOrders[Part Name],$A159,T_PlannedOrders[WeekIndex],58)=0,"",SUMIFS(T_PlannedOrders[EffectiveQty],T_PlannedOrders[Part Name],$A159,T_PlannedOrders[WeekIndex],58)&amp;" ("&amp;TEXT(SUMPRODUCT(MAX((T_PlannedOrders[Part Name]=$A159)*(T_PlannedOrders[WeekIndex]=58)*(T_PlannedOrders[EffectiveQty]&gt;0)*T_PlannedOrders[Order_Month])),"m月")&amp;"発注)")</f>
        <v/>
      </c>
      <c r="BJ165">
        <f>IF(SUMIFS(T_PlannedOrders[EffectiveQty],T_PlannedOrders[Part Name],$A159,T_PlannedOrders[WeekIndex],59)=0,"",SUMIFS(T_PlannedOrders[EffectiveQty],T_PlannedOrders[Part Name],$A159,T_PlannedOrders[WeekIndex],59)&amp;" ("&amp;TEXT(SUMPRODUCT(MAX((T_PlannedOrders[Part Name]=$A159)*(T_PlannedOrders[WeekIndex]=59)*(T_PlannedOrders[EffectiveQty]&gt;0)*T_PlannedOrders[Order_Month])),"m月")&amp;"発注)")</f>
        <v/>
      </c>
      <c r="BK165">
        <f>IF(SUMIFS(T_PlannedOrders[EffectiveQty],T_PlannedOrders[Part Name],$A159,T_PlannedOrders[WeekIndex],60)=0,"",SUMIFS(T_PlannedOrders[EffectiveQty],T_PlannedOrders[Part Name],$A159,T_PlannedOrders[WeekIndex],60)&amp;" ("&amp;TEXT(SUMPRODUCT(MAX((T_PlannedOrders[Part Name]=$A159)*(T_PlannedOrders[WeekIndex]=60)*(T_PlannedOrders[EffectiveQty]&gt;0)*T_PlannedOrders[Order_Month])),"m月")&amp;"発注)")</f>
        <v/>
      </c>
      <c r="BL165">
        <f>IF(SUMIFS(T_PlannedOrders[EffectiveQty],T_PlannedOrders[Part Name],$A159,T_PlannedOrders[WeekIndex],61)=0,"",SUMIFS(T_PlannedOrders[EffectiveQty],T_PlannedOrders[Part Name],$A159,T_PlannedOrders[WeekIndex],61)&amp;" ("&amp;TEXT(SUMPRODUCT(MAX((T_PlannedOrders[Part Name]=$A159)*(T_PlannedOrders[WeekIndex]=61)*(T_PlannedOrders[EffectiveQty]&gt;0)*T_PlannedOrders[Order_Month])),"m月")&amp;"発注)")</f>
        <v/>
      </c>
      <c r="BM165">
        <f>IF(SUMIFS(T_PlannedOrders[EffectiveQty],T_PlannedOrders[Part Name],$A159,T_PlannedOrders[WeekIndex],62)=0,"",SUMIFS(T_PlannedOrders[EffectiveQty],T_PlannedOrders[Part Name],$A159,T_PlannedOrders[WeekIndex],62)&amp;" ("&amp;TEXT(SUMPRODUCT(MAX((T_PlannedOrders[Part Name]=$A159)*(T_PlannedOrders[WeekIndex]=62)*(T_PlannedOrders[EffectiveQty]&gt;0)*T_PlannedOrders[Order_Month])),"m月")&amp;"発注)")</f>
        <v/>
      </c>
      <c r="BN165">
        <f>IF(SUMIFS(T_PlannedOrders[EffectiveQty],T_PlannedOrders[Part Name],$A159,T_PlannedOrders[WeekIndex],63)=0,"",SUMIFS(T_PlannedOrders[EffectiveQty],T_PlannedOrders[Part Name],$A159,T_PlannedOrders[WeekIndex],63)&amp;" ("&amp;TEXT(SUMPRODUCT(MAX((T_PlannedOrders[Part Name]=$A159)*(T_PlannedOrders[WeekIndex]=63)*(T_PlannedOrders[EffectiveQty]&gt;0)*T_PlannedOrders[Order_Month])),"m月")&amp;"発注)")</f>
        <v/>
      </c>
      <c r="BO165">
        <f>IF(SUMIFS(T_PlannedOrders[EffectiveQty],T_PlannedOrders[Part Name],$A159,T_PlannedOrders[WeekIndex],64)=0,"",SUMIFS(T_PlannedOrders[EffectiveQty],T_PlannedOrders[Part Name],$A159,T_PlannedOrders[WeekIndex],64)&amp;" ("&amp;TEXT(SUMPRODUCT(MAX((T_PlannedOrders[Part Name]=$A159)*(T_PlannedOrders[WeekIndex]=64)*(T_PlannedOrders[EffectiveQty]&gt;0)*T_PlannedOrders[Order_Month])),"m月")&amp;"発注)")</f>
        <v/>
      </c>
      <c r="BP165">
        <f>IF(SUMIFS(T_PlannedOrders[EffectiveQty],T_PlannedOrders[Part Name],$A159,T_PlannedOrders[WeekIndex],65)=0,"",SUMIFS(T_PlannedOrders[EffectiveQty],T_PlannedOrders[Part Name],$A159,T_PlannedOrders[WeekIndex],65)&amp;" ("&amp;TEXT(SUMPRODUCT(MAX((T_PlannedOrders[Part Name]=$A159)*(T_PlannedOrders[WeekIndex]=65)*(T_PlannedOrders[EffectiveQty]&gt;0)*T_PlannedOrders[Order_Month])),"m月")&amp;"発注)")</f>
        <v/>
      </c>
      <c r="BQ165">
        <f>IF(SUMIFS(T_PlannedOrders[EffectiveQty],T_PlannedOrders[Part Name],$A159,T_PlannedOrders[WeekIndex],66)=0,"",SUMIFS(T_PlannedOrders[EffectiveQty],T_PlannedOrders[Part Name],$A159,T_PlannedOrders[WeekIndex],66)&amp;" ("&amp;TEXT(SUMPRODUCT(MAX((T_PlannedOrders[Part Name]=$A159)*(T_PlannedOrders[WeekIndex]=66)*(T_PlannedOrders[EffectiveQty]&gt;0)*T_PlannedOrders[Order_Month])),"m月")&amp;"発注)")</f>
        <v/>
      </c>
      <c r="BR165">
        <f>IF(SUMIFS(T_PlannedOrders[EffectiveQty],T_PlannedOrders[Part Name],$A159,T_PlannedOrders[WeekIndex],67)=0,"",SUMIFS(T_PlannedOrders[EffectiveQty],T_PlannedOrders[Part Name],$A159,T_PlannedOrders[WeekIndex],67)&amp;" ("&amp;TEXT(SUMPRODUCT(MAX((T_PlannedOrders[Part Name]=$A159)*(T_PlannedOrders[WeekIndex]=67)*(T_PlannedOrders[EffectiveQty]&gt;0)*T_PlannedOrders[Order_Month])),"m月")&amp;"発注)")</f>
        <v/>
      </c>
      <c r="BS165">
        <f>IF(SUMIFS(T_PlannedOrders[EffectiveQty],T_PlannedOrders[Part Name],$A159,T_PlannedOrders[WeekIndex],68)=0,"",SUMIFS(T_PlannedOrders[EffectiveQty],T_PlannedOrders[Part Name],$A159,T_PlannedOrders[WeekIndex],68)&amp;" ("&amp;TEXT(SUMPRODUCT(MAX((T_PlannedOrders[Part Name]=$A159)*(T_PlannedOrders[WeekIndex]=68)*(T_PlannedOrders[EffectiveQty]&gt;0)*T_PlannedOrders[Order_Month])),"m月")&amp;"発注)")</f>
        <v/>
      </c>
      <c r="BT165">
        <f>IF(SUMIFS(T_PlannedOrders[EffectiveQty],T_PlannedOrders[Part Name],$A159,T_PlannedOrders[WeekIndex],69)=0,"",SUMIFS(T_PlannedOrders[EffectiveQty],T_PlannedOrders[Part Name],$A159,T_PlannedOrders[WeekIndex],69)&amp;" ("&amp;TEXT(SUMPRODUCT(MAX((T_PlannedOrders[Part Name]=$A159)*(T_PlannedOrders[WeekIndex]=69)*(T_PlannedOrders[EffectiveQty]&gt;0)*T_PlannedOrders[Order_Month])),"m月")&amp;"発注)")</f>
        <v/>
      </c>
      <c r="BU165">
        <f>IF(SUMIFS(T_PlannedOrders[EffectiveQty],T_PlannedOrders[Part Name],$A159,T_PlannedOrders[WeekIndex],70)=0,"",SUMIFS(T_PlannedOrders[EffectiveQty],T_PlannedOrders[Part Name],$A159,T_PlannedOrders[WeekIndex],70)&amp;" ("&amp;TEXT(SUMPRODUCT(MAX((T_PlannedOrders[Part Name]=$A159)*(T_PlannedOrders[WeekIndex]=70)*(T_PlannedOrders[EffectiveQty]&gt;0)*T_PlannedOrders[Order_Month])),"m月")&amp;"発注)")</f>
        <v/>
      </c>
      <c r="BV165">
        <f>IF(SUMIFS(T_PlannedOrders[EffectiveQty],T_PlannedOrders[Part Name],$A159,T_PlannedOrders[WeekIndex],71)=0,"",SUMIFS(T_PlannedOrders[EffectiveQty],T_PlannedOrders[Part Name],$A159,T_PlannedOrders[WeekIndex],71)&amp;" ("&amp;TEXT(SUMPRODUCT(MAX((T_PlannedOrders[Part Name]=$A159)*(T_PlannedOrders[WeekIndex]=71)*(T_PlannedOrders[EffectiveQty]&gt;0)*T_PlannedOrders[Order_Month])),"m月")&amp;"発注)")</f>
        <v/>
      </c>
      <c r="BW165">
        <f>IF(SUMIFS(T_PlannedOrders[EffectiveQty],T_PlannedOrders[Part Name],$A159,T_PlannedOrders[WeekIndex],72)=0,"",SUMIFS(T_PlannedOrders[EffectiveQty],T_PlannedOrders[Part Name],$A159,T_PlannedOrders[WeekIndex],72)&amp;" ("&amp;TEXT(SUMPRODUCT(MAX((T_PlannedOrders[Part Name]=$A159)*(T_PlannedOrders[WeekIndex]=72)*(T_PlannedOrders[EffectiveQty]&gt;0)*T_PlannedOrders[Order_Month])),"m月")&amp;"発注)")</f>
        <v/>
      </c>
      <c r="BX165">
        <f>IF(SUMIFS(T_PlannedOrders[EffectiveQty],T_PlannedOrders[Part Name],$A159,T_PlannedOrders[WeekIndex],73)=0,"",SUMIFS(T_PlannedOrders[EffectiveQty],T_PlannedOrders[Part Name],$A159,T_PlannedOrders[WeekIndex],73)&amp;" ("&amp;TEXT(SUMPRODUCT(MAX((T_PlannedOrders[Part Name]=$A159)*(T_PlannedOrders[WeekIndex]=73)*(T_PlannedOrders[EffectiveQty]&gt;0)*T_PlannedOrders[Order_Month])),"m月")&amp;"発注)")</f>
        <v/>
      </c>
      <c r="BY165">
        <f>IF(SUMIFS(T_PlannedOrders[EffectiveQty],T_PlannedOrders[Part Name],$A159,T_PlannedOrders[WeekIndex],74)=0,"",SUMIFS(T_PlannedOrders[EffectiveQty],T_PlannedOrders[Part Name],$A159,T_PlannedOrders[WeekIndex],74)&amp;" ("&amp;TEXT(SUMPRODUCT(MAX((T_PlannedOrders[Part Name]=$A159)*(T_PlannedOrders[WeekIndex]=74)*(T_PlannedOrders[EffectiveQty]&gt;0)*T_PlannedOrders[Order_Month])),"m月")&amp;"発注)")</f>
        <v/>
      </c>
      <c r="BZ165">
        <f>IF(SUMIFS(T_PlannedOrders[EffectiveQty],T_PlannedOrders[Part Name],$A159,T_PlannedOrders[WeekIndex],75)=0,"",SUMIFS(T_PlannedOrders[EffectiveQty],T_PlannedOrders[Part Name],$A159,T_PlannedOrders[WeekIndex],75)&amp;" ("&amp;TEXT(SUMPRODUCT(MAX((T_PlannedOrders[Part Name]=$A159)*(T_PlannedOrders[WeekIndex]=75)*(T_PlannedOrders[EffectiveQty]&gt;0)*T_PlannedOrders[Order_Month])),"m月")&amp;"発注)")</f>
        <v/>
      </c>
      <c r="CA165">
        <f>IF(SUMIFS(T_PlannedOrders[EffectiveQty],T_PlannedOrders[Part Name],$A159,T_PlannedOrders[WeekIndex],76)=0,"",SUMIFS(T_PlannedOrders[EffectiveQty],T_PlannedOrders[Part Name],$A159,T_PlannedOrders[WeekIndex],76)&amp;" ("&amp;TEXT(SUMPRODUCT(MAX((T_PlannedOrders[Part Name]=$A159)*(T_PlannedOrders[WeekIndex]=76)*(T_PlannedOrders[EffectiveQty]&gt;0)*T_PlannedOrders[Order_Month])),"m月")&amp;"発注)")</f>
        <v/>
      </c>
      <c r="CB165">
        <f>IF(SUMIFS(T_PlannedOrders[EffectiveQty],T_PlannedOrders[Part Name],$A159,T_PlannedOrders[WeekIndex],77)=0,"",SUMIFS(T_PlannedOrders[EffectiveQty],T_PlannedOrders[Part Name],$A159,T_PlannedOrders[WeekIndex],77)&amp;" ("&amp;TEXT(SUMPRODUCT(MAX((T_PlannedOrders[Part Name]=$A159)*(T_PlannedOrders[WeekIndex]=77)*(T_PlannedOrders[EffectiveQty]&gt;0)*T_PlannedOrders[Order_Month])),"m月")&amp;"発注)")</f>
        <v/>
      </c>
      <c r="CC165">
        <f>IF(SUMIFS(T_PlannedOrders[EffectiveQty],T_PlannedOrders[Part Name],$A159,T_PlannedOrders[WeekIndex],78)=0,"",SUMIFS(T_PlannedOrders[EffectiveQty],T_PlannedOrders[Part Name],$A159,T_PlannedOrders[WeekIndex],78)&amp;" ("&amp;TEXT(SUMPRODUCT(MAX((T_PlannedOrders[Part Name]=$A159)*(T_PlannedOrders[WeekIndex]=78)*(T_PlannedOrders[EffectiveQty]&gt;0)*T_PlannedOrders[Order_Month])),"m月")&amp;"発注)")</f>
        <v/>
      </c>
      <c r="CD165">
        <f>IF(SUMIFS(T_PlannedOrders[EffectiveQty],T_PlannedOrders[Part Name],$A159,T_PlannedOrders[WeekIndex],79)=0,"",SUMIFS(T_PlannedOrders[EffectiveQty],T_PlannedOrders[Part Name],$A159,T_PlannedOrders[WeekIndex],79)&amp;" ("&amp;TEXT(SUMPRODUCT(MAX((T_PlannedOrders[Part Name]=$A159)*(T_PlannedOrders[WeekIndex]=79)*(T_PlannedOrders[EffectiveQty]&gt;0)*T_PlannedOrders[Order_Month])),"m月")&amp;"発注)")</f>
        <v/>
      </c>
      <c r="CE165">
        <f>IF(SUMIFS(T_PlannedOrders[EffectiveQty],T_PlannedOrders[Part Name],$A159,T_PlannedOrders[WeekIndex],80)=0,"",SUMIFS(T_PlannedOrders[EffectiveQty],T_PlannedOrders[Part Name],$A159,T_PlannedOrders[WeekIndex],80)&amp;" ("&amp;TEXT(SUMPRODUCT(MAX((T_PlannedOrders[Part Name]=$A159)*(T_PlannedOrders[WeekIndex]=80)*(T_PlannedOrders[EffectiveQty]&gt;0)*T_PlannedOrders[Order_Month])),"m月")&amp;"発注)")</f>
        <v/>
      </c>
      <c r="CF165">
        <f>IF(SUMIFS(T_PlannedOrders[EffectiveQty],T_PlannedOrders[Part Name],$A159,T_PlannedOrders[WeekIndex],81)=0,"",SUMIFS(T_PlannedOrders[EffectiveQty],T_PlannedOrders[Part Name],$A159,T_PlannedOrders[WeekIndex],81)&amp;" ("&amp;TEXT(SUMPRODUCT(MAX((T_PlannedOrders[Part Name]=$A159)*(T_PlannedOrders[WeekIndex]=81)*(T_PlannedOrders[EffectiveQty]&gt;0)*T_PlannedOrders[Order_Month])),"m月")&amp;"発注)")</f>
        <v/>
      </c>
      <c r="CG165">
        <f>IF(SUMIFS(T_PlannedOrders[EffectiveQty],T_PlannedOrders[Part Name],$A159,T_PlannedOrders[WeekIndex],82)=0,"",SUMIFS(T_PlannedOrders[EffectiveQty],T_PlannedOrders[Part Name],$A159,T_PlannedOrders[WeekIndex],82)&amp;" ("&amp;TEXT(SUMPRODUCT(MAX((T_PlannedOrders[Part Name]=$A159)*(T_PlannedOrders[WeekIndex]=82)*(T_PlannedOrders[EffectiveQty]&gt;0)*T_PlannedOrders[Order_Month])),"m月")&amp;"発注)")</f>
        <v/>
      </c>
      <c r="CH165">
        <f>IF(SUMIFS(T_PlannedOrders[EffectiveQty],T_PlannedOrders[Part Name],$A159,T_PlannedOrders[WeekIndex],83)=0,"",SUMIFS(T_PlannedOrders[EffectiveQty],T_PlannedOrders[Part Name],$A159,T_PlannedOrders[WeekIndex],83)&amp;" ("&amp;TEXT(SUMPRODUCT(MAX((T_PlannedOrders[Part Name]=$A159)*(T_PlannedOrders[WeekIndex]=83)*(T_PlannedOrders[EffectiveQty]&gt;0)*T_PlannedOrders[Order_Month])),"m月")&amp;"発注)")</f>
        <v/>
      </c>
      <c r="CI165">
        <f>IF(SUMIFS(T_PlannedOrders[EffectiveQty],T_PlannedOrders[Part Name],$A159,T_PlannedOrders[WeekIndex],84)=0,"",SUMIFS(T_PlannedOrders[EffectiveQty],T_PlannedOrders[Part Name],$A159,T_PlannedOrders[WeekIndex],84)&amp;" ("&amp;TEXT(SUMPRODUCT(MAX((T_PlannedOrders[Part Name]=$A159)*(T_PlannedOrders[WeekIndex]=84)*(T_PlannedOrders[EffectiveQty]&gt;0)*T_PlannedOrders[Order_Month])),"m月")&amp;"発注)")</f>
        <v/>
      </c>
      <c r="CJ165">
        <f>IF(SUMIFS(T_PlannedOrders[EffectiveQty],T_PlannedOrders[Part Name],$A159,T_PlannedOrders[WeekIndex],85)=0,"",SUMIFS(T_PlannedOrders[EffectiveQty],T_PlannedOrders[Part Name],$A159,T_PlannedOrders[WeekIndex],85)&amp;" ("&amp;TEXT(SUMPRODUCT(MAX((T_PlannedOrders[Part Name]=$A159)*(T_PlannedOrders[WeekIndex]=85)*(T_PlannedOrders[EffectiveQty]&gt;0)*T_PlannedOrders[Order_Month])),"m月")&amp;"発注)")</f>
        <v/>
      </c>
      <c r="CK165">
        <f>IF(SUMIFS(T_PlannedOrders[EffectiveQty],T_PlannedOrders[Part Name],$A159,T_PlannedOrders[WeekIndex],86)=0,"",SUMIFS(T_PlannedOrders[EffectiveQty],T_PlannedOrders[Part Name],$A159,T_PlannedOrders[WeekIndex],86)&amp;" ("&amp;TEXT(SUMPRODUCT(MAX((T_PlannedOrders[Part Name]=$A159)*(T_PlannedOrders[WeekIndex]=86)*(T_PlannedOrders[EffectiveQty]&gt;0)*T_PlannedOrders[Order_Month])),"m月")&amp;"発注)")</f>
        <v/>
      </c>
      <c r="CL165">
        <f>IF(SUMIFS(T_PlannedOrders[EffectiveQty],T_PlannedOrders[Part Name],$A159,T_PlannedOrders[WeekIndex],87)=0,"",SUMIFS(T_PlannedOrders[EffectiveQty],T_PlannedOrders[Part Name],$A159,T_PlannedOrders[WeekIndex],87)&amp;" ("&amp;TEXT(SUMPRODUCT(MAX((T_PlannedOrders[Part Name]=$A159)*(T_PlannedOrders[WeekIndex]=87)*(T_PlannedOrders[EffectiveQty]&gt;0)*T_PlannedOrders[Order_Month])),"m月")&amp;"発注)")</f>
        <v/>
      </c>
      <c r="CM165">
        <f>IF(SUMIFS(T_PlannedOrders[EffectiveQty],T_PlannedOrders[Part Name],$A159,T_PlannedOrders[WeekIndex],88)=0,"",SUMIFS(T_PlannedOrders[EffectiveQty],T_PlannedOrders[Part Name],$A159,T_PlannedOrders[WeekIndex],88)&amp;" ("&amp;TEXT(SUMPRODUCT(MAX((T_PlannedOrders[Part Name]=$A159)*(T_PlannedOrders[WeekIndex]=88)*(T_PlannedOrders[EffectiveQty]&gt;0)*T_PlannedOrders[Order_Month])),"m月")&amp;"発注)")</f>
        <v/>
      </c>
      <c r="CN165">
        <f>IF(SUMIFS(T_PlannedOrders[EffectiveQty],T_PlannedOrders[Part Name],$A159,T_PlannedOrders[WeekIndex],89)=0,"",SUMIFS(T_PlannedOrders[EffectiveQty],T_PlannedOrders[Part Name],$A159,T_PlannedOrders[WeekIndex],89)&amp;" ("&amp;TEXT(SUMPRODUCT(MAX((T_PlannedOrders[Part Name]=$A159)*(T_PlannedOrders[WeekIndex]=89)*(T_PlannedOrders[EffectiveQty]&gt;0)*T_PlannedOrders[Order_Month])),"m月")&amp;"発注)")</f>
        <v/>
      </c>
      <c r="CO165">
        <f>IF(SUMIFS(T_PlannedOrders[EffectiveQty],T_PlannedOrders[Part Name],$A159,T_PlannedOrders[WeekIndex],90)=0,"",SUMIFS(T_PlannedOrders[EffectiveQty],T_PlannedOrders[Part Name],$A159,T_PlannedOrders[WeekIndex],90)&amp;" ("&amp;TEXT(SUMPRODUCT(MAX((T_PlannedOrders[Part Name]=$A159)*(T_PlannedOrders[WeekIndex]=90)*(T_PlannedOrders[EffectiveQty]&gt;0)*T_PlannedOrders[Order_Month])),"m月")&amp;"発注)")</f>
        <v/>
      </c>
      <c r="CP165">
        <f>IF(SUMIFS(T_PlannedOrders[EffectiveQty],T_PlannedOrders[Part Name],$A159,T_PlannedOrders[WeekIndex],91)=0,"",SUMIFS(T_PlannedOrders[EffectiveQty],T_PlannedOrders[Part Name],$A159,T_PlannedOrders[WeekIndex],91)&amp;" ("&amp;TEXT(SUMPRODUCT(MAX((T_PlannedOrders[Part Name]=$A159)*(T_PlannedOrders[WeekIndex]=91)*(T_PlannedOrders[EffectiveQty]&gt;0)*T_PlannedOrders[Order_Month])),"m月")&amp;"発注)")</f>
        <v/>
      </c>
      <c r="CQ165">
        <f>IF(SUMIFS(T_PlannedOrders[EffectiveQty],T_PlannedOrders[Part Name],$A159,T_PlannedOrders[WeekIndex],92)=0,"",SUMIFS(T_PlannedOrders[EffectiveQty],T_PlannedOrders[Part Name],$A159,T_PlannedOrders[WeekIndex],92)&amp;" ("&amp;TEXT(SUMPRODUCT(MAX((T_PlannedOrders[Part Name]=$A159)*(T_PlannedOrders[WeekIndex]=92)*(T_PlannedOrders[EffectiveQty]&gt;0)*T_PlannedOrders[Order_Month])),"m月")&amp;"発注)")</f>
        <v/>
      </c>
      <c r="CR165">
        <f>IF(SUMIFS(T_PlannedOrders[EffectiveQty],T_PlannedOrders[Part Name],$A159,T_PlannedOrders[WeekIndex],93)=0,"",SUMIFS(T_PlannedOrders[EffectiveQty],T_PlannedOrders[Part Name],$A159,T_PlannedOrders[WeekIndex],93)&amp;" ("&amp;TEXT(SUMPRODUCT(MAX((T_PlannedOrders[Part Name]=$A159)*(T_PlannedOrders[WeekIndex]=93)*(T_PlannedOrders[EffectiveQty]&gt;0)*T_PlannedOrders[Order_Month])),"m月")&amp;"発注)")</f>
        <v/>
      </c>
      <c r="CS165">
        <f>IF(SUMIFS(T_PlannedOrders[EffectiveQty],T_PlannedOrders[Part Name],$A159,T_PlannedOrders[WeekIndex],94)=0,"",SUMIFS(T_PlannedOrders[EffectiveQty],T_PlannedOrders[Part Name],$A159,T_PlannedOrders[WeekIndex],94)&amp;" ("&amp;TEXT(SUMPRODUCT(MAX((T_PlannedOrders[Part Name]=$A159)*(T_PlannedOrders[WeekIndex]=94)*(T_PlannedOrders[EffectiveQty]&gt;0)*T_PlannedOrders[Order_Month])),"m月")&amp;"発注)")</f>
        <v/>
      </c>
      <c r="CT165">
        <f>IF(SUMIFS(T_PlannedOrders[EffectiveQty],T_PlannedOrders[Part Name],$A159,T_PlannedOrders[WeekIndex],95)=0,"",SUMIFS(T_PlannedOrders[EffectiveQty],T_PlannedOrders[Part Name],$A159,T_PlannedOrders[WeekIndex],95)&amp;" ("&amp;TEXT(SUMPRODUCT(MAX((T_PlannedOrders[Part Name]=$A159)*(T_PlannedOrders[WeekIndex]=95)*(T_PlannedOrders[EffectiveQty]&gt;0)*T_PlannedOrders[Order_Month])),"m月")&amp;"発注)")</f>
        <v/>
      </c>
      <c r="CU165">
        <f>IF(SUMIFS(T_PlannedOrders[EffectiveQty],T_PlannedOrders[Part Name],$A159,T_PlannedOrders[WeekIndex],96)=0,"",SUMIFS(T_PlannedOrders[EffectiveQty],T_PlannedOrders[Part Name],$A159,T_PlannedOrders[WeekIndex],96)&amp;" ("&amp;TEXT(SUMPRODUCT(MAX((T_PlannedOrders[Part Name]=$A159)*(T_PlannedOrders[WeekIndex]=96)*(T_PlannedOrders[EffectiveQty]&gt;0)*T_PlannedOrders[Order_Month])),"m月")&amp;"発注)")</f>
        <v/>
      </c>
      <c r="CV165">
        <f>IF(SUMIFS(T_PlannedOrders[EffectiveQty],T_PlannedOrders[Part Name],$A159,T_PlannedOrders[WeekIndex],97)=0,"",SUMIFS(T_PlannedOrders[EffectiveQty],T_PlannedOrders[Part Name],$A159,T_PlannedOrders[WeekIndex],97)&amp;" ("&amp;TEXT(SUMPRODUCT(MAX((T_PlannedOrders[Part Name]=$A159)*(T_PlannedOrders[WeekIndex]=97)*(T_PlannedOrders[EffectiveQty]&gt;0)*T_PlannedOrders[Order_Month])),"m月")&amp;"発注)")</f>
        <v/>
      </c>
      <c r="CW165">
        <f>IF(SUMIFS(T_PlannedOrders[EffectiveQty],T_PlannedOrders[Part Name],$A159,T_PlannedOrders[WeekIndex],98)=0,"",SUMIFS(T_PlannedOrders[EffectiveQty],T_PlannedOrders[Part Name],$A159,T_PlannedOrders[WeekIndex],98)&amp;" ("&amp;TEXT(SUMPRODUCT(MAX((T_PlannedOrders[Part Name]=$A159)*(T_PlannedOrders[WeekIndex]=98)*(T_PlannedOrders[EffectiveQty]&gt;0)*T_PlannedOrders[Order_Month])),"m月")&amp;"発注)")</f>
        <v/>
      </c>
      <c r="CX165">
        <f>IF(SUMIFS(T_PlannedOrders[EffectiveQty],T_PlannedOrders[Part Name],$A159,T_PlannedOrders[WeekIndex],99)=0,"",SUMIFS(T_PlannedOrders[EffectiveQty],T_PlannedOrders[Part Name],$A159,T_PlannedOrders[WeekIndex],99)&amp;" ("&amp;TEXT(SUMPRODUCT(MAX((T_PlannedOrders[Part Name]=$A159)*(T_PlannedOrders[WeekIndex]=99)*(T_PlannedOrders[EffectiveQty]&gt;0)*T_PlannedOrders[Order_Month])),"m月")&amp;"発注)")</f>
        <v/>
      </c>
      <c r="CY165">
        <f>IF(SUMIFS(T_PlannedOrders[EffectiveQty],T_PlannedOrders[Part Name],$A159,T_PlannedOrders[WeekIndex],100)=0,"",SUMIFS(T_PlannedOrders[EffectiveQty],T_PlannedOrders[Part Name],$A159,T_PlannedOrders[WeekIndex],100)&amp;" ("&amp;TEXT(SUMPRODUCT(MAX((T_PlannedOrders[Part Name]=$A159)*(T_PlannedOrders[WeekIndex]=100)*(T_PlannedOrders[EffectiveQty]&gt;0)*T_PlannedOrders[Order_Month])),"m月")&amp;"発注)")</f>
        <v/>
      </c>
      <c r="CZ165">
        <f>IF(SUMIFS(T_PlannedOrders[EffectiveQty],T_PlannedOrders[Part Name],$A159,T_PlannedOrders[WeekIndex],101)=0,"",SUMIFS(T_PlannedOrders[EffectiveQty],T_PlannedOrders[Part Name],$A159,T_PlannedOrders[WeekIndex],101)&amp;" ("&amp;TEXT(SUMPRODUCT(MAX((T_PlannedOrders[Part Name]=$A159)*(T_PlannedOrders[WeekIndex]=101)*(T_PlannedOrders[EffectiveQty]&gt;0)*T_PlannedOrders[Order_Month])),"m月")&amp;"発注)")</f>
        <v/>
      </c>
      <c r="DA165">
        <f>IF(SUMIFS(T_PlannedOrders[EffectiveQty],T_PlannedOrders[Part Name],$A159,T_PlannedOrders[WeekIndex],102)=0,"",SUMIFS(T_PlannedOrders[EffectiveQty],T_PlannedOrders[Part Name],$A159,T_PlannedOrders[WeekIndex],102)&amp;" ("&amp;TEXT(SUMPRODUCT(MAX((T_PlannedOrders[Part Name]=$A159)*(T_PlannedOrders[WeekIndex]=102)*(T_PlannedOrders[EffectiveQty]&gt;0)*T_PlannedOrders[Order_Month])),"m月")&amp;"発注)")</f>
        <v/>
      </c>
      <c r="DB165">
        <f>IF(SUMIFS(T_PlannedOrders[EffectiveQty],T_PlannedOrders[Part Name],$A159,T_PlannedOrders[WeekIndex],103)=0,"",SUMIFS(T_PlannedOrders[EffectiveQty],T_PlannedOrders[Part Name],$A159,T_PlannedOrders[WeekIndex],103)&amp;" ("&amp;TEXT(SUMPRODUCT(MAX((T_PlannedOrders[Part Name]=$A159)*(T_PlannedOrders[WeekIndex]=103)*(T_PlannedOrders[EffectiveQty]&gt;0)*T_PlannedOrders[Order_Month])),"m月")&amp;"発注)")</f>
        <v/>
      </c>
      <c r="DC165">
        <f>IF(SUMIFS(T_PlannedOrders[EffectiveQty],T_PlannedOrders[Part Name],$A159,T_PlannedOrders[WeekIndex],104)=0,"",SUMIFS(T_PlannedOrders[EffectiveQty],T_PlannedOrders[Part Name],$A159,T_PlannedOrders[WeekIndex],104)&amp;" ("&amp;TEXT(SUMPRODUCT(MAX((T_PlannedOrders[Part Name]=$A159)*(T_PlannedOrders[WeekIndex]=104)*(T_PlannedOrders[EffectiveQty]&gt;0)*T_PlannedOrders[Order_Month])),"m月")&amp;"発注)")</f>
        <v/>
      </c>
    </row>
    <row r="166">
      <c r="B166" s="5" t="inlineStr">
        <is>
          <t>合計在庫(週末時点,kg)</t>
        </is>
      </c>
      <c r="D166">
        <f>'Grid_Stock'!B17</f>
        <v/>
      </c>
      <c r="E166">
        <f>'Grid_Stock'!C17</f>
        <v/>
      </c>
      <c r="F166">
        <f>'Grid_Stock'!D17</f>
        <v/>
      </c>
      <c r="G166">
        <f>'Grid_Stock'!E17</f>
        <v/>
      </c>
      <c r="H166">
        <f>'Grid_Stock'!F17</f>
        <v/>
      </c>
      <c r="I166">
        <f>'Grid_Stock'!G17</f>
        <v/>
      </c>
      <c r="J166">
        <f>'Grid_Stock'!H17</f>
        <v/>
      </c>
      <c r="K166">
        <f>'Grid_Stock'!I17</f>
        <v/>
      </c>
      <c r="L166">
        <f>'Grid_Stock'!J17</f>
        <v/>
      </c>
      <c r="M166">
        <f>'Grid_Stock'!K17</f>
        <v/>
      </c>
      <c r="N166">
        <f>'Grid_Stock'!L17</f>
        <v/>
      </c>
      <c r="O166">
        <f>'Grid_Stock'!M17</f>
        <v/>
      </c>
      <c r="P166">
        <f>'Grid_Stock'!N17</f>
        <v/>
      </c>
      <c r="Q166">
        <f>'Grid_Stock'!O17</f>
        <v/>
      </c>
      <c r="R166">
        <f>'Grid_Stock'!P17</f>
        <v/>
      </c>
      <c r="S166">
        <f>'Grid_Stock'!Q17</f>
        <v/>
      </c>
      <c r="T166">
        <f>'Grid_Stock'!R17</f>
        <v/>
      </c>
      <c r="U166">
        <f>'Grid_Stock'!S17</f>
        <v/>
      </c>
      <c r="V166">
        <f>'Grid_Stock'!T17</f>
        <v/>
      </c>
      <c r="W166">
        <f>'Grid_Stock'!U17</f>
        <v/>
      </c>
      <c r="X166">
        <f>'Grid_Stock'!V17</f>
        <v/>
      </c>
      <c r="Y166">
        <f>'Grid_Stock'!W17</f>
        <v/>
      </c>
      <c r="Z166">
        <f>'Grid_Stock'!X17</f>
        <v/>
      </c>
      <c r="AA166">
        <f>'Grid_Stock'!Y17</f>
        <v/>
      </c>
      <c r="AB166">
        <f>'Grid_Stock'!Z17</f>
        <v/>
      </c>
      <c r="AC166">
        <f>'Grid_Stock'!AA17</f>
        <v/>
      </c>
      <c r="AD166">
        <f>'Grid_Stock'!AB17</f>
        <v/>
      </c>
      <c r="AE166">
        <f>'Grid_Stock'!AC17</f>
        <v/>
      </c>
      <c r="AF166">
        <f>'Grid_Stock'!AD17</f>
        <v/>
      </c>
      <c r="AG166">
        <f>'Grid_Stock'!AE17</f>
        <v/>
      </c>
      <c r="AH166">
        <f>'Grid_Stock'!AF17</f>
        <v/>
      </c>
      <c r="AI166">
        <f>'Grid_Stock'!AG17</f>
        <v/>
      </c>
      <c r="AJ166">
        <f>'Grid_Stock'!AH17</f>
        <v/>
      </c>
      <c r="AK166">
        <f>'Grid_Stock'!AI17</f>
        <v/>
      </c>
      <c r="AL166">
        <f>'Grid_Stock'!AJ17</f>
        <v/>
      </c>
      <c r="AM166">
        <f>'Grid_Stock'!AK17</f>
        <v/>
      </c>
      <c r="AN166">
        <f>'Grid_Stock'!AL17</f>
        <v/>
      </c>
      <c r="AO166">
        <f>'Grid_Stock'!AM17</f>
        <v/>
      </c>
      <c r="AP166">
        <f>'Grid_Stock'!AN17</f>
        <v/>
      </c>
      <c r="AQ166">
        <f>'Grid_Stock'!AO17</f>
        <v/>
      </c>
      <c r="AR166">
        <f>'Grid_Stock'!AP17</f>
        <v/>
      </c>
      <c r="AS166">
        <f>'Grid_Stock'!AQ17</f>
        <v/>
      </c>
      <c r="AT166">
        <f>'Grid_Stock'!AR17</f>
        <v/>
      </c>
      <c r="AU166">
        <f>'Grid_Stock'!AS17</f>
        <v/>
      </c>
      <c r="AV166">
        <f>'Grid_Stock'!AT17</f>
        <v/>
      </c>
      <c r="AW166">
        <f>'Grid_Stock'!AU17</f>
        <v/>
      </c>
      <c r="AX166">
        <f>'Grid_Stock'!AV17</f>
        <v/>
      </c>
      <c r="AY166">
        <f>'Grid_Stock'!AW17</f>
        <v/>
      </c>
      <c r="AZ166">
        <f>'Grid_Stock'!AX17</f>
        <v/>
      </c>
      <c r="BA166">
        <f>'Grid_Stock'!AY17</f>
        <v/>
      </c>
      <c r="BB166">
        <f>'Grid_Stock'!AZ17</f>
        <v/>
      </c>
      <c r="BC166">
        <f>'Grid_Stock'!BA17</f>
        <v/>
      </c>
      <c r="BD166">
        <f>'Grid_Stock'!BB17</f>
        <v/>
      </c>
      <c r="BE166">
        <f>'Grid_Stock'!BC17</f>
        <v/>
      </c>
      <c r="BF166">
        <f>'Grid_Stock'!BD17</f>
        <v/>
      </c>
      <c r="BG166">
        <f>'Grid_Stock'!BE17</f>
        <v/>
      </c>
      <c r="BH166">
        <f>'Grid_Stock'!BF17</f>
        <v/>
      </c>
      <c r="BI166">
        <f>'Grid_Stock'!BG17</f>
        <v/>
      </c>
      <c r="BJ166">
        <f>'Grid_Stock'!BH17</f>
        <v/>
      </c>
      <c r="BK166">
        <f>'Grid_Stock'!BI17</f>
        <v/>
      </c>
      <c r="BL166">
        <f>'Grid_Stock'!BJ17</f>
        <v/>
      </c>
      <c r="BM166">
        <f>'Grid_Stock'!BK17</f>
        <v/>
      </c>
      <c r="BN166">
        <f>'Grid_Stock'!BL17</f>
        <v/>
      </c>
      <c r="BO166">
        <f>'Grid_Stock'!BM17</f>
        <v/>
      </c>
      <c r="BP166">
        <f>'Grid_Stock'!BN17</f>
        <v/>
      </c>
      <c r="BQ166">
        <f>'Grid_Stock'!BO17</f>
        <v/>
      </c>
      <c r="BR166">
        <f>'Grid_Stock'!BP17</f>
        <v/>
      </c>
      <c r="BS166">
        <f>'Grid_Stock'!BQ17</f>
        <v/>
      </c>
      <c r="BT166">
        <f>'Grid_Stock'!BR17</f>
        <v/>
      </c>
      <c r="BU166">
        <f>'Grid_Stock'!BS17</f>
        <v/>
      </c>
      <c r="BV166">
        <f>'Grid_Stock'!BT17</f>
        <v/>
      </c>
      <c r="BW166">
        <f>'Grid_Stock'!BU17</f>
        <v/>
      </c>
      <c r="BX166">
        <f>'Grid_Stock'!BV17</f>
        <v/>
      </c>
      <c r="BY166">
        <f>'Grid_Stock'!BW17</f>
        <v/>
      </c>
      <c r="BZ166">
        <f>'Grid_Stock'!BX17</f>
        <v/>
      </c>
      <c r="CA166">
        <f>'Grid_Stock'!BY17</f>
        <v/>
      </c>
      <c r="CB166">
        <f>'Grid_Stock'!BZ17</f>
        <v/>
      </c>
      <c r="CC166">
        <f>'Grid_Stock'!CA17</f>
        <v/>
      </c>
      <c r="CD166">
        <f>'Grid_Stock'!CB17</f>
        <v/>
      </c>
      <c r="CE166">
        <f>'Grid_Stock'!CC17</f>
        <v/>
      </c>
      <c r="CF166">
        <f>'Grid_Stock'!CD17</f>
        <v/>
      </c>
      <c r="CG166">
        <f>'Grid_Stock'!CE17</f>
        <v/>
      </c>
      <c r="CH166">
        <f>'Grid_Stock'!CF17</f>
        <v/>
      </c>
      <c r="CI166">
        <f>'Grid_Stock'!CG17</f>
        <v/>
      </c>
      <c r="CJ166">
        <f>'Grid_Stock'!CH17</f>
        <v/>
      </c>
      <c r="CK166">
        <f>'Grid_Stock'!CI17</f>
        <v/>
      </c>
      <c r="CL166">
        <f>'Grid_Stock'!CJ17</f>
        <v/>
      </c>
      <c r="CM166">
        <f>'Grid_Stock'!CK17</f>
        <v/>
      </c>
      <c r="CN166">
        <f>'Grid_Stock'!CL17</f>
        <v/>
      </c>
      <c r="CO166">
        <f>'Grid_Stock'!CM17</f>
        <v/>
      </c>
      <c r="CP166">
        <f>'Grid_Stock'!CN17</f>
        <v/>
      </c>
      <c r="CQ166">
        <f>'Grid_Stock'!CO17</f>
        <v/>
      </c>
      <c r="CR166">
        <f>'Grid_Stock'!CP17</f>
        <v/>
      </c>
      <c r="CS166">
        <f>'Grid_Stock'!CQ17</f>
        <v/>
      </c>
      <c r="CT166">
        <f>'Grid_Stock'!CR17</f>
        <v/>
      </c>
      <c r="CU166">
        <f>'Grid_Stock'!CS17</f>
        <v/>
      </c>
      <c r="CV166">
        <f>'Grid_Stock'!CT17</f>
        <v/>
      </c>
      <c r="CW166">
        <f>'Grid_Stock'!CU17</f>
        <v/>
      </c>
      <c r="CX166">
        <f>'Grid_Stock'!CV17</f>
        <v/>
      </c>
      <c r="CY166">
        <f>'Grid_Stock'!CW17</f>
        <v/>
      </c>
      <c r="CZ166">
        <f>'Grid_Stock'!CX17</f>
        <v/>
      </c>
      <c r="DA166">
        <f>'Grid_Stock'!CY17</f>
        <v/>
      </c>
      <c r="DB166">
        <f>'Grid_Stock'!CZ17</f>
        <v/>
      </c>
      <c r="DC166">
        <f>'Grid_Stock'!DA17</f>
        <v/>
      </c>
    </row>
    <row r="167">
      <c r="B167" s="23" t="inlineStr">
        <is>
          <t>（発注の目安はDashboardの基準在庫[下限/上限]と色分けを参照）</t>
        </is>
      </c>
    </row>
    <row r="169">
      <c r="A169" s="21" t="inlineStr">
        <is>
          <t>5JK</t>
        </is>
      </c>
      <c r="B169" s="21" t="inlineStr">
        <is>
          <t>Substrate NGK TP167-103-105xT2</t>
        </is>
      </c>
      <c r="C169" s="22" t="n"/>
      <c r="D169" s="21" t="n"/>
      <c r="E169" s="21" t="n"/>
      <c r="F169" s="21" t="n"/>
      <c r="G169" s="21" t="n"/>
      <c r="H169" s="21" t="n"/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  <c r="AA169" s="21" t="n"/>
      <c r="AB169" s="21" t="n"/>
      <c r="AC169" s="21" t="n"/>
      <c r="AD169" s="21" t="n"/>
      <c r="AE169" s="21" t="n"/>
      <c r="AF169" s="21" t="n"/>
      <c r="AG169" s="21" t="n"/>
      <c r="AH169" s="21" t="n"/>
      <c r="AI169" s="21" t="n"/>
      <c r="AJ169" s="21" t="n"/>
      <c r="AK169" s="21" t="n"/>
      <c r="AL169" s="21" t="n"/>
      <c r="AM169" s="21" t="n"/>
      <c r="AN169" s="21" t="n"/>
      <c r="AO169" s="21" t="n"/>
      <c r="AP169" s="21" t="n"/>
      <c r="AQ169" s="21" t="n"/>
      <c r="AR169" s="21" t="n"/>
      <c r="AS169" s="21" t="n"/>
      <c r="AT169" s="21" t="n"/>
      <c r="AU169" s="21" t="n"/>
      <c r="AV169" s="21" t="n"/>
      <c r="AW169" s="21" t="n"/>
      <c r="AX169" s="21" t="n"/>
      <c r="AY169" s="21" t="n"/>
      <c r="AZ169" s="21" t="n"/>
      <c r="BA169" s="21" t="n"/>
      <c r="BB169" s="21" t="n"/>
      <c r="BC169" s="21" t="n"/>
      <c r="BD169" s="21" t="n"/>
      <c r="BE169" s="21" t="n"/>
      <c r="BF169" s="21" t="n"/>
      <c r="BG169" s="21" t="n"/>
      <c r="BH169" s="21" t="n"/>
      <c r="BI169" s="21" t="n"/>
      <c r="BJ169" s="21" t="n"/>
      <c r="BK169" s="21" t="n"/>
      <c r="BL169" s="21" t="n"/>
      <c r="BM169" s="21" t="n"/>
      <c r="BN169" s="21" t="n"/>
      <c r="BO169" s="21" t="n"/>
      <c r="BP169" s="21" t="n"/>
      <c r="BQ169" s="21" t="n"/>
      <c r="BR169" s="21" t="n"/>
      <c r="BS169" s="21" t="n"/>
      <c r="BT169" s="21" t="n"/>
      <c r="BU169" s="21" t="n"/>
      <c r="BV169" s="21" t="n"/>
      <c r="BW169" s="21" t="n"/>
      <c r="BX169" s="21" t="n"/>
      <c r="BY169" s="21" t="n"/>
      <c r="BZ169" s="21" t="n"/>
      <c r="CA169" s="21" t="n"/>
      <c r="CB169" s="21" t="n"/>
      <c r="CC169" s="21" t="n"/>
      <c r="CD169" s="21" t="n"/>
      <c r="CE169" s="21" t="n"/>
      <c r="CF169" s="21" t="n"/>
      <c r="CG169" s="21" t="n"/>
      <c r="CH169" s="21" t="n"/>
      <c r="CI169" s="21" t="n"/>
      <c r="CJ169" s="21" t="n"/>
      <c r="CK169" s="21" t="n"/>
      <c r="CL169" s="21" t="n"/>
      <c r="CM169" s="21" t="n"/>
      <c r="CN169" s="21" t="n"/>
      <c r="CO169" s="21" t="n"/>
      <c r="CP169" s="21" t="n"/>
      <c r="CQ169" s="21" t="n"/>
      <c r="CR169" s="21" t="n"/>
      <c r="CS169" s="21" t="n"/>
      <c r="CT169" s="21" t="n"/>
      <c r="CU169" s="21" t="n"/>
      <c r="CV169" s="21" t="n"/>
      <c r="CW169" s="21" t="n"/>
      <c r="CX169" s="21" t="n"/>
      <c r="CY169" s="21" t="n"/>
      <c r="CZ169" s="21" t="n"/>
      <c r="DA169" s="21" t="n"/>
      <c r="DB169" s="21" t="n"/>
      <c r="DC169" s="21" t="n"/>
    </row>
    <row r="170">
      <c r="B170" t="inlineStr">
        <is>
          <t>0T500</t>
        </is>
      </c>
      <c r="C170" t="inlineStr">
        <is>
          <t>No. of batches</t>
        </is>
      </c>
      <c r="D170">
        <f>IFERROR(INDEX(PP_Grid[#Data],$DD170,2),0)</f>
        <v/>
      </c>
      <c r="E170">
        <f>IFERROR(INDEX(PP_Grid[#Data],$DD170,3),0)</f>
        <v/>
      </c>
      <c r="F170">
        <f>IFERROR(INDEX(PP_Grid[#Data],$DD170,4),0)</f>
        <v/>
      </c>
      <c r="G170">
        <f>IFERROR(INDEX(PP_Grid[#Data],$DD170,5),0)</f>
        <v/>
      </c>
      <c r="H170">
        <f>IFERROR(INDEX(PP_Grid[#Data],$DD170,6),0)</f>
        <v/>
      </c>
      <c r="I170">
        <f>IFERROR(INDEX(PP_Grid[#Data],$DD170,7),0)</f>
        <v/>
      </c>
      <c r="J170">
        <f>IFERROR(INDEX(PP_Grid[#Data],$DD170,8),0)</f>
        <v/>
      </c>
      <c r="K170">
        <f>IFERROR(INDEX(PP_Grid[#Data],$DD170,9),0)</f>
        <v/>
      </c>
      <c r="L170">
        <f>IFERROR(INDEX(PP_Grid[#Data],$DD170,10),0)</f>
        <v/>
      </c>
      <c r="M170">
        <f>IFERROR(INDEX(PP_Grid[#Data],$DD170,11),0)</f>
        <v/>
      </c>
      <c r="N170">
        <f>IFERROR(INDEX(PP_Grid[#Data],$DD170,12),0)</f>
        <v/>
      </c>
      <c r="O170">
        <f>IFERROR(INDEX(PP_Grid[#Data],$DD170,13),0)</f>
        <v/>
      </c>
      <c r="P170">
        <f>IFERROR(INDEX(PP_Grid[#Data],$DD170,14),0)</f>
        <v/>
      </c>
      <c r="Q170">
        <f>IFERROR(INDEX(PP_Grid[#Data],$DD170,15),0)</f>
        <v/>
      </c>
      <c r="R170">
        <f>IFERROR(INDEX(PP_Grid[#Data],$DD170,16),0)</f>
        <v/>
      </c>
      <c r="S170">
        <f>IFERROR(INDEX(PP_Grid[#Data],$DD170,17),0)</f>
        <v/>
      </c>
      <c r="T170">
        <f>IFERROR(INDEX(PP_Grid[#Data],$DD170,18),0)</f>
        <v/>
      </c>
      <c r="U170">
        <f>IFERROR(INDEX(PP_Grid[#Data],$DD170,19),0)</f>
        <v/>
      </c>
      <c r="V170">
        <f>IFERROR(INDEX(PP_Grid[#Data],$DD170,20),0)</f>
        <v/>
      </c>
      <c r="W170">
        <f>IFERROR(INDEX(PP_Grid[#Data],$DD170,21),0)</f>
        <v/>
      </c>
      <c r="X170">
        <f>IFERROR(INDEX(PP_Grid[#Data],$DD170,22),0)</f>
        <v/>
      </c>
      <c r="Y170">
        <f>IFERROR(INDEX(PP_Grid[#Data],$DD170,23),0)</f>
        <v/>
      </c>
      <c r="Z170">
        <f>IFERROR(INDEX(PP_Grid[#Data],$DD170,24),0)</f>
        <v/>
      </c>
      <c r="AA170">
        <f>IFERROR(INDEX(PP_Grid[#Data],$DD170,25),0)</f>
        <v/>
      </c>
      <c r="AB170">
        <f>IFERROR(INDEX(PP_Grid[#Data],$DD170,26),0)</f>
        <v/>
      </c>
      <c r="AC170">
        <f>IFERROR(INDEX(PP_Grid[#Data],$DD170,27),0)</f>
        <v/>
      </c>
      <c r="AD170">
        <f>IFERROR(INDEX(PP_Grid[#Data],$DD170,28),0)</f>
        <v/>
      </c>
      <c r="AE170">
        <f>IFERROR(INDEX(PP_Grid[#Data],$DD170,29),0)</f>
        <v/>
      </c>
      <c r="AF170">
        <f>IFERROR(INDEX(PP_Grid[#Data],$DD170,30),0)</f>
        <v/>
      </c>
      <c r="AG170">
        <f>IFERROR(INDEX(PP_Grid[#Data],$DD170,31),0)</f>
        <v/>
      </c>
      <c r="AH170">
        <f>IFERROR(INDEX(PP_Grid[#Data],$DD170,32),0)</f>
        <v/>
      </c>
      <c r="AI170">
        <f>IFERROR(INDEX(PP_Grid[#Data],$DD170,33),0)</f>
        <v/>
      </c>
      <c r="AJ170">
        <f>IFERROR(INDEX(PP_Grid[#Data],$DD170,34),0)</f>
        <v/>
      </c>
      <c r="AK170">
        <f>IFERROR(INDEX(PP_Grid[#Data],$DD170,35),0)</f>
        <v/>
      </c>
      <c r="AL170">
        <f>IFERROR(INDEX(PP_Grid[#Data],$DD170,36),0)</f>
        <v/>
      </c>
      <c r="AM170">
        <f>IFERROR(INDEX(PP_Grid[#Data],$DD170,37),0)</f>
        <v/>
      </c>
      <c r="AN170">
        <f>IFERROR(INDEX(PP_Grid[#Data],$DD170,38),0)</f>
        <v/>
      </c>
      <c r="AO170">
        <f>IFERROR(INDEX(PP_Grid[#Data],$DD170,39),0)</f>
        <v/>
      </c>
      <c r="AP170">
        <f>IFERROR(INDEX(PP_Grid[#Data],$DD170,40),0)</f>
        <v/>
      </c>
      <c r="AQ170">
        <f>IFERROR(INDEX(PP_Grid[#Data],$DD170,41),0)</f>
        <v/>
      </c>
      <c r="AR170">
        <f>IFERROR(INDEX(PP_Grid[#Data],$DD170,42),0)</f>
        <v/>
      </c>
      <c r="AS170">
        <f>IFERROR(INDEX(PP_Grid[#Data],$DD170,43),0)</f>
        <v/>
      </c>
      <c r="AT170">
        <f>IFERROR(INDEX(PP_Grid[#Data],$DD170,44),0)</f>
        <v/>
      </c>
      <c r="AU170">
        <f>IFERROR(INDEX(PP_Grid[#Data],$DD170,45),0)</f>
        <v/>
      </c>
      <c r="AV170">
        <f>IFERROR(INDEX(PP_Grid[#Data],$DD170,46),0)</f>
        <v/>
      </c>
      <c r="AW170">
        <f>IFERROR(INDEX(PP_Grid[#Data],$DD170,47),0)</f>
        <v/>
      </c>
      <c r="AX170">
        <f>IFERROR(INDEX(PP_Grid[#Data],$DD170,48),0)</f>
        <v/>
      </c>
      <c r="AY170">
        <f>IFERROR(INDEX(PP_Grid[#Data],$DD170,49),0)</f>
        <v/>
      </c>
      <c r="AZ170">
        <f>IFERROR(INDEX(PP_Grid[#Data],$DD170,50),0)</f>
        <v/>
      </c>
      <c r="BA170">
        <f>IFERROR(INDEX(PP_Grid[#Data],$DD170,51),0)</f>
        <v/>
      </c>
      <c r="BB170">
        <f>IFERROR(INDEX(PP_Grid[#Data],$DD170,52),0)</f>
        <v/>
      </c>
      <c r="BC170">
        <f>IFERROR(INDEX(PP_Grid[#Data],$DD170,53),0)</f>
        <v/>
      </c>
      <c r="BD170">
        <f>IFERROR(INDEX(PP_Grid[#Data],$DD170,54),0)</f>
        <v/>
      </c>
      <c r="BE170">
        <f>IFERROR(INDEX(PP_Grid[#Data],$DD170,55),0)</f>
        <v/>
      </c>
      <c r="BF170">
        <f>IFERROR(INDEX(PP_Grid[#Data],$DD170,56),0)</f>
        <v/>
      </c>
      <c r="BG170">
        <f>IFERROR(INDEX(PP_Grid[#Data],$DD170,57),0)</f>
        <v/>
      </c>
      <c r="BH170">
        <f>IFERROR(INDEX(PP_Grid[#Data],$DD170,58),0)</f>
        <v/>
      </c>
      <c r="BI170">
        <f>IFERROR(INDEX(PP_Grid[#Data],$DD170,59),0)</f>
        <v/>
      </c>
      <c r="BJ170">
        <f>IFERROR(INDEX(PP_Grid[#Data],$DD170,60),0)</f>
        <v/>
      </c>
      <c r="BK170">
        <f>IFERROR(INDEX(PP_Grid[#Data],$DD170,61),0)</f>
        <v/>
      </c>
      <c r="BL170">
        <f>IFERROR(INDEX(PP_Grid[#Data],$DD170,62),0)</f>
        <v/>
      </c>
      <c r="BM170">
        <f>IFERROR(INDEX(PP_Grid[#Data],$DD170,63),0)</f>
        <v/>
      </c>
      <c r="BN170">
        <f>IFERROR(INDEX(PP_Grid[#Data],$DD170,64),0)</f>
        <v/>
      </c>
      <c r="BO170">
        <f>IFERROR(INDEX(PP_Grid[#Data],$DD170,65),0)</f>
        <v/>
      </c>
      <c r="BP170">
        <f>IFERROR(INDEX(PP_Grid[#Data],$DD170,66),0)</f>
        <v/>
      </c>
      <c r="BQ170">
        <f>IFERROR(INDEX(PP_Grid[#Data],$DD170,67),0)</f>
        <v/>
      </c>
      <c r="BR170">
        <f>IFERROR(INDEX(PP_Grid[#Data],$DD170,68),0)</f>
        <v/>
      </c>
      <c r="BS170">
        <f>IFERROR(INDEX(PP_Grid[#Data],$DD170,69),0)</f>
        <v/>
      </c>
      <c r="BT170">
        <f>IFERROR(INDEX(PP_Grid[#Data],$DD170,70),0)</f>
        <v/>
      </c>
      <c r="BU170">
        <f>IFERROR(INDEX(PP_Grid[#Data],$DD170,71),0)</f>
        <v/>
      </c>
      <c r="BV170">
        <f>IFERROR(INDEX(PP_Grid[#Data],$DD170,72),0)</f>
        <v/>
      </c>
      <c r="BW170">
        <f>IFERROR(INDEX(PP_Grid[#Data],$DD170,73),0)</f>
        <v/>
      </c>
      <c r="BX170">
        <f>IFERROR(INDEX(PP_Grid[#Data],$DD170,74),0)</f>
        <v/>
      </c>
      <c r="BY170">
        <f>IFERROR(INDEX(PP_Grid[#Data],$DD170,75),0)</f>
        <v/>
      </c>
      <c r="BZ170">
        <f>IFERROR(INDEX(PP_Grid[#Data],$DD170,76),0)</f>
        <v/>
      </c>
      <c r="CA170">
        <f>IFERROR(INDEX(PP_Grid[#Data],$DD170,77),0)</f>
        <v/>
      </c>
      <c r="CB170">
        <f>IFERROR(INDEX(PP_Grid[#Data],$DD170,78),0)</f>
        <v/>
      </c>
      <c r="CC170">
        <f>IFERROR(INDEX(PP_Grid[#Data],$DD170,79),0)</f>
        <v/>
      </c>
      <c r="CD170">
        <f>IFERROR(INDEX(PP_Grid[#Data],$DD170,80),0)</f>
        <v/>
      </c>
      <c r="CE170">
        <f>IFERROR(INDEX(PP_Grid[#Data],$DD170,81),0)</f>
        <v/>
      </c>
      <c r="CF170">
        <f>IFERROR(INDEX(PP_Grid[#Data],$DD170,82),0)</f>
        <v/>
      </c>
      <c r="CG170">
        <f>IFERROR(INDEX(PP_Grid[#Data],$DD170,83),0)</f>
        <v/>
      </c>
      <c r="CH170">
        <f>IFERROR(INDEX(PP_Grid[#Data],$DD170,84),0)</f>
        <v/>
      </c>
      <c r="CI170">
        <f>IFERROR(INDEX(PP_Grid[#Data],$DD170,85),0)</f>
        <v/>
      </c>
      <c r="CJ170">
        <f>IFERROR(INDEX(PP_Grid[#Data],$DD170,86),0)</f>
        <v/>
      </c>
      <c r="CK170">
        <f>IFERROR(INDEX(PP_Grid[#Data],$DD170,87),0)</f>
        <v/>
      </c>
      <c r="CL170">
        <f>IFERROR(INDEX(PP_Grid[#Data],$DD170,88),0)</f>
        <v/>
      </c>
      <c r="CM170">
        <f>IFERROR(INDEX(PP_Grid[#Data],$DD170,89),0)</f>
        <v/>
      </c>
      <c r="CN170">
        <f>IFERROR(INDEX(PP_Grid[#Data],$DD170,90),0)</f>
        <v/>
      </c>
      <c r="CO170">
        <f>IFERROR(INDEX(PP_Grid[#Data],$DD170,91),0)</f>
        <v/>
      </c>
      <c r="CP170">
        <f>IFERROR(INDEX(PP_Grid[#Data],$DD170,92),0)</f>
        <v/>
      </c>
      <c r="CQ170">
        <f>IFERROR(INDEX(PP_Grid[#Data],$DD170,93),0)</f>
        <v/>
      </c>
      <c r="CR170">
        <f>IFERROR(INDEX(PP_Grid[#Data],$DD170,94),0)</f>
        <v/>
      </c>
      <c r="CS170">
        <f>IFERROR(INDEX(PP_Grid[#Data],$DD170,95),0)</f>
        <v/>
      </c>
      <c r="CT170">
        <f>IFERROR(INDEX(PP_Grid[#Data],$DD170,96),0)</f>
        <v/>
      </c>
      <c r="CU170">
        <f>IFERROR(INDEX(PP_Grid[#Data],$DD170,97),0)</f>
        <v/>
      </c>
      <c r="CV170">
        <f>IFERROR(INDEX(PP_Grid[#Data],$DD170,98),0)</f>
        <v/>
      </c>
      <c r="CW170">
        <f>IFERROR(INDEX(PP_Grid[#Data],$DD170,99),0)</f>
        <v/>
      </c>
      <c r="CX170">
        <f>IFERROR(INDEX(PP_Grid[#Data],$DD170,100),0)</f>
        <v/>
      </c>
      <c r="CY170">
        <f>IFERROR(INDEX(PP_Grid[#Data],$DD170,101),0)</f>
        <v/>
      </c>
      <c r="CZ170">
        <f>IFERROR(INDEX(PP_Grid[#Data],$DD170,102),0)</f>
        <v/>
      </c>
      <c r="DA170">
        <f>IFERROR(INDEX(PP_Grid[#Data],$DD170,103),0)</f>
        <v/>
      </c>
      <c r="DB170">
        <f>IFERROR(INDEX(PP_Grid[#Data],$DD170,104),0)</f>
        <v/>
      </c>
      <c r="DC170">
        <f>IFERROR(INDEX(PP_Grid[#Data],$DD170,105),0)</f>
        <v/>
      </c>
      <c r="DD170" s="12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SUMIFS(M_BOM[RM_Qty_Per_Batch],M_BOM[Intermediate],$B170,M_BOM[Part Name],$A169)</f>
        <v/>
      </c>
      <c r="D171">
        <f>$C171*D170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</row>
    <row r="172">
      <c r="B172" s="5" t="inlineStr">
        <is>
          <t>合計使用量(kg)/週</t>
        </is>
      </c>
      <c r="D172">
        <f>'Grid_Requirement'!B18</f>
        <v/>
      </c>
      <c r="E172">
        <f>'Grid_Requirement'!C18</f>
        <v/>
      </c>
      <c r="F172">
        <f>'Grid_Requirement'!D18</f>
        <v/>
      </c>
      <c r="G172">
        <f>'Grid_Requirement'!E18</f>
        <v/>
      </c>
      <c r="H172">
        <f>'Grid_Requirement'!F18</f>
        <v/>
      </c>
      <c r="I172">
        <f>'Grid_Requirement'!G18</f>
        <v/>
      </c>
      <c r="J172">
        <f>'Grid_Requirement'!H18</f>
        <v/>
      </c>
      <c r="K172">
        <f>'Grid_Requirement'!I18</f>
        <v/>
      </c>
      <c r="L172">
        <f>'Grid_Requirement'!J18</f>
        <v/>
      </c>
      <c r="M172">
        <f>'Grid_Requirement'!K18</f>
        <v/>
      </c>
      <c r="N172">
        <f>'Grid_Requirement'!L18</f>
        <v/>
      </c>
      <c r="O172">
        <f>'Grid_Requirement'!M18</f>
        <v/>
      </c>
      <c r="P172">
        <f>'Grid_Requirement'!N18</f>
        <v/>
      </c>
      <c r="Q172">
        <f>'Grid_Requirement'!O18</f>
        <v/>
      </c>
      <c r="R172">
        <f>'Grid_Requirement'!P18</f>
        <v/>
      </c>
      <c r="S172">
        <f>'Grid_Requirement'!Q18</f>
        <v/>
      </c>
      <c r="T172">
        <f>'Grid_Requirement'!R18</f>
        <v/>
      </c>
      <c r="U172">
        <f>'Grid_Requirement'!S18</f>
        <v/>
      </c>
      <c r="V172">
        <f>'Grid_Requirement'!T18</f>
        <v/>
      </c>
      <c r="W172">
        <f>'Grid_Requirement'!U18</f>
        <v/>
      </c>
      <c r="X172">
        <f>'Grid_Requirement'!V18</f>
        <v/>
      </c>
      <c r="Y172">
        <f>'Grid_Requirement'!W18</f>
        <v/>
      </c>
      <c r="Z172">
        <f>'Grid_Requirement'!X18</f>
        <v/>
      </c>
      <c r="AA172">
        <f>'Grid_Requirement'!Y18</f>
        <v/>
      </c>
      <c r="AB172">
        <f>'Grid_Requirement'!Z18</f>
        <v/>
      </c>
      <c r="AC172">
        <f>'Grid_Requirement'!AA18</f>
        <v/>
      </c>
      <c r="AD172">
        <f>'Grid_Requirement'!AB18</f>
        <v/>
      </c>
      <c r="AE172">
        <f>'Grid_Requirement'!AC18</f>
        <v/>
      </c>
      <c r="AF172">
        <f>'Grid_Requirement'!AD18</f>
        <v/>
      </c>
      <c r="AG172">
        <f>'Grid_Requirement'!AE18</f>
        <v/>
      </c>
      <c r="AH172">
        <f>'Grid_Requirement'!AF18</f>
        <v/>
      </c>
      <c r="AI172">
        <f>'Grid_Requirement'!AG18</f>
        <v/>
      </c>
      <c r="AJ172">
        <f>'Grid_Requirement'!AH18</f>
        <v/>
      </c>
      <c r="AK172">
        <f>'Grid_Requirement'!AI18</f>
        <v/>
      </c>
      <c r="AL172">
        <f>'Grid_Requirement'!AJ18</f>
        <v/>
      </c>
      <c r="AM172">
        <f>'Grid_Requirement'!AK18</f>
        <v/>
      </c>
      <c r="AN172">
        <f>'Grid_Requirement'!AL18</f>
        <v/>
      </c>
      <c r="AO172">
        <f>'Grid_Requirement'!AM18</f>
        <v/>
      </c>
      <c r="AP172">
        <f>'Grid_Requirement'!AN18</f>
        <v/>
      </c>
      <c r="AQ172">
        <f>'Grid_Requirement'!AO18</f>
        <v/>
      </c>
      <c r="AR172">
        <f>'Grid_Requirement'!AP18</f>
        <v/>
      </c>
      <c r="AS172">
        <f>'Grid_Requirement'!AQ18</f>
        <v/>
      </c>
      <c r="AT172">
        <f>'Grid_Requirement'!AR18</f>
        <v/>
      </c>
      <c r="AU172">
        <f>'Grid_Requirement'!AS18</f>
        <v/>
      </c>
      <c r="AV172">
        <f>'Grid_Requirement'!AT18</f>
        <v/>
      </c>
      <c r="AW172">
        <f>'Grid_Requirement'!AU18</f>
        <v/>
      </c>
      <c r="AX172">
        <f>'Grid_Requirement'!AV18</f>
        <v/>
      </c>
      <c r="AY172">
        <f>'Grid_Requirement'!AW18</f>
        <v/>
      </c>
      <c r="AZ172">
        <f>'Grid_Requirement'!AX18</f>
        <v/>
      </c>
      <c r="BA172">
        <f>'Grid_Requirement'!AY18</f>
        <v/>
      </c>
      <c r="BB172">
        <f>'Grid_Requirement'!AZ18</f>
        <v/>
      </c>
      <c r="BC172">
        <f>'Grid_Requirement'!BA18</f>
        <v/>
      </c>
      <c r="BD172">
        <f>'Grid_Requirement'!BB18</f>
        <v/>
      </c>
      <c r="BE172">
        <f>'Grid_Requirement'!BC18</f>
        <v/>
      </c>
      <c r="BF172">
        <f>'Grid_Requirement'!BD18</f>
        <v/>
      </c>
      <c r="BG172">
        <f>'Grid_Requirement'!BE18</f>
        <v/>
      </c>
      <c r="BH172">
        <f>'Grid_Requirement'!BF18</f>
        <v/>
      </c>
      <c r="BI172">
        <f>'Grid_Requirement'!BG18</f>
        <v/>
      </c>
      <c r="BJ172">
        <f>'Grid_Requirement'!BH18</f>
        <v/>
      </c>
      <c r="BK172">
        <f>'Grid_Requirement'!BI18</f>
        <v/>
      </c>
      <c r="BL172">
        <f>'Grid_Requirement'!BJ18</f>
        <v/>
      </c>
      <c r="BM172">
        <f>'Grid_Requirement'!BK18</f>
        <v/>
      </c>
      <c r="BN172">
        <f>'Grid_Requirement'!BL18</f>
        <v/>
      </c>
      <c r="BO172">
        <f>'Grid_Requirement'!BM18</f>
        <v/>
      </c>
      <c r="BP172">
        <f>'Grid_Requirement'!BN18</f>
        <v/>
      </c>
      <c r="BQ172">
        <f>'Grid_Requirement'!BO18</f>
        <v/>
      </c>
      <c r="BR172">
        <f>'Grid_Requirement'!BP18</f>
        <v/>
      </c>
      <c r="BS172">
        <f>'Grid_Requirement'!BQ18</f>
        <v/>
      </c>
      <c r="BT172">
        <f>'Grid_Requirement'!BR18</f>
        <v/>
      </c>
      <c r="BU172">
        <f>'Grid_Requirement'!BS18</f>
        <v/>
      </c>
      <c r="BV172">
        <f>'Grid_Requirement'!BT18</f>
        <v/>
      </c>
      <c r="BW172">
        <f>'Grid_Requirement'!BU18</f>
        <v/>
      </c>
      <c r="BX172">
        <f>'Grid_Requirement'!BV18</f>
        <v/>
      </c>
      <c r="BY172">
        <f>'Grid_Requirement'!BW18</f>
        <v/>
      </c>
      <c r="BZ172">
        <f>'Grid_Requirement'!BX18</f>
        <v/>
      </c>
      <c r="CA172">
        <f>'Grid_Requirement'!BY18</f>
        <v/>
      </c>
      <c r="CB172">
        <f>'Grid_Requirement'!BZ18</f>
        <v/>
      </c>
      <c r="CC172">
        <f>'Grid_Requirement'!CA18</f>
        <v/>
      </c>
      <c r="CD172">
        <f>'Grid_Requirement'!CB18</f>
        <v/>
      </c>
      <c r="CE172">
        <f>'Grid_Requirement'!CC18</f>
        <v/>
      </c>
      <c r="CF172">
        <f>'Grid_Requirement'!CD18</f>
        <v/>
      </c>
      <c r="CG172">
        <f>'Grid_Requirement'!CE18</f>
        <v/>
      </c>
      <c r="CH172">
        <f>'Grid_Requirement'!CF18</f>
        <v/>
      </c>
      <c r="CI172">
        <f>'Grid_Requirement'!CG18</f>
        <v/>
      </c>
      <c r="CJ172">
        <f>'Grid_Requirement'!CH18</f>
        <v/>
      </c>
      <c r="CK172">
        <f>'Grid_Requirement'!CI18</f>
        <v/>
      </c>
      <c r="CL172">
        <f>'Grid_Requirement'!CJ18</f>
        <v/>
      </c>
      <c r="CM172">
        <f>'Grid_Requirement'!CK18</f>
        <v/>
      </c>
      <c r="CN172">
        <f>'Grid_Requirement'!CL18</f>
        <v/>
      </c>
      <c r="CO172">
        <f>'Grid_Requirement'!CM18</f>
        <v/>
      </c>
      <c r="CP172">
        <f>'Grid_Requirement'!CN18</f>
        <v/>
      </c>
      <c r="CQ172">
        <f>'Grid_Requirement'!CO18</f>
        <v/>
      </c>
      <c r="CR172">
        <f>'Grid_Requirement'!CP18</f>
        <v/>
      </c>
      <c r="CS172">
        <f>'Grid_Requirement'!CQ18</f>
        <v/>
      </c>
      <c r="CT172">
        <f>'Grid_Requirement'!CR18</f>
        <v/>
      </c>
      <c r="CU172">
        <f>'Grid_Requirement'!CS18</f>
        <v/>
      </c>
      <c r="CV172">
        <f>'Grid_Requirement'!CT18</f>
        <v/>
      </c>
      <c r="CW172">
        <f>'Grid_Requirement'!CU18</f>
        <v/>
      </c>
      <c r="CX172">
        <f>'Grid_Requirement'!CV18</f>
        <v/>
      </c>
      <c r="CY172">
        <f>'Grid_Requirement'!CW18</f>
        <v/>
      </c>
      <c r="CZ172">
        <f>'Grid_Requirement'!CX18</f>
        <v/>
      </c>
      <c r="DA172">
        <f>'Grid_Requirement'!CY18</f>
        <v/>
      </c>
      <c r="DB172">
        <f>'Grid_Requirement'!CZ18</f>
        <v/>
      </c>
      <c r="DC172">
        <f>'Grid_Requirement'!DA18</f>
        <v/>
      </c>
    </row>
    <row r="173">
      <c r="B173" t="inlineStr">
        <is>
          <t>TTAF在庫(実績,kg)</t>
        </is>
      </c>
      <c r="D173">
        <f>'T_TTAFStock'!B22</f>
        <v/>
      </c>
      <c r="E173">
        <f>'T_TTAFStock'!C22</f>
        <v/>
      </c>
      <c r="F173">
        <f>'T_TTAFStock'!D22</f>
        <v/>
      </c>
      <c r="G173">
        <f>'T_TTAFStock'!E22</f>
        <v/>
      </c>
      <c r="H173">
        <f>'T_TTAFStock'!F22</f>
        <v/>
      </c>
      <c r="I173">
        <f>'T_TTAFStock'!G22</f>
        <v/>
      </c>
      <c r="J173">
        <f>'T_TTAFStock'!H22</f>
        <v/>
      </c>
      <c r="K173">
        <f>'T_TTAFStock'!I22</f>
        <v/>
      </c>
      <c r="L173">
        <f>'T_TTAFStock'!J22</f>
        <v/>
      </c>
      <c r="M173">
        <f>'T_TTAFStock'!K22</f>
        <v/>
      </c>
      <c r="N173">
        <f>'T_TTAFStock'!L22</f>
        <v/>
      </c>
      <c r="O173">
        <f>'T_TTAFStock'!M22</f>
        <v/>
      </c>
      <c r="P173">
        <f>'T_TTAFStock'!N22</f>
        <v/>
      </c>
      <c r="Q173">
        <f>'T_TTAFStock'!O22</f>
        <v/>
      </c>
      <c r="R173">
        <f>'T_TTAFStock'!P22</f>
        <v/>
      </c>
      <c r="S173">
        <f>'T_TTAFStock'!Q22</f>
        <v/>
      </c>
      <c r="T173">
        <f>'T_TTAFStock'!R22</f>
        <v/>
      </c>
      <c r="U173">
        <f>'T_TTAFStock'!S22</f>
        <v/>
      </c>
      <c r="V173">
        <f>'T_TTAFStock'!T22</f>
        <v/>
      </c>
      <c r="W173">
        <f>'T_TTAFStock'!U22</f>
        <v/>
      </c>
      <c r="X173">
        <f>'T_TTAFStock'!V22</f>
        <v/>
      </c>
      <c r="Y173">
        <f>'T_TTAFStock'!W22</f>
        <v/>
      </c>
      <c r="Z173">
        <f>'T_TTAFStock'!X22</f>
        <v/>
      </c>
      <c r="AA173">
        <f>'T_TTAFStock'!Y22</f>
        <v/>
      </c>
      <c r="AB173">
        <f>'T_TTAFStock'!Z22</f>
        <v/>
      </c>
      <c r="AC173">
        <f>'T_TTAFStock'!AA22</f>
        <v/>
      </c>
      <c r="AD173">
        <f>'T_TTAFStock'!AB22</f>
        <v/>
      </c>
      <c r="AE173">
        <f>'T_TTAFStock'!AC22</f>
        <v/>
      </c>
      <c r="AF173">
        <f>'T_TTAFStock'!AD22</f>
        <v/>
      </c>
      <c r="AG173">
        <f>'T_TTAFStock'!AE22</f>
        <v/>
      </c>
      <c r="AH173">
        <f>'T_TTAFStock'!AF22</f>
        <v/>
      </c>
      <c r="AI173">
        <f>'T_TTAFStock'!AG22</f>
        <v/>
      </c>
      <c r="AJ173">
        <f>'T_TTAFStock'!AH22</f>
        <v/>
      </c>
      <c r="AK173">
        <f>'T_TTAFStock'!AI22</f>
        <v/>
      </c>
      <c r="AL173">
        <f>'T_TTAFStock'!AJ22</f>
        <v/>
      </c>
      <c r="AM173">
        <f>'T_TTAFStock'!AK22</f>
        <v/>
      </c>
      <c r="AN173">
        <f>'T_TTAFStock'!AL22</f>
        <v/>
      </c>
      <c r="AO173">
        <f>'T_TTAFStock'!AM22</f>
        <v/>
      </c>
      <c r="AP173">
        <f>'T_TTAFStock'!AN22</f>
        <v/>
      </c>
      <c r="AQ173">
        <f>'T_TTAFStock'!AO22</f>
        <v/>
      </c>
      <c r="AR173">
        <f>'T_TTAFStock'!AP22</f>
        <v/>
      </c>
      <c r="AS173">
        <f>'T_TTAFStock'!AQ22</f>
        <v/>
      </c>
      <c r="AT173">
        <f>'T_TTAFStock'!AR22</f>
        <v/>
      </c>
      <c r="AU173">
        <f>'T_TTAFStock'!AS22</f>
        <v/>
      </c>
      <c r="AV173">
        <f>'T_TTAFStock'!AT22</f>
        <v/>
      </c>
      <c r="AW173">
        <f>'T_TTAFStock'!AU22</f>
        <v/>
      </c>
      <c r="AX173">
        <f>'T_TTAFStock'!AV22</f>
        <v/>
      </c>
      <c r="AY173">
        <f>'T_TTAFStock'!AW22</f>
        <v/>
      </c>
      <c r="AZ173">
        <f>'T_TTAFStock'!AX22</f>
        <v/>
      </c>
      <c r="BA173">
        <f>'T_TTAFStock'!AY22</f>
        <v/>
      </c>
      <c r="BB173">
        <f>'T_TTAFStock'!AZ22</f>
        <v/>
      </c>
      <c r="BC173">
        <f>'T_TTAFStock'!BA22</f>
        <v/>
      </c>
      <c r="BD173">
        <f>'T_TTAFStock'!BB22</f>
        <v/>
      </c>
      <c r="BE173">
        <f>'T_TTAFStock'!BC22</f>
        <v/>
      </c>
      <c r="BF173">
        <f>'T_TTAFStock'!BD22</f>
        <v/>
      </c>
      <c r="BG173">
        <f>'T_TTAFStock'!BE22</f>
        <v/>
      </c>
      <c r="BH173">
        <f>'T_TTAFStock'!BF22</f>
        <v/>
      </c>
      <c r="BI173">
        <f>'T_TTAFStock'!BG22</f>
        <v/>
      </c>
      <c r="BJ173">
        <f>'T_TTAFStock'!BH22</f>
        <v/>
      </c>
      <c r="BK173">
        <f>'T_TTAFStock'!BI22</f>
        <v/>
      </c>
      <c r="BL173">
        <f>'T_TTAFStock'!BJ22</f>
        <v/>
      </c>
      <c r="BM173">
        <f>'T_TTAFStock'!BK22</f>
        <v/>
      </c>
      <c r="BN173">
        <f>'T_TTAFStock'!BL22</f>
        <v/>
      </c>
      <c r="BO173">
        <f>'T_TTAFStock'!BM22</f>
        <v/>
      </c>
      <c r="BP173">
        <f>'T_TTAFStock'!BN22</f>
        <v/>
      </c>
      <c r="BQ173">
        <f>'T_TTAFStock'!BO22</f>
        <v/>
      </c>
      <c r="BR173">
        <f>'T_TTAFStock'!BP22</f>
        <v/>
      </c>
      <c r="BS173">
        <f>'T_TTAFStock'!BQ22</f>
        <v/>
      </c>
      <c r="BT173">
        <f>'T_TTAFStock'!BR22</f>
        <v/>
      </c>
      <c r="BU173">
        <f>'T_TTAFStock'!BS22</f>
        <v/>
      </c>
      <c r="BV173">
        <f>'T_TTAFStock'!BT22</f>
        <v/>
      </c>
      <c r="BW173">
        <f>'T_TTAFStock'!BU22</f>
        <v/>
      </c>
      <c r="BX173">
        <f>'T_TTAFStock'!BV22</f>
        <v/>
      </c>
      <c r="BY173">
        <f>'T_TTAFStock'!BW22</f>
        <v/>
      </c>
      <c r="BZ173">
        <f>'T_TTAFStock'!BX22</f>
        <v/>
      </c>
      <c r="CA173">
        <f>'T_TTAFStock'!BY22</f>
        <v/>
      </c>
      <c r="CB173">
        <f>'T_TTAFStock'!BZ22</f>
        <v/>
      </c>
      <c r="CC173">
        <f>'T_TTAFStock'!CA22</f>
        <v/>
      </c>
      <c r="CD173">
        <f>'T_TTAFStock'!CB22</f>
        <v/>
      </c>
      <c r="CE173">
        <f>'T_TTAFStock'!CC22</f>
        <v/>
      </c>
      <c r="CF173">
        <f>'T_TTAFStock'!CD22</f>
        <v/>
      </c>
      <c r="CG173">
        <f>'T_TTAFStock'!CE22</f>
        <v/>
      </c>
      <c r="CH173">
        <f>'T_TTAFStock'!CF22</f>
        <v/>
      </c>
      <c r="CI173">
        <f>'T_TTAFStock'!CG22</f>
        <v/>
      </c>
      <c r="CJ173">
        <f>'T_TTAFStock'!CH22</f>
        <v/>
      </c>
      <c r="CK173">
        <f>'T_TTAFStock'!CI22</f>
        <v/>
      </c>
      <c r="CL173">
        <f>'T_TTAFStock'!CJ22</f>
        <v/>
      </c>
      <c r="CM173">
        <f>'T_TTAFStock'!CK22</f>
        <v/>
      </c>
      <c r="CN173">
        <f>'T_TTAFStock'!CL22</f>
        <v/>
      </c>
      <c r="CO173">
        <f>'T_TTAFStock'!CM22</f>
        <v/>
      </c>
      <c r="CP173">
        <f>'T_TTAFStock'!CN22</f>
        <v/>
      </c>
      <c r="CQ173">
        <f>'T_TTAFStock'!CO22</f>
        <v/>
      </c>
      <c r="CR173">
        <f>'T_TTAFStock'!CP22</f>
        <v/>
      </c>
      <c r="CS173">
        <f>'T_TTAFStock'!CQ22</f>
        <v/>
      </c>
      <c r="CT173">
        <f>'T_TTAFStock'!CR22</f>
        <v/>
      </c>
      <c r="CU173">
        <f>'T_TTAFStock'!CS22</f>
        <v/>
      </c>
      <c r="CV173">
        <f>'T_TTAFStock'!CT22</f>
        <v/>
      </c>
      <c r="CW173">
        <f>'T_TTAFStock'!CU22</f>
        <v/>
      </c>
      <c r="CX173">
        <f>'T_TTAFStock'!CV22</f>
        <v/>
      </c>
      <c r="CY173">
        <f>'T_TTAFStock'!CW22</f>
        <v/>
      </c>
      <c r="CZ173">
        <f>'T_TTAFStock'!CX22</f>
        <v/>
      </c>
      <c r="DA173">
        <f>'T_TTAFStock'!CY22</f>
        <v/>
      </c>
      <c r="DB173">
        <f>'T_TTAFStock'!CZ22</f>
        <v/>
      </c>
      <c r="DC173">
        <f>'T_TTAFStock'!DA22</f>
        <v/>
      </c>
    </row>
    <row r="174">
      <c r="B174" t="inlineStr">
        <is>
          <t>自社在庫(実績,kg)</t>
        </is>
      </c>
      <c r="D174">
        <f>'T_SelfStock'!B22</f>
        <v/>
      </c>
      <c r="E174">
        <f>'T_SelfStock'!C22</f>
        <v/>
      </c>
      <c r="F174">
        <f>'T_SelfStock'!D22</f>
        <v/>
      </c>
      <c r="G174">
        <f>'T_SelfStock'!E22</f>
        <v/>
      </c>
      <c r="H174">
        <f>'T_SelfStock'!F22</f>
        <v/>
      </c>
      <c r="I174">
        <f>'T_SelfStock'!G22</f>
        <v/>
      </c>
      <c r="J174">
        <f>'T_SelfStock'!H22</f>
        <v/>
      </c>
      <c r="K174">
        <f>'T_SelfStock'!I22</f>
        <v/>
      </c>
      <c r="L174">
        <f>'T_SelfStock'!J22</f>
        <v/>
      </c>
      <c r="M174">
        <f>'T_SelfStock'!K22</f>
        <v/>
      </c>
      <c r="N174">
        <f>'T_SelfStock'!L22</f>
        <v/>
      </c>
      <c r="O174">
        <f>'T_SelfStock'!M22</f>
        <v/>
      </c>
      <c r="P174">
        <f>'T_SelfStock'!N22</f>
        <v/>
      </c>
      <c r="Q174">
        <f>'T_SelfStock'!O22</f>
        <v/>
      </c>
      <c r="R174">
        <f>'T_SelfStock'!P22</f>
        <v/>
      </c>
      <c r="S174">
        <f>'T_SelfStock'!Q22</f>
        <v/>
      </c>
      <c r="T174">
        <f>'T_SelfStock'!R22</f>
        <v/>
      </c>
      <c r="U174">
        <f>'T_SelfStock'!S22</f>
        <v/>
      </c>
      <c r="V174">
        <f>'T_SelfStock'!T22</f>
        <v/>
      </c>
      <c r="W174">
        <f>'T_SelfStock'!U22</f>
        <v/>
      </c>
      <c r="X174">
        <f>'T_SelfStock'!V22</f>
        <v/>
      </c>
      <c r="Y174">
        <f>'T_SelfStock'!W22</f>
        <v/>
      </c>
      <c r="Z174">
        <f>'T_SelfStock'!X22</f>
        <v/>
      </c>
      <c r="AA174">
        <f>'T_SelfStock'!Y22</f>
        <v/>
      </c>
      <c r="AB174">
        <f>'T_SelfStock'!Z22</f>
        <v/>
      </c>
      <c r="AC174">
        <f>'T_SelfStock'!AA22</f>
        <v/>
      </c>
      <c r="AD174">
        <f>'T_SelfStock'!AB22</f>
        <v/>
      </c>
      <c r="AE174">
        <f>'T_SelfStock'!AC22</f>
        <v/>
      </c>
      <c r="AF174">
        <f>'T_SelfStock'!AD22</f>
        <v/>
      </c>
      <c r="AG174">
        <f>'T_SelfStock'!AE22</f>
        <v/>
      </c>
      <c r="AH174">
        <f>'T_SelfStock'!AF22</f>
        <v/>
      </c>
      <c r="AI174">
        <f>'T_SelfStock'!AG22</f>
        <v/>
      </c>
      <c r="AJ174">
        <f>'T_SelfStock'!AH22</f>
        <v/>
      </c>
      <c r="AK174">
        <f>'T_SelfStock'!AI22</f>
        <v/>
      </c>
      <c r="AL174">
        <f>'T_SelfStock'!AJ22</f>
        <v/>
      </c>
      <c r="AM174">
        <f>'T_SelfStock'!AK22</f>
        <v/>
      </c>
      <c r="AN174">
        <f>'T_SelfStock'!AL22</f>
        <v/>
      </c>
      <c r="AO174">
        <f>'T_SelfStock'!AM22</f>
        <v/>
      </c>
      <c r="AP174">
        <f>'T_SelfStock'!AN22</f>
        <v/>
      </c>
      <c r="AQ174">
        <f>'T_SelfStock'!AO22</f>
        <v/>
      </c>
      <c r="AR174">
        <f>'T_SelfStock'!AP22</f>
        <v/>
      </c>
      <c r="AS174">
        <f>'T_SelfStock'!AQ22</f>
        <v/>
      </c>
      <c r="AT174">
        <f>'T_SelfStock'!AR22</f>
        <v/>
      </c>
      <c r="AU174">
        <f>'T_SelfStock'!AS22</f>
        <v/>
      </c>
      <c r="AV174">
        <f>'T_SelfStock'!AT22</f>
        <v/>
      </c>
      <c r="AW174">
        <f>'T_SelfStock'!AU22</f>
        <v/>
      </c>
      <c r="AX174">
        <f>'T_SelfStock'!AV22</f>
        <v/>
      </c>
      <c r="AY174">
        <f>'T_SelfStock'!AW22</f>
        <v/>
      </c>
      <c r="AZ174">
        <f>'T_SelfStock'!AX22</f>
        <v/>
      </c>
      <c r="BA174">
        <f>'T_SelfStock'!AY22</f>
        <v/>
      </c>
      <c r="BB174">
        <f>'T_SelfStock'!AZ22</f>
        <v/>
      </c>
      <c r="BC174">
        <f>'T_SelfStock'!BA22</f>
        <v/>
      </c>
      <c r="BD174">
        <f>'T_SelfStock'!BB22</f>
        <v/>
      </c>
      <c r="BE174">
        <f>'T_SelfStock'!BC22</f>
        <v/>
      </c>
      <c r="BF174">
        <f>'T_SelfStock'!BD22</f>
        <v/>
      </c>
      <c r="BG174">
        <f>'T_SelfStock'!BE22</f>
        <v/>
      </c>
      <c r="BH174">
        <f>'T_SelfStock'!BF22</f>
        <v/>
      </c>
      <c r="BI174">
        <f>'T_SelfStock'!BG22</f>
        <v/>
      </c>
      <c r="BJ174">
        <f>'T_SelfStock'!BH22</f>
        <v/>
      </c>
      <c r="BK174">
        <f>'T_SelfStock'!BI22</f>
        <v/>
      </c>
      <c r="BL174">
        <f>'T_SelfStock'!BJ22</f>
        <v/>
      </c>
      <c r="BM174">
        <f>'T_SelfStock'!BK22</f>
        <v/>
      </c>
      <c r="BN174">
        <f>'T_SelfStock'!BL22</f>
        <v/>
      </c>
      <c r="BO174">
        <f>'T_SelfStock'!BM22</f>
        <v/>
      </c>
      <c r="BP174">
        <f>'T_SelfStock'!BN22</f>
        <v/>
      </c>
      <c r="BQ174">
        <f>'T_SelfStock'!BO22</f>
        <v/>
      </c>
      <c r="BR174">
        <f>'T_SelfStock'!BP22</f>
        <v/>
      </c>
      <c r="BS174">
        <f>'T_SelfStock'!BQ22</f>
        <v/>
      </c>
      <c r="BT174">
        <f>'T_SelfStock'!BR22</f>
        <v/>
      </c>
      <c r="BU174">
        <f>'T_SelfStock'!BS22</f>
        <v/>
      </c>
      <c r="BV174">
        <f>'T_SelfStock'!BT22</f>
        <v/>
      </c>
      <c r="BW174">
        <f>'T_SelfStock'!BU22</f>
        <v/>
      </c>
      <c r="BX174">
        <f>'T_SelfStock'!BV22</f>
        <v/>
      </c>
      <c r="BY174">
        <f>'T_SelfStock'!BW22</f>
        <v/>
      </c>
      <c r="BZ174">
        <f>'T_SelfStock'!BX22</f>
        <v/>
      </c>
      <c r="CA174">
        <f>'T_SelfStock'!BY22</f>
        <v/>
      </c>
      <c r="CB174">
        <f>'T_SelfStock'!BZ22</f>
        <v/>
      </c>
      <c r="CC174">
        <f>'T_SelfStock'!CA22</f>
        <v/>
      </c>
      <c r="CD174">
        <f>'T_SelfStock'!CB22</f>
        <v/>
      </c>
      <c r="CE174">
        <f>'T_SelfStock'!CC22</f>
        <v/>
      </c>
      <c r="CF174">
        <f>'T_SelfStock'!CD22</f>
        <v/>
      </c>
      <c r="CG174">
        <f>'T_SelfStock'!CE22</f>
        <v/>
      </c>
      <c r="CH174">
        <f>'T_SelfStock'!CF22</f>
        <v/>
      </c>
      <c r="CI174">
        <f>'T_SelfStock'!CG22</f>
        <v/>
      </c>
      <c r="CJ174">
        <f>'T_SelfStock'!CH22</f>
        <v/>
      </c>
      <c r="CK174">
        <f>'T_SelfStock'!CI22</f>
        <v/>
      </c>
      <c r="CL174">
        <f>'T_SelfStock'!CJ22</f>
        <v/>
      </c>
      <c r="CM174">
        <f>'T_SelfStock'!CK22</f>
        <v/>
      </c>
      <c r="CN174">
        <f>'T_SelfStock'!CL22</f>
        <v/>
      </c>
      <c r="CO174">
        <f>'T_SelfStock'!CM22</f>
        <v/>
      </c>
      <c r="CP174">
        <f>'T_SelfStock'!CN22</f>
        <v/>
      </c>
      <c r="CQ174">
        <f>'T_SelfStock'!CO22</f>
        <v/>
      </c>
      <c r="CR174">
        <f>'T_SelfStock'!CP22</f>
        <v/>
      </c>
      <c r="CS174">
        <f>'T_SelfStock'!CQ22</f>
        <v/>
      </c>
      <c r="CT174">
        <f>'T_SelfStock'!CR22</f>
        <v/>
      </c>
      <c r="CU174">
        <f>'T_SelfStock'!CS22</f>
        <v/>
      </c>
      <c r="CV174">
        <f>'T_SelfStock'!CT22</f>
        <v/>
      </c>
      <c r="CW174">
        <f>'T_SelfStock'!CU22</f>
        <v/>
      </c>
      <c r="CX174">
        <f>'T_SelfStock'!CV22</f>
        <v/>
      </c>
      <c r="CY174">
        <f>'T_SelfStock'!CW22</f>
        <v/>
      </c>
      <c r="CZ174">
        <f>'T_SelfStock'!CX22</f>
        <v/>
      </c>
      <c r="DA174">
        <f>'T_SelfStock'!CY22</f>
        <v/>
      </c>
      <c r="DB174">
        <f>'T_SelfStock'!CZ22</f>
        <v/>
      </c>
      <c r="DC174">
        <f>'T_SelfStock'!DA22</f>
        <v/>
      </c>
    </row>
    <row r="175">
      <c r="B175" t="inlineStr">
        <is>
          <t>Order(発注予定,kg)</t>
        </is>
      </c>
      <c r="D175">
        <f>IF(SUMIFS(T_PlannedOrders[EffectiveQty],T_PlannedOrders[Part Name],$A169,T_PlannedOrders[WeekIndex],1)=0,"",SUMIFS(T_PlannedOrders[EffectiveQty],T_PlannedOrders[Part Name],$A169,T_PlannedOrders[WeekIndex],1)&amp;" ("&amp;TEXT(SUMPRODUCT(MAX((T_PlannedOrders[Part Name]=$A169)*(T_PlannedOrders[WeekIndex]=1)*(T_PlannedOrders[EffectiveQty]&gt;0)*T_PlannedOrders[Order_Month])),"m月")&amp;"発注)")</f>
        <v/>
      </c>
      <c r="E175">
        <f>IF(SUMIFS(T_PlannedOrders[EffectiveQty],T_PlannedOrders[Part Name],$A169,T_PlannedOrders[WeekIndex],2)=0,"",SUMIFS(T_PlannedOrders[EffectiveQty],T_PlannedOrders[Part Name],$A169,T_PlannedOrders[WeekIndex],2)&amp;" ("&amp;TEXT(SUMPRODUCT(MAX((T_PlannedOrders[Part Name]=$A169)*(T_PlannedOrders[WeekIndex]=2)*(T_PlannedOrders[EffectiveQty]&gt;0)*T_PlannedOrders[Order_Month])),"m月")&amp;"発注)")</f>
        <v/>
      </c>
      <c r="F175">
        <f>IF(SUMIFS(T_PlannedOrders[EffectiveQty],T_PlannedOrders[Part Name],$A169,T_PlannedOrders[WeekIndex],3)=0,"",SUMIFS(T_PlannedOrders[EffectiveQty],T_PlannedOrders[Part Name],$A169,T_PlannedOrders[WeekIndex],3)&amp;" ("&amp;TEXT(SUMPRODUCT(MAX((T_PlannedOrders[Part Name]=$A169)*(T_PlannedOrders[WeekIndex]=3)*(T_PlannedOrders[EffectiveQty]&gt;0)*T_PlannedOrders[Order_Month])),"m月")&amp;"発注)")</f>
        <v/>
      </c>
      <c r="G175">
        <f>IF(SUMIFS(T_PlannedOrders[EffectiveQty],T_PlannedOrders[Part Name],$A169,T_PlannedOrders[WeekIndex],4)=0,"",SUMIFS(T_PlannedOrders[EffectiveQty],T_PlannedOrders[Part Name],$A169,T_PlannedOrders[WeekIndex],4)&amp;" ("&amp;TEXT(SUMPRODUCT(MAX((T_PlannedOrders[Part Name]=$A169)*(T_PlannedOrders[WeekIndex]=4)*(T_PlannedOrders[EffectiveQty]&gt;0)*T_PlannedOrders[Order_Month])),"m月")&amp;"発注)")</f>
        <v/>
      </c>
      <c r="H175">
        <f>IF(SUMIFS(T_PlannedOrders[EffectiveQty],T_PlannedOrders[Part Name],$A169,T_PlannedOrders[WeekIndex],5)=0,"",SUMIFS(T_PlannedOrders[EffectiveQty],T_PlannedOrders[Part Name],$A169,T_PlannedOrders[WeekIndex],5)&amp;" ("&amp;TEXT(SUMPRODUCT(MAX((T_PlannedOrders[Part Name]=$A169)*(T_PlannedOrders[WeekIndex]=5)*(T_PlannedOrders[EffectiveQty]&gt;0)*T_PlannedOrders[Order_Month])),"m月")&amp;"発注)")</f>
        <v/>
      </c>
      <c r="I175">
        <f>IF(SUMIFS(T_PlannedOrders[EffectiveQty],T_PlannedOrders[Part Name],$A169,T_PlannedOrders[WeekIndex],6)=0,"",SUMIFS(T_PlannedOrders[EffectiveQty],T_PlannedOrders[Part Name],$A169,T_PlannedOrders[WeekIndex],6)&amp;" ("&amp;TEXT(SUMPRODUCT(MAX((T_PlannedOrders[Part Name]=$A169)*(T_PlannedOrders[WeekIndex]=6)*(T_PlannedOrders[EffectiveQty]&gt;0)*T_PlannedOrders[Order_Month])),"m月")&amp;"発注)")</f>
        <v/>
      </c>
      <c r="J175">
        <f>IF(SUMIFS(T_PlannedOrders[EffectiveQty],T_PlannedOrders[Part Name],$A169,T_PlannedOrders[WeekIndex],7)=0,"",SUMIFS(T_PlannedOrders[EffectiveQty],T_PlannedOrders[Part Name],$A169,T_PlannedOrders[WeekIndex],7)&amp;" ("&amp;TEXT(SUMPRODUCT(MAX((T_PlannedOrders[Part Name]=$A169)*(T_PlannedOrders[WeekIndex]=7)*(T_PlannedOrders[EffectiveQty]&gt;0)*T_PlannedOrders[Order_Month])),"m月")&amp;"発注)")</f>
        <v/>
      </c>
      <c r="K175">
        <f>IF(SUMIFS(T_PlannedOrders[EffectiveQty],T_PlannedOrders[Part Name],$A169,T_PlannedOrders[WeekIndex],8)=0,"",SUMIFS(T_PlannedOrders[EffectiveQty],T_PlannedOrders[Part Name],$A169,T_PlannedOrders[WeekIndex],8)&amp;" ("&amp;TEXT(SUMPRODUCT(MAX((T_PlannedOrders[Part Name]=$A169)*(T_PlannedOrders[WeekIndex]=8)*(T_PlannedOrders[EffectiveQty]&gt;0)*T_PlannedOrders[Order_Month])),"m月")&amp;"発注)")</f>
        <v/>
      </c>
      <c r="L175">
        <f>IF(SUMIFS(T_PlannedOrders[EffectiveQty],T_PlannedOrders[Part Name],$A169,T_PlannedOrders[WeekIndex],9)=0,"",SUMIFS(T_PlannedOrders[EffectiveQty],T_PlannedOrders[Part Name],$A169,T_PlannedOrders[WeekIndex],9)&amp;" ("&amp;TEXT(SUMPRODUCT(MAX((T_PlannedOrders[Part Name]=$A169)*(T_PlannedOrders[WeekIndex]=9)*(T_PlannedOrders[EffectiveQty]&gt;0)*T_PlannedOrders[Order_Month])),"m月")&amp;"発注)")</f>
        <v/>
      </c>
      <c r="M175">
        <f>IF(SUMIFS(T_PlannedOrders[EffectiveQty],T_PlannedOrders[Part Name],$A169,T_PlannedOrders[WeekIndex],10)=0,"",SUMIFS(T_PlannedOrders[EffectiveQty],T_PlannedOrders[Part Name],$A169,T_PlannedOrders[WeekIndex],10)&amp;" ("&amp;TEXT(SUMPRODUCT(MAX((T_PlannedOrders[Part Name]=$A169)*(T_PlannedOrders[WeekIndex]=10)*(T_PlannedOrders[EffectiveQty]&gt;0)*T_PlannedOrders[Order_Month])),"m月")&amp;"発注)")</f>
        <v/>
      </c>
      <c r="N175">
        <f>IF(SUMIFS(T_PlannedOrders[EffectiveQty],T_PlannedOrders[Part Name],$A169,T_PlannedOrders[WeekIndex],11)=0,"",SUMIFS(T_PlannedOrders[EffectiveQty],T_PlannedOrders[Part Name],$A169,T_PlannedOrders[WeekIndex],11)&amp;" ("&amp;TEXT(SUMPRODUCT(MAX((T_PlannedOrders[Part Name]=$A169)*(T_PlannedOrders[WeekIndex]=11)*(T_PlannedOrders[EffectiveQty]&gt;0)*T_PlannedOrders[Order_Month])),"m月")&amp;"発注)")</f>
        <v/>
      </c>
      <c r="O175">
        <f>IF(SUMIFS(T_PlannedOrders[EffectiveQty],T_PlannedOrders[Part Name],$A169,T_PlannedOrders[WeekIndex],12)=0,"",SUMIFS(T_PlannedOrders[EffectiveQty],T_PlannedOrders[Part Name],$A169,T_PlannedOrders[WeekIndex],12)&amp;" ("&amp;TEXT(SUMPRODUCT(MAX((T_PlannedOrders[Part Name]=$A169)*(T_PlannedOrders[WeekIndex]=12)*(T_PlannedOrders[EffectiveQty]&gt;0)*T_PlannedOrders[Order_Month])),"m月")&amp;"発注)")</f>
        <v/>
      </c>
      <c r="P175">
        <f>IF(SUMIFS(T_PlannedOrders[EffectiveQty],T_PlannedOrders[Part Name],$A169,T_PlannedOrders[WeekIndex],13)=0,"",SUMIFS(T_PlannedOrders[EffectiveQty],T_PlannedOrders[Part Name],$A169,T_PlannedOrders[WeekIndex],13)&amp;" ("&amp;TEXT(SUMPRODUCT(MAX((T_PlannedOrders[Part Name]=$A169)*(T_PlannedOrders[WeekIndex]=13)*(T_PlannedOrders[EffectiveQty]&gt;0)*T_PlannedOrders[Order_Month])),"m月")&amp;"発注)")</f>
        <v/>
      </c>
      <c r="Q175">
        <f>IF(SUMIFS(T_PlannedOrders[EffectiveQty],T_PlannedOrders[Part Name],$A169,T_PlannedOrders[WeekIndex],14)=0,"",SUMIFS(T_PlannedOrders[EffectiveQty],T_PlannedOrders[Part Name],$A169,T_PlannedOrders[WeekIndex],14)&amp;" ("&amp;TEXT(SUMPRODUCT(MAX((T_PlannedOrders[Part Name]=$A169)*(T_PlannedOrders[WeekIndex]=14)*(T_PlannedOrders[EffectiveQty]&gt;0)*T_PlannedOrders[Order_Month])),"m月")&amp;"発注)")</f>
        <v/>
      </c>
      <c r="R175">
        <f>IF(SUMIFS(T_PlannedOrders[EffectiveQty],T_PlannedOrders[Part Name],$A169,T_PlannedOrders[WeekIndex],15)=0,"",SUMIFS(T_PlannedOrders[EffectiveQty],T_PlannedOrders[Part Name],$A169,T_PlannedOrders[WeekIndex],15)&amp;" ("&amp;TEXT(SUMPRODUCT(MAX((T_PlannedOrders[Part Name]=$A169)*(T_PlannedOrders[WeekIndex]=15)*(T_PlannedOrders[EffectiveQty]&gt;0)*T_PlannedOrders[Order_Month])),"m月")&amp;"発注)")</f>
        <v/>
      </c>
      <c r="S175">
        <f>IF(SUMIFS(T_PlannedOrders[EffectiveQty],T_PlannedOrders[Part Name],$A169,T_PlannedOrders[WeekIndex],16)=0,"",SUMIFS(T_PlannedOrders[EffectiveQty],T_PlannedOrders[Part Name],$A169,T_PlannedOrders[WeekIndex],16)&amp;" ("&amp;TEXT(SUMPRODUCT(MAX((T_PlannedOrders[Part Name]=$A169)*(T_PlannedOrders[WeekIndex]=16)*(T_PlannedOrders[EffectiveQty]&gt;0)*T_PlannedOrders[Order_Month])),"m月")&amp;"発注)")</f>
        <v/>
      </c>
      <c r="T175">
        <f>IF(SUMIFS(T_PlannedOrders[EffectiveQty],T_PlannedOrders[Part Name],$A169,T_PlannedOrders[WeekIndex],17)=0,"",SUMIFS(T_PlannedOrders[EffectiveQty],T_PlannedOrders[Part Name],$A169,T_PlannedOrders[WeekIndex],17)&amp;" ("&amp;TEXT(SUMPRODUCT(MAX((T_PlannedOrders[Part Name]=$A169)*(T_PlannedOrders[WeekIndex]=17)*(T_PlannedOrders[EffectiveQty]&gt;0)*T_PlannedOrders[Order_Month])),"m月")&amp;"発注)")</f>
        <v/>
      </c>
      <c r="U175">
        <f>IF(SUMIFS(T_PlannedOrders[EffectiveQty],T_PlannedOrders[Part Name],$A169,T_PlannedOrders[WeekIndex],18)=0,"",SUMIFS(T_PlannedOrders[EffectiveQty],T_PlannedOrders[Part Name],$A169,T_PlannedOrders[WeekIndex],18)&amp;" ("&amp;TEXT(SUMPRODUCT(MAX((T_PlannedOrders[Part Name]=$A169)*(T_PlannedOrders[WeekIndex]=18)*(T_PlannedOrders[EffectiveQty]&gt;0)*T_PlannedOrders[Order_Month])),"m月")&amp;"発注)")</f>
        <v/>
      </c>
      <c r="V175">
        <f>IF(SUMIFS(T_PlannedOrders[EffectiveQty],T_PlannedOrders[Part Name],$A169,T_PlannedOrders[WeekIndex],19)=0,"",SUMIFS(T_PlannedOrders[EffectiveQty],T_PlannedOrders[Part Name],$A169,T_PlannedOrders[WeekIndex],19)&amp;" ("&amp;TEXT(SUMPRODUCT(MAX((T_PlannedOrders[Part Name]=$A169)*(T_PlannedOrders[WeekIndex]=19)*(T_PlannedOrders[EffectiveQty]&gt;0)*T_PlannedOrders[Order_Month])),"m月")&amp;"発注)")</f>
        <v/>
      </c>
      <c r="W175">
        <f>IF(SUMIFS(T_PlannedOrders[EffectiveQty],T_PlannedOrders[Part Name],$A169,T_PlannedOrders[WeekIndex],20)=0,"",SUMIFS(T_PlannedOrders[EffectiveQty],T_PlannedOrders[Part Name],$A169,T_PlannedOrders[WeekIndex],20)&amp;" ("&amp;TEXT(SUMPRODUCT(MAX((T_PlannedOrders[Part Name]=$A169)*(T_PlannedOrders[WeekIndex]=20)*(T_PlannedOrders[EffectiveQty]&gt;0)*T_PlannedOrders[Order_Month])),"m月")&amp;"発注)")</f>
        <v/>
      </c>
      <c r="X175">
        <f>IF(SUMIFS(T_PlannedOrders[EffectiveQty],T_PlannedOrders[Part Name],$A169,T_PlannedOrders[WeekIndex],21)=0,"",SUMIFS(T_PlannedOrders[EffectiveQty],T_PlannedOrders[Part Name],$A169,T_PlannedOrders[WeekIndex],21)&amp;" ("&amp;TEXT(SUMPRODUCT(MAX((T_PlannedOrders[Part Name]=$A169)*(T_PlannedOrders[WeekIndex]=21)*(T_PlannedOrders[EffectiveQty]&gt;0)*T_PlannedOrders[Order_Month])),"m月")&amp;"発注)")</f>
        <v/>
      </c>
      <c r="Y175">
        <f>IF(SUMIFS(T_PlannedOrders[EffectiveQty],T_PlannedOrders[Part Name],$A169,T_PlannedOrders[WeekIndex],22)=0,"",SUMIFS(T_PlannedOrders[EffectiveQty],T_PlannedOrders[Part Name],$A169,T_PlannedOrders[WeekIndex],22)&amp;" ("&amp;TEXT(SUMPRODUCT(MAX((T_PlannedOrders[Part Name]=$A169)*(T_PlannedOrders[WeekIndex]=22)*(T_PlannedOrders[EffectiveQty]&gt;0)*T_PlannedOrders[Order_Month])),"m月")&amp;"発注)")</f>
        <v/>
      </c>
      <c r="Z175">
        <f>IF(SUMIFS(T_PlannedOrders[EffectiveQty],T_PlannedOrders[Part Name],$A169,T_PlannedOrders[WeekIndex],23)=0,"",SUMIFS(T_PlannedOrders[EffectiveQty],T_PlannedOrders[Part Name],$A169,T_PlannedOrders[WeekIndex],23)&amp;" ("&amp;TEXT(SUMPRODUCT(MAX((T_PlannedOrders[Part Name]=$A169)*(T_PlannedOrders[WeekIndex]=23)*(T_PlannedOrders[EffectiveQty]&gt;0)*T_PlannedOrders[Order_Month])),"m月")&amp;"発注)")</f>
        <v/>
      </c>
      <c r="AA175">
        <f>IF(SUMIFS(T_PlannedOrders[EffectiveQty],T_PlannedOrders[Part Name],$A169,T_PlannedOrders[WeekIndex],24)=0,"",SUMIFS(T_PlannedOrders[EffectiveQty],T_PlannedOrders[Part Name],$A169,T_PlannedOrders[WeekIndex],24)&amp;" ("&amp;TEXT(SUMPRODUCT(MAX((T_PlannedOrders[Part Name]=$A169)*(T_PlannedOrders[WeekIndex]=24)*(T_PlannedOrders[EffectiveQty]&gt;0)*T_PlannedOrders[Order_Month])),"m月")&amp;"発注)")</f>
        <v/>
      </c>
      <c r="AB175">
        <f>IF(SUMIFS(T_PlannedOrders[EffectiveQty],T_PlannedOrders[Part Name],$A169,T_PlannedOrders[WeekIndex],25)=0,"",SUMIFS(T_PlannedOrders[EffectiveQty],T_PlannedOrders[Part Name],$A169,T_PlannedOrders[WeekIndex],25)&amp;" ("&amp;TEXT(SUMPRODUCT(MAX((T_PlannedOrders[Part Name]=$A169)*(T_PlannedOrders[WeekIndex]=25)*(T_PlannedOrders[EffectiveQty]&gt;0)*T_PlannedOrders[Order_Month])),"m月")&amp;"発注)")</f>
        <v/>
      </c>
      <c r="AC175">
        <f>IF(SUMIFS(T_PlannedOrders[EffectiveQty],T_PlannedOrders[Part Name],$A169,T_PlannedOrders[WeekIndex],26)=0,"",SUMIFS(T_PlannedOrders[EffectiveQty],T_PlannedOrders[Part Name],$A169,T_PlannedOrders[WeekIndex],26)&amp;" ("&amp;TEXT(SUMPRODUCT(MAX((T_PlannedOrders[Part Name]=$A169)*(T_PlannedOrders[WeekIndex]=26)*(T_PlannedOrders[EffectiveQty]&gt;0)*T_PlannedOrders[Order_Month])),"m月")&amp;"発注)")</f>
        <v/>
      </c>
      <c r="AD175">
        <f>IF(SUMIFS(T_PlannedOrders[EffectiveQty],T_PlannedOrders[Part Name],$A169,T_PlannedOrders[WeekIndex],27)=0,"",SUMIFS(T_PlannedOrders[EffectiveQty],T_PlannedOrders[Part Name],$A169,T_PlannedOrders[WeekIndex],27)&amp;" ("&amp;TEXT(SUMPRODUCT(MAX((T_PlannedOrders[Part Name]=$A169)*(T_PlannedOrders[WeekIndex]=27)*(T_PlannedOrders[EffectiveQty]&gt;0)*T_PlannedOrders[Order_Month])),"m月")&amp;"発注)")</f>
        <v/>
      </c>
      <c r="AE175">
        <f>IF(SUMIFS(T_PlannedOrders[EffectiveQty],T_PlannedOrders[Part Name],$A169,T_PlannedOrders[WeekIndex],28)=0,"",SUMIFS(T_PlannedOrders[EffectiveQty],T_PlannedOrders[Part Name],$A169,T_PlannedOrders[WeekIndex],28)&amp;" ("&amp;TEXT(SUMPRODUCT(MAX((T_PlannedOrders[Part Name]=$A169)*(T_PlannedOrders[WeekIndex]=28)*(T_PlannedOrders[EffectiveQty]&gt;0)*T_PlannedOrders[Order_Month])),"m月")&amp;"発注)")</f>
        <v/>
      </c>
      <c r="AF175">
        <f>IF(SUMIFS(T_PlannedOrders[EffectiveQty],T_PlannedOrders[Part Name],$A169,T_PlannedOrders[WeekIndex],29)=0,"",SUMIFS(T_PlannedOrders[EffectiveQty],T_PlannedOrders[Part Name],$A169,T_PlannedOrders[WeekIndex],29)&amp;" ("&amp;TEXT(SUMPRODUCT(MAX((T_PlannedOrders[Part Name]=$A169)*(T_PlannedOrders[WeekIndex]=29)*(T_PlannedOrders[EffectiveQty]&gt;0)*T_PlannedOrders[Order_Month])),"m月")&amp;"発注)")</f>
        <v/>
      </c>
      <c r="AG175">
        <f>IF(SUMIFS(T_PlannedOrders[EffectiveQty],T_PlannedOrders[Part Name],$A169,T_PlannedOrders[WeekIndex],30)=0,"",SUMIFS(T_PlannedOrders[EffectiveQty],T_PlannedOrders[Part Name],$A169,T_PlannedOrders[WeekIndex],30)&amp;" ("&amp;TEXT(SUMPRODUCT(MAX((T_PlannedOrders[Part Name]=$A169)*(T_PlannedOrders[WeekIndex]=30)*(T_PlannedOrders[EffectiveQty]&gt;0)*T_PlannedOrders[Order_Month])),"m月")&amp;"発注)")</f>
        <v/>
      </c>
      <c r="AH175">
        <f>IF(SUMIFS(T_PlannedOrders[EffectiveQty],T_PlannedOrders[Part Name],$A169,T_PlannedOrders[WeekIndex],31)=0,"",SUMIFS(T_PlannedOrders[EffectiveQty],T_PlannedOrders[Part Name],$A169,T_PlannedOrders[WeekIndex],31)&amp;" ("&amp;TEXT(SUMPRODUCT(MAX((T_PlannedOrders[Part Name]=$A169)*(T_PlannedOrders[WeekIndex]=31)*(T_PlannedOrders[EffectiveQty]&gt;0)*T_PlannedOrders[Order_Month])),"m月")&amp;"発注)")</f>
        <v/>
      </c>
      <c r="AI175">
        <f>IF(SUMIFS(T_PlannedOrders[EffectiveQty],T_PlannedOrders[Part Name],$A169,T_PlannedOrders[WeekIndex],32)=0,"",SUMIFS(T_PlannedOrders[EffectiveQty],T_PlannedOrders[Part Name],$A169,T_PlannedOrders[WeekIndex],32)&amp;" ("&amp;TEXT(SUMPRODUCT(MAX((T_PlannedOrders[Part Name]=$A169)*(T_PlannedOrders[WeekIndex]=32)*(T_PlannedOrders[EffectiveQty]&gt;0)*T_PlannedOrders[Order_Month])),"m月")&amp;"発注)")</f>
        <v/>
      </c>
      <c r="AJ175">
        <f>IF(SUMIFS(T_PlannedOrders[EffectiveQty],T_PlannedOrders[Part Name],$A169,T_PlannedOrders[WeekIndex],33)=0,"",SUMIFS(T_PlannedOrders[EffectiveQty],T_PlannedOrders[Part Name],$A169,T_PlannedOrders[WeekIndex],33)&amp;" ("&amp;TEXT(SUMPRODUCT(MAX((T_PlannedOrders[Part Name]=$A169)*(T_PlannedOrders[WeekIndex]=33)*(T_PlannedOrders[EffectiveQty]&gt;0)*T_PlannedOrders[Order_Month])),"m月")&amp;"発注)")</f>
        <v/>
      </c>
      <c r="AK175">
        <f>IF(SUMIFS(T_PlannedOrders[EffectiveQty],T_PlannedOrders[Part Name],$A169,T_PlannedOrders[WeekIndex],34)=0,"",SUMIFS(T_PlannedOrders[EffectiveQty],T_PlannedOrders[Part Name],$A169,T_PlannedOrders[WeekIndex],34)&amp;" ("&amp;TEXT(SUMPRODUCT(MAX((T_PlannedOrders[Part Name]=$A169)*(T_PlannedOrders[WeekIndex]=34)*(T_PlannedOrders[EffectiveQty]&gt;0)*T_PlannedOrders[Order_Month])),"m月")&amp;"発注)")</f>
        <v/>
      </c>
      <c r="AL175">
        <f>IF(SUMIFS(T_PlannedOrders[EffectiveQty],T_PlannedOrders[Part Name],$A169,T_PlannedOrders[WeekIndex],35)=0,"",SUMIFS(T_PlannedOrders[EffectiveQty],T_PlannedOrders[Part Name],$A169,T_PlannedOrders[WeekIndex],35)&amp;" ("&amp;TEXT(SUMPRODUCT(MAX((T_PlannedOrders[Part Name]=$A169)*(T_PlannedOrders[WeekIndex]=35)*(T_PlannedOrders[EffectiveQty]&gt;0)*T_PlannedOrders[Order_Month])),"m月")&amp;"発注)")</f>
        <v/>
      </c>
      <c r="AM175">
        <f>IF(SUMIFS(T_PlannedOrders[EffectiveQty],T_PlannedOrders[Part Name],$A169,T_PlannedOrders[WeekIndex],36)=0,"",SUMIFS(T_PlannedOrders[EffectiveQty],T_PlannedOrders[Part Name],$A169,T_PlannedOrders[WeekIndex],36)&amp;" ("&amp;TEXT(SUMPRODUCT(MAX((T_PlannedOrders[Part Name]=$A169)*(T_PlannedOrders[WeekIndex]=36)*(T_PlannedOrders[EffectiveQty]&gt;0)*T_PlannedOrders[Order_Month])),"m月")&amp;"発注)")</f>
        <v/>
      </c>
      <c r="AN175">
        <f>IF(SUMIFS(T_PlannedOrders[EffectiveQty],T_PlannedOrders[Part Name],$A169,T_PlannedOrders[WeekIndex],37)=0,"",SUMIFS(T_PlannedOrders[EffectiveQty],T_PlannedOrders[Part Name],$A169,T_PlannedOrders[WeekIndex],37)&amp;" ("&amp;TEXT(SUMPRODUCT(MAX((T_PlannedOrders[Part Name]=$A169)*(T_PlannedOrders[WeekIndex]=37)*(T_PlannedOrders[EffectiveQty]&gt;0)*T_PlannedOrders[Order_Month])),"m月")&amp;"発注)")</f>
        <v/>
      </c>
      <c r="AO175">
        <f>IF(SUMIFS(T_PlannedOrders[EffectiveQty],T_PlannedOrders[Part Name],$A169,T_PlannedOrders[WeekIndex],38)=0,"",SUMIFS(T_PlannedOrders[EffectiveQty],T_PlannedOrders[Part Name],$A169,T_PlannedOrders[WeekIndex],38)&amp;" ("&amp;TEXT(SUMPRODUCT(MAX((T_PlannedOrders[Part Name]=$A169)*(T_PlannedOrders[WeekIndex]=38)*(T_PlannedOrders[EffectiveQty]&gt;0)*T_PlannedOrders[Order_Month])),"m月")&amp;"発注)")</f>
        <v/>
      </c>
      <c r="AP175">
        <f>IF(SUMIFS(T_PlannedOrders[EffectiveQty],T_PlannedOrders[Part Name],$A169,T_PlannedOrders[WeekIndex],39)=0,"",SUMIFS(T_PlannedOrders[EffectiveQty],T_PlannedOrders[Part Name],$A169,T_PlannedOrders[WeekIndex],39)&amp;" ("&amp;TEXT(SUMPRODUCT(MAX((T_PlannedOrders[Part Name]=$A169)*(T_PlannedOrders[WeekIndex]=39)*(T_PlannedOrders[EffectiveQty]&gt;0)*T_PlannedOrders[Order_Month])),"m月")&amp;"発注)")</f>
        <v/>
      </c>
      <c r="AQ175">
        <f>IF(SUMIFS(T_PlannedOrders[EffectiveQty],T_PlannedOrders[Part Name],$A169,T_PlannedOrders[WeekIndex],40)=0,"",SUMIFS(T_PlannedOrders[EffectiveQty],T_PlannedOrders[Part Name],$A169,T_PlannedOrders[WeekIndex],40)&amp;" ("&amp;TEXT(SUMPRODUCT(MAX((T_PlannedOrders[Part Name]=$A169)*(T_PlannedOrders[WeekIndex]=40)*(T_PlannedOrders[EffectiveQty]&gt;0)*T_PlannedOrders[Order_Month])),"m月")&amp;"発注)")</f>
        <v/>
      </c>
      <c r="AR175">
        <f>IF(SUMIFS(T_PlannedOrders[EffectiveQty],T_PlannedOrders[Part Name],$A169,T_PlannedOrders[WeekIndex],41)=0,"",SUMIFS(T_PlannedOrders[EffectiveQty],T_PlannedOrders[Part Name],$A169,T_PlannedOrders[WeekIndex],41)&amp;" ("&amp;TEXT(SUMPRODUCT(MAX((T_PlannedOrders[Part Name]=$A169)*(T_PlannedOrders[WeekIndex]=41)*(T_PlannedOrders[EffectiveQty]&gt;0)*T_PlannedOrders[Order_Month])),"m月")&amp;"発注)")</f>
        <v/>
      </c>
      <c r="AS175">
        <f>IF(SUMIFS(T_PlannedOrders[EffectiveQty],T_PlannedOrders[Part Name],$A169,T_PlannedOrders[WeekIndex],42)=0,"",SUMIFS(T_PlannedOrders[EffectiveQty],T_PlannedOrders[Part Name],$A169,T_PlannedOrders[WeekIndex],42)&amp;" ("&amp;TEXT(SUMPRODUCT(MAX((T_PlannedOrders[Part Name]=$A169)*(T_PlannedOrders[WeekIndex]=42)*(T_PlannedOrders[EffectiveQty]&gt;0)*T_PlannedOrders[Order_Month])),"m月")&amp;"発注)")</f>
        <v/>
      </c>
      <c r="AT175">
        <f>IF(SUMIFS(T_PlannedOrders[EffectiveQty],T_PlannedOrders[Part Name],$A169,T_PlannedOrders[WeekIndex],43)=0,"",SUMIFS(T_PlannedOrders[EffectiveQty],T_PlannedOrders[Part Name],$A169,T_PlannedOrders[WeekIndex],43)&amp;" ("&amp;TEXT(SUMPRODUCT(MAX((T_PlannedOrders[Part Name]=$A169)*(T_PlannedOrders[WeekIndex]=43)*(T_PlannedOrders[EffectiveQty]&gt;0)*T_PlannedOrders[Order_Month])),"m月")&amp;"発注)")</f>
        <v/>
      </c>
      <c r="AU175">
        <f>IF(SUMIFS(T_PlannedOrders[EffectiveQty],T_PlannedOrders[Part Name],$A169,T_PlannedOrders[WeekIndex],44)=0,"",SUMIFS(T_PlannedOrders[EffectiveQty],T_PlannedOrders[Part Name],$A169,T_PlannedOrders[WeekIndex],44)&amp;" ("&amp;TEXT(SUMPRODUCT(MAX((T_PlannedOrders[Part Name]=$A169)*(T_PlannedOrders[WeekIndex]=44)*(T_PlannedOrders[EffectiveQty]&gt;0)*T_PlannedOrders[Order_Month])),"m月")&amp;"発注)")</f>
        <v/>
      </c>
      <c r="AV175">
        <f>IF(SUMIFS(T_PlannedOrders[EffectiveQty],T_PlannedOrders[Part Name],$A169,T_PlannedOrders[WeekIndex],45)=0,"",SUMIFS(T_PlannedOrders[EffectiveQty],T_PlannedOrders[Part Name],$A169,T_PlannedOrders[WeekIndex],45)&amp;" ("&amp;TEXT(SUMPRODUCT(MAX((T_PlannedOrders[Part Name]=$A169)*(T_PlannedOrders[WeekIndex]=45)*(T_PlannedOrders[EffectiveQty]&gt;0)*T_PlannedOrders[Order_Month])),"m月")&amp;"発注)")</f>
        <v/>
      </c>
      <c r="AW175">
        <f>IF(SUMIFS(T_PlannedOrders[EffectiveQty],T_PlannedOrders[Part Name],$A169,T_PlannedOrders[WeekIndex],46)=0,"",SUMIFS(T_PlannedOrders[EffectiveQty],T_PlannedOrders[Part Name],$A169,T_PlannedOrders[WeekIndex],46)&amp;" ("&amp;TEXT(SUMPRODUCT(MAX((T_PlannedOrders[Part Name]=$A169)*(T_PlannedOrders[WeekIndex]=46)*(T_PlannedOrders[EffectiveQty]&gt;0)*T_PlannedOrders[Order_Month])),"m月")&amp;"発注)")</f>
        <v/>
      </c>
      <c r="AX175">
        <f>IF(SUMIFS(T_PlannedOrders[EffectiveQty],T_PlannedOrders[Part Name],$A169,T_PlannedOrders[WeekIndex],47)=0,"",SUMIFS(T_PlannedOrders[EffectiveQty],T_PlannedOrders[Part Name],$A169,T_PlannedOrders[WeekIndex],47)&amp;" ("&amp;TEXT(SUMPRODUCT(MAX((T_PlannedOrders[Part Name]=$A169)*(T_PlannedOrders[WeekIndex]=47)*(T_PlannedOrders[EffectiveQty]&gt;0)*T_PlannedOrders[Order_Month])),"m月")&amp;"発注)")</f>
        <v/>
      </c>
      <c r="AY175">
        <f>IF(SUMIFS(T_PlannedOrders[EffectiveQty],T_PlannedOrders[Part Name],$A169,T_PlannedOrders[WeekIndex],48)=0,"",SUMIFS(T_PlannedOrders[EffectiveQty],T_PlannedOrders[Part Name],$A169,T_PlannedOrders[WeekIndex],48)&amp;" ("&amp;TEXT(SUMPRODUCT(MAX((T_PlannedOrders[Part Name]=$A169)*(T_PlannedOrders[WeekIndex]=48)*(T_PlannedOrders[EffectiveQty]&gt;0)*T_PlannedOrders[Order_Month])),"m月")&amp;"発注)")</f>
        <v/>
      </c>
      <c r="AZ175">
        <f>IF(SUMIFS(T_PlannedOrders[EffectiveQty],T_PlannedOrders[Part Name],$A169,T_PlannedOrders[WeekIndex],49)=0,"",SUMIFS(T_PlannedOrders[EffectiveQty],T_PlannedOrders[Part Name],$A169,T_PlannedOrders[WeekIndex],49)&amp;" ("&amp;TEXT(SUMPRODUCT(MAX((T_PlannedOrders[Part Name]=$A169)*(T_PlannedOrders[WeekIndex]=49)*(T_PlannedOrders[EffectiveQty]&gt;0)*T_PlannedOrders[Order_Month])),"m月")&amp;"発注)")</f>
        <v/>
      </c>
      <c r="BA175">
        <f>IF(SUMIFS(T_PlannedOrders[EffectiveQty],T_PlannedOrders[Part Name],$A169,T_PlannedOrders[WeekIndex],50)=0,"",SUMIFS(T_PlannedOrders[EffectiveQty],T_PlannedOrders[Part Name],$A169,T_PlannedOrders[WeekIndex],50)&amp;" ("&amp;TEXT(SUMPRODUCT(MAX((T_PlannedOrders[Part Name]=$A169)*(T_PlannedOrders[WeekIndex]=50)*(T_PlannedOrders[EffectiveQty]&gt;0)*T_PlannedOrders[Order_Month])),"m月")&amp;"発注)")</f>
        <v/>
      </c>
      <c r="BB175">
        <f>IF(SUMIFS(T_PlannedOrders[EffectiveQty],T_PlannedOrders[Part Name],$A169,T_PlannedOrders[WeekIndex],51)=0,"",SUMIFS(T_PlannedOrders[EffectiveQty],T_PlannedOrders[Part Name],$A169,T_PlannedOrders[WeekIndex],51)&amp;" ("&amp;TEXT(SUMPRODUCT(MAX((T_PlannedOrders[Part Name]=$A169)*(T_PlannedOrders[WeekIndex]=51)*(T_PlannedOrders[EffectiveQty]&gt;0)*T_PlannedOrders[Order_Month])),"m月")&amp;"発注)")</f>
        <v/>
      </c>
      <c r="BC175">
        <f>IF(SUMIFS(T_PlannedOrders[EffectiveQty],T_PlannedOrders[Part Name],$A169,T_PlannedOrders[WeekIndex],52)=0,"",SUMIFS(T_PlannedOrders[EffectiveQty],T_PlannedOrders[Part Name],$A169,T_PlannedOrders[WeekIndex],52)&amp;" ("&amp;TEXT(SUMPRODUCT(MAX((T_PlannedOrders[Part Name]=$A169)*(T_PlannedOrders[WeekIndex]=52)*(T_PlannedOrders[EffectiveQty]&gt;0)*T_PlannedOrders[Order_Month])),"m月")&amp;"発注)")</f>
        <v/>
      </c>
      <c r="BD175">
        <f>IF(SUMIFS(T_PlannedOrders[EffectiveQty],T_PlannedOrders[Part Name],$A169,T_PlannedOrders[WeekIndex],53)=0,"",SUMIFS(T_PlannedOrders[EffectiveQty],T_PlannedOrders[Part Name],$A169,T_PlannedOrders[WeekIndex],53)&amp;" ("&amp;TEXT(SUMPRODUCT(MAX((T_PlannedOrders[Part Name]=$A169)*(T_PlannedOrders[WeekIndex]=53)*(T_PlannedOrders[EffectiveQty]&gt;0)*T_PlannedOrders[Order_Month])),"m月")&amp;"発注)")</f>
        <v/>
      </c>
      <c r="BE175">
        <f>IF(SUMIFS(T_PlannedOrders[EffectiveQty],T_PlannedOrders[Part Name],$A169,T_PlannedOrders[WeekIndex],54)=0,"",SUMIFS(T_PlannedOrders[EffectiveQty],T_PlannedOrders[Part Name],$A169,T_PlannedOrders[WeekIndex],54)&amp;" ("&amp;TEXT(SUMPRODUCT(MAX((T_PlannedOrders[Part Name]=$A169)*(T_PlannedOrders[WeekIndex]=54)*(T_PlannedOrders[EffectiveQty]&gt;0)*T_PlannedOrders[Order_Month])),"m月")&amp;"発注)")</f>
        <v/>
      </c>
      <c r="BF175">
        <f>IF(SUMIFS(T_PlannedOrders[EffectiveQty],T_PlannedOrders[Part Name],$A169,T_PlannedOrders[WeekIndex],55)=0,"",SUMIFS(T_PlannedOrders[EffectiveQty],T_PlannedOrders[Part Name],$A169,T_PlannedOrders[WeekIndex],55)&amp;" ("&amp;TEXT(SUMPRODUCT(MAX((T_PlannedOrders[Part Name]=$A169)*(T_PlannedOrders[WeekIndex]=55)*(T_PlannedOrders[EffectiveQty]&gt;0)*T_PlannedOrders[Order_Month])),"m月")&amp;"発注)")</f>
        <v/>
      </c>
      <c r="BG175">
        <f>IF(SUMIFS(T_PlannedOrders[EffectiveQty],T_PlannedOrders[Part Name],$A169,T_PlannedOrders[WeekIndex],56)=0,"",SUMIFS(T_PlannedOrders[EffectiveQty],T_PlannedOrders[Part Name],$A169,T_PlannedOrders[WeekIndex],56)&amp;" ("&amp;TEXT(SUMPRODUCT(MAX((T_PlannedOrders[Part Name]=$A169)*(T_PlannedOrders[WeekIndex]=56)*(T_PlannedOrders[EffectiveQty]&gt;0)*T_PlannedOrders[Order_Month])),"m月")&amp;"発注)")</f>
        <v/>
      </c>
      <c r="BH175">
        <f>IF(SUMIFS(T_PlannedOrders[EffectiveQty],T_PlannedOrders[Part Name],$A169,T_PlannedOrders[WeekIndex],57)=0,"",SUMIFS(T_PlannedOrders[EffectiveQty],T_PlannedOrders[Part Name],$A169,T_PlannedOrders[WeekIndex],57)&amp;" ("&amp;TEXT(SUMPRODUCT(MAX((T_PlannedOrders[Part Name]=$A169)*(T_PlannedOrders[WeekIndex]=57)*(T_PlannedOrders[EffectiveQty]&gt;0)*T_PlannedOrders[Order_Month])),"m月")&amp;"発注)")</f>
        <v/>
      </c>
      <c r="BI175">
        <f>IF(SUMIFS(T_PlannedOrders[EffectiveQty],T_PlannedOrders[Part Name],$A169,T_PlannedOrders[WeekIndex],58)=0,"",SUMIFS(T_PlannedOrders[EffectiveQty],T_PlannedOrders[Part Name],$A169,T_PlannedOrders[WeekIndex],58)&amp;" ("&amp;TEXT(SUMPRODUCT(MAX((T_PlannedOrders[Part Name]=$A169)*(T_PlannedOrders[WeekIndex]=58)*(T_PlannedOrders[EffectiveQty]&gt;0)*T_PlannedOrders[Order_Month])),"m月")&amp;"発注)")</f>
        <v/>
      </c>
      <c r="BJ175">
        <f>IF(SUMIFS(T_PlannedOrders[EffectiveQty],T_PlannedOrders[Part Name],$A169,T_PlannedOrders[WeekIndex],59)=0,"",SUMIFS(T_PlannedOrders[EffectiveQty],T_PlannedOrders[Part Name],$A169,T_PlannedOrders[WeekIndex],59)&amp;" ("&amp;TEXT(SUMPRODUCT(MAX((T_PlannedOrders[Part Name]=$A169)*(T_PlannedOrders[WeekIndex]=59)*(T_PlannedOrders[EffectiveQty]&gt;0)*T_PlannedOrders[Order_Month])),"m月")&amp;"発注)")</f>
        <v/>
      </c>
      <c r="BK175">
        <f>IF(SUMIFS(T_PlannedOrders[EffectiveQty],T_PlannedOrders[Part Name],$A169,T_PlannedOrders[WeekIndex],60)=0,"",SUMIFS(T_PlannedOrders[EffectiveQty],T_PlannedOrders[Part Name],$A169,T_PlannedOrders[WeekIndex],60)&amp;" ("&amp;TEXT(SUMPRODUCT(MAX((T_PlannedOrders[Part Name]=$A169)*(T_PlannedOrders[WeekIndex]=60)*(T_PlannedOrders[EffectiveQty]&gt;0)*T_PlannedOrders[Order_Month])),"m月")&amp;"発注)")</f>
        <v/>
      </c>
      <c r="BL175">
        <f>IF(SUMIFS(T_PlannedOrders[EffectiveQty],T_PlannedOrders[Part Name],$A169,T_PlannedOrders[WeekIndex],61)=0,"",SUMIFS(T_PlannedOrders[EffectiveQty],T_PlannedOrders[Part Name],$A169,T_PlannedOrders[WeekIndex],61)&amp;" ("&amp;TEXT(SUMPRODUCT(MAX((T_PlannedOrders[Part Name]=$A169)*(T_PlannedOrders[WeekIndex]=61)*(T_PlannedOrders[EffectiveQty]&gt;0)*T_PlannedOrders[Order_Month])),"m月")&amp;"発注)")</f>
        <v/>
      </c>
      <c r="BM175">
        <f>IF(SUMIFS(T_PlannedOrders[EffectiveQty],T_PlannedOrders[Part Name],$A169,T_PlannedOrders[WeekIndex],62)=0,"",SUMIFS(T_PlannedOrders[EffectiveQty],T_PlannedOrders[Part Name],$A169,T_PlannedOrders[WeekIndex],62)&amp;" ("&amp;TEXT(SUMPRODUCT(MAX((T_PlannedOrders[Part Name]=$A169)*(T_PlannedOrders[WeekIndex]=62)*(T_PlannedOrders[EffectiveQty]&gt;0)*T_PlannedOrders[Order_Month])),"m月")&amp;"発注)")</f>
        <v/>
      </c>
      <c r="BN175">
        <f>IF(SUMIFS(T_PlannedOrders[EffectiveQty],T_PlannedOrders[Part Name],$A169,T_PlannedOrders[WeekIndex],63)=0,"",SUMIFS(T_PlannedOrders[EffectiveQty],T_PlannedOrders[Part Name],$A169,T_PlannedOrders[WeekIndex],63)&amp;" ("&amp;TEXT(SUMPRODUCT(MAX((T_PlannedOrders[Part Name]=$A169)*(T_PlannedOrders[WeekIndex]=63)*(T_PlannedOrders[EffectiveQty]&gt;0)*T_PlannedOrders[Order_Month])),"m月")&amp;"発注)")</f>
        <v/>
      </c>
      <c r="BO175">
        <f>IF(SUMIFS(T_PlannedOrders[EffectiveQty],T_PlannedOrders[Part Name],$A169,T_PlannedOrders[WeekIndex],64)=0,"",SUMIFS(T_PlannedOrders[EffectiveQty],T_PlannedOrders[Part Name],$A169,T_PlannedOrders[WeekIndex],64)&amp;" ("&amp;TEXT(SUMPRODUCT(MAX((T_PlannedOrders[Part Name]=$A169)*(T_PlannedOrders[WeekIndex]=64)*(T_PlannedOrders[EffectiveQty]&gt;0)*T_PlannedOrders[Order_Month])),"m月")&amp;"発注)")</f>
        <v/>
      </c>
      <c r="BP175">
        <f>IF(SUMIFS(T_PlannedOrders[EffectiveQty],T_PlannedOrders[Part Name],$A169,T_PlannedOrders[WeekIndex],65)=0,"",SUMIFS(T_PlannedOrders[EffectiveQty],T_PlannedOrders[Part Name],$A169,T_PlannedOrders[WeekIndex],65)&amp;" ("&amp;TEXT(SUMPRODUCT(MAX((T_PlannedOrders[Part Name]=$A169)*(T_PlannedOrders[WeekIndex]=65)*(T_PlannedOrders[EffectiveQty]&gt;0)*T_PlannedOrders[Order_Month])),"m月")&amp;"発注)")</f>
        <v/>
      </c>
      <c r="BQ175">
        <f>IF(SUMIFS(T_PlannedOrders[EffectiveQty],T_PlannedOrders[Part Name],$A169,T_PlannedOrders[WeekIndex],66)=0,"",SUMIFS(T_PlannedOrders[EffectiveQty],T_PlannedOrders[Part Name],$A169,T_PlannedOrders[WeekIndex],66)&amp;" ("&amp;TEXT(SUMPRODUCT(MAX((T_PlannedOrders[Part Name]=$A169)*(T_PlannedOrders[WeekIndex]=66)*(T_PlannedOrders[EffectiveQty]&gt;0)*T_PlannedOrders[Order_Month])),"m月")&amp;"発注)")</f>
        <v/>
      </c>
      <c r="BR175">
        <f>IF(SUMIFS(T_PlannedOrders[EffectiveQty],T_PlannedOrders[Part Name],$A169,T_PlannedOrders[WeekIndex],67)=0,"",SUMIFS(T_PlannedOrders[EffectiveQty],T_PlannedOrders[Part Name],$A169,T_PlannedOrders[WeekIndex],67)&amp;" ("&amp;TEXT(SUMPRODUCT(MAX((T_PlannedOrders[Part Name]=$A169)*(T_PlannedOrders[WeekIndex]=67)*(T_PlannedOrders[EffectiveQty]&gt;0)*T_PlannedOrders[Order_Month])),"m月")&amp;"発注)")</f>
        <v/>
      </c>
      <c r="BS175">
        <f>IF(SUMIFS(T_PlannedOrders[EffectiveQty],T_PlannedOrders[Part Name],$A169,T_PlannedOrders[WeekIndex],68)=0,"",SUMIFS(T_PlannedOrders[EffectiveQty],T_PlannedOrders[Part Name],$A169,T_PlannedOrders[WeekIndex],68)&amp;" ("&amp;TEXT(SUMPRODUCT(MAX((T_PlannedOrders[Part Name]=$A169)*(T_PlannedOrders[WeekIndex]=68)*(T_PlannedOrders[EffectiveQty]&gt;0)*T_PlannedOrders[Order_Month])),"m月")&amp;"発注)")</f>
        <v/>
      </c>
      <c r="BT175">
        <f>IF(SUMIFS(T_PlannedOrders[EffectiveQty],T_PlannedOrders[Part Name],$A169,T_PlannedOrders[WeekIndex],69)=0,"",SUMIFS(T_PlannedOrders[EffectiveQty],T_PlannedOrders[Part Name],$A169,T_PlannedOrders[WeekIndex],69)&amp;" ("&amp;TEXT(SUMPRODUCT(MAX((T_PlannedOrders[Part Name]=$A169)*(T_PlannedOrders[WeekIndex]=69)*(T_PlannedOrders[EffectiveQty]&gt;0)*T_PlannedOrders[Order_Month])),"m月")&amp;"発注)")</f>
        <v/>
      </c>
      <c r="BU175">
        <f>IF(SUMIFS(T_PlannedOrders[EffectiveQty],T_PlannedOrders[Part Name],$A169,T_PlannedOrders[WeekIndex],70)=0,"",SUMIFS(T_PlannedOrders[EffectiveQty],T_PlannedOrders[Part Name],$A169,T_PlannedOrders[WeekIndex],70)&amp;" ("&amp;TEXT(SUMPRODUCT(MAX((T_PlannedOrders[Part Name]=$A169)*(T_PlannedOrders[WeekIndex]=70)*(T_PlannedOrders[EffectiveQty]&gt;0)*T_PlannedOrders[Order_Month])),"m月")&amp;"発注)")</f>
        <v/>
      </c>
      <c r="BV175">
        <f>IF(SUMIFS(T_PlannedOrders[EffectiveQty],T_PlannedOrders[Part Name],$A169,T_PlannedOrders[WeekIndex],71)=0,"",SUMIFS(T_PlannedOrders[EffectiveQty],T_PlannedOrders[Part Name],$A169,T_PlannedOrders[WeekIndex],71)&amp;" ("&amp;TEXT(SUMPRODUCT(MAX((T_PlannedOrders[Part Name]=$A169)*(T_PlannedOrders[WeekIndex]=71)*(T_PlannedOrders[EffectiveQty]&gt;0)*T_PlannedOrders[Order_Month])),"m月")&amp;"発注)")</f>
        <v/>
      </c>
      <c r="BW175">
        <f>IF(SUMIFS(T_PlannedOrders[EffectiveQty],T_PlannedOrders[Part Name],$A169,T_PlannedOrders[WeekIndex],72)=0,"",SUMIFS(T_PlannedOrders[EffectiveQty],T_PlannedOrders[Part Name],$A169,T_PlannedOrders[WeekIndex],72)&amp;" ("&amp;TEXT(SUMPRODUCT(MAX((T_PlannedOrders[Part Name]=$A169)*(T_PlannedOrders[WeekIndex]=72)*(T_PlannedOrders[EffectiveQty]&gt;0)*T_PlannedOrders[Order_Month])),"m月")&amp;"発注)")</f>
        <v/>
      </c>
      <c r="BX175">
        <f>IF(SUMIFS(T_PlannedOrders[EffectiveQty],T_PlannedOrders[Part Name],$A169,T_PlannedOrders[WeekIndex],73)=0,"",SUMIFS(T_PlannedOrders[EffectiveQty],T_PlannedOrders[Part Name],$A169,T_PlannedOrders[WeekIndex],73)&amp;" ("&amp;TEXT(SUMPRODUCT(MAX((T_PlannedOrders[Part Name]=$A169)*(T_PlannedOrders[WeekIndex]=73)*(T_PlannedOrders[EffectiveQty]&gt;0)*T_PlannedOrders[Order_Month])),"m月")&amp;"発注)")</f>
        <v/>
      </c>
      <c r="BY175">
        <f>IF(SUMIFS(T_PlannedOrders[EffectiveQty],T_PlannedOrders[Part Name],$A169,T_PlannedOrders[WeekIndex],74)=0,"",SUMIFS(T_PlannedOrders[EffectiveQty],T_PlannedOrders[Part Name],$A169,T_PlannedOrders[WeekIndex],74)&amp;" ("&amp;TEXT(SUMPRODUCT(MAX((T_PlannedOrders[Part Name]=$A169)*(T_PlannedOrders[WeekIndex]=74)*(T_PlannedOrders[EffectiveQty]&gt;0)*T_PlannedOrders[Order_Month])),"m月")&amp;"発注)")</f>
        <v/>
      </c>
      <c r="BZ175">
        <f>IF(SUMIFS(T_PlannedOrders[EffectiveQty],T_PlannedOrders[Part Name],$A169,T_PlannedOrders[WeekIndex],75)=0,"",SUMIFS(T_PlannedOrders[EffectiveQty],T_PlannedOrders[Part Name],$A169,T_PlannedOrders[WeekIndex],75)&amp;" ("&amp;TEXT(SUMPRODUCT(MAX((T_PlannedOrders[Part Name]=$A169)*(T_PlannedOrders[WeekIndex]=75)*(T_PlannedOrders[EffectiveQty]&gt;0)*T_PlannedOrders[Order_Month])),"m月")&amp;"発注)")</f>
        <v/>
      </c>
      <c r="CA175">
        <f>IF(SUMIFS(T_PlannedOrders[EffectiveQty],T_PlannedOrders[Part Name],$A169,T_PlannedOrders[WeekIndex],76)=0,"",SUMIFS(T_PlannedOrders[EffectiveQty],T_PlannedOrders[Part Name],$A169,T_PlannedOrders[WeekIndex],76)&amp;" ("&amp;TEXT(SUMPRODUCT(MAX((T_PlannedOrders[Part Name]=$A169)*(T_PlannedOrders[WeekIndex]=76)*(T_PlannedOrders[EffectiveQty]&gt;0)*T_PlannedOrders[Order_Month])),"m月")&amp;"発注)")</f>
        <v/>
      </c>
      <c r="CB175">
        <f>IF(SUMIFS(T_PlannedOrders[EffectiveQty],T_PlannedOrders[Part Name],$A169,T_PlannedOrders[WeekIndex],77)=0,"",SUMIFS(T_PlannedOrders[EffectiveQty],T_PlannedOrders[Part Name],$A169,T_PlannedOrders[WeekIndex],77)&amp;" ("&amp;TEXT(SUMPRODUCT(MAX((T_PlannedOrders[Part Name]=$A169)*(T_PlannedOrders[WeekIndex]=77)*(T_PlannedOrders[EffectiveQty]&gt;0)*T_PlannedOrders[Order_Month])),"m月")&amp;"発注)")</f>
        <v/>
      </c>
      <c r="CC175">
        <f>IF(SUMIFS(T_PlannedOrders[EffectiveQty],T_PlannedOrders[Part Name],$A169,T_PlannedOrders[WeekIndex],78)=0,"",SUMIFS(T_PlannedOrders[EffectiveQty],T_PlannedOrders[Part Name],$A169,T_PlannedOrders[WeekIndex],78)&amp;" ("&amp;TEXT(SUMPRODUCT(MAX((T_PlannedOrders[Part Name]=$A169)*(T_PlannedOrders[WeekIndex]=78)*(T_PlannedOrders[EffectiveQty]&gt;0)*T_PlannedOrders[Order_Month])),"m月")&amp;"発注)")</f>
        <v/>
      </c>
      <c r="CD175">
        <f>IF(SUMIFS(T_PlannedOrders[EffectiveQty],T_PlannedOrders[Part Name],$A169,T_PlannedOrders[WeekIndex],79)=0,"",SUMIFS(T_PlannedOrders[EffectiveQty],T_PlannedOrders[Part Name],$A169,T_PlannedOrders[WeekIndex],79)&amp;" ("&amp;TEXT(SUMPRODUCT(MAX((T_PlannedOrders[Part Name]=$A169)*(T_PlannedOrders[WeekIndex]=79)*(T_PlannedOrders[EffectiveQty]&gt;0)*T_PlannedOrders[Order_Month])),"m月")&amp;"発注)")</f>
        <v/>
      </c>
      <c r="CE175">
        <f>IF(SUMIFS(T_PlannedOrders[EffectiveQty],T_PlannedOrders[Part Name],$A169,T_PlannedOrders[WeekIndex],80)=0,"",SUMIFS(T_PlannedOrders[EffectiveQty],T_PlannedOrders[Part Name],$A169,T_PlannedOrders[WeekIndex],80)&amp;" ("&amp;TEXT(SUMPRODUCT(MAX((T_PlannedOrders[Part Name]=$A169)*(T_PlannedOrders[WeekIndex]=80)*(T_PlannedOrders[EffectiveQty]&gt;0)*T_PlannedOrders[Order_Month])),"m月")&amp;"発注)")</f>
        <v/>
      </c>
      <c r="CF175">
        <f>IF(SUMIFS(T_PlannedOrders[EffectiveQty],T_PlannedOrders[Part Name],$A169,T_PlannedOrders[WeekIndex],81)=0,"",SUMIFS(T_PlannedOrders[EffectiveQty],T_PlannedOrders[Part Name],$A169,T_PlannedOrders[WeekIndex],81)&amp;" ("&amp;TEXT(SUMPRODUCT(MAX((T_PlannedOrders[Part Name]=$A169)*(T_PlannedOrders[WeekIndex]=81)*(T_PlannedOrders[EffectiveQty]&gt;0)*T_PlannedOrders[Order_Month])),"m月")&amp;"発注)")</f>
        <v/>
      </c>
      <c r="CG175">
        <f>IF(SUMIFS(T_PlannedOrders[EffectiveQty],T_PlannedOrders[Part Name],$A169,T_PlannedOrders[WeekIndex],82)=0,"",SUMIFS(T_PlannedOrders[EffectiveQty],T_PlannedOrders[Part Name],$A169,T_PlannedOrders[WeekIndex],82)&amp;" ("&amp;TEXT(SUMPRODUCT(MAX((T_PlannedOrders[Part Name]=$A169)*(T_PlannedOrders[WeekIndex]=82)*(T_PlannedOrders[EffectiveQty]&gt;0)*T_PlannedOrders[Order_Month])),"m月")&amp;"発注)")</f>
        <v/>
      </c>
      <c r="CH175">
        <f>IF(SUMIFS(T_PlannedOrders[EffectiveQty],T_PlannedOrders[Part Name],$A169,T_PlannedOrders[WeekIndex],83)=0,"",SUMIFS(T_PlannedOrders[EffectiveQty],T_PlannedOrders[Part Name],$A169,T_PlannedOrders[WeekIndex],83)&amp;" ("&amp;TEXT(SUMPRODUCT(MAX((T_PlannedOrders[Part Name]=$A169)*(T_PlannedOrders[WeekIndex]=83)*(T_PlannedOrders[EffectiveQty]&gt;0)*T_PlannedOrders[Order_Month])),"m月")&amp;"発注)")</f>
        <v/>
      </c>
      <c r="CI175">
        <f>IF(SUMIFS(T_PlannedOrders[EffectiveQty],T_PlannedOrders[Part Name],$A169,T_PlannedOrders[WeekIndex],84)=0,"",SUMIFS(T_PlannedOrders[EffectiveQty],T_PlannedOrders[Part Name],$A169,T_PlannedOrders[WeekIndex],84)&amp;" ("&amp;TEXT(SUMPRODUCT(MAX((T_PlannedOrders[Part Name]=$A169)*(T_PlannedOrders[WeekIndex]=84)*(T_PlannedOrders[EffectiveQty]&gt;0)*T_PlannedOrders[Order_Month])),"m月")&amp;"発注)")</f>
        <v/>
      </c>
      <c r="CJ175">
        <f>IF(SUMIFS(T_PlannedOrders[EffectiveQty],T_PlannedOrders[Part Name],$A169,T_PlannedOrders[WeekIndex],85)=0,"",SUMIFS(T_PlannedOrders[EffectiveQty],T_PlannedOrders[Part Name],$A169,T_PlannedOrders[WeekIndex],85)&amp;" ("&amp;TEXT(SUMPRODUCT(MAX((T_PlannedOrders[Part Name]=$A169)*(T_PlannedOrders[WeekIndex]=85)*(T_PlannedOrders[EffectiveQty]&gt;0)*T_PlannedOrders[Order_Month])),"m月")&amp;"発注)")</f>
        <v/>
      </c>
      <c r="CK175">
        <f>IF(SUMIFS(T_PlannedOrders[EffectiveQty],T_PlannedOrders[Part Name],$A169,T_PlannedOrders[WeekIndex],86)=0,"",SUMIFS(T_PlannedOrders[EffectiveQty],T_PlannedOrders[Part Name],$A169,T_PlannedOrders[WeekIndex],86)&amp;" ("&amp;TEXT(SUMPRODUCT(MAX((T_PlannedOrders[Part Name]=$A169)*(T_PlannedOrders[WeekIndex]=86)*(T_PlannedOrders[EffectiveQty]&gt;0)*T_PlannedOrders[Order_Month])),"m月")&amp;"発注)")</f>
        <v/>
      </c>
      <c r="CL175">
        <f>IF(SUMIFS(T_PlannedOrders[EffectiveQty],T_PlannedOrders[Part Name],$A169,T_PlannedOrders[WeekIndex],87)=0,"",SUMIFS(T_PlannedOrders[EffectiveQty],T_PlannedOrders[Part Name],$A169,T_PlannedOrders[WeekIndex],87)&amp;" ("&amp;TEXT(SUMPRODUCT(MAX((T_PlannedOrders[Part Name]=$A169)*(T_PlannedOrders[WeekIndex]=87)*(T_PlannedOrders[EffectiveQty]&gt;0)*T_PlannedOrders[Order_Month])),"m月")&amp;"発注)")</f>
        <v/>
      </c>
      <c r="CM175">
        <f>IF(SUMIFS(T_PlannedOrders[EffectiveQty],T_PlannedOrders[Part Name],$A169,T_PlannedOrders[WeekIndex],88)=0,"",SUMIFS(T_PlannedOrders[EffectiveQty],T_PlannedOrders[Part Name],$A169,T_PlannedOrders[WeekIndex],88)&amp;" ("&amp;TEXT(SUMPRODUCT(MAX((T_PlannedOrders[Part Name]=$A169)*(T_PlannedOrders[WeekIndex]=88)*(T_PlannedOrders[EffectiveQty]&gt;0)*T_PlannedOrders[Order_Month])),"m月")&amp;"発注)")</f>
        <v/>
      </c>
      <c r="CN175">
        <f>IF(SUMIFS(T_PlannedOrders[EffectiveQty],T_PlannedOrders[Part Name],$A169,T_PlannedOrders[WeekIndex],89)=0,"",SUMIFS(T_PlannedOrders[EffectiveQty],T_PlannedOrders[Part Name],$A169,T_PlannedOrders[WeekIndex],89)&amp;" ("&amp;TEXT(SUMPRODUCT(MAX((T_PlannedOrders[Part Name]=$A169)*(T_PlannedOrders[WeekIndex]=89)*(T_PlannedOrders[EffectiveQty]&gt;0)*T_PlannedOrders[Order_Month])),"m月")&amp;"発注)")</f>
        <v/>
      </c>
      <c r="CO175">
        <f>IF(SUMIFS(T_PlannedOrders[EffectiveQty],T_PlannedOrders[Part Name],$A169,T_PlannedOrders[WeekIndex],90)=0,"",SUMIFS(T_PlannedOrders[EffectiveQty],T_PlannedOrders[Part Name],$A169,T_PlannedOrders[WeekIndex],90)&amp;" ("&amp;TEXT(SUMPRODUCT(MAX((T_PlannedOrders[Part Name]=$A169)*(T_PlannedOrders[WeekIndex]=90)*(T_PlannedOrders[EffectiveQty]&gt;0)*T_PlannedOrders[Order_Month])),"m月")&amp;"発注)")</f>
        <v/>
      </c>
      <c r="CP175">
        <f>IF(SUMIFS(T_PlannedOrders[EffectiveQty],T_PlannedOrders[Part Name],$A169,T_PlannedOrders[WeekIndex],91)=0,"",SUMIFS(T_PlannedOrders[EffectiveQty],T_PlannedOrders[Part Name],$A169,T_PlannedOrders[WeekIndex],91)&amp;" ("&amp;TEXT(SUMPRODUCT(MAX((T_PlannedOrders[Part Name]=$A169)*(T_PlannedOrders[WeekIndex]=91)*(T_PlannedOrders[EffectiveQty]&gt;0)*T_PlannedOrders[Order_Month])),"m月")&amp;"発注)")</f>
        <v/>
      </c>
      <c r="CQ175">
        <f>IF(SUMIFS(T_PlannedOrders[EffectiveQty],T_PlannedOrders[Part Name],$A169,T_PlannedOrders[WeekIndex],92)=0,"",SUMIFS(T_PlannedOrders[EffectiveQty],T_PlannedOrders[Part Name],$A169,T_PlannedOrders[WeekIndex],92)&amp;" ("&amp;TEXT(SUMPRODUCT(MAX((T_PlannedOrders[Part Name]=$A169)*(T_PlannedOrders[WeekIndex]=92)*(T_PlannedOrders[EffectiveQty]&gt;0)*T_PlannedOrders[Order_Month])),"m月")&amp;"発注)")</f>
        <v/>
      </c>
      <c r="CR175">
        <f>IF(SUMIFS(T_PlannedOrders[EffectiveQty],T_PlannedOrders[Part Name],$A169,T_PlannedOrders[WeekIndex],93)=0,"",SUMIFS(T_PlannedOrders[EffectiveQty],T_PlannedOrders[Part Name],$A169,T_PlannedOrders[WeekIndex],93)&amp;" ("&amp;TEXT(SUMPRODUCT(MAX((T_PlannedOrders[Part Name]=$A169)*(T_PlannedOrders[WeekIndex]=93)*(T_PlannedOrders[EffectiveQty]&gt;0)*T_PlannedOrders[Order_Month])),"m月")&amp;"発注)")</f>
        <v/>
      </c>
      <c r="CS175">
        <f>IF(SUMIFS(T_PlannedOrders[EffectiveQty],T_PlannedOrders[Part Name],$A169,T_PlannedOrders[WeekIndex],94)=0,"",SUMIFS(T_PlannedOrders[EffectiveQty],T_PlannedOrders[Part Name],$A169,T_PlannedOrders[WeekIndex],94)&amp;" ("&amp;TEXT(SUMPRODUCT(MAX((T_PlannedOrders[Part Name]=$A169)*(T_PlannedOrders[WeekIndex]=94)*(T_PlannedOrders[EffectiveQty]&gt;0)*T_PlannedOrders[Order_Month])),"m月")&amp;"発注)")</f>
        <v/>
      </c>
      <c r="CT175">
        <f>IF(SUMIFS(T_PlannedOrders[EffectiveQty],T_PlannedOrders[Part Name],$A169,T_PlannedOrders[WeekIndex],95)=0,"",SUMIFS(T_PlannedOrders[EffectiveQty],T_PlannedOrders[Part Name],$A169,T_PlannedOrders[WeekIndex],95)&amp;" ("&amp;TEXT(SUMPRODUCT(MAX((T_PlannedOrders[Part Name]=$A169)*(T_PlannedOrders[WeekIndex]=95)*(T_PlannedOrders[EffectiveQty]&gt;0)*T_PlannedOrders[Order_Month])),"m月")&amp;"発注)")</f>
        <v/>
      </c>
      <c r="CU175">
        <f>IF(SUMIFS(T_PlannedOrders[EffectiveQty],T_PlannedOrders[Part Name],$A169,T_PlannedOrders[WeekIndex],96)=0,"",SUMIFS(T_PlannedOrders[EffectiveQty],T_PlannedOrders[Part Name],$A169,T_PlannedOrders[WeekIndex],96)&amp;" ("&amp;TEXT(SUMPRODUCT(MAX((T_PlannedOrders[Part Name]=$A169)*(T_PlannedOrders[WeekIndex]=96)*(T_PlannedOrders[EffectiveQty]&gt;0)*T_PlannedOrders[Order_Month])),"m月")&amp;"発注)")</f>
        <v/>
      </c>
      <c r="CV175">
        <f>IF(SUMIFS(T_PlannedOrders[EffectiveQty],T_PlannedOrders[Part Name],$A169,T_PlannedOrders[WeekIndex],97)=0,"",SUMIFS(T_PlannedOrders[EffectiveQty],T_PlannedOrders[Part Name],$A169,T_PlannedOrders[WeekIndex],97)&amp;" ("&amp;TEXT(SUMPRODUCT(MAX((T_PlannedOrders[Part Name]=$A169)*(T_PlannedOrders[WeekIndex]=97)*(T_PlannedOrders[EffectiveQty]&gt;0)*T_PlannedOrders[Order_Month])),"m月")&amp;"発注)")</f>
        <v/>
      </c>
      <c r="CW175">
        <f>IF(SUMIFS(T_PlannedOrders[EffectiveQty],T_PlannedOrders[Part Name],$A169,T_PlannedOrders[WeekIndex],98)=0,"",SUMIFS(T_PlannedOrders[EffectiveQty],T_PlannedOrders[Part Name],$A169,T_PlannedOrders[WeekIndex],98)&amp;" ("&amp;TEXT(SUMPRODUCT(MAX((T_PlannedOrders[Part Name]=$A169)*(T_PlannedOrders[WeekIndex]=98)*(T_PlannedOrders[EffectiveQty]&gt;0)*T_PlannedOrders[Order_Month])),"m月")&amp;"発注)")</f>
        <v/>
      </c>
      <c r="CX175">
        <f>IF(SUMIFS(T_PlannedOrders[EffectiveQty],T_PlannedOrders[Part Name],$A169,T_PlannedOrders[WeekIndex],99)=0,"",SUMIFS(T_PlannedOrders[EffectiveQty],T_PlannedOrders[Part Name],$A169,T_PlannedOrders[WeekIndex],99)&amp;" ("&amp;TEXT(SUMPRODUCT(MAX((T_PlannedOrders[Part Name]=$A169)*(T_PlannedOrders[WeekIndex]=99)*(T_PlannedOrders[EffectiveQty]&gt;0)*T_PlannedOrders[Order_Month])),"m月")&amp;"発注)")</f>
        <v/>
      </c>
      <c r="CY175">
        <f>IF(SUMIFS(T_PlannedOrders[EffectiveQty],T_PlannedOrders[Part Name],$A169,T_PlannedOrders[WeekIndex],100)=0,"",SUMIFS(T_PlannedOrders[EffectiveQty],T_PlannedOrders[Part Name],$A169,T_PlannedOrders[WeekIndex],100)&amp;" ("&amp;TEXT(SUMPRODUCT(MAX((T_PlannedOrders[Part Name]=$A169)*(T_PlannedOrders[WeekIndex]=100)*(T_PlannedOrders[EffectiveQty]&gt;0)*T_PlannedOrders[Order_Month])),"m月")&amp;"発注)")</f>
        <v/>
      </c>
      <c r="CZ175">
        <f>IF(SUMIFS(T_PlannedOrders[EffectiveQty],T_PlannedOrders[Part Name],$A169,T_PlannedOrders[WeekIndex],101)=0,"",SUMIFS(T_PlannedOrders[EffectiveQty],T_PlannedOrders[Part Name],$A169,T_PlannedOrders[WeekIndex],101)&amp;" ("&amp;TEXT(SUMPRODUCT(MAX((T_PlannedOrders[Part Name]=$A169)*(T_PlannedOrders[WeekIndex]=101)*(T_PlannedOrders[EffectiveQty]&gt;0)*T_PlannedOrders[Order_Month])),"m月")&amp;"発注)")</f>
        <v/>
      </c>
      <c r="DA175">
        <f>IF(SUMIFS(T_PlannedOrders[EffectiveQty],T_PlannedOrders[Part Name],$A169,T_PlannedOrders[WeekIndex],102)=0,"",SUMIFS(T_PlannedOrders[EffectiveQty],T_PlannedOrders[Part Name],$A169,T_PlannedOrders[WeekIndex],102)&amp;" ("&amp;TEXT(SUMPRODUCT(MAX((T_PlannedOrders[Part Name]=$A169)*(T_PlannedOrders[WeekIndex]=102)*(T_PlannedOrders[EffectiveQty]&gt;0)*T_PlannedOrders[Order_Month])),"m月")&amp;"発注)")</f>
        <v/>
      </c>
      <c r="DB175">
        <f>IF(SUMIFS(T_PlannedOrders[EffectiveQty],T_PlannedOrders[Part Name],$A169,T_PlannedOrders[WeekIndex],103)=0,"",SUMIFS(T_PlannedOrders[EffectiveQty],T_PlannedOrders[Part Name],$A169,T_PlannedOrders[WeekIndex],103)&amp;" ("&amp;TEXT(SUMPRODUCT(MAX((T_PlannedOrders[Part Name]=$A169)*(T_PlannedOrders[WeekIndex]=103)*(T_PlannedOrders[EffectiveQty]&gt;0)*T_PlannedOrders[Order_Month])),"m月")&amp;"発注)")</f>
        <v/>
      </c>
      <c r="DC175">
        <f>IF(SUMIFS(T_PlannedOrders[EffectiveQty],T_PlannedOrders[Part Name],$A169,T_PlannedOrders[WeekIndex],104)=0,"",SUMIFS(T_PlannedOrders[EffectiveQty],T_PlannedOrders[Part Name],$A169,T_PlannedOrders[WeekIndex],104)&amp;" ("&amp;TEXT(SUMPRODUCT(MAX((T_PlannedOrders[Part Name]=$A169)*(T_PlannedOrders[WeekIndex]=104)*(T_PlannedOrders[EffectiveQty]&gt;0)*T_PlannedOrders[Order_Month])),"m月")&amp;"発注)")</f>
        <v/>
      </c>
    </row>
    <row r="176">
      <c r="B176" s="5" t="inlineStr">
        <is>
          <t>合計在庫(週末時点,kg)</t>
        </is>
      </c>
      <c r="D176">
        <f>'Grid_Stock'!B18</f>
        <v/>
      </c>
      <c r="E176">
        <f>'Grid_Stock'!C18</f>
        <v/>
      </c>
      <c r="F176">
        <f>'Grid_Stock'!D18</f>
        <v/>
      </c>
      <c r="G176">
        <f>'Grid_Stock'!E18</f>
        <v/>
      </c>
      <c r="H176">
        <f>'Grid_Stock'!F18</f>
        <v/>
      </c>
      <c r="I176">
        <f>'Grid_Stock'!G18</f>
        <v/>
      </c>
      <c r="J176">
        <f>'Grid_Stock'!H18</f>
        <v/>
      </c>
      <c r="K176">
        <f>'Grid_Stock'!I18</f>
        <v/>
      </c>
      <c r="L176">
        <f>'Grid_Stock'!J18</f>
        <v/>
      </c>
      <c r="M176">
        <f>'Grid_Stock'!K18</f>
        <v/>
      </c>
      <c r="N176">
        <f>'Grid_Stock'!L18</f>
        <v/>
      </c>
      <c r="O176">
        <f>'Grid_Stock'!M18</f>
        <v/>
      </c>
      <c r="P176">
        <f>'Grid_Stock'!N18</f>
        <v/>
      </c>
      <c r="Q176">
        <f>'Grid_Stock'!O18</f>
        <v/>
      </c>
      <c r="R176">
        <f>'Grid_Stock'!P18</f>
        <v/>
      </c>
      <c r="S176">
        <f>'Grid_Stock'!Q18</f>
        <v/>
      </c>
      <c r="T176">
        <f>'Grid_Stock'!R18</f>
        <v/>
      </c>
      <c r="U176">
        <f>'Grid_Stock'!S18</f>
        <v/>
      </c>
      <c r="V176">
        <f>'Grid_Stock'!T18</f>
        <v/>
      </c>
      <c r="W176">
        <f>'Grid_Stock'!U18</f>
        <v/>
      </c>
      <c r="X176">
        <f>'Grid_Stock'!V18</f>
        <v/>
      </c>
      <c r="Y176">
        <f>'Grid_Stock'!W18</f>
        <v/>
      </c>
      <c r="Z176">
        <f>'Grid_Stock'!X18</f>
        <v/>
      </c>
      <c r="AA176">
        <f>'Grid_Stock'!Y18</f>
        <v/>
      </c>
      <c r="AB176">
        <f>'Grid_Stock'!Z18</f>
        <v/>
      </c>
      <c r="AC176">
        <f>'Grid_Stock'!AA18</f>
        <v/>
      </c>
      <c r="AD176">
        <f>'Grid_Stock'!AB18</f>
        <v/>
      </c>
      <c r="AE176">
        <f>'Grid_Stock'!AC18</f>
        <v/>
      </c>
      <c r="AF176">
        <f>'Grid_Stock'!AD18</f>
        <v/>
      </c>
      <c r="AG176">
        <f>'Grid_Stock'!AE18</f>
        <v/>
      </c>
      <c r="AH176">
        <f>'Grid_Stock'!AF18</f>
        <v/>
      </c>
      <c r="AI176">
        <f>'Grid_Stock'!AG18</f>
        <v/>
      </c>
      <c r="AJ176">
        <f>'Grid_Stock'!AH18</f>
        <v/>
      </c>
      <c r="AK176">
        <f>'Grid_Stock'!AI18</f>
        <v/>
      </c>
      <c r="AL176">
        <f>'Grid_Stock'!AJ18</f>
        <v/>
      </c>
      <c r="AM176">
        <f>'Grid_Stock'!AK18</f>
        <v/>
      </c>
      <c r="AN176">
        <f>'Grid_Stock'!AL18</f>
        <v/>
      </c>
      <c r="AO176">
        <f>'Grid_Stock'!AM18</f>
        <v/>
      </c>
      <c r="AP176">
        <f>'Grid_Stock'!AN18</f>
        <v/>
      </c>
      <c r="AQ176">
        <f>'Grid_Stock'!AO18</f>
        <v/>
      </c>
      <c r="AR176">
        <f>'Grid_Stock'!AP18</f>
        <v/>
      </c>
      <c r="AS176">
        <f>'Grid_Stock'!AQ18</f>
        <v/>
      </c>
      <c r="AT176">
        <f>'Grid_Stock'!AR18</f>
        <v/>
      </c>
      <c r="AU176">
        <f>'Grid_Stock'!AS18</f>
        <v/>
      </c>
      <c r="AV176">
        <f>'Grid_Stock'!AT18</f>
        <v/>
      </c>
      <c r="AW176">
        <f>'Grid_Stock'!AU18</f>
        <v/>
      </c>
      <c r="AX176">
        <f>'Grid_Stock'!AV18</f>
        <v/>
      </c>
      <c r="AY176">
        <f>'Grid_Stock'!AW18</f>
        <v/>
      </c>
      <c r="AZ176">
        <f>'Grid_Stock'!AX18</f>
        <v/>
      </c>
      <c r="BA176">
        <f>'Grid_Stock'!AY18</f>
        <v/>
      </c>
      <c r="BB176">
        <f>'Grid_Stock'!AZ18</f>
        <v/>
      </c>
      <c r="BC176">
        <f>'Grid_Stock'!BA18</f>
        <v/>
      </c>
      <c r="BD176">
        <f>'Grid_Stock'!BB18</f>
        <v/>
      </c>
      <c r="BE176">
        <f>'Grid_Stock'!BC18</f>
        <v/>
      </c>
      <c r="BF176">
        <f>'Grid_Stock'!BD18</f>
        <v/>
      </c>
      <c r="BG176">
        <f>'Grid_Stock'!BE18</f>
        <v/>
      </c>
      <c r="BH176">
        <f>'Grid_Stock'!BF18</f>
        <v/>
      </c>
      <c r="BI176">
        <f>'Grid_Stock'!BG18</f>
        <v/>
      </c>
      <c r="BJ176">
        <f>'Grid_Stock'!BH18</f>
        <v/>
      </c>
      <c r="BK176">
        <f>'Grid_Stock'!BI18</f>
        <v/>
      </c>
      <c r="BL176">
        <f>'Grid_Stock'!BJ18</f>
        <v/>
      </c>
      <c r="BM176">
        <f>'Grid_Stock'!BK18</f>
        <v/>
      </c>
      <c r="BN176">
        <f>'Grid_Stock'!BL18</f>
        <v/>
      </c>
      <c r="BO176">
        <f>'Grid_Stock'!BM18</f>
        <v/>
      </c>
      <c r="BP176">
        <f>'Grid_Stock'!BN18</f>
        <v/>
      </c>
      <c r="BQ176">
        <f>'Grid_Stock'!BO18</f>
        <v/>
      </c>
      <c r="BR176">
        <f>'Grid_Stock'!BP18</f>
        <v/>
      </c>
      <c r="BS176">
        <f>'Grid_Stock'!BQ18</f>
        <v/>
      </c>
      <c r="BT176">
        <f>'Grid_Stock'!BR18</f>
        <v/>
      </c>
      <c r="BU176">
        <f>'Grid_Stock'!BS18</f>
        <v/>
      </c>
      <c r="BV176">
        <f>'Grid_Stock'!BT18</f>
        <v/>
      </c>
      <c r="BW176">
        <f>'Grid_Stock'!BU18</f>
        <v/>
      </c>
      <c r="BX176">
        <f>'Grid_Stock'!BV18</f>
        <v/>
      </c>
      <c r="BY176">
        <f>'Grid_Stock'!BW18</f>
        <v/>
      </c>
      <c r="BZ176">
        <f>'Grid_Stock'!BX18</f>
        <v/>
      </c>
      <c r="CA176">
        <f>'Grid_Stock'!BY18</f>
        <v/>
      </c>
      <c r="CB176">
        <f>'Grid_Stock'!BZ18</f>
        <v/>
      </c>
      <c r="CC176">
        <f>'Grid_Stock'!CA18</f>
        <v/>
      </c>
      <c r="CD176">
        <f>'Grid_Stock'!CB18</f>
        <v/>
      </c>
      <c r="CE176">
        <f>'Grid_Stock'!CC18</f>
        <v/>
      </c>
      <c r="CF176">
        <f>'Grid_Stock'!CD18</f>
        <v/>
      </c>
      <c r="CG176">
        <f>'Grid_Stock'!CE18</f>
        <v/>
      </c>
      <c r="CH176">
        <f>'Grid_Stock'!CF18</f>
        <v/>
      </c>
      <c r="CI176">
        <f>'Grid_Stock'!CG18</f>
        <v/>
      </c>
      <c r="CJ176">
        <f>'Grid_Stock'!CH18</f>
        <v/>
      </c>
      <c r="CK176">
        <f>'Grid_Stock'!CI18</f>
        <v/>
      </c>
      <c r="CL176">
        <f>'Grid_Stock'!CJ18</f>
        <v/>
      </c>
      <c r="CM176">
        <f>'Grid_Stock'!CK18</f>
        <v/>
      </c>
      <c r="CN176">
        <f>'Grid_Stock'!CL18</f>
        <v/>
      </c>
      <c r="CO176">
        <f>'Grid_Stock'!CM18</f>
        <v/>
      </c>
      <c r="CP176">
        <f>'Grid_Stock'!CN18</f>
        <v/>
      </c>
      <c r="CQ176">
        <f>'Grid_Stock'!CO18</f>
        <v/>
      </c>
      <c r="CR176">
        <f>'Grid_Stock'!CP18</f>
        <v/>
      </c>
      <c r="CS176">
        <f>'Grid_Stock'!CQ18</f>
        <v/>
      </c>
      <c r="CT176">
        <f>'Grid_Stock'!CR18</f>
        <v/>
      </c>
      <c r="CU176">
        <f>'Grid_Stock'!CS18</f>
        <v/>
      </c>
      <c r="CV176">
        <f>'Grid_Stock'!CT18</f>
        <v/>
      </c>
      <c r="CW176">
        <f>'Grid_Stock'!CU18</f>
        <v/>
      </c>
      <c r="CX176">
        <f>'Grid_Stock'!CV18</f>
        <v/>
      </c>
      <c r="CY176">
        <f>'Grid_Stock'!CW18</f>
        <v/>
      </c>
      <c r="CZ176">
        <f>'Grid_Stock'!CX18</f>
        <v/>
      </c>
      <c r="DA176">
        <f>'Grid_Stock'!CY18</f>
        <v/>
      </c>
      <c r="DB176">
        <f>'Grid_Stock'!CZ18</f>
        <v/>
      </c>
      <c r="DC176">
        <f>'Grid_Stock'!DA18</f>
        <v/>
      </c>
    </row>
    <row r="177">
      <c r="B177" s="23" t="inlineStr">
        <is>
          <t>（発注の目安はDashboardの基準在庫[下限/上限]と色分けを参照）</t>
        </is>
      </c>
    </row>
    <row r="179">
      <c r="A179" s="21" t="inlineStr">
        <is>
          <t>1JN</t>
        </is>
      </c>
      <c r="B179" s="21" t="inlineStr">
        <is>
          <t>Substrate TTAF WF6</t>
        </is>
      </c>
      <c r="C179" s="22" t="n"/>
      <c r="D179" s="21" t="n"/>
      <c r="E179" s="21" t="n"/>
      <c r="F179" s="21" t="n"/>
      <c r="G179" s="21" t="n"/>
      <c r="H179" s="21" t="n"/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  <c r="AA179" s="21" t="n"/>
      <c r="AB179" s="21" t="n"/>
      <c r="AC179" s="21" t="n"/>
      <c r="AD179" s="21" t="n"/>
      <c r="AE179" s="21" t="n"/>
      <c r="AF179" s="21" t="n"/>
      <c r="AG179" s="21" t="n"/>
      <c r="AH179" s="21" t="n"/>
      <c r="AI179" s="21" t="n"/>
      <c r="AJ179" s="21" t="n"/>
      <c r="AK179" s="21" t="n"/>
      <c r="AL179" s="21" t="n"/>
      <c r="AM179" s="21" t="n"/>
      <c r="AN179" s="21" t="n"/>
      <c r="AO179" s="21" t="n"/>
      <c r="AP179" s="21" t="n"/>
      <c r="AQ179" s="21" t="n"/>
      <c r="AR179" s="21" t="n"/>
      <c r="AS179" s="21" t="n"/>
      <c r="AT179" s="21" t="n"/>
      <c r="AU179" s="21" t="n"/>
      <c r="AV179" s="21" t="n"/>
      <c r="AW179" s="21" t="n"/>
      <c r="AX179" s="21" t="n"/>
      <c r="AY179" s="21" t="n"/>
      <c r="AZ179" s="21" t="n"/>
      <c r="BA179" s="21" t="n"/>
      <c r="BB179" s="21" t="n"/>
      <c r="BC179" s="21" t="n"/>
      <c r="BD179" s="21" t="n"/>
      <c r="BE179" s="21" t="n"/>
      <c r="BF179" s="21" t="n"/>
      <c r="BG179" s="21" t="n"/>
      <c r="BH179" s="21" t="n"/>
      <c r="BI179" s="21" t="n"/>
      <c r="BJ179" s="21" t="n"/>
      <c r="BK179" s="21" t="n"/>
      <c r="BL179" s="21" t="n"/>
      <c r="BM179" s="21" t="n"/>
      <c r="BN179" s="21" t="n"/>
      <c r="BO179" s="21" t="n"/>
      <c r="BP179" s="21" t="n"/>
      <c r="BQ179" s="21" t="n"/>
      <c r="BR179" s="21" t="n"/>
      <c r="BS179" s="21" t="n"/>
      <c r="BT179" s="21" t="n"/>
      <c r="BU179" s="21" t="n"/>
      <c r="BV179" s="21" t="n"/>
      <c r="BW179" s="21" t="n"/>
      <c r="BX179" s="21" t="n"/>
      <c r="BY179" s="21" t="n"/>
      <c r="BZ179" s="21" t="n"/>
      <c r="CA179" s="21" t="n"/>
      <c r="CB179" s="21" t="n"/>
      <c r="CC179" s="21" t="n"/>
      <c r="CD179" s="21" t="n"/>
      <c r="CE179" s="21" t="n"/>
      <c r="CF179" s="21" t="n"/>
      <c r="CG179" s="21" t="n"/>
      <c r="CH179" s="21" t="n"/>
      <c r="CI179" s="21" t="n"/>
      <c r="CJ179" s="21" t="n"/>
      <c r="CK179" s="21" t="n"/>
      <c r="CL179" s="21" t="n"/>
      <c r="CM179" s="21" t="n"/>
      <c r="CN179" s="21" t="n"/>
      <c r="CO179" s="21" t="n"/>
      <c r="CP179" s="21" t="n"/>
      <c r="CQ179" s="21" t="n"/>
      <c r="CR179" s="21" t="n"/>
      <c r="CS179" s="21" t="n"/>
      <c r="CT179" s="21" t="n"/>
      <c r="CU179" s="21" t="n"/>
      <c r="CV179" s="21" t="n"/>
      <c r="CW179" s="21" t="n"/>
      <c r="CX179" s="21" t="n"/>
      <c r="CY179" s="21" t="n"/>
      <c r="CZ179" s="21" t="n"/>
      <c r="DA179" s="21" t="n"/>
      <c r="DB179" s="21" t="n"/>
      <c r="DC179" s="21" t="n"/>
    </row>
    <row r="180">
      <c r="B180" t="inlineStr">
        <is>
          <t>0Y460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12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Name],$A179)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s="5" t="inlineStr">
        <is>
          <t>合計使用量(kg)/週</t>
        </is>
      </c>
      <c r="D182">
        <f>'Grid_Requirement'!B21</f>
        <v/>
      </c>
      <c r="E182">
        <f>'Grid_Requirement'!C21</f>
        <v/>
      </c>
      <c r="F182">
        <f>'Grid_Requirement'!D21</f>
        <v/>
      </c>
      <c r="G182">
        <f>'Grid_Requirement'!E21</f>
        <v/>
      </c>
      <c r="H182">
        <f>'Grid_Requirement'!F21</f>
        <v/>
      </c>
      <c r="I182">
        <f>'Grid_Requirement'!G21</f>
        <v/>
      </c>
      <c r="J182">
        <f>'Grid_Requirement'!H21</f>
        <v/>
      </c>
      <c r="K182">
        <f>'Grid_Requirement'!I21</f>
        <v/>
      </c>
      <c r="L182">
        <f>'Grid_Requirement'!J21</f>
        <v/>
      </c>
      <c r="M182">
        <f>'Grid_Requirement'!K21</f>
        <v/>
      </c>
      <c r="N182">
        <f>'Grid_Requirement'!L21</f>
        <v/>
      </c>
      <c r="O182">
        <f>'Grid_Requirement'!M21</f>
        <v/>
      </c>
      <c r="P182">
        <f>'Grid_Requirement'!N21</f>
        <v/>
      </c>
      <c r="Q182">
        <f>'Grid_Requirement'!O21</f>
        <v/>
      </c>
      <c r="R182">
        <f>'Grid_Requirement'!P21</f>
        <v/>
      </c>
      <c r="S182">
        <f>'Grid_Requirement'!Q21</f>
        <v/>
      </c>
      <c r="T182">
        <f>'Grid_Requirement'!R21</f>
        <v/>
      </c>
      <c r="U182">
        <f>'Grid_Requirement'!S21</f>
        <v/>
      </c>
      <c r="V182">
        <f>'Grid_Requirement'!T21</f>
        <v/>
      </c>
      <c r="W182">
        <f>'Grid_Requirement'!U21</f>
        <v/>
      </c>
      <c r="X182">
        <f>'Grid_Requirement'!V21</f>
        <v/>
      </c>
      <c r="Y182">
        <f>'Grid_Requirement'!W21</f>
        <v/>
      </c>
      <c r="Z182">
        <f>'Grid_Requirement'!X21</f>
        <v/>
      </c>
      <c r="AA182">
        <f>'Grid_Requirement'!Y21</f>
        <v/>
      </c>
      <c r="AB182">
        <f>'Grid_Requirement'!Z21</f>
        <v/>
      </c>
      <c r="AC182">
        <f>'Grid_Requirement'!AA21</f>
        <v/>
      </c>
      <c r="AD182">
        <f>'Grid_Requirement'!AB21</f>
        <v/>
      </c>
      <c r="AE182">
        <f>'Grid_Requirement'!AC21</f>
        <v/>
      </c>
      <c r="AF182">
        <f>'Grid_Requirement'!AD21</f>
        <v/>
      </c>
      <c r="AG182">
        <f>'Grid_Requirement'!AE21</f>
        <v/>
      </c>
      <c r="AH182">
        <f>'Grid_Requirement'!AF21</f>
        <v/>
      </c>
      <c r="AI182">
        <f>'Grid_Requirement'!AG21</f>
        <v/>
      </c>
      <c r="AJ182">
        <f>'Grid_Requirement'!AH21</f>
        <v/>
      </c>
      <c r="AK182">
        <f>'Grid_Requirement'!AI21</f>
        <v/>
      </c>
      <c r="AL182">
        <f>'Grid_Requirement'!AJ21</f>
        <v/>
      </c>
      <c r="AM182">
        <f>'Grid_Requirement'!AK21</f>
        <v/>
      </c>
      <c r="AN182">
        <f>'Grid_Requirement'!AL21</f>
        <v/>
      </c>
      <c r="AO182">
        <f>'Grid_Requirement'!AM21</f>
        <v/>
      </c>
      <c r="AP182">
        <f>'Grid_Requirement'!AN21</f>
        <v/>
      </c>
      <c r="AQ182">
        <f>'Grid_Requirement'!AO21</f>
        <v/>
      </c>
      <c r="AR182">
        <f>'Grid_Requirement'!AP21</f>
        <v/>
      </c>
      <c r="AS182">
        <f>'Grid_Requirement'!AQ21</f>
        <v/>
      </c>
      <c r="AT182">
        <f>'Grid_Requirement'!AR21</f>
        <v/>
      </c>
      <c r="AU182">
        <f>'Grid_Requirement'!AS21</f>
        <v/>
      </c>
      <c r="AV182">
        <f>'Grid_Requirement'!AT21</f>
        <v/>
      </c>
      <c r="AW182">
        <f>'Grid_Requirement'!AU21</f>
        <v/>
      </c>
      <c r="AX182">
        <f>'Grid_Requirement'!AV21</f>
        <v/>
      </c>
      <c r="AY182">
        <f>'Grid_Requirement'!AW21</f>
        <v/>
      </c>
      <c r="AZ182">
        <f>'Grid_Requirement'!AX21</f>
        <v/>
      </c>
      <c r="BA182">
        <f>'Grid_Requirement'!AY21</f>
        <v/>
      </c>
      <c r="BB182">
        <f>'Grid_Requirement'!AZ21</f>
        <v/>
      </c>
      <c r="BC182">
        <f>'Grid_Requirement'!BA21</f>
        <v/>
      </c>
      <c r="BD182">
        <f>'Grid_Requirement'!BB21</f>
        <v/>
      </c>
      <c r="BE182">
        <f>'Grid_Requirement'!BC21</f>
        <v/>
      </c>
      <c r="BF182">
        <f>'Grid_Requirement'!BD21</f>
        <v/>
      </c>
      <c r="BG182">
        <f>'Grid_Requirement'!BE21</f>
        <v/>
      </c>
      <c r="BH182">
        <f>'Grid_Requirement'!BF21</f>
        <v/>
      </c>
      <c r="BI182">
        <f>'Grid_Requirement'!BG21</f>
        <v/>
      </c>
      <c r="BJ182">
        <f>'Grid_Requirement'!BH21</f>
        <v/>
      </c>
      <c r="BK182">
        <f>'Grid_Requirement'!BI21</f>
        <v/>
      </c>
      <c r="BL182">
        <f>'Grid_Requirement'!BJ21</f>
        <v/>
      </c>
      <c r="BM182">
        <f>'Grid_Requirement'!BK21</f>
        <v/>
      </c>
      <c r="BN182">
        <f>'Grid_Requirement'!BL21</f>
        <v/>
      </c>
      <c r="BO182">
        <f>'Grid_Requirement'!BM21</f>
        <v/>
      </c>
      <c r="BP182">
        <f>'Grid_Requirement'!BN21</f>
        <v/>
      </c>
      <c r="BQ182">
        <f>'Grid_Requirement'!BO21</f>
        <v/>
      </c>
      <c r="BR182">
        <f>'Grid_Requirement'!BP21</f>
        <v/>
      </c>
      <c r="BS182">
        <f>'Grid_Requirement'!BQ21</f>
        <v/>
      </c>
      <c r="BT182">
        <f>'Grid_Requirement'!BR21</f>
        <v/>
      </c>
      <c r="BU182">
        <f>'Grid_Requirement'!BS21</f>
        <v/>
      </c>
      <c r="BV182">
        <f>'Grid_Requirement'!BT21</f>
        <v/>
      </c>
      <c r="BW182">
        <f>'Grid_Requirement'!BU21</f>
        <v/>
      </c>
      <c r="BX182">
        <f>'Grid_Requirement'!BV21</f>
        <v/>
      </c>
      <c r="BY182">
        <f>'Grid_Requirement'!BW21</f>
        <v/>
      </c>
      <c r="BZ182">
        <f>'Grid_Requirement'!BX21</f>
        <v/>
      </c>
      <c r="CA182">
        <f>'Grid_Requirement'!BY21</f>
        <v/>
      </c>
      <c r="CB182">
        <f>'Grid_Requirement'!BZ21</f>
        <v/>
      </c>
      <c r="CC182">
        <f>'Grid_Requirement'!CA21</f>
        <v/>
      </c>
      <c r="CD182">
        <f>'Grid_Requirement'!CB21</f>
        <v/>
      </c>
      <c r="CE182">
        <f>'Grid_Requirement'!CC21</f>
        <v/>
      </c>
      <c r="CF182">
        <f>'Grid_Requirement'!CD21</f>
        <v/>
      </c>
      <c r="CG182">
        <f>'Grid_Requirement'!CE21</f>
        <v/>
      </c>
      <c r="CH182">
        <f>'Grid_Requirement'!CF21</f>
        <v/>
      </c>
      <c r="CI182">
        <f>'Grid_Requirement'!CG21</f>
        <v/>
      </c>
      <c r="CJ182">
        <f>'Grid_Requirement'!CH21</f>
        <v/>
      </c>
      <c r="CK182">
        <f>'Grid_Requirement'!CI21</f>
        <v/>
      </c>
      <c r="CL182">
        <f>'Grid_Requirement'!CJ21</f>
        <v/>
      </c>
      <c r="CM182">
        <f>'Grid_Requirement'!CK21</f>
        <v/>
      </c>
      <c r="CN182">
        <f>'Grid_Requirement'!CL21</f>
        <v/>
      </c>
      <c r="CO182">
        <f>'Grid_Requirement'!CM21</f>
        <v/>
      </c>
      <c r="CP182">
        <f>'Grid_Requirement'!CN21</f>
        <v/>
      </c>
      <c r="CQ182">
        <f>'Grid_Requirement'!CO21</f>
        <v/>
      </c>
      <c r="CR182">
        <f>'Grid_Requirement'!CP21</f>
        <v/>
      </c>
      <c r="CS182">
        <f>'Grid_Requirement'!CQ21</f>
        <v/>
      </c>
      <c r="CT182">
        <f>'Grid_Requirement'!CR21</f>
        <v/>
      </c>
      <c r="CU182">
        <f>'Grid_Requirement'!CS21</f>
        <v/>
      </c>
      <c r="CV182">
        <f>'Grid_Requirement'!CT21</f>
        <v/>
      </c>
      <c r="CW182">
        <f>'Grid_Requirement'!CU21</f>
        <v/>
      </c>
      <c r="CX182">
        <f>'Grid_Requirement'!CV21</f>
        <v/>
      </c>
      <c r="CY182">
        <f>'Grid_Requirement'!CW21</f>
        <v/>
      </c>
      <c r="CZ182">
        <f>'Grid_Requirement'!CX21</f>
        <v/>
      </c>
      <c r="DA182">
        <f>'Grid_Requirement'!CY21</f>
        <v/>
      </c>
      <c r="DB182">
        <f>'Grid_Requirement'!CZ21</f>
        <v/>
      </c>
      <c r="DC182">
        <f>'Grid_Requirement'!DA21</f>
        <v/>
      </c>
    </row>
    <row r="183">
      <c r="B183" t="inlineStr">
        <is>
          <t>TTAF在庫(実績,kg)</t>
        </is>
      </c>
      <c r="D183">
        <f>'T_TTAFStock'!B25</f>
        <v/>
      </c>
      <c r="E183">
        <f>'T_TTAFStock'!C25</f>
        <v/>
      </c>
      <c r="F183">
        <f>'T_TTAFStock'!D25</f>
        <v/>
      </c>
      <c r="G183">
        <f>'T_TTAFStock'!E25</f>
        <v/>
      </c>
      <c r="H183">
        <f>'T_TTAFStock'!F25</f>
        <v/>
      </c>
      <c r="I183">
        <f>'T_TTAFStock'!G25</f>
        <v/>
      </c>
      <c r="J183">
        <f>'T_TTAFStock'!H25</f>
        <v/>
      </c>
      <c r="K183">
        <f>'T_TTAFStock'!I25</f>
        <v/>
      </c>
      <c r="L183">
        <f>'T_TTAFStock'!J25</f>
        <v/>
      </c>
      <c r="M183">
        <f>'T_TTAFStock'!K25</f>
        <v/>
      </c>
      <c r="N183">
        <f>'T_TTAFStock'!L25</f>
        <v/>
      </c>
      <c r="O183">
        <f>'T_TTAFStock'!M25</f>
        <v/>
      </c>
      <c r="P183">
        <f>'T_TTAFStock'!N25</f>
        <v/>
      </c>
      <c r="Q183">
        <f>'T_TTAFStock'!O25</f>
        <v/>
      </c>
      <c r="R183">
        <f>'T_TTAFStock'!P25</f>
        <v/>
      </c>
      <c r="S183">
        <f>'T_TTAFStock'!Q25</f>
        <v/>
      </c>
      <c r="T183">
        <f>'T_TTAFStock'!R25</f>
        <v/>
      </c>
      <c r="U183">
        <f>'T_TTAFStock'!S25</f>
        <v/>
      </c>
      <c r="V183">
        <f>'T_TTAFStock'!T25</f>
        <v/>
      </c>
      <c r="W183">
        <f>'T_TTAFStock'!U25</f>
        <v/>
      </c>
      <c r="X183">
        <f>'T_TTAFStock'!V25</f>
        <v/>
      </c>
      <c r="Y183">
        <f>'T_TTAFStock'!W25</f>
        <v/>
      </c>
      <c r="Z183">
        <f>'T_TTAFStock'!X25</f>
        <v/>
      </c>
      <c r="AA183">
        <f>'T_TTAFStock'!Y25</f>
        <v/>
      </c>
      <c r="AB183">
        <f>'T_TTAFStock'!Z25</f>
        <v/>
      </c>
      <c r="AC183">
        <f>'T_TTAFStock'!AA25</f>
        <v/>
      </c>
      <c r="AD183">
        <f>'T_TTAFStock'!AB25</f>
        <v/>
      </c>
      <c r="AE183">
        <f>'T_TTAFStock'!AC25</f>
        <v/>
      </c>
      <c r="AF183">
        <f>'T_TTAFStock'!AD25</f>
        <v/>
      </c>
      <c r="AG183">
        <f>'T_TTAFStock'!AE25</f>
        <v/>
      </c>
      <c r="AH183">
        <f>'T_TTAFStock'!AF25</f>
        <v/>
      </c>
      <c r="AI183">
        <f>'T_TTAFStock'!AG25</f>
        <v/>
      </c>
      <c r="AJ183">
        <f>'T_TTAFStock'!AH25</f>
        <v/>
      </c>
      <c r="AK183">
        <f>'T_TTAFStock'!AI25</f>
        <v/>
      </c>
      <c r="AL183">
        <f>'T_TTAFStock'!AJ25</f>
        <v/>
      </c>
      <c r="AM183">
        <f>'T_TTAFStock'!AK25</f>
        <v/>
      </c>
      <c r="AN183">
        <f>'T_TTAFStock'!AL25</f>
        <v/>
      </c>
      <c r="AO183">
        <f>'T_TTAFStock'!AM25</f>
        <v/>
      </c>
      <c r="AP183">
        <f>'T_TTAFStock'!AN25</f>
        <v/>
      </c>
      <c r="AQ183">
        <f>'T_TTAFStock'!AO25</f>
        <v/>
      </c>
      <c r="AR183">
        <f>'T_TTAFStock'!AP25</f>
        <v/>
      </c>
      <c r="AS183">
        <f>'T_TTAFStock'!AQ25</f>
        <v/>
      </c>
      <c r="AT183">
        <f>'T_TTAFStock'!AR25</f>
        <v/>
      </c>
      <c r="AU183">
        <f>'T_TTAFStock'!AS25</f>
        <v/>
      </c>
      <c r="AV183">
        <f>'T_TTAFStock'!AT25</f>
        <v/>
      </c>
      <c r="AW183">
        <f>'T_TTAFStock'!AU25</f>
        <v/>
      </c>
      <c r="AX183">
        <f>'T_TTAFStock'!AV25</f>
        <v/>
      </c>
      <c r="AY183">
        <f>'T_TTAFStock'!AW25</f>
        <v/>
      </c>
      <c r="AZ183">
        <f>'T_TTAFStock'!AX25</f>
        <v/>
      </c>
      <c r="BA183">
        <f>'T_TTAFStock'!AY25</f>
        <v/>
      </c>
      <c r="BB183">
        <f>'T_TTAFStock'!AZ25</f>
        <v/>
      </c>
      <c r="BC183">
        <f>'T_TTAFStock'!BA25</f>
        <v/>
      </c>
      <c r="BD183">
        <f>'T_TTAFStock'!BB25</f>
        <v/>
      </c>
      <c r="BE183">
        <f>'T_TTAFStock'!BC25</f>
        <v/>
      </c>
      <c r="BF183">
        <f>'T_TTAFStock'!BD25</f>
        <v/>
      </c>
      <c r="BG183">
        <f>'T_TTAFStock'!BE25</f>
        <v/>
      </c>
      <c r="BH183">
        <f>'T_TTAFStock'!BF25</f>
        <v/>
      </c>
      <c r="BI183">
        <f>'T_TTAFStock'!BG25</f>
        <v/>
      </c>
      <c r="BJ183">
        <f>'T_TTAFStock'!BH25</f>
        <v/>
      </c>
      <c r="BK183">
        <f>'T_TTAFStock'!BI25</f>
        <v/>
      </c>
      <c r="BL183">
        <f>'T_TTAFStock'!BJ25</f>
        <v/>
      </c>
      <c r="BM183">
        <f>'T_TTAFStock'!BK25</f>
        <v/>
      </c>
      <c r="BN183">
        <f>'T_TTAFStock'!BL25</f>
        <v/>
      </c>
      <c r="BO183">
        <f>'T_TTAFStock'!BM25</f>
        <v/>
      </c>
      <c r="BP183">
        <f>'T_TTAFStock'!BN25</f>
        <v/>
      </c>
      <c r="BQ183">
        <f>'T_TTAFStock'!BO25</f>
        <v/>
      </c>
      <c r="BR183">
        <f>'T_TTAFStock'!BP25</f>
        <v/>
      </c>
      <c r="BS183">
        <f>'T_TTAFStock'!BQ25</f>
        <v/>
      </c>
      <c r="BT183">
        <f>'T_TTAFStock'!BR25</f>
        <v/>
      </c>
      <c r="BU183">
        <f>'T_TTAFStock'!BS25</f>
        <v/>
      </c>
      <c r="BV183">
        <f>'T_TTAFStock'!BT25</f>
        <v/>
      </c>
      <c r="BW183">
        <f>'T_TTAFStock'!BU25</f>
        <v/>
      </c>
      <c r="BX183">
        <f>'T_TTAFStock'!BV25</f>
        <v/>
      </c>
      <c r="BY183">
        <f>'T_TTAFStock'!BW25</f>
        <v/>
      </c>
      <c r="BZ183">
        <f>'T_TTAFStock'!BX25</f>
        <v/>
      </c>
      <c r="CA183">
        <f>'T_TTAFStock'!BY25</f>
        <v/>
      </c>
      <c r="CB183">
        <f>'T_TTAFStock'!BZ25</f>
        <v/>
      </c>
      <c r="CC183">
        <f>'T_TTAFStock'!CA25</f>
        <v/>
      </c>
      <c r="CD183">
        <f>'T_TTAFStock'!CB25</f>
        <v/>
      </c>
      <c r="CE183">
        <f>'T_TTAFStock'!CC25</f>
        <v/>
      </c>
      <c r="CF183">
        <f>'T_TTAFStock'!CD25</f>
        <v/>
      </c>
      <c r="CG183">
        <f>'T_TTAFStock'!CE25</f>
        <v/>
      </c>
      <c r="CH183">
        <f>'T_TTAFStock'!CF25</f>
        <v/>
      </c>
      <c r="CI183">
        <f>'T_TTAFStock'!CG25</f>
        <v/>
      </c>
      <c r="CJ183">
        <f>'T_TTAFStock'!CH25</f>
        <v/>
      </c>
      <c r="CK183">
        <f>'T_TTAFStock'!CI25</f>
        <v/>
      </c>
      <c r="CL183">
        <f>'T_TTAFStock'!CJ25</f>
        <v/>
      </c>
      <c r="CM183">
        <f>'T_TTAFStock'!CK25</f>
        <v/>
      </c>
      <c r="CN183">
        <f>'T_TTAFStock'!CL25</f>
        <v/>
      </c>
      <c r="CO183">
        <f>'T_TTAFStock'!CM25</f>
        <v/>
      </c>
      <c r="CP183">
        <f>'T_TTAFStock'!CN25</f>
        <v/>
      </c>
      <c r="CQ183">
        <f>'T_TTAFStock'!CO25</f>
        <v/>
      </c>
      <c r="CR183">
        <f>'T_TTAFStock'!CP25</f>
        <v/>
      </c>
      <c r="CS183">
        <f>'T_TTAFStock'!CQ25</f>
        <v/>
      </c>
      <c r="CT183">
        <f>'T_TTAFStock'!CR25</f>
        <v/>
      </c>
      <c r="CU183">
        <f>'T_TTAFStock'!CS25</f>
        <v/>
      </c>
      <c r="CV183">
        <f>'T_TTAFStock'!CT25</f>
        <v/>
      </c>
      <c r="CW183">
        <f>'T_TTAFStock'!CU25</f>
        <v/>
      </c>
      <c r="CX183">
        <f>'T_TTAFStock'!CV25</f>
        <v/>
      </c>
      <c r="CY183">
        <f>'T_TTAFStock'!CW25</f>
        <v/>
      </c>
      <c r="CZ183">
        <f>'T_TTAFStock'!CX25</f>
        <v/>
      </c>
      <c r="DA183">
        <f>'T_TTAFStock'!CY25</f>
        <v/>
      </c>
      <c r="DB183">
        <f>'T_TTAFStock'!CZ25</f>
        <v/>
      </c>
      <c r="DC183">
        <f>'T_TTAFStock'!DA25</f>
        <v/>
      </c>
    </row>
    <row r="184">
      <c r="B184" t="inlineStr">
        <is>
          <t>自社在庫(実績,kg)</t>
        </is>
      </c>
      <c r="D184">
        <f>'T_SelfStock'!B25</f>
        <v/>
      </c>
      <c r="E184">
        <f>'T_SelfStock'!C25</f>
        <v/>
      </c>
      <c r="F184">
        <f>'T_SelfStock'!D25</f>
        <v/>
      </c>
      <c r="G184">
        <f>'T_SelfStock'!E25</f>
        <v/>
      </c>
      <c r="H184">
        <f>'T_SelfStock'!F25</f>
        <v/>
      </c>
      <c r="I184">
        <f>'T_SelfStock'!G25</f>
        <v/>
      </c>
      <c r="J184">
        <f>'T_SelfStock'!H25</f>
        <v/>
      </c>
      <c r="K184">
        <f>'T_SelfStock'!I25</f>
        <v/>
      </c>
      <c r="L184">
        <f>'T_SelfStock'!J25</f>
        <v/>
      </c>
      <c r="M184">
        <f>'T_SelfStock'!K25</f>
        <v/>
      </c>
      <c r="N184">
        <f>'T_SelfStock'!L25</f>
        <v/>
      </c>
      <c r="O184">
        <f>'T_SelfStock'!M25</f>
        <v/>
      </c>
      <c r="P184">
        <f>'T_SelfStock'!N25</f>
        <v/>
      </c>
      <c r="Q184">
        <f>'T_SelfStock'!O25</f>
        <v/>
      </c>
      <c r="R184">
        <f>'T_SelfStock'!P25</f>
        <v/>
      </c>
      <c r="S184">
        <f>'T_SelfStock'!Q25</f>
        <v/>
      </c>
      <c r="T184">
        <f>'T_SelfStock'!R25</f>
        <v/>
      </c>
      <c r="U184">
        <f>'T_SelfStock'!S25</f>
        <v/>
      </c>
      <c r="V184">
        <f>'T_SelfStock'!T25</f>
        <v/>
      </c>
      <c r="W184">
        <f>'T_SelfStock'!U25</f>
        <v/>
      </c>
      <c r="X184">
        <f>'T_SelfStock'!V25</f>
        <v/>
      </c>
      <c r="Y184">
        <f>'T_SelfStock'!W25</f>
        <v/>
      </c>
      <c r="Z184">
        <f>'T_SelfStock'!X25</f>
        <v/>
      </c>
      <c r="AA184">
        <f>'T_SelfStock'!Y25</f>
        <v/>
      </c>
      <c r="AB184">
        <f>'T_SelfStock'!Z25</f>
        <v/>
      </c>
      <c r="AC184">
        <f>'T_SelfStock'!AA25</f>
        <v/>
      </c>
      <c r="AD184">
        <f>'T_SelfStock'!AB25</f>
        <v/>
      </c>
      <c r="AE184">
        <f>'T_SelfStock'!AC25</f>
        <v/>
      </c>
      <c r="AF184">
        <f>'T_SelfStock'!AD25</f>
        <v/>
      </c>
      <c r="AG184">
        <f>'T_SelfStock'!AE25</f>
        <v/>
      </c>
      <c r="AH184">
        <f>'T_SelfStock'!AF25</f>
        <v/>
      </c>
      <c r="AI184">
        <f>'T_SelfStock'!AG25</f>
        <v/>
      </c>
      <c r="AJ184">
        <f>'T_SelfStock'!AH25</f>
        <v/>
      </c>
      <c r="AK184">
        <f>'T_SelfStock'!AI25</f>
        <v/>
      </c>
      <c r="AL184">
        <f>'T_SelfStock'!AJ25</f>
        <v/>
      </c>
      <c r="AM184">
        <f>'T_SelfStock'!AK25</f>
        <v/>
      </c>
      <c r="AN184">
        <f>'T_SelfStock'!AL25</f>
        <v/>
      </c>
      <c r="AO184">
        <f>'T_SelfStock'!AM25</f>
        <v/>
      </c>
      <c r="AP184">
        <f>'T_SelfStock'!AN25</f>
        <v/>
      </c>
      <c r="AQ184">
        <f>'T_SelfStock'!AO25</f>
        <v/>
      </c>
      <c r="AR184">
        <f>'T_SelfStock'!AP25</f>
        <v/>
      </c>
      <c r="AS184">
        <f>'T_SelfStock'!AQ25</f>
        <v/>
      </c>
      <c r="AT184">
        <f>'T_SelfStock'!AR25</f>
        <v/>
      </c>
      <c r="AU184">
        <f>'T_SelfStock'!AS25</f>
        <v/>
      </c>
      <c r="AV184">
        <f>'T_SelfStock'!AT25</f>
        <v/>
      </c>
      <c r="AW184">
        <f>'T_SelfStock'!AU25</f>
        <v/>
      </c>
      <c r="AX184">
        <f>'T_SelfStock'!AV25</f>
        <v/>
      </c>
      <c r="AY184">
        <f>'T_SelfStock'!AW25</f>
        <v/>
      </c>
      <c r="AZ184">
        <f>'T_SelfStock'!AX25</f>
        <v/>
      </c>
      <c r="BA184">
        <f>'T_SelfStock'!AY25</f>
        <v/>
      </c>
      <c r="BB184">
        <f>'T_SelfStock'!AZ25</f>
        <v/>
      </c>
      <c r="BC184">
        <f>'T_SelfStock'!BA25</f>
        <v/>
      </c>
      <c r="BD184">
        <f>'T_SelfStock'!BB25</f>
        <v/>
      </c>
      <c r="BE184">
        <f>'T_SelfStock'!BC25</f>
        <v/>
      </c>
      <c r="BF184">
        <f>'T_SelfStock'!BD25</f>
        <v/>
      </c>
      <c r="BG184">
        <f>'T_SelfStock'!BE25</f>
        <v/>
      </c>
      <c r="BH184">
        <f>'T_SelfStock'!BF25</f>
        <v/>
      </c>
      <c r="BI184">
        <f>'T_SelfStock'!BG25</f>
        <v/>
      </c>
      <c r="BJ184">
        <f>'T_SelfStock'!BH25</f>
        <v/>
      </c>
      <c r="BK184">
        <f>'T_SelfStock'!BI25</f>
        <v/>
      </c>
      <c r="BL184">
        <f>'T_SelfStock'!BJ25</f>
        <v/>
      </c>
      <c r="BM184">
        <f>'T_SelfStock'!BK25</f>
        <v/>
      </c>
      <c r="BN184">
        <f>'T_SelfStock'!BL25</f>
        <v/>
      </c>
      <c r="BO184">
        <f>'T_SelfStock'!BM25</f>
        <v/>
      </c>
      <c r="BP184">
        <f>'T_SelfStock'!BN25</f>
        <v/>
      </c>
      <c r="BQ184">
        <f>'T_SelfStock'!BO25</f>
        <v/>
      </c>
      <c r="BR184">
        <f>'T_SelfStock'!BP25</f>
        <v/>
      </c>
      <c r="BS184">
        <f>'T_SelfStock'!BQ25</f>
        <v/>
      </c>
      <c r="BT184">
        <f>'T_SelfStock'!BR25</f>
        <v/>
      </c>
      <c r="BU184">
        <f>'T_SelfStock'!BS25</f>
        <v/>
      </c>
      <c r="BV184">
        <f>'T_SelfStock'!BT25</f>
        <v/>
      </c>
      <c r="BW184">
        <f>'T_SelfStock'!BU25</f>
        <v/>
      </c>
      <c r="BX184">
        <f>'T_SelfStock'!BV25</f>
        <v/>
      </c>
      <c r="BY184">
        <f>'T_SelfStock'!BW25</f>
        <v/>
      </c>
      <c r="BZ184">
        <f>'T_SelfStock'!BX25</f>
        <v/>
      </c>
      <c r="CA184">
        <f>'T_SelfStock'!BY25</f>
        <v/>
      </c>
      <c r="CB184">
        <f>'T_SelfStock'!BZ25</f>
        <v/>
      </c>
      <c r="CC184">
        <f>'T_SelfStock'!CA25</f>
        <v/>
      </c>
      <c r="CD184">
        <f>'T_SelfStock'!CB25</f>
        <v/>
      </c>
      <c r="CE184">
        <f>'T_SelfStock'!CC25</f>
        <v/>
      </c>
      <c r="CF184">
        <f>'T_SelfStock'!CD25</f>
        <v/>
      </c>
      <c r="CG184">
        <f>'T_SelfStock'!CE25</f>
        <v/>
      </c>
      <c r="CH184">
        <f>'T_SelfStock'!CF25</f>
        <v/>
      </c>
      <c r="CI184">
        <f>'T_SelfStock'!CG25</f>
        <v/>
      </c>
      <c r="CJ184">
        <f>'T_SelfStock'!CH25</f>
        <v/>
      </c>
      <c r="CK184">
        <f>'T_SelfStock'!CI25</f>
        <v/>
      </c>
      <c r="CL184">
        <f>'T_SelfStock'!CJ25</f>
        <v/>
      </c>
      <c r="CM184">
        <f>'T_SelfStock'!CK25</f>
        <v/>
      </c>
      <c r="CN184">
        <f>'T_SelfStock'!CL25</f>
        <v/>
      </c>
      <c r="CO184">
        <f>'T_SelfStock'!CM25</f>
        <v/>
      </c>
      <c r="CP184">
        <f>'T_SelfStock'!CN25</f>
        <v/>
      </c>
      <c r="CQ184">
        <f>'T_SelfStock'!CO25</f>
        <v/>
      </c>
      <c r="CR184">
        <f>'T_SelfStock'!CP25</f>
        <v/>
      </c>
      <c r="CS184">
        <f>'T_SelfStock'!CQ25</f>
        <v/>
      </c>
      <c r="CT184">
        <f>'T_SelfStock'!CR25</f>
        <v/>
      </c>
      <c r="CU184">
        <f>'T_SelfStock'!CS25</f>
        <v/>
      </c>
      <c r="CV184">
        <f>'T_SelfStock'!CT25</f>
        <v/>
      </c>
      <c r="CW184">
        <f>'T_SelfStock'!CU25</f>
        <v/>
      </c>
      <c r="CX184">
        <f>'T_SelfStock'!CV25</f>
        <v/>
      </c>
      <c r="CY184">
        <f>'T_SelfStock'!CW25</f>
        <v/>
      </c>
      <c r="CZ184">
        <f>'T_SelfStock'!CX25</f>
        <v/>
      </c>
      <c r="DA184">
        <f>'T_SelfStock'!CY25</f>
        <v/>
      </c>
      <c r="DB184">
        <f>'T_SelfStock'!CZ25</f>
        <v/>
      </c>
      <c r="DC184">
        <f>'T_SelfStock'!DA25</f>
        <v/>
      </c>
    </row>
    <row r="185">
      <c r="B185" t="inlineStr">
        <is>
          <t>Order(発注予定,kg)</t>
        </is>
      </c>
      <c r="D185">
        <f>IF(SUMIFS(T_PlannedOrders[EffectiveQty],T_PlannedOrders[Part Name],$A179,T_PlannedOrders[WeekIndex],1)=0,"",SUMIFS(T_PlannedOrders[EffectiveQty],T_PlannedOrders[Part Name],$A179,T_PlannedOrders[WeekIndex],1)&amp;" ("&amp;TEXT(SUMPRODUCT(MAX((T_PlannedOrders[Part Name]=$A179)*(T_PlannedOrders[WeekIndex]=1)*(T_PlannedOrders[EffectiveQty]&gt;0)*T_PlannedOrders[Order_Month])),"m月")&amp;"発注)")</f>
        <v/>
      </c>
      <c r="E185">
        <f>IF(SUMIFS(T_PlannedOrders[EffectiveQty],T_PlannedOrders[Part Name],$A179,T_PlannedOrders[WeekIndex],2)=0,"",SUMIFS(T_PlannedOrders[EffectiveQty],T_PlannedOrders[Part Name],$A179,T_PlannedOrders[WeekIndex],2)&amp;" ("&amp;TEXT(SUMPRODUCT(MAX((T_PlannedOrders[Part Name]=$A179)*(T_PlannedOrders[WeekIndex]=2)*(T_PlannedOrders[EffectiveQty]&gt;0)*T_PlannedOrders[Order_Month])),"m月")&amp;"発注)")</f>
        <v/>
      </c>
      <c r="F185">
        <f>IF(SUMIFS(T_PlannedOrders[EffectiveQty],T_PlannedOrders[Part Name],$A179,T_PlannedOrders[WeekIndex],3)=0,"",SUMIFS(T_PlannedOrders[EffectiveQty],T_PlannedOrders[Part Name],$A179,T_PlannedOrders[WeekIndex],3)&amp;" ("&amp;TEXT(SUMPRODUCT(MAX((T_PlannedOrders[Part Name]=$A179)*(T_PlannedOrders[WeekIndex]=3)*(T_PlannedOrders[EffectiveQty]&gt;0)*T_PlannedOrders[Order_Month])),"m月")&amp;"発注)")</f>
        <v/>
      </c>
      <c r="G185">
        <f>IF(SUMIFS(T_PlannedOrders[EffectiveQty],T_PlannedOrders[Part Name],$A179,T_PlannedOrders[WeekIndex],4)=0,"",SUMIFS(T_PlannedOrders[EffectiveQty],T_PlannedOrders[Part Name],$A179,T_PlannedOrders[WeekIndex],4)&amp;" ("&amp;TEXT(SUMPRODUCT(MAX((T_PlannedOrders[Part Name]=$A179)*(T_PlannedOrders[WeekIndex]=4)*(T_PlannedOrders[EffectiveQty]&gt;0)*T_PlannedOrders[Order_Month])),"m月")&amp;"発注)")</f>
        <v/>
      </c>
      <c r="H185">
        <f>IF(SUMIFS(T_PlannedOrders[EffectiveQty],T_PlannedOrders[Part Name],$A179,T_PlannedOrders[WeekIndex],5)=0,"",SUMIFS(T_PlannedOrders[EffectiveQty],T_PlannedOrders[Part Name],$A179,T_PlannedOrders[WeekIndex],5)&amp;" ("&amp;TEXT(SUMPRODUCT(MAX((T_PlannedOrders[Part Name]=$A179)*(T_PlannedOrders[WeekIndex]=5)*(T_PlannedOrders[EffectiveQty]&gt;0)*T_PlannedOrders[Order_Month])),"m月")&amp;"発注)")</f>
        <v/>
      </c>
      <c r="I185">
        <f>IF(SUMIFS(T_PlannedOrders[EffectiveQty],T_PlannedOrders[Part Name],$A179,T_PlannedOrders[WeekIndex],6)=0,"",SUMIFS(T_PlannedOrders[EffectiveQty],T_PlannedOrders[Part Name],$A179,T_PlannedOrders[WeekIndex],6)&amp;" ("&amp;TEXT(SUMPRODUCT(MAX((T_PlannedOrders[Part Name]=$A179)*(T_PlannedOrders[WeekIndex]=6)*(T_PlannedOrders[EffectiveQty]&gt;0)*T_PlannedOrders[Order_Month])),"m月")&amp;"発注)")</f>
        <v/>
      </c>
      <c r="J185">
        <f>IF(SUMIFS(T_PlannedOrders[EffectiveQty],T_PlannedOrders[Part Name],$A179,T_PlannedOrders[WeekIndex],7)=0,"",SUMIFS(T_PlannedOrders[EffectiveQty],T_PlannedOrders[Part Name],$A179,T_PlannedOrders[WeekIndex],7)&amp;" ("&amp;TEXT(SUMPRODUCT(MAX((T_PlannedOrders[Part Name]=$A179)*(T_PlannedOrders[WeekIndex]=7)*(T_PlannedOrders[EffectiveQty]&gt;0)*T_PlannedOrders[Order_Month])),"m月")&amp;"発注)")</f>
        <v/>
      </c>
      <c r="K185">
        <f>IF(SUMIFS(T_PlannedOrders[EffectiveQty],T_PlannedOrders[Part Name],$A179,T_PlannedOrders[WeekIndex],8)=0,"",SUMIFS(T_PlannedOrders[EffectiveQty],T_PlannedOrders[Part Name],$A179,T_PlannedOrders[WeekIndex],8)&amp;" ("&amp;TEXT(SUMPRODUCT(MAX((T_PlannedOrders[Part Name]=$A179)*(T_PlannedOrders[WeekIndex]=8)*(T_PlannedOrders[EffectiveQty]&gt;0)*T_PlannedOrders[Order_Month])),"m月")&amp;"発注)")</f>
        <v/>
      </c>
      <c r="L185">
        <f>IF(SUMIFS(T_PlannedOrders[EffectiveQty],T_PlannedOrders[Part Name],$A179,T_PlannedOrders[WeekIndex],9)=0,"",SUMIFS(T_PlannedOrders[EffectiveQty],T_PlannedOrders[Part Name],$A179,T_PlannedOrders[WeekIndex],9)&amp;" ("&amp;TEXT(SUMPRODUCT(MAX((T_PlannedOrders[Part Name]=$A179)*(T_PlannedOrders[WeekIndex]=9)*(T_PlannedOrders[EffectiveQty]&gt;0)*T_PlannedOrders[Order_Month])),"m月")&amp;"発注)")</f>
        <v/>
      </c>
      <c r="M185">
        <f>IF(SUMIFS(T_PlannedOrders[EffectiveQty],T_PlannedOrders[Part Name],$A179,T_PlannedOrders[WeekIndex],10)=0,"",SUMIFS(T_PlannedOrders[EffectiveQty],T_PlannedOrders[Part Name],$A179,T_PlannedOrders[WeekIndex],10)&amp;" ("&amp;TEXT(SUMPRODUCT(MAX((T_PlannedOrders[Part Name]=$A179)*(T_PlannedOrders[WeekIndex]=10)*(T_PlannedOrders[EffectiveQty]&gt;0)*T_PlannedOrders[Order_Month])),"m月")&amp;"発注)")</f>
        <v/>
      </c>
      <c r="N185">
        <f>IF(SUMIFS(T_PlannedOrders[EffectiveQty],T_PlannedOrders[Part Name],$A179,T_PlannedOrders[WeekIndex],11)=0,"",SUMIFS(T_PlannedOrders[EffectiveQty],T_PlannedOrders[Part Name],$A179,T_PlannedOrders[WeekIndex],11)&amp;" ("&amp;TEXT(SUMPRODUCT(MAX((T_PlannedOrders[Part Name]=$A179)*(T_PlannedOrders[WeekIndex]=11)*(T_PlannedOrders[EffectiveQty]&gt;0)*T_PlannedOrders[Order_Month])),"m月")&amp;"発注)")</f>
        <v/>
      </c>
      <c r="O185">
        <f>IF(SUMIFS(T_PlannedOrders[EffectiveQty],T_PlannedOrders[Part Name],$A179,T_PlannedOrders[WeekIndex],12)=0,"",SUMIFS(T_PlannedOrders[EffectiveQty],T_PlannedOrders[Part Name],$A179,T_PlannedOrders[WeekIndex],12)&amp;" ("&amp;TEXT(SUMPRODUCT(MAX((T_PlannedOrders[Part Name]=$A179)*(T_PlannedOrders[WeekIndex]=12)*(T_PlannedOrders[EffectiveQty]&gt;0)*T_PlannedOrders[Order_Month])),"m月")&amp;"発注)")</f>
        <v/>
      </c>
      <c r="P185">
        <f>IF(SUMIFS(T_PlannedOrders[EffectiveQty],T_PlannedOrders[Part Name],$A179,T_PlannedOrders[WeekIndex],13)=0,"",SUMIFS(T_PlannedOrders[EffectiveQty],T_PlannedOrders[Part Name],$A179,T_PlannedOrders[WeekIndex],13)&amp;" ("&amp;TEXT(SUMPRODUCT(MAX((T_PlannedOrders[Part Name]=$A179)*(T_PlannedOrders[WeekIndex]=13)*(T_PlannedOrders[EffectiveQty]&gt;0)*T_PlannedOrders[Order_Month])),"m月")&amp;"発注)")</f>
        <v/>
      </c>
      <c r="Q185">
        <f>IF(SUMIFS(T_PlannedOrders[EffectiveQty],T_PlannedOrders[Part Name],$A179,T_PlannedOrders[WeekIndex],14)=0,"",SUMIFS(T_PlannedOrders[EffectiveQty],T_PlannedOrders[Part Name],$A179,T_PlannedOrders[WeekIndex],14)&amp;" ("&amp;TEXT(SUMPRODUCT(MAX((T_PlannedOrders[Part Name]=$A179)*(T_PlannedOrders[WeekIndex]=14)*(T_PlannedOrders[EffectiveQty]&gt;0)*T_PlannedOrders[Order_Month])),"m月")&amp;"発注)")</f>
        <v/>
      </c>
      <c r="R185">
        <f>IF(SUMIFS(T_PlannedOrders[EffectiveQty],T_PlannedOrders[Part Name],$A179,T_PlannedOrders[WeekIndex],15)=0,"",SUMIFS(T_PlannedOrders[EffectiveQty],T_PlannedOrders[Part Name],$A179,T_PlannedOrders[WeekIndex],15)&amp;" ("&amp;TEXT(SUMPRODUCT(MAX((T_PlannedOrders[Part Name]=$A179)*(T_PlannedOrders[WeekIndex]=15)*(T_PlannedOrders[EffectiveQty]&gt;0)*T_PlannedOrders[Order_Month])),"m月")&amp;"発注)")</f>
        <v/>
      </c>
      <c r="S185">
        <f>IF(SUMIFS(T_PlannedOrders[EffectiveQty],T_PlannedOrders[Part Name],$A179,T_PlannedOrders[WeekIndex],16)=0,"",SUMIFS(T_PlannedOrders[EffectiveQty],T_PlannedOrders[Part Name],$A179,T_PlannedOrders[WeekIndex],16)&amp;" ("&amp;TEXT(SUMPRODUCT(MAX((T_PlannedOrders[Part Name]=$A179)*(T_PlannedOrders[WeekIndex]=16)*(T_PlannedOrders[EffectiveQty]&gt;0)*T_PlannedOrders[Order_Month])),"m月")&amp;"発注)")</f>
        <v/>
      </c>
      <c r="T185">
        <f>IF(SUMIFS(T_PlannedOrders[EffectiveQty],T_PlannedOrders[Part Name],$A179,T_PlannedOrders[WeekIndex],17)=0,"",SUMIFS(T_PlannedOrders[EffectiveQty],T_PlannedOrders[Part Name],$A179,T_PlannedOrders[WeekIndex],17)&amp;" ("&amp;TEXT(SUMPRODUCT(MAX((T_PlannedOrders[Part Name]=$A179)*(T_PlannedOrders[WeekIndex]=17)*(T_PlannedOrders[EffectiveQty]&gt;0)*T_PlannedOrders[Order_Month])),"m月")&amp;"発注)")</f>
        <v/>
      </c>
      <c r="U185">
        <f>IF(SUMIFS(T_PlannedOrders[EffectiveQty],T_PlannedOrders[Part Name],$A179,T_PlannedOrders[WeekIndex],18)=0,"",SUMIFS(T_PlannedOrders[EffectiveQty],T_PlannedOrders[Part Name],$A179,T_PlannedOrders[WeekIndex],18)&amp;" ("&amp;TEXT(SUMPRODUCT(MAX((T_PlannedOrders[Part Name]=$A179)*(T_PlannedOrders[WeekIndex]=18)*(T_PlannedOrders[EffectiveQty]&gt;0)*T_PlannedOrders[Order_Month])),"m月")&amp;"発注)")</f>
        <v/>
      </c>
      <c r="V185">
        <f>IF(SUMIFS(T_PlannedOrders[EffectiveQty],T_PlannedOrders[Part Name],$A179,T_PlannedOrders[WeekIndex],19)=0,"",SUMIFS(T_PlannedOrders[EffectiveQty],T_PlannedOrders[Part Name],$A179,T_PlannedOrders[WeekIndex],19)&amp;" ("&amp;TEXT(SUMPRODUCT(MAX((T_PlannedOrders[Part Name]=$A179)*(T_PlannedOrders[WeekIndex]=19)*(T_PlannedOrders[EffectiveQty]&gt;0)*T_PlannedOrders[Order_Month])),"m月")&amp;"発注)")</f>
        <v/>
      </c>
      <c r="W185">
        <f>IF(SUMIFS(T_PlannedOrders[EffectiveQty],T_PlannedOrders[Part Name],$A179,T_PlannedOrders[WeekIndex],20)=0,"",SUMIFS(T_PlannedOrders[EffectiveQty],T_PlannedOrders[Part Name],$A179,T_PlannedOrders[WeekIndex],20)&amp;" ("&amp;TEXT(SUMPRODUCT(MAX((T_PlannedOrders[Part Name]=$A179)*(T_PlannedOrders[WeekIndex]=20)*(T_PlannedOrders[EffectiveQty]&gt;0)*T_PlannedOrders[Order_Month])),"m月")&amp;"発注)")</f>
        <v/>
      </c>
      <c r="X185">
        <f>IF(SUMIFS(T_PlannedOrders[EffectiveQty],T_PlannedOrders[Part Name],$A179,T_PlannedOrders[WeekIndex],21)=0,"",SUMIFS(T_PlannedOrders[EffectiveQty],T_PlannedOrders[Part Name],$A179,T_PlannedOrders[WeekIndex],21)&amp;" ("&amp;TEXT(SUMPRODUCT(MAX((T_PlannedOrders[Part Name]=$A179)*(T_PlannedOrders[WeekIndex]=21)*(T_PlannedOrders[EffectiveQty]&gt;0)*T_PlannedOrders[Order_Month])),"m月")&amp;"発注)")</f>
        <v/>
      </c>
      <c r="Y185">
        <f>IF(SUMIFS(T_PlannedOrders[EffectiveQty],T_PlannedOrders[Part Name],$A179,T_PlannedOrders[WeekIndex],22)=0,"",SUMIFS(T_PlannedOrders[EffectiveQty],T_PlannedOrders[Part Name],$A179,T_PlannedOrders[WeekIndex],22)&amp;" ("&amp;TEXT(SUMPRODUCT(MAX((T_PlannedOrders[Part Name]=$A179)*(T_PlannedOrders[WeekIndex]=22)*(T_PlannedOrders[EffectiveQty]&gt;0)*T_PlannedOrders[Order_Month])),"m月")&amp;"発注)")</f>
        <v/>
      </c>
      <c r="Z185">
        <f>IF(SUMIFS(T_PlannedOrders[EffectiveQty],T_PlannedOrders[Part Name],$A179,T_PlannedOrders[WeekIndex],23)=0,"",SUMIFS(T_PlannedOrders[EffectiveQty],T_PlannedOrders[Part Name],$A179,T_PlannedOrders[WeekIndex],23)&amp;" ("&amp;TEXT(SUMPRODUCT(MAX((T_PlannedOrders[Part Name]=$A179)*(T_PlannedOrders[WeekIndex]=23)*(T_PlannedOrders[EffectiveQty]&gt;0)*T_PlannedOrders[Order_Month])),"m月")&amp;"発注)")</f>
        <v/>
      </c>
      <c r="AA185">
        <f>IF(SUMIFS(T_PlannedOrders[EffectiveQty],T_PlannedOrders[Part Name],$A179,T_PlannedOrders[WeekIndex],24)=0,"",SUMIFS(T_PlannedOrders[EffectiveQty],T_PlannedOrders[Part Name],$A179,T_PlannedOrders[WeekIndex],24)&amp;" ("&amp;TEXT(SUMPRODUCT(MAX((T_PlannedOrders[Part Name]=$A179)*(T_PlannedOrders[WeekIndex]=24)*(T_PlannedOrders[EffectiveQty]&gt;0)*T_PlannedOrders[Order_Month])),"m月")&amp;"発注)")</f>
        <v/>
      </c>
      <c r="AB185">
        <f>IF(SUMIFS(T_PlannedOrders[EffectiveQty],T_PlannedOrders[Part Name],$A179,T_PlannedOrders[WeekIndex],25)=0,"",SUMIFS(T_PlannedOrders[EffectiveQty],T_PlannedOrders[Part Name],$A179,T_PlannedOrders[WeekIndex],25)&amp;" ("&amp;TEXT(SUMPRODUCT(MAX((T_PlannedOrders[Part Name]=$A179)*(T_PlannedOrders[WeekIndex]=25)*(T_PlannedOrders[EffectiveQty]&gt;0)*T_PlannedOrders[Order_Month])),"m月")&amp;"発注)")</f>
        <v/>
      </c>
      <c r="AC185">
        <f>IF(SUMIFS(T_PlannedOrders[EffectiveQty],T_PlannedOrders[Part Name],$A179,T_PlannedOrders[WeekIndex],26)=0,"",SUMIFS(T_PlannedOrders[EffectiveQty],T_PlannedOrders[Part Name],$A179,T_PlannedOrders[WeekIndex],26)&amp;" ("&amp;TEXT(SUMPRODUCT(MAX((T_PlannedOrders[Part Name]=$A179)*(T_PlannedOrders[WeekIndex]=26)*(T_PlannedOrders[EffectiveQty]&gt;0)*T_PlannedOrders[Order_Month])),"m月")&amp;"発注)")</f>
        <v/>
      </c>
      <c r="AD185">
        <f>IF(SUMIFS(T_PlannedOrders[EffectiveQty],T_PlannedOrders[Part Name],$A179,T_PlannedOrders[WeekIndex],27)=0,"",SUMIFS(T_PlannedOrders[EffectiveQty],T_PlannedOrders[Part Name],$A179,T_PlannedOrders[WeekIndex],27)&amp;" ("&amp;TEXT(SUMPRODUCT(MAX((T_PlannedOrders[Part Name]=$A179)*(T_PlannedOrders[WeekIndex]=27)*(T_PlannedOrders[EffectiveQty]&gt;0)*T_PlannedOrders[Order_Month])),"m月")&amp;"発注)")</f>
        <v/>
      </c>
      <c r="AE185">
        <f>IF(SUMIFS(T_PlannedOrders[EffectiveQty],T_PlannedOrders[Part Name],$A179,T_PlannedOrders[WeekIndex],28)=0,"",SUMIFS(T_PlannedOrders[EffectiveQty],T_PlannedOrders[Part Name],$A179,T_PlannedOrders[WeekIndex],28)&amp;" ("&amp;TEXT(SUMPRODUCT(MAX((T_PlannedOrders[Part Name]=$A179)*(T_PlannedOrders[WeekIndex]=28)*(T_PlannedOrders[EffectiveQty]&gt;0)*T_PlannedOrders[Order_Month])),"m月")&amp;"発注)")</f>
        <v/>
      </c>
      <c r="AF185">
        <f>IF(SUMIFS(T_PlannedOrders[EffectiveQty],T_PlannedOrders[Part Name],$A179,T_PlannedOrders[WeekIndex],29)=0,"",SUMIFS(T_PlannedOrders[EffectiveQty],T_PlannedOrders[Part Name],$A179,T_PlannedOrders[WeekIndex],29)&amp;" ("&amp;TEXT(SUMPRODUCT(MAX((T_PlannedOrders[Part Name]=$A179)*(T_PlannedOrders[WeekIndex]=29)*(T_PlannedOrders[EffectiveQty]&gt;0)*T_PlannedOrders[Order_Month])),"m月")&amp;"発注)")</f>
        <v/>
      </c>
      <c r="AG185">
        <f>IF(SUMIFS(T_PlannedOrders[EffectiveQty],T_PlannedOrders[Part Name],$A179,T_PlannedOrders[WeekIndex],30)=0,"",SUMIFS(T_PlannedOrders[EffectiveQty],T_PlannedOrders[Part Name],$A179,T_PlannedOrders[WeekIndex],30)&amp;" ("&amp;TEXT(SUMPRODUCT(MAX((T_PlannedOrders[Part Name]=$A179)*(T_PlannedOrders[WeekIndex]=30)*(T_PlannedOrders[EffectiveQty]&gt;0)*T_PlannedOrders[Order_Month])),"m月")&amp;"発注)")</f>
        <v/>
      </c>
      <c r="AH185">
        <f>IF(SUMIFS(T_PlannedOrders[EffectiveQty],T_PlannedOrders[Part Name],$A179,T_PlannedOrders[WeekIndex],31)=0,"",SUMIFS(T_PlannedOrders[EffectiveQty],T_PlannedOrders[Part Name],$A179,T_PlannedOrders[WeekIndex],31)&amp;" ("&amp;TEXT(SUMPRODUCT(MAX((T_PlannedOrders[Part Name]=$A179)*(T_PlannedOrders[WeekIndex]=31)*(T_PlannedOrders[EffectiveQty]&gt;0)*T_PlannedOrders[Order_Month])),"m月")&amp;"発注)")</f>
        <v/>
      </c>
      <c r="AI185">
        <f>IF(SUMIFS(T_PlannedOrders[EffectiveQty],T_PlannedOrders[Part Name],$A179,T_PlannedOrders[WeekIndex],32)=0,"",SUMIFS(T_PlannedOrders[EffectiveQty],T_PlannedOrders[Part Name],$A179,T_PlannedOrders[WeekIndex],32)&amp;" ("&amp;TEXT(SUMPRODUCT(MAX((T_PlannedOrders[Part Name]=$A179)*(T_PlannedOrders[WeekIndex]=32)*(T_PlannedOrders[EffectiveQty]&gt;0)*T_PlannedOrders[Order_Month])),"m月")&amp;"発注)")</f>
        <v/>
      </c>
      <c r="AJ185">
        <f>IF(SUMIFS(T_PlannedOrders[EffectiveQty],T_PlannedOrders[Part Name],$A179,T_PlannedOrders[WeekIndex],33)=0,"",SUMIFS(T_PlannedOrders[EffectiveQty],T_PlannedOrders[Part Name],$A179,T_PlannedOrders[WeekIndex],33)&amp;" ("&amp;TEXT(SUMPRODUCT(MAX((T_PlannedOrders[Part Name]=$A179)*(T_PlannedOrders[WeekIndex]=33)*(T_PlannedOrders[EffectiveQty]&gt;0)*T_PlannedOrders[Order_Month])),"m月")&amp;"発注)")</f>
        <v/>
      </c>
      <c r="AK185">
        <f>IF(SUMIFS(T_PlannedOrders[EffectiveQty],T_PlannedOrders[Part Name],$A179,T_PlannedOrders[WeekIndex],34)=0,"",SUMIFS(T_PlannedOrders[EffectiveQty],T_PlannedOrders[Part Name],$A179,T_PlannedOrders[WeekIndex],34)&amp;" ("&amp;TEXT(SUMPRODUCT(MAX((T_PlannedOrders[Part Name]=$A179)*(T_PlannedOrders[WeekIndex]=34)*(T_PlannedOrders[EffectiveQty]&gt;0)*T_PlannedOrders[Order_Month])),"m月")&amp;"発注)")</f>
        <v/>
      </c>
      <c r="AL185">
        <f>IF(SUMIFS(T_PlannedOrders[EffectiveQty],T_PlannedOrders[Part Name],$A179,T_PlannedOrders[WeekIndex],35)=0,"",SUMIFS(T_PlannedOrders[EffectiveQty],T_PlannedOrders[Part Name],$A179,T_PlannedOrders[WeekIndex],35)&amp;" ("&amp;TEXT(SUMPRODUCT(MAX((T_PlannedOrders[Part Name]=$A179)*(T_PlannedOrders[WeekIndex]=35)*(T_PlannedOrders[EffectiveQty]&gt;0)*T_PlannedOrders[Order_Month])),"m月")&amp;"発注)")</f>
        <v/>
      </c>
      <c r="AM185">
        <f>IF(SUMIFS(T_PlannedOrders[EffectiveQty],T_PlannedOrders[Part Name],$A179,T_PlannedOrders[WeekIndex],36)=0,"",SUMIFS(T_PlannedOrders[EffectiveQty],T_PlannedOrders[Part Name],$A179,T_PlannedOrders[WeekIndex],36)&amp;" ("&amp;TEXT(SUMPRODUCT(MAX((T_PlannedOrders[Part Name]=$A179)*(T_PlannedOrders[WeekIndex]=36)*(T_PlannedOrders[EffectiveQty]&gt;0)*T_PlannedOrders[Order_Month])),"m月")&amp;"発注)")</f>
        <v/>
      </c>
      <c r="AN185">
        <f>IF(SUMIFS(T_PlannedOrders[EffectiveQty],T_PlannedOrders[Part Name],$A179,T_PlannedOrders[WeekIndex],37)=0,"",SUMIFS(T_PlannedOrders[EffectiveQty],T_PlannedOrders[Part Name],$A179,T_PlannedOrders[WeekIndex],37)&amp;" ("&amp;TEXT(SUMPRODUCT(MAX((T_PlannedOrders[Part Name]=$A179)*(T_PlannedOrders[WeekIndex]=37)*(T_PlannedOrders[EffectiveQty]&gt;0)*T_PlannedOrders[Order_Month])),"m月")&amp;"発注)")</f>
        <v/>
      </c>
      <c r="AO185">
        <f>IF(SUMIFS(T_PlannedOrders[EffectiveQty],T_PlannedOrders[Part Name],$A179,T_PlannedOrders[WeekIndex],38)=0,"",SUMIFS(T_PlannedOrders[EffectiveQty],T_PlannedOrders[Part Name],$A179,T_PlannedOrders[WeekIndex],38)&amp;" ("&amp;TEXT(SUMPRODUCT(MAX((T_PlannedOrders[Part Name]=$A179)*(T_PlannedOrders[WeekIndex]=38)*(T_PlannedOrders[EffectiveQty]&gt;0)*T_PlannedOrders[Order_Month])),"m月")&amp;"発注)")</f>
        <v/>
      </c>
      <c r="AP185">
        <f>IF(SUMIFS(T_PlannedOrders[EffectiveQty],T_PlannedOrders[Part Name],$A179,T_PlannedOrders[WeekIndex],39)=0,"",SUMIFS(T_PlannedOrders[EffectiveQty],T_PlannedOrders[Part Name],$A179,T_PlannedOrders[WeekIndex],39)&amp;" ("&amp;TEXT(SUMPRODUCT(MAX((T_PlannedOrders[Part Name]=$A179)*(T_PlannedOrders[WeekIndex]=39)*(T_PlannedOrders[EffectiveQty]&gt;0)*T_PlannedOrders[Order_Month])),"m月")&amp;"発注)")</f>
        <v/>
      </c>
      <c r="AQ185">
        <f>IF(SUMIFS(T_PlannedOrders[EffectiveQty],T_PlannedOrders[Part Name],$A179,T_PlannedOrders[WeekIndex],40)=0,"",SUMIFS(T_PlannedOrders[EffectiveQty],T_PlannedOrders[Part Name],$A179,T_PlannedOrders[WeekIndex],40)&amp;" ("&amp;TEXT(SUMPRODUCT(MAX((T_PlannedOrders[Part Name]=$A179)*(T_PlannedOrders[WeekIndex]=40)*(T_PlannedOrders[EffectiveQty]&gt;0)*T_PlannedOrders[Order_Month])),"m月")&amp;"発注)")</f>
        <v/>
      </c>
      <c r="AR185">
        <f>IF(SUMIFS(T_PlannedOrders[EffectiveQty],T_PlannedOrders[Part Name],$A179,T_PlannedOrders[WeekIndex],41)=0,"",SUMIFS(T_PlannedOrders[EffectiveQty],T_PlannedOrders[Part Name],$A179,T_PlannedOrders[WeekIndex],41)&amp;" ("&amp;TEXT(SUMPRODUCT(MAX((T_PlannedOrders[Part Name]=$A179)*(T_PlannedOrders[WeekIndex]=41)*(T_PlannedOrders[EffectiveQty]&gt;0)*T_PlannedOrders[Order_Month])),"m月")&amp;"発注)")</f>
        <v/>
      </c>
      <c r="AS185">
        <f>IF(SUMIFS(T_PlannedOrders[EffectiveQty],T_PlannedOrders[Part Name],$A179,T_PlannedOrders[WeekIndex],42)=0,"",SUMIFS(T_PlannedOrders[EffectiveQty],T_PlannedOrders[Part Name],$A179,T_PlannedOrders[WeekIndex],42)&amp;" ("&amp;TEXT(SUMPRODUCT(MAX((T_PlannedOrders[Part Name]=$A179)*(T_PlannedOrders[WeekIndex]=42)*(T_PlannedOrders[EffectiveQty]&gt;0)*T_PlannedOrders[Order_Month])),"m月")&amp;"発注)")</f>
        <v/>
      </c>
      <c r="AT185">
        <f>IF(SUMIFS(T_PlannedOrders[EffectiveQty],T_PlannedOrders[Part Name],$A179,T_PlannedOrders[WeekIndex],43)=0,"",SUMIFS(T_PlannedOrders[EffectiveQty],T_PlannedOrders[Part Name],$A179,T_PlannedOrders[WeekIndex],43)&amp;" ("&amp;TEXT(SUMPRODUCT(MAX((T_PlannedOrders[Part Name]=$A179)*(T_PlannedOrders[WeekIndex]=43)*(T_PlannedOrders[EffectiveQty]&gt;0)*T_PlannedOrders[Order_Month])),"m月")&amp;"発注)")</f>
        <v/>
      </c>
      <c r="AU185">
        <f>IF(SUMIFS(T_PlannedOrders[EffectiveQty],T_PlannedOrders[Part Name],$A179,T_PlannedOrders[WeekIndex],44)=0,"",SUMIFS(T_PlannedOrders[EffectiveQty],T_PlannedOrders[Part Name],$A179,T_PlannedOrders[WeekIndex],44)&amp;" ("&amp;TEXT(SUMPRODUCT(MAX((T_PlannedOrders[Part Name]=$A179)*(T_PlannedOrders[WeekIndex]=44)*(T_PlannedOrders[EffectiveQty]&gt;0)*T_PlannedOrders[Order_Month])),"m月")&amp;"発注)")</f>
        <v/>
      </c>
      <c r="AV185">
        <f>IF(SUMIFS(T_PlannedOrders[EffectiveQty],T_PlannedOrders[Part Name],$A179,T_PlannedOrders[WeekIndex],45)=0,"",SUMIFS(T_PlannedOrders[EffectiveQty],T_PlannedOrders[Part Name],$A179,T_PlannedOrders[WeekIndex],45)&amp;" ("&amp;TEXT(SUMPRODUCT(MAX((T_PlannedOrders[Part Name]=$A179)*(T_PlannedOrders[WeekIndex]=45)*(T_PlannedOrders[EffectiveQty]&gt;0)*T_PlannedOrders[Order_Month])),"m月")&amp;"発注)")</f>
        <v/>
      </c>
      <c r="AW185">
        <f>IF(SUMIFS(T_PlannedOrders[EffectiveQty],T_PlannedOrders[Part Name],$A179,T_PlannedOrders[WeekIndex],46)=0,"",SUMIFS(T_PlannedOrders[EffectiveQty],T_PlannedOrders[Part Name],$A179,T_PlannedOrders[WeekIndex],46)&amp;" ("&amp;TEXT(SUMPRODUCT(MAX((T_PlannedOrders[Part Name]=$A179)*(T_PlannedOrders[WeekIndex]=46)*(T_PlannedOrders[EffectiveQty]&gt;0)*T_PlannedOrders[Order_Month])),"m月")&amp;"発注)")</f>
        <v/>
      </c>
      <c r="AX185">
        <f>IF(SUMIFS(T_PlannedOrders[EffectiveQty],T_PlannedOrders[Part Name],$A179,T_PlannedOrders[WeekIndex],47)=0,"",SUMIFS(T_PlannedOrders[EffectiveQty],T_PlannedOrders[Part Name],$A179,T_PlannedOrders[WeekIndex],47)&amp;" ("&amp;TEXT(SUMPRODUCT(MAX((T_PlannedOrders[Part Name]=$A179)*(T_PlannedOrders[WeekIndex]=47)*(T_PlannedOrders[EffectiveQty]&gt;0)*T_PlannedOrders[Order_Month])),"m月")&amp;"発注)")</f>
        <v/>
      </c>
      <c r="AY185">
        <f>IF(SUMIFS(T_PlannedOrders[EffectiveQty],T_PlannedOrders[Part Name],$A179,T_PlannedOrders[WeekIndex],48)=0,"",SUMIFS(T_PlannedOrders[EffectiveQty],T_PlannedOrders[Part Name],$A179,T_PlannedOrders[WeekIndex],48)&amp;" ("&amp;TEXT(SUMPRODUCT(MAX((T_PlannedOrders[Part Name]=$A179)*(T_PlannedOrders[WeekIndex]=48)*(T_PlannedOrders[EffectiveQty]&gt;0)*T_PlannedOrders[Order_Month])),"m月")&amp;"発注)")</f>
        <v/>
      </c>
      <c r="AZ185">
        <f>IF(SUMIFS(T_PlannedOrders[EffectiveQty],T_PlannedOrders[Part Name],$A179,T_PlannedOrders[WeekIndex],49)=0,"",SUMIFS(T_PlannedOrders[EffectiveQty],T_PlannedOrders[Part Name],$A179,T_PlannedOrders[WeekIndex],49)&amp;" ("&amp;TEXT(SUMPRODUCT(MAX((T_PlannedOrders[Part Name]=$A179)*(T_PlannedOrders[WeekIndex]=49)*(T_PlannedOrders[EffectiveQty]&gt;0)*T_PlannedOrders[Order_Month])),"m月")&amp;"発注)")</f>
        <v/>
      </c>
      <c r="BA185">
        <f>IF(SUMIFS(T_PlannedOrders[EffectiveQty],T_PlannedOrders[Part Name],$A179,T_PlannedOrders[WeekIndex],50)=0,"",SUMIFS(T_PlannedOrders[EffectiveQty],T_PlannedOrders[Part Name],$A179,T_PlannedOrders[WeekIndex],50)&amp;" ("&amp;TEXT(SUMPRODUCT(MAX((T_PlannedOrders[Part Name]=$A179)*(T_PlannedOrders[WeekIndex]=50)*(T_PlannedOrders[EffectiveQty]&gt;0)*T_PlannedOrders[Order_Month])),"m月")&amp;"発注)")</f>
        <v/>
      </c>
      <c r="BB185">
        <f>IF(SUMIFS(T_PlannedOrders[EffectiveQty],T_PlannedOrders[Part Name],$A179,T_PlannedOrders[WeekIndex],51)=0,"",SUMIFS(T_PlannedOrders[EffectiveQty],T_PlannedOrders[Part Name],$A179,T_PlannedOrders[WeekIndex],51)&amp;" ("&amp;TEXT(SUMPRODUCT(MAX((T_PlannedOrders[Part Name]=$A179)*(T_PlannedOrders[WeekIndex]=51)*(T_PlannedOrders[EffectiveQty]&gt;0)*T_PlannedOrders[Order_Month])),"m月")&amp;"発注)")</f>
        <v/>
      </c>
      <c r="BC185">
        <f>IF(SUMIFS(T_PlannedOrders[EffectiveQty],T_PlannedOrders[Part Name],$A179,T_PlannedOrders[WeekIndex],52)=0,"",SUMIFS(T_PlannedOrders[EffectiveQty],T_PlannedOrders[Part Name],$A179,T_PlannedOrders[WeekIndex],52)&amp;" ("&amp;TEXT(SUMPRODUCT(MAX((T_PlannedOrders[Part Name]=$A179)*(T_PlannedOrders[WeekIndex]=52)*(T_PlannedOrders[EffectiveQty]&gt;0)*T_PlannedOrders[Order_Month])),"m月")&amp;"発注)")</f>
        <v/>
      </c>
      <c r="BD185">
        <f>IF(SUMIFS(T_PlannedOrders[EffectiveQty],T_PlannedOrders[Part Name],$A179,T_PlannedOrders[WeekIndex],53)=0,"",SUMIFS(T_PlannedOrders[EffectiveQty],T_PlannedOrders[Part Name],$A179,T_PlannedOrders[WeekIndex],53)&amp;" ("&amp;TEXT(SUMPRODUCT(MAX((T_PlannedOrders[Part Name]=$A179)*(T_PlannedOrders[WeekIndex]=53)*(T_PlannedOrders[EffectiveQty]&gt;0)*T_PlannedOrders[Order_Month])),"m月")&amp;"発注)")</f>
        <v/>
      </c>
      <c r="BE185">
        <f>IF(SUMIFS(T_PlannedOrders[EffectiveQty],T_PlannedOrders[Part Name],$A179,T_PlannedOrders[WeekIndex],54)=0,"",SUMIFS(T_PlannedOrders[EffectiveQty],T_PlannedOrders[Part Name],$A179,T_PlannedOrders[WeekIndex],54)&amp;" ("&amp;TEXT(SUMPRODUCT(MAX((T_PlannedOrders[Part Name]=$A179)*(T_PlannedOrders[WeekIndex]=54)*(T_PlannedOrders[EffectiveQty]&gt;0)*T_PlannedOrders[Order_Month])),"m月")&amp;"発注)")</f>
        <v/>
      </c>
      <c r="BF185">
        <f>IF(SUMIFS(T_PlannedOrders[EffectiveQty],T_PlannedOrders[Part Name],$A179,T_PlannedOrders[WeekIndex],55)=0,"",SUMIFS(T_PlannedOrders[EffectiveQty],T_PlannedOrders[Part Name],$A179,T_PlannedOrders[WeekIndex],55)&amp;" ("&amp;TEXT(SUMPRODUCT(MAX((T_PlannedOrders[Part Name]=$A179)*(T_PlannedOrders[WeekIndex]=55)*(T_PlannedOrders[EffectiveQty]&gt;0)*T_PlannedOrders[Order_Month])),"m月")&amp;"発注)")</f>
        <v/>
      </c>
      <c r="BG185">
        <f>IF(SUMIFS(T_PlannedOrders[EffectiveQty],T_PlannedOrders[Part Name],$A179,T_PlannedOrders[WeekIndex],56)=0,"",SUMIFS(T_PlannedOrders[EffectiveQty],T_PlannedOrders[Part Name],$A179,T_PlannedOrders[WeekIndex],56)&amp;" ("&amp;TEXT(SUMPRODUCT(MAX((T_PlannedOrders[Part Name]=$A179)*(T_PlannedOrders[WeekIndex]=56)*(T_PlannedOrders[EffectiveQty]&gt;0)*T_PlannedOrders[Order_Month])),"m月")&amp;"発注)")</f>
        <v/>
      </c>
      <c r="BH185">
        <f>IF(SUMIFS(T_PlannedOrders[EffectiveQty],T_PlannedOrders[Part Name],$A179,T_PlannedOrders[WeekIndex],57)=0,"",SUMIFS(T_PlannedOrders[EffectiveQty],T_PlannedOrders[Part Name],$A179,T_PlannedOrders[WeekIndex],57)&amp;" ("&amp;TEXT(SUMPRODUCT(MAX((T_PlannedOrders[Part Name]=$A179)*(T_PlannedOrders[WeekIndex]=57)*(T_PlannedOrders[EffectiveQty]&gt;0)*T_PlannedOrders[Order_Month])),"m月")&amp;"発注)")</f>
        <v/>
      </c>
      <c r="BI185">
        <f>IF(SUMIFS(T_PlannedOrders[EffectiveQty],T_PlannedOrders[Part Name],$A179,T_PlannedOrders[WeekIndex],58)=0,"",SUMIFS(T_PlannedOrders[EffectiveQty],T_PlannedOrders[Part Name],$A179,T_PlannedOrders[WeekIndex],58)&amp;" ("&amp;TEXT(SUMPRODUCT(MAX((T_PlannedOrders[Part Name]=$A179)*(T_PlannedOrders[WeekIndex]=58)*(T_PlannedOrders[EffectiveQty]&gt;0)*T_PlannedOrders[Order_Month])),"m月")&amp;"発注)")</f>
        <v/>
      </c>
      <c r="BJ185">
        <f>IF(SUMIFS(T_PlannedOrders[EffectiveQty],T_PlannedOrders[Part Name],$A179,T_PlannedOrders[WeekIndex],59)=0,"",SUMIFS(T_PlannedOrders[EffectiveQty],T_PlannedOrders[Part Name],$A179,T_PlannedOrders[WeekIndex],59)&amp;" ("&amp;TEXT(SUMPRODUCT(MAX((T_PlannedOrders[Part Name]=$A179)*(T_PlannedOrders[WeekIndex]=59)*(T_PlannedOrders[EffectiveQty]&gt;0)*T_PlannedOrders[Order_Month])),"m月")&amp;"発注)")</f>
        <v/>
      </c>
      <c r="BK185">
        <f>IF(SUMIFS(T_PlannedOrders[EffectiveQty],T_PlannedOrders[Part Name],$A179,T_PlannedOrders[WeekIndex],60)=0,"",SUMIFS(T_PlannedOrders[EffectiveQty],T_PlannedOrders[Part Name],$A179,T_PlannedOrders[WeekIndex],60)&amp;" ("&amp;TEXT(SUMPRODUCT(MAX((T_PlannedOrders[Part Name]=$A179)*(T_PlannedOrders[WeekIndex]=60)*(T_PlannedOrders[EffectiveQty]&gt;0)*T_PlannedOrders[Order_Month])),"m月")&amp;"発注)")</f>
        <v/>
      </c>
      <c r="BL185">
        <f>IF(SUMIFS(T_PlannedOrders[EffectiveQty],T_PlannedOrders[Part Name],$A179,T_PlannedOrders[WeekIndex],61)=0,"",SUMIFS(T_PlannedOrders[EffectiveQty],T_PlannedOrders[Part Name],$A179,T_PlannedOrders[WeekIndex],61)&amp;" ("&amp;TEXT(SUMPRODUCT(MAX((T_PlannedOrders[Part Name]=$A179)*(T_PlannedOrders[WeekIndex]=61)*(T_PlannedOrders[EffectiveQty]&gt;0)*T_PlannedOrders[Order_Month])),"m月")&amp;"発注)")</f>
        <v/>
      </c>
      <c r="BM185">
        <f>IF(SUMIFS(T_PlannedOrders[EffectiveQty],T_PlannedOrders[Part Name],$A179,T_PlannedOrders[WeekIndex],62)=0,"",SUMIFS(T_PlannedOrders[EffectiveQty],T_PlannedOrders[Part Name],$A179,T_PlannedOrders[WeekIndex],62)&amp;" ("&amp;TEXT(SUMPRODUCT(MAX((T_PlannedOrders[Part Name]=$A179)*(T_PlannedOrders[WeekIndex]=62)*(T_PlannedOrders[EffectiveQty]&gt;0)*T_PlannedOrders[Order_Month])),"m月")&amp;"発注)")</f>
        <v/>
      </c>
      <c r="BN185">
        <f>IF(SUMIFS(T_PlannedOrders[EffectiveQty],T_PlannedOrders[Part Name],$A179,T_PlannedOrders[WeekIndex],63)=0,"",SUMIFS(T_PlannedOrders[EffectiveQty],T_PlannedOrders[Part Name],$A179,T_PlannedOrders[WeekIndex],63)&amp;" ("&amp;TEXT(SUMPRODUCT(MAX((T_PlannedOrders[Part Name]=$A179)*(T_PlannedOrders[WeekIndex]=63)*(T_PlannedOrders[EffectiveQty]&gt;0)*T_PlannedOrders[Order_Month])),"m月")&amp;"発注)")</f>
        <v/>
      </c>
      <c r="BO185">
        <f>IF(SUMIFS(T_PlannedOrders[EffectiveQty],T_PlannedOrders[Part Name],$A179,T_PlannedOrders[WeekIndex],64)=0,"",SUMIFS(T_PlannedOrders[EffectiveQty],T_PlannedOrders[Part Name],$A179,T_PlannedOrders[WeekIndex],64)&amp;" ("&amp;TEXT(SUMPRODUCT(MAX((T_PlannedOrders[Part Name]=$A179)*(T_PlannedOrders[WeekIndex]=64)*(T_PlannedOrders[EffectiveQty]&gt;0)*T_PlannedOrders[Order_Month])),"m月")&amp;"発注)")</f>
        <v/>
      </c>
      <c r="BP185">
        <f>IF(SUMIFS(T_PlannedOrders[EffectiveQty],T_PlannedOrders[Part Name],$A179,T_PlannedOrders[WeekIndex],65)=0,"",SUMIFS(T_PlannedOrders[EffectiveQty],T_PlannedOrders[Part Name],$A179,T_PlannedOrders[WeekIndex],65)&amp;" ("&amp;TEXT(SUMPRODUCT(MAX((T_PlannedOrders[Part Name]=$A179)*(T_PlannedOrders[WeekIndex]=65)*(T_PlannedOrders[EffectiveQty]&gt;0)*T_PlannedOrders[Order_Month])),"m月")&amp;"発注)")</f>
        <v/>
      </c>
      <c r="BQ185">
        <f>IF(SUMIFS(T_PlannedOrders[EffectiveQty],T_PlannedOrders[Part Name],$A179,T_PlannedOrders[WeekIndex],66)=0,"",SUMIFS(T_PlannedOrders[EffectiveQty],T_PlannedOrders[Part Name],$A179,T_PlannedOrders[WeekIndex],66)&amp;" ("&amp;TEXT(SUMPRODUCT(MAX((T_PlannedOrders[Part Name]=$A179)*(T_PlannedOrders[WeekIndex]=66)*(T_PlannedOrders[EffectiveQty]&gt;0)*T_PlannedOrders[Order_Month])),"m月")&amp;"発注)")</f>
        <v/>
      </c>
      <c r="BR185">
        <f>IF(SUMIFS(T_PlannedOrders[EffectiveQty],T_PlannedOrders[Part Name],$A179,T_PlannedOrders[WeekIndex],67)=0,"",SUMIFS(T_PlannedOrders[EffectiveQty],T_PlannedOrders[Part Name],$A179,T_PlannedOrders[WeekIndex],67)&amp;" ("&amp;TEXT(SUMPRODUCT(MAX((T_PlannedOrders[Part Name]=$A179)*(T_PlannedOrders[WeekIndex]=67)*(T_PlannedOrders[EffectiveQty]&gt;0)*T_PlannedOrders[Order_Month])),"m月")&amp;"発注)")</f>
        <v/>
      </c>
      <c r="BS185">
        <f>IF(SUMIFS(T_PlannedOrders[EffectiveQty],T_PlannedOrders[Part Name],$A179,T_PlannedOrders[WeekIndex],68)=0,"",SUMIFS(T_PlannedOrders[EffectiveQty],T_PlannedOrders[Part Name],$A179,T_PlannedOrders[WeekIndex],68)&amp;" ("&amp;TEXT(SUMPRODUCT(MAX((T_PlannedOrders[Part Name]=$A179)*(T_PlannedOrders[WeekIndex]=68)*(T_PlannedOrders[EffectiveQty]&gt;0)*T_PlannedOrders[Order_Month])),"m月")&amp;"発注)")</f>
        <v/>
      </c>
      <c r="BT185">
        <f>IF(SUMIFS(T_PlannedOrders[EffectiveQty],T_PlannedOrders[Part Name],$A179,T_PlannedOrders[WeekIndex],69)=0,"",SUMIFS(T_PlannedOrders[EffectiveQty],T_PlannedOrders[Part Name],$A179,T_PlannedOrders[WeekIndex],69)&amp;" ("&amp;TEXT(SUMPRODUCT(MAX((T_PlannedOrders[Part Name]=$A179)*(T_PlannedOrders[WeekIndex]=69)*(T_PlannedOrders[EffectiveQty]&gt;0)*T_PlannedOrders[Order_Month])),"m月")&amp;"発注)")</f>
        <v/>
      </c>
      <c r="BU185">
        <f>IF(SUMIFS(T_PlannedOrders[EffectiveQty],T_PlannedOrders[Part Name],$A179,T_PlannedOrders[WeekIndex],70)=0,"",SUMIFS(T_PlannedOrders[EffectiveQty],T_PlannedOrders[Part Name],$A179,T_PlannedOrders[WeekIndex],70)&amp;" ("&amp;TEXT(SUMPRODUCT(MAX((T_PlannedOrders[Part Name]=$A179)*(T_PlannedOrders[WeekIndex]=70)*(T_PlannedOrders[EffectiveQty]&gt;0)*T_PlannedOrders[Order_Month])),"m月")&amp;"発注)")</f>
        <v/>
      </c>
      <c r="BV185">
        <f>IF(SUMIFS(T_PlannedOrders[EffectiveQty],T_PlannedOrders[Part Name],$A179,T_PlannedOrders[WeekIndex],71)=0,"",SUMIFS(T_PlannedOrders[EffectiveQty],T_PlannedOrders[Part Name],$A179,T_PlannedOrders[WeekIndex],71)&amp;" ("&amp;TEXT(SUMPRODUCT(MAX((T_PlannedOrders[Part Name]=$A179)*(T_PlannedOrders[WeekIndex]=71)*(T_PlannedOrders[EffectiveQty]&gt;0)*T_PlannedOrders[Order_Month])),"m月")&amp;"発注)")</f>
        <v/>
      </c>
      <c r="BW185">
        <f>IF(SUMIFS(T_PlannedOrders[EffectiveQty],T_PlannedOrders[Part Name],$A179,T_PlannedOrders[WeekIndex],72)=0,"",SUMIFS(T_PlannedOrders[EffectiveQty],T_PlannedOrders[Part Name],$A179,T_PlannedOrders[WeekIndex],72)&amp;" ("&amp;TEXT(SUMPRODUCT(MAX((T_PlannedOrders[Part Name]=$A179)*(T_PlannedOrders[WeekIndex]=72)*(T_PlannedOrders[EffectiveQty]&gt;0)*T_PlannedOrders[Order_Month])),"m月")&amp;"発注)")</f>
        <v/>
      </c>
      <c r="BX185">
        <f>IF(SUMIFS(T_PlannedOrders[EffectiveQty],T_PlannedOrders[Part Name],$A179,T_PlannedOrders[WeekIndex],73)=0,"",SUMIFS(T_PlannedOrders[EffectiveQty],T_PlannedOrders[Part Name],$A179,T_PlannedOrders[WeekIndex],73)&amp;" ("&amp;TEXT(SUMPRODUCT(MAX((T_PlannedOrders[Part Name]=$A179)*(T_PlannedOrders[WeekIndex]=73)*(T_PlannedOrders[EffectiveQty]&gt;0)*T_PlannedOrders[Order_Month])),"m月")&amp;"発注)")</f>
        <v/>
      </c>
      <c r="BY185">
        <f>IF(SUMIFS(T_PlannedOrders[EffectiveQty],T_PlannedOrders[Part Name],$A179,T_PlannedOrders[WeekIndex],74)=0,"",SUMIFS(T_PlannedOrders[EffectiveQty],T_PlannedOrders[Part Name],$A179,T_PlannedOrders[WeekIndex],74)&amp;" ("&amp;TEXT(SUMPRODUCT(MAX((T_PlannedOrders[Part Name]=$A179)*(T_PlannedOrders[WeekIndex]=74)*(T_PlannedOrders[EffectiveQty]&gt;0)*T_PlannedOrders[Order_Month])),"m月")&amp;"発注)")</f>
        <v/>
      </c>
      <c r="BZ185">
        <f>IF(SUMIFS(T_PlannedOrders[EffectiveQty],T_PlannedOrders[Part Name],$A179,T_PlannedOrders[WeekIndex],75)=0,"",SUMIFS(T_PlannedOrders[EffectiveQty],T_PlannedOrders[Part Name],$A179,T_PlannedOrders[WeekIndex],75)&amp;" ("&amp;TEXT(SUMPRODUCT(MAX((T_PlannedOrders[Part Name]=$A179)*(T_PlannedOrders[WeekIndex]=75)*(T_PlannedOrders[EffectiveQty]&gt;0)*T_PlannedOrders[Order_Month])),"m月")&amp;"発注)")</f>
        <v/>
      </c>
      <c r="CA185">
        <f>IF(SUMIFS(T_PlannedOrders[EffectiveQty],T_PlannedOrders[Part Name],$A179,T_PlannedOrders[WeekIndex],76)=0,"",SUMIFS(T_PlannedOrders[EffectiveQty],T_PlannedOrders[Part Name],$A179,T_PlannedOrders[WeekIndex],76)&amp;" ("&amp;TEXT(SUMPRODUCT(MAX((T_PlannedOrders[Part Name]=$A179)*(T_PlannedOrders[WeekIndex]=76)*(T_PlannedOrders[EffectiveQty]&gt;0)*T_PlannedOrders[Order_Month])),"m月")&amp;"発注)")</f>
        <v/>
      </c>
      <c r="CB185">
        <f>IF(SUMIFS(T_PlannedOrders[EffectiveQty],T_PlannedOrders[Part Name],$A179,T_PlannedOrders[WeekIndex],77)=0,"",SUMIFS(T_PlannedOrders[EffectiveQty],T_PlannedOrders[Part Name],$A179,T_PlannedOrders[WeekIndex],77)&amp;" ("&amp;TEXT(SUMPRODUCT(MAX((T_PlannedOrders[Part Name]=$A179)*(T_PlannedOrders[WeekIndex]=77)*(T_PlannedOrders[EffectiveQty]&gt;0)*T_PlannedOrders[Order_Month])),"m月")&amp;"発注)")</f>
        <v/>
      </c>
      <c r="CC185">
        <f>IF(SUMIFS(T_PlannedOrders[EffectiveQty],T_PlannedOrders[Part Name],$A179,T_PlannedOrders[WeekIndex],78)=0,"",SUMIFS(T_PlannedOrders[EffectiveQty],T_PlannedOrders[Part Name],$A179,T_PlannedOrders[WeekIndex],78)&amp;" ("&amp;TEXT(SUMPRODUCT(MAX((T_PlannedOrders[Part Name]=$A179)*(T_PlannedOrders[WeekIndex]=78)*(T_PlannedOrders[EffectiveQty]&gt;0)*T_PlannedOrders[Order_Month])),"m月")&amp;"発注)")</f>
        <v/>
      </c>
      <c r="CD185">
        <f>IF(SUMIFS(T_PlannedOrders[EffectiveQty],T_PlannedOrders[Part Name],$A179,T_PlannedOrders[WeekIndex],79)=0,"",SUMIFS(T_PlannedOrders[EffectiveQty],T_PlannedOrders[Part Name],$A179,T_PlannedOrders[WeekIndex],79)&amp;" ("&amp;TEXT(SUMPRODUCT(MAX((T_PlannedOrders[Part Name]=$A179)*(T_PlannedOrders[WeekIndex]=79)*(T_PlannedOrders[EffectiveQty]&gt;0)*T_PlannedOrders[Order_Month])),"m月")&amp;"発注)")</f>
        <v/>
      </c>
      <c r="CE185">
        <f>IF(SUMIFS(T_PlannedOrders[EffectiveQty],T_PlannedOrders[Part Name],$A179,T_PlannedOrders[WeekIndex],80)=0,"",SUMIFS(T_PlannedOrders[EffectiveQty],T_PlannedOrders[Part Name],$A179,T_PlannedOrders[WeekIndex],80)&amp;" ("&amp;TEXT(SUMPRODUCT(MAX((T_PlannedOrders[Part Name]=$A179)*(T_PlannedOrders[WeekIndex]=80)*(T_PlannedOrders[EffectiveQty]&gt;0)*T_PlannedOrders[Order_Month])),"m月")&amp;"発注)")</f>
        <v/>
      </c>
      <c r="CF185">
        <f>IF(SUMIFS(T_PlannedOrders[EffectiveQty],T_PlannedOrders[Part Name],$A179,T_PlannedOrders[WeekIndex],81)=0,"",SUMIFS(T_PlannedOrders[EffectiveQty],T_PlannedOrders[Part Name],$A179,T_PlannedOrders[WeekIndex],81)&amp;" ("&amp;TEXT(SUMPRODUCT(MAX((T_PlannedOrders[Part Name]=$A179)*(T_PlannedOrders[WeekIndex]=81)*(T_PlannedOrders[EffectiveQty]&gt;0)*T_PlannedOrders[Order_Month])),"m月")&amp;"発注)")</f>
        <v/>
      </c>
      <c r="CG185">
        <f>IF(SUMIFS(T_PlannedOrders[EffectiveQty],T_PlannedOrders[Part Name],$A179,T_PlannedOrders[WeekIndex],82)=0,"",SUMIFS(T_PlannedOrders[EffectiveQty],T_PlannedOrders[Part Name],$A179,T_PlannedOrders[WeekIndex],82)&amp;" ("&amp;TEXT(SUMPRODUCT(MAX((T_PlannedOrders[Part Name]=$A179)*(T_PlannedOrders[WeekIndex]=82)*(T_PlannedOrders[EffectiveQty]&gt;0)*T_PlannedOrders[Order_Month])),"m月")&amp;"発注)")</f>
        <v/>
      </c>
      <c r="CH185">
        <f>IF(SUMIFS(T_PlannedOrders[EffectiveQty],T_PlannedOrders[Part Name],$A179,T_PlannedOrders[WeekIndex],83)=0,"",SUMIFS(T_PlannedOrders[EffectiveQty],T_PlannedOrders[Part Name],$A179,T_PlannedOrders[WeekIndex],83)&amp;" ("&amp;TEXT(SUMPRODUCT(MAX((T_PlannedOrders[Part Name]=$A179)*(T_PlannedOrders[WeekIndex]=83)*(T_PlannedOrders[EffectiveQty]&gt;0)*T_PlannedOrders[Order_Month])),"m月")&amp;"発注)")</f>
        <v/>
      </c>
      <c r="CI185">
        <f>IF(SUMIFS(T_PlannedOrders[EffectiveQty],T_PlannedOrders[Part Name],$A179,T_PlannedOrders[WeekIndex],84)=0,"",SUMIFS(T_PlannedOrders[EffectiveQty],T_PlannedOrders[Part Name],$A179,T_PlannedOrders[WeekIndex],84)&amp;" ("&amp;TEXT(SUMPRODUCT(MAX((T_PlannedOrders[Part Name]=$A179)*(T_PlannedOrders[WeekIndex]=84)*(T_PlannedOrders[EffectiveQty]&gt;0)*T_PlannedOrders[Order_Month])),"m月")&amp;"発注)")</f>
        <v/>
      </c>
      <c r="CJ185">
        <f>IF(SUMIFS(T_PlannedOrders[EffectiveQty],T_PlannedOrders[Part Name],$A179,T_PlannedOrders[WeekIndex],85)=0,"",SUMIFS(T_PlannedOrders[EffectiveQty],T_PlannedOrders[Part Name],$A179,T_PlannedOrders[WeekIndex],85)&amp;" ("&amp;TEXT(SUMPRODUCT(MAX((T_PlannedOrders[Part Name]=$A179)*(T_PlannedOrders[WeekIndex]=85)*(T_PlannedOrders[EffectiveQty]&gt;0)*T_PlannedOrders[Order_Month])),"m月")&amp;"発注)")</f>
        <v/>
      </c>
      <c r="CK185">
        <f>IF(SUMIFS(T_PlannedOrders[EffectiveQty],T_PlannedOrders[Part Name],$A179,T_PlannedOrders[WeekIndex],86)=0,"",SUMIFS(T_PlannedOrders[EffectiveQty],T_PlannedOrders[Part Name],$A179,T_PlannedOrders[WeekIndex],86)&amp;" ("&amp;TEXT(SUMPRODUCT(MAX((T_PlannedOrders[Part Name]=$A179)*(T_PlannedOrders[WeekIndex]=86)*(T_PlannedOrders[EffectiveQty]&gt;0)*T_PlannedOrders[Order_Month])),"m月")&amp;"発注)")</f>
        <v/>
      </c>
      <c r="CL185">
        <f>IF(SUMIFS(T_PlannedOrders[EffectiveQty],T_PlannedOrders[Part Name],$A179,T_PlannedOrders[WeekIndex],87)=0,"",SUMIFS(T_PlannedOrders[EffectiveQty],T_PlannedOrders[Part Name],$A179,T_PlannedOrders[WeekIndex],87)&amp;" ("&amp;TEXT(SUMPRODUCT(MAX((T_PlannedOrders[Part Name]=$A179)*(T_PlannedOrders[WeekIndex]=87)*(T_PlannedOrders[EffectiveQty]&gt;0)*T_PlannedOrders[Order_Month])),"m月")&amp;"発注)")</f>
        <v/>
      </c>
      <c r="CM185">
        <f>IF(SUMIFS(T_PlannedOrders[EffectiveQty],T_PlannedOrders[Part Name],$A179,T_PlannedOrders[WeekIndex],88)=0,"",SUMIFS(T_PlannedOrders[EffectiveQty],T_PlannedOrders[Part Name],$A179,T_PlannedOrders[WeekIndex],88)&amp;" ("&amp;TEXT(SUMPRODUCT(MAX((T_PlannedOrders[Part Name]=$A179)*(T_PlannedOrders[WeekIndex]=88)*(T_PlannedOrders[EffectiveQty]&gt;0)*T_PlannedOrders[Order_Month])),"m月")&amp;"発注)")</f>
        <v/>
      </c>
      <c r="CN185">
        <f>IF(SUMIFS(T_PlannedOrders[EffectiveQty],T_PlannedOrders[Part Name],$A179,T_PlannedOrders[WeekIndex],89)=0,"",SUMIFS(T_PlannedOrders[EffectiveQty],T_PlannedOrders[Part Name],$A179,T_PlannedOrders[WeekIndex],89)&amp;" ("&amp;TEXT(SUMPRODUCT(MAX((T_PlannedOrders[Part Name]=$A179)*(T_PlannedOrders[WeekIndex]=89)*(T_PlannedOrders[EffectiveQty]&gt;0)*T_PlannedOrders[Order_Month])),"m月")&amp;"発注)")</f>
        <v/>
      </c>
      <c r="CO185">
        <f>IF(SUMIFS(T_PlannedOrders[EffectiveQty],T_PlannedOrders[Part Name],$A179,T_PlannedOrders[WeekIndex],90)=0,"",SUMIFS(T_PlannedOrders[EffectiveQty],T_PlannedOrders[Part Name],$A179,T_PlannedOrders[WeekIndex],90)&amp;" ("&amp;TEXT(SUMPRODUCT(MAX((T_PlannedOrders[Part Name]=$A179)*(T_PlannedOrders[WeekIndex]=90)*(T_PlannedOrders[EffectiveQty]&gt;0)*T_PlannedOrders[Order_Month])),"m月")&amp;"発注)")</f>
        <v/>
      </c>
      <c r="CP185">
        <f>IF(SUMIFS(T_PlannedOrders[EffectiveQty],T_PlannedOrders[Part Name],$A179,T_PlannedOrders[WeekIndex],91)=0,"",SUMIFS(T_PlannedOrders[EffectiveQty],T_PlannedOrders[Part Name],$A179,T_PlannedOrders[WeekIndex],91)&amp;" ("&amp;TEXT(SUMPRODUCT(MAX((T_PlannedOrders[Part Name]=$A179)*(T_PlannedOrders[WeekIndex]=91)*(T_PlannedOrders[EffectiveQty]&gt;0)*T_PlannedOrders[Order_Month])),"m月")&amp;"発注)")</f>
        <v/>
      </c>
      <c r="CQ185">
        <f>IF(SUMIFS(T_PlannedOrders[EffectiveQty],T_PlannedOrders[Part Name],$A179,T_PlannedOrders[WeekIndex],92)=0,"",SUMIFS(T_PlannedOrders[EffectiveQty],T_PlannedOrders[Part Name],$A179,T_PlannedOrders[WeekIndex],92)&amp;" ("&amp;TEXT(SUMPRODUCT(MAX((T_PlannedOrders[Part Name]=$A179)*(T_PlannedOrders[WeekIndex]=92)*(T_PlannedOrders[EffectiveQty]&gt;0)*T_PlannedOrders[Order_Month])),"m月")&amp;"発注)")</f>
        <v/>
      </c>
      <c r="CR185">
        <f>IF(SUMIFS(T_PlannedOrders[EffectiveQty],T_PlannedOrders[Part Name],$A179,T_PlannedOrders[WeekIndex],93)=0,"",SUMIFS(T_PlannedOrders[EffectiveQty],T_PlannedOrders[Part Name],$A179,T_PlannedOrders[WeekIndex],93)&amp;" ("&amp;TEXT(SUMPRODUCT(MAX((T_PlannedOrders[Part Name]=$A179)*(T_PlannedOrders[WeekIndex]=93)*(T_PlannedOrders[EffectiveQty]&gt;0)*T_PlannedOrders[Order_Month])),"m月")&amp;"発注)")</f>
        <v/>
      </c>
      <c r="CS185">
        <f>IF(SUMIFS(T_PlannedOrders[EffectiveQty],T_PlannedOrders[Part Name],$A179,T_PlannedOrders[WeekIndex],94)=0,"",SUMIFS(T_PlannedOrders[EffectiveQty],T_PlannedOrders[Part Name],$A179,T_PlannedOrders[WeekIndex],94)&amp;" ("&amp;TEXT(SUMPRODUCT(MAX((T_PlannedOrders[Part Name]=$A179)*(T_PlannedOrders[WeekIndex]=94)*(T_PlannedOrders[EffectiveQty]&gt;0)*T_PlannedOrders[Order_Month])),"m月")&amp;"発注)")</f>
        <v/>
      </c>
      <c r="CT185">
        <f>IF(SUMIFS(T_PlannedOrders[EffectiveQty],T_PlannedOrders[Part Name],$A179,T_PlannedOrders[WeekIndex],95)=0,"",SUMIFS(T_PlannedOrders[EffectiveQty],T_PlannedOrders[Part Name],$A179,T_PlannedOrders[WeekIndex],95)&amp;" ("&amp;TEXT(SUMPRODUCT(MAX((T_PlannedOrders[Part Name]=$A179)*(T_PlannedOrders[WeekIndex]=95)*(T_PlannedOrders[EffectiveQty]&gt;0)*T_PlannedOrders[Order_Month])),"m月")&amp;"発注)")</f>
        <v/>
      </c>
      <c r="CU185">
        <f>IF(SUMIFS(T_PlannedOrders[EffectiveQty],T_PlannedOrders[Part Name],$A179,T_PlannedOrders[WeekIndex],96)=0,"",SUMIFS(T_PlannedOrders[EffectiveQty],T_PlannedOrders[Part Name],$A179,T_PlannedOrders[WeekIndex],96)&amp;" ("&amp;TEXT(SUMPRODUCT(MAX((T_PlannedOrders[Part Name]=$A179)*(T_PlannedOrders[WeekIndex]=96)*(T_PlannedOrders[EffectiveQty]&gt;0)*T_PlannedOrders[Order_Month])),"m月")&amp;"発注)")</f>
        <v/>
      </c>
      <c r="CV185">
        <f>IF(SUMIFS(T_PlannedOrders[EffectiveQty],T_PlannedOrders[Part Name],$A179,T_PlannedOrders[WeekIndex],97)=0,"",SUMIFS(T_PlannedOrders[EffectiveQty],T_PlannedOrders[Part Name],$A179,T_PlannedOrders[WeekIndex],97)&amp;" ("&amp;TEXT(SUMPRODUCT(MAX((T_PlannedOrders[Part Name]=$A179)*(T_PlannedOrders[WeekIndex]=97)*(T_PlannedOrders[EffectiveQty]&gt;0)*T_PlannedOrders[Order_Month])),"m月")&amp;"発注)")</f>
        <v/>
      </c>
      <c r="CW185">
        <f>IF(SUMIFS(T_PlannedOrders[EffectiveQty],T_PlannedOrders[Part Name],$A179,T_PlannedOrders[WeekIndex],98)=0,"",SUMIFS(T_PlannedOrders[EffectiveQty],T_PlannedOrders[Part Name],$A179,T_PlannedOrders[WeekIndex],98)&amp;" ("&amp;TEXT(SUMPRODUCT(MAX((T_PlannedOrders[Part Name]=$A179)*(T_PlannedOrders[WeekIndex]=98)*(T_PlannedOrders[EffectiveQty]&gt;0)*T_PlannedOrders[Order_Month])),"m月")&amp;"発注)")</f>
        <v/>
      </c>
      <c r="CX185">
        <f>IF(SUMIFS(T_PlannedOrders[EffectiveQty],T_PlannedOrders[Part Name],$A179,T_PlannedOrders[WeekIndex],99)=0,"",SUMIFS(T_PlannedOrders[EffectiveQty],T_PlannedOrders[Part Name],$A179,T_PlannedOrders[WeekIndex],99)&amp;" ("&amp;TEXT(SUMPRODUCT(MAX((T_PlannedOrders[Part Name]=$A179)*(T_PlannedOrders[WeekIndex]=99)*(T_PlannedOrders[EffectiveQty]&gt;0)*T_PlannedOrders[Order_Month])),"m月")&amp;"発注)")</f>
        <v/>
      </c>
      <c r="CY185">
        <f>IF(SUMIFS(T_PlannedOrders[EffectiveQty],T_PlannedOrders[Part Name],$A179,T_PlannedOrders[WeekIndex],100)=0,"",SUMIFS(T_PlannedOrders[EffectiveQty],T_PlannedOrders[Part Name],$A179,T_PlannedOrders[WeekIndex],100)&amp;" ("&amp;TEXT(SUMPRODUCT(MAX((T_PlannedOrders[Part Name]=$A179)*(T_PlannedOrders[WeekIndex]=100)*(T_PlannedOrders[EffectiveQty]&gt;0)*T_PlannedOrders[Order_Month])),"m月")&amp;"発注)")</f>
        <v/>
      </c>
      <c r="CZ185">
        <f>IF(SUMIFS(T_PlannedOrders[EffectiveQty],T_PlannedOrders[Part Name],$A179,T_PlannedOrders[WeekIndex],101)=0,"",SUMIFS(T_PlannedOrders[EffectiveQty],T_PlannedOrders[Part Name],$A179,T_PlannedOrders[WeekIndex],101)&amp;" ("&amp;TEXT(SUMPRODUCT(MAX((T_PlannedOrders[Part Name]=$A179)*(T_PlannedOrders[WeekIndex]=101)*(T_PlannedOrders[EffectiveQty]&gt;0)*T_PlannedOrders[Order_Month])),"m月")&amp;"発注)")</f>
        <v/>
      </c>
      <c r="DA185">
        <f>IF(SUMIFS(T_PlannedOrders[EffectiveQty],T_PlannedOrders[Part Name],$A179,T_PlannedOrders[WeekIndex],102)=0,"",SUMIFS(T_PlannedOrders[EffectiveQty],T_PlannedOrders[Part Name],$A179,T_PlannedOrders[WeekIndex],102)&amp;" ("&amp;TEXT(SUMPRODUCT(MAX((T_PlannedOrders[Part Name]=$A179)*(T_PlannedOrders[WeekIndex]=102)*(T_PlannedOrders[EffectiveQty]&gt;0)*T_PlannedOrders[Order_Month])),"m月")&amp;"発注)")</f>
        <v/>
      </c>
      <c r="DB185">
        <f>IF(SUMIFS(T_PlannedOrders[EffectiveQty],T_PlannedOrders[Part Name],$A179,T_PlannedOrders[WeekIndex],103)=0,"",SUMIFS(T_PlannedOrders[EffectiveQty],T_PlannedOrders[Part Name],$A179,T_PlannedOrders[WeekIndex],103)&amp;" ("&amp;TEXT(SUMPRODUCT(MAX((T_PlannedOrders[Part Name]=$A179)*(T_PlannedOrders[WeekIndex]=103)*(T_PlannedOrders[EffectiveQty]&gt;0)*T_PlannedOrders[Order_Month])),"m月")&amp;"発注)")</f>
        <v/>
      </c>
      <c r="DC185">
        <f>IF(SUMIFS(T_PlannedOrders[EffectiveQty],T_PlannedOrders[Part Name],$A179,T_PlannedOrders[WeekIndex],104)=0,"",SUMIFS(T_PlannedOrders[EffectiveQty],T_PlannedOrders[Part Name],$A179,T_PlannedOrders[WeekIndex],104)&amp;" ("&amp;TEXT(SUMPRODUCT(MAX((T_PlannedOrders[Part Name]=$A179)*(T_PlannedOrders[WeekIndex]=104)*(T_PlannedOrders[EffectiveQty]&gt;0)*T_PlannedOrders[Order_Month])),"m月")&amp;"発注)")</f>
        <v/>
      </c>
    </row>
    <row r="186">
      <c r="B186" s="5" t="inlineStr">
        <is>
          <t>合計在庫(週末時点,kg)</t>
        </is>
      </c>
      <c r="D186">
        <f>'Grid_Stock'!B21</f>
        <v/>
      </c>
      <c r="E186">
        <f>'Grid_Stock'!C21</f>
        <v/>
      </c>
      <c r="F186">
        <f>'Grid_Stock'!D21</f>
        <v/>
      </c>
      <c r="G186">
        <f>'Grid_Stock'!E21</f>
        <v/>
      </c>
      <c r="H186">
        <f>'Grid_Stock'!F21</f>
        <v/>
      </c>
      <c r="I186">
        <f>'Grid_Stock'!G21</f>
        <v/>
      </c>
      <c r="J186">
        <f>'Grid_Stock'!H21</f>
        <v/>
      </c>
      <c r="K186">
        <f>'Grid_Stock'!I21</f>
        <v/>
      </c>
      <c r="L186">
        <f>'Grid_Stock'!J21</f>
        <v/>
      </c>
      <c r="M186">
        <f>'Grid_Stock'!K21</f>
        <v/>
      </c>
      <c r="N186">
        <f>'Grid_Stock'!L21</f>
        <v/>
      </c>
      <c r="O186">
        <f>'Grid_Stock'!M21</f>
        <v/>
      </c>
      <c r="P186">
        <f>'Grid_Stock'!N21</f>
        <v/>
      </c>
      <c r="Q186">
        <f>'Grid_Stock'!O21</f>
        <v/>
      </c>
      <c r="R186">
        <f>'Grid_Stock'!P21</f>
        <v/>
      </c>
      <c r="S186">
        <f>'Grid_Stock'!Q21</f>
        <v/>
      </c>
      <c r="T186">
        <f>'Grid_Stock'!R21</f>
        <v/>
      </c>
      <c r="U186">
        <f>'Grid_Stock'!S21</f>
        <v/>
      </c>
      <c r="V186">
        <f>'Grid_Stock'!T21</f>
        <v/>
      </c>
      <c r="W186">
        <f>'Grid_Stock'!U21</f>
        <v/>
      </c>
      <c r="X186">
        <f>'Grid_Stock'!V21</f>
        <v/>
      </c>
      <c r="Y186">
        <f>'Grid_Stock'!W21</f>
        <v/>
      </c>
      <c r="Z186">
        <f>'Grid_Stock'!X21</f>
        <v/>
      </c>
      <c r="AA186">
        <f>'Grid_Stock'!Y21</f>
        <v/>
      </c>
      <c r="AB186">
        <f>'Grid_Stock'!Z21</f>
        <v/>
      </c>
      <c r="AC186">
        <f>'Grid_Stock'!AA21</f>
        <v/>
      </c>
      <c r="AD186">
        <f>'Grid_Stock'!AB21</f>
        <v/>
      </c>
      <c r="AE186">
        <f>'Grid_Stock'!AC21</f>
        <v/>
      </c>
      <c r="AF186">
        <f>'Grid_Stock'!AD21</f>
        <v/>
      </c>
      <c r="AG186">
        <f>'Grid_Stock'!AE21</f>
        <v/>
      </c>
      <c r="AH186">
        <f>'Grid_Stock'!AF21</f>
        <v/>
      </c>
      <c r="AI186">
        <f>'Grid_Stock'!AG21</f>
        <v/>
      </c>
      <c r="AJ186">
        <f>'Grid_Stock'!AH21</f>
        <v/>
      </c>
      <c r="AK186">
        <f>'Grid_Stock'!AI21</f>
        <v/>
      </c>
      <c r="AL186">
        <f>'Grid_Stock'!AJ21</f>
        <v/>
      </c>
      <c r="AM186">
        <f>'Grid_Stock'!AK21</f>
        <v/>
      </c>
      <c r="AN186">
        <f>'Grid_Stock'!AL21</f>
        <v/>
      </c>
      <c r="AO186">
        <f>'Grid_Stock'!AM21</f>
        <v/>
      </c>
      <c r="AP186">
        <f>'Grid_Stock'!AN21</f>
        <v/>
      </c>
      <c r="AQ186">
        <f>'Grid_Stock'!AO21</f>
        <v/>
      </c>
      <c r="AR186">
        <f>'Grid_Stock'!AP21</f>
        <v/>
      </c>
      <c r="AS186">
        <f>'Grid_Stock'!AQ21</f>
        <v/>
      </c>
      <c r="AT186">
        <f>'Grid_Stock'!AR21</f>
        <v/>
      </c>
      <c r="AU186">
        <f>'Grid_Stock'!AS21</f>
        <v/>
      </c>
      <c r="AV186">
        <f>'Grid_Stock'!AT21</f>
        <v/>
      </c>
      <c r="AW186">
        <f>'Grid_Stock'!AU21</f>
        <v/>
      </c>
      <c r="AX186">
        <f>'Grid_Stock'!AV21</f>
        <v/>
      </c>
      <c r="AY186">
        <f>'Grid_Stock'!AW21</f>
        <v/>
      </c>
      <c r="AZ186">
        <f>'Grid_Stock'!AX21</f>
        <v/>
      </c>
      <c r="BA186">
        <f>'Grid_Stock'!AY21</f>
        <v/>
      </c>
      <c r="BB186">
        <f>'Grid_Stock'!AZ21</f>
        <v/>
      </c>
      <c r="BC186">
        <f>'Grid_Stock'!BA21</f>
        <v/>
      </c>
      <c r="BD186">
        <f>'Grid_Stock'!BB21</f>
        <v/>
      </c>
      <c r="BE186">
        <f>'Grid_Stock'!BC21</f>
        <v/>
      </c>
      <c r="BF186">
        <f>'Grid_Stock'!BD21</f>
        <v/>
      </c>
      <c r="BG186">
        <f>'Grid_Stock'!BE21</f>
        <v/>
      </c>
      <c r="BH186">
        <f>'Grid_Stock'!BF21</f>
        <v/>
      </c>
      <c r="BI186">
        <f>'Grid_Stock'!BG21</f>
        <v/>
      </c>
      <c r="BJ186">
        <f>'Grid_Stock'!BH21</f>
        <v/>
      </c>
      <c r="BK186">
        <f>'Grid_Stock'!BI21</f>
        <v/>
      </c>
      <c r="BL186">
        <f>'Grid_Stock'!BJ21</f>
        <v/>
      </c>
      <c r="BM186">
        <f>'Grid_Stock'!BK21</f>
        <v/>
      </c>
      <c r="BN186">
        <f>'Grid_Stock'!BL21</f>
        <v/>
      </c>
      <c r="BO186">
        <f>'Grid_Stock'!BM21</f>
        <v/>
      </c>
      <c r="BP186">
        <f>'Grid_Stock'!BN21</f>
        <v/>
      </c>
      <c r="BQ186">
        <f>'Grid_Stock'!BO21</f>
        <v/>
      </c>
      <c r="BR186">
        <f>'Grid_Stock'!BP21</f>
        <v/>
      </c>
      <c r="BS186">
        <f>'Grid_Stock'!BQ21</f>
        <v/>
      </c>
      <c r="BT186">
        <f>'Grid_Stock'!BR21</f>
        <v/>
      </c>
      <c r="BU186">
        <f>'Grid_Stock'!BS21</f>
        <v/>
      </c>
      <c r="BV186">
        <f>'Grid_Stock'!BT21</f>
        <v/>
      </c>
      <c r="BW186">
        <f>'Grid_Stock'!BU21</f>
        <v/>
      </c>
      <c r="BX186">
        <f>'Grid_Stock'!BV21</f>
        <v/>
      </c>
      <c r="BY186">
        <f>'Grid_Stock'!BW21</f>
        <v/>
      </c>
      <c r="BZ186">
        <f>'Grid_Stock'!BX21</f>
        <v/>
      </c>
      <c r="CA186">
        <f>'Grid_Stock'!BY21</f>
        <v/>
      </c>
      <c r="CB186">
        <f>'Grid_Stock'!BZ21</f>
        <v/>
      </c>
      <c r="CC186">
        <f>'Grid_Stock'!CA21</f>
        <v/>
      </c>
      <c r="CD186">
        <f>'Grid_Stock'!CB21</f>
        <v/>
      </c>
      <c r="CE186">
        <f>'Grid_Stock'!CC21</f>
        <v/>
      </c>
      <c r="CF186">
        <f>'Grid_Stock'!CD21</f>
        <v/>
      </c>
      <c r="CG186">
        <f>'Grid_Stock'!CE21</f>
        <v/>
      </c>
      <c r="CH186">
        <f>'Grid_Stock'!CF21</f>
        <v/>
      </c>
      <c r="CI186">
        <f>'Grid_Stock'!CG21</f>
        <v/>
      </c>
      <c r="CJ186">
        <f>'Grid_Stock'!CH21</f>
        <v/>
      </c>
      <c r="CK186">
        <f>'Grid_Stock'!CI21</f>
        <v/>
      </c>
      <c r="CL186">
        <f>'Grid_Stock'!CJ21</f>
        <v/>
      </c>
      <c r="CM186">
        <f>'Grid_Stock'!CK21</f>
        <v/>
      </c>
      <c r="CN186">
        <f>'Grid_Stock'!CL21</f>
        <v/>
      </c>
      <c r="CO186">
        <f>'Grid_Stock'!CM21</f>
        <v/>
      </c>
      <c r="CP186">
        <f>'Grid_Stock'!CN21</f>
        <v/>
      </c>
      <c r="CQ186">
        <f>'Grid_Stock'!CO21</f>
        <v/>
      </c>
      <c r="CR186">
        <f>'Grid_Stock'!CP21</f>
        <v/>
      </c>
      <c r="CS186">
        <f>'Grid_Stock'!CQ21</f>
        <v/>
      </c>
      <c r="CT186">
        <f>'Grid_Stock'!CR21</f>
        <v/>
      </c>
      <c r="CU186">
        <f>'Grid_Stock'!CS21</f>
        <v/>
      </c>
      <c r="CV186">
        <f>'Grid_Stock'!CT21</f>
        <v/>
      </c>
      <c r="CW186">
        <f>'Grid_Stock'!CU21</f>
        <v/>
      </c>
      <c r="CX186">
        <f>'Grid_Stock'!CV21</f>
        <v/>
      </c>
      <c r="CY186">
        <f>'Grid_Stock'!CW21</f>
        <v/>
      </c>
      <c r="CZ186">
        <f>'Grid_Stock'!CX21</f>
        <v/>
      </c>
      <c r="DA186">
        <f>'Grid_Stock'!CY21</f>
        <v/>
      </c>
      <c r="DB186">
        <f>'Grid_Stock'!CZ21</f>
        <v/>
      </c>
      <c r="DC186">
        <f>'Grid_Stock'!DA21</f>
        <v/>
      </c>
    </row>
    <row r="187">
      <c r="B187" s="23" t="inlineStr">
        <is>
          <t>（発注の目安はDashboardの基準在庫[下限/上限]と色分けを参照）</t>
        </is>
      </c>
    </row>
    <row r="189">
      <c r="A189" s="21" t="inlineStr">
        <is>
          <t>CHEM-1670</t>
        </is>
      </c>
      <c r="B189" s="21" t="inlineStr">
        <is>
          <t>Alesper 1065</t>
        </is>
      </c>
      <c r="C189" s="22" t="n"/>
      <c r="D189" s="21" t="n"/>
      <c r="E189" s="21" t="n"/>
      <c r="F189" s="21" t="n"/>
      <c r="G189" s="21" t="n"/>
      <c r="H189" s="21" t="n"/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  <c r="AA189" s="21" t="n"/>
      <c r="AB189" s="21" t="n"/>
      <c r="AC189" s="21" t="n"/>
      <c r="AD189" s="21" t="n"/>
      <c r="AE189" s="21" t="n"/>
      <c r="AF189" s="21" t="n"/>
      <c r="AG189" s="21" t="n"/>
      <c r="AH189" s="21" t="n"/>
      <c r="AI189" s="21" t="n"/>
      <c r="AJ189" s="21" t="n"/>
      <c r="AK189" s="21" t="n"/>
      <c r="AL189" s="21" t="n"/>
      <c r="AM189" s="21" t="n"/>
      <c r="AN189" s="21" t="n"/>
      <c r="AO189" s="21" t="n"/>
      <c r="AP189" s="21" t="n"/>
      <c r="AQ189" s="21" t="n"/>
      <c r="AR189" s="21" t="n"/>
      <c r="AS189" s="21" t="n"/>
      <c r="AT189" s="21" t="n"/>
      <c r="AU189" s="21" t="n"/>
      <c r="AV189" s="21" t="n"/>
      <c r="AW189" s="21" t="n"/>
      <c r="AX189" s="21" t="n"/>
      <c r="AY189" s="21" t="n"/>
      <c r="AZ189" s="21" t="n"/>
      <c r="BA189" s="21" t="n"/>
      <c r="BB189" s="21" t="n"/>
      <c r="BC189" s="21" t="n"/>
      <c r="BD189" s="21" t="n"/>
      <c r="BE189" s="21" t="n"/>
      <c r="BF189" s="21" t="n"/>
      <c r="BG189" s="21" t="n"/>
      <c r="BH189" s="21" t="n"/>
      <c r="BI189" s="21" t="n"/>
      <c r="BJ189" s="21" t="n"/>
      <c r="BK189" s="21" t="n"/>
      <c r="BL189" s="21" t="n"/>
      <c r="BM189" s="21" t="n"/>
      <c r="BN189" s="21" t="n"/>
      <c r="BO189" s="21" t="n"/>
      <c r="BP189" s="21" t="n"/>
      <c r="BQ189" s="21" t="n"/>
      <c r="BR189" s="21" t="n"/>
      <c r="BS189" s="21" t="n"/>
      <c r="BT189" s="21" t="n"/>
      <c r="BU189" s="21" t="n"/>
      <c r="BV189" s="21" t="n"/>
      <c r="BW189" s="21" t="n"/>
      <c r="BX189" s="21" t="n"/>
      <c r="BY189" s="21" t="n"/>
      <c r="BZ189" s="21" t="n"/>
      <c r="CA189" s="21" t="n"/>
      <c r="CB189" s="21" t="n"/>
      <c r="CC189" s="21" t="n"/>
      <c r="CD189" s="21" t="n"/>
      <c r="CE189" s="21" t="n"/>
      <c r="CF189" s="21" t="n"/>
      <c r="CG189" s="21" t="n"/>
      <c r="CH189" s="21" t="n"/>
      <c r="CI189" s="21" t="n"/>
      <c r="CJ189" s="21" t="n"/>
      <c r="CK189" s="21" t="n"/>
      <c r="CL189" s="21" t="n"/>
      <c r="CM189" s="21" t="n"/>
      <c r="CN189" s="21" t="n"/>
      <c r="CO189" s="21" t="n"/>
      <c r="CP189" s="21" t="n"/>
      <c r="CQ189" s="21" t="n"/>
      <c r="CR189" s="21" t="n"/>
      <c r="CS189" s="21" t="n"/>
      <c r="CT189" s="21" t="n"/>
      <c r="CU189" s="21" t="n"/>
      <c r="CV189" s="21" t="n"/>
      <c r="CW189" s="21" t="n"/>
      <c r="CX189" s="21" t="n"/>
      <c r="CY189" s="21" t="n"/>
      <c r="CZ189" s="21" t="n"/>
      <c r="DA189" s="21" t="n"/>
      <c r="DB189" s="21" t="n"/>
      <c r="DC189" s="21" t="n"/>
    </row>
    <row r="190">
      <c r="B190" t="inlineStr">
        <is>
          <t>TSP-1444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12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Name],$A189)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TSP-1445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12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Name],$A189)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TSP-1446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12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Name],$A189)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TSP-1499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12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Name],$A189)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TSP-1555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12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Name],$A189)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TSP-558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12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Name],$A189)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t="inlineStr">
        <is>
          <t>TSP-903</t>
        </is>
      </c>
      <c r="C202" t="inlineStr">
        <is>
          <t>No. of batches</t>
        </is>
      </c>
      <c r="D202">
        <f>IFERROR(INDEX(PP_Grid[#Data],$DD202,2),0)</f>
        <v/>
      </c>
      <c r="E202">
        <f>IFERROR(INDEX(PP_Grid[#Data],$DD202,3),0)</f>
        <v/>
      </c>
      <c r="F202">
        <f>IFERROR(INDEX(PP_Grid[#Data],$DD202,4),0)</f>
        <v/>
      </c>
      <c r="G202">
        <f>IFERROR(INDEX(PP_Grid[#Data],$DD202,5),0)</f>
        <v/>
      </c>
      <c r="H202">
        <f>IFERROR(INDEX(PP_Grid[#Data],$DD202,6),0)</f>
        <v/>
      </c>
      <c r="I202">
        <f>IFERROR(INDEX(PP_Grid[#Data],$DD202,7),0)</f>
        <v/>
      </c>
      <c r="J202">
        <f>IFERROR(INDEX(PP_Grid[#Data],$DD202,8),0)</f>
        <v/>
      </c>
      <c r="K202">
        <f>IFERROR(INDEX(PP_Grid[#Data],$DD202,9),0)</f>
        <v/>
      </c>
      <c r="L202">
        <f>IFERROR(INDEX(PP_Grid[#Data],$DD202,10),0)</f>
        <v/>
      </c>
      <c r="M202">
        <f>IFERROR(INDEX(PP_Grid[#Data],$DD202,11),0)</f>
        <v/>
      </c>
      <c r="N202">
        <f>IFERROR(INDEX(PP_Grid[#Data],$DD202,12),0)</f>
        <v/>
      </c>
      <c r="O202">
        <f>IFERROR(INDEX(PP_Grid[#Data],$DD202,13),0)</f>
        <v/>
      </c>
      <c r="P202">
        <f>IFERROR(INDEX(PP_Grid[#Data],$DD202,14),0)</f>
        <v/>
      </c>
      <c r="Q202">
        <f>IFERROR(INDEX(PP_Grid[#Data],$DD202,15),0)</f>
        <v/>
      </c>
      <c r="R202">
        <f>IFERROR(INDEX(PP_Grid[#Data],$DD202,16),0)</f>
        <v/>
      </c>
      <c r="S202">
        <f>IFERROR(INDEX(PP_Grid[#Data],$DD202,17),0)</f>
        <v/>
      </c>
      <c r="T202">
        <f>IFERROR(INDEX(PP_Grid[#Data],$DD202,18),0)</f>
        <v/>
      </c>
      <c r="U202">
        <f>IFERROR(INDEX(PP_Grid[#Data],$DD202,19),0)</f>
        <v/>
      </c>
      <c r="V202">
        <f>IFERROR(INDEX(PP_Grid[#Data],$DD202,20),0)</f>
        <v/>
      </c>
      <c r="W202">
        <f>IFERROR(INDEX(PP_Grid[#Data],$DD202,21),0)</f>
        <v/>
      </c>
      <c r="X202">
        <f>IFERROR(INDEX(PP_Grid[#Data],$DD202,22),0)</f>
        <v/>
      </c>
      <c r="Y202">
        <f>IFERROR(INDEX(PP_Grid[#Data],$DD202,23),0)</f>
        <v/>
      </c>
      <c r="Z202">
        <f>IFERROR(INDEX(PP_Grid[#Data],$DD202,24),0)</f>
        <v/>
      </c>
      <c r="AA202">
        <f>IFERROR(INDEX(PP_Grid[#Data],$DD202,25),0)</f>
        <v/>
      </c>
      <c r="AB202">
        <f>IFERROR(INDEX(PP_Grid[#Data],$DD202,26),0)</f>
        <v/>
      </c>
      <c r="AC202">
        <f>IFERROR(INDEX(PP_Grid[#Data],$DD202,27),0)</f>
        <v/>
      </c>
      <c r="AD202">
        <f>IFERROR(INDEX(PP_Grid[#Data],$DD202,28),0)</f>
        <v/>
      </c>
      <c r="AE202">
        <f>IFERROR(INDEX(PP_Grid[#Data],$DD202,29),0)</f>
        <v/>
      </c>
      <c r="AF202">
        <f>IFERROR(INDEX(PP_Grid[#Data],$DD202,30),0)</f>
        <v/>
      </c>
      <c r="AG202">
        <f>IFERROR(INDEX(PP_Grid[#Data],$DD202,31),0)</f>
        <v/>
      </c>
      <c r="AH202">
        <f>IFERROR(INDEX(PP_Grid[#Data],$DD202,32),0)</f>
        <v/>
      </c>
      <c r="AI202">
        <f>IFERROR(INDEX(PP_Grid[#Data],$DD202,33),0)</f>
        <v/>
      </c>
      <c r="AJ202">
        <f>IFERROR(INDEX(PP_Grid[#Data],$DD202,34),0)</f>
        <v/>
      </c>
      <c r="AK202">
        <f>IFERROR(INDEX(PP_Grid[#Data],$DD202,35),0)</f>
        <v/>
      </c>
      <c r="AL202">
        <f>IFERROR(INDEX(PP_Grid[#Data],$DD202,36),0)</f>
        <v/>
      </c>
      <c r="AM202">
        <f>IFERROR(INDEX(PP_Grid[#Data],$DD202,37),0)</f>
        <v/>
      </c>
      <c r="AN202">
        <f>IFERROR(INDEX(PP_Grid[#Data],$DD202,38),0)</f>
        <v/>
      </c>
      <c r="AO202">
        <f>IFERROR(INDEX(PP_Grid[#Data],$DD202,39),0)</f>
        <v/>
      </c>
      <c r="AP202">
        <f>IFERROR(INDEX(PP_Grid[#Data],$DD202,40),0)</f>
        <v/>
      </c>
      <c r="AQ202">
        <f>IFERROR(INDEX(PP_Grid[#Data],$DD202,41),0)</f>
        <v/>
      </c>
      <c r="AR202">
        <f>IFERROR(INDEX(PP_Grid[#Data],$DD202,42),0)</f>
        <v/>
      </c>
      <c r="AS202">
        <f>IFERROR(INDEX(PP_Grid[#Data],$DD202,43),0)</f>
        <v/>
      </c>
      <c r="AT202">
        <f>IFERROR(INDEX(PP_Grid[#Data],$DD202,44),0)</f>
        <v/>
      </c>
      <c r="AU202">
        <f>IFERROR(INDEX(PP_Grid[#Data],$DD202,45),0)</f>
        <v/>
      </c>
      <c r="AV202">
        <f>IFERROR(INDEX(PP_Grid[#Data],$DD202,46),0)</f>
        <v/>
      </c>
      <c r="AW202">
        <f>IFERROR(INDEX(PP_Grid[#Data],$DD202,47),0)</f>
        <v/>
      </c>
      <c r="AX202">
        <f>IFERROR(INDEX(PP_Grid[#Data],$DD202,48),0)</f>
        <v/>
      </c>
      <c r="AY202">
        <f>IFERROR(INDEX(PP_Grid[#Data],$DD202,49),0)</f>
        <v/>
      </c>
      <c r="AZ202">
        <f>IFERROR(INDEX(PP_Grid[#Data],$DD202,50),0)</f>
        <v/>
      </c>
      <c r="BA202">
        <f>IFERROR(INDEX(PP_Grid[#Data],$DD202,51),0)</f>
        <v/>
      </c>
      <c r="BB202">
        <f>IFERROR(INDEX(PP_Grid[#Data],$DD202,52),0)</f>
        <v/>
      </c>
      <c r="BC202">
        <f>IFERROR(INDEX(PP_Grid[#Data],$DD202,53),0)</f>
        <v/>
      </c>
      <c r="BD202">
        <f>IFERROR(INDEX(PP_Grid[#Data],$DD202,54),0)</f>
        <v/>
      </c>
      <c r="BE202">
        <f>IFERROR(INDEX(PP_Grid[#Data],$DD202,55),0)</f>
        <v/>
      </c>
      <c r="BF202">
        <f>IFERROR(INDEX(PP_Grid[#Data],$DD202,56),0)</f>
        <v/>
      </c>
      <c r="BG202">
        <f>IFERROR(INDEX(PP_Grid[#Data],$DD202,57),0)</f>
        <v/>
      </c>
      <c r="BH202">
        <f>IFERROR(INDEX(PP_Grid[#Data],$DD202,58),0)</f>
        <v/>
      </c>
      <c r="BI202">
        <f>IFERROR(INDEX(PP_Grid[#Data],$DD202,59),0)</f>
        <v/>
      </c>
      <c r="BJ202">
        <f>IFERROR(INDEX(PP_Grid[#Data],$DD202,60),0)</f>
        <v/>
      </c>
      <c r="BK202">
        <f>IFERROR(INDEX(PP_Grid[#Data],$DD202,61),0)</f>
        <v/>
      </c>
      <c r="BL202">
        <f>IFERROR(INDEX(PP_Grid[#Data],$DD202,62),0)</f>
        <v/>
      </c>
      <c r="BM202">
        <f>IFERROR(INDEX(PP_Grid[#Data],$DD202,63),0)</f>
        <v/>
      </c>
      <c r="BN202">
        <f>IFERROR(INDEX(PP_Grid[#Data],$DD202,64),0)</f>
        <v/>
      </c>
      <c r="BO202">
        <f>IFERROR(INDEX(PP_Grid[#Data],$DD202,65),0)</f>
        <v/>
      </c>
      <c r="BP202">
        <f>IFERROR(INDEX(PP_Grid[#Data],$DD202,66),0)</f>
        <v/>
      </c>
      <c r="BQ202">
        <f>IFERROR(INDEX(PP_Grid[#Data],$DD202,67),0)</f>
        <v/>
      </c>
      <c r="BR202">
        <f>IFERROR(INDEX(PP_Grid[#Data],$DD202,68),0)</f>
        <v/>
      </c>
      <c r="BS202">
        <f>IFERROR(INDEX(PP_Grid[#Data],$DD202,69),0)</f>
        <v/>
      </c>
      <c r="BT202">
        <f>IFERROR(INDEX(PP_Grid[#Data],$DD202,70),0)</f>
        <v/>
      </c>
      <c r="BU202">
        <f>IFERROR(INDEX(PP_Grid[#Data],$DD202,71),0)</f>
        <v/>
      </c>
      <c r="BV202">
        <f>IFERROR(INDEX(PP_Grid[#Data],$DD202,72),0)</f>
        <v/>
      </c>
      <c r="BW202">
        <f>IFERROR(INDEX(PP_Grid[#Data],$DD202,73),0)</f>
        <v/>
      </c>
      <c r="BX202">
        <f>IFERROR(INDEX(PP_Grid[#Data],$DD202,74),0)</f>
        <v/>
      </c>
      <c r="BY202">
        <f>IFERROR(INDEX(PP_Grid[#Data],$DD202,75),0)</f>
        <v/>
      </c>
      <c r="BZ202">
        <f>IFERROR(INDEX(PP_Grid[#Data],$DD202,76),0)</f>
        <v/>
      </c>
      <c r="CA202">
        <f>IFERROR(INDEX(PP_Grid[#Data],$DD202,77),0)</f>
        <v/>
      </c>
      <c r="CB202">
        <f>IFERROR(INDEX(PP_Grid[#Data],$DD202,78),0)</f>
        <v/>
      </c>
      <c r="CC202">
        <f>IFERROR(INDEX(PP_Grid[#Data],$DD202,79),0)</f>
        <v/>
      </c>
      <c r="CD202">
        <f>IFERROR(INDEX(PP_Grid[#Data],$DD202,80),0)</f>
        <v/>
      </c>
      <c r="CE202">
        <f>IFERROR(INDEX(PP_Grid[#Data],$DD202,81),0)</f>
        <v/>
      </c>
      <c r="CF202">
        <f>IFERROR(INDEX(PP_Grid[#Data],$DD202,82),0)</f>
        <v/>
      </c>
      <c r="CG202">
        <f>IFERROR(INDEX(PP_Grid[#Data],$DD202,83),0)</f>
        <v/>
      </c>
      <c r="CH202">
        <f>IFERROR(INDEX(PP_Grid[#Data],$DD202,84),0)</f>
        <v/>
      </c>
      <c r="CI202">
        <f>IFERROR(INDEX(PP_Grid[#Data],$DD202,85),0)</f>
        <v/>
      </c>
      <c r="CJ202">
        <f>IFERROR(INDEX(PP_Grid[#Data],$DD202,86),0)</f>
        <v/>
      </c>
      <c r="CK202">
        <f>IFERROR(INDEX(PP_Grid[#Data],$DD202,87),0)</f>
        <v/>
      </c>
      <c r="CL202">
        <f>IFERROR(INDEX(PP_Grid[#Data],$DD202,88),0)</f>
        <v/>
      </c>
      <c r="CM202">
        <f>IFERROR(INDEX(PP_Grid[#Data],$DD202,89),0)</f>
        <v/>
      </c>
      <c r="CN202">
        <f>IFERROR(INDEX(PP_Grid[#Data],$DD202,90),0)</f>
        <v/>
      </c>
      <c r="CO202">
        <f>IFERROR(INDEX(PP_Grid[#Data],$DD202,91),0)</f>
        <v/>
      </c>
      <c r="CP202">
        <f>IFERROR(INDEX(PP_Grid[#Data],$DD202,92),0)</f>
        <v/>
      </c>
      <c r="CQ202">
        <f>IFERROR(INDEX(PP_Grid[#Data],$DD202,93),0)</f>
        <v/>
      </c>
      <c r="CR202">
        <f>IFERROR(INDEX(PP_Grid[#Data],$DD202,94),0)</f>
        <v/>
      </c>
      <c r="CS202">
        <f>IFERROR(INDEX(PP_Grid[#Data],$DD202,95),0)</f>
        <v/>
      </c>
      <c r="CT202">
        <f>IFERROR(INDEX(PP_Grid[#Data],$DD202,96),0)</f>
        <v/>
      </c>
      <c r="CU202">
        <f>IFERROR(INDEX(PP_Grid[#Data],$DD202,97),0)</f>
        <v/>
      </c>
      <c r="CV202">
        <f>IFERROR(INDEX(PP_Grid[#Data],$DD202,98),0)</f>
        <v/>
      </c>
      <c r="CW202">
        <f>IFERROR(INDEX(PP_Grid[#Data],$DD202,99),0)</f>
        <v/>
      </c>
      <c r="CX202">
        <f>IFERROR(INDEX(PP_Grid[#Data],$DD202,100),0)</f>
        <v/>
      </c>
      <c r="CY202">
        <f>IFERROR(INDEX(PP_Grid[#Data],$DD202,101),0)</f>
        <v/>
      </c>
      <c r="CZ202">
        <f>IFERROR(INDEX(PP_Grid[#Data],$DD202,102),0)</f>
        <v/>
      </c>
      <c r="DA202">
        <f>IFERROR(INDEX(PP_Grid[#Data],$DD202,103),0)</f>
        <v/>
      </c>
      <c r="DB202">
        <f>IFERROR(INDEX(PP_Grid[#Data],$DD202,104),0)</f>
        <v/>
      </c>
      <c r="DC202">
        <f>IFERROR(INDEX(PP_Grid[#Data],$DD202,105),0)</f>
        <v/>
      </c>
      <c r="DD202" s="12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SUMIFS(M_BOM[RM_Qty_Per_Batch],M_BOM[Intermediate],$B202,M_BOM[Part Name],$A189)</f>
        <v/>
      </c>
      <c r="D203">
        <f>$C203*D202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</row>
    <row r="204">
      <c r="B204" s="5" t="inlineStr">
        <is>
          <t>合計使用量(kg)/週</t>
        </is>
      </c>
      <c r="D204">
        <f>'Grid_Requirement'!B22</f>
        <v/>
      </c>
      <c r="E204">
        <f>'Grid_Requirement'!C22</f>
        <v/>
      </c>
      <c r="F204">
        <f>'Grid_Requirement'!D22</f>
        <v/>
      </c>
      <c r="G204">
        <f>'Grid_Requirement'!E22</f>
        <v/>
      </c>
      <c r="H204">
        <f>'Grid_Requirement'!F22</f>
        <v/>
      </c>
      <c r="I204">
        <f>'Grid_Requirement'!G22</f>
        <v/>
      </c>
      <c r="J204">
        <f>'Grid_Requirement'!H22</f>
        <v/>
      </c>
      <c r="K204">
        <f>'Grid_Requirement'!I22</f>
        <v/>
      </c>
      <c r="L204">
        <f>'Grid_Requirement'!J22</f>
        <v/>
      </c>
      <c r="M204">
        <f>'Grid_Requirement'!K22</f>
        <v/>
      </c>
      <c r="N204">
        <f>'Grid_Requirement'!L22</f>
        <v/>
      </c>
      <c r="O204">
        <f>'Grid_Requirement'!M22</f>
        <v/>
      </c>
      <c r="P204">
        <f>'Grid_Requirement'!N22</f>
        <v/>
      </c>
      <c r="Q204">
        <f>'Grid_Requirement'!O22</f>
        <v/>
      </c>
      <c r="R204">
        <f>'Grid_Requirement'!P22</f>
        <v/>
      </c>
      <c r="S204">
        <f>'Grid_Requirement'!Q22</f>
        <v/>
      </c>
      <c r="T204">
        <f>'Grid_Requirement'!R22</f>
        <v/>
      </c>
      <c r="U204">
        <f>'Grid_Requirement'!S22</f>
        <v/>
      </c>
      <c r="V204">
        <f>'Grid_Requirement'!T22</f>
        <v/>
      </c>
      <c r="W204">
        <f>'Grid_Requirement'!U22</f>
        <v/>
      </c>
      <c r="X204">
        <f>'Grid_Requirement'!V22</f>
        <v/>
      </c>
      <c r="Y204">
        <f>'Grid_Requirement'!W22</f>
        <v/>
      </c>
      <c r="Z204">
        <f>'Grid_Requirement'!X22</f>
        <v/>
      </c>
      <c r="AA204">
        <f>'Grid_Requirement'!Y22</f>
        <v/>
      </c>
      <c r="AB204">
        <f>'Grid_Requirement'!Z22</f>
        <v/>
      </c>
      <c r="AC204">
        <f>'Grid_Requirement'!AA22</f>
        <v/>
      </c>
      <c r="AD204">
        <f>'Grid_Requirement'!AB22</f>
        <v/>
      </c>
      <c r="AE204">
        <f>'Grid_Requirement'!AC22</f>
        <v/>
      </c>
      <c r="AF204">
        <f>'Grid_Requirement'!AD22</f>
        <v/>
      </c>
      <c r="AG204">
        <f>'Grid_Requirement'!AE22</f>
        <v/>
      </c>
      <c r="AH204">
        <f>'Grid_Requirement'!AF22</f>
        <v/>
      </c>
      <c r="AI204">
        <f>'Grid_Requirement'!AG22</f>
        <v/>
      </c>
      <c r="AJ204">
        <f>'Grid_Requirement'!AH22</f>
        <v/>
      </c>
      <c r="AK204">
        <f>'Grid_Requirement'!AI22</f>
        <v/>
      </c>
      <c r="AL204">
        <f>'Grid_Requirement'!AJ22</f>
        <v/>
      </c>
      <c r="AM204">
        <f>'Grid_Requirement'!AK22</f>
        <v/>
      </c>
      <c r="AN204">
        <f>'Grid_Requirement'!AL22</f>
        <v/>
      </c>
      <c r="AO204">
        <f>'Grid_Requirement'!AM22</f>
        <v/>
      </c>
      <c r="AP204">
        <f>'Grid_Requirement'!AN22</f>
        <v/>
      </c>
      <c r="AQ204">
        <f>'Grid_Requirement'!AO22</f>
        <v/>
      </c>
      <c r="AR204">
        <f>'Grid_Requirement'!AP22</f>
        <v/>
      </c>
      <c r="AS204">
        <f>'Grid_Requirement'!AQ22</f>
        <v/>
      </c>
      <c r="AT204">
        <f>'Grid_Requirement'!AR22</f>
        <v/>
      </c>
      <c r="AU204">
        <f>'Grid_Requirement'!AS22</f>
        <v/>
      </c>
      <c r="AV204">
        <f>'Grid_Requirement'!AT22</f>
        <v/>
      </c>
      <c r="AW204">
        <f>'Grid_Requirement'!AU22</f>
        <v/>
      </c>
      <c r="AX204">
        <f>'Grid_Requirement'!AV22</f>
        <v/>
      </c>
      <c r="AY204">
        <f>'Grid_Requirement'!AW22</f>
        <v/>
      </c>
      <c r="AZ204">
        <f>'Grid_Requirement'!AX22</f>
        <v/>
      </c>
      <c r="BA204">
        <f>'Grid_Requirement'!AY22</f>
        <v/>
      </c>
      <c r="BB204">
        <f>'Grid_Requirement'!AZ22</f>
        <v/>
      </c>
      <c r="BC204">
        <f>'Grid_Requirement'!BA22</f>
        <v/>
      </c>
      <c r="BD204">
        <f>'Grid_Requirement'!BB22</f>
        <v/>
      </c>
      <c r="BE204">
        <f>'Grid_Requirement'!BC22</f>
        <v/>
      </c>
      <c r="BF204">
        <f>'Grid_Requirement'!BD22</f>
        <v/>
      </c>
      <c r="BG204">
        <f>'Grid_Requirement'!BE22</f>
        <v/>
      </c>
      <c r="BH204">
        <f>'Grid_Requirement'!BF22</f>
        <v/>
      </c>
      <c r="BI204">
        <f>'Grid_Requirement'!BG22</f>
        <v/>
      </c>
      <c r="BJ204">
        <f>'Grid_Requirement'!BH22</f>
        <v/>
      </c>
      <c r="BK204">
        <f>'Grid_Requirement'!BI22</f>
        <v/>
      </c>
      <c r="BL204">
        <f>'Grid_Requirement'!BJ22</f>
        <v/>
      </c>
      <c r="BM204">
        <f>'Grid_Requirement'!BK22</f>
        <v/>
      </c>
      <c r="BN204">
        <f>'Grid_Requirement'!BL22</f>
        <v/>
      </c>
      <c r="BO204">
        <f>'Grid_Requirement'!BM22</f>
        <v/>
      </c>
      <c r="BP204">
        <f>'Grid_Requirement'!BN22</f>
        <v/>
      </c>
      <c r="BQ204">
        <f>'Grid_Requirement'!BO22</f>
        <v/>
      </c>
      <c r="BR204">
        <f>'Grid_Requirement'!BP22</f>
        <v/>
      </c>
      <c r="BS204">
        <f>'Grid_Requirement'!BQ22</f>
        <v/>
      </c>
      <c r="BT204">
        <f>'Grid_Requirement'!BR22</f>
        <v/>
      </c>
      <c r="BU204">
        <f>'Grid_Requirement'!BS22</f>
        <v/>
      </c>
      <c r="BV204">
        <f>'Grid_Requirement'!BT22</f>
        <v/>
      </c>
      <c r="BW204">
        <f>'Grid_Requirement'!BU22</f>
        <v/>
      </c>
      <c r="BX204">
        <f>'Grid_Requirement'!BV22</f>
        <v/>
      </c>
      <c r="BY204">
        <f>'Grid_Requirement'!BW22</f>
        <v/>
      </c>
      <c r="BZ204">
        <f>'Grid_Requirement'!BX22</f>
        <v/>
      </c>
      <c r="CA204">
        <f>'Grid_Requirement'!BY22</f>
        <v/>
      </c>
      <c r="CB204">
        <f>'Grid_Requirement'!BZ22</f>
        <v/>
      </c>
      <c r="CC204">
        <f>'Grid_Requirement'!CA22</f>
        <v/>
      </c>
      <c r="CD204">
        <f>'Grid_Requirement'!CB22</f>
        <v/>
      </c>
      <c r="CE204">
        <f>'Grid_Requirement'!CC22</f>
        <v/>
      </c>
      <c r="CF204">
        <f>'Grid_Requirement'!CD22</f>
        <v/>
      </c>
      <c r="CG204">
        <f>'Grid_Requirement'!CE22</f>
        <v/>
      </c>
      <c r="CH204">
        <f>'Grid_Requirement'!CF22</f>
        <v/>
      </c>
      <c r="CI204">
        <f>'Grid_Requirement'!CG22</f>
        <v/>
      </c>
      <c r="CJ204">
        <f>'Grid_Requirement'!CH22</f>
        <v/>
      </c>
      <c r="CK204">
        <f>'Grid_Requirement'!CI22</f>
        <v/>
      </c>
      <c r="CL204">
        <f>'Grid_Requirement'!CJ22</f>
        <v/>
      </c>
      <c r="CM204">
        <f>'Grid_Requirement'!CK22</f>
        <v/>
      </c>
      <c r="CN204">
        <f>'Grid_Requirement'!CL22</f>
        <v/>
      </c>
      <c r="CO204">
        <f>'Grid_Requirement'!CM22</f>
        <v/>
      </c>
      <c r="CP204">
        <f>'Grid_Requirement'!CN22</f>
        <v/>
      </c>
      <c r="CQ204">
        <f>'Grid_Requirement'!CO22</f>
        <v/>
      </c>
      <c r="CR204">
        <f>'Grid_Requirement'!CP22</f>
        <v/>
      </c>
      <c r="CS204">
        <f>'Grid_Requirement'!CQ22</f>
        <v/>
      </c>
      <c r="CT204">
        <f>'Grid_Requirement'!CR22</f>
        <v/>
      </c>
      <c r="CU204">
        <f>'Grid_Requirement'!CS22</f>
        <v/>
      </c>
      <c r="CV204">
        <f>'Grid_Requirement'!CT22</f>
        <v/>
      </c>
      <c r="CW204">
        <f>'Grid_Requirement'!CU22</f>
        <v/>
      </c>
      <c r="CX204">
        <f>'Grid_Requirement'!CV22</f>
        <v/>
      </c>
      <c r="CY204">
        <f>'Grid_Requirement'!CW22</f>
        <v/>
      </c>
      <c r="CZ204">
        <f>'Grid_Requirement'!CX22</f>
        <v/>
      </c>
      <c r="DA204">
        <f>'Grid_Requirement'!CY22</f>
        <v/>
      </c>
      <c r="DB204">
        <f>'Grid_Requirement'!CZ22</f>
        <v/>
      </c>
      <c r="DC204">
        <f>'Grid_Requirement'!DA22</f>
        <v/>
      </c>
    </row>
    <row r="205">
      <c r="B205" t="inlineStr">
        <is>
          <t>TTAF在庫(実績,kg)</t>
        </is>
      </c>
      <c r="D205">
        <f>'T_TTAFStock'!B26</f>
        <v/>
      </c>
      <c r="E205">
        <f>'T_TTAFStock'!C26</f>
        <v/>
      </c>
      <c r="F205">
        <f>'T_TTAFStock'!D26</f>
        <v/>
      </c>
      <c r="G205">
        <f>'T_TTAFStock'!E26</f>
        <v/>
      </c>
      <c r="H205">
        <f>'T_TTAFStock'!F26</f>
        <v/>
      </c>
      <c r="I205">
        <f>'T_TTAFStock'!G26</f>
        <v/>
      </c>
      <c r="J205">
        <f>'T_TTAFStock'!H26</f>
        <v/>
      </c>
      <c r="K205">
        <f>'T_TTAFStock'!I26</f>
        <v/>
      </c>
      <c r="L205">
        <f>'T_TTAFStock'!J26</f>
        <v/>
      </c>
      <c r="M205">
        <f>'T_TTAFStock'!K26</f>
        <v/>
      </c>
      <c r="N205">
        <f>'T_TTAFStock'!L26</f>
        <v/>
      </c>
      <c r="O205">
        <f>'T_TTAFStock'!M26</f>
        <v/>
      </c>
      <c r="P205">
        <f>'T_TTAFStock'!N26</f>
        <v/>
      </c>
      <c r="Q205">
        <f>'T_TTAFStock'!O26</f>
        <v/>
      </c>
      <c r="R205">
        <f>'T_TTAFStock'!P26</f>
        <v/>
      </c>
      <c r="S205">
        <f>'T_TTAFStock'!Q26</f>
        <v/>
      </c>
      <c r="T205">
        <f>'T_TTAFStock'!R26</f>
        <v/>
      </c>
      <c r="U205">
        <f>'T_TTAFStock'!S26</f>
        <v/>
      </c>
      <c r="V205">
        <f>'T_TTAFStock'!T26</f>
        <v/>
      </c>
      <c r="W205">
        <f>'T_TTAFStock'!U26</f>
        <v/>
      </c>
      <c r="X205">
        <f>'T_TTAFStock'!V26</f>
        <v/>
      </c>
      <c r="Y205">
        <f>'T_TTAFStock'!W26</f>
        <v/>
      </c>
      <c r="Z205">
        <f>'T_TTAFStock'!X26</f>
        <v/>
      </c>
      <c r="AA205">
        <f>'T_TTAFStock'!Y26</f>
        <v/>
      </c>
      <c r="AB205">
        <f>'T_TTAFStock'!Z26</f>
        <v/>
      </c>
      <c r="AC205">
        <f>'T_TTAFStock'!AA26</f>
        <v/>
      </c>
      <c r="AD205">
        <f>'T_TTAFStock'!AB26</f>
        <v/>
      </c>
      <c r="AE205">
        <f>'T_TTAFStock'!AC26</f>
        <v/>
      </c>
      <c r="AF205">
        <f>'T_TTAFStock'!AD26</f>
        <v/>
      </c>
      <c r="AG205">
        <f>'T_TTAFStock'!AE26</f>
        <v/>
      </c>
      <c r="AH205">
        <f>'T_TTAFStock'!AF26</f>
        <v/>
      </c>
      <c r="AI205">
        <f>'T_TTAFStock'!AG26</f>
        <v/>
      </c>
      <c r="AJ205">
        <f>'T_TTAFStock'!AH26</f>
        <v/>
      </c>
      <c r="AK205">
        <f>'T_TTAFStock'!AI26</f>
        <v/>
      </c>
      <c r="AL205">
        <f>'T_TTAFStock'!AJ26</f>
        <v/>
      </c>
      <c r="AM205">
        <f>'T_TTAFStock'!AK26</f>
        <v/>
      </c>
      <c r="AN205">
        <f>'T_TTAFStock'!AL26</f>
        <v/>
      </c>
      <c r="AO205">
        <f>'T_TTAFStock'!AM26</f>
        <v/>
      </c>
      <c r="AP205">
        <f>'T_TTAFStock'!AN26</f>
        <v/>
      </c>
      <c r="AQ205">
        <f>'T_TTAFStock'!AO26</f>
        <v/>
      </c>
      <c r="AR205">
        <f>'T_TTAFStock'!AP26</f>
        <v/>
      </c>
      <c r="AS205">
        <f>'T_TTAFStock'!AQ26</f>
        <v/>
      </c>
      <c r="AT205">
        <f>'T_TTAFStock'!AR26</f>
        <v/>
      </c>
      <c r="AU205">
        <f>'T_TTAFStock'!AS26</f>
        <v/>
      </c>
      <c r="AV205">
        <f>'T_TTAFStock'!AT26</f>
        <v/>
      </c>
      <c r="AW205">
        <f>'T_TTAFStock'!AU26</f>
        <v/>
      </c>
      <c r="AX205">
        <f>'T_TTAFStock'!AV26</f>
        <v/>
      </c>
      <c r="AY205">
        <f>'T_TTAFStock'!AW26</f>
        <v/>
      </c>
      <c r="AZ205">
        <f>'T_TTAFStock'!AX26</f>
        <v/>
      </c>
      <c r="BA205">
        <f>'T_TTAFStock'!AY26</f>
        <v/>
      </c>
      <c r="BB205">
        <f>'T_TTAFStock'!AZ26</f>
        <v/>
      </c>
      <c r="BC205">
        <f>'T_TTAFStock'!BA26</f>
        <v/>
      </c>
      <c r="BD205">
        <f>'T_TTAFStock'!BB26</f>
        <v/>
      </c>
      <c r="BE205">
        <f>'T_TTAFStock'!BC26</f>
        <v/>
      </c>
      <c r="BF205">
        <f>'T_TTAFStock'!BD26</f>
        <v/>
      </c>
      <c r="BG205">
        <f>'T_TTAFStock'!BE26</f>
        <v/>
      </c>
      <c r="BH205">
        <f>'T_TTAFStock'!BF26</f>
        <v/>
      </c>
      <c r="BI205">
        <f>'T_TTAFStock'!BG26</f>
        <v/>
      </c>
      <c r="BJ205">
        <f>'T_TTAFStock'!BH26</f>
        <v/>
      </c>
      <c r="BK205">
        <f>'T_TTAFStock'!BI26</f>
        <v/>
      </c>
      <c r="BL205">
        <f>'T_TTAFStock'!BJ26</f>
        <v/>
      </c>
      <c r="BM205">
        <f>'T_TTAFStock'!BK26</f>
        <v/>
      </c>
      <c r="BN205">
        <f>'T_TTAFStock'!BL26</f>
        <v/>
      </c>
      <c r="BO205">
        <f>'T_TTAFStock'!BM26</f>
        <v/>
      </c>
      <c r="BP205">
        <f>'T_TTAFStock'!BN26</f>
        <v/>
      </c>
      <c r="BQ205">
        <f>'T_TTAFStock'!BO26</f>
        <v/>
      </c>
      <c r="BR205">
        <f>'T_TTAFStock'!BP26</f>
        <v/>
      </c>
      <c r="BS205">
        <f>'T_TTAFStock'!BQ26</f>
        <v/>
      </c>
      <c r="BT205">
        <f>'T_TTAFStock'!BR26</f>
        <v/>
      </c>
      <c r="BU205">
        <f>'T_TTAFStock'!BS26</f>
        <v/>
      </c>
      <c r="BV205">
        <f>'T_TTAFStock'!BT26</f>
        <v/>
      </c>
      <c r="BW205">
        <f>'T_TTAFStock'!BU26</f>
        <v/>
      </c>
      <c r="BX205">
        <f>'T_TTAFStock'!BV26</f>
        <v/>
      </c>
      <c r="BY205">
        <f>'T_TTAFStock'!BW26</f>
        <v/>
      </c>
      <c r="BZ205">
        <f>'T_TTAFStock'!BX26</f>
        <v/>
      </c>
      <c r="CA205">
        <f>'T_TTAFStock'!BY26</f>
        <v/>
      </c>
      <c r="CB205">
        <f>'T_TTAFStock'!BZ26</f>
        <v/>
      </c>
      <c r="CC205">
        <f>'T_TTAFStock'!CA26</f>
        <v/>
      </c>
      <c r="CD205">
        <f>'T_TTAFStock'!CB26</f>
        <v/>
      </c>
      <c r="CE205">
        <f>'T_TTAFStock'!CC26</f>
        <v/>
      </c>
      <c r="CF205">
        <f>'T_TTAFStock'!CD26</f>
        <v/>
      </c>
      <c r="CG205">
        <f>'T_TTAFStock'!CE26</f>
        <v/>
      </c>
      <c r="CH205">
        <f>'T_TTAFStock'!CF26</f>
        <v/>
      </c>
      <c r="CI205">
        <f>'T_TTAFStock'!CG26</f>
        <v/>
      </c>
      <c r="CJ205">
        <f>'T_TTAFStock'!CH26</f>
        <v/>
      </c>
      <c r="CK205">
        <f>'T_TTAFStock'!CI26</f>
        <v/>
      </c>
      <c r="CL205">
        <f>'T_TTAFStock'!CJ26</f>
        <v/>
      </c>
      <c r="CM205">
        <f>'T_TTAFStock'!CK26</f>
        <v/>
      </c>
      <c r="CN205">
        <f>'T_TTAFStock'!CL26</f>
        <v/>
      </c>
      <c r="CO205">
        <f>'T_TTAFStock'!CM26</f>
        <v/>
      </c>
      <c r="CP205">
        <f>'T_TTAFStock'!CN26</f>
        <v/>
      </c>
      <c r="CQ205">
        <f>'T_TTAFStock'!CO26</f>
        <v/>
      </c>
      <c r="CR205">
        <f>'T_TTAFStock'!CP26</f>
        <v/>
      </c>
      <c r="CS205">
        <f>'T_TTAFStock'!CQ26</f>
        <v/>
      </c>
      <c r="CT205">
        <f>'T_TTAFStock'!CR26</f>
        <v/>
      </c>
      <c r="CU205">
        <f>'T_TTAFStock'!CS26</f>
        <v/>
      </c>
      <c r="CV205">
        <f>'T_TTAFStock'!CT26</f>
        <v/>
      </c>
      <c r="CW205">
        <f>'T_TTAFStock'!CU26</f>
        <v/>
      </c>
      <c r="CX205">
        <f>'T_TTAFStock'!CV26</f>
        <v/>
      </c>
      <c r="CY205">
        <f>'T_TTAFStock'!CW26</f>
        <v/>
      </c>
      <c r="CZ205">
        <f>'T_TTAFStock'!CX26</f>
        <v/>
      </c>
      <c r="DA205">
        <f>'T_TTAFStock'!CY26</f>
        <v/>
      </c>
      <c r="DB205">
        <f>'T_TTAFStock'!CZ26</f>
        <v/>
      </c>
      <c r="DC205">
        <f>'T_TTAFStock'!DA26</f>
        <v/>
      </c>
    </row>
    <row r="206">
      <c r="B206" t="inlineStr">
        <is>
          <t>自社在庫(実績,kg)</t>
        </is>
      </c>
      <c r="D206">
        <f>'T_SelfStock'!B26</f>
        <v/>
      </c>
      <c r="E206">
        <f>'T_SelfStock'!C26</f>
        <v/>
      </c>
      <c r="F206">
        <f>'T_SelfStock'!D26</f>
        <v/>
      </c>
      <c r="G206">
        <f>'T_SelfStock'!E26</f>
        <v/>
      </c>
      <c r="H206">
        <f>'T_SelfStock'!F26</f>
        <v/>
      </c>
      <c r="I206">
        <f>'T_SelfStock'!G26</f>
        <v/>
      </c>
      <c r="J206">
        <f>'T_SelfStock'!H26</f>
        <v/>
      </c>
      <c r="K206">
        <f>'T_SelfStock'!I26</f>
        <v/>
      </c>
      <c r="L206">
        <f>'T_SelfStock'!J26</f>
        <v/>
      </c>
      <c r="M206">
        <f>'T_SelfStock'!K26</f>
        <v/>
      </c>
      <c r="N206">
        <f>'T_SelfStock'!L26</f>
        <v/>
      </c>
      <c r="O206">
        <f>'T_SelfStock'!M26</f>
        <v/>
      </c>
      <c r="P206">
        <f>'T_SelfStock'!N26</f>
        <v/>
      </c>
      <c r="Q206">
        <f>'T_SelfStock'!O26</f>
        <v/>
      </c>
      <c r="R206">
        <f>'T_SelfStock'!P26</f>
        <v/>
      </c>
      <c r="S206">
        <f>'T_SelfStock'!Q26</f>
        <v/>
      </c>
      <c r="T206">
        <f>'T_SelfStock'!R26</f>
        <v/>
      </c>
      <c r="U206">
        <f>'T_SelfStock'!S26</f>
        <v/>
      </c>
      <c r="V206">
        <f>'T_SelfStock'!T26</f>
        <v/>
      </c>
      <c r="W206">
        <f>'T_SelfStock'!U26</f>
        <v/>
      </c>
      <c r="X206">
        <f>'T_SelfStock'!V26</f>
        <v/>
      </c>
      <c r="Y206">
        <f>'T_SelfStock'!W26</f>
        <v/>
      </c>
      <c r="Z206">
        <f>'T_SelfStock'!X26</f>
        <v/>
      </c>
      <c r="AA206">
        <f>'T_SelfStock'!Y26</f>
        <v/>
      </c>
      <c r="AB206">
        <f>'T_SelfStock'!Z26</f>
        <v/>
      </c>
      <c r="AC206">
        <f>'T_SelfStock'!AA26</f>
        <v/>
      </c>
      <c r="AD206">
        <f>'T_SelfStock'!AB26</f>
        <v/>
      </c>
      <c r="AE206">
        <f>'T_SelfStock'!AC26</f>
        <v/>
      </c>
      <c r="AF206">
        <f>'T_SelfStock'!AD26</f>
        <v/>
      </c>
      <c r="AG206">
        <f>'T_SelfStock'!AE26</f>
        <v/>
      </c>
      <c r="AH206">
        <f>'T_SelfStock'!AF26</f>
        <v/>
      </c>
      <c r="AI206">
        <f>'T_SelfStock'!AG26</f>
        <v/>
      </c>
      <c r="AJ206">
        <f>'T_SelfStock'!AH26</f>
        <v/>
      </c>
      <c r="AK206">
        <f>'T_SelfStock'!AI26</f>
        <v/>
      </c>
      <c r="AL206">
        <f>'T_SelfStock'!AJ26</f>
        <v/>
      </c>
      <c r="AM206">
        <f>'T_SelfStock'!AK26</f>
        <v/>
      </c>
      <c r="AN206">
        <f>'T_SelfStock'!AL26</f>
        <v/>
      </c>
      <c r="AO206">
        <f>'T_SelfStock'!AM26</f>
        <v/>
      </c>
      <c r="AP206">
        <f>'T_SelfStock'!AN26</f>
        <v/>
      </c>
      <c r="AQ206">
        <f>'T_SelfStock'!AO26</f>
        <v/>
      </c>
      <c r="AR206">
        <f>'T_SelfStock'!AP26</f>
        <v/>
      </c>
      <c r="AS206">
        <f>'T_SelfStock'!AQ26</f>
        <v/>
      </c>
      <c r="AT206">
        <f>'T_SelfStock'!AR26</f>
        <v/>
      </c>
      <c r="AU206">
        <f>'T_SelfStock'!AS26</f>
        <v/>
      </c>
      <c r="AV206">
        <f>'T_SelfStock'!AT26</f>
        <v/>
      </c>
      <c r="AW206">
        <f>'T_SelfStock'!AU26</f>
        <v/>
      </c>
      <c r="AX206">
        <f>'T_SelfStock'!AV26</f>
        <v/>
      </c>
      <c r="AY206">
        <f>'T_SelfStock'!AW26</f>
        <v/>
      </c>
      <c r="AZ206">
        <f>'T_SelfStock'!AX26</f>
        <v/>
      </c>
      <c r="BA206">
        <f>'T_SelfStock'!AY26</f>
        <v/>
      </c>
      <c r="BB206">
        <f>'T_SelfStock'!AZ26</f>
        <v/>
      </c>
      <c r="BC206">
        <f>'T_SelfStock'!BA26</f>
        <v/>
      </c>
      <c r="BD206">
        <f>'T_SelfStock'!BB26</f>
        <v/>
      </c>
      <c r="BE206">
        <f>'T_SelfStock'!BC26</f>
        <v/>
      </c>
      <c r="BF206">
        <f>'T_SelfStock'!BD26</f>
        <v/>
      </c>
      <c r="BG206">
        <f>'T_SelfStock'!BE26</f>
        <v/>
      </c>
      <c r="BH206">
        <f>'T_SelfStock'!BF26</f>
        <v/>
      </c>
      <c r="BI206">
        <f>'T_SelfStock'!BG26</f>
        <v/>
      </c>
      <c r="BJ206">
        <f>'T_SelfStock'!BH26</f>
        <v/>
      </c>
      <c r="BK206">
        <f>'T_SelfStock'!BI26</f>
        <v/>
      </c>
      <c r="BL206">
        <f>'T_SelfStock'!BJ26</f>
        <v/>
      </c>
      <c r="BM206">
        <f>'T_SelfStock'!BK26</f>
        <v/>
      </c>
      <c r="BN206">
        <f>'T_SelfStock'!BL26</f>
        <v/>
      </c>
      <c r="BO206">
        <f>'T_SelfStock'!BM26</f>
        <v/>
      </c>
      <c r="BP206">
        <f>'T_SelfStock'!BN26</f>
        <v/>
      </c>
      <c r="BQ206">
        <f>'T_SelfStock'!BO26</f>
        <v/>
      </c>
      <c r="BR206">
        <f>'T_SelfStock'!BP26</f>
        <v/>
      </c>
      <c r="BS206">
        <f>'T_SelfStock'!BQ26</f>
        <v/>
      </c>
      <c r="BT206">
        <f>'T_SelfStock'!BR26</f>
        <v/>
      </c>
      <c r="BU206">
        <f>'T_SelfStock'!BS26</f>
        <v/>
      </c>
      <c r="BV206">
        <f>'T_SelfStock'!BT26</f>
        <v/>
      </c>
      <c r="BW206">
        <f>'T_SelfStock'!BU26</f>
        <v/>
      </c>
      <c r="BX206">
        <f>'T_SelfStock'!BV26</f>
        <v/>
      </c>
      <c r="BY206">
        <f>'T_SelfStock'!BW26</f>
        <v/>
      </c>
      <c r="BZ206">
        <f>'T_SelfStock'!BX26</f>
        <v/>
      </c>
      <c r="CA206">
        <f>'T_SelfStock'!BY26</f>
        <v/>
      </c>
      <c r="CB206">
        <f>'T_SelfStock'!BZ26</f>
        <v/>
      </c>
      <c r="CC206">
        <f>'T_SelfStock'!CA26</f>
        <v/>
      </c>
      <c r="CD206">
        <f>'T_SelfStock'!CB26</f>
        <v/>
      </c>
      <c r="CE206">
        <f>'T_SelfStock'!CC26</f>
        <v/>
      </c>
      <c r="CF206">
        <f>'T_SelfStock'!CD26</f>
        <v/>
      </c>
      <c r="CG206">
        <f>'T_SelfStock'!CE26</f>
        <v/>
      </c>
      <c r="CH206">
        <f>'T_SelfStock'!CF26</f>
        <v/>
      </c>
      <c r="CI206">
        <f>'T_SelfStock'!CG26</f>
        <v/>
      </c>
      <c r="CJ206">
        <f>'T_SelfStock'!CH26</f>
        <v/>
      </c>
      <c r="CK206">
        <f>'T_SelfStock'!CI26</f>
        <v/>
      </c>
      <c r="CL206">
        <f>'T_SelfStock'!CJ26</f>
        <v/>
      </c>
      <c r="CM206">
        <f>'T_SelfStock'!CK26</f>
        <v/>
      </c>
      <c r="CN206">
        <f>'T_SelfStock'!CL26</f>
        <v/>
      </c>
      <c r="CO206">
        <f>'T_SelfStock'!CM26</f>
        <v/>
      </c>
      <c r="CP206">
        <f>'T_SelfStock'!CN26</f>
        <v/>
      </c>
      <c r="CQ206">
        <f>'T_SelfStock'!CO26</f>
        <v/>
      </c>
      <c r="CR206">
        <f>'T_SelfStock'!CP26</f>
        <v/>
      </c>
      <c r="CS206">
        <f>'T_SelfStock'!CQ26</f>
        <v/>
      </c>
      <c r="CT206">
        <f>'T_SelfStock'!CR26</f>
        <v/>
      </c>
      <c r="CU206">
        <f>'T_SelfStock'!CS26</f>
        <v/>
      </c>
      <c r="CV206">
        <f>'T_SelfStock'!CT26</f>
        <v/>
      </c>
      <c r="CW206">
        <f>'T_SelfStock'!CU26</f>
        <v/>
      </c>
      <c r="CX206">
        <f>'T_SelfStock'!CV26</f>
        <v/>
      </c>
      <c r="CY206">
        <f>'T_SelfStock'!CW26</f>
        <v/>
      </c>
      <c r="CZ206">
        <f>'T_SelfStock'!CX26</f>
        <v/>
      </c>
      <c r="DA206">
        <f>'T_SelfStock'!CY26</f>
        <v/>
      </c>
      <c r="DB206">
        <f>'T_SelfStock'!CZ26</f>
        <v/>
      </c>
      <c r="DC206">
        <f>'T_SelfStock'!DA26</f>
        <v/>
      </c>
    </row>
    <row r="207">
      <c r="B207" t="inlineStr">
        <is>
          <t>Order(発注予定,kg)</t>
        </is>
      </c>
      <c r="D207">
        <f>IF(SUMIFS(T_PlannedOrders[EffectiveQty],T_PlannedOrders[Part Name],$A189,T_PlannedOrders[WeekIndex],1)=0,"",SUMIFS(T_PlannedOrders[EffectiveQty],T_PlannedOrders[Part Name],$A189,T_PlannedOrders[WeekIndex],1)&amp;" ("&amp;TEXT(SUMPRODUCT(MAX((T_PlannedOrders[Part Name]=$A189)*(T_PlannedOrders[WeekIndex]=1)*(T_PlannedOrders[EffectiveQty]&gt;0)*T_PlannedOrders[Order_Month])),"m月")&amp;"発注)")</f>
        <v/>
      </c>
      <c r="E207">
        <f>IF(SUMIFS(T_PlannedOrders[EffectiveQty],T_PlannedOrders[Part Name],$A189,T_PlannedOrders[WeekIndex],2)=0,"",SUMIFS(T_PlannedOrders[EffectiveQty],T_PlannedOrders[Part Name],$A189,T_PlannedOrders[WeekIndex],2)&amp;" ("&amp;TEXT(SUMPRODUCT(MAX((T_PlannedOrders[Part Name]=$A189)*(T_PlannedOrders[WeekIndex]=2)*(T_PlannedOrders[EffectiveQty]&gt;0)*T_PlannedOrders[Order_Month])),"m月")&amp;"発注)")</f>
        <v/>
      </c>
      <c r="F207">
        <f>IF(SUMIFS(T_PlannedOrders[EffectiveQty],T_PlannedOrders[Part Name],$A189,T_PlannedOrders[WeekIndex],3)=0,"",SUMIFS(T_PlannedOrders[EffectiveQty],T_PlannedOrders[Part Name],$A189,T_PlannedOrders[WeekIndex],3)&amp;" ("&amp;TEXT(SUMPRODUCT(MAX((T_PlannedOrders[Part Name]=$A189)*(T_PlannedOrders[WeekIndex]=3)*(T_PlannedOrders[EffectiveQty]&gt;0)*T_PlannedOrders[Order_Month])),"m月")&amp;"発注)")</f>
        <v/>
      </c>
      <c r="G207">
        <f>IF(SUMIFS(T_PlannedOrders[EffectiveQty],T_PlannedOrders[Part Name],$A189,T_PlannedOrders[WeekIndex],4)=0,"",SUMIFS(T_PlannedOrders[EffectiveQty],T_PlannedOrders[Part Name],$A189,T_PlannedOrders[WeekIndex],4)&amp;" ("&amp;TEXT(SUMPRODUCT(MAX((T_PlannedOrders[Part Name]=$A189)*(T_PlannedOrders[WeekIndex]=4)*(T_PlannedOrders[EffectiveQty]&gt;0)*T_PlannedOrders[Order_Month])),"m月")&amp;"発注)")</f>
        <v/>
      </c>
      <c r="H207">
        <f>IF(SUMIFS(T_PlannedOrders[EffectiveQty],T_PlannedOrders[Part Name],$A189,T_PlannedOrders[WeekIndex],5)=0,"",SUMIFS(T_PlannedOrders[EffectiveQty],T_PlannedOrders[Part Name],$A189,T_PlannedOrders[WeekIndex],5)&amp;" ("&amp;TEXT(SUMPRODUCT(MAX((T_PlannedOrders[Part Name]=$A189)*(T_PlannedOrders[WeekIndex]=5)*(T_PlannedOrders[EffectiveQty]&gt;0)*T_PlannedOrders[Order_Month])),"m月")&amp;"発注)")</f>
        <v/>
      </c>
      <c r="I207">
        <f>IF(SUMIFS(T_PlannedOrders[EffectiveQty],T_PlannedOrders[Part Name],$A189,T_PlannedOrders[WeekIndex],6)=0,"",SUMIFS(T_PlannedOrders[EffectiveQty],T_PlannedOrders[Part Name],$A189,T_PlannedOrders[WeekIndex],6)&amp;" ("&amp;TEXT(SUMPRODUCT(MAX((T_PlannedOrders[Part Name]=$A189)*(T_PlannedOrders[WeekIndex]=6)*(T_PlannedOrders[EffectiveQty]&gt;0)*T_PlannedOrders[Order_Month])),"m月")&amp;"発注)")</f>
        <v/>
      </c>
      <c r="J207">
        <f>IF(SUMIFS(T_PlannedOrders[EffectiveQty],T_PlannedOrders[Part Name],$A189,T_PlannedOrders[WeekIndex],7)=0,"",SUMIFS(T_PlannedOrders[EffectiveQty],T_PlannedOrders[Part Name],$A189,T_PlannedOrders[WeekIndex],7)&amp;" ("&amp;TEXT(SUMPRODUCT(MAX((T_PlannedOrders[Part Name]=$A189)*(T_PlannedOrders[WeekIndex]=7)*(T_PlannedOrders[EffectiveQty]&gt;0)*T_PlannedOrders[Order_Month])),"m月")&amp;"発注)")</f>
        <v/>
      </c>
      <c r="K207">
        <f>IF(SUMIFS(T_PlannedOrders[EffectiveQty],T_PlannedOrders[Part Name],$A189,T_PlannedOrders[WeekIndex],8)=0,"",SUMIFS(T_PlannedOrders[EffectiveQty],T_PlannedOrders[Part Name],$A189,T_PlannedOrders[WeekIndex],8)&amp;" ("&amp;TEXT(SUMPRODUCT(MAX((T_PlannedOrders[Part Name]=$A189)*(T_PlannedOrders[WeekIndex]=8)*(T_PlannedOrders[EffectiveQty]&gt;0)*T_PlannedOrders[Order_Month])),"m月")&amp;"発注)")</f>
        <v/>
      </c>
      <c r="L207">
        <f>IF(SUMIFS(T_PlannedOrders[EffectiveQty],T_PlannedOrders[Part Name],$A189,T_PlannedOrders[WeekIndex],9)=0,"",SUMIFS(T_PlannedOrders[EffectiveQty],T_PlannedOrders[Part Name],$A189,T_PlannedOrders[WeekIndex],9)&amp;" ("&amp;TEXT(SUMPRODUCT(MAX((T_PlannedOrders[Part Name]=$A189)*(T_PlannedOrders[WeekIndex]=9)*(T_PlannedOrders[EffectiveQty]&gt;0)*T_PlannedOrders[Order_Month])),"m月")&amp;"発注)")</f>
        <v/>
      </c>
      <c r="M207">
        <f>IF(SUMIFS(T_PlannedOrders[EffectiveQty],T_PlannedOrders[Part Name],$A189,T_PlannedOrders[WeekIndex],10)=0,"",SUMIFS(T_PlannedOrders[EffectiveQty],T_PlannedOrders[Part Name],$A189,T_PlannedOrders[WeekIndex],10)&amp;" ("&amp;TEXT(SUMPRODUCT(MAX((T_PlannedOrders[Part Name]=$A189)*(T_PlannedOrders[WeekIndex]=10)*(T_PlannedOrders[EffectiveQty]&gt;0)*T_PlannedOrders[Order_Month])),"m月")&amp;"発注)")</f>
        <v/>
      </c>
      <c r="N207">
        <f>IF(SUMIFS(T_PlannedOrders[EffectiveQty],T_PlannedOrders[Part Name],$A189,T_PlannedOrders[WeekIndex],11)=0,"",SUMIFS(T_PlannedOrders[EffectiveQty],T_PlannedOrders[Part Name],$A189,T_PlannedOrders[WeekIndex],11)&amp;" ("&amp;TEXT(SUMPRODUCT(MAX((T_PlannedOrders[Part Name]=$A189)*(T_PlannedOrders[WeekIndex]=11)*(T_PlannedOrders[EffectiveQty]&gt;0)*T_PlannedOrders[Order_Month])),"m月")&amp;"発注)")</f>
        <v/>
      </c>
      <c r="O207">
        <f>IF(SUMIFS(T_PlannedOrders[EffectiveQty],T_PlannedOrders[Part Name],$A189,T_PlannedOrders[WeekIndex],12)=0,"",SUMIFS(T_PlannedOrders[EffectiveQty],T_PlannedOrders[Part Name],$A189,T_PlannedOrders[WeekIndex],12)&amp;" ("&amp;TEXT(SUMPRODUCT(MAX((T_PlannedOrders[Part Name]=$A189)*(T_PlannedOrders[WeekIndex]=12)*(T_PlannedOrders[EffectiveQty]&gt;0)*T_PlannedOrders[Order_Month])),"m月")&amp;"発注)")</f>
        <v/>
      </c>
      <c r="P207">
        <f>IF(SUMIFS(T_PlannedOrders[EffectiveQty],T_PlannedOrders[Part Name],$A189,T_PlannedOrders[WeekIndex],13)=0,"",SUMIFS(T_PlannedOrders[EffectiveQty],T_PlannedOrders[Part Name],$A189,T_PlannedOrders[WeekIndex],13)&amp;" ("&amp;TEXT(SUMPRODUCT(MAX((T_PlannedOrders[Part Name]=$A189)*(T_PlannedOrders[WeekIndex]=13)*(T_PlannedOrders[EffectiveQty]&gt;0)*T_PlannedOrders[Order_Month])),"m月")&amp;"発注)")</f>
        <v/>
      </c>
      <c r="Q207">
        <f>IF(SUMIFS(T_PlannedOrders[EffectiveQty],T_PlannedOrders[Part Name],$A189,T_PlannedOrders[WeekIndex],14)=0,"",SUMIFS(T_PlannedOrders[EffectiveQty],T_PlannedOrders[Part Name],$A189,T_PlannedOrders[WeekIndex],14)&amp;" ("&amp;TEXT(SUMPRODUCT(MAX((T_PlannedOrders[Part Name]=$A189)*(T_PlannedOrders[WeekIndex]=14)*(T_PlannedOrders[EffectiveQty]&gt;0)*T_PlannedOrders[Order_Month])),"m月")&amp;"発注)")</f>
        <v/>
      </c>
      <c r="R207">
        <f>IF(SUMIFS(T_PlannedOrders[EffectiveQty],T_PlannedOrders[Part Name],$A189,T_PlannedOrders[WeekIndex],15)=0,"",SUMIFS(T_PlannedOrders[EffectiveQty],T_PlannedOrders[Part Name],$A189,T_PlannedOrders[WeekIndex],15)&amp;" ("&amp;TEXT(SUMPRODUCT(MAX((T_PlannedOrders[Part Name]=$A189)*(T_PlannedOrders[WeekIndex]=15)*(T_PlannedOrders[EffectiveQty]&gt;0)*T_PlannedOrders[Order_Month])),"m月")&amp;"発注)")</f>
        <v/>
      </c>
      <c r="S207">
        <f>IF(SUMIFS(T_PlannedOrders[EffectiveQty],T_PlannedOrders[Part Name],$A189,T_PlannedOrders[WeekIndex],16)=0,"",SUMIFS(T_PlannedOrders[EffectiveQty],T_PlannedOrders[Part Name],$A189,T_PlannedOrders[WeekIndex],16)&amp;" ("&amp;TEXT(SUMPRODUCT(MAX((T_PlannedOrders[Part Name]=$A189)*(T_PlannedOrders[WeekIndex]=16)*(T_PlannedOrders[EffectiveQty]&gt;0)*T_PlannedOrders[Order_Month])),"m月")&amp;"発注)")</f>
        <v/>
      </c>
      <c r="T207">
        <f>IF(SUMIFS(T_PlannedOrders[EffectiveQty],T_PlannedOrders[Part Name],$A189,T_PlannedOrders[WeekIndex],17)=0,"",SUMIFS(T_PlannedOrders[EffectiveQty],T_PlannedOrders[Part Name],$A189,T_PlannedOrders[WeekIndex],17)&amp;" ("&amp;TEXT(SUMPRODUCT(MAX((T_PlannedOrders[Part Name]=$A189)*(T_PlannedOrders[WeekIndex]=17)*(T_PlannedOrders[EffectiveQty]&gt;0)*T_PlannedOrders[Order_Month])),"m月")&amp;"発注)")</f>
        <v/>
      </c>
      <c r="U207">
        <f>IF(SUMIFS(T_PlannedOrders[EffectiveQty],T_PlannedOrders[Part Name],$A189,T_PlannedOrders[WeekIndex],18)=0,"",SUMIFS(T_PlannedOrders[EffectiveQty],T_PlannedOrders[Part Name],$A189,T_PlannedOrders[WeekIndex],18)&amp;" ("&amp;TEXT(SUMPRODUCT(MAX((T_PlannedOrders[Part Name]=$A189)*(T_PlannedOrders[WeekIndex]=18)*(T_PlannedOrders[EffectiveQty]&gt;0)*T_PlannedOrders[Order_Month])),"m月")&amp;"発注)")</f>
        <v/>
      </c>
      <c r="V207">
        <f>IF(SUMIFS(T_PlannedOrders[EffectiveQty],T_PlannedOrders[Part Name],$A189,T_PlannedOrders[WeekIndex],19)=0,"",SUMIFS(T_PlannedOrders[EffectiveQty],T_PlannedOrders[Part Name],$A189,T_PlannedOrders[WeekIndex],19)&amp;" ("&amp;TEXT(SUMPRODUCT(MAX((T_PlannedOrders[Part Name]=$A189)*(T_PlannedOrders[WeekIndex]=19)*(T_PlannedOrders[EffectiveQty]&gt;0)*T_PlannedOrders[Order_Month])),"m月")&amp;"発注)")</f>
        <v/>
      </c>
      <c r="W207">
        <f>IF(SUMIFS(T_PlannedOrders[EffectiveQty],T_PlannedOrders[Part Name],$A189,T_PlannedOrders[WeekIndex],20)=0,"",SUMIFS(T_PlannedOrders[EffectiveQty],T_PlannedOrders[Part Name],$A189,T_PlannedOrders[WeekIndex],20)&amp;" ("&amp;TEXT(SUMPRODUCT(MAX((T_PlannedOrders[Part Name]=$A189)*(T_PlannedOrders[WeekIndex]=20)*(T_PlannedOrders[EffectiveQty]&gt;0)*T_PlannedOrders[Order_Month])),"m月")&amp;"発注)")</f>
        <v/>
      </c>
      <c r="X207">
        <f>IF(SUMIFS(T_PlannedOrders[EffectiveQty],T_PlannedOrders[Part Name],$A189,T_PlannedOrders[WeekIndex],21)=0,"",SUMIFS(T_PlannedOrders[EffectiveQty],T_PlannedOrders[Part Name],$A189,T_PlannedOrders[WeekIndex],21)&amp;" ("&amp;TEXT(SUMPRODUCT(MAX((T_PlannedOrders[Part Name]=$A189)*(T_PlannedOrders[WeekIndex]=21)*(T_PlannedOrders[EffectiveQty]&gt;0)*T_PlannedOrders[Order_Month])),"m月")&amp;"発注)")</f>
        <v/>
      </c>
      <c r="Y207">
        <f>IF(SUMIFS(T_PlannedOrders[EffectiveQty],T_PlannedOrders[Part Name],$A189,T_PlannedOrders[WeekIndex],22)=0,"",SUMIFS(T_PlannedOrders[EffectiveQty],T_PlannedOrders[Part Name],$A189,T_PlannedOrders[WeekIndex],22)&amp;" ("&amp;TEXT(SUMPRODUCT(MAX((T_PlannedOrders[Part Name]=$A189)*(T_PlannedOrders[WeekIndex]=22)*(T_PlannedOrders[EffectiveQty]&gt;0)*T_PlannedOrders[Order_Month])),"m月")&amp;"発注)")</f>
        <v/>
      </c>
      <c r="Z207">
        <f>IF(SUMIFS(T_PlannedOrders[EffectiveQty],T_PlannedOrders[Part Name],$A189,T_PlannedOrders[WeekIndex],23)=0,"",SUMIFS(T_PlannedOrders[EffectiveQty],T_PlannedOrders[Part Name],$A189,T_PlannedOrders[WeekIndex],23)&amp;" ("&amp;TEXT(SUMPRODUCT(MAX((T_PlannedOrders[Part Name]=$A189)*(T_PlannedOrders[WeekIndex]=23)*(T_PlannedOrders[EffectiveQty]&gt;0)*T_PlannedOrders[Order_Month])),"m月")&amp;"発注)")</f>
        <v/>
      </c>
      <c r="AA207">
        <f>IF(SUMIFS(T_PlannedOrders[EffectiveQty],T_PlannedOrders[Part Name],$A189,T_PlannedOrders[WeekIndex],24)=0,"",SUMIFS(T_PlannedOrders[EffectiveQty],T_PlannedOrders[Part Name],$A189,T_PlannedOrders[WeekIndex],24)&amp;" ("&amp;TEXT(SUMPRODUCT(MAX((T_PlannedOrders[Part Name]=$A189)*(T_PlannedOrders[WeekIndex]=24)*(T_PlannedOrders[EffectiveQty]&gt;0)*T_PlannedOrders[Order_Month])),"m月")&amp;"発注)")</f>
        <v/>
      </c>
      <c r="AB207">
        <f>IF(SUMIFS(T_PlannedOrders[EffectiveQty],T_PlannedOrders[Part Name],$A189,T_PlannedOrders[WeekIndex],25)=0,"",SUMIFS(T_PlannedOrders[EffectiveQty],T_PlannedOrders[Part Name],$A189,T_PlannedOrders[WeekIndex],25)&amp;" ("&amp;TEXT(SUMPRODUCT(MAX((T_PlannedOrders[Part Name]=$A189)*(T_PlannedOrders[WeekIndex]=25)*(T_PlannedOrders[EffectiveQty]&gt;0)*T_PlannedOrders[Order_Month])),"m月")&amp;"発注)")</f>
        <v/>
      </c>
      <c r="AC207">
        <f>IF(SUMIFS(T_PlannedOrders[EffectiveQty],T_PlannedOrders[Part Name],$A189,T_PlannedOrders[WeekIndex],26)=0,"",SUMIFS(T_PlannedOrders[EffectiveQty],T_PlannedOrders[Part Name],$A189,T_PlannedOrders[WeekIndex],26)&amp;" ("&amp;TEXT(SUMPRODUCT(MAX((T_PlannedOrders[Part Name]=$A189)*(T_PlannedOrders[WeekIndex]=26)*(T_PlannedOrders[EffectiveQty]&gt;0)*T_PlannedOrders[Order_Month])),"m月")&amp;"発注)")</f>
        <v/>
      </c>
      <c r="AD207">
        <f>IF(SUMIFS(T_PlannedOrders[EffectiveQty],T_PlannedOrders[Part Name],$A189,T_PlannedOrders[WeekIndex],27)=0,"",SUMIFS(T_PlannedOrders[EffectiveQty],T_PlannedOrders[Part Name],$A189,T_PlannedOrders[WeekIndex],27)&amp;" ("&amp;TEXT(SUMPRODUCT(MAX((T_PlannedOrders[Part Name]=$A189)*(T_PlannedOrders[WeekIndex]=27)*(T_PlannedOrders[EffectiveQty]&gt;0)*T_PlannedOrders[Order_Month])),"m月")&amp;"発注)")</f>
        <v/>
      </c>
      <c r="AE207">
        <f>IF(SUMIFS(T_PlannedOrders[EffectiveQty],T_PlannedOrders[Part Name],$A189,T_PlannedOrders[WeekIndex],28)=0,"",SUMIFS(T_PlannedOrders[EffectiveQty],T_PlannedOrders[Part Name],$A189,T_PlannedOrders[WeekIndex],28)&amp;" ("&amp;TEXT(SUMPRODUCT(MAX((T_PlannedOrders[Part Name]=$A189)*(T_PlannedOrders[WeekIndex]=28)*(T_PlannedOrders[EffectiveQty]&gt;0)*T_PlannedOrders[Order_Month])),"m月")&amp;"発注)")</f>
        <v/>
      </c>
      <c r="AF207">
        <f>IF(SUMIFS(T_PlannedOrders[EffectiveQty],T_PlannedOrders[Part Name],$A189,T_PlannedOrders[WeekIndex],29)=0,"",SUMIFS(T_PlannedOrders[EffectiveQty],T_PlannedOrders[Part Name],$A189,T_PlannedOrders[WeekIndex],29)&amp;" ("&amp;TEXT(SUMPRODUCT(MAX((T_PlannedOrders[Part Name]=$A189)*(T_PlannedOrders[WeekIndex]=29)*(T_PlannedOrders[EffectiveQty]&gt;0)*T_PlannedOrders[Order_Month])),"m月")&amp;"発注)")</f>
        <v/>
      </c>
      <c r="AG207">
        <f>IF(SUMIFS(T_PlannedOrders[EffectiveQty],T_PlannedOrders[Part Name],$A189,T_PlannedOrders[WeekIndex],30)=0,"",SUMIFS(T_PlannedOrders[EffectiveQty],T_PlannedOrders[Part Name],$A189,T_PlannedOrders[WeekIndex],30)&amp;" ("&amp;TEXT(SUMPRODUCT(MAX((T_PlannedOrders[Part Name]=$A189)*(T_PlannedOrders[WeekIndex]=30)*(T_PlannedOrders[EffectiveQty]&gt;0)*T_PlannedOrders[Order_Month])),"m月")&amp;"発注)")</f>
        <v/>
      </c>
      <c r="AH207">
        <f>IF(SUMIFS(T_PlannedOrders[EffectiveQty],T_PlannedOrders[Part Name],$A189,T_PlannedOrders[WeekIndex],31)=0,"",SUMIFS(T_PlannedOrders[EffectiveQty],T_PlannedOrders[Part Name],$A189,T_PlannedOrders[WeekIndex],31)&amp;" ("&amp;TEXT(SUMPRODUCT(MAX((T_PlannedOrders[Part Name]=$A189)*(T_PlannedOrders[WeekIndex]=31)*(T_PlannedOrders[EffectiveQty]&gt;0)*T_PlannedOrders[Order_Month])),"m月")&amp;"発注)")</f>
        <v/>
      </c>
      <c r="AI207">
        <f>IF(SUMIFS(T_PlannedOrders[EffectiveQty],T_PlannedOrders[Part Name],$A189,T_PlannedOrders[WeekIndex],32)=0,"",SUMIFS(T_PlannedOrders[EffectiveQty],T_PlannedOrders[Part Name],$A189,T_PlannedOrders[WeekIndex],32)&amp;" ("&amp;TEXT(SUMPRODUCT(MAX((T_PlannedOrders[Part Name]=$A189)*(T_PlannedOrders[WeekIndex]=32)*(T_PlannedOrders[EffectiveQty]&gt;0)*T_PlannedOrders[Order_Month])),"m月")&amp;"発注)")</f>
        <v/>
      </c>
      <c r="AJ207">
        <f>IF(SUMIFS(T_PlannedOrders[EffectiveQty],T_PlannedOrders[Part Name],$A189,T_PlannedOrders[WeekIndex],33)=0,"",SUMIFS(T_PlannedOrders[EffectiveQty],T_PlannedOrders[Part Name],$A189,T_PlannedOrders[WeekIndex],33)&amp;" ("&amp;TEXT(SUMPRODUCT(MAX((T_PlannedOrders[Part Name]=$A189)*(T_PlannedOrders[WeekIndex]=33)*(T_PlannedOrders[EffectiveQty]&gt;0)*T_PlannedOrders[Order_Month])),"m月")&amp;"発注)")</f>
        <v/>
      </c>
      <c r="AK207">
        <f>IF(SUMIFS(T_PlannedOrders[EffectiveQty],T_PlannedOrders[Part Name],$A189,T_PlannedOrders[WeekIndex],34)=0,"",SUMIFS(T_PlannedOrders[EffectiveQty],T_PlannedOrders[Part Name],$A189,T_PlannedOrders[WeekIndex],34)&amp;" ("&amp;TEXT(SUMPRODUCT(MAX((T_PlannedOrders[Part Name]=$A189)*(T_PlannedOrders[WeekIndex]=34)*(T_PlannedOrders[EffectiveQty]&gt;0)*T_PlannedOrders[Order_Month])),"m月")&amp;"発注)")</f>
        <v/>
      </c>
      <c r="AL207">
        <f>IF(SUMIFS(T_PlannedOrders[EffectiveQty],T_PlannedOrders[Part Name],$A189,T_PlannedOrders[WeekIndex],35)=0,"",SUMIFS(T_PlannedOrders[EffectiveQty],T_PlannedOrders[Part Name],$A189,T_PlannedOrders[WeekIndex],35)&amp;" ("&amp;TEXT(SUMPRODUCT(MAX((T_PlannedOrders[Part Name]=$A189)*(T_PlannedOrders[WeekIndex]=35)*(T_PlannedOrders[EffectiveQty]&gt;0)*T_PlannedOrders[Order_Month])),"m月")&amp;"発注)")</f>
        <v/>
      </c>
      <c r="AM207">
        <f>IF(SUMIFS(T_PlannedOrders[EffectiveQty],T_PlannedOrders[Part Name],$A189,T_PlannedOrders[WeekIndex],36)=0,"",SUMIFS(T_PlannedOrders[EffectiveQty],T_PlannedOrders[Part Name],$A189,T_PlannedOrders[WeekIndex],36)&amp;" ("&amp;TEXT(SUMPRODUCT(MAX((T_PlannedOrders[Part Name]=$A189)*(T_PlannedOrders[WeekIndex]=36)*(T_PlannedOrders[EffectiveQty]&gt;0)*T_PlannedOrders[Order_Month])),"m月")&amp;"発注)")</f>
        <v/>
      </c>
      <c r="AN207">
        <f>IF(SUMIFS(T_PlannedOrders[EffectiveQty],T_PlannedOrders[Part Name],$A189,T_PlannedOrders[WeekIndex],37)=0,"",SUMIFS(T_PlannedOrders[EffectiveQty],T_PlannedOrders[Part Name],$A189,T_PlannedOrders[WeekIndex],37)&amp;" ("&amp;TEXT(SUMPRODUCT(MAX((T_PlannedOrders[Part Name]=$A189)*(T_PlannedOrders[WeekIndex]=37)*(T_PlannedOrders[EffectiveQty]&gt;0)*T_PlannedOrders[Order_Month])),"m月")&amp;"発注)")</f>
        <v/>
      </c>
      <c r="AO207">
        <f>IF(SUMIFS(T_PlannedOrders[EffectiveQty],T_PlannedOrders[Part Name],$A189,T_PlannedOrders[WeekIndex],38)=0,"",SUMIFS(T_PlannedOrders[EffectiveQty],T_PlannedOrders[Part Name],$A189,T_PlannedOrders[WeekIndex],38)&amp;" ("&amp;TEXT(SUMPRODUCT(MAX((T_PlannedOrders[Part Name]=$A189)*(T_PlannedOrders[WeekIndex]=38)*(T_PlannedOrders[EffectiveQty]&gt;0)*T_PlannedOrders[Order_Month])),"m月")&amp;"発注)")</f>
        <v/>
      </c>
      <c r="AP207">
        <f>IF(SUMIFS(T_PlannedOrders[EffectiveQty],T_PlannedOrders[Part Name],$A189,T_PlannedOrders[WeekIndex],39)=0,"",SUMIFS(T_PlannedOrders[EffectiveQty],T_PlannedOrders[Part Name],$A189,T_PlannedOrders[WeekIndex],39)&amp;" ("&amp;TEXT(SUMPRODUCT(MAX((T_PlannedOrders[Part Name]=$A189)*(T_PlannedOrders[WeekIndex]=39)*(T_PlannedOrders[EffectiveQty]&gt;0)*T_PlannedOrders[Order_Month])),"m月")&amp;"発注)")</f>
        <v/>
      </c>
      <c r="AQ207">
        <f>IF(SUMIFS(T_PlannedOrders[EffectiveQty],T_PlannedOrders[Part Name],$A189,T_PlannedOrders[WeekIndex],40)=0,"",SUMIFS(T_PlannedOrders[EffectiveQty],T_PlannedOrders[Part Name],$A189,T_PlannedOrders[WeekIndex],40)&amp;" ("&amp;TEXT(SUMPRODUCT(MAX((T_PlannedOrders[Part Name]=$A189)*(T_PlannedOrders[WeekIndex]=40)*(T_PlannedOrders[EffectiveQty]&gt;0)*T_PlannedOrders[Order_Month])),"m月")&amp;"発注)")</f>
        <v/>
      </c>
      <c r="AR207">
        <f>IF(SUMIFS(T_PlannedOrders[EffectiveQty],T_PlannedOrders[Part Name],$A189,T_PlannedOrders[WeekIndex],41)=0,"",SUMIFS(T_PlannedOrders[EffectiveQty],T_PlannedOrders[Part Name],$A189,T_PlannedOrders[WeekIndex],41)&amp;" ("&amp;TEXT(SUMPRODUCT(MAX((T_PlannedOrders[Part Name]=$A189)*(T_PlannedOrders[WeekIndex]=41)*(T_PlannedOrders[EffectiveQty]&gt;0)*T_PlannedOrders[Order_Month])),"m月")&amp;"発注)")</f>
        <v/>
      </c>
      <c r="AS207">
        <f>IF(SUMIFS(T_PlannedOrders[EffectiveQty],T_PlannedOrders[Part Name],$A189,T_PlannedOrders[WeekIndex],42)=0,"",SUMIFS(T_PlannedOrders[EffectiveQty],T_PlannedOrders[Part Name],$A189,T_PlannedOrders[WeekIndex],42)&amp;" ("&amp;TEXT(SUMPRODUCT(MAX((T_PlannedOrders[Part Name]=$A189)*(T_PlannedOrders[WeekIndex]=42)*(T_PlannedOrders[EffectiveQty]&gt;0)*T_PlannedOrders[Order_Month])),"m月")&amp;"発注)")</f>
        <v/>
      </c>
      <c r="AT207">
        <f>IF(SUMIFS(T_PlannedOrders[EffectiveQty],T_PlannedOrders[Part Name],$A189,T_PlannedOrders[WeekIndex],43)=0,"",SUMIFS(T_PlannedOrders[EffectiveQty],T_PlannedOrders[Part Name],$A189,T_PlannedOrders[WeekIndex],43)&amp;" ("&amp;TEXT(SUMPRODUCT(MAX((T_PlannedOrders[Part Name]=$A189)*(T_PlannedOrders[WeekIndex]=43)*(T_PlannedOrders[EffectiveQty]&gt;0)*T_PlannedOrders[Order_Month])),"m月")&amp;"発注)")</f>
        <v/>
      </c>
      <c r="AU207">
        <f>IF(SUMIFS(T_PlannedOrders[EffectiveQty],T_PlannedOrders[Part Name],$A189,T_PlannedOrders[WeekIndex],44)=0,"",SUMIFS(T_PlannedOrders[EffectiveQty],T_PlannedOrders[Part Name],$A189,T_PlannedOrders[WeekIndex],44)&amp;" ("&amp;TEXT(SUMPRODUCT(MAX((T_PlannedOrders[Part Name]=$A189)*(T_PlannedOrders[WeekIndex]=44)*(T_PlannedOrders[EffectiveQty]&gt;0)*T_PlannedOrders[Order_Month])),"m月")&amp;"発注)")</f>
        <v/>
      </c>
      <c r="AV207">
        <f>IF(SUMIFS(T_PlannedOrders[EffectiveQty],T_PlannedOrders[Part Name],$A189,T_PlannedOrders[WeekIndex],45)=0,"",SUMIFS(T_PlannedOrders[EffectiveQty],T_PlannedOrders[Part Name],$A189,T_PlannedOrders[WeekIndex],45)&amp;" ("&amp;TEXT(SUMPRODUCT(MAX((T_PlannedOrders[Part Name]=$A189)*(T_PlannedOrders[WeekIndex]=45)*(T_PlannedOrders[EffectiveQty]&gt;0)*T_PlannedOrders[Order_Month])),"m月")&amp;"発注)")</f>
        <v/>
      </c>
      <c r="AW207">
        <f>IF(SUMIFS(T_PlannedOrders[EffectiveQty],T_PlannedOrders[Part Name],$A189,T_PlannedOrders[WeekIndex],46)=0,"",SUMIFS(T_PlannedOrders[EffectiveQty],T_PlannedOrders[Part Name],$A189,T_PlannedOrders[WeekIndex],46)&amp;" ("&amp;TEXT(SUMPRODUCT(MAX((T_PlannedOrders[Part Name]=$A189)*(T_PlannedOrders[WeekIndex]=46)*(T_PlannedOrders[EffectiveQty]&gt;0)*T_PlannedOrders[Order_Month])),"m月")&amp;"発注)")</f>
        <v/>
      </c>
      <c r="AX207">
        <f>IF(SUMIFS(T_PlannedOrders[EffectiveQty],T_PlannedOrders[Part Name],$A189,T_PlannedOrders[WeekIndex],47)=0,"",SUMIFS(T_PlannedOrders[EffectiveQty],T_PlannedOrders[Part Name],$A189,T_PlannedOrders[WeekIndex],47)&amp;" ("&amp;TEXT(SUMPRODUCT(MAX((T_PlannedOrders[Part Name]=$A189)*(T_PlannedOrders[WeekIndex]=47)*(T_PlannedOrders[EffectiveQty]&gt;0)*T_PlannedOrders[Order_Month])),"m月")&amp;"発注)")</f>
        <v/>
      </c>
      <c r="AY207">
        <f>IF(SUMIFS(T_PlannedOrders[EffectiveQty],T_PlannedOrders[Part Name],$A189,T_PlannedOrders[WeekIndex],48)=0,"",SUMIFS(T_PlannedOrders[EffectiveQty],T_PlannedOrders[Part Name],$A189,T_PlannedOrders[WeekIndex],48)&amp;" ("&amp;TEXT(SUMPRODUCT(MAX((T_PlannedOrders[Part Name]=$A189)*(T_PlannedOrders[WeekIndex]=48)*(T_PlannedOrders[EffectiveQty]&gt;0)*T_PlannedOrders[Order_Month])),"m月")&amp;"発注)")</f>
        <v/>
      </c>
      <c r="AZ207">
        <f>IF(SUMIFS(T_PlannedOrders[EffectiveQty],T_PlannedOrders[Part Name],$A189,T_PlannedOrders[WeekIndex],49)=0,"",SUMIFS(T_PlannedOrders[EffectiveQty],T_PlannedOrders[Part Name],$A189,T_PlannedOrders[WeekIndex],49)&amp;" ("&amp;TEXT(SUMPRODUCT(MAX((T_PlannedOrders[Part Name]=$A189)*(T_PlannedOrders[WeekIndex]=49)*(T_PlannedOrders[EffectiveQty]&gt;0)*T_PlannedOrders[Order_Month])),"m月")&amp;"発注)")</f>
        <v/>
      </c>
      <c r="BA207">
        <f>IF(SUMIFS(T_PlannedOrders[EffectiveQty],T_PlannedOrders[Part Name],$A189,T_PlannedOrders[WeekIndex],50)=0,"",SUMIFS(T_PlannedOrders[EffectiveQty],T_PlannedOrders[Part Name],$A189,T_PlannedOrders[WeekIndex],50)&amp;" ("&amp;TEXT(SUMPRODUCT(MAX((T_PlannedOrders[Part Name]=$A189)*(T_PlannedOrders[WeekIndex]=50)*(T_PlannedOrders[EffectiveQty]&gt;0)*T_PlannedOrders[Order_Month])),"m月")&amp;"発注)")</f>
        <v/>
      </c>
      <c r="BB207">
        <f>IF(SUMIFS(T_PlannedOrders[EffectiveQty],T_PlannedOrders[Part Name],$A189,T_PlannedOrders[WeekIndex],51)=0,"",SUMIFS(T_PlannedOrders[EffectiveQty],T_PlannedOrders[Part Name],$A189,T_PlannedOrders[WeekIndex],51)&amp;" ("&amp;TEXT(SUMPRODUCT(MAX((T_PlannedOrders[Part Name]=$A189)*(T_PlannedOrders[WeekIndex]=51)*(T_PlannedOrders[EffectiveQty]&gt;0)*T_PlannedOrders[Order_Month])),"m月")&amp;"発注)")</f>
        <v/>
      </c>
      <c r="BC207">
        <f>IF(SUMIFS(T_PlannedOrders[EffectiveQty],T_PlannedOrders[Part Name],$A189,T_PlannedOrders[WeekIndex],52)=0,"",SUMIFS(T_PlannedOrders[EffectiveQty],T_PlannedOrders[Part Name],$A189,T_PlannedOrders[WeekIndex],52)&amp;" ("&amp;TEXT(SUMPRODUCT(MAX((T_PlannedOrders[Part Name]=$A189)*(T_PlannedOrders[WeekIndex]=52)*(T_PlannedOrders[EffectiveQty]&gt;0)*T_PlannedOrders[Order_Month])),"m月")&amp;"発注)")</f>
        <v/>
      </c>
      <c r="BD207">
        <f>IF(SUMIFS(T_PlannedOrders[EffectiveQty],T_PlannedOrders[Part Name],$A189,T_PlannedOrders[WeekIndex],53)=0,"",SUMIFS(T_PlannedOrders[EffectiveQty],T_PlannedOrders[Part Name],$A189,T_PlannedOrders[WeekIndex],53)&amp;" ("&amp;TEXT(SUMPRODUCT(MAX((T_PlannedOrders[Part Name]=$A189)*(T_PlannedOrders[WeekIndex]=53)*(T_PlannedOrders[EffectiveQty]&gt;0)*T_PlannedOrders[Order_Month])),"m月")&amp;"発注)")</f>
        <v/>
      </c>
      <c r="BE207">
        <f>IF(SUMIFS(T_PlannedOrders[EffectiveQty],T_PlannedOrders[Part Name],$A189,T_PlannedOrders[WeekIndex],54)=0,"",SUMIFS(T_PlannedOrders[EffectiveQty],T_PlannedOrders[Part Name],$A189,T_PlannedOrders[WeekIndex],54)&amp;" ("&amp;TEXT(SUMPRODUCT(MAX((T_PlannedOrders[Part Name]=$A189)*(T_PlannedOrders[WeekIndex]=54)*(T_PlannedOrders[EffectiveQty]&gt;0)*T_PlannedOrders[Order_Month])),"m月")&amp;"発注)")</f>
        <v/>
      </c>
      <c r="BF207">
        <f>IF(SUMIFS(T_PlannedOrders[EffectiveQty],T_PlannedOrders[Part Name],$A189,T_PlannedOrders[WeekIndex],55)=0,"",SUMIFS(T_PlannedOrders[EffectiveQty],T_PlannedOrders[Part Name],$A189,T_PlannedOrders[WeekIndex],55)&amp;" ("&amp;TEXT(SUMPRODUCT(MAX((T_PlannedOrders[Part Name]=$A189)*(T_PlannedOrders[WeekIndex]=55)*(T_PlannedOrders[EffectiveQty]&gt;0)*T_PlannedOrders[Order_Month])),"m月")&amp;"発注)")</f>
        <v/>
      </c>
      <c r="BG207">
        <f>IF(SUMIFS(T_PlannedOrders[EffectiveQty],T_PlannedOrders[Part Name],$A189,T_PlannedOrders[WeekIndex],56)=0,"",SUMIFS(T_PlannedOrders[EffectiveQty],T_PlannedOrders[Part Name],$A189,T_PlannedOrders[WeekIndex],56)&amp;" ("&amp;TEXT(SUMPRODUCT(MAX((T_PlannedOrders[Part Name]=$A189)*(T_PlannedOrders[WeekIndex]=56)*(T_PlannedOrders[EffectiveQty]&gt;0)*T_PlannedOrders[Order_Month])),"m月")&amp;"発注)")</f>
        <v/>
      </c>
      <c r="BH207">
        <f>IF(SUMIFS(T_PlannedOrders[EffectiveQty],T_PlannedOrders[Part Name],$A189,T_PlannedOrders[WeekIndex],57)=0,"",SUMIFS(T_PlannedOrders[EffectiveQty],T_PlannedOrders[Part Name],$A189,T_PlannedOrders[WeekIndex],57)&amp;" ("&amp;TEXT(SUMPRODUCT(MAX((T_PlannedOrders[Part Name]=$A189)*(T_PlannedOrders[WeekIndex]=57)*(T_PlannedOrders[EffectiveQty]&gt;0)*T_PlannedOrders[Order_Month])),"m月")&amp;"発注)")</f>
        <v/>
      </c>
      <c r="BI207">
        <f>IF(SUMIFS(T_PlannedOrders[EffectiveQty],T_PlannedOrders[Part Name],$A189,T_PlannedOrders[WeekIndex],58)=0,"",SUMIFS(T_PlannedOrders[EffectiveQty],T_PlannedOrders[Part Name],$A189,T_PlannedOrders[WeekIndex],58)&amp;" ("&amp;TEXT(SUMPRODUCT(MAX((T_PlannedOrders[Part Name]=$A189)*(T_PlannedOrders[WeekIndex]=58)*(T_PlannedOrders[EffectiveQty]&gt;0)*T_PlannedOrders[Order_Month])),"m月")&amp;"発注)")</f>
        <v/>
      </c>
      <c r="BJ207">
        <f>IF(SUMIFS(T_PlannedOrders[EffectiveQty],T_PlannedOrders[Part Name],$A189,T_PlannedOrders[WeekIndex],59)=0,"",SUMIFS(T_PlannedOrders[EffectiveQty],T_PlannedOrders[Part Name],$A189,T_PlannedOrders[WeekIndex],59)&amp;" ("&amp;TEXT(SUMPRODUCT(MAX((T_PlannedOrders[Part Name]=$A189)*(T_PlannedOrders[WeekIndex]=59)*(T_PlannedOrders[EffectiveQty]&gt;0)*T_PlannedOrders[Order_Month])),"m月")&amp;"発注)")</f>
        <v/>
      </c>
      <c r="BK207">
        <f>IF(SUMIFS(T_PlannedOrders[EffectiveQty],T_PlannedOrders[Part Name],$A189,T_PlannedOrders[WeekIndex],60)=0,"",SUMIFS(T_PlannedOrders[EffectiveQty],T_PlannedOrders[Part Name],$A189,T_PlannedOrders[WeekIndex],60)&amp;" ("&amp;TEXT(SUMPRODUCT(MAX((T_PlannedOrders[Part Name]=$A189)*(T_PlannedOrders[WeekIndex]=60)*(T_PlannedOrders[EffectiveQty]&gt;0)*T_PlannedOrders[Order_Month])),"m月")&amp;"発注)")</f>
        <v/>
      </c>
      <c r="BL207">
        <f>IF(SUMIFS(T_PlannedOrders[EffectiveQty],T_PlannedOrders[Part Name],$A189,T_PlannedOrders[WeekIndex],61)=0,"",SUMIFS(T_PlannedOrders[EffectiveQty],T_PlannedOrders[Part Name],$A189,T_PlannedOrders[WeekIndex],61)&amp;" ("&amp;TEXT(SUMPRODUCT(MAX((T_PlannedOrders[Part Name]=$A189)*(T_PlannedOrders[WeekIndex]=61)*(T_PlannedOrders[EffectiveQty]&gt;0)*T_PlannedOrders[Order_Month])),"m月")&amp;"発注)")</f>
        <v/>
      </c>
      <c r="BM207">
        <f>IF(SUMIFS(T_PlannedOrders[EffectiveQty],T_PlannedOrders[Part Name],$A189,T_PlannedOrders[WeekIndex],62)=0,"",SUMIFS(T_PlannedOrders[EffectiveQty],T_PlannedOrders[Part Name],$A189,T_PlannedOrders[WeekIndex],62)&amp;" ("&amp;TEXT(SUMPRODUCT(MAX((T_PlannedOrders[Part Name]=$A189)*(T_PlannedOrders[WeekIndex]=62)*(T_PlannedOrders[EffectiveQty]&gt;0)*T_PlannedOrders[Order_Month])),"m月")&amp;"発注)")</f>
        <v/>
      </c>
      <c r="BN207">
        <f>IF(SUMIFS(T_PlannedOrders[EffectiveQty],T_PlannedOrders[Part Name],$A189,T_PlannedOrders[WeekIndex],63)=0,"",SUMIFS(T_PlannedOrders[EffectiveQty],T_PlannedOrders[Part Name],$A189,T_PlannedOrders[WeekIndex],63)&amp;" ("&amp;TEXT(SUMPRODUCT(MAX((T_PlannedOrders[Part Name]=$A189)*(T_PlannedOrders[WeekIndex]=63)*(T_PlannedOrders[EffectiveQty]&gt;0)*T_PlannedOrders[Order_Month])),"m月")&amp;"発注)")</f>
        <v/>
      </c>
      <c r="BO207">
        <f>IF(SUMIFS(T_PlannedOrders[EffectiveQty],T_PlannedOrders[Part Name],$A189,T_PlannedOrders[WeekIndex],64)=0,"",SUMIFS(T_PlannedOrders[EffectiveQty],T_PlannedOrders[Part Name],$A189,T_PlannedOrders[WeekIndex],64)&amp;" ("&amp;TEXT(SUMPRODUCT(MAX((T_PlannedOrders[Part Name]=$A189)*(T_PlannedOrders[WeekIndex]=64)*(T_PlannedOrders[EffectiveQty]&gt;0)*T_PlannedOrders[Order_Month])),"m月")&amp;"発注)")</f>
        <v/>
      </c>
      <c r="BP207">
        <f>IF(SUMIFS(T_PlannedOrders[EffectiveQty],T_PlannedOrders[Part Name],$A189,T_PlannedOrders[WeekIndex],65)=0,"",SUMIFS(T_PlannedOrders[EffectiveQty],T_PlannedOrders[Part Name],$A189,T_PlannedOrders[WeekIndex],65)&amp;" ("&amp;TEXT(SUMPRODUCT(MAX((T_PlannedOrders[Part Name]=$A189)*(T_PlannedOrders[WeekIndex]=65)*(T_PlannedOrders[EffectiveQty]&gt;0)*T_PlannedOrders[Order_Month])),"m月")&amp;"発注)")</f>
        <v/>
      </c>
      <c r="BQ207">
        <f>IF(SUMIFS(T_PlannedOrders[EffectiveQty],T_PlannedOrders[Part Name],$A189,T_PlannedOrders[WeekIndex],66)=0,"",SUMIFS(T_PlannedOrders[EffectiveQty],T_PlannedOrders[Part Name],$A189,T_PlannedOrders[WeekIndex],66)&amp;" ("&amp;TEXT(SUMPRODUCT(MAX((T_PlannedOrders[Part Name]=$A189)*(T_PlannedOrders[WeekIndex]=66)*(T_PlannedOrders[EffectiveQty]&gt;0)*T_PlannedOrders[Order_Month])),"m月")&amp;"発注)")</f>
        <v/>
      </c>
      <c r="BR207">
        <f>IF(SUMIFS(T_PlannedOrders[EffectiveQty],T_PlannedOrders[Part Name],$A189,T_PlannedOrders[WeekIndex],67)=0,"",SUMIFS(T_PlannedOrders[EffectiveQty],T_PlannedOrders[Part Name],$A189,T_PlannedOrders[WeekIndex],67)&amp;" ("&amp;TEXT(SUMPRODUCT(MAX((T_PlannedOrders[Part Name]=$A189)*(T_PlannedOrders[WeekIndex]=67)*(T_PlannedOrders[EffectiveQty]&gt;0)*T_PlannedOrders[Order_Month])),"m月")&amp;"発注)")</f>
        <v/>
      </c>
      <c r="BS207">
        <f>IF(SUMIFS(T_PlannedOrders[EffectiveQty],T_PlannedOrders[Part Name],$A189,T_PlannedOrders[WeekIndex],68)=0,"",SUMIFS(T_PlannedOrders[EffectiveQty],T_PlannedOrders[Part Name],$A189,T_PlannedOrders[WeekIndex],68)&amp;" ("&amp;TEXT(SUMPRODUCT(MAX((T_PlannedOrders[Part Name]=$A189)*(T_PlannedOrders[WeekIndex]=68)*(T_PlannedOrders[EffectiveQty]&gt;0)*T_PlannedOrders[Order_Month])),"m月")&amp;"発注)")</f>
        <v/>
      </c>
      <c r="BT207">
        <f>IF(SUMIFS(T_PlannedOrders[EffectiveQty],T_PlannedOrders[Part Name],$A189,T_PlannedOrders[WeekIndex],69)=0,"",SUMIFS(T_PlannedOrders[EffectiveQty],T_PlannedOrders[Part Name],$A189,T_PlannedOrders[WeekIndex],69)&amp;" ("&amp;TEXT(SUMPRODUCT(MAX((T_PlannedOrders[Part Name]=$A189)*(T_PlannedOrders[WeekIndex]=69)*(T_PlannedOrders[EffectiveQty]&gt;0)*T_PlannedOrders[Order_Month])),"m月")&amp;"発注)")</f>
        <v/>
      </c>
      <c r="BU207">
        <f>IF(SUMIFS(T_PlannedOrders[EffectiveQty],T_PlannedOrders[Part Name],$A189,T_PlannedOrders[WeekIndex],70)=0,"",SUMIFS(T_PlannedOrders[EffectiveQty],T_PlannedOrders[Part Name],$A189,T_PlannedOrders[WeekIndex],70)&amp;" ("&amp;TEXT(SUMPRODUCT(MAX((T_PlannedOrders[Part Name]=$A189)*(T_PlannedOrders[WeekIndex]=70)*(T_PlannedOrders[EffectiveQty]&gt;0)*T_PlannedOrders[Order_Month])),"m月")&amp;"発注)")</f>
        <v/>
      </c>
      <c r="BV207">
        <f>IF(SUMIFS(T_PlannedOrders[EffectiveQty],T_PlannedOrders[Part Name],$A189,T_PlannedOrders[WeekIndex],71)=0,"",SUMIFS(T_PlannedOrders[EffectiveQty],T_PlannedOrders[Part Name],$A189,T_PlannedOrders[WeekIndex],71)&amp;" ("&amp;TEXT(SUMPRODUCT(MAX((T_PlannedOrders[Part Name]=$A189)*(T_PlannedOrders[WeekIndex]=71)*(T_PlannedOrders[EffectiveQty]&gt;0)*T_PlannedOrders[Order_Month])),"m月")&amp;"発注)")</f>
        <v/>
      </c>
      <c r="BW207">
        <f>IF(SUMIFS(T_PlannedOrders[EffectiveQty],T_PlannedOrders[Part Name],$A189,T_PlannedOrders[WeekIndex],72)=0,"",SUMIFS(T_PlannedOrders[EffectiveQty],T_PlannedOrders[Part Name],$A189,T_PlannedOrders[WeekIndex],72)&amp;" ("&amp;TEXT(SUMPRODUCT(MAX((T_PlannedOrders[Part Name]=$A189)*(T_PlannedOrders[WeekIndex]=72)*(T_PlannedOrders[EffectiveQty]&gt;0)*T_PlannedOrders[Order_Month])),"m月")&amp;"発注)")</f>
        <v/>
      </c>
      <c r="BX207">
        <f>IF(SUMIFS(T_PlannedOrders[EffectiveQty],T_PlannedOrders[Part Name],$A189,T_PlannedOrders[WeekIndex],73)=0,"",SUMIFS(T_PlannedOrders[EffectiveQty],T_PlannedOrders[Part Name],$A189,T_PlannedOrders[WeekIndex],73)&amp;" ("&amp;TEXT(SUMPRODUCT(MAX((T_PlannedOrders[Part Name]=$A189)*(T_PlannedOrders[WeekIndex]=73)*(T_PlannedOrders[EffectiveQty]&gt;0)*T_PlannedOrders[Order_Month])),"m月")&amp;"発注)")</f>
        <v/>
      </c>
      <c r="BY207">
        <f>IF(SUMIFS(T_PlannedOrders[EffectiveQty],T_PlannedOrders[Part Name],$A189,T_PlannedOrders[WeekIndex],74)=0,"",SUMIFS(T_PlannedOrders[EffectiveQty],T_PlannedOrders[Part Name],$A189,T_PlannedOrders[WeekIndex],74)&amp;" ("&amp;TEXT(SUMPRODUCT(MAX((T_PlannedOrders[Part Name]=$A189)*(T_PlannedOrders[WeekIndex]=74)*(T_PlannedOrders[EffectiveQty]&gt;0)*T_PlannedOrders[Order_Month])),"m月")&amp;"発注)")</f>
        <v/>
      </c>
      <c r="BZ207">
        <f>IF(SUMIFS(T_PlannedOrders[EffectiveQty],T_PlannedOrders[Part Name],$A189,T_PlannedOrders[WeekIndex],75)=0,"",SUMIFS(T_PlannedOrders[EffectiveQty],T_PlannedOrders[Part Name],$A189,T_PlannedOrders[WeekIndex],75)&amp;" ("&amp;TEXT(SUMPRODUCT(MAX((T_PlannedOrders[Part Name]=$A189)*(T_PlannedOrders[WeekIndex]=75)*(T_PlannedOrders[EffectiveQty]&gt;0)*T_PlannedOrders[Order_Month])),"m月")&amp;"発注)")</f>
        <v/>
      </c>
      <c r="CA207">
        <f>IF(SUMIFS(T_PlannedOrders[EffectiveQty],T_PlannedOrders[Part Name],$A189,T_PlannedOrders[WeekIndex],76)=0,"",SUMIFS(T_PlannedOrders[EffectiveQty],T_PlannedOrders[Part Name],$A189,T_PlannedOrders[WeekIndex],76)&amp;" ("&amp;TEXT(SUMPRODUCT(MAX((T_PlannedOrders[Part Name]=$A189)*(T_PlannedOrders[WeekIndex]=76)*(T_PlannedOrders[EffectiveQty]&gt;0)*T_PlannedOrders[Order_Month])),"m月")&amp;"発注)")</f>
        <v/>
      </c>
      <c r="CB207">
        <f>IF(SUMIFS(T_PlannedOrders[EffectiveQty],T_PlannedOrders[Part Name],$A189,T_PlannedOrders[WeekIndex],77)=0,"",SUMIFS(T_PlannedOrders[EffectiveQty],T_PlannedOrders[Part Name],$A189,T_PlannedOrders[WeekIndex],77)&amp;" ("&amp;TEXT(SUMPRODUCT(MAX((T_PlannedOrders[Part Name]=$A189)*(T_PlannedOrders[WeekIndex]=77)*(T_PlannedOrders[EffectiveQty]&gt;0)*T_PlannedOrders[Order_Month])),"m月")&amp;"発注)")</f>
        <v/>
      </c>
      <c r="CC207">
        <f>IF(SUMIFS(T_PlannedOrders[EffectiveQty],T_PlannedOrders[Part Name],$A189,T_PlannedOrders[WeekIndex],78)=0,"",SUMIFS(T_PlannedOrders[EffectiveQty],T_PlannedOrders[Part Name],$A189,T_PlannedOrders[WeekIndex],78)&amp;" ("&amp;TEXT(SUMPRODUCT(MAX((T_PlannedOrders[Part Name]=$A189)*(T_PlannedOrders[WeekIndex]=78)*(T_PlannedOrders[EffectiveQty]&gt;0)*T_PlannedOrders[Order_Month])),"m月")&amp;"発注)")</f>
        <v/>
      </c>
      <c r="CD207">
        <f>IF(SUMIFS(T_PlannedOrders[EffectiveQty],T_PlannedOrders[Part Name],$A189,T_PlannedOrders[WeekIndex],79)=0,"",SUMIFS(T_PlannedOrders[EffectiveQty],T_PlannedOrders[Part Name],$A189,T_PlannedOrders[WeekIndex],79)&amp;" ("&amp;TEXT(SUMPRODUCT(MAX((T_PlannedOrders[Part Name]=$A189)*(T_PlannedOrders[WeekIndex]=79)*(T_PlannedOrders[EffectiveQty]&gt;0)*T_PlannedOrders[Order_Month])),"m月")&amp;"発注)")</f>
        <v/>
      </c>
      <c r="CE207">
        <f>IF(SUMIFS(T_PlannedOrders[EffectiveQty],T_PlannedOrders[Part Name],$A189,T_PlannedOrders[WeekIndex],80)=0,"",SUMIFS(T_PlannedOrders[EffectiveQty],T_PlannedOrders[Part Name],$A189,T_PlannedOrders[WeekIndex],80)&amp;" ("&amp;TEXT(SUMPRODUCT(MAX((T_PlannedOrders[Part Name]=$A189)*(T_PlannedOrders[WeekIndex]=80)*(T_PlannedOrders[EffectiveQty]&gt;0)*T_PlannedOrders[Order_Month])),"m月")&amp;"発注)")</f>
        <v/>
      </c>
      <c r="CF207">
        <f>IF(SUMIFS(T_PlannedOrders[EffectiveQty],T_PlannedOrders[Part Name],$A189,T_PlannedOrders[WeekIndex],81)=0,"",SUMIFS(T_PlannedOrders[EffectiveQty],T_PlannedOrders[Part Name],$A189,T_PlannedOrders[WeekIndex],81)&amp;" ("&amp;TEXT(SUMPRODUCT(MAX((T_PlannedOrders[Part Name]=$A189)*(T_PlannedOrders[WeekIndex]=81)*(T_PlannedOrders[EffectiveQty]&gt;0)*T_PlannedOrders[Order_Month])),"m月")&amp;"発注)")</f>
        <v/>
      </c>
      <c r="CG207">
        <f>IF(SUMIFS(T_PlannedOrders[EffectiveQty],T_PlannedOrders[Part Name],$A189,T_PlannedOrders[WeekIndex],82)=0,"",SUMIFS(T_PlannedOrders[EffectiveQty],T_PlannedOrders[Part Name],$A189,T_PlannedOrders[WeekIndex],82)&amp;" ("&amp;TEXT(SUMPRODUCT(MAX((T_PlannedOrders[Part Name]=$A189)*(T_PlannedOrders[WeekIndex]=82)*(T_PlannedOrders[EffectiveQty]&gt;0)*T_PlannedOrders[Order_Month])),"m月")&amp;"発注)")</f>
        <v/>
      </c>
      <c r="CH207">
        <f>IF(SUMIFS(T_PlannedOrders[EffectiveQty],T_PlannedOrders[Part Name],$A189,T_PlannedOrders[WeekIndex],83)=0,"",SUMIFS(T_PlannedOrders[EffectiveQty],T_PlannedOrders[Part Name],$A189,T_PlannedOrders[WeekIndex],83)&amp;" ("&amp;TEXT(SUMPRODUCT(MAX((T_PlannedOrders[Part Name]=$A189)*(T_PlannedOrders[WeekIndex]=83)*(T_PlannedOrders[EffectiveQty]&gt;0)*T_PlannedOrders[Order_Month])),"m月")&amp;"発注)")</f>
        <v/>
      </c>
      <c r="CI207">
        <f>IF(SUMIFS(T_PlannedOrders[EffectiveQty],T_PlannedOrders[Part Name],$A189,T_PlannedOrders[WeekIndex],84)=0,"",SUMIFS(T_PlannedOrders[EffectiveQty],T_PlannedOrders[Part Name],$A189,T_PlannedOrders[WeekIndex],84)&amp;" ("&amp;TEXT(SUMPRODUCT(MAX((T_PlannedOrders[Part Name]=$A189)*(T_PlannedOrders[WeekIndex]=84)*(T_PlannedOrders[EffectiveQty]&gt;0)*T_PlannedOrders[Order_Month])),"m月")&amp;"発注)")</f>
        <v/>
      </c>
      <c r="CJ207">
        <f>IF(SUMIFS(T_PlannedOrders[EffectiveQty],T_PlannedOrders[Part Name],$A189,T_PlannedOrders[WeekIndex],85)=0,"",SUMIFS(T_PlannedOrders[EffectiveQty],T_PlannedOrders[Part Name],$A189,T_PlannedOrders[WeekIndex],85)&amp;" ("&amp;TEXT(SUMPRODUCT(MAX((T_PlannedOrders[Part Name]=$A189)*(T_PlannedOrders[WeekIndex]=85)*(T_PlannedOrders[EffectiveQty]&gt;0)*T_PlannedOrders[Order_Month])),"m月")&amp;"発注)")</f>
        <v/>
      </c>
      <c r="CK207">
        <f>IF(SUMIFS(T_PlannedOrders[EffectiveQty],T_PlannedOrders[Part Name],$A189,T_PlannedOrders[WeekIndex],86)=0,"",SUMIFS(T_PlannedOrders[EffectiveQty],T_PlannedOrders[Part Name],$A189,T_PlannedOrders[WeekIndex],86)&amp;" ("&amp;TEXT(SUMPRODUCT(MAX((T_PlannedOrders[Part Name]=$A189)*(T_PlannedOrders[WeekIndex]=86)*(T_PlannedOrders[EffectiveQty]&gt;0)*T_PlannedOrders[Order_Month])),"m月")&amp;"発注)")</f>
        <v/>
      </c>
      <c r="CL207">
        <f>IF(SUMIFS(T_PlannedOrders[EffectiveQty],T_PlannedOrders[Part Name],$A189,T_PlannedOrders[WeekIndex],87)=0,"",SUMIFS(T_PlannedOrders[EffectiveQty],T_PlannedOrders[Part Name],$A189,T_PlannedOrders[WeekIndex],87)&amp;" ("&amp;TEXT(SUMPRODUCT(MAX((T_PlannedOrders[Part Name]=$A189)*(T_PlannedOrders[WeekIndex]=87)*(T_PlannedOrders[EffectiveQty]&gt;0)*T_PlannedOrders[Order_Month])),"m月")&amp;"発注)")</f>
        <v/>
      </c>
      <c r="CM207">
        <f>IF(SUMIFS(T_PlannedOrders[EffectiveQty],T_PlannedOrders[Part Name],$A189,T_PlannedOrders[WeekIndex],88)=0,"",SUMIFS(T_PlannedOrders[EffectiveQty],T_PlannedOrders[Part Name],$A189,T_PlannedOrders[WeekIndex],88)&amp;" ("&amp;TEXT(SUMPRODUCT(MAX((T_PlannedOrders[Part Name]=$A189)*(T_PlannedOrders[WeekIndex]=88)*(T_PlannedOrders[EffectiveQty]&gt;0)*T_PlannedOrders[Order_Month])),"m月")&amp;"発注)")</f>
        <v/>
      </c>
      <c r="CN207">
        <f>IF(SUMIFS(T_PlannedOrders[EffectiveQty],T_PlannedOrders[Part Name],$A189,T_PlannedOrders[WeekIndex],89)=0,"",SUMIFS(T_PlannedOrders[EffectiveQty],T_PlannedOrders[Part Name],$A189,T_PlannedOrders[WeekIndex],89)&amp;" ("&amp;TEXT(SUMPRODUCT(MAX((T_PlannedOrders[Part Name]=$A189)*(T_PlannedOrders[WeekIndex]=89)*(T_PlannedOrders[EffectiveQty]&gt;0)*T_PlannedOrders[Order_Month])),"m月")&amp;"発注)")</f>
        <v/>
      </c>
      <c r="CO207">
        <f>IF(SUMIFS(T_PlannedOrders[EffectiveQty],T_PlannedOrders[Part Name],$A189,T_PlannedOrders[WeekIndex],90)=0,"",SUMIFS(T_PlannedOrders[EffectiveQty],T_PlannedOrders[Part Name],$A189,T_PlannedOrders[WeekIndex],90)&amp;" ("&amp;TEXT(SUMPRODUCT(MAX((T_PlannedOrders[Part Name]=$A189)*(T_PlannedOrders[WeekIndex]=90)*(T_PlannedOrders[EffectiveQty]&gt;0)*T_PlannedOrders[Order_Month])),"m月")&amp;"発注)")</f>
        <v/>
      </c>
      <c r="CP207">
        <f>IF(SUMIFS(T_PlannedOrders[EffectiveQty],T_PlannedOrders[Part Name],$A189,T_PlannedOrders[WeekIndex],91)=0,"",SUMIFS(T_PlannedOrders[EffectiveQty],T_PlannedOrders[Part Name],$A189,T_PlannedOrders[WeekIndex],91)&amp;" ("&amp;TEXT(SUMPRODUCT(MAX((T_PlannedOrders[Part Name]=$A189)*(T_PlannedOrders[WeekIndex]=91)*(T_PlannedOrders[EffectiveQty]&gt;0)*T_PlannedOrders[Order_Month])),"m月")&amp;"発注)")</f>
        <v/>
      </c>
      <c r="CQ207">
        <f>IF(SUMIFS(T_PlannedOrders[EffectiveQty],T_PlannedOrders[Part Name],$A189,T_PlannedOrders[WeekIndex],92)=0,"",SUMIFS(T_PlannedOrders[EffectiveQty],T_PlannedOrders[Part Name],$A189,T_PlannedOrders[WeekIndex],92)&amp;" ("&amp;TEXT(SUMPRODUCT(MAX((T_PlannedOrders[Part Name]=$A189)*(T_PlannedOrders[WeekIndex]=92)*(T_PlannedOrders[EffectiveQty]&gt;0)*T_PlannedOrders[Order_Month])),"m月")&amp;"発注)")</f>
        <v/>
      </c>
      <c r="CR207">
        <f>IF(SUMIFS(T_PlannedOrders[EffectiveQty],T_PlannedOrders[Part Name],$A189,T_PlannedOrders[WeekIndex],93)=0,"",SUMIFS(T_PlannedOrders[EffectiveQty],T_PlannedOrders[Part Name],$A189,T_PlannedOrders[WeekIndex],93)&amp;" ("&amp;TEXT(SUMPRODUCT(MAX((T_PlannedOrders[Part Name]=$A189)*(T_PlannedOrders[WeekIndex]=93)*(T_PlannedOrders[EffectiveQty]&gt;0)*T_PlannedOrders[Order_Month])),"m月")&amp;"発注)")</f>
        <v/>
      </c>
      <c r="CS207">
        <f>IF(SUMIFS(T_PlannedOrders[EffectiveQty],T_PlannedOrders[Part Name],$A189,T_PlannedOrders[WeekIndex],94)=0,"",SUMIFS(T_PlannedOrders[EffectiveQty],T_PlannedOrders[Part Name],$A189,T_PlannedOrders[WeekIndex],94)&amp;" ("&amp;TEXT(SUMPRODUCT(MAX((T_PlannedOrders[Part Name]=$A189)*(T_PlannedOrders[WeekIndex]=94)*(T_PlannedOrders[EffectiveQty]&gt;0)*T_PlannedOrders[Order_Month])),"m月")&amp;"発注)")</f>
        <v/>
      </c>
      <c r="CT207">
        <f>IF(SUMIFS(T_PlannedOrders[EffectiveQty],T_PlannedOrders[Part Name],$A189,T_PlannedOrders[WeekIndex],95)=0,"",SUMIFS(T_PlannedOrders[EffectiveQty],T_PlannedOrders[Part Name],$A189,T_PlannedOrders[WeekIndex],95)&amp;" ("&amp;TEXT(SUMPRODUCT(MAX((T_PlannedOrders[Part Name]=$A189)*(T_PlannedOrders[WeekIndex]=95)*(T_PlannedOrders[EffectiveQty]&gt;0)*T_PlannedOrders[Order_Month])),"m月")&amp;"発注)")</f>
        <v/>
      </c>
      <c r="CU207">
        <f>IF(SUMIFS(T_PlannedOrders[EffectiveQty],T_PlannedOrders[Part Name],$A189,T_PlannedOrders[WeekIndex],96)=0,"",SUMIFS(T_PlannedOrders[EffectiveQty],T_PlannedOrders[Part Name],$A189,T_PlannedOrders[WeekIndex],96)&amp;" ("&amp;TEXT(SUMPRODUCT(MAX((T_PlannedOrders[Part Name]=$A189)*(T_PlannedOrders[WeekIndex]=96)*(T_PlannedOrders[EffectiveQty]&gt;0)*T_PlannedOrders[Order_Month])),"m月")&amp;"発注)")</f>
        <v/>
      </c>
      <c r="CV207">
        <f>IF(SUMIFS(T_PlannedOrders[EffectiveQty],T_PlannedOrders[Part Name],$A189,T_PlannedOrders[WeekIndex],97)=0,"",SUMIFS(T_PlannedOrders[EffectiveQty],T_PlannedOrders[Part Name],$A189,T_PlannedOrders[WeekIndex],97)&amp;" ("&amp;TEXT(SUMPRODUCT(MAX((T_PlannedOrders[Part Name]=$A189)*(T_PlannedOrders[WeekIndex]=97)*(T_PlannedOrders[EffectiveQty]&gt;0)*T_PlannedOrders[Order_Month])),"m月")&amp;"発注)")</f>
        <v/>
      </c>
      <c r="CW207">
        <f>IF(SUMIFS(T_PlannedOrders[EffectiveQty],T_PlannedOrders[Part Name],$A189,T_PlannedOrders[WeekIndex],98)=0,"",SUMIFS(T_PlannedOrders[EffectiveQty],T_PlannedOrders[Part Name],$A189,T_PlannedOrders[WeekIndex],98)&amp;" ("&amp;TEXT(SUMPRODUCT(MAX((T_PlannedOrders[Part Name]=$A189)*(T_PlannedOrders[WeekIndex]=98)*(T_PlannedOrders[EffectiveQty]&gt;0)*T_PlannedOrders[Order_Month])),"m月")&amp;"発注)")</f>
        <v/>
      </c>
      <c r="CX207">
        <f>IF(SUMIFS(T_PlannedOrders[EffectiveQty],T_PlannedOrders[Part Name],$A189,T_PlannedOrders[WeekIndex],99)=0,"",SUMIFS(T_PlannedOrders[EffectiveQty],T_PlannedOrders[Part Name],$A189,T_PlannedOrders[WeekIndex],99)&amp;" ("&amp;TEXT(SUMPRODUCT(MAX((T_PlannedOrders[Part Name]=$A189)*(T_PlannedOrders[WeekIndex]=99)*(T_PlannedOrders[EffectiveQty]&gt;0)*T_PlannedOrders[Order_Month])),"m月")&amp;"発注)")</f>
        <v/>
      </c>
      <c r="CY207">
        <f>IF(SUMIFS(T_PlannedOrders[EffectiveQty],T_PlannedOrders[Part Name],$A189,T_PlannedOrders[WeekIndex],100)=0,"",SUMIFS(T_PlannedOrders[EffectiveQty],T_PlannedOrders[Part Name],$A189,T_PlannedOrders[WeekIndex],100)&amp;" ("&amp;TEXT(SUMPRODUCT(MAX((T_PlannedOrders[Part Name]=$A189)*(T_PlannedOrders[WeekIndex]=100)*(T_PlannedOrders[EffectiveQty]&gt;0)*T_PlannedOrders[Order_Month])),"m月")&amp;"発注)")</f>
        <v/>
      </c>
      <c r="CZ207">
        <f>IF(SUMIFS(T_PlannedOrders[EffectiveQty],T_PlannedOrders[Part Name],$A189,T_PlannedOrders[WeekIndex],101)=0,"",SUMIFS(T_PlannedOrders[EffectiveQty],T_PlannedOrders[Part Name],$A189,T_PlannedOrders[WeekIndex],101)&amp;" ("&amp;TEXT(SUMPRODUCT(MAX((T_PlannedOrders[Part Name]=$A189)*(T_PlannedOrders[WeekIndex]=101)*(T_PlannedOrders[EffectiveQty]&gt;0)*T_PlannedOrders[Order_Month])),"m月")&amp;"発注)")</f>
        <v/>
      </c>
      <c r="DA207">
        <f>IF(SUMIFS(T_PlannedOrders[EffectiveQty],T_PlannedOrders[Part Name],$A189,T_PlannedOrders[WeekIndex],102)=0,"",SUMIFS(T_PlannedOrders[EffectiveQty],T_PlannedOrders[Part Name],$A189,T_PlannedOrders[WeekIndex],102)&amp;" ("&amp;TEXT(SUMPRODUCT(MAX((T_PlannedOrders[Part Name]=$A189)*(T_PlannedOrders[WeekIndex]=102)*(T_PlannedOrders[EffectiveQty]&gt;0)*T_PlannedOrders[Order_Month])),"m月")&amp;"発注)")</f>
        <v/>
      </c>
      <c r="DB207">
        <f>IF(SUMIFS(T_PlannedOrders[EffectiveQty],T_PlannedOrders[Part Name],$A189,T_PlannedOrders[WeekIndex],103)=0,"",SUMIFS(T_PlannedOrders[EffectiveQty],T_PlannedOrders[Part Name],$A189,T_PlannedOrders[WeekIndex],103)&amp;" ("&amp;TEXT(SUMPRODUCT(MAX((T_PlannedOrders[Part Name]=$A189)*(T_PlannedOrders[WeekIndex]=103)*(T_PlannedOrders[EffectiveQty]&gt;0)*T_PlannedOrders[Order_Month])),"m月")&amp;"発注)")</f>
        <v/>
      </c>
      <c r="DC207">
        <f>IF(SUMIFS(T_PlannedOrders[EffectiveQty],T_PlannedOrders[Part Name],$A189,T_PlannedOrders[WeekIndex],104)=0,"",SUMIFS(T_PlannedOrders[EffectiveQty],T_PlannedOrders[Part Name],$A189,T_PlannedOrders[WeekIndex],104)&amp;" ("&amp;TEXT(SUMPRODUCT(MAX((T_PlannedOrders[Part Name]=$A189)*(T_PlannedOrders[WeekIndex]=104)*(T_PlannedOrders[EffectiveQty]&gt;0)*T_PlannedOrders[Order_Month])),"m月")&amp;"発注)")</f>
        <v/>
      </c>
    </row>
    <row r="208">
      <c r="B208" s="5" t="inlineStr">
        <is>
          <t>合計在庫(週末時点,kg)</t>
        </is>
      </c>
      <c r="D208">
        <f>'Grid_Stock'!B22</f>
        <v/>
      </c>
      <c r="E208">
        <f>'Grid_Stock'!C22</f>
        <v/>
      </c>
      <c r="F208">
        <f>'Grid_Stock'!D22</f>
        <v/>
      </c>
      <c r="G208">
        <f>'Grid_Stock'!E22</f>
        <v/>
      </c>
      <c r="H208">
        <f>'Grid_Stock'!F22</f>
        <v/>
      </c>
      <c r="I208">
        <f>'Grid_Stock'!G22</f>
        <v/>
      </c>
      <c r="J208">
        <f>'Grid_Stock'!H22</f>
        <v/>
      </c>
      <c r="K208">
        <f>'Grid_Stock'!I22</f>
        <v/>
      </c>
      <c r="L208">
        <f>'Grid_Stock'!J22</f>
        <v/>
      </c>
      <c r="M208">
        <f>'Grid_Stock'!K22</f>
        <v/>
      </c>
      <c r="N208">
        <f>'Grid_Stock'!L22</f>
        <v/>
      </c>
      <c r="O208">
        <f>'Grid_Stock'!M22</f>
        <v/>
      </c>
      <c r="P208">
        <f>'Grid_Stock'!N22</f>
        <v/>
      </c>
      <c r="Q208">
        <f>'Grid_Stock'!O22</f>
        <v/>
      </c>
      <c r="R208">
        <f>'Grid_Stock'!P22</f>
        <v/>
      </c>
      <c r="S208">
        <f>'Grid_Stock'!Q22</f>
        <v/>
      </c>
      <c r="T208">
        <f>'Grid_Stock'!R22</f>
        <v/>
      </c>
      <c r="U208">
        <f>'Grid_Stock'!S22</f>
        <v/>
      </c>
      <c r="V208">
        <f>'Grid_Stock'!T22</f>
        <v/>
      </c>
      <c r="W208">
        <f>'Grid_Stock'!U22</f>
        <v/>
      </c>
      <c r="X208">
        <f>'Grid_Stock'!V22</f>
        <v/>
      </c>
      <c r="Y208">
        <f>'Grid_Stock'!W22</f>
        <v/>
      </c>
      <c r="Z208">
        <f>'Grid_Stock'!X22</f>
        <v/>
      </c>
      <c r="AA208">
        <f>'Grid_Stock'!Y22</f>
        <v/>
      </c>
      <c r="AB208">
        <f>'Grid_Stock'!Z22</f>
        <v/>
      </c>
      <c r="AC208">
        <f>'Grid_Stock'!AA22</f>
        <v/>
      </c>
      <c r="AD208">
        <f>'Grid_Stock'!AB22</f>
        <v/>
      </c>
      <c r="AE208">
        <f>'Grid_Stock'!AC22</f>
        <v/>
      </c>
      <c r="AF208">
        <f>'Grid_Stock'!AD22</f>
        <v/>
      </c>
      <c r="AG208">
        <f>'Grid_Stock'!AE22</f>
        <v/>
      </c>
      <c r="AH208">
        <f>'Grid_Stock'!AF22</f>
        <v/>
      </c>
      <c r="AI208">
        <f>'Grid_Stock'!AG22</f>
        <v/>
      </c>
      <c r="AJ208">
        <f>'Grid_Stock'!AH22</f>
        <v/>
      </c>
      <c r="AK208">
        <f>'Grid_Stock'!AI22</f>
        <v/>
      </c>
      <c r="AL208">
        <f>'Grid_Stock'!AJ22</f>
        <v/>
      </c>
      <c r="AM208">
        <f>'Grid_Stock'!AK22</f>
        <v/>
      </c>
      <c r="AN208">
        <f>'Grid_Stock'!AL22</f>
        <v/>
      </c>
      <c r="AO208">
        <f>'Grid_Stock'!AM22</f>
        <v/>
      </c>
      <c r="AP208">
        <f>'Grid_Stock'!AN22</f>
        <v/>
      </c>
      <c r="AQ208">
        <f>'Grid_Stock'!AO22</f>
        <v/>
      </c>
      <c r="AR208">
        <f>'Grid_Stock'!AP22</f>
        <v/>
      </c>
      <c r="AS208">
        <f>'Grid_Stock'!AQ22</f>
        <v/>
      </c>
      <c r="AT208">
        <f>'Grid_Stock'!AR22</f>
        <v/>
      </c>
      <c r="AU208">
        <f>'Grid_Stock'!AS22</f>
        <v/>
      </c>
      <c r="AV208">
        <f>'Grid_Stock'!AT22</f>
        <v/>
      </c>
      <c r="AW208">
        <f>'Grid_Stock'!AU22</f>
        <v/>
      </c>
      <c r="AX208">
        <f>'Grid_Stock'!AV22</f>
        <v/>
      </c>
      <c r="AY208">
        <f>'Grid_Stock'!AW22</f>
        <v/>
      </c>
      <c r="AZ208">
        <f>'Grid_Stock'!AX22</f>
        <v/>
      </c>
      <c r="BA208">
        <f>'Grid_Stock'!AY22</f>
        <v/>
      </c>
      <c r="BB208">
        <f>'Grid_Stock'!AZ22</f>
        <v/>
      </c>
      <c r="BC208">
        <f>'Grid_Stock'!BA22</f>
        <v/>
      </c>
      <c r="BD208">
        <f>'Grid_Stock'!BB22</f>
        <v/>
      </c>
      <c r="BE208">
        <f>'Grid_Stock'!BC22</f>
        <v/>
      </c>
      <c r="BF208">
        <f>'Grid_Stock'!BD22</f>
        <v/>
      </c>
      <c r="BG208">
        <f>'Grid_Stock'!BE22</f>
        <v/>
      </c>
      <c r="BH208">
        <f>'Grid_Stock'!BF22</f>
        <v/>
      </c>
      <c r="BI208">
        <f>'Grid_Stock'!BG22</f>
        <v/>
      </c>
      <c r="BJ208">
        <f>'Grid_Stock'!BH22</f>
        <v/>
      </c>
      <c r="BK208">
        <f>'Grid_Stock'!BI22</f>
        <v/>
      </c>
      <c r="BL208">
        <f>'Grid_Stock'!BJ22</f>
        <v/>
      </c>
      <c r="BM208">
        <f>'Grid_Stock'!BK22</f>
        <v/>
      </c>
      <c r="BN208">
        <f>'Grid_Stock'!BL22</f>
        <v/>
      </c>
      <c r="BO208">
        <f>'Grid_Stock'!BM22</f>
        <v/>
      </c>
      <c r="BP208">
        <f>'Grid_Stock'!BN22</f>
        <v/>
      </c>
      <c r="BQ208">
        <f>'Grid_Stock'!BO22</f>
        <v/>
      </c>
      <c r="BR208">
        <f>'Grid_Stock'!BP22</f>
        <v/>
      </c>
      <c r="BS208">
        <f>'Grid_Stock'!BQ22</f>
        <v/>
      </c>
      <c r="BT208">
        <f>'Grid_Stock'!BR22</f>
        <v/>
      </c>
      <c r="BU208">
        <f>'Grid_Stock'!BS22</f>
        <v/>
      </c>
      <c r="BV208">
        <f>'Grid_Stock'!BT22</f>
        <v/>
      </c>
      <c r="BW208">
        <f>'Grid_Stock'!BU22</f>
        <v/>
      </c>
      <c r="BX208">
        <f>'Grid_Stock'!BV22</f>
        <v/>
      </c>
      <c r="BY208">
        <f>'Grid_Stock'!BW22</f>
        <v/>
      </c>
      <c r="BZ208">
        <f>'Grid_Stock'!BX22</f>
        <v/>
      </c>
      <c r="CA208">
        <f>'Grid_Stock'!BY22</f>
        <v/>
      </c>
      <c r="CB208">
        <f>'Grid_Stock'!BZ22</f>
        <v/>
      </c>
      <c r="CC208">
        <f>'Grid_Stock'!CA22</f>
        <v/>
      </c>
      <c r="CD208">
        <f>'Grid_Stock'!CB22</f>
        <v/>
      </c>
      <c r="CE208">
        <f>'Grid_Stock'!CC22</f>
        <v/>
      </c>
      <c r="CF208">
        <f>'Grid_Stock'!CD22</f>
        <v/>
      </c>
      <c r="CG208">
        <f>'Grid_Stock'!CE22</f>
        <v/>
      </c>
      <c r="CH208">
        <f>'Grid_Stock'!CF22</f>
        <v/>
      </c>
      <c r="CI208">
        <f>'Grid_Stock'!CG22</f>
        <v/>
      </c>
      <c r="CJ208">
        <f>'Grid_Stock'!CH22</f>
        <v/>
      </c>
      <c r="CK208">
        <f>'Grid_Stock'!CI22</f>
        <v/>
      </c>
      <c r="CL208">
        <f>'Grid_Stock'!CJ22</f>
        <v/>
      </c>
      <c r="CM208">
        <f>'Grid_Stock'!CK22</f>
        <v/>
      </c>
      <c r="CN208">
        <f>'Grid_Stock'!CL22</f>
        <v/>
      </c>
      <c r="CO208">
        <f>'Grid_Stock'!CM22</f>
        <v/>
      </c>
      <c r="CP208">
        <f>'Grid_Stock'!CN22</f>
        <v/>
      </c>
      <c r="CQ208">
        <f>'Grid_Stock'!CO22</f>
        <v/>
      </c>
      <c r="CR208">
        <f>'Grid_Stock'!CP22</f>
        <v/>
      </c>
      <c r="CS208">
        <f>'Grid_Stock'!CQ22</f>
        <v/>
      </c>
      <c r="CT208">
        <f>'Grid_Stock'!CR22</f>
        <v/>
      </c>
      <c r="CU208">
        <f>'Grid_Stock'!CS22</f>
        <v/>
      </c>
      <c r="CV208">
        <f>'Grid_Stock'!CT22</f>
        <v/>
      </c>
      <c r="CW208">
        <f>'Grid_Stock'!CU22</f>
        <v/>
      </c>
      <c r="CX208">
        <f>'Grid_Stock'!CV22</f>
        <v/>
      </c>
      <c r="CY208">
        <f>'Grid_Stock'!CW22</f>
        <v/>
      </c>
      <c r="CZ208">
        <f>'Grid_Stock'!CX22</f>
        <v/>
      </c>
      <c r="DA208">
        <f>'Grid_Stock'!CY22</f>
        <v/>
      </c>
      <c r="DB208">
        <f>'Grid_Stock'!CZ22</f>
        <v/>
      </c>
      <c r="DC208">
        <f>'Grid_Stock'!DA22</f>
        <v/>
      </c>
    </row>
    <row r="209">
      <c r="B209" s="23" t="inlineStr">
        <is>
          <t>（発注の目安はDashboardの基準在庫[下限/上限]と色分けを参照）</t>
        </is>
      </c>
    </row>
    <row r="211">
      <c r="A211" s="21" t="inlineStr">
        <is>
          <t>CHEM-1110</t>
        </is>
      </c>
      <c r="B211" s="21" t="inlineStr">
        <is>
          <t>Alumina Powder</t>
        </is>
      </c>
      <c r="C211" s="22" t="n"/>
      <c r="D211" s="21" t="n"/>
      <c r="E211" s="21" t="n"/>
      <c r="F211" s="21" t="n"/>
      <c r="G211" s="21" t="n"/>
      <c r="H211" s="2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  <c r="AA211" s="21" t="n"/>
      <c r="AB211" s="21" t="n"/>
      <c r="AC211" s="21" t="n"/>
      <c r="AD211" s="21" t="n"/>
      <c r="AE211" s="21" t="n"/>
      <c r="AF211" s="21" t="n"/>
      <c r="AG211" s="21" t="n"/>
      <c r="AH211" s="21" t="n"/>
      <c r="AI211" s="21" t="n"/>
      <c r="AJ211" s="21" t="n"/>
      <c r="AK211" s="21" t="n"/>
      <c r="AL211" s="21" t="n"/>
      <c r="AM211" s="21" t="n"/>
      <c r="AN211" s="21" t="n"/>
      <c r="AO211" s="21" t="n"/>
      <c r="AP211" s="21" t="n"/>
      <c r="AQ211" s="21" t="n"/>
      <c r="AR211" s="21" t="n"/>
      <c r="AS211" s="21" t="n"/>
      <c r="AT211" s="21" t="n"/>
      <c r="AU211" s="21" t="n"/>
      <c r="AV211" s="21" t="n"/>
      <c r="AW211" s="21" t="n"/>
      <c r="AX211" s="21" t="n"/>
      <c r="AY211" s="21" t="n"/>
      <c r="AZ211" s="21" t="n"/>
      <c r="BA211" s="21" t="n"/>
      <c r="BB211" s="21" t="n"/>
      <c r="BC211" s="21" t="n"/>
      <c r="BD211" s="21" t="n"/>
      <c r="BE211" s="21" t="n"/>
      <c r="BF211" s="21" t="n"/>
      <c r="BG211" s="21" t="n"/>
      <c r="BH211" s="21" t="n"/>
      <c r="BI211" s="21" t="n"/>
      <c r="BJ211" s="21" t="n"/>
      <c r="BK211" s="21" t="n"/>
      <c r="BL211" s="21" t="n"/>
      <c r="BM211" s="21" t="n"/>
      <c r="BN211" s="21" t="n"/>
      <c r="BO211" s="21" t="n"/>
      <c r="BP211" s="21" t="n"/>
      <c r="BQ211" s="21" t="n"/>
      <c r="BR211" s="21" t="n"/>
      <c r="BS211" s="21" t="n"/>
      <c r="BT211" s="21" t="n"/>
      <c r="BU211" s="21" t="n"/>
      <c r="BV211" s="21" t="n"/>
      <c r="BW211" s="21" t="n"/>
      <c r="BX211" s="21" t="n"/>
      <c r="BY211" s="21" t="n"/>
      <c r="BZ211" s="21" t="n"/>
      <c r="CA211" s="21" t="n"/>
      <c r="CB211" s="21" t="n"/>
      <c r="CC211" s="21" t="n"/>
      <c r="CD211" s="21" t="n"/>
      <c r="CE211" s="21" t="n"/>
      <c r="CF211" s="21" t="n"/>
      <c r="CG211" s="21" t="n"/>
      <c r="CH211" s="21" t="n"/>
      <c r="CI211" s="21" t="n"/>
      <c r="CJ211" s="21" t="n"/>
      <c r="CK211" s="21" t="n"/>
      <c r="CL211" s="21" t="n"/>
      <c r="CM211" s="21" t="n"/>
      <c r="CN211" s="21" t="n"/>
      <c r="CO211" s="21" t="n"/>
      <c r="CP211" s="21" t="n"/>
      <c r="CQ211" s="21" t="n"/>
      <c r="CR211" s="21" t="n"/>
      <c r="CS211" s="21" t="n"/>
      <c r="CT211" s="21" t="n"/>
      <c r="CU211" s="21" t="n"/>
      <c r="CV211" s="21" t="n"/>
      <c r="CW211" s="21" t="n"/>
      <c r="CX211" s="21" t="n"/>
      <c r="CY211" s="21" t="n"/>
      <c r="CZ211" s="21" t="n"/>
      <c r="DA211" s="21" t="n"/>
      <c r="DB211" s="21" t="n"/>
      <c r="DC211" s="21" t="n"/>
    </row>
    <row r="212">
      <c r="B212" t="inlineStr">
        <is>
          <t>TPP-103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12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Name],$A211)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t="inlineStr">
        <is>
          <t>TSP-104</t>
        </is>
      </c>
      <c r="C214" t="inlineStr">
        <is>
          <t>No. of batches</t>
        </is>
      </c>
      <c r="D214">
        <f>IFERROR(INDEX(PP_Grid[#Data],$DD214,2),0)</f>
        <v/>
      </c>
      <c r="E214">
        <f>IFERROR(INDEX(PP_Grid[#Data],$DD214,3),0)</f>
        <v/>
      </c>
      <c r="F214">
        <f>IFERROR(INDEX(PP_Grid[#Data],$DD214,4),0)</f>
        <v/>
      </c>
      <c r="G214">
        <f>IFERROR(INDEX(PP_Grid[#Data],$DD214,5),0)</f>
        <v/>
      </c>
      <c r="H214">
        <f>IFERROR(INDEX(PP_Grid[#Data],$DD214,6),0)</f>
        <v/>
      </c>
      <c r="I214">
        <f>IFERROR(INDEX(PP_Grid[#Data],$DD214,7),0)</f>
        <v/>
      </c>
      <c r="J214">
        <f>IFERROR(INDEX(PP_Grid[#Data],$DD214,8),0)</f>
        <v/>
      </c>
      <c r="K214">
        <f>IFERROR(INDEX(PP_Grid[#Data],$DD214,9),0)</f>
        <v/>
      </c>
      <c r="L214">
        <f>IFERROR(INDEX(PP_Grid[#Data],$DD214,10),0)</f>
        <v/>
      </c>
      <c r="M214">
        <f>IFERROR(INDEX(PP_Grid[#Data],$DD214,11),0)</f>
        <v/>
      </c>
      <c r="N214">
        <f>IFERROR(INDEX(PP_Grid[#Data],$DD214,12),0)</f>
        <v/>
      </c>
      <c r="O214">
        <f>IFERROR(INDEX(PP_Grid[#Data],$DD214,13),0)</f>
        <v/>
      </c>
      <c r="P214">
        <f>IFERROR(INDEX(PP_Grid[#Data],$DD214,14),0)</f>
        <v/>
      </c>
      <c r="Q214">
        <f>IFERROR(INDEX(PP_Grid[#Data],$DD214,15),0)</f>
        <v/>
      </c>
      <c r="R214">
        <f>IFERROR(INDEX(PP_Grid[#Data],$DD214,16),0)</f>
        <v/>
      </c>
      <c r="S214">
        <f>IFERROR(INDEX(PP_Grid[#Data],$DD214,17),0)</f>
        <v/>
      </c>
      <c r="T214">
        <f>IFERROR(INDEX(PP_Grid[#Data],$DD214,18),0)</f>
        <v/>
      </c>
      <c r="U214">
        <f>IFERROR(INDEX(PP_Grid[#Data],$DD214,19),0)</f>
        <v/>
      </c>
      <c r="V214">
        <f>IFERROR(INDEX(PP_Grid[#Data],$DD214,20),0)</f>
        <v/>
      </c>
      <c r="W214">
        <f>IFERROR(INDEX(PP_Grid[#Data],$DD214,21),0)</f>
        <v/>
      </c>
      <c r="X214">
        <f>IFERROR(INDEX(PP_Grid[#Data],$DD214,22),0)</f>
        <v/>
      </c>
      <c r="Y214">
        <f>IFERROR(INDEX(PP_Grid[#Data],$DD214,23),0)</f>
        <v/>
      </c>
      <c r="Z214">
        <f>IFERROR(INDEX(PP_Grid[#Data],$DD214,24),0)</f>
        <v/>
      </c>
      <c r="AA214">
        <f>IFERROR(INDEX(PP_Grid[#Data],$DD214,25),0)</f>
        <v/>
      </c>
      <c r="AB214">
        <f>IFERROR(INDEX(PP_Grid[#Data],$DD214,26),0)</f>
        <v/>
      </c>
      <c r="AC214">
        <f>IFERROR(INDEX(PP_Grid[#Data],$DD214,27),0)</f>
        <v/>
      </c>
      <c r="AD214">
        <f>IFERROR(INDEX(PP_Grid[#Data],$DD214,28),0)</f>
        <v/>
      </c>
      <c r="AE214">
        <f>IFERROR(INDEX(PP_Grid[#Data],$DD214,29),0)</f>
        <v/>
      </c>
      <c r="AF214">
        <f>IFERROR(INDEX(PP_Grid[#Data],$DD214,30),0)</f>
        <v/>
      </c>
      <c r="AG214">
        <f>IFERROR(INDEX(PP_Grid[#Data],$DD214,31),0)</f>
        <v/>
      </c>
      <c r="AH214">
        <f>IFERROR(INDEX(PP_Grid[#Data],$DD214,32),0)</f>
        <v/>
      </c>
      <c r="AI214">
        <f>IFERROR(INDEX(PP_Grid[#Data],$DD214,33),0)</f>
        <v/>
      </c>
      <c r="AJ214">
        <f>IFERROR(INDEX(PP_Grid[#Data],$DD214,34),0)</f>
        <v/>
      </c>
      <c r="AK214">
        <f>IFERROR(INDEX(PP_Grid[#Data],$DD214,35),0)</f>
        <v/>
      </c>
      <c r="AL214">
        <f>IFERROR(INDEX(PP_Grid[#Data],$DD214,36),0)</f>
        <v/>
      </c>
      <c r="AM214">
        <f>IFERROR(INDEX(PP_Grid[#Data],$DD214,37),0)</f>
        <v/>
      </c>
      <c r="AN214">
        <f>IFERROR(INDEX(PP_Grid[#Data],$DD214,38),0)</f>
        <v/>
      </c>
      <c r="AO214">
        <f>IFERROR(INDEX(PP_Grid[#Data],$DD214,39),0)</f>
        <v/>
      </c>
      <c r="AP214">
        <f>IFERROR(INDEX(PP_Grid[#Data],$DD214,40),0)</f>
        <v/>
      </c>
      <c r="AQ214">
        <f>IFERROR(INDEX(PP_Grid[#Data],$DD214,41),0)</f>
        <v/>
      </c>
      <c r="AR214">
        <f>IFERROR(INDEX(PP_Grid[#Data],$DD214,42),0)</f>
        <v/>
      </c>
      <c r="AS214">
        <f>IFERROR(INDEX(PP_Grid[#Data],$DD214,43),0)</f>
        <v/>
      </c>
      <c r="AT214">
        <f>IFERROR(INDEX(PP_Grid[#Data],$DD214,44),0)</f>
        <v/>
      </c>
      <c r="AU214">
        <f>IFERROR(INDEX(PP_Grid[#Data],$DD214,45),0)</f>
        <v/>
      </c>
      <c r="AV214">
        <f>IFERROR(INDEX(PP_Grid[#Data],$DD214,46),0)</f>
        <v/>
      </c>
      <c r="AW214">
        <f>IFERROR(INDEX(PP_Grid[#Data],$DD214,47),0)</f>
        <v/>
      </c>
      <c r="AX214">
        <f>IFERROR(INDEX(PP_Grid[#Data],$DD214,48),0)</f>
        <v/>
      </c>
      <c r="AY214">
        <f>IFERROR(INDEX(PP_Grid[#Data],$DD214,49),0)</f>
        <v/>
      </c>
      <c r="AZ214">
        <f>IFERROR(INDEX(PP_Grid[#Data],$DD214,50),0)</f>
        <v/>
      </c>
      <c r="BA214">
        <f>IFERROR(INDEX(PP_Grid[#Data],$DD214,51),0)</f>
        <v/>
      </c>
      <c r="BB214">
        <f>IFERROR(INDEX(PP_Grid[#Data],$DD214,52),0)</f>
        <v/>
      </c>
      <c r="BC214">
        <f>IFERROR(INDEX(PP_Grid[#Data],$DD214,53),0)</f>
        <v/>
      </c>
      <c r="BD214">
        <f>IFERROR(INDEX(PP_Grid[#Data],$DD214,54),0)</f>
        <v/>
      </c>
      <c r="BE214">
        <f>IFERROR(INDEX(PP_Grid[#Data],$DD214,55),0)</f>
        <v/>
      </c>
      <c r="BF214">
        <f>IFERROR(INDEX(PP_Grid[#Data],$DD214,56),0)</f>
        <v/>
      </c>
      <c r="BG214">
        <f>IFERROR(INDEX(PP_Grid[#Data],$DD214,57),0)</f>
        <v/>
      </c>
      <c r="BH214">
        <f>IFERROR(INDEX(PP_Grid[#Data],$DD214,58),0)</f>
        <v/>
      </c>
      <c r="BI214">
        <f>IFERROR(INDEX(PP_Grid[#Data],$DD214,59),0)</f>
        <v/>
      </c>
      <c r="BJ214">
        <f>IFERROR(INDEX(PP_Grid[#Data],$DD214,60),0)</f>
        <v/>
      </c>
      <c r="BK214">
        <f>IFERROR(INDEX(PP_Grid[#Data],$DD214,61),0)</f>
        <v/>
      </c>
      <c r="BL214">
        <f>IFERROR(INDEX(PP_Grid[#Data],$DD214,62),0)</f>
        <v/>
      </c>
      <c r="BM214">
        <f>IFERROR(INDEX(PP_Grid[#Data],$DD214,63),0)</f>
        <v/>
      </c>
      <c r="BN214">
        <f>IFERROR(INDEX(PP_Grid[#Data],$DD214,64),0)</f>
        <v/>
      </c>
      <c r="BO214">
        <f>IFERROR(INDEX(PP_Grid[#Data],$DD214,65),0)</f>
        <v/>
      </c>
      <c r="BP214">
        <f>IFERROR(INDEX(PP_Grid[#Data],$DD214,66),0)</f>
        <v/>
      </c>
      <c r="BQ214">
        <f>IFERROR(INDEX(PP_Grid[#Data],$DD214,67),0)</f>
        <v/>
      </c>
      <c r="BR214">
        <f>IFERROR(INDEX(PP_Grid[#Data],$DD214,68),0)</f>
        <v/>
      </c>
      <c r="BS214">
        <f>IFERROR(INDEX(PP_Grid[#Data],$DD214,69),0)</f>
        <v/>
      </c>
      <c r="BT214">
        <f>IFERROR(INDEX(PP_Grid[#Data],$DD214,70),0)</f>
        <v/>
      </c>
      <c r="BU214">
        <f>IFERROR(INDEX(PP_Grid[#Data],$DD214,71),0)</f>
        <v/>
      </c>
      <c r="BV214">
        <f>IFERROR(INDEX(PP_Grid[#Data],$DD214,72),0)</f>
        <v/>
      </c>
      <c r="BW214">
        <f>IFERROR(INDEX(PP_Grid[#Data],$DD214,73),0)</f>
        <v/>
      </c>
      <c r="BX214">
        <f>IFERROR(INDEX(PP_Grid[#Data],$DD214,74),0)</f>
        <v/>
      </c>
      <c r="BY214">
        <f>IFERROR(INDEX(PP_Grid[#Data],$DD214,75),0)</f>
        <v/>
      </c>
      <c r="BZ214">
        <f>IFERROR(INDEX(PP_Grid[#Data],$DD214,76),0)</f>
        <v/>
      </c>
      <c r="CA214">
        <f>IFERROR(INDEX(PP_Grid[#Data],$DD214,77),0)</f>
        <v/>
      </c>
      <c r="CB214">
        <f>IFERROR(INDEX(PP_Grid[#Data],$DD214,78),0)</f>
        <v/>
      </c>
      <c r="CC214">
        <f>IFERROR(INDEX(PP_Grid[#Data],$DD214,79),0)</f>
        <v/>
      </c>
      <c r="CD214">
        <f>IFERROR(INDEX(PP_Grid[#Data],$DD214,80),0)</f>
        <v/>
      </c>
      <c r="CE214">
        <f>IFERROR(INDEX(PP_Grid[#Data],$DD214,81),0)</f>
        <v/>
      </c>
      <c r="CF214">
        <f>IFERROR(INDEX(PP_Grid[#Data],$DD214,82),0)</f>
        <v/>
      </c>
      <c r="CG214">
        <f>IFERROR(INDEX(PP_Grid[#Data],$DD214,83),0)</f>
        <v/>
      </c>
      <c r="CH214">
        <f>IFERROR(INDEX(PP_Grid[#Data],$DD214,84),0)</f>
        <v/>
      </c>
      <c r="CI214">
        <f>IFERROR(INDEX(PP_Grid[#Data],$DD214,85),0)</f>
        <v/>
      </c>
      <c r="CJ214">
        <f>IFERROR(INDEX(PP_Grid[#Data],$DD214,86),0)</f>
        <v/>
      </c>
      <c r="CK214">
        <f>IFERROR(INDEX(PP_Grid[#Data],$DD214,87),0)</f>
        <v/>
      </c>
      <c r="CL214">
        <f>IFERROR(INDEX(PP_Grid[#Data],$DD214,88),0)</f>
        <v/>
      </c>
      <c r="CM214">
        <f>IFERROR(INDEX(PP_Grid[#Data],$DD214,89),0)</f>
        <v/>
      </c>
      <c r="CN214">
        <f>IFERROR(INDEX(PP_Grid[#Data],$DD214,90),0)</f>
        <v/>
      </c>
      <c r="CO214">
        <f>IFERROR(INDEX(PP_Grid[#Data],$DD214,91),0)</f>
        <v/>
      </c>
      <c r="CP214">
        <f>IFERROR(INDEX(PP_Grid[#Data],$DD214,92),0)</f>
        <v/>
      </c>
      <c r="CQ214">
        <f>IFERROR(INDEX(PP_Grid[#Data],$DD214,93),0)</f>
        <v/>
      </c>
      <c r="CR214">
        <f>IFERROR(INDEX(PP_Grid[#Data],$DD214,94),0)</f>
        <v/>
      </c>
      <c r="CS214">
        <f>IFERROR(INDEX(PP_Grid[#Data],$DD214,95),0)</f>
        <v/>
      </c>
      <c r="CT214">
        <f>IFERROR(INDEX(PP_Grid[#Data],$DD214,96),0)</f>
        <v/>
      </c>
      <c r="CU214">
        <f>IFERROR(INDEX(PP_Grid[#Data],$DD214,97),0)</f>
        <v/>
      </c>
      <c r="CV214">
        <f>IFERROR(INDEX(PP_Grid[#Data],$DD214,98),0)</f>
        <v/>
      </c>
      <c r="CW214">
        <f>IFERROR(INDEX(PP_Grid[#Data],$DD214,99),0)</f>
        <v/>
      </c>
      <c r="CX214">
        <f>IFERROR(INDEX(PP_Grid[#Data],$DD214,100),0)</f>
        <v/>
      </c>
      <c r="CY214">
        <f>IFERROR(INDEX(PP_Grid[#Data],$DD214,101),0)</f>
        <v/>
      </c>
      <c r="CZ214">
        <f>IFERROR(INDEX(PP_Grid[#Data],$DD214,102),0)</f>
        <v/>
      </c>
      <c r="DA214">
        <f>IFERROR(INDEX(PP_Grid[#Data],$DD214,103),0)</f>
        <v/>
      </c>
      <c r="DB214">
        <f>IFERROR(INDEX(PP_Grid[#Data],$DD214,104),0)</f>
        <v/>
      </c>
      <c r="DC214">
        <f>IFERROR(INDEX(PP_Grid[#Data],$DD214,105),0)</f>
        <v/>
      </c>
      <c r="DD214" s="12">
        <f>IFERROR(MATCH($B214,PP_Grid[Intermediate],0),99999)</f>
        <v/>
      </c>
    </row>
    <row r="215">
      <c r="B215" t="inlineStr">
        <is>
          <t>使用量(kg)</t>
        </is>
      </c>
      <c r="C215">
        <f>SUMIFS(M_BOM[RM_Qty_Per_Batch],M_BOM[Intermediate],$B214,M_BOM[Part Name],$A211)</f>
        <v/>
      </c>
      <c r="D215">
        <f>$C215*D214</f>
        <v/>
      </c>
      <c r="E215">
        <f>$C215*E214</f>
        <v/>
      </c>
      <c r="F215">
        <f>$C215*F214</f>
        <v/>
      </c>
      <c r="G215">
        <f>$C215*G214</f>
        <v/>
      </c>
      <c r="H215">
        <f>$C215*H214</f>
        <v/>
      </c>
      <c r="I215">
        <f>$C215*I214</f>
        <v/>
      </c>
      <c r="J215">
        <f>$C215*J214</f>
        <v/>
      </c>
      <c r="K215">
        <f>$C215*K214</f>
        <v/>
      </c>
      <c r="L215">
        <f>$C215*L214</f>
        <v/>
      </c>
      <c r="M215">
        <f>$C215*M214</f>
        <v/>
      </c>
      <c r="N215">
        <f>$C215*N214</f>
        <v/>
      </c>
      <c r="O215">
        <f>$C215*O214</f>
        <v/>
      </c>
      <c r="P215">
        <f>$C215*P214</f>
        <v/>
      </c>
      <c r="Q215">
        <f>$C215*Q214</f>
        <v/>
      </c>
      <c r="R215">
        <f>$C215*R214</f>
        <v/>
      </c>
      <c r="S215">
        <f>$C215*S214</f>
        <v/>
      </c>
      <c r="T215">
        <f>$C215*T214</f>
        <v/>
      </c>
      <c r="U215">
        <f>$C215*U214</f>
        <v/>
      </c>
      <c r="V215">
        <f>$C215*V214</f>
        <v/>
      </c>
      <c r="W215">
        <f>$C215*W214</f>
        <v/>
      </c>
      <c r="X215">
        <f>$C215*X214</f>
        <v/>
      </c>
      <c r="Y215">
        <f>$C215*Y214</f>
        <v/>
      </c>
      <c r="Z215">
        <f>$C215*Z214</f>
        <v/>
      </c>
      <c r="AA215">
        <f>$C215*AA214</f>
        <v/>
      </c>
      <c r="AB215">
        <f>$C215*AB214</f>
        <v/>
      </c>
      <c r="AC215">
        <f>$C215*AC214</f>
        <v/>
      </c>
      <c r="AD215">
        <f>$C215*AD214</f>
        <v/>
      </c>
      <c r="AE215">
        <f>$C215*AE214</f>
        <v/>
      </c>
      <c r="AF215">
        <f>$C215*AF214</f>
        <v/>
      </c>
      <c r="AG215">
        <f>$C215*AG214</f>
        <v/>
      </c>
      <c r="AH215">
        <f>$C215*AH214</f>
        <v/>
      </c>
      <c r="AI215">
        <f>$C215*AI214</f>
        <v/>
      </c>
      <c r="AJ215">
        <f>$C215*AJ214</f>
        <v/>
      </c>
      <c r="AK215">
        <f>$C215*AK214</f>
        <v/>
      </c>
      <c r="AL215">
        <f>$C215*AL214</f>
        <v/>
      </c>
      <c r="AM215">
        <f>$C215*AM214</f>
        <v/>
      </c>
      <c r="AN215">
        <f>$C215*AN214</f>
        <v/>
      </c>
      <c r="AO215">
        <f>$C215*AO214</f>
        <v/>
      </c>
      <c r="AP215">
        <f>$C215*AP214</f>
        <v/>
      </c>
      <c r="AQ215">
        <f>$C215*AQ214</f>
        <v/>
      </c>
      <c r="AR215">
        <f>$C215*AR214</f>
        <v/>
      </c>
      <c r="AS215">
        <f>$C215*AS214</f>
        <v/>
      </c>
      <c r="AT215">
        <f>$C215*AT214</f>
        <v/>
      </c>
      <c r="AU215">
        <f>$C215*AU214</f>
        <v/>
      </c>
      <c r="AV215">
        <f>$C215*AV214</f>
        <v/>
      </c>
      <c r="AW215">
        <f>$C215*AW214</f>
        <v/>
      </c>
      <c r="AX215">
        <f>$C215*AX214</f>
        <v/>
      </c>
      <c r="AY215">
        <f>$C215*AY214</f>
        <v/>
      </c>
      <c r="AZ215">
        <f>$C215*AZ214</f>
        <v/>
      </c>
      <c r="BA215">
        <f>$C215*BA214</f>
        <v/>
      </c>
      <c r="BB215">
        <f>$C215*BB214</f>
        <v/>
      </c>
      <c r="BC215">
        <f>$C215*BC214</f>
        <v/>
      </c>
      <c r="BD215">
        <f>$C215*BD214</f>
        <v/>
      </c>
      <c r="BE215">
        <f>$C215*BE214</f>
        <v/>
      </c>
      <c r="BF215">
        <f>$C215*BF214</f>
        <v/>
      </c>
      <c r="BG215">
        <f>$C215*BG214</f>
        <v/>
      </c>
      <c r="BH215">
        <f>$C215*BH214</f>
        <v/>
      </c>
      <c r="BI215">
        <f>$C215*BI214</f>
        <v/>
      </c>
      <c r="BJ215">
        <f>$C215*BJ214</f>
        <v/>
      </c>
      <c r="BK215">
        <f>$C215*BK214</f>
        <v/>
      </c>
      <c r="BL215">
        <f>$C215*BL214</f>
        <v/>
      </c>
      <c r="BM215">
        <f>$C215*BM214</f>
        <v/>
      </c>
      <c r="BN215">
        <f>$C215*BN214</f>
        <v/>
      </c>
      <c r="BO215">
        <f>$C215*BO214</f>
        <v/>
      </c>
      <c r="BP215">
        <f>$C215*BP214</f>
        <v/>
      </c>
      <c r="BQ215">
        <f>$C215*BQ214</f>
        <v/>
      </c>
      <c r="BR215">
        <f>$C215*BR214</f>
        <v/>
      </c>
      <c r="BS215">
        <f>$C215*BS214</f>
        <v/>
      </c>
      <c r="BT215">
        <f>$C215*BT214</f>
        <v/>
      </c>
      <c r="BU215">
        <f>$C215*BU214</f>
        <v/>
      </c>
      <c r="BV215">
        <f>$C215*BV214</f>
        <v/>
      </c>
      <c r="BW215">
        <f>$C215*BW214</f>
        <v/>
      </c>
      <c r="BX215">
        <f>$C215*BX214</f>
        <v/>
      </c>
      <c r="BY215">
        <f>$C215*BY214</f>
        <v/>
      </c>
      <c r="BZ215">
        <f>$C215*BZ214</f>
        <v/>
      </c>
      <c r="CA215">
        <f>$C215*CA214</f>
        <v/>
      </c>
      <c r="CB215">
        <f>$C215*CB214</f>
        <v/>
      </c>
      <c r="CC215">
        <f>$C215*CC214</f>
        <v/>
      </c>
      <c r="CD215">
        <f>$C215*CD214</f>
        <v/>
      </c>
      <c r="CE215">
        <f>$C215*CE214</f>
        <v/>
      </c>
      <c r="CF215">
        <f>$C215*CF214</f>
        <v/>
      </c>
      <c r="CG215">
        <f>$C215*CG214</f>
        <v/>
      </c>
      <c r="CH215">
        <f>$C215*CH214</f>
        <v/>
      </c>
      <c r="CI215">
        <f>$C215*CI214</f>
        <v/>
      </c>
      <c r="CJ215">
        <f>$C215*CJ214</f>
        <v/>
      </c>
      <c r="CK215">
        <f>$C215*CK214</f>
        <v/>
      </c>
      <c r="CL215">
        <f>$C215*CL214</f>
        <v/>
      </c>
      <c r="CM215">
        <f>$C215*CM214</f>
        <v/>
      </c>
      <c r="CN215">
        <f>$C215*CN214</f>
        <v/>
      </c>
      <c r="CO215">
        <f>$C215*CO214</f>
        <v/>
      </c>
      <c r="CP215">
        <f>$C215*CP214</f>
        <v/>
      </c>
      <c r="CQ215">
        <f>$C215*CQ214</f>
        <v/>
      </c>
      <c r="CR215">
        <f>$C215*CR214</f>
        <v/>
      </c>
      <c r="CS215">
        <f>$C215*CS214</f>
        <v/>
      </c>
      <c r="CT215">
        <f>$C215*CT214</f>
        <v/>
      </c>
      <c r="CU215">
        <f>$C215*CU214</f>
        <v/>
      </c>
      <c r="CV215">
        <f>$C215*CV214</f>
        <v/>
      </c>
      <c r="CW215">
        <f>$C215*CW214</f>
        <v/>
      </c>
      <c r="CX215">
        <f>$C215*CX214</f>
        <v/>
      </c>
      <c r="CY215">
        <f>$C215*CY214</f>
        <v/>
      </c>
      <c r="CZ215">
        <f>$C215*CZ214</f>
        <v/>
      </c>
      <c r="DA215">
        <f>$C215*DA214</f>
        <v/>
      </c>
      <c r="DB215">
        <f>$C215*DB214</f>
        <v/>
      </c>
      <c r="DC215">
        <f>$C215*DC214</f>
        <v/>
      </c>
    </row>
    <row r="216">
      <c r="B216" s="5" t="inlineStr">
        <is>
          <t>合計使用量(kg)/週</t>
        </is>
      </c>
      <c r="D216">
        <f>'Grid_Requirement'!B23</f>
        <v/>
      </c>
      <c r="E216">
        <f>'Grid_Requirement'!C23</f>
        <v/>
      </c>
      <c r="F216">
        <f>'Grid_Requirement'!D23</f>
        <v/>
      </c>
      <c r="G216">
        <f>'Grid_Requirement'!E23</f>
        <v/>
      </c>
      <c r="H216">
        <f>'Grid_Requirement'!F23</f>
        <v/>
      </c>
      <c r="I216">
        <f>'Grid_Requirement'!G23</f>
        <v/>
      </c>
      <c r="J216">
        <f>'Grid_Requirement'!H23</f>
        <v/>
      </c>
      <c r="K216">
        <f>'Grid_Requirement'!I23</f>
        <v/>
      </c>
      <c r="L216">
        <f>'Grid_Requirement'!J23</f>
        <v/>
      </c>
      <c r="M216">
        <f>'Grid_Requirement'!K23</f>
        <v/>
      </c>
      <c r="N216">
        <f>'Grid_Requirement'!L23</f>
        <v/>
      </c>
      <c r="O216">
        <f>'Grid_Requirement'!M23</f>
        <v/>
      </c>
      <c r="P216">
        <f>'Grid_Requirement'!N23</f>
        <v/>
      </c>
      <c r="Q216">
        <f>'Grid_Requirement'!O23</f>
        <v/>
      </c>
      <c r="R216">
        <f>'Grid_Requirement'!P23</f>
        <v/>
      </c>
      <c r="S216">
        <f>'Grid_Requirement'!Q23</f>
        <v/>
      </c>
      <c r="T216">
        <f>'Grid_Requirement'!R23</f>
        <v/>
      </c>
      <c r="U216">
        <f>'Grid_Requirement'!S23</f>
        <v/>
      </c>
      <c r="V216">
        <f>'Grid_Requirement'!T23</f>
        <v/>
      </c>
      <c r="W216">
        <f>'Grid_Requirement'!U23</f>
        <v/>
      </c>
      <c r="X216">
        <f>'Grid_Requirement'!V23</f>
        <v/>
      </c>
      <c r="Y216">
        <f>'Grid_Requirement'!W23</f>
        <v/>
      </c>
      <c r="Z216">
        <f>'Grid_Requirement'!X23</f>
        <v/>
      </c>
      <c r="AA216">
        <f>'Grid_Requirement'!Y23</f>
        <v/>
      </c>
      <c r="AB216">
        <f>'Grid_Requirement'!Z23</f>
        <v/>
      </c>
      <c r="AC216">
        <f>'Grid_Requirement'!AA23</f>
        <v/>
      </c>
      <c r="AD216">
        <f>'Grid_Requirement'!AB23</f>
        <v/>
      </c>
      <c r="AE216">
        <f>'Grid_Requirement'!AC23</f>
        <v/>
      </c>
      <c r="AF216">
        <f>'Grid_Requirement'!AD23</f>
        <v/>
      </c>
      <c r="AG216">
        <f>'Grid_Requirement'!AE23</f>
        <v/>
      </c>
      <c r="AH216">
        <f>'Grid_Requirement'!AF23</f>
        <v/>
      </c>
      <c r="AI216">
        <f>'Grid_Requirement'!AG23</f>
        <v/>
      </c>
      <c r="AJ216">
        <f>'Grid_Requirement'!AH23</f>
        <v/>
      </c>
      <c r="AK216">
        <f>'Grid_Requirement'!AI23</f>
        <v/>
      </c>
      <c r="AL216">
        <f>'Grid_Requirement'!AJ23</f>
        <v/>
      </c>
      <c r="AM216">
        <f>'Grid_Requirement'!AK23</f>
        <v/>
      </c>
      <c r="AN216">
        <f>'Grid_Requirement'!AL23</f>
        <v/>
      </c>
      <c r="AO216">
        <f>'Grid_Requirement'!AM23</f>
        <v/>
      </c>
      <c r="AP216">
        <f>'Grid_Requirement'!AN23</f>
        <v/>
      </c>
      <c r="AQ216">
        <f>'Grid_Requirement'!AO23</f>
        <v/>
      </c>
      <c r="AR216">
        <f>'Grid_Requirement'!AP23</f>
        <v/>
      </c>
      <c r="AS216">
        <f>'Grid_Requirement'!AQ23</f>
        <v/>
      </c>
      <c r="AT216">
        <f>'Grid_Requirement'!AR23</f>
        <v/>
      </c>
      <c r="AU216">
        <f>'Grid_Requirement'!AS23</f>
        <v/>
      </c>
      <c r="AV216">
        <f>'Grid_Requirement'!AT23</f>
        <v/>
      </c>
      <c r="AW216">
        <f>'Grid_Requirement'!AU23</f>
        <v/>
      </c>
      <c r="AX216">
        <f>'Grid_Requirement'!AV23</f>
        <v/>
      </c>
      <c r="AY216">
        <f>'Grid_Requirement'!AW23</f>
        <v/>
      </c>
      <c r="AZ216">
        <f>'Grid_Requirement'!AX23</f>
        <v/>
      </c>
      <c r="BA216">
        <f>'Grid_Requirement'!AY23</f>
        <v/>
      </c>
      <c r="BB216">
        <f>'Grid_Requirement'!AZ23</f>
        <v/>
      </c>
      <c r="BC216">
        <f>'Grid_Requirement'!BA23</f>
        <v/>
      </c>
      <c r="BD216">
        <f>'Grid_Requirement'!BB23</f>
        <v/>
      </c>
      <c r="BE216">
        <f>'Grid_Requirement'!BC23</f>
        <v/>
      </c>
      <c r="BF216">
        <f>'Grid_Requirement'!BD23</f>
        <v/>
      </c>
      <c r="BG216">
        <f>'Grid_Requirement'!BE23</f>
        <v/>
      </c>
      <c r="BH216">
        <f>'Grid_Requirement'!BF23</f>
        <v/>
      </c>
      <c r="BI216">
        <f>'Grid_Requirement'!BG23</f>
        <v/>
      </c>
      <c r="BJ216">
        <f>'Grid_Requirement'!BH23</f>
        <v/>
      </c>
      <c r="BK216">
        <f>'Grid_Requirement'!BI23</f>
        <v/>
      </c>
      <c r="BL216">
        <f>'Grid_Requirement'!BJ23</f>
        <v/>
      </c>
      <c r="BM216">
        <f>'Grid_Requirement'!BK23</f>
        <v/>
      </c>
      <c r="BN216">
        <f>'Grid_Requirement'!BL23</f>
        <v/>
      </c>
      <c r="BO216">
        <f>'Grid_Requirement'!BM23</f>
        <v/>
      </c>
      <c r="BP216">
        <f>'Grid_Requirement'!BN23</f>
        <v/>
      </c>
      <c r="BQ216">
        <f>'Grid_Requirement'!BO23</f>
        <v/>
      </c>
      <c r="BR216">
        <f>'Grid_Requirement'!BP23</f>
        <v/>
      </c>
      <c r="BS216">
        <f>'Grid_Requirement'!BQ23</f>
        <v/>
      </c>
      <c r="BT216">
        <f>'Grid_Requirement'!BR23</f>
        <v/>
      </c>
      <c r="BU216">
        <f>'Grid_Requirement'!BS23</f>
        <v/>
      </c>
      <c r="BV216">
        <f>'Grid_Requirement'!BT23</f>
        <v/>
      </c>
      <c r="BW216">
        <f>'Grid_Requirement'!BU23</f>
        <v/>
      </c>
      <c r="BX216">
        <f>'Grid_Requirement'!BV23</f>
        <v/>
      </c>
      <c r="BY216">
        <f>'Grid_Requirement'!BW23</f>
        <v/>
      </c>
      <c r="BZ216">
        <f>'Grid_Requirement'!BX23</f>
        <v/>
      </c>
      <c r="CA216">
        <f>'Grid_Requirement'!BY23</f>
        <v/>
      </c>
      <c r="CB216">
        <f>'Grid_Requirement'!BZ23</f>
        <v/>
      </c>
      <c r="CC216">
        <f>'Grid_Requirement'!CA23</f>
        <v/>
      </c>
      <c r="CD216">
        <f>'Grid_Requirement'!CB23</f>
        <v/>
      </c>
      <c r="CE216">
        <f>'Grid_Requirement'!CC23</f>
        <v/>
      </c>
      <c r="CF216">
        <f>'Grid_Requirement'!CD23</f>
        <v/>
      </c>
      <c r="CG216">
        <f>'Grid_Requirement'!CE23</f>
        <v/>
      </c>
      <c r="CH216">
        <f>'Grid_Requirement'!CF23</f>
        <v/>
      </c>
      <c r="CI216">
        <f>'Grid_Requirement'!CG23</f>
        <v/>
      </c>
      <c r="CJ216">
        <f>'Grid_Requirement'!CH23</f>
        <v/>
      </c>
      <c r="CK216">
        <f>'Grid_Requirement'!CI23</f>
        <v/>
      </c>
      <c r="CL216">
        <f>'Grid_Requirement'!CJ23</f>
        <v/>
      </c>
      <c r="CM216">
        <f>'Grid_Requirement'!CK23</f>
        <v/>
      </c>
      <c r="CN216">
        <f>'Grid_Requirement'!CL23</f>
        <v/>
      </c>
      <c r="CO216">
        <f>'Grid_Requirement'!CM23</f>
        <v/>
      </c>
      <c r="CP216">
        <f>'Grid_Requirement'!CN23</f>
        <v/>
      </c>
      <c r="CQ216">
        <f>'Grid_Requirement'!CO23</f>
        <v/>
      </c>
      <c r="CR216">
        <f>'Grid_Requirement'!CP23</f>
        <v/>
      </c>
      <c r="CS216">
        <f>'Grid_Requirement'!CQ23</f>
        <v/>
      </c>
      <c r="CT216">
        <f>'Grid_Requirement'!CR23</f>
        <v/>
      </c>
      <c r="CU216">
        <f>'Grid_Requirement'!CS23</f>
        <v/>
      </c>
      <c r="CV216">
        <f>'Grid_Requirement'!CT23</f>
        <v/>
      </c>
      <c r="CW216">
        <f>'Grid_Requirement'!CU23</f>
        <v/>
      </c>
      <c r="CX216">
        <f>'Grid_Requirement'!CV23</f>
        <v/>
      </c>
      <c r="CY216">
        <f>'Grid_Requirement'!CW23</f>
        <v/>
      </c>
      <c r="CZ216">
        <f>'Grid_Requirement'!CX23</f>
        <v/>
      </c>
      <c r="DA216">
        <f>'Grid_Requirement'!CY23</f>
        <v/>
      </c>
      <c r="DB216">
        <f>'Grid_Requirement'!CZ23</f>
        <v/>
      </c>
      <c r="DC216">
        <f>'Grid_Requirement'!DA23</f>
        <v/>
      </c>
    </row>
    <row r="217">
      <c r="B217" t="inlineStr">
        <is>
          <t>TTAF在庫(実績,kg)</t>
        </is>
      </c>
      <c r="D217">
        <f>'T_TTAFStock'!B27</f>
        <v/>
      </c>
      <c r="E217">
        <f>'T_TTAFStock'!C27</f>
        <v/>
      </c>
      <c r="F217">
        <f>'T_TTAFStock'!D27</f>
        <v/>
      </c>
      <c r="G217">
        <f>'T_TTAFStock'!E27</f>
        <v/>
      </c>
      <c r="H217">
        <f>'T_TTAFStock'!F27</f>
        <v/>
      </c>
      <c r="I217">
        <f>'T_TTAFStock'!G27</f>
        <v/>
      </c>
      <c r="J217">
        <f>'T_TTAFStock'!H27</f>
        <v/>
      </c>
      <c r="K217">
        <f>'T_TTAFStock'!I27</f>
        <v/>
      </c>
      <c r="L217">
        <f>'T_TTAFStock'!J27</f>
        <v/>
      </c>
      <c r="M217">
        <f>'T_TTAFStock'!K27</f>
        <v/>
      </c>
      <c r="N217">
        <f>'T_TTAFStock'!L27</f>
        <v/>
      </c>
      <c r="O217">
        <f>'T_TTAFStock'!M27</f>
        <v/>
      </c>
      <c r="P217">
        <f>'T_TTAFStock'!N27</f>
        <v/>
      </c>
      <c r="Q217">
        <f>'T_TTAFStock'!O27</f>
        <v/>
      </c>
      <c r="R217">
        <f>'T_TTAFStock'!P27</f>
        <v/>
      </c>
      <c r="S217">
        <f>'T_TTAFStock'!Q27</f>
        <v/>
      </c>
      <c r="T217">
        <f>'T_TTAFStock'!R27</f>
        <v/>
      </c>
      <c r="U217">
        <f>'T_TTAFStock'!S27</f>
        <v/>
      </c>
      <c r="V217">
        <f>'T_TTAFStock'!T27</f>
        <v/>
      </c>
      <c r="W217">
        <f>'T_TTAFStock'!U27</f>
        <v/>
      </c>
      <c r="X217">
        <f>'T_TTAFStock'!V27</f>
        <v/>
      </c>
      <c r="Y217">
        <f>'T_TTAFStock'!W27</f>
        <v/>
      </c>
      <c r="Z217">
        <f>'T_TTAFStock'!X27</f>
        <v/>
      </c>
      <c r="AA217">
        <f>'T_TTAFStock'!Y27</f>
        <v/>
      </c>
      <c r="AB217">
        <f>'T_TTAFStock'!Z27</f>
        <v/>
      </c>
      <c r="AC217">
        <f>'T_TTAFStock'!AA27</f>
        <v/>
      </c>
      <c r="AD217">
        <f>'T_TTAFStock'!AB27</f>
        <v/>
      </c>
      <c r="AE217">
        <f>'T_TTAFStock'!AC27</f>
        <v/>
      </c>
      <c r="AF217">
        <f>'T_TTAFStock'!AD27</f>
        <v/>
      </c>
      <c r="AG217">
        <f>'T_TTAFStock'!AE27</f>
        <v/>
      </c>
      <c r="AH217">
        <f>'T_TTAFStock'!AF27</f>
        <v/>
      </c>
      <c r="AI217">
        <f>'T_TTAFStock'!AG27</f>
        <v/>
      </c>
      <c r="AJ217">
        <f>'T_TTAFStock'!AH27</f>
        <v/>
      </c>
      <c r="AK217">
        <f>'T_TTAFStock'!AI27</f>
        <v/>
      </c>
      <c r="AL217">
        <f>'T_TTAFStock'!AJ27</f>
        <v/>
      </c>
      <c r="AM217">
        <f>'T_TTAFStock'!AK27</f>
        <v/>
      </c>
      <c r="AN217">
        <f>'T_TTAFStock'!AL27</f>
        <v/>
      </c>
      <c r="AO217">
        <f>'T_TTAFStock'!AM27</f>
        <v/>
      </c>
      <c r="AP217">
        <f>'T_TTAFStock'!AN27</f>
        <v/>
      </c>
      <c r="AQ217">
        <f>'T_TTAFStock'!AO27</f>
        <v/>
      </c>
      <c r="AR217">
        <f>'T_TTAFStock'!AP27</f>
        <v/>
      </c>
      <c r="AS217">
        <f>'T_TTAFStock'!AQ27</f>
        <v/>
      </c>
      <c r="AT217">
        <f>'T_TTAFStock'!AR27</f>
        <v/>
      </c>
      <c r="AU217">
        <f>'T_TTAFStock'!AS27</f>
        <v/>
      </c>
      <c r="AV217">
        <f>'T_TTAFStock'!AT27</f>
        <v/>
      </c>
      <c r="AW217">
        <f>'T_TTAFStock'!AU27</f>
        <v/>
      </c>
      <c r="AX217">
        <f>'T_TTAFStock'!AV27</f>
        <v/>
      </c>
      <c r="AY217">
        <f>'T_TTAFStock'!AW27</f>
        <v/>
      </c>
      <c r="AZ217">
        <f>'T_TTAFStock'!AX27</f>
        <v/>
      </c>
      <c r="BA217">
        <f>'T_TTAFStock'!AY27</f>
        <v/>
      </c>
      <c r="BB217">
        <f>'T_TTAFStock'!AZ27</f>
        <v/>
      </c>
      <c r="BC217">
        <f>'T_TTAFStock'!BA27</f>
        <v/>
      </c>
      <c r="BD217">
        <f>'T_TTAFStock'!BB27</f>
        <v/>
      </c>
      <c r="BE217">
        <f>'T_TTAFStock'!BC27</f>
        <v/>
      </c>
      <c r="BF217">
        <f>'T_TTAFStock'!BD27</f>
        <v/>
      </c>
      <c r="BG217">
        <f>'T_TTAFStock'!BE27</f>
        <v/>
      </c>
      <c r="BH217">
        <f>'T_TTAFStock'!BF27</f>
        <v/>
      </c>
      <c r="BI217">
        <f>'T_TTAFStock'!BG27</f>
        <v/>
      </c>
      <c r="BJ217">
        <f>'T_TTAFStock'!BH27</f>
        <v/>
      </c>
      <c r="BK217">
        <f>'T_TTAFStock'!BI27</f>
        <v/>
      </c>
      <c r="BL217">
        <f>'T_TTAFStock'!BJ27</f>
        <v/>
      </c>
      <c r="BM217">
        <f>'T_TTAFStock'!BK27</f>
        <v/>
      </c>
      <c r="BN217">
        <f>'T_TTAFStock'!BL27</f>
        <v/>
      </c>
      <c r="BO217">
        <f>'T_TTAFStock'!BM27</f>
        <v/>
      </c>
      <c r="BP217">
        <f>'T_TTAFStock'!BN27</f>
        <v/>
      </c>
      <c r="BQ217">
        <f>'T_TTAFStock'!BO27</f>
        <v/>
      </c>
      <c r="BR217">
        <f>'T_TTAFStock'!BP27</f>
        <v/>
      </c>
      <c r="BS217">
        <f>'T_TTAFStock'!BQ27</f>
        <v/>
      </c>
      <c r="BT217">
        <f>'T_TTAFStock'!BR27</f>
        <v/>
      </c>
      <c r="BU217">
        <f>'T_TTAFStock'!BS27</f>
        <v/>
      </c>
      <c r="BV217">
        <f>'T_TTAFStock'!BT27</f>
        <v/>
      </c>
      <c r="BW217">
        <f>'T_TTAFStock'!BU27</f>
        <v/>
      </c>
      <c r="BX217">
        <f>'T_TTAFStock'!BV27</f>
        <v/>
      </c>
      <c r="BY217">
        <f>'T_TTAFStock'!BW27</f>
        <v/>
      </c>
      <c r="BZ217">
        <f>'T_TTAFStock'!BX27</f>
        <v/>
      </c>
      <c r="CA217">
        <f>'T_TTAFStock'!BY27</f>
        <v/>
      </c>
      <c r="CB217">
        <f>'T_TTAFStock'!BZ27</f>
        <v/>
      </c>
      <c r="CC217">
        <f>'T_TTAFStock'!CA27</f>
        <v/>
      </c>
      <c r="CD217">
        <f>'T_TTAFStock'!CB27</f>
        <v/>
      </c>
      <c r="CE217">
        <f>'T_TTAFStock'!CC27</f>
        <v/>
      </c>
      <c r="CF217">
        <f>'T_TTAFStock'!CD27</f>
        <v/>
      </c>
      <c r="CG217">
        <f>'T_TTAFStock'!CE27</f>
        <v/>
      </c>
      <c r="CH217">
        <f>'T_TTAFStock'!CF27</f>
        <v/>
      </c>
      <c r="CI217">
        <f>'T_TTAFStock'!CG27</f>
        <v/>
      </c>
      <c r="CJ217">
        <f>'T_TTAFStock'!CH27</f>
        <v/>
      </c>
      <c r="CK217">
        <f>'T_TTAFStock'!CI27</f>
        <v/>
      </c>
      <c r="CL217">
        <f>'T_TTAFStock'!CJ27</f>
        <v/>
      </c>
      <c r="CM217">
        <f>'T_TTAFStock'!CK27</f>
        <v/>
      </c>
      <c r="CN217">
        <f>'T_TTAFStock'!CL27</f>
        <v/>
      </c>
      <c r="CO217">
        <f>'T_TTAFStock'!CM27</f>
        <v/>
      </c>
      <c r="CP217">
        <f>'T_TTAFStock'!CN27</f>
        <v/>
      </c>
      <c r="CQ217">
        <f>'T_TTAFStock'!CO27</f>
        <v/>
      </c>
      <c r="CR217">
        <f>'T_TTAFStock'!CP27</f>
        <v/>
      </c>
      <c r="CS217">
        <f>'T_TTAFStock'!CQ27</f>
        <v/>
      </c>
      <c r="CT217">
        <f>'T_TTAFStock'!CR27</f>
        <v/>
      </c>
      <c r="CU217">
        <f>'T_TTAFStock'!CS27</f>
        <v/>
      </c>
      <c r="CV217">
        <f>'T_TTAFStock'!CT27</f>
        <v/>
      </c>
      <c r="CW217">
        <f>'T_TTAFStock'!CU27</f>
        <v/>
      </c>
      <c r="CX217">
        <f>'T_TTAFStock'!CV27</f>
        <v/>
      </c>
      <c r="CY217">
        <f>'T_TTAFStock'!CW27</f>
        <v/>
      </c>
      <c r="CZ217">
        <f>'T_TTAFStock'!CX27</f>
        <v/>
      </c>
      <c r="DA217">
        <f>'T_TTAFStock'!CY27</f>
        <v/>
      </c>
      <c r="DB217">
        <f>'T_TTAFStock'!CZ27</f>
        <v/>
      </c>
      <c r="DC217">
        <f>'T_TTAFStock'!DA27</f>
        <v/>
      </c>
    </row>
    <row r="218">
      <c r="B218" t="inlineStr">
        <is>
          <t>自社在庫(実績,kg)</t>
        </is>
      </c>
      <c r="D218">
        <f>'T_SelfStock'!B27</f>
        <v/>
      </c>
      <c r="E218">
        <f>'T_SelfStock'!C27</f>
        <v/>
      </c>
      <c r="F218">
        <f>'T_SelfStock'!D27</f>
        <v/>
      </c>
      <c r="G218">
        <f>'T_SelfStock'!E27</f>
        <v/>
      </c>
      <c r="H218">
        <f>'T_SelfStock'!F27</f>
        <v/>
      </c>
      <c r="I218">
        <f>'T_SelfStock'!G27</f>
        <v/>
      </c>
      <c r="J218">
        <f>'T_SelfStock'!H27</f>
        <v/>
      </c>
      <c r="K218">
        <f>'T_SelfStock'!I27</f>
        <v/>
      </c>
      <c r="L218">
        <f>'T_SelfStock'!J27</f>
        <v/>
      </c>
      <c r="M218">
        <f>'T_SelfStock'!K27</f>
        <v/>
      </c>
      <c r="N218">
        <f>'T_SelfStock'!L27</f>
        <v/>
      </c>
      <c r="O218">
        <f>'T_SelfStock'!M27</f>
        <v/>
      </c>
      <c r="P218">
        <f>'T_SelfStock'!N27</f>
        <v/>
      </c>
      <c r="Q218">
        <f>'T_SelfStock'!O27</f>
        <v/>
      </c>
      <c r="R218">
        <f>'T_SelfStock'!P27</f>
        <v/>
      </c>
      <c r="S218">
        <f>'T_SelfStock'!Q27</f>
        <v/>
      </c>
      <c r="T218">
        <f>'T_SelfStock'!R27</f>
        <v/>
      </c>
      <c r="U218">
        <f>'T_SelfStock'!S27</f>
        <v/>
      </c>
      <c r="V218">
        <f>'T_SelfStock'!T27</f>
        <v/>
      </c>
      <c r="W218">
        <f>'T_SelfStock'!U27</f>
        <v/>
      </c>
      <c r="X218">
        <f>'T_SelfStock'!V27</f>
        <v/>
      </c>
      <c r="Y218">
        <f>'T_SelfStock'!W27</f>
        <v/>
      </c>
      <c r="Z218">
        <f>'T_SelfStock'!X27</f>
        <v/>
      </c>
      <c r="AA218">
        <f>'T_SelfStock'!Y27</f>
        <v/>
      </c>
      <c r="AB218">
        <f>'T_SelfStock'!Z27</f>
        <v/>
      </c>
      <c r="AC218">
        <f>'T_SelfStock'!AA27</f>
        <v/>
      </c>
      <c r="AD218">
        <f>'T_SelfStock'!AB27</f>
        <v/>
      </c>
      <c r="AE218">
        <f>'T_SelfStock'!AC27</f>
        <v/>
      </c>
      <c r="AF218">
        <f>'T_SelfStock'!AD27</f>
        <v/>
      </c>
      <c r="AG218">
        <f>'T_SelfStock'!AE27</f>
        <v/>
      </c>
      <c r="AH218">
        <f>'T_SelfStock'!AF27</f>
        <v/>
      </c>
      <c r="AI218">
        <f>'T_SelfStock'!AG27</f>
        <v/>
      </c>
      <c r="AJ218">
        <f>'T_SelfStock'!AH27</f>
        <v/>
      </c>
      <c r="AK218">
        <f>'T_SelfStock'!AI27</f>
        <v/>
      </c>
      <c r="AL218">
        <f>'T_SelfStock'!AJ27</f>
        <v/>
      </c>
      <c r="AM218">
        <f>'T_SelfStock'!AK27</f>
        <v/>
      </c>
      <c r="AN218">
        <f>'T_SelfStock'!AL27</f>
        <v/>
      </c>
      <c r="AO218">
        <f>'T_SelfStock'!AM27</f>
        <v/>
      </c>
      <c r="AP218">
        <f>'T_SelfStock'!AN27</f>
        <v/>
      </c>
      <c r="AQ218">
        <f>'T_SelfStock'!AO27</f>
        <v/>
      </c>
      <c r="AR218">
        <f>'T_SelfStock'!AP27</f>
        <v/>
      </c>
      <c r="AS218">
        <f>'T_SelfStock'!AQ27</f>
        <v/>
      </c>
      <c r="AT218">
        <f>'T_SelfStock'!AR27</f>
        <v/>
      </c>
      <c r="AU218">
        <f>'T_SelfStock'!AS27</f>
        <v/>
      </c>
      <c r="AV218">
        <f>'T_SelfStock'!AT27</f>
        <v/>
      </c>
      <c r="AW218">
        <f>'T_SelfStock'!AU27</f>
        <v/>
      </c>
      <c r="AX218">
        <f>'T_SelfStock'!AV27</f>
        <v/>
      </c>
      <c r="AY218">
        <f>'T_SelfStock'!AW27</f>
        <v/>
      </c>
      <c r="AZ218">
        <f>'T_SelfStock'!AX27</f>
        <v/>
      </c>
      <c r="BA218">
        <f>'T_SelfStock'!AY27</f>
        <v/>
      </c>
      <c r="BB218">
        <f>'T_SelfStock'!AZ27</f>
        <v/>
      </c>
      <c r="BC218">
        <f>'T_SelfStock'!BA27</f>
        <v/>
      </c>
      <c r="BD218">
        <f>'T_SelfStock'!BB27</f>
        <v/>
      </c>
      <c r="BE218">
        <f>'T_SelfStock'!BC27</f>
        <v/>
      </c>
      <c r="BF218">
        <f>'T_SelfStock'!BD27</f>
        <v/>
      </c>
      <c r="BG218">
        <f>'T_SelfStock'!BE27</f>
        <v/>
      </c>
      <c r="BH218">
        <f>'T_SelfStock'!BF27</f>
        <v/>
      </c>
      <c r="BI218">
        <f>'T_SelfStock'!BG27</f>
        <v/>
      </c>
      <c r="BJ218">
        <f>'T_SelfStock'!BH27</f>
        <v/>
      </c>
      <c r="BK218">
        <f>'T_SelfStock'!BI27</f>
        <v/>
      </c>
      <c r="BL218">
        <f>'T_SelfStock'!BJ27</f>
        <v/>
      </c>
      <c r="BM218">
        <f>'T_SelfStock'!BK27</f>
        <v/>
      </c>
      <c r="BN218">
        <f>'T_SelfStock'!BL27</f>
        <v/>
      </c>
      <c r="BO218">
        <f>'T_SelfStock'!BM27</f>
        <v/>
      </c>
      <c r="BP218">
        <f>'T_SelfStock'!BN27</f>
        <v/>
      </c>
      <c r="BQ218">
        <f>'T_SelfStock'!BO27</f>
        <v/>
      </c>
      <c r="BR218">
        <f>'T_SelfStock'!BP27</f>
        <v/>
      </c>
      <c r="BS218">
        <f>'T_SelfStock'!BQ27</f>
        <v/>
      </c>
      <c r="BT218">
        <f>'T_SelfStock'!BR27</f>
        <v/>
      </c>
      <c r="BU218">
        <f>'T_SelfStock'!BS27</f>
        <v/>
      </c>
      <c r="BV218">
        <f>'T_SelfStock'!BT27</f>
        <v/>
      </c>
      <c r="BW218">
        <f>'T_SelfStock'!BU27</f>
        <v/>
      </c>
      <c r="BX218">
        <f>'T_SelfStock'!BV27</f>
        <v/>
      </c>
      <c r="BY218">
        <f>'T_SelfStock'!BW27</f>
        <v/>
      </c>
      <c r="BZ218">
        <f>'T_SelfStock'!BX27</f>
        <v/>
      </c>
      <c r="CA218">
        <f>'T_SelfStock'!BY27</f>
        <v/>
      </c>
      <c r="CB218">
        <f>'T_SelfStock'!BZ27</f>
        <v/>
      </c>
      <c r="CC218">
        <f>'T_SelfStock'!CA27</f>
        <v/>
      </c>
      <c r="CD218">
        <f>'T_SelfStock'!CB27</f>
        <v/>
      </c>
      <c r="CE218">
        <f>'T_SelfStock'!CC27</f>
        <v/>
      </c>
      <c r="CF218">
        <f>'T_SelfStock'!CD27</f>
        <v/>
      </c>
      <c r="CG218">
        <f>'T_SelfStock'!CE27</f>
        <v/>
      </c>
      <c r="CH218">
        <f>'T_SelfStock'!CF27</f>
        <v/>
      </c>
      <c r="CI218">
        <f>'T_SelfStock'!CG27</f>
        <v/>
      </c>
      <c r="CJ218">
        <f>'T_SelfStock'!CH27</f>
        <v/>
      </c>
      <c r="CK218">
        <f>'T_SelfStock'!CI27</f>
        <v/>
      </c>
      <c r="CL218">
        <f>'T_SelfStock'!CJ27</f>
        <v/>
      </c>
      <c r="CM218">
        <f>'T_SelfStock'!CK27</f>
        <v/>
      </c>
      <c r="CN218">
        <f>'T_SelfStock'!CL27</f>
        <v/>
      </c>
      <c r="CO218">
        <f>'T_SelfStock'!CM27</f>
        <v/>
      </c>
      <c r="CP218">
        <f>'T_SelfStock'!CN27</f>
        <v/>
      </c>
      <c r="CQ218">
        <f>'T_SelfStock'!CO27</f>
        <v/>
      </c>
      <c r="CR218">
        <f>'T_SelfStock'!CP27</f>
        <v/>
      </c>
      <c r="CS218">
        <f>'T_SelfStock'!CQ27</f>
        <v/>
      </c>
      <c r="CT218">
        <f>'T_SelfStock'!CR27</f>
        <v/>
      </c>
      <c r="CU218">
        <f>'T_SelfStock'!CS27</f>
        <v/>
      </c>
      <c r="CV218">
        <f>'T_SelfStock'!CT27</f>
        <v/>
      </c>
      <c r="CW218">
        <f>'T_SelfStock'!CU27</f>
        <v/>
      </c>
      <c r="CX218">
        <f>'T_SelfStock'!CV27</f>
        <v/>
      </c>
      <c r="CY218">
        <f>'T_SelfStock'!CW27</f>
        <v/>
      </c>
      <c r="CZ218">
        <f>'T_SelfStock'!CX27</f>
        <v/>
      </c>
      <c r="DA218">
        <f>'T_SelfStock'!CY27</f>
        <v/>
      </c>
      <c r="DB218">
        <f>'T_SelfStock'!CZ27</f>
        <v/>
      </c>
      <c r="DC218">
        <f>'T_SelfStock'!DA27</f>
        <v/>
      </c>
    </row>
    <row r="219">
      <c r="B219" t="inlineStr">
        <is>
          <t>Order(発注予定,kg)</t>
        </is>
      </c>
      <c r="D219">
        <f>IF(SUMIFS(T_PlannedOrders[EffectiveQty],T_PlannedOrders[Part Name],$A211,T_PlannedOrders[WeekIndex],1)=0,"",SUMIFS(T_PlannedOrders[EffectiveQty],T_PlannedOrders[Part Name],$A211,T_PlannedOrders[WeekIndex],1)&amp;" ("&amp;TEXT(SUMPRODUCT(MAX((T_PlannedOrders[Part Name]=$A211)*(T_PlannedOrders[WeekIndex]=1)*(T_PlannedOrders[EffectiveQty]&gt;0)*T_PlannedOrders[Order_Month])),"m月")&amp;"発注)")</f>
        <v/>
      </c>
      <c r="E219">
        <f>IF(SUMIFS(T_PlannedOrders[EffectiveQty],T_PlannedOrders[Part Name],$A211,T_PlannedOrders[WeekIndex],2)=0,"",SUMIFS(T_PlannedOrders[EffectiveQty],T_PlannedOrders[Part Name],$A211,T_PlannedOrders[WeekIndex],2)&amp;" ("&amp;TEXT(SUMPRODUCT(MAX((T_PlannedOrders[Part Name]=$A211)*(T_PlannedOrders[WeekIndex]=2)*(T_PlannedOrders[EffectiveQty]&gt;0)*T_PlannedOrders[Order_Month])),"m月")&amp;"発注)")</f>
        <v/>
      </c>
      <c r="F219">
        <f>IF(SUMIFS(T_PlannedOrders[EffectiveQty],T_PlannedOrders[Part Name],$A211,T_PlannedOrders[WeekIndex],3)=0,"",SUMIFS(T_PlannedOrders[EffectiveQty],T_PlannedOrders[Part Name],$A211,T_PlannedOrders[WeekIndex],3)&amp;" ("&amp;TEXT(SUMPRODUCT(MAX((T_PlannedOrders[Part Name]=$A211)*(T_PlannedOrders[WeekIndex]=3)*(T_PlannedOrders[EffectiveQty]&gt;0)*T_PlannedOrders[Order_Month])),"m月")&amp;"発注)")</f>
        <v/>
      </c>
      <c r="G219">
        <f>IF(SUMIFS(T_PlannedOrders[EffectiveQty],T_PlannedOrders[Part Name],$A211,T_PlannedOrders[WeekIndex],4)=0,"",SUMIFS(T_PlannedOrders[EffectiveQty],T_PlannedOrders[Part Name],$A211,T_PlannedOrders[WeekIndex],4)&amp;" ("&amp;TEXT(SUMPRODUCT(MAX((T_PlannedOrders[Part Name]=$A211)*(T_PlannedOrders[WeekIndex]=4)*(T_PlannedOrders[EffectiveQty]&gt;0)*T_PlannedOrders[Order_Month])),"m月")&amp;"発注)")</f>
        <v/>
      </c>
      <c r="H219">
        <f>IF(SUMIFS(T_PlannedOrders[EffectiveQty],T_PlannedOrders[Part Name],$A211,T_PlannedOrders[WeekIndex],5)=0,"",SUMIFS(T_PlannedOrders[EffectiveQty],T_PlannedOrders[Part Name],$A211,T_PlannedOrders[WeekIndex],5)&amp;" ("&amp;TEXT(SUMPRODUCT(MAX((T_PlannedOrders[Part Name]=$A211)*(T_PlannedOrders[WeekIndex]=5)*(T_PlannedOrders[EffectiveQty]&gt;0)*T_PlannedOrders[Order_Month])),"m月")&amp;"発注)")</f>
        <v/>
      </c>
      <c r="I219">
        <f>IF(SUMIFS(T_PlannedOrders[EffectiveQty],T_PlannedOrders[Part Name],$A211,T_PlannedOrders[WeekIndex],6)=0,"",SUMIFS(T_PlannedOrders[EffectiveQty],T_PlannedOrders[Part Name],$A211,T_PlannedOrders[WeekIndex],6)&amp;" ("&amp;TEXT(SUMPRODUCT(MAX((T_PlannedOrders[Part Name]=$A211)*(T_PlannedOrders[WeekIndex]=6)*(T_PlannedOrders[EffectiveQty]&gt;0)*T_PlannedOrders[Order_Month])),"m月")&amp;"発注)")</f>
        <v/>
      </c>
      <c r="J219">
        <f>IF(SUMIFS(T_PlannedOrders[EffectiveQty],T_PlannedOrders[Part Name],$A211,T_PlannedOrders[WeekIndex],7)=0,"",SUMIFS(T_PlannedOrders[EffectiveQty],T_PlannedOrders[Part Name],$A211,T_PlannedOrders[WeekIndex],7)&amp;" ("&amp;TEXT(SUMPRODUCT(MAX((T_PlannedOrders[Part Name]=$A211)*(T_PlannedOrders[WeekIndex]=7)*(T_PlannedOrders[EffectiveQty]&gt;0)*T_PlannedOrders[Order_Month])),"m月")&amp;"発注)")</f>
        <v/>
      </c>
      <c r="K219">
        <f>IF(SUMIFS(T_PlannedOrders[EffectiveQty],T_PlannedOrders[Part Name],$A211,T_PlannedOrders[WeekIndex],8)=0,"",SUMIFS(T_PlannedOrders[EffectiveQty],T_PlannedOrders[Part Name],$A211,T_PlannedOrders[WeekIndex],8)&amp;" ("&amp;TEXT(SUMPRODUCT(MAX((T_PlannedOrders[Part Name]=$A211)*(T_PlannedOrders[WeekIndex]=8)*(T_PlannedOrders[EffectiveQty]&gt;0)*T_PlannedOrders[Order_Month])),"m月")&amp;"発注)")</f>
        <v/>
      </c>
      <c r="L219">
        <f>IF(SUMIFS(T_PlannedOrders[EffectiveQty],T_PlannedOrders[Part Name],$A211,T_PlannedOrders[WeekIndex],9)=0,"",SUMIFS(T_PlannedOrders[EffectiveQty],T_PlannedOrders[Part Name],$A211,T_PlannedOrders[WeekIndex],9)&amp;" ("&amp;TEXT(SUMPRODUCT(MAX((T_PlannedOrders[Part Name]=$A211)*(T_PlannedOrders[WeekIndex]=9)*(T_PlannedOrders[EffectiveQty]&gt;0)*T_PlannedOrders[Order_Month])),"m月")&amp;"発注)")</f>
        <v/>
      </c>
      <c r="M219">
        <f>IF(SUMIFS(T_PlannedOrders[EffectiveQty],T_PlannedOrders[Part Name],$A211,T_PlannedOrders[WeekIndex],10)=0,"",SUMIFS(T_PlannedOrders[EffectiveQty],T_PlannedOrders[Part Name],$A211,T_PlannedOrders[WeekIndex],10)&amp;" ("&amp;TEXT(SUMPRODUCT(MAX((T_PlannedOrders[Part Name]=$A211)*(T_PlannedOrders[WeekIndex]=10)*(T_PlannedOrders[EffectiveQty]&gt;0)*T_PlannedOrders[Order_Month])),"m月")&amp;"発注)")</f>
        <v/>
      </c>
      <c r="N219">
        <f>IF(SUMIFS(T_PlannedOrders[EffectiveQty],T_PlannedOrders[Part Name],$A211,T_PlannedOrders[WeekIndex],11)=0,"",SUMIFS(T_PlannedOrders[EffectiveQty],T_PlannedOrders[Part Name],$A211,T_PlannedOrders[WeekIndex],11)&amp;" ("&amp;TEXT(SUMPRODUCT(MAX((T_PlannedOrders[Part Name]=$A211)*(T_PlannedOrders[WeekIndex]=11)*(T_PlannedOrders[EffectiveQty]&gt;0)*T_PlannedOrders[Order_Month])),"m月")&amp;"発注)")</f>
        <v/>
      </c>
      <c r="O219">
        <f>IF(SUMIFS(T_PlannedOrders[EffectiveQty],T_PlannedOrders[Part Name],$A211,T_PlannedOrders[WeekIndex],12)=0,"",SUMIFS(T_PlannedOrders[EffectiveQty],T_PlannedOrders[Part Name],$A211,T_PlannedOrders[WeekIndex],12)&amp;" ("&amp;TEXT(SUMPRODUCT(MAX((T_PlannedOrders[Part Name]=$A211)*(T_PlannedOrders[WeekIndex]=12)*(T_PlannedOrders[EffectiveQty]&gt;0)*T_PlannedOrders[Order_Month])),"m月")&amp;"発注)")</f>
        <v/>
      </c>
      <c r="P219">
        <f>IF(SUMIFS(T_PlannedOrders[EffectiveQty],T_PlannedOrders[Part Name],$A211,T_PlannedOrders[WeekIndex],13)=0,"",SUMIFS(T_PlannedOrders[EffectiveQty],T_PlannedOrders[Part Name],$A211,T_PlannedOrders[WeekIndex],13)&amp;" ("&amp;TEXT(SUMPRODUCT(MAX((T_PlannedOrders[Part Name]=$A211)*(T_PlannedOrders[WeekIndex]=13)*(T_PlannedOrders[EffectiveQty]&gt;0)*T_PlannedOrders[Order_Month])),"m月")&amp;"発注)")</f>
        <v/>
      </c>
      <c r="Q219">
        <f>IF(SUMIFS(T_PlannedOrders[EffectiveQty],T_PlannedOrders[Part Name],$A211,T_PlannedOrders[WeekIndex],14)=0,"",SUMIFS(T_PlannedOrders[EffectiveQty],T_PlannedOrders[Part Name],$A211,T_PlannedOrders[WeekIndex],14)&amp;" ("&amp;TEXT(SUMPRODUCT(MAX((T_PlannedOrders[Part Name]=$A211)*(T_PlannedOrders[WeekIndex]=14)*(T_PlannedOrders[EffectiveQty]&gt;0)*T_PlannedOrders[Order_Month])),"m月")&amp;"発注)")</f>
        <v/>
      </c>
      <c r="R219">
        <f>IF(SUMIFS(T_PlannedOrders[EffectiveQty],T_PlannedOrders[Part Name],$A211,T_PlannedOrders[WeekIndex],15)=0,"",SUMIFS(T_PlannedOrders[EffectiveQty],T_PlannedOrders[Part Name],$A211,T_PlannedOrders[WeekIndex],15)&amp;" ("&amp;TEXT(SUMPRODUCT(MAX((T_PlannedOrders[Part Name]=$A211)*(T_PlannedOrders[WeekIndex]=15)*(T_PlannedOrders[EffectiveQty]&gt;0)*T_PlannedOrders[Order_Month])),"m月")&amp;"発注)")</f>
        <v/>
      </c>
      <c r="S219">
        <f>IF(SUMIFS(T_PlannedOrders[EffectiveQty],T_PlannedOrders[Part Name],$A211,T_PlannedOrders[WeekIndex],16)=0,"",SUMIFS(T_PlannedOrders[EffectiveQty],T_PlannedOrders[Part Name],$A211,T_PlannedOrders[WeekIndex],16)&amp;" ("&amp;TEXT(SUMPRODUCT(MAX((T_PlannedOrders[Part Name]=$A211)*(T_PlannedOrders[WeekIndex]=16)*(T_PlannedOrders[EffectiveQty]&gt;0)*T_PlannedOrders[Order_Month])),"m月")&amp;"発注)")</f>
        <v/>
      </c>
      <c r="T219">
        <f>IF(SUMIFS(T_PlannedOrders[EffectiveQty],T_PlannedOrders[Part Name],$A211,T_PlannedOrders[WeekIndex],17)=0,"",SUMIFS(T_PlannedOrders[EffectiveQty],T_PlannedOrders[Part Name],$A211,T_PlannedOrders[WeekIndex],17)&amp;" ("&amp;TEXT(SUMPRODUCT(MAX((T_PlannedOrders[Part Name]=$A211)*(T_PlannedOrders[WeekIndex]=17)*(T_PlannedOrders[EffectiveQty]&gt;0)*T_PlannedOrders[Order_Month])),"m月")&amp;"発注)")</f>
        <v/>
      </c>
      <c r="U219">
        <f>IF(SUMIFS(T_PlannedOrders[EffectiveQty],T_PlannedOrders[Part Name],$A211,T_PlannedOrders[WeekIndex],18)=0,"",SUMIFS(T_PlannedOrders[EffectiveQty],T_PlannedOrders[Part Name],$A211,T_PlannedOrders[WeekIndex],18)&amp;" ("&amp;TEXT(SUMPRODUCT(MAX((T_PlannedOrders[Part Name]=$A211)*(T_PlannedOrders[WeekIndex]=18)*(T_PlannedOrders[EffectiveQty]&gt;0)*T_PlannedOrders[Order_Month])),"m月")&amp;"発注)")</f>
        <v/>
      </c>
      <c r="V219">
        <f>IF(SUMIFS(T_PlannedOrders[EffectiveQty],T_PlannedOrders[Part Name],$A211,T_PlannedOrders[WeekIndex],19)=0,"",SUMIFS(T_PlannedOrders[EffectiveQty],T_PlannedOrders[Part Name],$A211,T_PlannedOrders[WeekIndex],19)&amp;" ("&amp;TEXT(SUMPRODUCT(MAX((T_PlannedOrders[Part Name]=$A211)*(T_PlannedOrders[WeekIndex]=19)*(T_PlannedOrders[EffectiveQty]&gt;0)*T_PlannedOrders[Order_Month])),"m月")&amp;"発注)")</f>
        <v/>
      </c>
      <c r="W219">
        <f>IF(SUMIFS(T_PlannedOrders[EffectiveQty],T_PlannedOrders[Part Name],$A211,T_PlannedOrders[WeekIndex],20)=0,"",SUMIFS(T_PlannedOrders[EffectiveQty],T_PlannedOrders[Part Name],$A211,T_PlannedOrders[WeekIndex],20)&amp;" ("&amp;TEXT(SUMPRODUCT(MAX((T_PlannedOrders[Part Name]=$A211)*(T_PlannedOrders[WeekIndex]=20)*(T_PlannedOrders[EffectiveQty]&gt;0)*T_PlannedOrders[Order_Month])),"m月")&amp;"発注)")</f>
        <v/>
      </c>
      <c r="X219">
        <f>IF(SUMIFS(T_PlannedOrders[EffectiveQty],T_PlannedOrders[Part Name],$A211,T_PlannedOrders[WeekIndex],21)=0,"",SUMIFS(T_PlannedOrders[EffectiveQty],T_PlannedOrders[Part Name],$A211,T_PlannedOrders[WeekIndex],21)&amp;" ("&amp;TEXT(SUMPRODUCT(MAX((T_PlannedOrders[Part Name]=$A211)*(T_PlannedOrders[WeekIndex]=21)*(T_PlannedOrders[EffectiveQty]&gt;0)*T_PlannedOrders[Order_Month])),"m月")&amp;"発注)")</f>
        <v/>
      </c>
      <c r="Y219">
        <f>IF(SUMIFS(T_PlannedOrders[EffectiveQty],T_PlannedOrders[Part Name],$A211,T_PlannedOrders[WeekIndex],22)=0,"",SUMIFS(T_PlannedOrders[EffectiveQty],T_PlannedOrders[Part Name],$A211,T_PlannedOrders[WeekIndex],22)&amp;" ("&amp;TEXT(SUMPRODUCT(MAX((T_PlannedOrders[Part Name]=$A211)*(T_PlannedOrders[WeekIndex]=22)*(T_PlannedOrders[EffectiveQty]&gt;0)*T_PlannedOrders[Order_Month])),"m月")&amp;"発注)")</f>
        <v/>
      </c>
      <c r="Z219">
        <f>IF(SUMIFS(T_PlannedOrders[EffectiveQty],T_PlannedOrders[Part Name],$A211,T_PlannedOrders[WeekIndex],23)=0,"",SUMIFS(T_PlannedOrders[EffectiveQty],T_PlannedOrders[Part Name],$A211,T_PlannedOrders[WeekIndex],23)&amp;" ("&amp;TEXT(SUMPRODUCT(MAX((T_PlannedOrders[Part Name]=$A211)*(T_PlannedOrders[WeekIndex]=23)*(T_PlannedOrders[EffectiveQty]&gt;0)*T_PlannedOrders[Order_Month])),"m月")&amp;"発注)")</f>
        <v/>
      </c>
      <c r="AA219">
        <f>IF(SUMIFS(T_PlannedOrders[EffectiveQty],T_PlannedOrders[Part Name],$A211,T_PlannedOrders[WeekIndex],24)=0,"",SUMIFS(T_PlannedOrders[EffectiveQty],T_PlannedOrders[Part Name],$A211,T_PlannedOrders[WeekIndex],24)&amp;" ("&amp;TEXT(SUMPRODUCT(MAX((T_PlannedOrders[Part Name]=$A211)*(T_PlannedOrders[WeekIndex]=24)*(T_PlannedOrders[EffectiveQty]&gt;0)*T_PlannedOrders[Order_Month])),"m月")&amp;"発注)")</f>
        <v/>
      </c>
      <c r="AB219">
        <f>IF(SUMIFS(T_PlannedOrders[EffectiveQty],T_PlannedOrders[Part Name],$A211,T_PlannedOrders[WeekIndex],25)=0,"",SUMIFS(T_PlannedOrders[EffectiveQty],T_PlannedOrders[Part Name],$A211,T_PlannedOrders[WeekIndex],25)&amp;" ("&amp;TEXT(SUMPRODUCT(MAX((T_PlannedOrders[Part Name]=$A211)*(T_PlannedOrders[WeekIndex]=25)*(T_PlannedOrders[EffectiveQty]&gt;0)*T_PlannedOrders[Order_Month])),"m月")&amp;"発注)")</f>
        <v/>
      </c>
      <c r="AC219">
        <f>IF(SUMIFS(T_PlannedOrders[EffectiveQty],T_PlannedOrders[Part Name],$A211,T_PlannedOrders[WeekIndex],26)=0,"",SUMIFS(T_PlannedOrders[EffectiveQty],T_PlannedOrders[Part Name],$A211,T_PlannedOrders[WeekIndex],26)&amp;" ("&amp;TEXT(SUMPRODUCT(MAX((T_PlannedOrders[Part Name]=$A211)*(T_PlannedOrders[WeekIndex]=26)*(T_PlannedOrders[EffectiveQty]&gt;0)*T_PlannedOrders[Order_Month])),"m月")&amp;"発注)")</f>
        <v/>
      </c>
      <c r="AD219">
        <f>IF(SUMIFS(T_PlannedOrders[EffectiveQty],T_PlannedOrders[Part Name],$A211,T_PlannedOrders[WeekIndex],27)=0,"",SUMIFS(T_PlannedOrders[EffectiveQty],T_PlannedOrders[Part Name],$A211,T_PlannedOrders[WeekIndex],27)&amp;" ("&amp;TEXT(SUMPRODUCT(MAX((T_PlannedOrders[Part Name]=$A211)*(T_PlannedOrders[WeekIndex]=27)*(T_PlannedOrders[EffectiveQty]&gt;0)*T_PlannedOrders[Order_Month])),"m月")&amp;"発注)")</f>
        <v/>
      </c>
      <c r="AE219">
        <f>IF(SUMIFS(T_PlannedOrders[EffectiveQty],T_PlannedOrders[Part Name],$A211,T_PlannedOrders[WeekIndex],28)=0,"",SUMIFS(T_PlannedOrders[EffectiveQty],T_PlannedOrders[Part Name],$A211,T_PlannedOrders[WeekIndex],28)&amp;" ("&amp;TEXT(SUMPRODUCT(MAX((T_PlannedOrders[Part Name]=$A211)*(T_PlannedOrders[WeekIndex]=28)*(T_PlannedOrders[EffectiveQty]&gt;0)*T_PlannedOrders[Order_Month])),"m月")&amp;"発注)")</f>
        <v/>
      </c>
      <c r="AF219">
        <f>IF(SUMIFS(T_PlannedOrders[EffectiveQty],T_PlannedOrders[Part Name],$A211,T_PlannedOrders[WeekIndex],29)=0,"",SUMIFS(T_PlannedOrders[EffectiveQty],T_PlannedOrders[Part Name],$A211,T_PlannedOrders[WeekIndex],29)&amp;" ("&amp;TEXT(SUMPRODUCT(MAX((T_PlannedOrders[Part Name]=$A211)*(T_PlannedOrders[WeekIndex]=29)*(T_PlannedOrders[EffectiveQty]&gt;0)*T_PlannedOrders[Order_Month])),"m月")&amp;"発注)")</f>
        <v/>
      </c>
      <c r="AG219">
        <f>IF(SUMIFS(T_PlannedOrders[EffectiveQty],T_PlannedOrders[Part Name],$A211,T_PlannedOrders[WeekIndex],30)=0,"",SUMIFS(T_PlannedOrders[EffectiveQty],T_PlannedOrders[Part Name],$A211,T_PlannedOrders[WeekIndex],30)&amp;" ("&amp;TEXT(SUMPRODUCT(MAX((T_PlannedOrders[Part Name]=$A211)*(T_PlannedOrders[WeekIndex]=30)*(T_PlannedOrders[EffectiveQty]&gt;0)*T_PlannedOrders[Order_Month])),"m月")&amp;"発注)")</f>
        <v/>
      </c>
      <c r="AH219">
        <f>IF(SUMIFS(T_PlannedOrders[EffectiveQty],T_PlannedOrders[Part Name],$A211,T_PlannedOrders[WeekIndex],31)=0,"",SUMIFS(T_PlannedOrders[EffectiveQty],T_PlannedOrders[Part Name],$A211,T_PlannedOrders[WeekIndex],31)&amp;" ("&amp;TEXT(SUMPRODUCT(MAX((T_PlannedOrders[Part Name]=$A211)*(T_PlannedOrders[WeekIndex]=31)*(T_PlannedOrders[EffectiveQty]&gt;0)*T_PlannedOrders[Order_Month])),"m月")&amp;"発注)")</f>
        <v/>
      </c>
      <c r="AI219">
        <f>IF(SUMIFS(T_PlannedOrders[EffectiveQty],T_PlannedOrders[Part Name],$A211,T_PlannedOrders[WeekIndex],32)=0,"",SUMIFS(T_PlannedOrders[EffectiveQty],T_PlannedOrders[Part Name],$A211,T_PlannedOrders[WeekIndex],32)&amp;" ("&amp;TEXT(SUMPRODUCT(MAX((T_PlannedOrders[Part Name]=$A211)*(T_PlannedOrders[WeekIndex]=32)*(T_PlannedOrders[EffectiveQty]&gt;0)*T_PlannedOrders[Order_Month])),"m月")&amp;"発注)")</f>
        <v/>
      </c>
      <c r="AJ219">
        <f>IF(SUMIFS(T_PlannedOrders[EffectiveQty],T_PlannedOrders[Part Name],$A211,T_PlannedOrders[WeekIndex],33)=0,"",SUMIFS(T_PlannedOrders[EffectiveQty],T_PlannedOrders[Part Name],$A211,T_PlannedOrders[WeekIndex],33)&amp;" ("&amp;TEXT(SUMPRODUCT(MAX((T_PlannedOrders[Part Name]=$A211)*(T_PlannedOrders[WeekIndex]=33)*(T_PlannedOrders[EffectiveQty]&gt;0)*T_PlannedOrders[Order_Month])),"m月")&amp;"発注)")</f>
        <v/>
      </c>
      <c r="AK219">
        <f>IF(SUMIFS(T_PlannedOrders[EffectiveQty],T_PlannedOrders[Part Name],$A211,T_PlannedOrders[WeekIndex],34)=0,"",SUMIFS(T_PlannedOrders[EffectiveQty],T_PlannedOrders[Part Name],$A211,T_PlannedOrders[WeekIndex],34)&amp;" ("&amp;TEXT(SUMPRODUCT(MAX((T_PlannedOrders[Part Name]=$A211)*(T_PlannedOrders[WeekIndex]=34)*(T_PlannedOrders[EffectiveQty]&gt;0)*T_PlannedOrders[Order_Month])),"m月")&amp;"発注)")</f>
        <v/>
      </c>
      <c r="AL219">
        <f>IF(SUMIFS(T_PlannedOrders[EffectiveQty],T_PlannedOrders[Part Name],$A211,T_PlannedOrders[WeekIndex],35)=0,"",SUMIFS(T_PlannedOrders[EffectiveQty],T_PlannedOrders[Part Name],$A211,T_PlannedOrders[WeekIndex],35)&amp;" ("&amp;TEXT(SUMPRODUCT(MAX((T_PlannedOrders[Part Name]=$A211)*(T_PlannedOrders[WeekIndex]=35)*(T_PlannedOrders[EffectiveQty]&gt;0)*T_PlannedOrders[Order_Month])),"m月")&amp;"発注)")</f>
        <v/>
      </c>
      <c r="AM219">
        <f>IF(SUMIFS(T_PlannedOrders[EffectiveQty],T_PlannedOrders[Part Name],$A211,T_PlannedOrders[WeekIndex],36)=0,"",SUMIFS(T_PlannedOrders[EffectiveQty],T_PlannedOrders[Part Name],$A211,T_PlannedOrders[WeekIndex],36)&amp;" ("&amp;TEXT(SUMPRODUCT(MAX((T_PlannedOrders[Part Name]=$A211)*(T_PlannedOrders[WeekIndex]=36)*(T_PlannedOrders[EffectiveQty]&gt;0)*T_PlannedOrders[Order_Month])),"m月")&amp;"発注)")</f>
        <v/>
      </c>
      <c r="AN219">
        <f>IF(SUMIFS(T_PlannedOrders[EffectiveQty],T_PlannedOrders[Part Name],$A211,T_PlannedOrders[WeekIndex],37)=0,"",SUMIFS(T_PlannedOrders[EffectiveQty],T_PlannedOrders[Part Name],$A211,T_PlannedOrders[WeekIndex],37)&amp;" ("&amp;TEXT(SUMPRODUCT(MAX((T_PlannedOrders[Part Name]=$A211)*(T_PlannedOrders[WeekIndex]=37)*(T_PlannedOrders[EffectiveQty]&gt;0)*T_PlannedOrders[Order_Month])),"m月")&amp;"発注)")</f>
        <v/>
      </c>
      <c r="AO219">
        <f>IF(SUMIFS(T_PlannedOrders[EffectiveQty],T_PlannedOrders[Part Name],$A211,T_PlannedOrders[WeekIndex],38)=0,"",SUMIFS(T_PlannedOrders[EffectiveQty],T_PlannedOrders[Part Name],$A211,T_PlannedOrders[WeekIndex],38)&amp;" ("&amp;TEXT(SUMPRODUCT(MAX((T_PlannedOrders[Part Name]=$A211)*(T_PlannedOrders[WeekIndex]=38)*(T_PlannedOrders[EffectiveQty]&gt;0)*T_PlannedOrders[Order_Month])),"m月")&amp;"発注)")</f>
        <v/>
      </c>
      <c r="AP219">
        <f>IF(SUMIFS(T_PlannedOrders[EffectiveQty],T_PlannedOrders[Part Name],$A211,T_PlannedOrders[WeekIndex],39)=0,"",SUMIFS(T_PlannedOrders[EffectiveQty],T_PlannedOrders[Part Name],$A211,T_PlannedOrders[WeekIndex],39)&amp;" ("&amp;TEXT(SUMPRODUCT(MAX((T_PlannedOrders[Part Name]=$A211)*(T_PlannedOrders[WeekIndex]=39)*(T_PlannedOrders[EffectiveQty]&gt;0)*T_PlannedOrders[Order_Month])),"m月")&amp;"発注)")</f>
        <v/>
      </c>
      <c r="AQ219">
        <f>IF(SUMIFS(T_PlannedOrders[EffectiveQty],T_PlannedOrders[Part Name],$A211,T_PlannedOrders[WeekIndex],40)=0,"",SUMIFS(T_PlannedOrders[EffectiveQty],T_PlannedOrders[Part Name],$A211,T_PlannedOrders[WeekIndex],40)&amp;" ("&amp;TEXT(SUMPRODUCT(MAX((T_PlannedOrders[Part Name]=$A211)*(T_PlannedOrders[WeekIndex]=40)*(T_PlannedOrders[EffectiveQty]&gt;0)*T_PlannedOrders[Order_Month])),"m月")&amp;"発注)")</f>
        <v/>
      </c>
      <c r="AR219">
        <f>IF(SUMIFS(T_PlannedOrders[EffectiveQty],T_PlannedOrders[Part Name],$A211,T_PlannedOrders[WeekIndex],41)=0,"",SUMIFS(T_PlannedOrders[EffectiveQty],T_PlannedOrders[Part Name],$A211,T_PlannedOrders[WeekIndex],41)&amp;" ("&amp;TEXT(SUMPRODUCT(MAX((T_PlannedOrders[Part Name]=$A211)*(T_PlannedOrders[WeekIndex]=41)*(T_PlannedOrders[EffectiveQty]&gt;0)*T_PlannedOrders[Order_Month])),"m月")&amp;"発注)")</f>
        <v/>
      </c>
      <c r="AS219">
        <f>IF(SUMIFS(T_PlannedOrders[EffectiveQty],T_PlannedOrders[Part Name],$A211,T_PlannedOrders[WeekIndex],42)=0,"",SUMIFS(T_PlannedOrders[EffectiveQty],T_PlannedOrders[Part Name],$A211,T_PlannedOrders[WeekIndex],42)&amp;" ("&amp;TEXT(SUMPRODUCT(MAX((T_PlannedOrders[Part Name]=$A211)*(T_PlannedOrders[WeekIndex]=42)*(T_PlannedOrders[EffectiveQty]&gt;0)*T_PlannedOrders[Order_Month])),"m月")&amp;"発注)")</f>
        <v/>
      </c>
      <c r="AT219">
        <f>IF(SUMIFS(T_PlannedOrders[EffectiveQty],T_PlannedOrders[Part Name],$A211,T_PlannedOrders[WeekIndex],43)=0,"",SUMIFS(T_PlannedOrders[EffectiveQty],T_PlannedOrders[Part Name],$A211,T_PlannedOrders[WeekIndex],43)&amp;" ("&amp;TEXT(SUMPRODUCT(MAX((T_PlannedOrders[Part Name]=$A211)*(T_PlannedOrders[WeekIndex]=43)*(T_PlannedOrders[EffectiveQty]&gt;0)*T_PlannedOrders[Order_Month])),"m月")&amp;"発注)")</f>
        <v/>
      </c>
      <c r="AU219">
        <f>IF(SUMIFS(T_PlannedOrders[EffectiveQty],T_PlannedOrders[Part Name],$A211,T_PlannedOrders[WeekIndex],44)=0,"",SUMIFS(T_PlannedOrders[EffectiveQty],T_PlannedOrders[Part Name],$A211,T_PlannedOrders[WeekIndex],44)&amp;" ("&amp;TEXT(SUMPRODUCT(MAX((T_PlannedOrders[Part Name]=$A211)*(T_PlannedOrders[WeekIndex]=44)*(T_PlannedOrders[EffectiveQty]&gt;0)*T_PlannedOrders[Order_Month])),"m月")&amp;"発注)")</f>
        <v/>
      </c>
      <c r="AV219">
        <f>IF(SUMIFS(T_PlannedOrders[EffectiveQty],T_PlannedOrders[Part Name],$A211,T_PlannedOrders[WeekIndex],45)=0,"",SUMIFS(T_PlannedOrders[EffectiveQty],T_PlannedOrders[Part Name],$A211,T_PlannedOrders[WeekIndex],45)&amp;" ("&amp;TEXT(SUMPRODUCT(MAX((T_PlannedOrders[Part Name]=$A211)*(T_PlannedOrders[WeekIndex]=45)*(T_PlannedOrders[EffectiveQty]&gt;0)*T_PlannedOrders[Order_Month])),"m月")&amp;"発注)")</f>
        <v/>
      </c>
      <c r="AW219">
        <f>IF(SUMIFS(T_PlannedOrders[EffectiveQty],T_PlannedOrders[Part Name],$A211,T_PlannedOrders[WeekIndex],46)=0,"",SUMIFS(T_PlannedOrders[EffectiveQty],T_PlannedOrders[Part Name],$A211,T_PlannedOrders[WeekIndex],46)&amp;" ("&amp;TEXT(SUMPRODUCT(MAX((T_PlannedOrders[Part Name]=$A211)*(T_PlannedOrders[WeekIndex]=46)*(T_PlannedOrders[EffectiveQty]&gt;0)*T_PlannedOrders[Order_Month])),"m月")&amp;"発注)")</f>
        <v/>
      </c>
      <c r="AX219">
        <f>IF(SUMIFS(T_PlannedOrders[EffectiveQty],T_PlannedOrders[Part Name],$A211,T_PlannedOrders[WeekIndex],47)=0,"",SUMIFS(T_PlannedOrders[EffectiveQty],T_PlannedOrders[Part Name],$A211,T_PlannedOrders[WeekIndex],47)&amp;" ("&amp;TEXT(SUMPRODUCT(MAX((T_PlannedOrders[Part Name]=$A211)*(T_PlannedOrders[WeekIndex]=47)*(T_PlannedOrders[EffectiveQty]&gt;0)*T_PlannedOrders[Order_Month])),"m月")&amp;"発注)")</f>
        <v/>
      </c>
      <c r="AY219">
        <f>IF(SUMIFS(T_PlannedOrders[EffectiveQty],T_PlannedOrders[Part Name],$A211,T_PlannedOrders[WeekIndex],48)=0,"",SUMIFS(T_PlannedOrders[EffectiveQty],T_PlannedOrders[Part Name],$A211,T_PlannedOrders[WeekIndex],48)&amp;" ("&amp;TEXT(SUMPRODUCT(MAX((T_PlannedOrders[Part Name]=$A211)*(T_PlannedOrders[WeekIndex]=48)*(T_PlannedOrders[EffectiveQty]&gt;0)*T_PlannedOrders[Order_Month])),"m月")&amp;"発注)")</f>
        <v/>
      </c>
      <c r="AZ219">
        <f>IF(SUMIFS(T_PlannedOrders[EffectiveQty],T_PlannedOrders[Part Name],$A211,T_PlannedOrders[WeekIndex],49)=0,"",SUMIFS(T_PlannedOrders[EffectiveQty],T_PlannedOrders[Part Name],$A211,T_PlannedOrders[WeekIndex],49)&amp;" ("&amp;TEXT(SUMPRODUCT(MAX((T_PlannedOrders[Part Name]=$A211)*(T_PlannedOrders[WeekIndex]=49)*(T_PlannedOrders[EffectiveQty]&gt;0)*T_PlannedOrders[Order_Month])),"m月")&amp;"発注)")</f>
        <v/>
      </c>
      <c r="BA219">
        <f>IF(SUMIFS(T_PlannedOrders[EffectiveQty],T_PlannedOrders[Part Name],$A211,T_PlannedOrders[WeekIndex],50)=0,"",SUMIFS(T_PlannedOrders[EffectiveQty],T_PlannedOrders[Part Name],$A211,T_PlannedOrders[WeekIndex],50)&amp;" ("&amp;TEXT(SUMPRODUCT(MAX((T_PlannedOrders[Part Name]=$A211)*(T_PlannedOrders[WeekIndex]=50)*(T_PlannedOrders[EffectiveQty]&gt;0)*T_PlannedOrders[Order_Month])),"m月")&amp;"発注)")</f>
        <v/>
      </c>
      <c r="BB219">
        <f>IF(SUMIFS(T_PlannedOrders[EffectiveQty],T_PlannedOrders[Part Name],$A211,T_PlannedOrders[WeekIndex],51)=0,"",SUMIFS(T_PlannedOrders[EffectiveQty],T_PlannedOrders[Part Name],$A211,T_PlannedOrders[WeekIndex],51)&amp;" ("&amp;TEXT(SUMPRODUCT(MAX((T_PlannedOrders[Part Name]=$A211)*(T_PlannedOrders[WeekIndex]=51)*(T_PlannedOrders[EffectiveQty]&gt;0)*T_PlannedOrders[Order_Month])),"m月")&amp;"発注)")</f>
        <v/>
      </c>
      <c r="BC219">
        <f>IF(SUMIFS(T_PlannedOrders[EffectiveQty],T_PlannedOrders[Part Name],$A211,T_PlannedOrders[WeekIndex],52)=0,"",SUMIFS(T_PlannedOrders[EffectiveQty],T_PlannedOrders[Part Name],$A211,T_PlannedOrders[WeekIndex],52)&amp;" ("&amp;TEXT(SUMPRODUCT(MAX((T_PlannedOrders[Part Name]=$A211)*(T_PlannedOrders[WeekIndex]=52)*(T_PlannedOrders[EffectiveQty]&gt;0)*T_PlannedOrders[Order_Month])),"m月")&amp;"発注)")</f>
        <v/>
      </c>
      <c r="BD219">
        <f>IF(SUMIFS(T_PlannedOrders[EffectiveQty],T_PlannedOrders[Part Name],$A211,T_PlannedOrders[WeekIndex],53)=0,"",SUMIFS(T_PlannedOrders[EffectiveQty],T_PlannedOrders[Part Name],$A211,T_PlannedOrders[WeekIndex],53)&amp;" ("&amp;TEXT(SUMPRODUCT(MAX((T_PlannedOrders[Part Name]=$A211)*(T_PlannedOrders[WeekIndex]=53)*(T_PlannedOrders[EffectiveQty]&gt;0)*T_PlannedOrders[Order_Month])),"m月")&amp;"発注)")</f>
        <v/>
      </c>
      <c r="BE219">
        <f>IF(SUMIFS(T_PlannedOrders[EffectiveQty],T_PlannedOrders[Part Name],$A211,T_PlannedOrders[WeekIndex],54)=0,"",SUMIFS(T_PlannedOrders[EffectiveQty],T_PlannedOrders[Part Name],$A211,T_PlannedOrders[WeekIndex],54)&amp;" ("&amp;TEXT(SUMPRODUCT(MAX((T_PlannedOrders[Part Name]=$A211)*(T_PlannedOrders[WeekIndex]=54)*(T_PlannedOrders[EffectiveQty]&gt;0)*T_PlannedOrders[Order_Month])),"m月")&amp;"発注)")</f>
        <v/>
      </c>
      <c r="BF219">
        <f>IF(SUMIFS(T_PlannedOrders[EffectiveQty],T_PlannedOrders[Part Name],$A211,T_PlannedOrders[WeekIndex],55)=0,"",SUMIFS(T_PlannedOrders[EffectiveQty],T_PlannedOrders[Part Name],$A211,T_PlannedOrders[WeekIndex],55)&amp;" ("&amp;TEXT(SUMPRODUCT(MAX((T_PlannedOrders[Part Name]=$A211)*(T_PlannedOrders[WeekIndex]=55)*(T_PlannedOrders[EffectiveQty]&gt;0)*T_PlannedOrders[Order_Month])),"m月")&amp;"発注)")</f>
        <v/>
      </c>
      <c r="BG219">
        <f>IF(SUMIFS(T_PlannedOrders[EffectiveQty],T_PlannedOrders[Part Name],$A211,T_PlannedOrders[WeekIndex],56)=0,"",SUMIFS(T_PlannedOrders[EffectiveQty],T_PlannedOrders[Part Name],$A211,T_PlannedOrders[WeekIndex],56)&amp;" ("&amp;TEXT(SUMPRODUCT(MAX((T_PlannedOrders[Part Name]=$A211)*(T_PlannedOrders[WeekIndex]=56)*(T_PlannedOrders[EffectiveQty]&gt;0)*T_PlannedOrders[Order_Month])),"m月")&amp;"発注)")</f>
        <v/>
      </c>
      <c r="BH219">
        <f>IF(SUMIFS(T_PlannedOrders[EffectiveQty],T_PlannedOrders[Part Name],$A211,T_PlannedOrders[WeekIndex],57)=0,"",SUMIFS(T_PlannedOrders[EffectiveQty],T_PlannedOrders[Part Name],$A211,T_PlannedOrders[WeekIndex],57)&amp;" ("&amp;TEXT(SUMPRODUCT(MAX((T_PlannedOrders[Part Name]=$A211)*(T_PlannedOrders[WeekIndex]=57)*(T_PlannedOrders[EffectiveQty]&gt;0)*T_PlannedOrders[Order_Month])),"m月")&amp;"発注)")</f>
        <v/>
      </c>
      <c r="BI219">
        <f>IF(SUMIFS(T_PlannedOrders[EffectiveQty],T_PlannedOrders[Part Name],$A211,T_PlannedOrders[WeekIndex],58)=0,"",SUMIFS(T_PlannedOrders[EffectiveQty],T_PlannedOrders[Part Name],$A211,T_PlannedOrders[WeekIndex],58)&amp;" ("&amp;TEXT(SUMPRODUCT(MAX((T_PlannedOrders[Part Name]=$A211)*(T_PlannedOrders[WeekIndex]=58)*(T_PlannedOrders[EffectiveQty]&gt;0)*T_PlannedOrders[Order_Month])),"m月")&amp;"発注)")</f>
        <v/>
      </c>
      <c r="BJ219">
        <f>IF(SUMIFS(T_PlannedOrders[EffectiveQty],T_PlannedOrders[Part Name],$A211,T_PlannedOrders[WeekIndex],59)=0,"",SUMIFS(T_PlannedOrders[EffectiveQty],T_PlannedOrders[Part Name],$A211,T_PlannedOrders[WeekIndex],59)&amp;" ("&amp;TEXT(SUMPRODUCT(MAX((T_PlannedOrders[Part Name]=$A211)*(T_PlannedOrders[WeekIndex]=59)*(T_PlannedOrders[EffectiveQty]&gt;0)*T_PlannedOrders[Order_Month])),"m月")&amp;"発注)")</f>
        <v/>
      </c>
      <c r="BK219">
        <f>IF(SUMIFS(T_PlannedOrders[EffectiveQty],T_PlannedOrders[Part Name],$A211,T_PlannedOrders[WeekIndex],60)=0,"",SUMIFS(T_PlannedOrders[EffectiveQty],T_PlannedOrders[Part Name],$A211,T_PlannedOrders[WeekIndex],60)&amp;" ("&amp;TEXT(SUMPRODUCT(MAX((T_PlannedOrders[Part Name]=$A211)*(T_PlannedOrders[WeekIndex]=60)*(T_PlannedOrders[EffectiveQty]&gt;0)*T_PlannedOrders[Order_Month])),"m月")&amp;"発注)")</f>
        <v/>
      </c>
      <c r="BL219">
        <f>IF(SUMIFS(T_PlannedOrders[EffectiveQty],T_PlannedOrders[Part Name],$A211,T_PlannedOrders[WeekIndex],61)=0,"",SUMIFS(T_PlannedOrders[EffectiveQty],T_PlannedOrders[Part Name],$A211,T_PlannedOrders[WeekIndex],61)&amp;" ("&amp;TEXT(SUMPRODUCT(MAX((T_PlannedOrders[Part Name]=$A211)*(T_PlannedOrders[WeekIndex]=61)*(T_PlannedOrders[EffectiveQty]&gt;0)*T_PlannedOrders[Order_Month])),"m月")&amp;"発注)")</f>
        <v/>
      </c>
      <c r="BM219">
        <f>IF(SUMIFS(T_PlannedOrders[EffectiveQty],T_PlannedOrders[Part Name],$A211,T_PlannedOrders[WeekIndex],62)=0,"",SUMIFS(T_PlannedOrders[EffectiveQty],T_PlannedOrders[Part Name],$A211,T_PlannedOrders[WeekIndex],62)&amp;" ("&amp;TEXT(SUMPRODUCT(MAX((T_PlannedOrders[Part Name]=$A211)*(T_PlannedOrders[WeekIndex]=62)*(T_PlannedOrders[EffectiveQty]&gt;0)*T_PlannedOrders[Order_Month])),"m月")&amp;"発注)")</f>
        <v/>
      </c>
      <c r="BN219">
        <f>IF(SUMIFS(T_PlannedOrders[EffectiveQty],T_PlannedOrders[Part Name],$A211,T_PlannedOrders[WeekIndex],63)=0,"",SUMIFS(T_PlannedOrders[EffectiveQty],T_PlannedOrders[Part Name],$A211,T_PlannedOrders[WeekIndex],63)&amp;" ("&amp;TEXT(SUMPRODUCT(MAX((T_PlannedOrders[Part Name]=$A211)*(T_PlannedOrders[WeekIndex]=63)*(T_PlannedOrders[EffectiveQty]&gt;0)*T_PlannedOrders[Order_Month])),"m月")&amp;"発注)")</f>
        <v/>
      </c>
      <c r="BO219">
        <f>IF(SUMIFS(T_PlannedOrders[EffectiveQty],T_PlannedOrders[Part Name],$A211,T_PlannedOrders[WeekIndex],64)=0,"",SUMIFS(T_PlannedOrders[EffectiveQty],T_PlannedOrders[Part Name],$A211,T_PlannedOrders[WeekIndex],64)&amp;" ("&amp;TEXT(SUMPRODUCT(MAX((T_PlannedOrders[Part Name]=$A211)*(T_PlannedOrders[WeekIndex]=64)*(T_PlannedOrders[EffectiveQty]&gt;0)*T_PlannedOrders[Order_Month])),"m月")&amp;"発注)")</f>
        <v/>
      </c>
      <c r="BP219">
        <f>IF(SUMIFS(T_PlannedOrders[EffectiveQty],T_PlannedOrders[Part Name],$A211,T_PlannedOrders[WeekIndex],65)=0,"",SUMIFS(T_PlannedOrders[EffectiveQty],T_PlannedOrders[Part Name],$A211,T_PlannedOrders[WeekIndex],65)&amp;" ("&amp;TEXT(SUMPRODUCT(MAX((T_PlannedOrders[Part Name]=$A211)*(T_PlannedOrders[WeekIndex]=65)*(T_PlannedOrders[EffectiveQty]&gt;0)*T_PlannedOrders[Order_Month])),"m月")&amp;"発注)")</f>
        <v/>
      </c>
      <c r="BQ219">
        <f>IF(SUMIFS(T_PlannedOrders[EffectiveQty],T_PlannedOrders[Part Name],$A211,T_PlannedOrders[WeekIndex],66)=0,"",SUMIFS(T_PlannedOrders[EffectiveQty],T_PlannedOrders[Part Name],$A211,T_PlannedOrders[WeekIndex],66)&amp;" ("&amp;TEXT(SUMPRODUCT(MAX((T_PlannedOrders[Part Name]=$A211)*(T_PlannedOrders[WeekIndex]=66)*(T_PlannedOrders[EffectiveQty]&gt;0)*T_PlannedOrders[Order_Month])),"m月")&amp;"発注)")</f>
        <v/>
      </c>
      <c r="BR219">
        <f>IF(SUMIFS(T_PlannedOrders[EffectiveQty],T_PlannedOrders[Part Name],$A211,T_PlannedOrders[WeekIndex],67)=0,"",SUMIFS(T_PlannedOrders[EffectiveQty],T_PlannedOrders[Part Name],$A211,T_PlannedOrders[WeekIndex],67)&amp;" ("&amp;TEXT(SUMPRODUCT(MAX((T_PlannedOrders[Part Name]=$A211)*(T_PlannedOrders[WeekIndex]=67)*(T_PlannedOrders[EffectiveQty]&gt;0)*T_PlannedOrders[Order_Month])),"m月")&amp;"発注)")</f>
        <v/>
      </c>
      <c r="BS219">
        <f>IF(SUMIFS(T_PlannedOrders[EffectiveQty],T_PlannedOrders[Part Name],$A211,T_PlannedOrders[WeekIndex],68)=0,"",SUMIFS(T_PlannedOrders[EffectiveQty],T_PlannedOrders[Part Name],$A211,T_PlannedOrders[WeekIndex],68)&amp;" ("&amp;TEXT(SUMPRODUCT(MAX((T_PlannedOrders[Part Name]=$A211)*(T_PlannedOrders[WeekIndex]=68)*(T_PlannedOrders[EffectiveQty]&gt;0)*T_PlannedOrders[Order_Month])),"m月")&amp;"発注)")</f>
        <v/>
      </c>
      <c r="BT219">
        <f>IF(SUMIFS(T_PlannedOrders[EffectiveQty],T_PlannedOrders[Part Name],$A211,T_PlannedOrders[WeekIndex],69)=0,"",SUMIFS(T_PlannedOrders[EffectiveQty],T_PlannedOrders[Part Name],$A211,T_PlannedOrders[WeekIndex],69)&amp;" ("&amp;TEXT(SUMPRODUCT(MAX((T_PlannedOrders[Part Name]=$A211)*(T_PlannedOrders[WeekIndex]=69)*(T_PlannedOrders[EffectiveQty]&gt;0)*T_PlannedOrders[Order_Month])),"m月")&amp;"発注)")</f>
        <v/>
      </c>
      <c r="BU219">
        <f>IF(SUMIFS(T_PlannedOrders[EffectiveQty],T_PlannedOrders[Part Name],$A211,T_PlannedOrders[WeekIndex],70)=0,"",SUMIFS(T_PlannedOrders[EffectiveQty],T_PlannedOrders[Part Name],$A211,T_PlannedOrders[WeekIndex],70)&amp;" ("&amp;TEXT(SUMPRODUCT(MAX((T_PlannedOrders[Part Name]=$A211)*(T_PlannedOrders[WeekIndex]=70)*(T_PlannedOrders[EffectiveQty]&gt;0)*T_PlannedOrders[Order_Month])),"m月")&amp;"発注)")</f>
        <v/>
      </c>
      <c r="BV219">
        <f>IF(SUMIFS(T_PlannedOrders[EffectiveQty],T_PlannedOrders[Part Name],$A211,T_PlannedOrders[WeekIndex],71)=0,"",SUMIFS(T_PlannedOrders[EffectiveQty],T_PlannedOrders[Part Name],$A211,T_PlannedOrders[WeekIndex],71)&amp;" ("&amp;TEXT(SUMPRODUCT(MAX((T_PlannedOrders[Part Name]=$A211)*(T_PlannedOrders[WeekIndex]=71)*(T_PlannedOrders[EffectiveQty]&gt;0)*T_PlannedOrders[Order_Month])),"m月")&amp;"発注)")</f>
        <v/>
      </c>
      <c r="BW219">
        <f>IF(SUMIFS(T_PlannedOrders[EffectiveQty],T_PlannedOrders[Part Name],$A211,T_PlannedOrders[WeekIndex],72)=0,"",SUMIFS(T_PlannedOrders[EffectiveQty],T_PlannedOrders[Part Name],$A211,T_PlannedOrders[WeekIndex],72)&amp;" ("&amp;TEXT(SUMPRODUCT(MAX((T_PlannedOrders[Part Name]=$A211)*(T_PlannedOrders[WeekIndex]=72)*(T_PlannedOrders[EffectiveQty]&gt;0)*T_PlannedOrders[Order_Month])),"m月")&amp;"発注)")</f>
        <v/>
      </c>
      <c r="BX219">
        <f>IF(SUMIFS(T_PlannedOrders[EffectiveQty],T_PlannedOrders[Part Name],$A211,T_PlannedOrders[WeekIndex],73)=0,"",SUMIFS(T_PlannedOrders[EffectiveQty],T_PlannedOrders[Part Name],$A211,T_PlannedOrders[WeekIndex],73)&amp;" ("&amp;TEXT(SUMPRODUCT(MAX((T_PlannedOrders[Part Name]=$A211)*(T_PlannedOrders[WeekIndex]=73)*(T_PlannedOrders[EffectiveQty]&gt;0)*T_PlannedOrders[Order_Month])),"m月")&amp;"発注)")</f>
        <v/>
      </c>
      <c r="BY219">
        <f>IF(SUMIFS(T_PlannedOrders[EffectiveQty],T_PlannedOrders[Part Name],$A211,T_PlannedOrders[WeekIndex],74)=0,"",SUMIFS(T_PlannedOrders[EffectiveQty],T_PlannedOrders[Part Name],$A211,T_PlannedOrders[WeekIndex],74)&amp;" ("&amp;TEXT(SUMPRODUCT(MAX((T_PlannedOrders[Part Name]=$A211)*(T_PlannedOrders[WeekIndex]=74)*(T_PlannedOrders[EffectiveQty]&gt;0)*T_PlannedOrders[Order_Month])),"m月")&amp;"発注)")</f>
        <v/>
      </c>
      <c r="BZ219">
        <f>IF(SUMIFS(T_PlannedOrders[EffectiveQty],T_PlannedOrders[Part Name],$A211,T_PlannedOrders[WeekIndex],75)=0,"",SUMIFS(T_PlannedOrders[EffectiveQty],T_PlannedOrders[Part Name],$A211,T_PlannedOrders[WeekIndex],75)&amp;" ("&amp;TEXT(SUMPRODUCT(MAX((T_PlannedOrders[Part Name]=$A211)*(T_PlannedOrders[WeekIndex]=75)*(T_PlannedOrders[EffectiveQty]&gt;0)*T_PlannedOrders[Order_Month])),"m月")&amp;"発注)")</f>
        <v/>
      </c>
      <c r="CA219">
        <f>IF(SUMIFS(T_PlannedOrders[EffectiveQty],T_PlannedOrders[Part Name],$A211,T_PlannedOrders[WeekIndex],76)=0,"",SUMIFS(T_PlannedOrders[EffectiveQty],T_PlannedOrders[Part Name],$A211,T_PlannedOrders[WeekIndex],76)&amp;" ("&amp;TEXT(SUMPRODUCT(MAX((T_PlannedOrders[Part Name]=$A211)*(T_PlannedOrders[WeekIndex]=76)*(T_PlannedOrders[EffectiveQty]&gt;0)*T_PlannedOrders[Order_Month])),"m月")&amp;"発注)")</f>
        <v/>
      </c>
      <c r="CB219">
        <f>IF(SUMIFS(T_PlannedOrders[EffectiveQty],T_PlannedOrders[Part Name],$A211,T_PlannedOrders[WeekIndex],77)=0,"",SUMIFS(T_PlannedOrders[EffectiveQty],T_PlannedOrders[Part Name],$A211,T_PlannedOrders[WeekIndex],77)&amp;" ("&amp;TEXT(SUMPRODUCT(MAX((T_PlannedOrders[Part Name]=$A211)*(T_PlannedOrders[WeekIndex]=77)*(T_PlannedOrders[EffectiveQty]&gt;0)*T_PlannedOrders[Order_Month])),"m月")&amp;"発注)")</f>
        <v/>
      </c>
      <c r="CC219">
        <f>IF(SUMIFS(T_PlannedOrders[EffectiveQty],T_PlannedOrders[Part Name],$A211,T_PlannedOrders[WeekIndex],78)=0,"",SUMIFS(T_PlannedOrders[EffectiveQty],T_PlannedOrders[Part Name],$A211,T_PlannedOrders[WeekIndex],78)&amp;" ("&amp;TEXT(SUMPRODUCT(MAX((T_PlannedOrders[Part Name]=$A211)*(T_PlannedOrders[WeekIndex]=78)*(T_PlannedOrders[EffectiveQty]&gt;0)*T_PlannedOrders[Order_Month])),"m月")&amp;"発注)")</f>
        <v/>
      </c>
      <c r="CD219">
        <f>IF(SUMIFS(T_PlannedOrders[EffectiveQty],T_PlannedOrders[Part Name],$A211,T_PlannedOrders[WeekIndex],79)=0,"",SUMIFS(T_PlannedOrders[EffectiveQty],T_PlannedOrders[Part Name],$A211,T_PlannedOrders[WeekIndex],79)&amp;" ("&amp;TEXT(SUMPRODUCT(MAX((T_PlannedOrders[Part Name]=$A211)*(T_PlannedOrders[WeekIndex]=79)*(T_PlannedOrders[EffectiveQty]&gt;0)*T_PlannedOrders[Order_Month])),"m月")&amp;"発注)")</f>
        <v/>
      </c>
      <c r="CE219">
        <f>IF(SUMIFS(T_PlannedOrders[EffectiveQty],T_PlannedOrders[Part Name],$A211,T_PlannedOrders[WeekIndex],80)=0,"",SUMIFS(T_PlannedOrders[EffectiveQty],T_PlannedOrders[Part Name],$A211,T_PlannedOrders[WeekIndex],80)&amp;" ("&amp;TEXT(SUMPRODUCT(MAX((T_PlannedOrders[Part Name]=$A211)*(T_PlannedOrders[WeekIndex]=80)*(T_PlannedOrders[EffectiveQty]&gt;0)*T_PlannedOrders[Order_Month])),"m月")&amp;"発注)")</f>
        <v/>
      </c>
      <c r="CF219">
        <f>IF(SUMIFS(T_PlannedOrders[EffectiveQty],T_PlannedOrders[Part Name],$A211,T_PlannedOrders[WeekIndex],81)=0,"",SUMIFS(T_PlannedOrders[EffectiveQty],T_PlannedOrders[Part Name],$A211,T_PlannedOrders[WeekIndex],81)&amp;" ("&amp;TEXT(SUMPRODUCT(MAX((T_PlannedOrders[Part Name]=$A211)*(T_PlannedOrders[WeekIndex]=81)*(T_PlannedOrders[EffectiveQty]&gt;0)*T_PlannedOrders[Order_Month])),"m月")&amp;"発注)")</f>
        <v/>
      </c>
      <c r="CG219">
        <f>IF(SUMIFS(T_PlannedOrders[EffectiveQty],T_PlannedOrders[Part Name],$A211,T_PlannedOrders[WeekIndex],82)=0,"",SUMIFS(T_PlannedOrders[EffectiveQty],T_PlannedOrders[Part Name],$A211,T_PlannedOrders[WeekIndex],82)&amp;" ("&amp;TEXT(SUMPRODUCT(MAX((T_PlannedOrders[Part Name]=$A211)*(T_PlannedOrders[WeekIndex]=82)*(T_PlannedOrders[EffectiveQty]&gt;0)*T_PlannedOrders[Order_Month])),"m月")&amp;"発注)")</f>
        <v/>
      </c>
      <c r="CH219">
        <f>IF(SUMIFS(T_PlannedOrders[EffectiveQty],T_PlannedOrders[Part Name],$A211,T_PlannedOrders[WeekIndex],83)=0,"",SUMIFS(T_PlannedOrders[EffectiveQty],T_PlannedOrders[Part Name],$A211,T_PlannedOrders[WeekIndex],83)&amp;" ("&amp;TEXT(SUMPRODUCT(MAX((T_PlannedOrders[Part Name]=$A211)*(T_PlannedOrders[WeekIndex]=83)*(T_PlannedOrders[EffectiveQty]&gt;0)*T_PlannedOrders[Order_Month])),"m月")&amp;"発注)")</f>
        <v/>
      </c>
      <c r="CI219">
        <f>IF(SUMIFS(T_PlannedOrders[EffectiveQty],T_PlannedOrders[Part Name],$A211,T_PlannedOrders[WeekIndex],84)=0,"",SUMIFS(T_PlannedOrders[EffectiveQty],T_PlannedOrders[Part Name],$A211,T_PlannedOrders[WeekIndex],84)&amp;" ("&amp;TEXT(SUMPRODUCT(MAX((T_PlannedOrders[Part Name]=$A211)*(T_PlannedOrders[WeekIndex]=84)*(T_PlannedOrders[EffectiveQty]&gt;0)*T_PlannedOrders[Order_Month])),"m月")&amp;"発注)")</f>
        <v/>
      </c>
      <c r="CJ219">
        <f>IF(SUMIFS(T_PlannedOrders[EffectiveQty],T_PlannedOrders[Part Name],$A211,T_PlannedOrders[WeekIndex],85)=0,"",SUMIFS(T_PlannedOrders[EffectiveQty],T_PlannedOrders[Part Name],$A211,T_PlannedOrders[WeekIndex],85)&amp;" ("&amp;TEXT(SUMPRODUCT(MAX((T_PlannedOrders[Part Name]=$A211)*(T_PlannedOrders[WeekIndex]=85)*(T_PlannedOrders[EffectiveQty]&gt;0)*T_PlannedOrders[Order_Month])),"m月")&amp;"発注)")</f>
        <v/>
      </c>
      <c r="CK219">
        <f>IF(SUMIFS(T_PlannedOrders[EffectiveQty],T_PlannedOrders[Part Name],$A211,T_PlannedOrders[WeekIndex],86)=0,"",SUMIFS(T_PlannedOrders[EffectiveQty],T_PlannedOrders[Part Name],$A211,T_PlannedOrders[WeekIndex],86)&amp;" ("&amp;TEXT(SUMPRODUCT(MAX((T_PlannedOrders[Part Name]=$A211)*(T_PlannedOrders[WeekIndex]=86)*(T_PlannedOrders[EffectiveQty]&gt;0)*T_PlannedOrders[Order_Month])),"m月")&amp;"発注)")</f>
        <v/>
      </c>
      <c r="CL219">
        <f>IF(SUMIFS(T_PlannedOrders[EffectiveQty],T_PlannedOrders[Part Name],$A211,T_PlannedOrders[WeekIndex],87)=0,"",SUMIFS(T_PlannedOrders[EffectiveQty],T_PlannedOrders[Part Name],$A211,T_PlannedOrders[WeekIndex],87)&amp;" ("&amp;TEXT(SUMPRODUCT(MAX((T_PlannedOrders[Part Name]=$A211)*(T_PlannedOrders[WeekIndex]=87)*(T_PlannedOrders[EffectiveQty]&gt;0)*T_PlannedOrders[Order_Month])),"m月")&amp;"発注)")</f>
        <v/>
      </c>
      <c r="CM219">
        <f>IF(SUMIFS(T_PlannedOrders[EffectiveQty],T_PlannedOrders[Part Name],$A211,T_PlannedOrders[WeekIndex],88)=0,"",SUMIFS(T_PlannedOrders[EffectiveQty],T_PlannedOrders[Part Name],$A211,T_PlannedOrders[WeekIndex],88)&amp;" ("&amp;TEXT(SUMPRODUCT(MAX((T_PlannedOrders[Part Name]=$A211)*(T_PlannedOrders[WeekIndex]=88)*(T_PlannedOrders[EffectiveQty]&gt;0)*T_PlannedOrders[Order_Month])),"m月")&amp;"発注)")</f>
        <v/>
      </c>
      <c r="CN219">
        <f>IF(SUMIFS(T_PlannedOrders[EffectiveQty],T_PlannedOrders[Part Name],$A211,T_PlannedOrders[WeekIndex],89)=0,"",SUMIFS(T_PlannedOrders[EffectiveQty],T_PlannedOrders[Part Name],$A211,T_PlannedOrders[WeekIndex],89)&amp;" ("&amp;TEXT(SUMPRODUCT(MAX((T_PlannedOrders[Part Name]=$A211)*(T_PlannedOrders[WeekIndex]=89)*(T_PlannedOrders[EffectiveQty]&gt;0)*T_PlannedOrders[Order_Month])),"m月")&amp;"発注)")</f>
        <v/>
      </c>
      <c r="CO219">
        <f>IF(SUMIFS(T_PlannedOrders[EffectiveQty],T_PlannedOrders[Part Name],$A211,T_PlannedOrders[WeekIndex],90)=0,"",SUMIFS(T_PlannedOrders[EffectiveQty],T_PlannedOrders[Part Name],$A211,T_PlannedOrders[WeekIndex],90)&amp;" ("&amp;TEXT(SUMPRODUCT(MAX((T_PlannedOrders[Part Name]=$A211)*(T_PlannedOrders[WeekIndex]=90)*(T_PlannedOrders[EffectiveQty]&gt;0)*T_PlannedOrders[Order_Month])),"m月")&amp;"発注)")</f>
        <v/>
      </c>
      <c r="CP219">
        <f>IF(SUMIFS(T_PlannedOrders[EffectiveQty],T_PlannedOrders[Part Name],$A211,T_PlannedOrders[WeekIndex],91)=0,"",SUMIFS(T_PlannedOrders[EffectiveQty],T_PlannedOrders[Part Name],$A211,T_PlannedOrders[WeekIndex],91)&amp;" ("&amp;TEXT(SUMPRODUCT(MAX((T_PlannedOrders[Part Name]=$A211)*(T_PlannedOrders[WeekIndex]=91)*(T_PlannedOrders[EffectiveQty]&gt;0)*T_PlannedOrders[Order_Month])),"m月")&amp;"発注)")</f>
        <v/>
      </c>
      <c r="CQ219">
        <f>IF(SUMIFS(T_PlannedOrders[EffectiveQty],T_PlannedOrders[Part Name],$A211,T_PlannedOrders[WeekIndex],92)=0,"",SUMIFS(T_PlannedOrders[EffectiveQty],T_PlannedOrders[Part Name],$A211,T_PlannedOrders[WeekIndex],92)&amp;" ("&amp;TEXT(SUMPRODUCT(MAX((T_PlannedOrders[Part Name]=$A211)*(T_PlannedOrders[WeekIndex]=92)*(T_PlannedOrders[EffectiveQty]&gt;0)*T_PlannedOrders[Order_Month])),"m月")&amp;"発注)")</f>
        <v/>
      </c>
      <c r="CR219">
        <f>IF(SUMIFS(T_PlannedOrders[EffectiveQty],T_PlannedOrders[Part Name],$A211,T_PlannedOrders[WeekIndex],93)=0,"",SUMIFS(T_PlannedOrders[EffectiveQty],T_PlannedOrders[Part Name],$A211,T_PlannedOrders[WeekIndex],93)&amp;" ("&amp;TEXT(SUMPRODUCT(MAX((T_PlannedOrders[Part Name]=$A211)*(T_PlannedOrders[WeekIndex]=93)*(T_PlannedOrders[EffectiveQty]&gt;0)*T_PlannedOrders[Order_Month])),"m月")&amp;"発注)")</f>
        <v/>
      </c>
      <c r="CS219">
        <f>IF(SUMIFS(T_PlannedOrders[EffectiveQty],T_PlannedOrders[Part Name],$A211,T_PlannedOrders[WeekIndex],94)=0,"",SUMIFS(T_PlannedOrders[EffectiveQty],T_PlannedOrders[Part Name],$A211,T_PlannedOrders[WeekIndex],94)&amp;" ("&amp;TEXT(SUMPRODUCT(MAX((T_PlannedOrders[Part Name]=$A211)*(T_PlannedOrders[WeekIndex]=94)*(T_PlannedOrders[EffectiveQty]&gt;0)*T_PlannedOrders[Order_Month])),"m月")&amp;"発注)")</f>
        <v/>
      </c>
      <c r="CT219">
        <f>IF(SUMIFS(T_PlannedOrders[EffectiveQty],T_PlannedOrders[Part Name],$A211,T_PlannedOrders[WeekIndex],95)=0,"",SUMIFS(T_PlannedOrders[EffectiveQty],T_PlannedOrders[Part Name],$A211,T_PlannedOrders[WeekIndex],95)&amp;" ("&amp;TEXT(SUMPRODUCT(MAX((T_PlannedOrders[Part Name]=$A211)*(T_PlannedOrders[WeekIndex]=95)*(T_PlannedOrders[EffectiveQty]&gt;0)*T_PlannedOrders[Order_Month])),"m月")&amp;"発注)")</f>
        <v/>
      </c>
      <c r="CU219">
        <f>IF(SUMIFS(T_PlannedOrders[EffectiveQty],T_PlannedOrders[Part Name],$A211,T_PlannedOrders[WeekIndex],96)=0,"",SUMIFS(T_PlannedOrders[EffectiveQty],T_PlannedOrders[Part Name],$A211,T_PlannedOrders[WeekIndex],96)&amp;" ("&amp;TEXT(SUMPRODUCT(MAX((T_PlannedOrders[Part Name]=$A211)*(T_PlannedOrders[WeekIndex]=96)*(T_PlannedOrders[EffectiveQty]&gt;0)*T_PlannedOrders[Order_Month])),"m月")&amp;"発注)")</f>
        <v/>
      </c>
      <c r="CV219">
        <f>IF(SUMIFS(T_PlannedOrders[EffectiveQty],T_PlannedOrders[Part Name],$A211,T_PlannedOrders[WeekIndex],97)=0,"",SUMIFS(T_PlannedOrders[EffectiveQty],T_PlannedOrders[Part Name],$A211,T_PlannedOrders[WeekIndex],97)&amp;" ("&amp;TEXT(SUMPRODUCT(MAX((T_PlannedOrders[Part Name]=$A211)*(T_PlannedOrders[WeekIndex]=97)*(T_PlannedOrders[EffectiveQty]&gt;0)*T_PlannedOrders[Order_Month])),"m月")&amp;"発注)")</f>
        <v/>
      </c>
      <c r="CW219">
        <f>IF(SUMIFS(T_PlannedOrders[EffectiveQty],T_PlannedOrders[Part Name],$A211,T_PlannedOrders[WeekIndex],98)=0,"",SUMIFS(T_PlannedOrders[EffectiveQty],T_PlannedOrders[Part Name],$A211,T_PlannedOrders[WeekIndex],98)&amp;" ("&amp;TEXT(SUMPRODUCT(MAX((T_PlannedOrders[Part Name]=$A211)*(T_PlannedOrders[WeekIndex]=98)*(T_PlannedOrders[EffectiveQty]&gt;0)*T_PlannedOrders[Order_Month])),"m月")&amp;"発注)")</f>
        <v/>
      </c>
      <c r="CX219">
        <f>IF(SUMIFS(T_PlannedOrders[EffectiveQty],T_PlannedOrders[Part Name],$A211,T_PlannedOrders[WeekIndex],99)=0,"",SUMIFS(T_PlannedOrders[EffectiveQty],T_PlannedOrders[Part Name],$A211,T_PlannedOrders[WeekIndex],99)&amp;" ("&amp;TEXT(SUMPRODUCT(MAX((T_PlannedOrders[Part Name]=$A211)*(T_PlannedOrders[WeekIndex]=99)*(T_PlannedOrders[EffectiveQty]&gt;0)*T_PlannedOrders[Order_Month])),"m月")&amp;"発注)")</f>
        <v/>
      </c>
      <c r="CY219">
        <f>IF(SUMIFS(T_PlannedOrders[EffectiveQty],T_PlannedOrders[Part Name],$A211,T_PlannedOrders[WeekIndex],100)=0,"",SUMIFS(T_PlannedOrders[EffectiveQty],T_PlannedOrders[Part Name],$A211,T_PlannedOrders[WeekIndex],100)&amp;" ("&amp;TEXT(SUMPRODUCT(MAX((T_PlannedOrders[Part Name]=$A211)*(T_PlannedOrders[WeekIndex]=100)*(T_PlannedOrders[EffectiveQty]&gt;0)*T_PlannedOrders[Order_Month])),"m月")&amp;"発注)")</f>
        <v/>
      </c>
      <c r="CZ219">
        <f>IF(SUMIFS(T_PlannedOrders[EffectiveQty],T_PlannedOrders[Part Name],$A211,T_PlannedOrders[WeekIndex],101)=0,"",SUMIFS(T_PlannedOrders[EffectiveQty],T_PlannedOrders[Part Name],$A211,T_PlannedOrders[WeekIndex],101)&amp;" ("&amp;TEXT(SUMPRODUCT(MAX((T_PlannedOrders[Part Name]=$A211)*(T_PlannedOrders[WeekIndex]=101)*(T_PlannedOrders[EffectiveQty]&gt;0)*T_PlannedOrders[Order_Month])),"m月")&amp;"発注)")</f>
        <v/>
      </c>
      <c r="DA219">
        <f>IF(SUMIFS(T_PlannedOrders[EffectiveQty],T_PlannedOrders[Part Name],$A211,T_PlannedOrders[WeekIndex],102)=0,"",SUMIFS(T_PlannedOrders[EffectiveQty],T_PlannedOrders[Part Name],$A211,T_PlannedOrders[WeekIndex],102)&amp;" ("&amp;TEXT(SUMPRODUCT(MAX((T_PlannedOrders[Part Name]=$A211)*(T_PlannedOrders[WeekIndex]=102)*(T_PlannedOrders[EffectiveQty]&gt;0)*T_PlannedOrders[Order_Month])),"m月")&amp;"発注)")</f>
        <v/>
      </c>
      <c r="DB219">
        <f>IF(SUMIFS(T_PlannedOrders[EffectiveQty],T_PlannedOrders[Part Name],$A211,T_PlannedOrders[WeekIndex],103)=0,"",SUMIFS(T_PlannedOrders[EffectiveQty],T_PlannedOrders[Part Name],$A211,T_PlannedOrders[WeekIndex],103)&amp;" ("&amp;TEXT(SUMPRODUCT(MAX((T_PlannedOrders[Part Name]=$A211)*(T_PlannedOrders[WeekIndex]=103)*(T_PlannedOrders[EffectiveQty]&gt;0)*T_PlannedOrders[Order_Month])),"m月")&amp;"発注)")</f>
        <v/>
      </c>
      <c r="DC219">
        <f>IF(SUMIFS(T_PlannedOrders[EffectiveQty],T_PlannedOrders[Part Name],$A211,T_PlannedOrders[WeekIndex],104)=0,"",SUMIFS(T_PlannedOrders[EffectiveQty],T_PlannedOrders[Part Name],$A211,T_PlannedOrders[WeekIndex],104)&amp;" ("&amp;TEXT(SUMPRODUCT(MAX((T_PlannedOrders[Part Name]=$A211)*(T_PlannedOrders[WeekIndex]=104)*(T_PlannedOrders[EffectiveQty]&gt;0)*T_PlannedOrders[Order_Month])),"m月")&amp;"発注)")</f>
        <v/>
      </c>
    </row>
    <row r="220">
      <c r="B220" s="5" t="inlineStr">
        <is>
          <t>合計在庫(週末時点,kg)</t>
        </is>
      </c>
      <c r="D220">
        <f>'Grid_Stock'!B23</f>
        <v/>
      </c>
      <c r="E220">
        <f>'Grid_Stock'!C23</f>
        <v/>
      </c>
      <c r="F220">
        <f>'Grid_Stock'!D23</f>
        <v/>
      </c>
      <c r="G220">
        <f>'Grid_Stock'!E23</f>
        <v/>
      </c>
      <c r="H220">
        <f>'Grid_Stock'!F23</f>
        <v/>
      </c>
      <c r="I220">
        <f>'Grid_Stock'!G23</f>
        <v/>
      </c>
      <c r="J220">
        <f>'Grid_Stock'!H23</f>
        <v/>
      </c>
      <c r="K220">
        <f>'Grid_Stock'!I23</f>
        <v/>
      </c>
      <c r="L220">
        <f>'Grid_Stock'!J23</f>
        <v/>
      </c>
      <c r="M220">
        <f>'Grid_Stock'!K23</f>
        <v/>
      </c>
      <c r="N220">
        <f>'Grid_Stock'!L23</f>
        <v/>
      </c>
      <c r="O220">
        <f>'Grid_Stock'!M23</f>
        <v/>
      </c>
      <c r="P220">
        <f>'Grid_Stock'!N23</f>
        <v/>
      </c>
      <c r="Q220">
        <f>'Grid_Stock'!O23</f>
        <v/>
      </c>
      <c r="R220">
        <f>'Grid_Stock'!P23</f>
        <v/>
      </c>
      <c r="S220">
        <f>'Grid_Stock'!Q23</f>
        <v/>
      </c>
      <c r="T220">
        <f>'Grid_Stock'!R23</f>
        <v/>
      </c>
      <c r="U220">
        <f>'Grid_Stock'!S23</f>
        <v/>
      </c>
      <c r="V220">
        <f>'Grid_Stock'!T23</f>
        <v/>
      </c>
      <c r="W220">
        <f>'Grid_Stock'!U23</f>
        <v/>
      </c>
      <c r="X220">
        <f>'Grid_Stock'!V23</f>
        <v/>
      </c>
      <c r="Y220">
        <f>'Grid_Stock'!W23</f>
        <v/>
      </c>
      <c r="Z220">
        <f>'Grid_Stock'!X23</f>
        <v/>
      </c>
      <c r="AA220">
        <f>'Grid_Stock'!Y23</f>
        <v/>
      </c>
      <c r="AB220">
        <f>'Grid_Stock'!Z23</f>
        <v/>
      </c>
      <c r="AC220">
        <f>'Grid_Stock'!AA23</f>
        <v/>
      </c>
      <c r="AD220">
        <f>'Grid_Stock'!AB23</f>
        <v/>
      </c>
      <c r="AE220">
        <f>'Grid_Stock'!AC23</f>
        <v/>
      </c>
      <c r="AF220">
        <f>'Grid_Stock'!AD23</f>
        <v/>
      </c>
      <c r="AG220">
        <f>'Grid_Stock'!AE23</f>
        <v/>
      </c>
      <c r="AH220">
        <f>'Grid_Stock'!AF23</f>
        <v/>
      </c>
      <c r="AI220">
        <f>'Grid_Stock'!AG23</f>
        <v/>
      </c>
      <c r="AJ220">
        <f>'Grid_Stock'!AH23</f>
        <v/>
      </c>
      <c r="AK220">
        <f>'Grid_Stock'!AI23</f>
        <v/>
      </c>
      <c r="AL220">
        <f>'Grid_Stock'!AJ23</f>
        <v/>
      </c>
      <c r="AM220">
        <f>'Grid_Stock'!AK23</f>
        <v/>
      </c>
      <c r="AN220">
        <f>'Grid_Stock'!AL23</f>
        <v/>
      </c>
      <c r="AO220">
        <f>'Grid_Stock'!AM23</f>
        <v/>
      </c>
      <c r="AP220">
        <f>'Grid_Stock'!AN23</f>
        <v/>
      </c>
      <c r="AQ220">
        <f>'Grid_Stock'!AO23</f>
        <v/>
      </c>
      <c r="AR220">
        <f>'Grid_Stock'!AP23</f>
        <v/>
      </c>
      <c r="AS220">
        <f>'Grid_Stock'!AQ23</f>
        <v/>
      </c>
      <c r="AT220">
        <f>'Grid_Stock'!AR23</f>
        <v/>
      </c>
      <c r="AU220">
        <f>'Grid_Stock'!AS23</f>
        <v/>
      </c>
      <c r="AV220">
        <f>'Grid_Stock'!AT23</f>
        <v/>
      </c>
      <c r="AW220">
        <f>'Grid_Stock'!AU23</f>
        <v/>
      </c>
      <c r="AX220">
        <f>'Grid_Stock'!AV23</f>
        <v/>
      </c>
      <c r="AY220">
        <f>'Grid_Stock'!AW23</f>
        <v/>
      </c>
      <c r="AZ220">
        <f>'Grid_Stock'!AX23</f>
        <v/>
      </c>
      <c r="BA220">
        <f>'Grid_Stock'!AY23</f>
        <v/>
      </c>
      <c r="BB220">
        <f>'Grid_Stock'!AZ23</f>
        <v/>
      </c>
      <c r="BC220">
        <f>'Grid_Stock'!BA23</f>
        <v/>
      </c>
      <c r="BD220">
        <f>'Grid_Stock'!BB23</f>
        <v/>
      </c>
      <c r="BE220">
        <f>'Grid_Stock'!BC23</f>
        <v/>
      </c>
      <c r="BF220">
        <f>'Grid_Stock'!BD23</f>
        <v/>
      </c>
      <c r="BG220">
        <f>'Grid_Stock'!BE23</f>
        <v/>
      </c>
      <c r="BH220">
        <f>'Grid_Stock'!BF23</f>
        <v/>
      </c>
      <c r="BI220">
        <f>'Grid_Stock'!BG23</f>
        <v/>
      </c>
      <c r="BJ220">
        <f>'Grid_Stock'!BH23</f>
        <v/>
      </c>
      <c r="BK220">
        <f>'Grid_Stock'!BI23</f>
        <v/>
      </c>
      <c r="BL220">
        <f>'Grid_Stock'!BJ23</f>
        <v/>
      </c>
      <c r="BM220">
        <f>'Grid_Stock'!BK23</f>
        <v/>
      </c>
      <c r="BN220">
        <f>'Grid_Stock'!BL23</f>
        <v/>
      </c>
      <c r="BO220">
        <f>'Grid_Stock'!BM23</f>
        <v/>
      </c>
      <c r="BP220">
        <f>'Grid_Stock'!BN23</f>
        <v/>
      </c>
      <c r="BQ220">
        <f>'Grid_Stock'!BO23</f>
        <v/>
      </c>
      <c r="BR220">
        <f>'Grid_Stock'!BP23</f>
        <v/>
      </c>
      <c r="BS220">
        <f>'Grid_Stock'!BQ23</f>
        <v/>
      </c>
      <c r="BT220">
        <f>'Grid_Stock'!BR23</f>
        <v/>
      </c>
      <c r="BU220">
        <f>'Grid_Stock'!BS23</f>
        <v/>
      </c>
      <c r="BV220">
        <f>'Grid_Stock'!BT23</f>
        <v/>
      </c>
      <c r="BW220">
        <f>'Grid_Stock'!BU23</f>
        <v/>
      </c>
      <c r="BX220">
        <f>'Grid_Stock'!BV23</f>
        <v/>
      </c>
      <c r="BY220">
        <f>'Grid_Stock'!BW23</f>
        <v/>
      </c>
      <c r="BZ220">
        <f>'Grid_Stock'!BX23</f>
        <v/>
      </c>
      <c r="CA220">
        <f>'Grid_Stock'!BY23</f>
        <v/>
      </c>
      <c r="CB220">
        <f>'Grid_Stock'!BZ23</f>
        <v/>
      </c>
      <c r="CC220">
        <f>'Grid_Stock'!CA23</f>
        <v/>
      </c>
      <c r="CD220">
        <f>'Grid_Stock'!CB23</f>
        <v/>
      </c>
      <c r="CE220">
        <f>'Grid_Stock'!CC23</f>
        <v/>
      </c>
      <c r="CF220">
        <f>'Grid_Stock'!CD23</f>
        <v/>
      </c>
      <c r="CG220">
        <f>'Grid_Stock'!CE23</f>
        <v/>
      </c>
      <c r="CH220">
        <f>'Grid_Stock'!CF23</f>
        <v/>
      </c>
      <c r="CI220">
        <f>'Grid_Stock'!CG23</f>
        <v/>
      </c>
      <c r="CJ220">
        <f>'Grid_Stock'!CH23</f>
        <v/>
      </c>
      <c r="CK220">
        <f>'Grid_Stock'!CI23</f>
        <v/>
      </c>
      <c r="CL220">
        <f>'Grid_Stock'!CJ23</f>
        <v/>
      </c>
      <c r="CM220">
        <f>'Grid_Stock'!CK23</f>
        <v/>
      </c>
      <c r="CN220">
        <f>'Grid_Stock'!CL23</f>
        <v/>
      </c>
      <c r="CO220">
        <f>'Grid_Stock'!CM23</f>
        <v/>
      </c>
      <c r="CP220">
        <f>'Grid_Stock'!CN23</f>
        <v/>
      </c>
      <c r="CQ220">
        <f>'Grid_Stock'!CO23</f>
        <v/>
      </c>
      <c r="CR220">
        <f>'Grid_Stock'!CP23</f>
        <v/>
      </c>
      <c r="CS220">
        <f>'Grid_Stock'!CQ23</f>
        <v/>
      </c>
      <c r="CT220">
        <f>'Grid_Stock'!CR23</f>
        <v/>
      </c>
      <c r="CU220">
        <f>'Grid_Stock'!CS23</f>
        <v/>
      </c>
      <c r="CV220">
        <f>'Grid_Stock'!CT23</f>
        <v/>
      </c>
      <c r="CW220">
        <f>'Grid_Stock'!CU23</f>
        <v/>
      </c>
      <c r="CX220">
        <f>'Grid_Stock'!CV23</f>
        <v/>
      </c>
      <c r="CY220">
        <f>'Grid_Stock'!CW23</f>
        <v/>
      </c>
      <c r="CZ220">
        <f>'Grid_Stock'!CX23</f>
        <v/>
      </c>
      <c r="DA220">
        <f>'Grid_Stock'!CY23</f>
        <v/>
      </c>
      <c r="DB220">
        <f>'Grid_Stock'!CZ23</f>
        <v/>
      </c>
      <c r="DC220">
        <f>'Grid_Stock'!DA23</f>
        <v/>
      </c>
    </row>
    <row r="221">
      <c r="B221" s="23" t="inlineStr">
        <is>
          <t>（発注の目安はDashboardの基準在庫[下限/上限]と色分けを参照）</t>
        </is>
      </c>
    </row>
    <row r="223">
      <c r="A223" s="21" t="inlineStr">
        <is>
          <t>CHEM-1240</t>
        </is>
      </c>
      <c r="B223" s="21" t="inlineStr">
        <is>
          <t>Alumina Sol [AS-200]</t>
        </is>
      </c>
      <c r="C223" s="22" t="n"/>
      <c r="D223" s="21" t="n"/>
      <c r="E223" s="21" t="n"/>
      <c r="F223" s="21" t="n"/>
      <c r="G223" s="21" t="n"/>
      <c r="H223" s="2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  <c r="AA223" s="21" t="n"/>
      <c r="AB223" s="21" t="n"/>
      <c r="AC223" s="21" t="n"/>
      <c r="AD223" s="21" t="n"/>
      <c r="AE223" s="21" t="n"/>
      <c r="AF223" s="21" t="n"/>
      <c r="AG223" s="21" t="n"/>
      <c r="AH223" s="21" t="n"/>
      <c r="AI223" s="21" t="n"/>
      <c r="AJ223" s="21" t="n"/>
      <c r="AK223" s="21" t="n"/>
      <c r="AL223" s="21" t="n"/>
      <c r="AM223" s="21" t="n"/>
      <c r="AN223" s="21" t="n"/>
      <c r="AO223" s="21" t="n"/>
      <c r="AP223" s="21" t="n"/>
      <c r="AQ223" s="21" t="n"/>
      <c r="AR223" s="21" t="n"/>
      <c r="AS223" s="21" t="n"/>
      <c r="AT223" s="21" t="n"/>
      <c r="AU223" s="21" t="n"/>
      <c r="AV223" s="21" t="n"/>
      <c r="AW223" s="21" t="n"/>
      <c r="AX223" s="21" t="n"/>
      <c r="AY223" s="21" t="n"/>
      <c r="AZ223" s="21" t="n"/>
      <c r="BA223" s="21" t="n"/>
      <c r="BB223" s="21" t="n"/>
      <c r="BC223" s="21" t="n"/>
      <c r="BD223" s="21" t="n"/>
      <c r="BE223" s="21" t="n"/>
      <c r="BF223" s="21" t="n"/>
      <c r="BG223" s="21" t="n"/>
      <c r="BH223" s="21" t="n"/>
      <c r="BI223" s="21" t="n"/>
      <c r="BJ223" s="21" t="n"/>
      <c r="BK223" s="21" t="n"/>
      <c r="BL223" s="21" t="n"/>
      <c r="BM223" s="21" t="n"/>
      <c r="BN223" s="21" t="n"/>
      <c r="BO223" s="21" t="n"/>
      <c r="BP223" s="21" t="n"/>
      <c r="BQ223" s="21" t="n"/>
      <c r="BR223" s="21" t="n"/>
      <c r="BS223" s="21" t="n"/>
      <c r="BT223" s="21" t="n"/>
      <c r="BU223" s="21" t="n"/>
      <c r="BV223" s="21" t="n"/>
      <c r="BW223" s="21" t="n"/>
      <c r="BX223" s="21" t="n"/>
      <c r="BY223" s="21" t="n"/>
      <c r="BZ223" s="21" t="n"/>
      <c r="CA223" s="21" t="n"/>
      <c r="CB223" s="21" t="n"/>
      <c r="CC223" s="21" t="n"/>
      <c r="CD223" s="21" t="n"/>
      <c r="CE223" s="21" t="n"/>
      <c r="CF223" s="21" t="n"/>
      <c r="CG223" s="21" t="n"/>
      <c r="CH223" s="21" t="n"/>
      <c r="CI223" s="21" t="n"/>
      <c r="CJ223" s="21" t="n"/>
      <c r="CK223" s="21" t="n"/>
      <c r="CL223" s="21" t="n"/>
      <c r="CM223" s="21" t="n"/>
      <c r="CN223" s="21" t="n"/>
      <c r="CO223" s="21" t="n"/>
      <c r="CP223" s="21" t="n"/>
      <c r="CQ223" s="21" t="n"/>
      <c r="CR223" s="21" t="n"/>
      <c r="CS223" s="21" t="n"/>
      <c r="CT223" s="21" t="n"/>
      <c r="CU223" s="21" t="n"/>
      <c r="CV223" s="21" t="n"/>
      <c r="CW223" s="21" t="n"/>
      <c r="CX223" s="21" t="n"/>
      <c r="CY223" s="21" t="n"/>
      <c r="CZ223" s="21" t="n"/>
      <c r="DA223" s="21" t="n"/>
      <c r="DB223" s="21" t="n"/>
      <c r="DC223" s="21" t="n"/>
    </row>
    <row r="224">
      <c r="B224" t="inlineStr">
        <is>
          <t>TSP-1448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12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Name],$A223)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TSP-1449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12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Name],$A223)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TSP-1558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12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Name],$A223)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TSP-1559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12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Name],$A223)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TSP-224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12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Name],$A223)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TSP-668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12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Name],$A223)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TSP-669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12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Name],$A223)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TSP-670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12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Name],$A223)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s="5" t="inlineStr">
        <is>
          <t>合計使用量(kg)/週</t>
        </is>
      </c>
      <c r="D240">
        <f>'Grid_Requirement'!B24</f>
        <v/>
      </c>
      <c r="E240">
        <f>'Grid_Requirement'!C24</f>
        <v/>
      </c>
      <c r="F240">
        <f>'Grid_Requirement'!D24</f>
        <v/>
      </c>
      <c r="G240">
        <f>'Grid_Requirement'!E24</f>
        <v/>
      </c>
      <c r="H240">
        <f>'Grid_Requirement'!F24</f>
        <v/>
      </c>
      <c r="I240">
        <f>'Grid_Requirement'!G24</f>
        <v/>
      </c>
      <c r="J240">
        <f>'Grid_Requirement'!H24</f>
        <v/>
      </c>
      <c r="K240">
        <f>'Grid_Requirement'!I24</f>
        <v/>
      </c>
      <c r="L240">
        <f>'Grid_Requirement'!J24</f>
        <v/>
      </c>
      <c r="M240">
        <f>'Grid_Requirement'!K24</f>
        <v/>
      </c>
      <c r="N240">
        <f>'Grid_Requirement'!L24</f>
        <v/>
      </c>
      <c r="O240">
        <f>'Grid_Requirement'!M24</f>
        <v/>
      </c>
      <c r="P240">
        <f>'Grid_Requirement'!N24</f>
        <v/>
      </c>
      <c r="Q240">
        <f>'Grid_Requirement'!O24</f>
        <v/>
      </c>
      <c r="R240">
        <f>'Grid_Requirement'!P24</f>
        <v/>
      </c>
      <c r="S240">
        <f>'Grid_Requirement'!Q24</f>
        <v/>
      </c>
      <c r="T240">
        <f>'Grid_Requirement'!R24</f>
        <v/>
      </c>
      <c r="U240">
        <f>'Grid_Requirement'!S24</f>
        <v/>
      </c>
      <c r="V240">
        <f>'Grid_Requirement'!T24</f>
        <v/>
      </c>
      <c r="W240">
        <f>'Grid_Requirement'!U24</f>
        <v/>
      </c>
      <c r="X240">
        <f>'Grid_Requirement'!V24</f>
        <v/>
      </c>
      <c r="Y240">
        <f>'Grid_Requirement'!W24</f>
        <v/>
      </c>
      <c r="Z240">
        <f>'Grid_Requirement'!X24</f>
        <v/>
      </c>
      <c r="AA240">
        <f>'Grid_Requirement'!Y24</f>
        <v/>
      </c>
      <c r="AB240">
        <f>'Grid_Requirement'!Z24</f>
        <v/>
      </c>
      <c r="AC240">
        <f>'Grid_Requirement'!AA24</f>
        <v/>
      </c>
      <c r="AD240">
        <f>'Grid_Requirement'!AB24</f>
        <v/>
      </c>
      <c r="AE240">
        <f>'Grid_Requirement'!AC24</f>
        <v/>
      </c>
      <c r="AF240">
        <f>'Grid_Requirement'!AD24</f>
        <v/>
      </c>
      <c r="AG240">
        <f>'Grid_Requirement'!AE24</f>
        <v/>
      </c>
      <c r="AH240">
        <f>'Grid_Requirement'!AF24</f>
        <v/>
      </c>
      <c r="AI240">
        <f>'Grid_Requirement'!AG24</f>
        <v/>
      </c>
      <c r="AJ240">
        <f>'Grid_Requirement'!AH24</f>
        <v/>
      </c>
      <c r="AK240">
        <f>'Grid_Requirement'!AI24</f>
        <v/>
      </c>
      <c r="AL240">
        <f>'Grid_Requirement'!AJ24</f>
        <v/>
      </c>
      <c r="AM240">
        <f>'Grid_Requirement'!AK24</f>
        <v/>
      </c>
      <c r="AN240">
        <f>'Grid_Requirement'!AL24</f>
        <v/>
      </c>
      <c r="AO240">
        <f>'Grid_Requirement'!AM24</f>
        <v/>
      </c>
      <c r="AP240">
        <f>'Grid_Requirement'!AN24</f>
        <v/>
      </c>
      <c r="AQ240">
        <f>'Grid_Requirement'!AO24</f>
        <v/>
      </c>
      <c r="AR240">
        <f>'Grid_Requirement'!AP24</f>
        <v/>
      </c>
      <c r="AS240">
        <f>'Grid_Requirement'!AQ24</f>
        <v/>
      </c>
      <c r="AT240">
        <f>'Grid_Requirement'!AR24</f>
        <v/>
      </c>
      <c r="AU240">
        <f>'Grid_Requirement'!AS24</f>
        <v/>
      </c>
      <c r="AV240">
        <f>'Grid_Requirement'!AT24</f>
        <v/>
      </c>
      <c r="AW240">
        <f>'Grid_Requirement'!AU24</f>
        <v/>
      </c>
      <c r="AX240">
        <f>'Grid_Requirement'!AV24</f>
        <v/>
      </c>
      <c r="AY240">
        <f>'Grid_Requirement'!AW24</f>
        <v/>
      </c>
      <c r="AZ240">
        <f>'Grid_Requirement'!AX24</f>
        <v/>
      </c>
      <c r="BA240">
        <f>'Grid_Requirement'!AY24</f>
        <v/>
      </c>
      <c r="BB240">
        <f>'Grid_Requirement'!AZ24</f>
        <v/>
      </c>
      <c r="BC240">
        <f>'Grid_Requirement'!BA24</f>
        <v/>
      </c>
      <c r="BD240">
        <f>'Grid_Requirement'!BB24</f>
        <v/>
      </c>
      <c r="BE240">
        <f>'Grid_Requirement'!BC24</f>
        <v/>
      </c>
      <c r="BF240">
        <f>'Grid_Requirement'!BD24</f>
        <v/>
      </c>
      <c r="BG240">
        <f>'Grid_Requirement'!BE24</f>
        <v/>
      </c>
      <c r="BH240">
        <f>'Grid_Requirement'!BF24</f>
        <v/>
      </c>
      <c r="BI240">
        <f>'Grid_Requirement'!BG24</f>
        <v/>
      </c>
      <c r="BJ240">
        <f>'Grid_Requirement'!BH24</f>
        <v/>
      </c>
      <c r="BK240">
        <f>'Grid_Requirement'!BI24</f>
        <v/>
      </c>
      <c r="BL240">
        <f>'Grid_Requirement'!BJ24</f>
        <v/>
      </c>
      <c r="BM240">
        <f>'Grid_Requirement'!BK24</f>
        <v/>
      </c>
      <c r="BN240">
        <f>'Grid_Requirement'!BL24</f>
        <v/>
      </c>
      <c r="BO240">
        <f>'Grid_Requirement'!BM24</f>
        <v/>
      </c>
      <c r="BP240">
        <f>'Grid_Requirement'!BN24</f>
        <v/>
      </c>
      <c r="BQ240">
        <f>'Grid_Requirement'!BO24</f>
        <v/>
      </c>
      <c r="BR240">
        <f>'Grid_Requirement'!BP24</f>
        <v/>
      </c>
      <c r="BS240">
        <f>'Grid_Requirement'!BQ24</f>
        <v/>
      </c>
      <c r="BT240">
        <f>'Grid_Requirement'!BR24</f>
        <v/>
      </c>
      <c r="BU240">
        <f>'Grid_Requirement'!BS24</f>
        <v/>
      </c>
      <c r="BV240">
        <f>'Grid_Requirement'!BT24</f>
        <v/>
      </c>
      <c r="BW240">
        <f>'Grid_Requirement'!BU24</f>
        <v/>
      </c>
      <c r="BX240">
        <f>'Grid_Requirement'!BV24</f>
        <v/>
      </c>
      <c r="BY240">
        <f>'Grid_Requirement'!BW24</f>
        <v/>
      </c>
      <c r="BZ240">
        <f>'Grid_Requirement'!BX24</f>
        <v/>
      </c>
      <c r="CA240">
        <f>'Grid_Requirement'!BY24</f>
        <v/>
      </c>
      <c r="CB240">
        <f>'Grid_Requirement'!BZ24</f>
        <v/>
      </c>
      <c r="CC240">
        <f>'Grid_Requirement'!CA24</f>
        <v/>
      </c>
      <c r="CD240">
        <f>'Grid_Requirement'!CB24</f>
        <v/>
      </c>
      <c r="CE240">
        <f>'Grid_Requirement'!CC24</f>
        <v/>
      </c>
      <c r="CF240">
        <f>'Grid_Requirement'!CD24</f>
        <v/>
      </c>
      <c r="CG240">
        <f>'Grid_Requirement'!CE24</f>
        <v/>
      </c>
      <c r="CH240">
        <f>'Grid_Requirement'!CF24</f>
        <v/>
      </c>
      <c r="CI240">
        <f>'Grid_Requirement'!CG24</f>
        <v/>
      </c>
      <c r="CJ240">
        <f>'Grid_Requirement'!CH24</f>
        <v/>
      </c>
      <c r="CK240">
        <f>'Grid_Requirement'!CI24</f>
        <v/>
      </c>
      <c r="CL240">
        <f>'Grid_Requirement'!CJ24</f>
        <v/>
      </c>
      <c r="CM240">
        <f>'Grid_Requirement'!CK24</f>
        <v/>
      </c>
      <c r="CN240">
        <f>'Grid_Requirement'!CL24</f>
        <v/>
      </c>
      <c r="CO240">
        <f>'Grid_Requirement'!CM24</f>
        <v/>
      </c>
      <c r="CP240">
        <f>'Grid_Requirement'!CN24</f>
        <v/>
      </c>
      <c r="CQ240">
        <f>'Grid_Requirement'!CO24</f>
        <v/>
      </c>
      <c r="CR240">
        <f>'Grid_Requirement'!CP24</f>
        <v/>
      </c>
      <c r="CS240">
        <f>'Grid_Requirement'!CQ24</f>
        <v/>
      </c>
      <c r="CT240">
        <f>'Grid_Requirement'!CR24</f>
        <v/>
      </c>
      <c r="CU240">
        <f>'Grid_Requirement'!CS24</f>
        <v/>
      </c>
      <c r="CV240">
        <f>'Grid_Requirement'!CT24</f>
        <v/>
      </c>
      <c r="CW240">
        <f>'Grid_Requirement'!CU24</f>
        <v/>
      </c>
      <c r="CX240">
        <f>'Grid_Requirement'!CV24</f>
        <v/>
      </c>
      <c r="CY240">
        <f>'Grid_Requirement'!CW24</f>
        <v/>
      </c>
      <c r="CZ240">
        <f>'Grid_Requirement'!CX24</f>
        <v/>
      </c>
      <c r="DA240">
        <f>'Grid_Requirement'!CY24</f>
        <v/>
      </c>
      <c r="DB240">
        <f>'Grid_Requirement'!CZ24</f>
        <v/>
      </c>
      <c r="DC240">
        <f>'Grid_Requirement'!DA24</f>
        <v/>
      </c>
    </row>
    <row r="241">
      <c r="B241" t="inlineStr">
        <is>
          <t>TTAF在庫(実績,kg)</t>
        </is>
      </c>
      <c r="D241">
        <f>'T_TTAFStock'!B28</f>
        <v/>
      </c>
      <c r="E241">
        <f>'T_TTAFStock'!C28</f>
        <v/>
      </c>
      <c r="F241">
        <f>'T_TTAFStock'!D28</f>
        <v/>
      </c>
      <c r="G241">
        <f>'T_TTAFStock'!E28</f>
        <v/>
      </c>
      <c r="H241">
        <f>'T_TTAFStock'!F28</f>
        <v/>
      </c>
      <c r="I241">
        <f>'T_TTAFStock'!G28</f>
        <v/>
      </c>
      <c r="J241">
        <f>'T_TTAFStock'!H28</f>
        <v/>
      </c>
      <c r="K241">
        <f>'T_TTAFStock'!I28</f>
        <v/>
      </c>
      <c r="L241">
        <f>'T_TTAFStock'!J28</f>
        <v/>
      </c>
      <c r="M241">
        <f>'T_TTAFStock'!K28</f>
        <v/>
      </c>
      <c r="N241">
        <f>'T_TTAFStock'!L28</f>
        <v/>
      </c>
      <c r="O241">
        <f>'T_TTAFStock'!M28</f>
        <v/>
      </c>
      <c r="P241">
        <f>'T_TTAFStock'!N28</f>
        <v/>
      </c>
      <c r="Q241">
        <f>'T_TTAFStock'!O28</f>
        <v/>
      </c>
      <c r="R241">
        <f>'T_TTAFStock'!P28</f>
        <v/>
      </c>
      <c r="S241">
        <f>'T_TTAFStock'!Q28</f>
        <v/>
      </c>
      <c r="T241">
        <f>'T_TTAFStock'!R28</f>
        <v/>
      </c>
      <c r="U241">
        <f>'T_TTAFStock'!S28</f>
        <v/>
      </c>
      <c r="V241">
        <f>'T_TTAFStock'!T28</f>
        <v/>
      </c>
      <c r="W241">
        <f>'T_TTAFStock'!U28</f>
        <v/>
      </c>
      <c r="X241">
        <f>'T_TTAFStock'!V28</f>
        <v/>
      </c>
      <c r="Y241">
        <f>'T_TTAFStock'!W28</f>
        <v/>
      </c>
      <c r="Z241">
        <f>'T_TTAFStock'!X28</f>
        <v/>
      </c>
      <c r="AA241">
        <f>'T_TTAFStock'!Y28</f>
        <v/>
      </c>
      <c r="AB241">
        <f>'T_TTAFStock'!Z28</f>
        <v/>
      </c>
      <c r="AC241">
        <f>'T_TTAFStock'!AA28</f>
        <v/>
      </c>
      <c r="AD241">
        <f>'T_TTAFStock'!AB28</f>
        <v/>
      </c>
      <c r="AE241">
        <f>'T_TTAFStock'!AC28</f>
        <v/>
      </c>
      <c r="AF241">
        <f>'T_TTAFStock'!AD28</f>
        <v/>
      </c>
      <c r="AG241">
        <f>'T_TTAFStock'!AE28</f>
        <v/>
      </c>
      <c r="AH241">
        <f>'T_TTAFStock'!AF28</f>
        <v/>
      </c>
      <c r="AI241">
        <f>'T_TTAFStock'!AG28</f>
        <v/>
      </c>
      <c r="AJ241">
        <f>'T_TTAFStock'!AH28</f>
        <v/>
      </c>
      <c r="AK241">
        <f>'T_TTAFStock'!AI28</f>
        <v/>
      </c>
      <c r="AL241">
        <f>'T_TTAFStock'!AJ28</f>
        <v/>
      </c>
      <c r="AM241">
        <f>'T_TTAFStock'!AK28</f>
        <v/>
      </c>
      <c r="AN241">
        <f>'T_TTAFStock'!AL28</f>
        <v/>
      </c>
      <c r="AO241">
        <f>'T_TTAFStock'!AM28</f>
        <v/>
      </c>
      <c r="AP241">
        <f>'T_TTAFStock'!AN28</f>
        <v/>
      </c>
      <c r="AQ241">
        <f>'T_TTAFStock'!AO28</f>
        <v/>
      </c>
      <c r="AR241">
        <f>'T_TTAFStock'!AP28</f>
        <v/>
      </c>
      <c r="AS241">
        <f>'T_TTAFStock'!AQ28</f>
        <v/>
      </c>
      <c r="AT241">
        <f>'T_TTAFStock'!AR28</f>
        <v/>
      </c>
      <c r="AU241">
        <f>'T_TTAFStock'!AS28</f>
        <v/>
      </c>
      <c r="AV241">
        <f>'T_TTAFStock'!AT28</f>
        <v/>
      </c>
      <c r="AW241">
        <f>'T_TTAFStock'!AU28</f>
        <v/>
      </c>
      <c r="AX241">
        <f>'T_TTAFStock'!AV28</f>
        <v/>
      </c>
      <c r="AY241">
        <f>'T_TTAFStock'!AW28</f>
        <v/>
      </c>
      <c r="AZ241">
        <f>'T_TTAFStock'!AX28</f>
        <v/>
      </c>
      <c r="BA241">
        <f>'T_TTAFStock'!AY28</f>
        <v/>
      </c>
      <c r="BB241">
        <f>'T_TTAFStock'!AZ28</f>
        <v/>
      </c>
      <c r="BC241">
        <f>'T_TTAFStock'!BA28</f>
        <v/>
      </c>
      <c r="BD241">
        <f>'T_TTAFStock'!BB28</f>
        <v/>
      </c>
      <c r="BE241">
        <f>'T_TTAFStock'!BC28</f>
        <v/>
      </c>
      <c r="BF241">
        <f>'T_TTAFStock'!BD28</f>
        <v/>
      </c>
      <c r="BG241">
        <f>'T_TTAFStock'!BE28</f>
        <v/>
      </c>
      <c r="BH241">
        <f>'T_TTAFStock'!BF28</f>
        <v/>
      </c>
      <c r="BI241">
        <f>'T_TTAFStock'!BG28</f>
        <v/>
      </c>
      <c r="BJ241">
        <f>'T_TTAFStock'!BH28</f>
        <v/>
      </c>
      <c r="BK241">
        <f>'T_TTAFStock'!BI28</f>
        <v/>
      </c>
      <c r="BL241">
        <f>'T_TTAFStock'!BJ28</f>
        <v/>
      </c>
      <c r="BM241">
        <f>'T_TTAFStock'!BK28</f>
        <v/>
      </c>
      <c r="BN241">
        <f>'T_TTAFStock'!BL28</f>
        <v/>
      </c>
      <c r="BO241">
        <f>'T_TTAFStock'!BM28</f>
        <v/>
      </c>
      <c r="BP241">
        <f>'T_TTAFStock'!BN28</f>
        <v/>
      </c>
      <c r="BQ241">
        <f>'T_TTAFStock'!BO28</f>
        <v/>
      </c>
      <c r="BR241">
        <f>'T_TTAFStock'!BP28</f>
        <v/>
      </c>
      <c r="BS241">
        <f>'T_TTAFStock'!BQ28</f>
        <v/>
      </c>
      <c r="BT241">
        <f>'T_TTAFStock'!BR28</f>
        <v/>
      </c>
      <c r="BU241">
        <f>'T_TTAFStock'!BS28</f>
        <v/>
      </c>
      <c r="BV241">
        <f>'T_TTAFStock'!BT28</f>
        <v/>
      </c>
      <c r="BW241">
        <f>'T_TTAFStock'!BU28</f>
        <v/>
      </c>
      <c r="BX241">
        <f>'T_TTAFStock'!BV28</f>
        <v/>
      </c>
      <c r="BY241">
        <f>'T_TTAFStock'!BW28</f>
        <v/>
      </c>
      <c r="BZ241">
        <f>'T_TTAFStock'!BX28</f>
        <v/>
      </c>
      <c r="CA241">
        <f>'T_TTAFStock'!BY28</f>
        <v/>
      </c>
      <c r="CB241">
        <f>'T_TTAFStock'!BZ28</f>
        <v/>
      </c>
      <c r="CC241">
        <f>'T_TTAFStock'!CA28</f>
        <v/>
      </c>
      <c r="CD241">
        <f>'T_TTAFStock'!CB28</f>
        <v/>
      </c>
      <c r="CE241">
        <f>'T_TTAFStock'!CC28</f>
        <v/>
      </c>
      <c r="CF241">
        <f>'T_TTAFStock'!CD28</f>
        <v/>
      </c>
      <c r="CG241">
        <f>'T_TTAFStock'!CE28</f>
        <v/>
      </c>
      <c r="CH241">
        <f>'T_TTAFStock'!CF28</f>
        <v/>
      </c>
      <c r="CI241">
        <f>'T_TTAFStock'!CG28</f>
        <v/>
      </c>
      <c r="CJ241">
        <f>'T_TTAFStock'!CH28</f>
        <v/>
      </c>
      <c r="CK241">
        <f>'T_TTAFStock'!CI28</f>
        <v/>
      </c>
      <c r="CL241">
        <f>'T_TTAFStock'!CJ28</f>
        <v/>
      </c>
      <c r="CM241">
        <f>'T_TTAFStock'!CK28</f>
        <v/>
      </c>
      <c r="CN241">
        <f>'T_TTAFStock'!CL28</f>
        <v/>
      </c>
      <c r="CO241">
        <f>'T_TTAFStock'!CM28</f>
        <v/>
      </c>
      <c r="CP241">
        <f>'T_TTAFStock'!CN28</f>
        <v/>
      </c>
      <c r="CQ241">
        <f>'T_TTAFStock'!CO28</f>
        <v/>
      </c>
      <c r="CR241">
        <f>'T_TTAFStock'!CP28</f>
        <v/>
      </c>
      <c r="CS241">
        <f>'T_TTAFStock'!CQ28</f>
        <v/>
      </c>
      <c r="CT241">
        <f>'T_TTAFStock'!CR28</f>
        <v/>
      </c>
      <c r="CU241">
        <f>'T_TTAFStock'!CS28</f>
        <v/>
      </c>
      <c r="CV241">
        <f>'T_TTAFStock'!CT28</f>
        <v/>
      </c>
      <c r="CW241">
        <f>'T_TTAFStock'!CU28</f>
        <v/>
      </c>
      <c r="CX241">
        <f>'T_TTAFStock'!CV28</f>
        <v/>
      </c>
      <c r="CY241">
        <f>'T_TTAFStock'!CW28</f>
        <v/>
      </c>
      <c r="CZ241">
        <f>'T_TTAFStock'!CX28</f>
        <v/>
      </c>
      <c r="DA241">
        <f>'T_TTAFStock'!CY28</f>
        <v/>
      </c>
      <c r="DB241">
        <f>'T_TTAFStock'!CZ28</f>
        <v/>
      </c>
      <c r="DC241">
        <f>'T_TTAFStock'!DA28</f>
        <v/>
      </c>
    </row>
    <row r="242">
      <c r="B242" t="inlineStr">
        <is>
          <t>自社在庫(実績,kg)</t>
        </is>
      </c>
      <c r="D242">
        <f>'T_SelfStock'!B28</f>
        <v/>
      </c>
      <c r="E242">
        <f>'T_SelfStock'!C28</f>
        <v/>
      </c>
      <c r="F242">
        <f>'T_SelfStock'!D28</f>
        <v/>
      </c>
      <c r="G242">
        <f>'T_SelfStock'!E28</f>
        <v/>
      </c>
      <c r="H242">
        <f>'T_SelfStock'!F28</f>
        <v/>
      </c>
      <c r="I242">
        <f>'T_SelfStock'!G28</f>
        <v/>
      </c>
      <c r="J242">
        <f>'T_SelfStock'!H28</f>
        <v/>
      </c>
      <c r="K242">
        <f>'T_SelfStock'!I28</f>
        <v/>
      </c>
      <c r="L242">
        <f>'T_SelfStock'!J28</f>
        <v/>
      </c>
      <c r="M242">
        <f>'T_SelfStock'!K28</f>
        <v/>
      </c>
      <c r="N242">
        <f>'T_SelfStock'!L28</f>
        <v/>
      </c>
      <c r="O242">
        <f>'T_SelfStock'!M28</f>
        <v/>
      </c>
      <c r="P242">
        <f>'T_SelfStock'!N28</f>
        <v/>
      </c>
      <c r="Q242">
        <f>'T_SelfStock'!O28</f>
        <v/>
      </c>
      <c r="R242">
        <f>'T_SelfStock'!P28</f>
        <v/>
      </c>
      <c r="S242">
        <f>'T_SelfStock'!Q28</f>
        <v/>
      </c>
      <c r="T242">
        <f>'T_SelfStock'!R28</f>
        <v/>
      </c>
      <c r="U242">
        <f>'T_SelfStock'!S28</f>
        <v/>
      </c>
      <c r="V242">
        <f>'T_SelfStock'!T28</f>
        <v/>
      </c>
      <c r="W242">
        <f>'T_SelfStock'!U28</f>
        <v/>
      </c>
      <c r="X242">
        <f>'T_SelfStock'!V28</f>
        <v/>
      </c>
      <c r="Y242">
        <f>'T_SelfStock'!W28</f>
        <v/>
      </c>
      <c r="Z242">
        <f>'T_SelfStock'!X28</f>
        <v/>
      </c>
      <c r="AA242">
        <f>'T_SelfStock'!Y28</f>
        <v/>
      </c>
      <c r="AB242">
        <f>'T_SelfStock'!Z28</f>
        <v/>
      </c>
      <c r="AC242">
        <f>'T_SelfStock'!AA28</f>
        <v/>
      </c>
      <c r="AD242">
        <f>'T_SelfStock'!AB28</f>
        <v/>
      </c>
      <c r="AE242">
        <f>'T_SelfStock'!AC28</f>
        <v/>
      </c>
      <c r="AF242">
        <f>'T_SelfStock'!AD28</f>
        <v/>
      </c>
      <c r="AG242">
        <f>'T_SelfStock'!AE28</f>
        <v/>
      </c>
      <c r="AH242">
        <f>'T_SelfStock'!AF28</f>
        <v/>
      </c>
      <c r="AI242">
        <f>'T_SelfStock'!AG28</f>
        <v/>
      </c>
      <c r="AJ242">
        <f>'T_SelfStock'!AH28</f>
        <v/>
      </c>
      <c r="AK242">
        <f>'T_SelfStock'!AI28</f>
        <v/>
      </c>
      <c r="AL242">
        <f>'T_SelfStock'!AJ28</f>
        <v/>
      </c>
      <c r="AM242">
        <f>'T_SelfStock'!AK28</f>
        <v/>
      </c>
      <c r="AN242">
        <f>'T_SelfStock'!AL28</f>
        <v/>
      </c>
      <c r="AO242">
        <f>'T_SelfStock'!AM28</f>
        <v/>
      </c>
      <c r="AP242">
        <f>'T_SelfStock'!AN28</f>
        <v/>
      </c>
      <c r="AQ242">
        <f>'T_SelfStock'!AO28</f>
        <v/>
      </c>
      <c r="AR242">
        <f>'T_SelfStock'!AP28</f>
        <v/>
      </c>
      <c r="AS242">
        <f>'T_SelfStock'!AQ28</f>
        <v/>
      </c>
      <c r="AT242">
        <f>'T_SelfStock'!AR28</f>
        <v/>
      </c>
      <c r="AU242">
        <f>'T_SelfStock'!AS28</f>
        <v/>
      </c>
      <c r="AV242">
        <f>'T_SelfStock'!AT28</f>
        <v/>
      </c>
      <c r="AW242">
        <f>'T_SelfStock'!AU28</f>
        <v/>
      </c>
      <c r="AX242">
        <f>'T_SelfStock'!AV28</f>
        <v/>
      </c>
      <c r="AY242">
        <f>'T_SelfStock'!AW28</f>
        <v/>
      </c>
      <c r="AZ242">
        <f>'T_SelfStock'!AX28</f>
        <v/>
      </c>
      <c r="BA242">
        <f>'T_SelfStock'!AY28</f>
        <v/>
      </c>
      <c r="BB242">
        <f>'T_SelfStock'!AZ28</f>
        <v/>
      </c>
      <c r="BC242">
        <f>'T_SelfStock'!BA28</f>
        <v/>
      </c>
      <c r="BD242">
        <f>'T_SelfStock'!BB28</f>
        <v/>
      </c>
      <c r="BE242">
        <f>'T_SelfStock'!BC28</f>
        <v/>
      </c>
      <c r="BF242">
        <f>'T_SelfStock'!BD28</f>
        <v/>
      </c>
      <c r="BG242">
        <f>'T_SelfStock'!BE28</f>
        <v/>
      </c>
      <c r="BH242">
        <f>'T_SelfStock'!BF28</f>
        <v/>
      </c>
      <c r="BI242">
        <f>'T_SelfStock'!BG28</f>
        <v/>
      </c>
      <c r="BJ242">
        <f>'T_SelfStock'!BH28</f>
        <v/>
      </c>
      <c r="BK242">
        <f>'T_SelfStock'!BI28</f>
        <v/>
      </c>
      <c r="BL242">
        <f>'T_SelfStock'!BJ28</f>
        <v/>
      </c>
      <c r="BM242">
        <f>'T_SelfStock'!BK28</f>
        <v/>
      </c>
      <c r="BN242">
        <f>'T_SelfStock'!BL28</f>
        <v/>
      </c>
      <c r="BO242">
        <f>'T_SelfStock'!BM28</f>
        <v/>
      </c>
      <c r="BP242">
        <f>'T_SelfStock'!BN28</f>
        <v/>
      </c>
      <c r="BQ242">
        <f>'T_SelfStock'!BO28</f>
        <v/>
      </c>
      <c r="BR242">
        <f>'T_SelfStock'!BP28</f>
        <v/>
      </c>
      <c r="BS242">
        <f>'T_SelfStock'!BQ28</f>
        <v/>
      </c>
      <c r="BT242">
        <f>'T_SelfStock'!BR28</f>
        <v/>
      </c>
      <c r="BU242">
        <f>'T_SelfStock'!BS28</f>
        <v/>
      </c>
      <c r="BV242">
        <f>'T_SelfStock'!BT28</f>
        <v/>
      </c>
      <c r="BW242">
        <f>'T_SelfStock'!BU28</f>
        <v/>
      </c>
      <c r="BX242">
        <f>'T_SelfStock'!BV28</f>
        <v/>
      </c>
      <c r="BY242">
        <f>'T_SelfStock'!BW28</f>
        <v/>
      </c>
      <c r="BZ242">
        <f>'T_SelfStock'!BX28</f>
        <v/>
      </c>
      <c r="CA242">
        <f>'T_SelfStock'!BY28</f>
        <v/>
      </c>
      <c r="CB242">
        <f>'T_SelfStock'!BZ28</f>
        <v/>
      </c>
      <c r="CC242">
        <f>'T_SelfStock'!CA28</f>
        <v/>
      </c>
      <c r="CD242">
        <f>'T_SelfStock'!CB28</f>
        <v/>
      </c>
      <c r="CE242">
        <f>'T_SelfStock'!CC28</f>
        <v/>
      </c>
      <c r="CF242">
        <f>'T_SelfStock'!CD28</f>
        <v/>
      </c>
      <c r="CG242">
        <f>'T_SelfStock'!CE28</f>
        <v/>
      </c>
      <c r="CH242">
        <f>'T_SelfStock'!CF28</f>
        <v/>
      </c>
      <c r="CI242">
        <f>'T_SelfStock'!CG28</f>
        <v/>
      </c>
      <c r="CJ242">
        <f>'T_SelfStock'!CH28</f>
        <v/>
      </c>
      <c r="CK242">
        <f>'T_SelfStock'!CI28</f>
        <v/>
      </c>
      <c r="CL242">
        <f>'T_SelfStock'!CJ28</f>
        <v/>
      </c>
      <c r="CM242">
        <f>'T_SelfStock'!CK28</f>
        <v/>
      </c>
      <c r="CN242">
        <f>'T_SelfStock'!CL28</f>
        <v/>
      </c>
      <c r="CO242">
        <f>'T_SelfStock'!CM28</f>
        <v/>
      </c>
      <c r="CP242">
        <f>'T_SelfStock'!CN28</f>
        <v/>
      </c>
      <c r="CQ242">
        <f>'T_SelfStock'!CO28</f>
        <v/>
      </c>
      <c r="CR242">
        <f>'T_SelfStock'!CP28</f>
        <v/>
      </c>
      <c r="CS242">
        <f>'T_SelfStock'!CQ28</f>
        <v/>
      </c>
      <c r="CT242">
        <f>'T_SelfStock'!CR28</f>
        <v/>
      </c>
      <c r="CU242">
        <f>'T_SelfStock'!CS28</f>
        <v/>
      </c>
      <c r="CV242">
        <f>'T_SelfStock'!CT28</f>
        <v/>
      </c>
      <c r="CW242">
        <f>'T_SelfStock'!CU28</f>
        <v/>
      </c>
      <c r="CX242">
        <f>'T_SelfStock'!CV28</f>
        <v/>
      </c>
      <c r="CY242">
        <f>'T_SelfStock'!CW28</f>
        <v/>
      </c>
      <c r="CZ242">
        <f>'T_SelfStock'!CX28</f>
        <v/>
      </c>
      <c r="DA242">
        <f>'T_SelfStock'!CY28</f>
        <v/>
      </c>
      <c r="DB242">
        <f>'T_SelfStock'!CZ28</f>
        <v/>
      </c>
      <c r="DC242">
        <f>'T_SelfStock'!DA28</f>
        <v/>
      </c>
    </row>
    <row r="243">
      <c r="B243" t="inlineStr">
        <is>
          <t>Order(発注予定,kg)</t>
        </is>
      </c>
      <c r="D243">
        <f>IF(SUMIFS(T_PlannedOrders[EffectiveQty],T_PlannedOrders[Part Name],$A223,T_PlannedOrders[WeekIndex],1)=0,"",SUMIFS(T_PlannedOrders[EffectiveQty],T_PlannedOrders[Part Name],$A223,T_PlannedOrders[WeekIndex],1)&amp;" ("&amp;TEXT(SUMPRODUCT(MAX((T_PlannedOrders[Part Name]=$A223)*(T_PlannedOrders[WeekIndex]=1)*(T_PlannedOrders[EffectiveQty]&gt;0)*T_PlannedOrders[Order_Month])),"m月")&amp;"発注)")</f>
        <v/>
      </c>
      <c r="E243">
        <f>IF(SUMIFS(T_PlannedOrders[EffectiveQty],T_PlannedOrders[Part Name],$A223,T_PlannedOrders[WeekIndex],2)=0,"",SUMIFS(T_PlannedOrders[EffectiveQty],T_PlannedOrders[Part Name],$A223,T_PlannedOrders[WeekIndex],2)&amp;" ("&amp;TEXT(SUMPRODUCT(MAX((T_PlannedOrders[Part Name]=$A223)*(T_PlannedOrders[WeekIndex]=2)*(T_PlannedOrders[EffectiveQty]&gt;0)*T_PlannedOrders[Order_Month])),"m月")&amp;"発注)")</f>
        <v/>
      </c>
      <c r="F243">
        <f>IF(SUMIFS(T_PlannedOrders[EffectiveQty],T_PlannedOrders[Part Name],$A223,T_PlannedOrders[WeekIndex],3)=0,"",SUMIFS(T_PlannedOrders[EffectiveQty],T_PlannedOrders[Part Name],$A223,T_PlannedOrders[WeekIndex],3)&amp;" ("&amp;TEXT(SUMPRODUCT(MAX((T_PlannedOrders[Part Name]=$A223)*(T_PlannedOrders[WeekIndex]=3)*(T_PlannedOrders[EffectiveQty]&gt;0)*T_PlannedOrders[Order_Month])),"m月")&amp;"発注)")</f>
        <v/>
      </c>
      <c r="G243">
        <f>IF(SUMIFS(T_PlannedOrders[EffectiveQty],T_PlannedOrders[Part Name],$A223,T_PlannedOrders[WeekIndex],4)=0,"",SUMIFS(T_PlannedOrders[EffectiveQty],T_PlannedOrders[Part Name],$A223,T_PlannedOrders[WeekIndex],4)&amp;" ("&amp;TEXT(SUMPRODUCT(MAX((T_PlannedOrders[Part Name]=$A223)*(T_PlannedOrders[WeekIndex]=4)*(T_PlannedOrders[EffectiveQty]&gt;0)*T_PlannedOrders[Order_Month])),"m月")&amp;"発注)")</f>
        <v/>
      </c>
      <c r="H243">
        <f>IF(SUMIFS(T_PlannedOrders[EffectiveQty],T_PlannedOrders[Part Name],$A223,T_PlannedOrders[WeekIndex],5)=0,"",SUMIFS(T_PlannedOrders[EffectiveQty],T_PlannedOrders[Part Name],$A223,T_PlannedOrders[WeekIndex],5)&amp;" ("&amp;TEXT(SUMPRODUCT(MAX((T_PlannedOrders[Part Name]=$A223)*(T_PlannedOrders[WeekIndex]=5)*(T_PlannedOrders[EffectiveQty]&gt;0)*T_PlannedOrders[Order_Month])),"m月")&amp;"発注)")</f>
        <v/>
      </c>
      <c r="I243">
        <f>IF(SUMIFS(T_PlannedOrders[EffectiveQty],T_PlannedOrders[Part Name],$A223,T_PlannedOrders[WeekIndex],6)=0,"",SUMIFS(T_PlannedOrders[EffectiveQty],T_PlannedOrders[Part Name],$A223,T_PlannedOrders[WeekIndex],6)&amp;" ("&amp;TEXT(SUMPRODUCT(MAX((T_PlannedOrders[Part Name]=$A223)*(T_PlannedOrders[WeekIndex]=6)*(T_PlannedOrders[EffectiveQty]&gt;0)*T_PlannedOrders[Order_Month])),"m月")&amp;"発注)")</f>
        <v/>
      </c>
      <c r="J243">
        <f>IF(SUMIFS(T_PlannedOrders[EffectiveQty],T_PlannedOrders[Part Name],$A223,T_PlannedOrders[WeekIndex],7)=0,"",SUMIFS(T_PlannedOrders[EffectiveQty],T_PlannedOrders[Part Name],$A223,T_PlannedOrders[WeekIndex],7)&amp;" ("&amp;TEXT(SUMPRODUCT(MAX((T_PlannedOrders[Part Name]=$A223)*(T_PlannedOrders[WeekIndex]=7)*(T_PlannedOrders[EffectiveQty]&gt;0)*T_PlannedOrders[Order_Month])),"m月")&amp;"発注)")</f>
        <v/>
      </c>
      <c r="K243">
        <f>IF(SUMIFS(T_PlannedOrders[EffectiveQty],T_PlannedOrders[Part Name],$A223,T_PlannedOrders[WeekIndex],8)=0,"",SUMIFS(T_PlannedOrders[EffectiveQty],T_PlannedOrders[Part Name],$A223,T_PlannedOrders[WeekIndex],8)&amp;" ("&amp;TEXT(SUMPRODUCT(MAX((T_PlannedOrders[Part Name]=$A223)*(T_PlannedOrders[WeekIndex]=8)*(T_PlannedOrders[EffectiveQty]&gt;0)*T_PlannedOrders[Order_Month])),"m月")&amp;"発注)")</f>
        <v/>
      </c>
      <c r="L243">
        <f>IF(SUMIFS(T_PlannedOrders[EffectiveQty],T_PlannedOrders[Part Name],$A223,T_PlannedOrders[WeekIndex],9)=0,"",SUMIFS(T_PlannedOrders[EffectiveQty],T_PlannedOrders[Part Name],$A223,T_PlannedOrders[WeekIndex],9)&amp;" ("&amp;TEXT(SUMPRODUCT(MAX((T_PlannedOrders[Part Name]=$A223)*(T_PlannedOrders[WeekIndex]=9)*(T_PlannedOrders[EffectiveQty]&gt;0)*T_PlannedOrders[Order_Month])),"m月")&amp;"発注)")</f>
        <v/>
      </c>
      <c r="M243">
        <f>IF(SUMIFS(T_PlannedOrders[EffectiveQty],T_PlannedOrders[Part Name],$A223,T_PlannedOrders[WeekIndex],10)=0,"",SUMIFS(T_PlannedOrders[EffectiveQty],T_PlannedOrders[Part Name],$A223,T_PlannedOrders[WeekIndex],10)&amp;" ("&amp;TEXT(SUMPRODUCT(MAX((T_PlannedOrders[Part Name]=$A223)*(T_PlannedOrders[WeekIndex]=10)*(T_PlannedOrders[EffectiveQty]&gt;0)*T_PlannedOrders[Order_Month])),"m月")&amp;"発注)")</f>
        <v/>
      </c>
      <c r="N243">
        <f>IF(SUMIFS(T_PlannedOrders[EffectiveQty],T_PlannedOrders[Part Name],$A223,T_PlannedOrders[WeekIndex],11)=0,"",SUMIFS(T_PlannedOrders[EffectiveQty],T_PlannedOrders[Part Name],$A223,T_PlannedOrders[WeekIndex],11)&amp;" ("&amp;TEXT(SUMPRODUCT(MAX((T_PlannedOrders[Part Name]=$A223)*(T_PlannedOrders[WeekIndex]=11)*(T_PlannedOrders[EffectiveQty]&gt;0)*T_PlannedOrders[Order_Month])),"m月")&amp;"発注)")</f>
        <v/>
      </c>
      <c r="O243">
        <f>IF(SUMIFS(T_PlannedOrders[EffectiveQty],T_PlannedOrders[Part Name],$A223,T_PlannedOrders[WeekIndex],12)=0,"",SUMIFS(T_PlannedOrders[EffectiveQty],T_PlannedOrders[Part Name],$A223,T_PlannedOrders[WeekIndex],12)&amp;" ("&amp;TEXT(SUMPRODUCT(MAX((T_PlannedOrders[Part Name]=$A223)*(T_PlannedOrders[WeekIndex]=12)*(T_PlannedOrders[EffectiveQty]&gt;0)*T_PlannedOrders[Order_Month])),"m月")&amp;"発注)")</f>
        <v/>
      </c>
      <c r="P243">
        <f>IF(SUMIFS(T_PlannedOrders[EffectiveQty],T_PlannedOrders[Part Name],$A223,T_PlannedOrders[WeekIndex],13)=0,"",SUMIFS(T_PlannedOrders[EffectiveQty],T_PlannedOrders[Part Name],$A223,T_PlannedOrders[WeekIndex],13)&amp;" ("&amp;TEXT(SUMPRODUCT(MAX((T_PlannedOrders[Part Name]=$A223)*(T_PlannedOrders[WeekIndex]=13)*(T_PlannedOrders[EffectiveQty]&gt;0)*T_PlannedOrders[Order_Month])),"m月")&amp;"発注)")</f>
        <v/>
      </c>
      <c r="Q243">
        <f>IF(SUMIFS(T_PlannedOrders[EffectiveQty],T_PlannedOrders[Part Name],$A223,T_PlannedOrders[WeekIndex],14)=0,"",SUMIFS(T_PlannedOrders[EffectiveQty],T_PlannedOrders[Part Name],$A223,T_PlannedOrders[WeekIndex],14)&amp;" ("&amp;TEXT(SUMPRODUCT(MAX((T_PlannedOrders[Part Name]=$A223)*(T_PlannedOrders[WeekIndex]=14)*(T_PlannedOrders[EffectiveQty]&gt;0)*T_PlannedOrders[Order_Month])),"m月")&amp;"発注)")</f>
        <v/>
      </c>
      <c r="R243">
        <f>IF(SUMIFS(T_PlannedOrders[EffectiveQty],T_PlannedOrders[Part Name],$A223,T_PlannedOrders[WeekIndex],15)=0,"",SUMIFS(T_PlannedOrders[EffectiveQty],T_PlannedOrders[Part Name],$A223,T_PlannedOrders[WeekIndex],15)&amp;" ("&amp;TEXT(SUMPRODUCT(MAX((T_PlannedOrders[Part Name]=$A223)*(T_PlannedOrders[WeekIndex]=15)*(T_PlannedOrders[EffectiveQty]&gt;0)*T_PlannedOrders[Order_Month])),"m月")&amp;"発注)")</f>
        <v/>
      </c>
      <c r="S243">
        <f>IF(SUMIFS(T_PlannedOrders[EffectiveQty],T_PlannedOrders[Part Name],$A223,T_PlannedOrders[WeekIndex],16)=0,"",SUMIFS(T_PlannedOrders[EffectiveQty],T_PlannedOrders[Part Name],$A223,T_PlannedOrders[WeekIndex],16)&amp;" ("&amp;TEXT(SUMPRODUCT(MAX((T_PlannedOrders[Part Name]=$A223)*(T_PlannedOrders[WeekIndex]=16)*(T_PlannedOrders[EffectiveQty]&gt;0)*T_PlannedOrders[Order_Month])),"m月")&amp;"発注)")</f>
        <v/>
      </c>
      <c r="T243">
        <f>IF(SUMIFS(T_PlannedOrders[EffectiveQty],T_PlannedOrders[Part Name],$A223,T_PlannedOrders[WeekIndex],17)=0,"",SUMIFS(T_PlannedOrders[EffectiveQty],T_PlannedOrders[Part Name],$A223,T_PlannedOrders[WeekIndex],17)&amp;" ("&amp;TEXT(SUMPRODUCT(MAX((T_PlannedOrders[Part Name]=$A223)*(T_PlannedOrders[WeekIndex]=17)*(T_PlannedOrders[EffectiveQty]&gt;0)*T_PlannedOrders[Order_Month])),"m月")&amp;"発注)")</f>
        <v/>
      </c>
      <c r="U243">
        <f>IF(SUMIFS(T_PlannedOrders[EffectiveQty],T_PlannedOrders[Part Name],$A223,T_PlannedOrders[WeekIndex],18)=0,"",SUMIFS(T_PlannedOrders[EffectiveQty],T_PlannedOrders[Part Name],$A223,T_PlannedOrders[WeekIndex],18)&amp;" ("&amp;TEXT(SUMPRODUCT(MAX((T_PlannedOrders[Part Name]=$A223)*(T_PlannedOrders[WeekIndex]=18)*(T_PlannedOrders[EffectiveQty]&gt;0)*T_PlannedOrders[Order_Month])),"m月")&amp;"発注)")</f>
        <v/>
      </c>
      <c r="V243">
        <f>IF(SUMIFS(T_PlannedOrders[EffectiveQty],T_PlannedOrders[Part Name],$A223,T_PlannedOrders[WeekIndex],19)=0,"",SUMIFS(T_PlannedOrders[EffectiveQty],T_PlannedOrders[Part Name],$A223,T_PlannedOrders[WeekIndex],19)&amp;" ("&amp;TEXT(SUMPRODUCT(MAX((T_PlannedOrders[Part Name]=$A223)*(T_PlannedOrders[WeekIndex]=19)*(T_PlannedOrders[EffectiveQty]&gt;0)*T_PlannedOrders[Order_Month])),"m月")&amp;"発注)")</f>
        <v/>
      </c>
      <c r="W243">
        <f>IF(SUMIFS(T_PlannedOrders[EffectiveQty],T_PlannedOrders[Part Name],$A223,T_PlannedOrders[WeekIndex],20)=0,"",SUMIFS(T_PlannedOrders[EffectiveQty],T_PlannedOrders[Part Name],$A223,T_PlannedOrders[WeekIndex],20)&amp;" ("&amp;TEXT(SUMPRODUCT(MAX((T_PlannedOrders[Part Name]=$A223)*(T_PlannedOrders[WeekIndex]=20)*(T_PlannedOrders[EffectiveQty]&gt;0)*T_PlannedOrders[Order_Month])),"m月")&amp;"発注)")</f>
        <v/>
      </c>
      <c r="X243">
        <f>IF(SUMIFS(T_PlannedOrders[EffectiveQty],T_PlannedOrders[Part Name],$A223,T_PlannedOrders[WeekIndex],21)=0,"",SUMIFS(T_PlannedOrders[EffectiveQty],T_PlannedOrders[Part Name],$A223,T_PlannedOrders[WeekIndex],21)&amp;" ("&amp;TEXT(SUMPRODUCT(MAX((T_PlannedOrders[Part Name]=$A223)*(T_PlannedOrders[WeekIndex]=21)*(T_PlannedOrders[EffectiveQty]&gt;0)*T_PlannedOrders[Order_Month])),"m月")&amp;"発注)")</f>
        <v/>
      </c>
      <c r="Y243">
        <f>IF(SUMIFS(T_PlannedOrders[EffectiveQty],T_PlannedOrders[Part Name],$A223,T_PlannedOrders[WeekIndex],22)=0,"",SUMIFS(T_PlannedOrders[EffectiveQty],T_PlannedOrders[Part Name],$A223,T_PlannedOrders[WeekIndex],22)&amp;" ("&amp;TEXT(SUMPRODUCT(MAX((T_PlannedOrders[Part Name]=$A223)*(T_PlannedOrders[WeekIndex]=22)*(T_PlannedOrders[EffectiveQty]&gt;0)*T_PlannedOrders[Order_Month])),"m月")&amp;"発注)")</f>
        <v/>
      </c>
      <c r="Z243">
        <f>IF(SUMIFS(T_PlannedOrders[EffectiveQty],T_PlannedOrders[Part Name],$A223,T_PlannedOrders[WeekIndex],23)=0,"",SUMIFS(T_PlannedOrders[EffectiveQty],T_PlannedOrders[Part Name],$A223,T_PlannedOrders[WeekIndex],23)&amp;" ("&amp;TEXT(SUMPRODUCT(MAX((T_PlannedOrders[Part Name]=$A223)*(T_PlannedOrders[WeekIndex]=23)*(T_PlannedOrders[EffectiveQty]&gt;0)*T_PlannedOrders[Order_Month])),"m月")&amp;"発注)")</f>
        <v/>
      </c>
      <c r="AA243">
        <f>IF(SUMIFS(T_PlannedOrders[EffectiveQty],T_PlannedOrders[Part Name],$A223,T_PlannedOrders[WeekIndex],24)=0,"",SUMIFS(T_PlannedOrders[EffectiveQty],T_PlannedOrders[Part Name],$A223,T_PlannedOrders[WeekIndex],24)&amp;" ("&amp;TEXT(SUMPRODUCT(MAX((T_PlannedOrders[Part Name]=$A223)*(T_PlannedOrders[WeekIndex]=24)*(T_PlannedOrders[EffectiveQty]&gt;0)*T_PlannedOrders[Order_Month])),"m月")&amp;"発注)")</f>
        <v/>
      </c>
      <c r="AB243">
        <f>IF(SUMIFS(T_PlannedOrders[EffectiveQty],T_PlannedOrders[Part Name],$A223,T_PlannedOrders[WeekIndex],25)=0,"",SUMIFS(T_PlannedOrders[EffectiveQty],T_PlannedOrders[Part Name],$A223,T_PlannedOrders[WeekIndex],25)&amp;" ("&amp;TEXT(SUMPRODUCT(MAX((T_PlannedOrders[Part Name]=$A223)*(T_PlannedOrders[WeekIndex]=25)*(T_PlannedOrders[EffectiveQty]&gt;0)*T_PlannedOrders[Order_Month])),"m月")&amp;"発注)")</f>
        <v/>
      </c>
      <c r="AC243">
        <f>IF(SUMIFS(T_PlannedOrders[EffectiveQty],T_PlannedOrders[Part Name],$A223,T_PlannedOrders[WeekIndex],26)=0,"",SUMIFS(T_PlannedOrders[EffectiveQty],T_PlannedOrders[Part Name],$A223,T_PlannedOrders[WeekIndex],26)&amp;" ("&amp;TEXT(SUMPRODUCT(MAX((T_PlannedOrders[Part Name]=$A223)*(T_PlannedOrders[WeekIndex]=26)*(T_PlannedOrders[EffectiveQty]&gt;0)*T_PlannedOrders[Order_Month])),"m月")&amp;"発注)")</f>
        <v/>
      </c>
      <c r="AD243">
        <f>IF(SUMIFS(T_PlannedOrders[EffectiveQty],T_PlannedOrders[Part Name],$A223,T_PlannedOrders[WeekIndex],27)=0,"",SUMIFS(T_PlannedOrders[EffectiveQty],T_PlannedOrders[Part Name],$A223,T_PlannedOrders[WeekIndex],27)&amp;" ("&amp;TEXT(SUMPRODUCT(MAX((T_PlannedOrders[Part Name]=$A223)*(T_PlannedOrders[WeekIndex]=27)*(T_PlannedOrders[EffectiveQty]&gt;0)*T_PlannedOrders[Order_Month])),"m月")&amp;"発注)")</f>
        <v/>
      </c>
      <c r="AE243">
        <f>IF(SUMIFS(T_PlannedOrders[EffectiveQty],T_PlannedOrders[Part Name],$A223,T_PlannedOrders[WeekIndex],28)=0,"",SUMIFS(T_PlannedOrders[EffectiveQty],T_PlannedOrders[Part Name],$A223,T_PlannedOrders[WeekIndex],28)&amp;" ("&amp;TEXT(SUMPRODUCT(MAX((T_PlannedOrders[Part Name]=$A223)*(T_PlannedOrders[WeekIndex]=28)*(T_PlannedOrders[EffectiveQty]&gt;0)*T_PlannedOrders[Order_Month])),"m月")&amp;"発注)")</f>
        <v/>
      </c>
      <c r="AF243">
        <f>IF(SUMIFS(T_PlannedOrders[EffectiveQty],T_PlannedOrders[Part Name],$A223,T_PlannedOrders[WeekIndex],29)=0,"",SUMIFS(T_PlannedOrders[EffectiveQty],T_PlannedOrders[Part Name],$A223,T_PlannedOrders[WeekIndex],29)&amp;" ("&amp;TEXT(SUMPRODUCT(MAX((T_PlannedOrders[Part Name]=$A223)*(T_PlannedOrders[WeekIndex]=29)*(T_PlannedOrders[EffectiveQty]&gt;0)*T_PlannedOrders[Order_Month])),"m月")&amp;"発注)")</f>
        <v/>
      </c>
      <c r="AG243">
        <f>IF(SUMIFS(T_PlannedOrders[EffectiveQty],T_PlannedOrders[Part Name],$A223,T_PlannedOrders[WeekIndex],30)=0,"",SUMIFS(T_PlannedOrders[EffectiveQty],T_PlannedOrders[Part Name],$A223,T_PlannedOrders[WeekIndex],30)&amp;" ("&amp;TEXT(SUMPRODUCT(MAX((T_PlannedOrders[Part Name]=$A223)*(T_PlannedOrders[WeekIndex]=30)*(T_PlannedOrders[EffectiveQty]&gt;0)*T_PlannedOrders[Order_Month])),"m月")&amp;"発注)")</f>
        <v/>
      </c>
      <c r="AH243">
        <f>IF(SUMIFS(T_PlannedOrders[EffectiveQty],T_PlannedOrders[Part Name],$A223,T_PlannedOrders[WeekIndex],31)=0,"",SUMIFS(T_PlannedOrders[EffectiveQty],T_PlannedOrders[Part Name],$A223,T_PlannedOrders[WeekIndex],31)&amp;" ("&amp;TEXT(SUMPRODUCT(MAX((T_PlannedOrders[Part Name]=$A223)*(T_PlannedOrders[WeekIndex]=31)*(T_PlannedOrders[EffectiveQty]&gt;0)*T_PlannedOrders[Order_Month])),"m月")&amp;"発注)")</f>
        <v/>
      </c>
      <c r="AI243">
        <f>IF(SUMIFS(T_PlannedOrders[EffectiveQty],T_PlannedOrders[Part Name],$A223,T_PlannedOrders[WeekIndex],32)=0,"",SUMIFS(T_PlannedOrders[EffectiveQty],T_PlannedOrders[Part Name],$A223,T_PlannedOrders[WeekIndex],32)&amp;" ("&amp;TEXT(SUMPRODUCT(MAX((T_PlannedOrders[Part Name]=$A223)*(T_PlannedOrders[WeekIndex]=32)*(T_PlannedOrders[EffectiveQty]&gt;0)*T_PlannedOrders[Order_Month])),"m月")&amp;"発注)")</f>
        <v/>
      </c>
      <c r="AJ243">
        <f>IF(SUMIFS(T_PlannedOrders[EffectiveQty],T_PlannedOrders[Part Name],$A223,T_PlannedOrders[WeekIndex],33)=0,"",SUMIFS(T_PlannedOrders[EffectiveQty],T_PlannedOrders[Part Name],$A223,T_PlannedOrders[WeekIndex],33)&amp;" ("&amp;TEXT(SUMPRODUCT(MAX((T_PlannedOrders[Part Name]=$A223)*(T_PlannedOrders[WeekIndex]=33)*(T_PlannedOrders[EffectiveQty]&gt;0)*T_PlannedOrders[Order_Month])),"m月")&amp;"発注)")</f>
        <v/>
      </c>
      <c r="AK243">
        <f>IF(SUMIFS(T_PlannedOrders[EffectiveQty],T_PlannedOrders[Part Name],$A223,T_PlannedOrders[WeekIndex],34)=0,"",SUMIFS(T_PlannedOrders[EffectiveQty],T_PlannedOrders[Part Name],$A223,T_PlannedOrders[WeekIndex],34)&amp;" ("&amp;TEXT(SUMPRODUCT(MAX((T_PlannedOrders[Part Name]=$A223)*(T_PlannedOrders[WeekIndex]=34)*(T_PlannedOrders[EffectiveQty]&gt;0)*T_PlannedOrders[Order_Month])),"m月")&amp;"発注)")</f>
        <v/>
      </c>
      <c r="AL243">
        <f>IF(SUMIFS(T_PlannedOrders[EffectiveQty],T_PlannedOrders[Part Name],$A223,T_PlannedOrders[WeekIndex],35)=0,"",SUMIFS(T_PlannedOrders[EffectiveQty],T_PlannedOrders[Part Name],$A223,T_PlannedOrders[WeekIndex],35)&amp;" ("&amp;TEXT(SUMPRODUCT(MAX((T_PlannedOrders[Part Name]=$A223)*(T_PlannedOrders[WeekIndex]=35)*(T_PlannedOrders[EffectiveQty]&gt;0)*T_PlannedOrders[Order_Month])),"m月")&amp;"発注)")</f>
        <v/>
      </c>
      <c r="AM243">
        <f>IF(SUMIFS(T_PlannedOrders[EffectiveQty],T_PlannedOrders[Part Name],$A223,T_PlannedOrders[WeekIndex],36)=0,"",SUMIFS(T_PlannedOrders[EffectiveQty],T_PlannedOrders[Part Name],$A223,T_PlannedOrders[WeekIndex],36)&amp;" ("&amp;TEXT(SUMPRODUCT(MAX((T_PlannedOrders[Part Name]=$A223)*(T_PlannedOrders[WeekIndex]=36)*(T_PlannedOrders[EffectiveQty]&gt;0)*T_PlannedOrders[Order_Month])),"m月")&amp;"発注)")</f>
        <v/>
      </c>
      <c r="AN243">
        <f>IF(SUMIFS(T_PlannedOrders[EffectiveQty],T_PlannedOrders[Part Name],$A223,T_PlannedOrders[WeekIndex],37)=0,"",SUMIFS(T_PlannedOrders[EffectiveQty],T_PlannedOrders[Part Name],$A223,T_PlannedOrders[WeekIndex],37)&amp;" ("&amp;TEXT(SUMPRODUCT(MAX((T_PlannedOrders[Part Name]=$A223)*(T_PlannedOrders[WeekIndex]=37)*(T_PlannedOrders[EffectiveQty]&gt;0)*T_PlannedOrders[Order_Month])),"m月")&amp;"発注)")</f>
        <v/>
      </c>
      <c r="AO243">
        <f>IF(SUMIFS(T_PlannedOrders[EffectiveQty],T_PlannedOrders[Part Name],$A223,T_PlannedOrders[WeekIndex],38)=0,"",SUMIFS(T_PlannedOrders[EffectiveQty],T_PlannedOrders[Part Name],$A223,T_PlannedOrders[WeekIndex],38)&amp;" ("&amp;TEXT(SUMPRODUCT(MAX((T_PlannedOrders[Part Name]=$A223)*(T_PlannedOrders[WeekIndex]=38)*(T_PlannedOrders[EffectiveQty]&gt;0)*T_PlannedOrders[Order_Month])),"m月")&amp;"発注)")</f>
        <v/>
      </c>
      <c r="AP243">
        <f>IF(SUMIFS(T_PlannedOrders[EffectiveQty],T_PlannedOrders[Part Name],$A223,T_PlannedOrders[WeekIndex],39)=0,"",SUMIFS(T_PlannedOrders[EffectiveQty],T_PlannedOrders[Part Name],$A223,T_PlannedOrders[WeekIndex],39)&amp;" ("&amp;TEXT(SUMPRODUCT(MAX((T_PlannedOrders[Part Name]=$A223)*(T_PlannedOrders[WeekIndex]=39)*(T_PlannedOrders[EffectiveQty]&gt;0)*T_PlannedOrders[Order_Month])),"m月")&amp;"発注)")</f>
        <v/>
      </c>
      <c r="AQ243">
        <f>IF(SUMIFS(T_PlannedOrders[EffectiveQty],T_PlannedOrders[Part Name],$A223,T_PlannedOrders[WeekIndex],40)=0,"",SUMIFS(T_PlannedOrders[EffectiveQty],T_PlannedOrders[Part Name],$A223,T_PlannedOrders[WeekIndex],40)&amp;" ("&amp;TEXT(SUMPRODUCT(MAX((T_PlannedOrders[Part Name]=$A223)*(T_PlannedOrders[WeekIndex]=40)*(T_PlannedOrders[EffectiveQty]&gt;0)*T_PlannedOrders[Order_Month])),"m月")&amp;"発注)")</f>
        <v/>
      </c>
      <c r="AR243">
        <f>IF(SUMIFS(T_PlannedOrders[EffectiveQty],T_PlannedOrders[Part Name],$A223,T_PlannedOrders[WeekIndex],41)=0,"",SUMIFS(T_PlannedOrders[EffectiveQty],T_PlannedOrders[Part Name],$A223,T_PlannedOrders[WeekIndex],41)&amp;" ("&amp;TEXT(SUMPRODUCT(MAX((T_PlannedOrders[Part Name]=$A223)*(T_PlannedOrders[WeekIndex]=41)*(T_PlannedOrders[EffectiveQty]&gt;0)*T_PlannedOrders[Order_Month])),"m月")&amp;"発注)")</f>
        <v/>
      </c>
      <c r="AS243">
        <f>IF(SUMIFS(T_PlannedOrders[EffectiveQty],T_PlannedOrders[Part Name],$A223,T_PlannedOrders[WeekIndex],42)=0,"",SUMIFS(T_PlannedOrders[EffectiveQty],T_PlannedOrders[Part Name],$A223,T_PlannedOrders[WeekIndex],42)&amp;" ("&amp;TEXT(SUMPRODUCT(MAX((T_PlannedOrders[Part Name]=$A223)*(T_PlannedOrders[WeekIndex]=42)*(T_PlannedOrders[EffectiveQty]&gt;0)*T_PlannedOrders[Order_Month])),"m月")&amp;"発注)")</f>
        <v/>
      </c>
      <c r="AT243">
        <f>IF(SUMIFS(T_PlannedOrders[EffectiveQty],T_PlannedOrders[Part Name],$A223,T_PlannedOrders[WeekIndex],43)=0,"",SUMIFS(T_PlannedOrders[EffectiveQty],T_PlannedOrders[Part Name],$A223,T_PlannedOrders[WeekIndex],43)&amp;" ("&amp;TEXT(SUMPRODUCT(MAX((T_PlannedOrders[Part Name]=$A223)*(T_PlannedOrders[WeekIndex]=43)*(T_PlannedOrders[EffectiveQty]&gt;0)*T_PlannedOrders[Order_Month])),"m月")&amp;"発注)")</f>
        <v/>
      </c>
      <c r="AU243">
        <f>IF(SUMIFS(T_PlannedOrders[EffectiveQty],T_PlannedOrders[Part Name],$A223,T_PlannedOrders[WeekIndex],44)=0,"",SUMIFS(T_PlannedOrders[EffectiveQty],T_PlannedOrders[Part Name],$A223,T_PlannedOrders[WeekIndex],44)&amp;" ("&amp;TEXT(SUMPRODUCT(MAX((T_PlannedOrders[Part Name]=$A223)*(T_PlannedOrders[WeekIndex]=44)*(T_PlannedOrders[EffectiveQty]&gt;0)*T_PlannedOrders[Order_Month])),"m月")&amp;"発注)")</f>
        <v/>
      </c>
      <c r="AV243">
        <f>IF(SUMIFS(T_PlannedOrders[EffectiveQty],T_PlannedOrders[Part Name],$A223,T_PlannedOrders[WeekIndex],45)=0,"",SUMIFS(T_PlannedOrders[EffectiveQty],T_PlannedOrders[Part Name],$A223,T_PlannedOrders[WeekIndex],45)&amp;" ("&amp;TEXT(SUMPRODUCT(MAX((T_PlannedOrders[Part Name]=$A223)*(T_PlannedOrders[WeekIndex]=45)*(T_PlannedOrders[EffectiveQty]&gt;0)*T_PlannedOrders[Order_Month])),"m月")&amp;"発注)")</f>
        <v/>
      </c>
      <c r="AW243">
        <f>IF(SUMIFS(T_PlannedOrders[EffectiveQty],T_PlannedOrders[Part Name],$A223,T_PlannedOrders[WeekIndex],46)=0,"",SUMIFS(T_PlannedOrders[EffectiveQty],T_PlannedOrders[Part Name],$A223,T_PlannedOrders[WeekIndex],46)&amp;" ("&amp;TEXT(SUMPRODUCT(MAX((T_PlannedOrders[Part Name]=$A223)*(T_PlannedOrders[WeekIndex]=46)*(T_PlannedOrders[EffectiveQty]&gt;0)*T_PlannedOrders[Order_Month])),"m月")&amp;"発注)")</f>
        <v/>
      </c>
      <c r="AX243">
        <f>IF(SUMIFS(T_PlannedOrders[EffectiveQty],T_PlannedOrders[Part Name],$A223,T_PlannedOrders[WeekIndex],47)=0,"",SUMIFS(T_PlannedOrders[EffectiveQty],T_PlannedOrders[Part Name],$A223,T_PlannedOrders[WeekIndex],47)&amp;" ("&amp;TEXT(SUMPRODUCT(MAX((T_PlannedOrders[Part Name]=$A223)*(T_PlannedOrders[WeekIndex]=47)*(T_PlannedOrders[EffectiveQty]&gt;0)*T_PlannedOrders[Order_Month])),"m月")&amp;"発注)")</f>
        <v/>
      </c>
      <c r="AY243">
        <f>IF(SUMIFS(T_PlannedOrders[EffectiveQty],T_PlannedOrders[Part Name],$A223,T_PlannedOrders[WeekIndex],48)=0,"",SUMIFS(T_PlannedOrders[EffectiveQty],T_PlannedOrders[Part Name],$A223,T_PlannedOrders[WeekIndex],48)&amp;" ("&amp;TEXT(SUMPRODUCT(MAX((T_PlannedOrders[Part Name]=$A223)*(T_PlannedOrders[WeekIndex]=48)*(T_PlannedOrders[EffectiveQty]&gt;0)*T_PlannedOrders[Order_Month])),"m月")&amp;"発注)")</f>
        <v/>
      </c>
      <c r="AZ243">
        <f>IF(SUMIFS(T_PlannedOrders[EffectiveQty],T_PlannedOrders[Part Name],$A223,T_PlannedOrders[WeekIndex],49)=0,"",SUMIFS(T_PlannedOrders[EffectiveQty],T_PlannedOrders[Part Name],$A223,T_PlannedOrders[WeekIndex],49)&amp;" ("&amp;TEXT(SUMPRODUCT(MAX((T_PlannedOrders[Part Name]=$A223)*(T_PlannedOrders[WeekIndex]=49)*(T_PlannedOrders[EffectiveQty]&gt;0)*T_PlannedOrders[Order_Month])),"m月")&amp;"発注)")</f>
        <v/>
      </c>
      <c r="BA243">
        <f>IF(SUMIFS(T_PlannedOrders[EffectiveQty],T_PlannedOrders[Part Name],$A223,T_PlannedOrders[WeekIndex],50)=0,"",SUMIFS(T_PlannedOrders[EffectiveQty],T_PlannedOrders[Part Name],$A223,T_PlannedOrders[WeekIndex],50)&amp;" ("&amp;TEXT(SUMPRODUCT(MAX((T_PlannedOrders[Part Name]=$A223)*(T_PlannedOrders[WeekIndex]=50)*(T_PlannedOrders[EffectiveQty]&gt;0)*T_PlannedOrders[Order_Month])),"m月")&amp;"発注)")</f>
        <v/>
      </c>
      <c r="BB243">
        <f>IF(SUMIFS(T_PlannedOrders[EffectiveQty],T_PlannedOrders[Part Name],$A223,T_PlannedOrders[WeekIndex],51)=0,"",SUMIFS(T_PlannedOrders[EffectiveQty],T_PlannedOrders[Part Name],$A223,T_PlannedOrders[WeekIndex],51)&amp;" ("&amp;TEXT(SUMPRODUCT(MAX((T_PlannedOrders[Part Name]=$A223)*(T_PlannedOrders[WeekIndex]=51)*(T_PlannedOrders[EffectiveQty]&gt;0)*T_PlannedOrders[Order_Month])),"m月")&amp;"発注)")</f>
        <v/>
      </c>
      <c r="BC243">
        <f>IF(SUMIFS(T_PlannedOrders[EffectiveQty],T_PlannedOrders[Part Name],$A223,T_PlannedOrders[WeekIndex],52)=0,"",SUMIFS(T_PlannedOrders[EffectiveQty],T_PlannedOrders[Part Name],$A223,T_PlannedOrders[WeekIndex],52)&amp;" ("&amp;TEXT(SUMPRODUCT(MAX((T_PlannedOrders[Part Name]=$A223)*(T_PlannedOrders[WeekIndex]=52)*(T_PlannedOrders[EffectiveQty]&gt;0)*T_PlannedOrders[Order_Month])),"m月")&amp;"発注)")</f>
        <v/>
      </c>
      <c r="BD243">
        <f>IF(SUMIFS(T_PlannedOrders[EffectiveQty],T_PlannedOrders[Part Name],$A223,T_PlannedOrders[WeekIndex],53)=0,"",SUMIFS(T_PlannedOrders[EffectiveQty],T_PlannedOrders[Part Name],$A223,T_PlannedOrders[WeekIndex],53)&amp;" ("&amp;TEXT(SUMPRODUCT(MAX((T_PlannedOrders[Part Name]=$A223)*(T_PlannedOrders[WeekIndex]=53)*(T_PlannedOrders[EffectiveQty]&gt;0)*T_PlannedOrders[Order_Month])),"m月")&amp;"発注)")</f>
        <v/>
      </c>
      <c r="BE243">
        <f>IF(SUMIFS(T_PlannedOrders[EffectiveQty],T_PlannedOrders[Part Name],$A223,T_PlannedOrders[WeekIndex],54)=0,"",SUMIFS(T_PlannedOrders[EffectiveQty],T_PlannedOrders[Part Name],$A223,T_PlannedOrders[WeekIndex],54)&amp;" ("&amp;TEXT(SUMPRODUCT(MAX((T_PlannedOrders[Part Name]=$A223)*(T_PlannedOrders[WeekIndex]=54)*(T_PlannedOrders[EffectiveQty]&gt;0)*T_PlannedOrders[Order_Month])),"m月")&amp;"発注)")</f>
        <v/>
      </c>
      <c r="BF243">
        <f>IF(SUMIFS(T_PlannedOrders[EffectiveQty],T_PlannedOrders[Part Name],$A223,T_PlannedOrders[WeekIndex],55)=0,"",SUMIFS(T_PlannedOrders[EffectiveQty],T_PlannedOrders[Part Name],$A223,T_PlannedOrders[WeekIndex],55)&amp;" ("&amp;TEXT(SUMPRODUCT(MAX((T_PlannedOrders[Part Name]=$A223)*(T_PlannedOrders[WeekIndex]=55)*(T_PlannedOrders[EffectiveQty]&gt;0)*T_PlannedOrders[Order_Month])),"m月")&amp;"発注)")</f>
        <v/>
      </c>
      <c r="BG243">
        <f>IF(SUMIFS(T_PlannedOrders[EffectiveQty],T_PlannedOrders[Part Name],$A223,T_PlannedOrders[WeekIndex],56)=0,"",SUMIFS(T_PlannedOrders[EffectiveQty],T_PlannedOrders[Part Name],$A223,T_PlannedOrders[WeekIndex],56)&amp;" ("&amp;TEXT(SUMPRODUCT(MAX((T_PlannedOrders[Part Name]=$A223)*(T_PlannedOrders[WeekIndex]=56)*(T_PlannedOrders[EffectiveQty]&gt;0)*T_PlannedOrders[Order_Month])),"m月")&amp;"発注)")</f>
        <v/>
      </c>
      <c r="BH243">
        <f>IF(SUMIFS(T_PlannedOrders[EffectiveQty],T_PlannedOrders[Part Name],$A223,T_PlannedOrders[WeekIndex],57)=0,"",SUMIFS(T_PlannedOrders[EffectiveQty],T_PlannedOrders[Part Name],$A223,T_PlannedOrders[WeekIndex],57)&amp;" ("&amp;TEXT(SUMPRODUCT(MAX((T_PlannedOrders[Part Name]=$A223)*(T_PlannedOrders[WeekIndex]=57)*(T_PlannedOrders[EffectiveQty]&gt;0)*T_PlannedOrders[Order_Month])),"m月")&amp;"発注)")</f>
        <v/>
      </c>
      <c r="BI243">
        <f>IF(SUMIFS(T_PlannedOrders[EffectiveQty],T_PlannedOrders[Part Name],$A223,T_PlannedOrders[WeekIndex],58)=0,"",SUMIFS(T_PlannedOrders[EffectiveQty],T_PlannedOrders[Part Name],$A223,T_PlannedOrders[WeekIndex],58)&amp;" ("&amp;TEXT(SUMPRODUCT(MAX((T_PlannedOrders[Part Name]=$A223)*(T_PlannedOrders[WeekIndex]=58)*(T_PlannedOrders[EffectiveQty]&gt;0)*T_PlannedOrders[Order_Month])),"m月")&amp;"発注)")</f>
        <v/>
      </c>
      <c r="BJ243">
        <f>IF(SUMIFS(T_PlannedOrders[EffectiveQty],T_PlannedOrders[Part Name],$A223,T_PlannedOrders[WeekIndex],59)=0,"",SUMIFS(T_PlannedOrders[EffectiveQty],T_PlannedOrders[Part Name],$A223,T_PlannedOrders[WeekIndex],59)&amp;" ("&amp;TEXT(SUMPRODUCT(MAX((T_PlannedOrders[Part Name]=$A223)*(T_PlannedOrders[WeekIndex]=59)*(T_PlannedOrders[EffectiveQty]&gt;0)*T_PlannedOrders[Order_Month])),"m月")&amp;"発注)")</f>
        <v/>
      </c>
      <c r="BK243">
        <f>IF(SUMIFS(T_PlannedOrders[EffectiveQty],T_PlannedOrders[Part Name],$A223,T_PlannedOrders[WeekIndex],60)=0,"",SUMIFS(T_PlannedOrders[EffectiveQty],T_PlannedOrders[Part Name],$A223,T_PlannedOrders[WeekIndex],60)&amp;" ("&amp;TEXT(SUMPRODUCT(MAX((T_PlannedOrders[Part Name]=$A223)*(T_PlannedOrders[WeekIndex]=60)*(T_PlannedOrders[EffectiveQty]&gt;0)*T_PlannedOrders[Order_Month])),"m月")&amp;"発注)")</f>
        <v/>
      </c>
      <c r="BL243">
        <f>IF(SUMIFS(T_PlannedOrders[EffectiveQty],T_PlannedOrders[Part Name],$A223,T_PlannedOrders[WeekIndex],61)=0,"",SUMIFS(T_PlannedOrders[EffectiveQty],T_PlannedOrders[Part Name],$A223,T_PlannedOrders[WeekIndex],61)&amp;" ("&amp;TEXT(SUMPRODUCT(MAX((T_PlannedOrders[Part Name]=$A223)*(T_PlannedOrders[WeekIndex]=61)*(T_PlannedOrders[EffectiveQty]&gt;0)*T_PlannedOrders[Order_Month])),"m月")&amp;"発注)")</f>
        <v/>
      </c>
      <c r="BM243">
        <f>IF(SUMIFS(T_PlannedOrders[EffectiveQty],T_PlannedOrders[Part Name],$A223,T_PlannedOrders[WeekIndex],62)=0,"",SUMIFS(T_PlannedOrders[EffectiveQty],T_PlannedOrders[Part Name],$A223,T_PlannedOrders[WeekIndex],62)&amp;" ("&amp;TEXT(SUMPRODUCT(MAX((T_PlannedOrders[Part Name]=$A223)*(T_PlannedOrders[WeekIndex]=62)*(T_PlannedOrders[EffectiveQty]&gt;0)*T_PlannedOrders[Order_Month])),"m月")&amp;"発注)")</f>
        <v/>
      </c>
      <c r="BN243">
        <f>IF(SUMIFS(T_PlannedOrders[EffectiveQty],T_PlannedOrders[Part Name],$A223,T_PlannedOrders[WeekIndex],63)=0,"",SUMIFS(T_PlannedOrders[EffectiveQty],T_PlannedOrders[Part Name],$A223,T_PlannedOrders[WeekIndex],63)&amp;" ("&amp;TEXT(SUMPRODUCT(MAX((T_PlannedOrders[Part Name]=$A223)*(T_PlannedOrders[WeekIndex]=63)*(T_PlannedOrders[EffectiveQty]&gt;0)*T_PlannedOrders[Order_Month])),"m月")&amp;"発注)")</f>
        <v/>
      </c>
      <c r="BO243">
        <f>IF(SUMIFS(T_PlannedOrders[EffectiveQty],T_PlannedOrders[Part Name],$A223,T_PlannedOrders[WeekIndex],64)=0,"",SUMIFS(T_PlannedOrders[EffectiveQty],T_PlannedOrders[Part Name],$A223,T_PlannedOrders[WeekIndex],64)&amp;" ("&amp;TEXT(SUMPRODUCT(MAX((T_PlannedOrders[Part Name]=$A223)*(T_PlannedOrders[WeekIndex]=64)*(T_PlannedOrders[EffectiveQty]&gt;0)*T_PlannedOrders[Order_Month])),"m月")&amp;"発注)")</f>
        <v/>
      </c>
      <c r="BP243">
        <f>IF(SUMIFS(T_PlannedOrders[EffectiveQty],T_PlannedOrders[Part Name],$A223,T_PlannedOrders[WeekIndex],65)=0,"",SUMIFS(T_PlannedOrders[EffectiveQty],T_PlannedOrders[Part Name],$A223,T_PlannedOrders[WeekIndex],65)&amp;" ("&amp;TEXT(SUMPRODUCT(MAX((T_PlannedOrders[Part Name]=$A223)*(T_PlannedOrders[WeekIndex]=65)*(T_PlannedOrders[EffectiveQty]&gt;0)*T_PlannedOrders[Order_Month])),"m月")&amp;"発注)")</f>
        <v/>
      </c>
      <c r="BQ243">
        <f>IF(SUMIFS(T_PlannedOrders[EffectiveQty],T_PlannedOrders[Part Name],$A223,T_PlannedOrders[WeekIndex],66)=0,"",SUMIFS(T_PlannedOrders[EffectiveQty],T_PlannedOrders[Part Name],$A223,T_PlannedOrders[WeekIndex],66)&amp;" ("&amp;TEXT(SUMPRODUCT(MAX((T_PlannedOrders[Part Name]=$A223)*(T_PlannedOrders[WeekIndex]=66)*(T_PlannedOrders[EffectiveQty]&gt;0)*T_PlannedOrders[Order_Month])),"m月")&amp;"発注)")</f>
        <v/>
      </c>
      <c r="BR243">
        <f>IF(SUMIFS(T_PlannedOrders[EffectiveQty],T_PlannedOrders[Part Name],$A223,T_PlannedOrders[WeekIndex],67)=0,"",SUMIFS(T_PlannedOrders[EffectiveQty],T_PlannedOrders[Part Name],$A223,T_PlannedOrders[WeekIndex],67)&amp;" ("&amp;TEXT(SUMPRODUCT(MAX((T_PlannedOrders[Part Name]=$A223)*(T_PlannedOrders[WeekIndex]=67)*(T_PlannedOrders[EffectiveQty]&gt;0)*T_PlannedOrders[Order_Month])),"m月")&amp;"発注)")</f>
        <v/>
      </c>
      <c r="BS243">
        <f>IF(SUMIFS(T_PlannedOrders[EffectiveQty],T_PlannedOrders[Part Name],$A223,T_PlannedOrders[WeekIndex],68)=0,"",SUMIFS(T_PlannedOrders[EffectiveQty],T_PlannedOrders[Part Name],$A223,T_PlannedOrders[WeekIndex],68)&amp;" ("&amp;TEXT(SUMPRODUCT(MAX((T_PlannedOrders[Part Name]=$A223)*(T_PlannedOrders[WeekIndex]=68)*(T_PlannedOrders[EffectiveQty]&gt;0)*T_PlannedOrders[Order_Month])),"m月")&amp;"発注)")</f>
        <v/>
      </c>
      <c r="BT243">
        <f>IF(SUMIFS(T_PlannedOrders[EffectiveQty],T_PlannedOrders[Part Name],$A223,T_PlannedOrders[WeekIndex],69)=0,"",SUMIFS(T_PlannedOrders[EffectiveQty],T_PlannedOrders[Part Name],$A223,T_PlannedOrders[WeekIndex],69)&amp;" ("&amp;TEXT(SUMPRODUCT(MAX((T_PlannedOrders[Part Name]=$A223)*(T_PlannedOrders[WeekIndex]=69)*(T_PlannedOrders[EffectiveQty]&gt;0)*T_PlannedOrders[Order_Month])),"m月")&amp;"発注)")</f>
        <v/>
      </c>
      <c r="BU243">
        <f>IF(SUMIFS(T_PlannedOrders[EffectiveQty],T_PlannedOrders[Part Name],$A223,T_PlannedOrders[WeekIndex],70)=0,"",SUMIFS(T_PlannedOrders[EffectiveQty],T_PlannedOrders[Part Name],$A223,T_PlannedOrders[WeekIndex],70)&amp;" ("&amp;TEXT(SUMPRODUCT(MAX((T_PlannedOrders[Part Name]=$A223)*(T_PlannedOrders[WeekIndex]=70)*(T_PlannedOrders[EffectiveQty]&gt;0)*T_PlannedOrders[Order_Month])),"m月")&amp;"発注)")</f>
        <v/>
      </c>
      <c r="BV243">
        <f>IF(SUMIFS(T_PlannedOrders[EffectiveQty],T_PlannedOrders[Part Name],$A223,T_PlannedOrders[WeekIndex],71)=0,"",SUMIFS(T_PlannedOrders[EffectiveQty],T_PlannedOrders[Part Name],$A223,T_PlannedOrders[WeekIndex],71)&amp;" ("&amp;TEXT(SUMPRODUCT(MAX((T_PlannedOrders[Part Name]=$A223)*(T_PlannedOrders[WeekIndex]=71)*(T_PlannedOrders[EffectiveQty]&gt;0)*T_PlannedOrders[Order_Month])),"m月")&amp;"発注)")</f>
        <v/>
      </c>
      <c r="BW243">
        <f>IF(SUMIFS(T_PlannedOrders[EffectiveQty],T_PlannedOrders[Part Name],$A223,T_PlannedOrders[WeekIndex],72)=0,"",SUMIFS(T_PlannedOrders[EffectiveQty],T_PlannedOrders[Part Name],$A223,T_PlannedOrders[WeekIndex],72)&amp;" ("&amp;TEXT(SUMPRODUCT(MAX((T_PlannedOrders[Part Name]=$A223)*(T_PlannedOrders[WeekIndex]=72)*(T_PlannedOrders[EffectiveQty]&gt;0)*T_PlannedOrders[Order_Month])),"m月")&amp;"発注)")</f>
        <v/>
      </c>
      <c r="BX243">
        <f>IF(SUMIFS(T_PlannedOrders[EffectiveQty],T_PlannedOrders[Part Name],$A223,T_PlannedOrders[WeekIndex],73)=0,"",SUMIFS(T_PlannedOrders[EffectiveQty],T_PlannedOrders[Part Name],$A223,T_PlannedOrders[WeekIndex],73)&amp;" ("&amp;TEXT(SUMPRODUCT(MAX((T_PlannedOrders[Part Name]=$A223)*(T_PlannedOrders[WeekIndex]=73)*(T_PlannedOrders[EffectiveQty]&gt;0)*T_PlannedOrders[Order_Month])),"m月")&amp;"発注)")</f>
        <v/>
      </c>
      <c r="BY243">
        <f>IF(SUMIFS(T_PlannedOrders[EffectiveQty],T_PlannedOrders[Part Name],$A223,T_PlannedOrders[WeekIndex],74)=0,"",SUMIFS(T_PlannedOrders[EffectiveQty],T_PlannedOrders[Part Name],$A223,T_PlannedOrders[WeekIndex],74)&amp;" ("&amp;TEXT(SUMPRODUCT(MAX((T_PlannedOrders[Part Name]=$A223)*(T_PlannedOrders[WeekIndex]=74)*(T_PlannedOrders[EffectiveQty]&gt;0)*T_PlannedOrders[Order_Month])),"m月")&amp;"発注)")</f>
        <v/>
      </c>
      <c r="BZ243">
        <f>IF(SUMIFS(T_PlannedOrders[EffectiveQty],T_PlannedOrders[Part Name],$A223,T_PlannedOrders[WeekIndex],75)=0,"",SUMIFS(T_PlannedOrders[EffectiveQty],T_PlannedOrders[Part Name],$A223,T_PlannedOrders[WeekIndex],75)&amp;" ("&amp;TEXT(SUMPRODUCT(MAX((T_PlannedOrders[Part Name]=$A223)*(T_PlannedOrders[WeekIndex]=75)*(T_PlannedOrders[EffectiveQty]&gt;0)*T_PlannedOrders[Order_Month])),"m月")&amp;"発注)")</f>
        <v/>
      </c>
      <c r="CA243">
        <f>IF(SUMIFS(T_PlannedOrders[EffectiveQty],T_PlannedOrders[Part Name],$A223,T_PlannedOrders[WeekIndex],76)=0,"",SUMIFS(T_PlannedOrders[EffectiveQty],T_PlannedOrders[Part Name],$A223,T_PlannedOrders[WeekIndex],76)&amp;" ("&amp;TEXT(SUMPRODUCT(MAX((T_PlannedOrders[Part Name]=$A223)*(T_PlannedOrders[WeekIndex]=76)*(T_PlannedOrders[EffectiveQty]&gt;0)*T_PlannedOrders[Order_Month])),"m月")&amp;"発注)")</f>
        <v/>
      </c>
      <c r="CB243">
        <f>IF(SUMIFS(T_PlannedOrders[EffectiveQty],T_PlannedOrders[Part Name],$A223,T_PlannedOrders[WeekIndex],77)=0,"",SUMIFS(T_PlannedOrders[EffectiveQty],T_PlannedOrders[Part Name],$A223,T_PlannedOrders[WeekIndex],77)&amp;" ("&amp;TEXT(SUMPRODUCT(MAX((T_PlannedOrders[Part Name]=$A223)*(T_PlannedOrders[WeekIndex]=77)*(T_PlannedOrders[EffectiveQty]&gt;0)*T_PlannedOrders[Order_Month])),"m月")&amp;"発注)")</f>
        <v/>
      </c>
      <c r="CC243">
        <f>IF(SUMIFS(T_PlannedOrders[EffectiveQty],T_PlannedOrders[Part Name],$A223,T_PlannedOrders[WeekIndex],78)=0,"",SUMIFS(T_PlannedOrders[EffectiveQty],T_PlannedOrders[Part Name],$A223,T_PlannedOrders[WeekIndex],78)&amp;" ("&amp;TEXT(SUMPRODUCT(MAX((T_PlannedOrders[Part Name]=$A223)*(T_PlannedOrders[WeekIndex]=78)*(T_PlannedOrders[EffectiveQty]&gt;0)*T_PlannedOrders[Order_Month])),"m月")&amp;"発注)")</f>
        <v/>
      </c>
      <c r="CD243">
        <f>IF(SUMIFS(T_PlannedOrders[EffectiveQty],T_PlannedOrders[Part Name],$A223,T_PlannedOrders[WeekIndex],79)=0,"",SUMIFS(T_PlannedOrders[EffectiveQty],T_PlannedOrders[Part Name],$A223,T_PlannedOrders[WeekIndex],79)&amp;" ("&amp;TEXT(SUMPRODUCT(MAX((T_PlannedOrders[Part Name]=$A223)*(T_PlannedOrders[WeekIndex]=79)*(T_PlannedOrders[EffectiveQty]&gt;0)*T_PlannedOrders[Order_Month])),"m月")&amp;"発注)")</f>
        <v/>
      </c>
      <c r="CE243">
        <f>IF(SUMIFS(T_PlannedOrders[EffectiveQty],T_PlannedOrders[Part Name],$A223,T_PlannedOrders[WeekIndex],80)=0,"",SUMIFS(T_PlannedOrders[EffectiveQty],T_PlannedOrders[Part Name],$A223,T_PlannedOrders[WeekIndex],80)&amp;" ("&amp;TEXT(SUMPRODUCT(MAX((T_PlannedOrders[Part Name]=$A223)*(T_PlannedOrders[WeekIndex]=80)*(T_PlannedOrders[EffectiveQty]&gt;0)*T_PlannedOrders[Order_Month])),"m月")&amp;"発注)")</f>
        <v/>
      </c>
      <c r="CF243">
        <f>IF(SUMIFS(T_PlannedOrders[EffectiveQty],T_PlannedOrders[Part Name],$A223,T_PlannedOrders[WeekIndex],81)=0,"",SUMIFS(T_PlannedOrders[EffectiveQty],T_PlannedOrders[Part Name],$A223,T_PlannedOrders[WeekIndex],81)&amp;" ("&amp;TEXT(SUMPRODUCT(MAX((T_PlannedOrders[Part Name]=$A223)*(T_PlannedOrders[WeekIndex]=81)*(T_PlannedOrders[EffectiveQty]&gt;0)*T_PlannedOrders[Order_Month])),"m月")&amp;"発注)")</f>
        <v/>
      </c>
      <c r="CG243">
        <f>IF(SUMIFS(T_PlannedOrders[EffectiveQty],T_PlannedOrders[Part Name],$A223,T_PlannedOrders[WeekIndex],82)=0,"",SUMIFS(T_PlannedOrders[EffectiveQty],T_PlannedOrders[Part Name],$A223,T_PlannedOrders[WeekIndex],82)&amp;" ("&amp;TEXT(SUMPRODUCT(MAX((T_PlannedOrders[Part Name]=$A223)*(T_PlannedOrders[WeekIndex]=82)*(T_PlannedOrders[EffectiveQty]&gt;0)*T_PlannedOrders[Order_Month])),"m月")&amp;"発注)")</f>
        <v/>
      </c>
      <c r="CH243">
        <f>IF(SUMIFS(T_PlannedOrders[EffectiveQty],T_PlannedOrders[Part Name],$A223,T_PlannedOrders[WeekIndex],83)=0,"",SUMIFS(T_PlannedOrders[EffectiveQty],T_PlannedOrders[Part Name],$A223,T_PlannedOrders[WeekIndex],83)&amp;" ("&amp;TEXT(SUMPRODUCT(MAX((T_PlannedOrders[Part Name]=$A223)*(T_PlannedOrders[WeekIndex]=83)*(T_PlannedOrders[EffectiveQty]&gt;0)*T_PlannedOrders[Order_Month])),"m月")&amp;"発注)")</f>
        <v/>
      </c>
      <c r="CI243">
        <f>IF(SUMIFS(T_PlannedOrders[EffectiveQty],T_PlannedOrders[Part Name],$A223,T_PlannedOrders[WeekIndex],84)=0,"",SUMIFS(T_PlannedOrders[EffectiveQty],T_PlannedOrders[Part Name],$A223,T_PlannedOrders[WeekIndex],84)&amp;" ("&amp;TEXT(SUMPRODUCT(MAX((T_PlannedOrders[Part Name]=$A223)*(T_PlannedOrders[WeekIndex]=84)*(T_PlannedOrders[EffectiveQty]&gt;0)*T_PlannedOrders[Order_Month])),"m月")&amp;"発注)")</f>
        <v/>
      </c>
      <c r="CJ243">
        <f>IF(SUMIFS(T_PlannedOrders[EffectiveQty],T_PlannedOrders[Part Name],$A223,T_PlannedOrders[WeekIndex],85)=0,"",SUMIFS(T_PlannedOrders[EffectiveQty],T_PlannedOrders[Part Name],$A223,T_PlannedOrders[WeekIndex],85)&amp;" ("&amp;TEXT(SUMPRODUCT(MAX((T_PlannedOrders[Part Name]=$A223)*(T_PlannedOrders[WeekIndex]=85)*(T_PlannedOrders[EffectiveQty]&gt;0)*T_PlannedOrders[Order_Month])),"m月")&amp;"発注)")</f>
        <v/>
      </c>
      <c r="CK243">
        <f>IF(SUMIFS(T_PlannedOrders[EffectiveQty],T_PlannedOrders[Part Name],$A223,T_PlannedOrders[WeekIndex],86)=0,"",SUMIFS(T_PlannedOrders[EffectiveQty],T_PlannedOrders[Part Name],$A223,T_PlannedOrders[WeekIndex],86)&amp;" ("&amp;TEXT(SUMPRODUCT(MAX((T_PlannedOrders[Part Name]=$A223)*(T_PlannedOrders[WeekIndex]=86)*(T_PlannedOrders[EffectiveQty]&gt;0)*T_PlannedOrders[Order_Month])),"m月")&amp;"発注)")</f>
        <v/>
      </c>
      <c r="CL243">
        <f>IF(SUMIFS(T_PlannedOrders[EffectiveQty],T_PlannedOrders[Part Name],$A223,T_PlannedOrders[WeekIndex],87)=0,"",SUMIFS(T_PlannedOrders[EffectiveQty],T_PlannedOrders[Part Name],$A223,T_PlannedOrders[WeekIndex],87)&amp;" ("&amp;TEXT(SUMPRODUCT(MAX((T_PlannedOrders[Part Name]=$A223)*(T_PlannedOrders[WeekIndex]=87)*(T_PlannedOrders[EffectiveQty]&gt;0)*T_PlannedOrders[Order_Month])),"m月")&amp;"発注)")</f>
        <v/>
      </c>
      <c r="CM243">
        <f>IF(SUMIFS(T_PlannedOrders[EffectiveQty],T_PlannedOrders[Part Name],$A223,T_PlannedOrders[WeekIndex],88)=0,"",SUMIFS(T_PlannedOrders[EffectiveQty],T_PlannedOrders[Part Name],$A223,T_PlannedOrders[WeekIndex],88)&amp;" ("&amp;TEXT(SUMPRODUCT(MAX((T_PlannedOrders[Part Name]=$A223)*(T_PlannedOrders[WeekIndex]=88)*(T_PlannedOrders[EffectiveQty]&gt;0)*T_PlannedOrders[Order_Month])),"m月")&amp;"発注)")</f>
        <v/>
      </c>
      <c r="CN243">
        <f>IF(SUMIFS(T_PlannedOrders[EffectiveQty],T_PlannedOrders[Part Name],$A223,T_PlannedOrders[WeekIndex],89)=0,"",SUMIFS(T_PlannedOrders[EffectiveQty],T_PlannedOrders[Part Name],$A223,T_PlannedOrders[WeekIndex],89)&amp;" ("&amp;TEXT(SUMPRODUCT(MAX((T_PlannedOrders[Part Name]=$A223)*(T_PlannedOrders[WeekIndex]=89)*(T_PlannedOrders[EffectiveQty]&gt;0)*T_PlannedOrders[Order_Month])),"m月")&amp;"発注)")</f>
        <v/>
      </c>
      <c r="CO243">
        <f>IF(SUMIFS(T_PlannedOrders[EffectiveQty],T_PlannedOrders[Part Name],$A223,T_PlannedOrders[WeekIndex],90)=0,"",SUMIFS(T_PlannedOrders[EffectiveQty],T_PlannedOrders[Part Name],$A223,T_PlannedOrders[WeekIndex],90)&amp;" ("&amp;TEXT(SUMPRODUCT(MAX((T_PlannedOrders[Part Name]=$A223)*(T_PlannedOrders[WeekIndex]=90)*(T_PlannedOrders[EffectiveQty]&gt;0)*T_PlannedOrders[Order_Month])),"m月")&amp;"発注)")</f>
        <v/>
      </c>
      <c r="CP243">
        <f>IF(SUMIFS(T_PlannedOrders[EffectiveQty],T_PlannedOrders[Part Name],$A223,T_PlannedOrders[WeekIndex],91)=0,"",SUMIFS(T_PlannedOrders[EffectiveQty],T_PlannedOrders[Part Name],$A223,T_PlannedOrders[WeekIndex],91)&amp;" ("&amp;TEXT(SUMPRODUCT(MAX((T_PlannedOrders[Part Name]=$A223)*(T_PlannedOrders[WeekIndex]=91)*(T_PlannedOrders[EffectiveQty]&gt;0)*T_PlannedOrders[Order_Month])),"m月")&amp;"発注)")</f>
        <v/>
      </c>
      <c r="CQ243">
        <f>IF(SUMIFS(T_PlannedOrders[EffectiveQty],T_PlannedOrders[Part Name],$A223,T_PlannedOrders[WeekIndex],92)=0,"",SUMIFS(T_PlannedOrders[EffectiveQty],T_PlannedOrders[Part Name],$A223,T_PlannedOrders[WeekIndex],92)&amp;" ("&amp;TEXT(SUMPRODUCT(MAX((T_PlannedOrders[Part Name]=$A223)*(T_PlannedOrders[WeekIndex]=92)*(T_PlannedOrders[EffectiveQty]&gt;0)*T_PlannedOrders[Order_Month])),"m月")&amp;"発注)")</f>
        <v/>
      </c>
      <c r="CR243">
        <f>IF(SUMIFS(T_PlannedOrders[EffectiveQty],T_PlannedOrders[Part Name],$A223,T_PlannedOrders[WeekIndex],93)=0,"",SUMIFS(T_PlannedOrders[EffectiveQty],T_PlannedOrders[Part Name],$A223,T_PlannedOrders[WeekIndex],93)&amp;" ("&amp;TEXT(SUMPRODUCT(MAX((T_PlannedOrders[Part Name]=$A223)*(T_PlannedOrders[WeekIndex]=93)*(T_PlannedOrders[EffectiveQty]&gt;0)*T_PlannedOrders[Order_Month])),"m月")&amp;"発注)")</f>
        <v/>
      </c>
      <c r="CS243">
        <f>IF(SUMIFS(T_PlannedOrders[EffectiveQty],T_PlannedOrders[Part Name],$A223,T_PlannedOrders[WeekIndex],94)=0,"",SUMIFS(T_PlannedOrders[EffectiveQty],T_PlannedOrders[Part Name],$A223,T_PlannedOrders[WeekIndex],94)&amp;" ("&amp;TEXT(SUMPRODUCT(MAX((T_PlannedOrders[Part Name]=$A223)*(T_PlannedOrders[WeekIndex]=94)*(T_PlannedOrders[EffectiveQty]&gt;0)*T_PlannedOrders[Order_Month])),"m月")&amp;"発注)")</f>
        <v/>
      </c>
      <c r="CT243">
        <f>IF(SUMIFS(T_PlannedOrders[EffectiveQty],T_PlannedOrders[Part Name],$A223,T_PlannedOrders[WeekIndex],95)=0,"",SUMIFS(T_PlannedOrders[EffectiveQty],T_PlannedOrders[Part Name],$A223,T_PlannedOrders[WeekIndex],95)&amp;" ("&amp;TEXT(SUMPRODUCT(MAX((T_PlannedOrders[Part Name]=$A223)*(T_PlannedOrders[WeekIndex]=95)*(T_PlannedOrders[EffectiveQty]&gt;0)*T_PlannedOrders[Order_Month])),"m月")&amp;"発注)")</f>
        <v/>
      </c>
      <c r="CU243">
        <f>IF(SUMIFS(T_PlannedOrders[EffectiveQty],T_PlannedOrders[Part Name],$A223,T_PlannedOrders[WeekIndex],96)=0,"",SUMIFS(T_PlannedOrders[EffectiveQty],T_PlannedOrders[Part Name],$A223,T_PlannedOrders[WeekIndex],96)&amp;" ("&amp;TEXT(SUMPRODUCT(MAX((T_PlannedOrders[Part Name]=$A223)*(T_PlannedOrders[WeekIndex]=96)*(T_PlannedOrders[EffectiveQty]&gt;0)*T_PlannedOrders[Order_Month])),"m月")&amp;"発注)")</f>
        <v/>
      </c>
      <c r="CV243">
        <f>IF(SUMIFS(T_PlannedOrders[EffectiveQty],T_PlannedOrders[Part Name],$A223,T_PlannedOrders[WeekIndex],97)=0,"",SUMIFS(T_PlannedOrders[EffectiveQty],T_PlannedOrders[Part Name],$A223,T_PlannedOrders[WeekIndex],97)&amp;" ("&amp;TEXT(SUMPRODUCT(MAX((T_PlannedOrders[Part Name]=$A223)*(T_PlannedOrders[WeekIndex]=97)*(T_PlannedOrders[EffectiveQty]&gt;0)*T_PlannedOrders[Order_Month])),"m月")&amp;"発注)")</f>
        <v/>
      </c>
      <c r="CW243">
        <f>IF(SUMIFS(T_PlannedOrders[EffectiveQty],T_PlannedOrders[Part Name],$A223,T_PlannedOrders[WeekIndex],98)=0,"",SUMIFS(T_PlannedOrders[EffectiveQty],T_PlannedOrders[Part Name],$A223,T_PlannedOrders[WeekIndex],98)&amp;" ("&amp;TEXT(SUMPRODUCT(MAX((T_PlannedOrders[Part Name]=$A223)*(T_PlannedOrders[WeekIndex]=98)*(T_PlannedOrders[EffectiveQty]&gt;0)*T_PlannedOrders[Order_Month])),"m月")&amp;"発注)")</f>
        <v/>
      </c>
      <c r="CX243">
        <f>IF(SUMIFS(T_PlannedOrders[EffectiveQty],T_PlannedOrders[Part Name],$A223,T_PlannedOrders[WeekIndex],99)=0,"",SUMIFS(T_PlannedOrders[EffectiveQty],T_PlannedOrders[Part Name],$A223,T_PlannedOrders[WeekIndex],99)&amp;" ("&amp;TEXT(SUMPRODUCT(MAX((T_PlannedOrders[Part Name]=$A223)*(T_PlannedOrders[WeekIndex]=99)*(T_PlannedOrders[EffectiveQty]&gt;0)*T_PlannedOrders[Order_Month])),"m月")&amp;"発注)")</f>
        <v/>
      </c>
      <c r="CY243">
        <f>IF(SUMIFS(T_PlannedOrders[EffectiveQty],T_PlannedOrders[Part Name],$A223,T_PlannedOrders[WeekIndex],100)=0,"",SUMIFS(T_PlannedOrders[EffectiveQty],T_PlannedOrders[Part Name],$A223,T_PlannedOrders[WeekIndex],100)&amp;" ("&amp;TEXT(SUMPRODUCT(MAX((T_PlannedOrders[Part Name]=$A223)*(T_PlannedOrders[WeekIndex]=100)*(T_PlannedOrders[EffectiveQty]&gt;0)*T_PlannedOrders[Order_Month])),"m月")&amp;"発注)")</f>
        <v/>
      </c>
      <c r="CZ243">
        <f>IF(SUMIFS(T_PlannedOrders[EffectiveQty],T_PlannedOrders[Part Name],$A223,T_PlannedOrders[WeekIndex],101)=0,"",SUMIFS(T_PlannedOrders[EffectiveQty],T_PlannedOrders[Part Name],$A223,T_PlannedOrders[WeekIndex],101)&amp;" ("&amp;TEXT(SUMPRODUCT(MAX((T_PlannedOrders[Part Name]=$A223)*(T_PlannedOrders[WeekIndex]=101)*(T_PlannedOrders[EffectiveQty]&gt;0)*T_PlannedOrders[Order_Month])),"m月")&amp;"発注)")</f>
        <v/>
      </c>
      <c r="DA243">
        <f>IF(SUMIFS(T_PlannedOrders[EffectiveQty],T_PlannedOrders[Part Name],$A223,T_PlannedOrders[WeekIndex],102)=0,"",SUMIFS(T_PlannedOrders[EffectiveQty],T_PlannedOrders[Part Name],$A223,T_PlannedOrders[WeekIndex],102)&amp;" ("&amp;TEXT(SUMPRODUCT(MAX((T_PlannedOrders[Part Name]=$A223)*(T_PlannedOrders[WeekIndex]=102)*(T_PlannedOrders[EffectiveQty]&gt;0)*T_PlannedOrders[Order_Month])),"m月")&amp;"発注)")</f>
        <v/>
      </c>
      <c r="DB243">
        <f>IF(SUMIFS(T_PlannedOrders[EffectiveQty],T_PlannedOrders[Part Name],$A223,T_PlannedOrders[WeekIndex],103)=0,"",SUMIFS(T_PlannedOrders[EffectiveQty],T_PlannedOrders[Part Name],$A223,T_PlannedOrders[WeekIndex],103)&amp;" ("&amp;TEXT(SUMPRODUCT(MAX((T_PlannedOrders[Part Name]=$A223)*(T_PlannedOrders[WeekIndex]=103)*(T_PlannedOrders[EffectiveQty]&gt;0)*T_PlannedOrders[Order_Month])),"m月")&amp;"発注)")</f>
        <v/>
      </c>
      <c r="DC243">
        <f>IF(SUMIFS(T_PlannedOrders[EffectiveQty],T_PlannedOrders[Part Name],$A223,T_PlannedOrders[WeekIndex],104)=0,"",SUMIFS(T_PlannedOrders[EffectiveQty],T_PlannedOrders[Part Name],$A223,T_PlannedOrders[WeekIndex],104)&amp;" ("&amp;TEXT(SUMPRODUCT(MAX((T_PlannedOrders[Part Name]=$A223)*(T_PlannedOrders[WeekIndex]=104)*(T_PlannedOrders[EffectiveQty]&gt;0)*T_PlannedOrders[Order_Month])),"m月")&amp;"発注)")</f>
        <v/>
      </c>
    </row>
    <row r="244">
      <c r="B244" s="5" t="inlineStr">
        <is>
          <t>合計在庫(週末時点,kg)</t>
        </is>
      </c>
      <c r="D244">
        <f>'Grid_Stock'!B24</f>
        <v/>
      </c>
      <c r="E244">
        <f>'Grid_Stock'!C24</f>
        <v/>
      </c>
      <c r="F244">
        <f>'Grid_Stock'!D24</f>
        <v/>
      </c>
      <c r="G244">
        <f>'Grid_Stock'!E24</f>
        <v/>
      </c>
      <c r="H244">
        <f>'Grid_Stock'!F24</f>
        <v/>
      </c>
      <c r="I244">
        <f>'Grid_Stock'!G24</f>
        <v/>
      </c>
      <c r="J244">
        <f>'Grid_Stock'!H24</f>
        <v/>
      </c>
      <c r="K244">
        <f>'Grid_Stock'!I24</f>
        <v/>
      </c>
      <c r="L244">
        <f>'Grid_Stock'!J24</f>
        <v/>
      </c>
      <c r="M244">
        <f>'Grid_Stock'!K24</f>
        <v/>
      </c>
      <c r="N244">
        <f>'Grid_Stock'!L24</f>
        <v/>
      </c>
      <c r="O244">
        <f>'Grid_Stock'!M24</f>
        <v/>
      </c>
      <c r="P244">
        <f>'Grid_Stock'!N24</f>
        <v/>
      </c>
      <c r="Q244">
        <f>'Grid_Stock'!O24</f>
        <v/>
      </c>
      <c r="R244">
        <f>'Grid_Stock'!P24</f>
        <v/>
      </c>
      <c r="S244">
        <f>'Grid_Stock'!Q24</f>
        <v/>
      </c>
      <c r="T244">
        <f>'Grid_Stock'!R24</f>
        <v/>
      </c>
      <c r="U244">
        <f>'Grid_Stock'!S24</f>
        <v/>
      </c>
      <c r="V244">
        <f>'Grid_Stock'!T24</f>
        <v/>
      </c>
      <c r="W244">
        <f>'Grid_Stock'!U24</f>
        <v/>
      </c>
      <c r="X244">
        <f>'Grid_Stock'!V24</f>
        <v/>
      </c>
      <c r="Y244">
        <f>'Grid_Stock'!W24</f>
        <v/>
      </c>
      <c r="Z244">
        <f>'Grid_Stock'!X24</f>
        <v/>
      </c>
      <c r="AA244">
        <f>'Grid_Stock'!Y24</f>
        <v/>
      </c>
      <c r="AB244">
        <f>'Grid_Stock'!Z24</f>
        <v/>
      </c>
      <c r="AC244">
        <f>'Grid_Stock'!AA24</f>
        <v/>
      </c>
      <c r="AD244">
        <f>'Grid_Stock'!AB24</f>
        <v/>
      </c>
      <c r="AE244">
        <f>'Grid_Stock'!AC24</f>
        <v/>
      </c>
      <c r="AF244">
        <f>'Grid_Stock'!AD24</f>
        <v/>
      </c>
      <c r="AG244">
        <f>'Grid_Stock'!AE24</f>
        <v/>
      </c>
      <c r="AH244">
        <f>'Grid_Stock'!AF24</f>
        <v/>
      </c>
      <c r="AI244">
        <f>'Grid_Stock'!AG24</f>
        <v/>
      </c>
      <c r="AJ244">
        <f>'Grid_Stock'!AH24</f>
        <v/>
      </c>
      <c r="AK244">
        <f>'Grid_Stock'!AI24</f>
        <v/>
      </c>
      <c r="AL244">
        <f>'Grid_Stock'!AJ24</f>
        <v/>
      </c>
      <c r="AM244">
        <f>'Grid_Stock'!AK24</f>
        <v/>
      </c>
      <c r="AN244">
        <f>'Grid_Stock'!AL24</f>
        <v/>
      </c>
      <c r="AO244">
        <f>'Grid_Stock'!AM24</f>
        <v/>
      </c>
      <c r="AP244">
        <f>'Grid_Stock'!AN24</f>
        <v/>
      </c>
      <c r="AQ244">
        <f>'Grid_Stock'!AO24</f>
        <v/>
      </c>
      <c r="AR244">
        <f>'Grid_Stock'!AP24</f>
        <v/>
      </c>
      <c r="AS244">
        <f>'Grid_Stock'!AQ24</f>
        <v/>
      </c>
      <c r="AT244">
        <f>'Grid_Stock'!AR24</f>
        <v/>
      </c>
      <c r="AU244">
        <f>'Grid_Stock'!AS24</f>
        <v/>
      </c>
      <c r="AV244">
        <f>'Grid_Stock'!AT24</f>
        <v/>
      </c>
      <c r="AW244">
        <f>'Grid_Stock'!AU24</f>
        <v/>
      </c>
      <c r="AX244">
        <f>'Grid_Stock'!AV24</f>
        <v/>
      </c>
      <c r="AY244">
        <f>'Grid_Stock'!AW24</f>
        <v/>
      </c>
      <c r="AZ244">
        <f>'Grid_Stock'!AX24</f>
        <v/>
      </c>
      <c r="BA244">
        <f>'Grid_Stock'!AY24</f>
        <v/>
      </c>
      <c r="BB244">
        <f>'Grid_Stock'!AZ24</f>
        <v/>
      </c>
      <c r="BC244">
        <f>'Grid_Stock'!BA24</f>
        <v/>
      </c>
      <c r="BD244">
        <f>'Grid_Stock'!BB24</f>
        <v/>
      </c>
      <c r="BE244">
        <f>'Grid_Stock'!BC24</f>
        <v/>
      </c>
      <c r="BF244">
        <f>'Grid_Stock'!BD24</f>
        <v/>
      </c>
      <c r="BG244">
        <f>'Grid_Stock'!BE24</f>
        <v/>
      </c>
      <c r="BH244">
        <f>'Grid_Stock'!BF24</f>
        <v/>
      </c>
      <c r="BI244">
        <f>'Grid_Stock'!BG24</f>
        <v/>
      </c>
      <c r="BJ244">
        <f>'Grid_Stock'!BH24</f>
        <v/>
      </c>
      <c r="BK244">
        <f>'Grid_Stock'!BI24</f>
        <v/>
      </c>
      <c r="BL244">
        <f>'Grid_Stock'!BJ24</f>
        <v/>
      </c>
      <c r="BM244">
        <f>'Grid_Stock'!BK24</f>
        <v/>
      </c>
      <c r="BN244">
        <f>'Grid_Stock'!BL24</f>
        <v/>
      </c>
      <c r="BO244">
        <f>'Grid_Stock'!BM24</f>
        <v/>
      </c>
      <c r="BP244">
        <f>'Grid_Stock'!BN24</f>
        <v/>
      </c>
      <c r="BQ244">
        <f>'Grid_Stock'!BO24</f>
        <v/>
      </c>
      <c r="BR244">
        <f>'Grid_Stock'!BP24</f>
        <v/>
      </c>
      <c r="BS244">
        <f>'Grid_Stock'!BQ24</f>
        <v/>
      </c>
      <c r="BT244">
        <f>'Grid_Stock'!BR24</f>
        <v/>
      </c>
      <c r="BU244">
        <f>'Grid_Stock'!BS24</f>
        <v/>
      </c>
      <c r="BV244">
        <f>'Grid_Stock'!BT24</f>
        <v/>
      </c>
      <c r="BW244">
        <f>'Grid_Stock'!BU24</f>
        <v/>
      </c>
      <c r="BX244">
        <f>'Grid_Stock'!BV24</f>
        <v/>
      </c>
      <c r="BY244">
        <f>'Grid_Stock'!BW24</f>
        <v/>
      </c>
      <c r="BZ244">
        <f>'Grid_Stock'!BX24</f>
        <v/>
      </c>
      <c r="CA244">
        <f>'Grid_Stock'!BY24</f>
        <v/>
      </c>
      <c r="CB244">
        <f>'Grid_Stock'!BZ24</f>
        <v/>
      </c>
      <c r="CC244">
        <f>'Grid_Stock'!CA24</f>
        <v/>
      </c>
      <c r="CD244">
        <f>'Grid_Stock'!CB24</f>
        <v/>
      </c>
      <c r="CE244">
        <f>'Grid_Stock'!CC24</f>
        <v/>
      </c>
      <c r="CF244">
        <f>'Grid_Stock'!CD24</f>
        <v/>
      </c>
      <c r="CG244">
        <f>'Grid_Stock'!CE24</f>
        <v/>
      </c>
      <c r="CH244">
        <f>'Grid_Stock'!CF24</f>
        <v/>
      </c>
      <c r="CI244">
        <f>'Grid_Stock'!CG24</f>
        <v/>
      </c>
      <c r="CJ244">
        <f>'Grid_Stock'!CH24</f>
        <v/>
      </c>
      <c r="CK244">
        <f>'Grid_Stock'!CI24</f>
        <v/>
      </c>
      <c r="CL244">
        <f>'Grid_Stock'!CJ24</f>
        <v/>
      </c>
      <c r="CM244">
        <f>'Grid_Stock'!CK24</f>
        <v/>
      </c>
      <c r="CN244">
        <f>'Grid_Stock'!CL24</f>
        <v/>
      </c>
      <c r="CO244">
        <f>'Grid_Stock'!CM24</f>
        <v/>
      </c>
      <c r="CP244">
        <f>'Grid_Stock'!CN24</f>
        <v/>
      </c>
      <c r="CQ244">
        <f>'Grid_Stock'!CO24</f>
        <v/>
      </c>
      <c r="CR244">
        <f>'Grid_Stock'!CP24</f>
        <v/>
      </c>
      <c r="CS244">
        <f>'Grid_Stock'!CQ24</f>
        <v/>
      </c>
      <c r="CT244">
        <f>'Grid_Stock'!CR24</f>
        <v/>
      </c>
      <c r="CU244">
        <f>'Grid_Stock'!CS24</f>
        <v/>
      </c>
      <c r="CV244">
        <f>'Grid_Stock'!CT24</f>
        <v/>
      </c>
      <c r="CW244">
        <f>'Grid_Stock'!CU24</f>
        <v/>
      </c>
      <c r="CX244">
        <f>'Grid_Stock'!CV24</f>
        <v/>
      </c>
      <c r="CY244">
        <f>'Grid_Stock'!CW24</f>
        <v/>
      </c>
      <c r="CZ244">
        <f>'Grid_Stock'!CX24</f>
        <v/>
      </c>
      <c r="DA244">
        <f>'Grid_Stock'!CY24</f>
        <v/>
      </c>
      <c r="DB244">
        <f>'Grid_Stock'!CZ24</f>
        <v/>
      </c>
      <c r="DC244">
        <f>'Grid_Stock'!DA24</f>
        <v/>
      </c>
    </row>
    <row r="245">
      <c r="B245" s="23" t="inlineStr">
        <is>
          <t>（発注の目安はDashboardの基準在庫[下限/上限]と色分けを参照）</t>
        </is>
      </c>
    </row>
    <row r="247">
      <c r="A247" s="21" t="inlineStr">
        <is>
          <t>CHEM-1510</t>
        </is>
      </c>
      <c r="B247" s="21" t="inlineStr">
        <is>
          <t>BA-070</t>
        </is>
      </c>
      <c r="C247" s="22" t="n"/>
      <c r="D247" s="21" t="n"/>
      <c r="E247" s="21" t="n"/>
      <c r="F247" s="21" t="n"/>
      <c r="G247" s="21" t="n"/>
      <c r="H247" s="2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  <c r="AA247" s="21" t="n"/>
      <c r="AB247" s="21" t="n"/>
      <c r="AC247" s="21" t="n"/>
      <c r="AD247" s="21" t="n"/>
      <c r="AE247" s="21" t="n"/>
      <c r="AF247" s="21" t="n"/>
      <c r="AG247" s="21" t="n"/>
      <c r="AH247" s="21" t="n"/>
      <c r="AI247" s="21" t="n"/>
      <c r="AJ247" s="21" t="n"/>
      <c r="AK247" s="21" t="n"/>
      <c r="AL247" s="21" t="n"/>
      <c r="AM247" s="21" t="n"/>
      <c r="AN247" s="21" t="n"/>
      <c r="AO247" s="21" t="n"/>
      <c r="AP247" s="21" t="n"/>
      <c r="AQ247" s="21" t="n"/>
      <c r="AR247" s="21" t="n"/>
      <c r="AS247" s="21" t="n"/>
      <c r="AT247" s="21" t="n"/>
      <c r="AU247" s="21" t="n"/>
      <c r="AV247" s="21" t="n"/>
      <c r="AW247" s="21" t="n"/>
      <c r="AX247" s="21" t="n"/>
      <c r="AY247" s="21" t="n"/>
      <c r="AZ247" s="21" t="n"/>
      <c r="BA247" s="21" t="n"/>
      <c r="BB247" s="21" t="n"/>
      <c r="BC247" s="21" t="n"/>
      <c r="BD247" s="21" t="n"/>
      <c r="BE247" s="21" t="n"/>
      <c r="BF247" s="21" t="n"/>
      <c r="BG247" s="21" t="n"/>
      <c r="BH247" s="21" t="n"/>
      <c r="BI247" s="21" t="n"/>
      <c r="BJ247" s="21" t="n"/>
      <c r="BK247" s="21" t="n"/>
      <c r="BL247" s="21" t="n"/>
      <c r="BM247" s="21" t="n"/>
      <c r="BN247" s="21" t="n"/>
      <c r="BO247" s="21" t="n"/>
      <c r="BP247" s="21" t="n"/>
      <c r="BQ247" s="21" t="n"/>
      <c r="BR247" s="21" t="n"/>
      <c r="BS247" s="21" t="n"/>
      <c r="BT247" s="21" t="n"/>
      <c r="BU247" s="21" t="n"/>
      <c r="BV247" s="21" t="n"/>
      <c r="BW247" s="21" t="n"/>
      <c r="BX247" s="21" t="n"/>
      <c r="BY247" s="21" t="n"/>
      <c r="BZ247" s="21" t="n"/>
      <c r="CA247" s="21" t="n"/>
      <c r="CB247" s="21" t="n"/>
      <c r="CC247" s="21" t="n"/>
      <c r="CD247" s="21" t="n"/>
      <c r="CE247" s="21" t="n"/>
      <c r="CF247" s="21" t="n"/>
      <c r="CG247" s="21" t="n"/>
      <c r="CH247" s="21" t="n"/>
      <c r="CI247" s="21" t="n"/>
      <c r="CJ247" s="21" t="n"/>
      <c r="CK247" s="21" t="n"/>
      <c r="CL247" s="21" t="n"/>
      <c r="CM247" s="21" t="n"/>
      <c r="CN247" s="21" t="n"/>
      <c r="CO247" s="21" t="n"/>
      <c r="CP247" s="21" t="n"/>
      <c r="CQ247" s="21" t="n"/>
      <c r="CR247" s="21" t="n"/>
      <c r="CS247" s="21" t="n"/>
      <c r="CT247" s="21" t="n"/>
      <c r="CU247" s="21" t="n"/>
      <c r="CV247" s="21" t="n"/>
      <c r="CW247" s="21" t="n"/>
      <c r="CX247" s="21" t="n"/>
      <c r="CY247" s="21" t="n"/>
      <c r="CZ247" s="21" t="n"/>
      <c r="DA247" s="21" t="n"/>
      <c r="DB247" s="21" t="n"/>
      <c r="DC247" s="21" t="n"/>
    </row>
    <row r="248">
      <c r="B248" t="inlineStr">
        <is>
          <t>TSP-1388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12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Name],$A247)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TSP-360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12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Name],$A247)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TSP-367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12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Name],$A247)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TSP-544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12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Name],$A247)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TSP-618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12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Name],$A247)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TSP-710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12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Name],$A247)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TSP-924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12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Name],$A247)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TSP-925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12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Name],$A247)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TSZ-616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12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Name],$A247)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VSP-820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12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Name],$A247)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VSP-989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12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Name],$A247)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s="5" t="inlineStr">
        <is>
          <t>合計使用量(kg)/週</t>
        </is>
      </c>
      <c r="D270">
        <f>'Grid_Requirement'!B25</f>
        <v/>
      </c>
      <c r="E270">
        <f>'Grid_Requirement'!C25</f>
        <v/>
      </c>
      <c r="F270">
        <f>'Grid_Requirement'!D25</f>
        <v/>
      </c>
      <c r="G270">
        <f>'Grid_Requirement'!E25</f>
        <v/>
      </c>
      <c r="H270">
        <f>'Grid_Requirement'!F25</f>
        <v/>
      </c>
      <c r="I270">
        <f>'Grid_Requirement'!G25</f>
        <v/>
      </c>
      <c r="J270">
        <f>'Grid_Requirement'!H25</f>
        <v/>
      </c>
      <c r="K270">
        <f>'Grid_Requirement'!I25</f>
        <v/>
      </c>
      <c r="L270">
        <f>'Grid_Requirement'!J25</f>
        <v/>
      </c>
      <c r="M270">
        <f>'Grid_Requirement'!K25</f>
        <v/>
      </c>
      <c r="N270">
        <f>'Grid_Requirement'!L25</f>
        <v/>
      </c>
      <c r="O270">
        <f>'Grid_Requirement'!M25</f>
        <v/>
      </c>
      <c r="P270">
        <f>'Grid_Requirement'!N25</f>
        <v/>
      </c>
      <c r="Q270">
        <f>'Grid_Requirement'!O25</f>
        <v/>
      </c>
      <c r="R270">
        <f>'Grid_Requirement'!P25</f>
        <v/>
      </c>
      <c r="S270">
        <f>'Grid_Requirement'!Q25</f>
        <v/>
      </c>
      <c r="T270">
        <f>'Grid_Requirement'!R25</f>
        <v/>
      </c>
      <c r="U270">
        <f>'Grid_Requirement'!S25</f>
        <v/>
      </c>
      <c r="V270">
        <f>'Grid_Requirement'!T25</f>
        <v/>
      </c>
      <c r="W270">
        <f>'Grid_Requirement'!U25</f>
        <v/>
      </c>
      <c r="X270">
        <f>'Grid_Requirement'!V25</f>
        <v/>
      </c>
      <c r="Y270">
        <f>'Grid_Requirement'!W25</f>
        <v/>
      </c>
      <c r="Z270">
        <f>'Grid_Requirement'!X25</f>
        <v/>
      </c>
      <c r="AA270">
        <f>'Grid_Requirement'!Y25</f>
        <v/>
      </c>
      <c r="AB270">
        <f>'Grid_Requirement'!Z25</f>
        <v/>
      </c>
      <c r="AC270">
        <f>'Grid_Requirement'!AA25</f>
        <v/>
      </c>
      <c r="AD270">
        <f>'Grid_Requirement'!AB25</f>
        <v/>
      </c>
      <c r="AE270">
        <f>'Grid_Requirement'!AC25</f>
        <v/>
      </c>
      <c r="AF270">
        <f>'Grid_Requirement'!AD25</f>
        <v/>
      </c>
      <c r="AG270">
        <f>'Grid_Requirement'!AE25</f>
        <v/>
      </c>
      <c r="AH270">
        <f>'Grid_Requirement'!AF25</f>
        <v/>
      </c>
      <c r="AI270">
        <f>'Grid_Requirement'!AG25</f>
        <v/>
      </c>
      <c r="AJ270">
        <f>'Grid_Requirement'!AH25</f>
        <v/>
      </c>
      <c r="AK270">
        <f>'Grid_Requirement'!AI25</f>
        <v/>
      </c>
      <c r="AL270">
        <f>'Grid_Requirement'!AJ25</f>
        <v/>
      </c>
      <c r="AM270">
        <f>'Grid_Requirement'!AK25</f>
        <v/>
      </c>
      <c r="AN270">
        <f>'Grid_Requirement'!AL25</f>
        <v/>
      </c>
      <c r="AO270">
        <f>'Grid_Requirement'!AM25</f>
        <v/>
      </c>
      <c r="AP270">
        <f>'Grid_Requirement'!AN25</f>
        <v/>
      </c>
      <c r="AQ270">
        <f>'Grid_Requirement'!AO25</f>
        <v/>
      </c>
      <c r="AR270">
        <f>'Grid_Requirement'!AP25</f>
        <v/>
      </c>
      <c r="AS270">
        <f>'Grid_Requirement'!AQ25</f>
        <v/>
      </c>
      <c r="AT270">
        <f>'Grid_Requirement'!AR25</f>
        <v/>
      </c>
      <c r="AU270">
        <f>'Grid_Requirement'!AS25</f>
        <v/>
      </c>
      <c r="AV270">
        <f>'Grid_Requirement'!AT25</f>
        <v/>
      </c>
      <c r="AW270">
        <f>'Grid_Requirement'!AU25</f>
        <v/>
      </c>
      <c r="AX270">
        <f>'Grid_Requirement'!AV25</f>
        <v/>
      </c>
      <c r="AY270">
        <f>'Grid_Requirement'!AW25</f>
        <v/>
      </c>
      <c r="AZ270">
        <f>'Grid_Requirement'!AX25</f>
        <v/>
      </c>
      <c r="BA270">
        <f>'Grid_Requirement'!AY25</f>
        <v/>
      </c>
      <c r="BB270">
        <f>'Grid_Requirement'!AZ25</f>
        <v/>
      </c>
      <c r="BC270">
        <f>'Grid_Requirement'!BA25</f>
        <v/>
      </c>
      <c r="BD270">
        <f>'Grid_Requirement'!BB25</f>
        <v/>
      </c>
      <c r="BE270">
        <f>'Grid_Requirement'!BC25</f>
        <v/>
      </c>
      <c r="BF270">
        <f>'Grid_Requirement'!BD25</f>
        <v/>
      </c>
      <c r="BG270">
        <f>'Grid_Requirement'!BE25</f>
        <v/>
      </c>
      <c r="BH270">
        <f>'Grid_Requirement'!BF25</f>
        <v/>
      </c>
      <c r="BI270">
        <f>'Grid_Requirement'!BG25</f>
        <v/>
      </c>
      <c r="BJ270">
        <f>'Grid_Requirement'!BH25</f>
        <v/>
      </c>
      <c r="BK270">
        <f>'Grid_Requirement'!BI25</f>
        <v/>
      </c>
      <c r="BL270">
        <f>'Grid_Requirement'!BJ25</f>
        <v/>
      </c>
      <c r="BM270">
        <f>'Grid_Requirement'!BK25</f>
        <v/>
      </c>
      <c r="BN270">
        <f>'Grid_Requirement'!BL25</f>
        <v/>
      </c>
      <c r="BO270">
        <f>'Grid_Requirement'!BM25</f>
        <v/>
      </c>
      <c r="BP270">
        <f>'Grid_Requirement'!BN25</f>
        <v/>
      </c>
      <c r="BQ270">
        <f>'Grid_Requirement'!BO25</f>
        <v/>
      </c>
      <c r="BR270">
        <f>'Grid_Requirement'!BP25</f>
        <v/>
      </c>
      <c r="BS270">
        <f>'Grid_Requirement'!BQ25</f>
        <v/>
      </c>
      <c r="BT270">
        <f>'Grid_Requirement'!BR25</f>
        <v/>
      </c>
      <c r="BU270">
        <f>'Grid_Requirement'!BS25</f>
        <v/>
      </c>
      <c r="BV270">
        <f>'Grid_Requirement'!BT25</f>
        <v/>
      </c>
      <c r="BW270">
        <f>'Grid_Requirement'!BU25</f>
        <v/>
      </c>
      <c r="BX270">
        <f>'Grid_Requirement'!BV25</f>
        <v/>
      </c>
      <c r="BY270">
        <f>'Grid_Requirement'!BW25</f>
        <v/>
      </c>
      <c r="BZ270">
        <f>'Grid_Requirement'!BX25</f>
        <v/>
      </c>
      <c r="CA270">
        <f>'Grid_Requirement'!BY25</f>
        <v/>
      </c>
      <c r="CB270">
        <f>'Grid_Requirement'!BZ25</f>
        <v/>
      </c>
      <c r="CC270">
        <f>'Grid_Requirement'!CA25</f>
        <v/>
      </c>
      <c r="CD270">
        <f>'Grid_Requirement'!CB25</f>
        <v/>
      </c>
      <c r="CE270">
        <f>'Grid_Requirement'!CC25</f>
        <v/>
      </c>
      <c r="CF270">
        <f>'Grid_Requirement'!CD25</f>
        <v/>
      </c>
      <c r="CG270">
        <f>'Grid_Requirement'!CE25</f>
        <v/>
      </c>
      <c r="CH270">
        <f>'Grid_Requirement'!CF25</f>
        <v/>
      </c>
      <c r="CI270">
        <f>'Grid_Requirement'!CG25</f>
        <v/>
      </c>
      <c r="CJ270">
        <f>'Grid_Requirement'!CH25</f>
        <v/>
      </c>
      <c r="CK270">
        <f>'Grid_Requirement'!CI25</f>
        <v/>
      </c>
      <c r="CL270">
        <f>'Grid_Requirement'!CJ25</f>
        <v/>
      </c>
      <c r="CM270">
        <f>'Grid_Requirement'!CK25</f>
        <v/>
      </c>
      <c r="CN270">
        <f>'Grid_Requirement'!CL25</f>
        <v/>
      </c>
      <c r="CO270">
        <f>'Grid_Requirement'!CM25</f>
        <v/>
      </c>
      <c r="CP270">
        <f>'Grid_Requirement'!CN25</f>
        <v/>
      </c>
      <c r="CQ270">
        <f>'Grid_Requirement'!CO25</f>
        <v/>
      </c>
      <c r="CR270">
        <f>'Grid_Requirement'!CP25</f>
        <v/>
      </c>
      <c r="CS270">
        <f>'Grid_Requirement'!CQ25</f>
        <v/>
      </c>
      <c r="CT270">
        <f>'Grid_Requirement'!CR25</f>
        <v/>
      </c>
      <c r="CU270">
        <f>'Grid_Requirement'!CS25</f>
        <v/>
      </c>
      <c r="CV270">
        <f>'Grid_Requirement'!CT25</f>
        <v/>
      </c>
      <c r="CW270">
        <f>'Grid_Requirement'!CU25</f>
        <v/>
      </c>
      <c r="CX270">
        <f>'Grid_Requirement'!CV25</f>
        <v/>
      </c>
      <c r="CY270">
        <f>'Grid_Requirement'!CW25</f>
        <v/>
      </c>
      <c r="CZ270">
        <f>'Grid_Requirement'!CX25</f>
        <v/>
      </c>
      <c r="DA270">
        <f>'Grid_Requirement'!CY25</f>
        <v/>
      </c>
      <c r="DB270">
        <f>'Grid_Requirement'!CZ25</f>
        <v/>
      </c>
      <c r="DC270">
        <f>'Grid_Requirement'!DA25</f>
        <v/>
      </c>
    </row>
    <row r="271">
      <c r="B271" t="inlineStr">
        <is>
          <t>TTAF在庫(実績,kg)</t>
        </is>
      </c>
      <c r="D271">
        <f>'T_TTAFStock'!B29</f>
        <v/>
      </c>
      <c r="E271">
        <f>'T_TTAFStock'!C29</f>
        <v/>
      </c>
      <c r="F271">
        <f>'T_TTAFStock'!D29</f>
        <v/>
      </c>
      <c r="G271">
        <f>'T_TTAFStock'!E29</f>
        <v/>
      </c>
      <c r="H271">
        <f>'T_TTAFStock'!F29</f>
        <v/>
      </c>
      <c r="I271">
        <f>'T_TTAFStock'!G29</f>
        <v/>
      </c>
      <c r="J271">
        <f>'T_TTAFStock'!H29</f>
        <v/>
      </c>
      <c r="K271">
        <f>'T_TTAFStock'!I29</f>
        <v/>
      </c>
      <c r="L271">
        <f>'T_TTAFStock'!J29</f>
        <v/>
      </c>
      <c r="M271">
        <f>'T_TTAFStock'!K29</f>
        <v/>
      </c>
      <c r="N271">
        <f>'T_TTAFStock'!L29</f>
        <v/>
      </c>
      <c r="O271">
        <f>'T_TTAFStock'!M29</f>
        <v/>
      </c>
      <c r="P271">
        <f>'T_TTAFStock'!N29</f>
        <v/>
      </c>
      <c r="Q271">
        <f>'T_TTAFStock'!O29</f>
        <v/>
      </c>
      <c r="R271">
        <f>'T_TTAFStock'!P29</f>
        <v/>
      </c>
      <c r="S271">
        <f>'T_TTAFStock'!Q29</f>
        <v/>
      </c>
      <c r="T271">
        <f>'T_TTAFStock'!R29</f>
        <v/>
      </c>
      <c r="U271">
        <f>'T_TTAFStock'!S29</f>
        <v/>
      </c>
      <c r="V271">
        <f>'T_TTAFStock'!T29</f>
        <v/>
      </c>
      <c r="W271">
        <f>'T_TTAFStock'!U29</f>
        <v/>
      </c>
      <c r="X271">
        <f>'T_TTAFStock'!V29</f>
        <v/>
      </c>
      <c r="Y271">
        <f>'T_TTAFStock'!W29</f>
        <v/>
      </c>
      <c r="Z271">
        <f>'T_TTAFStock'!X29</f>
        <v/>
      </c>
      <c r="AA271">
        <f>'T_TTAFStock'!Y29</f>
        <v/>
      </c>
      <c r="AB271">
        <f>'T_TTAFStock'!Z29</f>
        <v/>
      </c>
      <c r="AC271">
        <f>'T_TTAFStock'!AA29</f>
        <v/>
      </c>
      <c r="AD271">
        <f>'T_TTAFStock'!AB29</f>
        <v/>
      </c>
      <c r="AE271">
        <f>'T_TTAFStock'!AC29</f>
        <v/>
      </c>
      <c r="AF271">
        <f>'T_TTAFStock'!AD29</f>
        <v/>
      </c>
      <c r="AG271">
        <f>'T_TTAFStock'!AE29</f>
        <v/>
      </c>
      <c r="AH271">
        <f>'T_TTAFStock'!AF29</f>
        <v/>
      </c>
      <c r="AI271">
        <f>'T_TTAFStock'!AG29</f>
        <v/>
      </c>
      <c r="AJ271">
        <f>'T_TTAFStock'!AH29</f>
        <v/>
      </c>
      <c r="AK271">
        <f>'T_TTAFStock'!AI29</f>
        <v/>
      </c>
      <c r="AL271">
        <f>'T_TTAFStock'!AJ29</f>
        <v/>
      </c>
      <c r="AM271">
        <f>'T_TTAFStock'!AK29</f>
        <v/>
      </c>
      <c r="AN271">
        <f>'T_TTAFStock'!AL29</f>
        <v/>
      </c>
      <c r="AO271">
        <f>'T_TTAFStock'!AM29</f>
        <v/>
      </c>
      <c r="AP271">
        <f>'T_TTAFStock'!AN29</f>
        <v/>
      </c>
      <c r="AQ271">
        <f>'T_TTAFStock'!AO29</f>
        <v/>
      </c>
      <c r="AR271">
        <f>'T_TTAFStock'!AP29</f>
        <v/>
      </c>
      <c r="AS271">
        <f>'T_TTAFStock'!AQ29</f>
        <v/>
      </c>
      <c r="AT271">
        <f>'T_TTAFStock'!AR29</f>
        <v/>
      </c>
      <c r="AU271">
        <f>'T_TTAFStock'!AS29</f>
        <v/>
      </c>
      <c r="AV271">
        <f>'T_TTAFStock'!AT29</f>
        <v/>
      </c>
      <c r="AW271">
        <f>'T_TTAFStock'!AU29</f>
        <v/>
      </c>
      <c r="AX271">
        <f>'T_TTAFStock'!AV29</f>
        <v/>
      </c>
      <c r="AY271">
        <f>'T_TTAFStock'!AW29</f>
        <v/>
      </c>
      <c r="AZ271">
        <f>'T_TTAFStock'!AX29</f>
        <v/>
      </c>
      <c r="BA271">
        <f>'T_TTAFStock'!AY29</f>
        <v/>
      </c>
      <c r="BB271">
        <f>'T_TTAFStock'!AZ29</f>
        <v/>
      </c>
      <c r="BC271">
        <f>'T_TTAFStock'!BA29</f>
        <v/>
      </c>
      <c r="BD271">
        <f>'T_TTAFStock'!BB29</f>
        <v/>
      </c>
      <c r="BE271">
        <f>'T_TTAFStock'!BC29</f>
        <v/>
      </c>
      <c r="BF271">
        <f>'T_TTAFStock'!BD29</f>
        <v/>
      </c>
      <c r="BG271">
        <f>'T_TTAFStock'!BE29</f>
        <v/>
      </c>
      <c r="BH271">
        <f>'T_TTAFStock'!BF29</f>
        <v/>
      </c>
      <c r="BI271">
        <f>'T_TTAFStock'!BG29</f>
        <v/>
      </c>
      <c r="BJ271">
        <f>'T_TTAFStock'!BH29</f>
        <v/>
      </c>
      <c r="BK271">
        <f>'T_TTAFStock'!BI29</f>
        <v/>
      </c>
      <c r="BL271">
        <f>'T_TTAFStock'!BJ29</f>
        <v/>
      </c>
      <c r="BM271">
        <f>'T_TTAFStock'!BK29</f>
        <v/>
      </c>
      <c r="BN271">
        <f>'T_TTAFStock'!BL29</f>
        <v/>
      </c>
      <c r="BO271">
        <f>'T_TTAFStock'!BM29</f>
        <v/>
      </c>
      <c r="BP271">
        <f>'T_TTAFStock'!BN29</f>
        <v/>
      </c>
      <c r="BQ271">
        <f>'T_TTAFStock'!BO29</f>
        <v/>
      </c>
      <c r="BR271">
        <f>'T_TTAFStock'!BP29</f>
        <v/>
      </c>
      <c r="BS271">
        <f>'T_TTAFStock'!BQ29</f>
        <v/>
      </c>
      <c r="BT271">
        <f>'T_TTAFStock'!BR29</f>
        <v/>
      </c>
      <c r="BU271">
        <f>'T_TTAFStock'!BS29</f>
        <v/>
      </c>
      <c r="BV271">
        <f>'T_TTAFStock'!BT29</f>
        <v/>
      </c>
      <c r="BW271">
        <f>'T_TTAFStock'!BU29</f>
        <v/>
      </c>
      <c r="BX271">
        <f>'T_TTAFStock'!BV29</f>
        <v/>
      </c>
      <c r="BY271">
        <f>'T_TTAFStock'!BW29</f>
        <v/>
      </c>
      <c r="BZ271">
        <f>'T_TTAFStock'!BX29</f>
        <v/>
      </c>
      <c r="CA271">
        <f>'T_TTAFStock'!BY29</f>
        <v/>
      </c>
      <c r="CB271">
        <f>'T_TTAFStock'!BZ29</f>
        <v/>
      </c>
      <c r="CC271">
        <f>'T_TTAFStock'!CA29</f>
        <v/>
      </c>
      <c r="CD271">
        <f>'T_TTAFStock'!CB29</f>
        <v/>
      </c>
      <c r="CE271">
        <f>'T_TTAFStock'!CC29</f>
        <v/>
      </c>
      <c r="CF271">
        <f>'T_TTAFStock'!CD29</f>
        <v/>
      </c>
      <c r="CG271">
        <f>'T_TTAFStock'!CE29</f>
        <v/>
      </c>
      <c r="CH271">
        <f>'T_TTAFStock'!CF29</f>
        <v/>
      </c>
      <c r="CI271">
        <f>'T_TTAFStock'!CG29</f>
        <v/>
      </c>
      <c r="CJ271">
        <f>'T_TTAFStock'!CH29</f>
        <v/>
      </c>
      <c r="CK271">
        <f>'T_TTAFStock'!CI29</f>
        <v/>
      </c>
      <c r="CL271">
        <f>'T_TTAFStock'!CJ29</f>
        <v/>
      </c>
      <c r="CM271">
        <f>'T_TTAFStock'!CK29</f>
        <v/>
      </c>
      <c r="CN271">
        <f>'T_TTAFStock'!CL29</f>
        <v/>
      </c>
      <c r="CO271">
        <f>'T_TTAFStock'!CM29</f>
        <v/>
      </c>
      <c r="CP271">
        <f>'T_TTAFStock'!CN29</f>
        <v/>
      </c>
      <c r="CQ271">
        <f>'T_TTAFStock'!CO29</f>
        <v/>
      </c>
      <c r="CR271">
        <f>'T_TTAFStock'!CP29</f>
        <v/>
      </c>
      <c r="CS271">
        <f>'T_TTAFStock'!CQ29</f>
        <v/>
      </c>
      <c r="CT271">
        <f>'T_TTAFStock'!CR29</f>
        <v/>
      </c>
      <c r="CU271">
        <f>'T_TTAFStock'!CS29</f>
        <v/>
      </c>
      <c r="CV271">
        <f>'T_TTAFStock'!CT29</f>
        <v/>
      </c>
      <c r="CW271">
        <f>'T_TTAFStock'!CU29</f>
        <v/>
      </c>
      <c r="CX271">
        <f>'T_TTAFStock'!CV29</f>
        <v/>
      </c>
      <c r="CY271">
        <f>'T_TTAFStock'!CW29</f>
        <v/>
      </c>
      <c r="CZ271">
        <f>'T_TTAFStock'!CX29</f>
        <v/>
      </c>
      <c r="DA271">
        <f>'T_TTAFStock'!CY29</f>
        <v/>
      </c>
      <c r="DB271">
        <f>'T_TTAFStock'!CZ29</f>
        <v/>
      </c>
      <c r="DC271">
        <f>'T_TTAFStock'!DA29</f>
        <v/>
      </c>
    </row>
    <row r="272">
      <c r="B272" t="inlineStr">
        <is>
          <t>自社在庫(実績,kg)</t>
        </is>
      </c>
      <c r="D272">
        <f>'T_SelfStock'!B29</f>
        <v/>
      </c>
      <c r="E272">
        <f>'T_SelfStock'!C29</f>
        <v/>
      </c>
      <c r="F272">
        <f>'T_SelfStock'!D29</f>
        <v/>
      </c>
      <c r="G272">
        <f>'T_SelfStock'!E29</f>
        <v/>
      </c>
      <c r="H272">
        <f>'T_SelfStock'!F29</f>
        <v/>
      </c>
      <c r="I272">
        <f>'T_SelfStock'!G29</f>
        <v/>
      </c>
      <c r="J272">
        <f>'T_SelfStock'!H29</f>
        <v/>
      </c>
      <c r="K272">
        <f>'T_SelfStock'!I29</f>
        <v/>
      </c>
      <c r="L272">
        <f>'T_SelfStock'!J29</f>
        <v/>
      </c>
      <c r="M272">
        <f>'T_SelfStock'!K29</f>
        <v/>
      </c>
      <c r="N272">
        <f>'T_SelfStock'!L29</f>
        <v/>
      </c>
      <c r="O272">
        <f>'T_SelfStock'!M29</f>
        <v/>
      </c>
      <c r="P272">
        <f>'T_SelfStock'!N29</f>
        <v/>
      </c>
      <c r="Q272">
        <f>'T_SelfStock'!O29</f>
        <v/>
      </c>
      <c r="R272">
        <f>'T_SelfStock'!P29</f>
        <v/>
      </c>
      <c r="S272">
        <f>'T_SelfStock'!Q29</f>
        <v/>
      </c>
      <c r="T272">
        <f>'T_SelfStock'!R29</f>
        <v/>
      </c>
      <c r="U272">
        <f>'T_SelfStock'!S29</f>
        <v/>
      </c>
      <c r="V272">
        <f>'T_SelfStock'!T29</f>
        <v/>
      </c>
      <c r="W272">
        <f>'T_SelfStock'!U29</f>
        <v/>
      </c>
      <c r="X272">
        <f>'T_SelfStock'!V29</f>
        <v/>
      </c>
      <c r="Y272">
        <f>'T_SelfStock'!W29</f>
        <v/>
      </c>
      <c r="Z272">
        <f>'T_SelfStock'!X29</f>
        <v/>
      </c>
      <c r="AA272">
        <f>'T_SelfStock'!Y29</f>
        <v/>
      </c>
      <c r="AB272">
        <f>'T_SelfStock'!Z29</f>
        <v/>
      </c>
      <c r="AC272">
        <f>'T_SelfStock'!AA29</f>
        <v/>
      </c>
      <c r="AD272">
        <f>'T_SelfStock'!AB29</f>
        <v/>
      </c>
      <c r="AE272">
        <f>'T_SelfStock'!AC29</f>
        <v/>
      </c>
      <c r="AF272">
        <f>'T_SelfStock'!AD29</f>
        <v/>
      </c>
      <c r="AG272">
        <f>'T_SelfStock'!AE29</f>
        <v/>
      </c>
      <c r="AH272">
        <f>'T_SelfStock'!AF29</f>
        <v/>
      </c>
      <c r="AI272">
        <f>'T_SelfStock'!AG29</f>
        <v/>
      </c>
      <c r="AJ272">
        <f>'T_SelfStock'!AH29</f>
        <v/>
      </c>
      <c r="AK272">
        <f>'T_SelfStock'!AI29</f>
        <v/>
      </c>
      <c r="AL272">
        <f>'T_SelfStock'!AJ29</f>
        <v/>
      </c>
      <c r="AM272">
        <f>'T_SelfStock'!AK29</f>
        <v/>
      </c>
      <c r="AN272">
        <f>'T_SelfStock'!AL29</f>
        <v/>
      </c>
      <c r="AO272">
        <f>'T_SelfStock'!AM29</f>
        <v/>
      </c>
      <c r="AP272">
        <f>'T_SelfStock'!AN29</f>
        <v/>
      </c>
      <c r="AQ272">
        <f>'T_SelfStock'!AO29</f>
        <v/>
      </c>
      <c r="AR272">
        <f>'T_SelfStock'!AP29</f>
        <v/>
      </c>
      <c r="AS272">
        <f>'T_SelfStock'!AQ29</f>
        <v/>
      </c>
      <c r="AT272">
        <f>'T_SelfStock'!AR29</f>
        <v/>
      </c>
      <c r="AU272">
        <f>'T_SelfStock'!AS29</f>
        <v/>
      </c>
      <c r="AV272">
        <f>'T_SelfStock'!AT29</f>
        <v/>
      </c>
      <c r="AW272">
        <f>'T_SelfStock'!AU29</f>
        <v/>
      </c>
      <c r="AX272">
        <f>'T_SelfStock'!AV29</f>
        <v/>
      </c>
      <c r="AY272">
        <f>'T_SelfStock'!AW29</f>
        <v/>
      </c>
      <c r="AZ272">
        <f>'T_SelfStock'!AX29</f>
        <v/>
      </c>
      <c r="BA272">
        <f>'T_SelfStock'!AY29</f>
        <v/>
      </c>
      <c r="BB272">
        <f>'T_SelfStock'!AZ29</f>
        <v/>
      </c>
      <c r="BC272">
        <f>'T_SelfStock'!BA29</f>
        <v/>
      </c>
      <c r="BD272">
        <f>'T_SelfStock'!BB29</f>
        <v/>
      </c>
      <c r="BE272">
        <f>'T_SelfStock'!BC29</f>
        <v/>
      </c>
      <c r="BF272">
        <f>'T_SelfStock'!BD29</f>
        <v/>
      </c>
      <c r="BG272">
        <f>'T_SelfStock'!BE29</f>
        <v/>
      </c>
      <c r="BH272">
        <f>'T_SelfStock'!BF29</f>
        <v/>
      </c>
      <c r="BI272">
        <f>'T_SelfStock'!BG29</f>
        <v/>
      </c>
      <c r="BJ272">
        <f>'T_SelfStock'!BH29</f>
        <v/>
      </c>
      <c r="BK272">
        <f>'T_SelfStock'!BI29</f>
        <v/>
      </c>
      <c r="BL272">
        <f>'T_SelfStock'!BJ29</f>
        <v/>
      </c>
      <c r="BM272">
        <f>'T_SelfStock'!BK29</f>
        <v/>
      </c>
      <c r="BN272">
        <f>'T_SelfStock'!BL29</f>
        <v/>
      </c>
      <c r="BO272">
        <f>'T_SelfStock'!BM29</f>
        <v/>
      </c>
      <c r="BP272">
        <f>'T_SelfStock'!BN29</f>
        <v/>
      </c>
      <c r="BQ272">
        <f>'T_SelfStock'!BO29</f>
        <v/>
      </c>
      <c r="BR272">
        <f>'T_SelfStock'!BP29</f>
        <v/>
      </c>
      <c r="BS272">
        <f>'T_SelfStock'!BQ29</f>
        <v/>
      </c>
      <c r="BT272">
        <f>'T_SelfStock'!BR29</f>
        <v/>
      </c>
      <c r="BU272">
        <f>'T_SelfStock'!BS29</f>
        <v/>
      </c>
      <c r="BV272">
        <f>'T_SelfStock'!BT29</f>
        <v/>
      </c>
      <c r="BW272">
        <f>'T_SelfStock'!BU29</f>
        <v/>
      </c>
      <c r="BX272">
        <f>'T_SelfStock'!BV29</f>
        <v/>
      </c>
      <c r="BY272">
        <f>'T_SelfStock'!BW29</f>
        <v/>
      </c>
      <c r="BZ272">
        <f>'T_SelfStock'!BX29</f>
        <v/>
      </c>
      <c r="CA272">
        <f>'T_SelfStock'!BY29</f>
        <v/>
      </c>
      <c r="CB272">
        <f>'T_SelfStock'!BZ29</f>
        <v/>
      </c>
      <c r="CC272">
        <f>'T_SelfStock'!CA29</f>
        <v/>
      </c>
      <c r="CD272">
        <f>'T_SelfStock'!CB29</f>
        <v/>
      </c>
      <c r="CE272">
        <f>'T_SelfStock'!CC29</f>
        <v/>
      </c>
      <c r="CF272">
        <f>'T_SelfStock'!CD29</f>
        <v/>
      </c>
      <c r="CG272">
        <f>'T_SelfStock'!CE29</f>
        <v/>
      </c>
      <c r="CH272">
        <f>'T_SelfStock'!CF29</f>
        <v/>
      </c>
      <c r="CI272">
        <f>'T_SelfStock'!CG29</f>
        <v/>
      </c>
      <c r="CJ272">
        <f>'T_SelfStock'!CH29</f>
        <v/>
      </c>
      <c r="CK272">
        <f>'T_SelfStock'!CI29</f>
        <v/>
      </c>
      <c r="CL272">
        <f>'T_SelfStock'!CJ29</f>
        <v/>
      </c>
      <c r="CM272">
        <f>'T_SelfStock'!CK29</f>
        <v/>
      </c>
      <c r="CN272">
        <f>'T_SelfStock'!CL29</f>
        <v/>
      </c>
      <c r="CO272">
        <f>'T_SelfStock'!CM29</f>
        <v/>
      </c>
      <c r="CP272">
        <f>'T_SelfStock'!CN29</f>
        <v/>
      </c>
      <c r="CQ272">
        <f>'T_SelfStock'!CO29</f>
        <v/>
      </c>
      <c r="CR272">
        <f>'T_SelfStock'!CP29</f>
        <v/>
      </c>
      <c r="CS272">
        <f>'T_SelfStock'!CQ29</f>
        <v/>
      </c>
      <c r="CT272">
        <f>'T_SelfStock'!CR29</f>
        <v/>
      </c>
      <c r="CU272">
        <f>'T_SelfStock'!CS29</f>
        <v/>
      </c>
      <c r="CV272">
        <f>'T_SelfStock'!CT29</f>
        <v/>
      </c>
      <c r="CW272">
        <f>'T_SelfStock'!CU29</f>
        <v/>
      </c>
      <c r="CX272">
        <f>'T_SelfStock'!CV29</f>
        <v/>
      </c>
      <c r="CY272">
        <f>'T_SelfStock'!CW29</f>
        <v/>
      </c>
      <c r="CZ272">
        <f>'T_SelfStock'!CX29</f>
        <v/>
      </c>
      <c r="DA272">
        <f>'T_SelfStock'!CY29</f>
        <v/>
      </c>
      <c r="DB272">
        <f>'T_SelfStock'!CZ29</f>
        <v/>
      </c>
      <c r="DC272">
        <f>'T_SelfStock'!DA29</f>
        <v/>
      </c>
    </row>
    <row r="273">
      <c r="B273" t="inlineStr">
        <is>
          <t>Order(発注予定,kg)</t>
        </is>
      </c>
      <c r="D273">
        <f>IF(SUMIFS(T_PlannedOrders[EffectiveQty],T_PlannedOrders[Part Name],$A247,T_PlannedOrders[WeekIndex],1)=0,"",SUMIFS(T_PlannedOrders[EffectiveQty],T_PlannedOrders[Part Name],$A247,T_PlannedOrders[WeekIndex],1)&amp;" ("&amp;TEXT(SUMPRODUCT(MAX((T_PlannedOrders[Part Name]=$A247)*(T_PlannedOrders[WeekIndex]=1)*(T_PlannedOrders[EffectiveQty]&gt;0)*T_PlannedOrders[Order_Month])),"m月")&amp;"発注)")</f>
        <v/>
      </c>
      <c r="E273">
        <f>IF(SUMIFS(T_PlannedOrders[EffectiveQty],T_PlannedOrders[Part Name],$A247,T_PlannedOrders[WeekIndex],2)=0,"",SUMIFS(T_PlannedOrders[EffectiveQty],T_PlannedOrders[Part Name],$A247,T_PlannedOrders[WeekIndex],2)&amp;" ("&amp;TEXT(SUMPRODUCT(MAX((T_PlannedOrders[Part Name]=$A247)*(T_PlannedOrders[WeekIndex]=2)*(T_PlannedOrders[EffectiveQty]&gt;0)*T_PlannedOrders[Order_Month])),"m月")&amp;"発注)")</f>
        <v/>
      </c>
      <c r="F273">
        <f>IF(SUMIFS(T_PlannedOrders[EffectiveQty],T_PlannedOrders[Part Name],$A247,T_PlannedOrders[WeekIndex],3)=0,"",SUMIFS(T_PlannedOrders[EffectiveQty],T_PlannedOrders[Part Name],$A247,T_PlannedOrders[WeekIndex],3)&amp;" ("&amp;TEXT(SUMPRODUCT(MAX((T_PlannedOrders[Part Name]=$A247)*(T_PlannedOrders[WeekIndex]=3)*(T_PlannedOrders[EffectiveQty]&gt;0)*T_PlannedOrders[Order_Month])),"m月")&amp;"発注)")</f>
        <v/>
      </c>
      <c r="G273">
        <f>IF(SUMIFS(T_PlannedOrders[EffectiveQty],T_PlannedOrders[Part Name],$A247,T_PlannedOrders[WeekIndex],4)=0,"",SUMIFS(T_PlannedOrders[EffectiveQty],T_PlannedOrders[Part Name],$A247,T_PlannedOrders[WeekIndex],4)&amp;" ("&amp;TEXT(SUMPRODUCT(MAX((T_PlannedOrders[Part Name]=$A247)*(T_PlannedOrders[WeekIndex]=4)*(T_PlannedOrders[EffectiveQty]&gt;0)*T_PlannedOrders[Order_Month])),"m月")&amp;"発注)")</f>
        <v/>
      </c>
      <c r="H273">
        <f>IF(SUMIFS(T_PlannedOrders[EffectiveQty],T_PlannedOrders[Part Name],$A247,T_PlannedOrders[WeekIndex],5)=0,"",SUMIFS(T_PlannedOrders[EffectiveQty],T_PlannedOrders[Part Name],$A247,T_PlannedOrders[WeekIndex],5)&amp;" ("&amp;TEXT(SUMPRODUCT(MAX((T_PlannedOrders[Part Name]=$A247)*(T_PlannedOrders[WeekIndex]=5)*(T_PlannedOrders[EffectiveQty]&gt;0)*T_PlannedOrders[Order_Month])),"m月")&amp;"発注)")</f>
        <v/>
      </c>
      <c r="I273">
        <f>IF(SUMIFS(T_PlannedOrders[EffectiveQty],T_PlannedOrders[Part Name],$A247,T_PlannedOrders[WeekIndex],6)=0,"",SUMIFS(T_PlannedOrders[EffectiveQty],T_PlannedOrders[Part Name],$A247,T_PlannedOrders[WeekIndex],6)&amp;" ("&amp;TEXT(SUMPRODUCT(MAX((T_PlannedOrders[Part Name]=$A247)*(T_PlannedOrders[WeekIndex]=6)*(T_PlannedOrders[EffectiveQty]&gt;0)*T_PlannedOrders[Order_Month])),"m月")&amp;"発注)")</f>
        <v/>
      </c>
      <c r="J273">
        <f>IF(SUMIFS(T_PlannedOrders[EffectiveQty],T_PlannedOrders[Part Name],$A247,T_PlannedOrders[WeekIndex],7)=0,"",SUMIFS(T_PlannedOrders[EffectiveQty],T_PlannedOrders[Part Name],$A247,T_PlannedOrders[WeekIndex],7)&amp;" ("&amp;TEXT(SUMPRODUCT(MAX((T_PlannedOrders[Part Name]=$A247)*(T_PlannedOrders[WeekIndex]=7)*(T_PlannedOrders[EffectiveQty]&gt;0)*T_PlannedOrders[Order_Month])),"m月")&amp;"発注)")</f>
        <v/>
      </c>
      <c r="K273">
        <f>IF(SUMIFS(T_PlannedOrders[EffectiveQty],T_PlannedOrders[Part Name],$A247,T_PlannedOrders[WeekIndex],8)=0,"",SUMIFS(T_PlannedOrders[EffectiveQty],T_PlannedOrders[Part Name],$A247,T_PlannedOrders[WeekIndex],8)&amp;" ("&amp;TEXT(SUMPRODUCT(MAX((T_PlannedOrders[Part Name]=$A247)*(T_PlannedOrders[WeekIndex]=8)*(T_PlannedOrders[EffectiveQty]&gt;0)*T_PlannedOrders[Order_Month])),"m月")&amp;"発注)")</f>
        <v/>
      </c>
      <c r="L273">
        <f>IF(SUMIFS(T_PlannedOrders[EffectiveQty],T_PlannedOrders[Part Name],$A247,T_PlannedOrders[WeekIndex],9)=0,"",SUMIFS(T_PlannedOrders[EffectiveQty],T_PlannedOrders[Part Name],$A247,T_PlannedOrders[WeekIndex],9)&amp;" ("&amp;TEXT(SUMPRODUCT(MAX((T_PlannedOrders[Part Name]=$A247)*(T_PlannedOrders[WeekIndex]=9)*(T_PlannedOrders[EffectiveQty]&gt;0)*T_PlannedOrders[Order_Month])),"m月")&amp;"発注)")</f>
        <v/>
      </c>
      <c r="M273">
        <f>IF(SUMIFS(T_PlannedOrders[EffectiveQty],T_PlannedOrders[Part Name],$A247,T_PlannedOrders[WeekIndex],10)=0,"",SUMIFS(T_PlannedOrders[EffectiveQty],T_PlannedOrders[Part Name],$A247,T_PlannedOrders[WeekIndex],10)&amp;" ("&amp;TEXT(SUMPRODUCT(MAX((T_PlannedOrders[Part Name]=$A247)*(T_PlannedOrders[WeekIndex]=10)*(T_PlannedOrders[EffectiveQty]&gt;0)*T_PlannedOrders[Order_Month])),"m月")&amp;"発注)")</f>
        <v/>
      </c>
      <c r="N273">
        <f>IF(SUMIFS(T_PlannedOrders[EffectiveQty],T_PlannedOrders[Part Name],$A247,T_PlannedOrders[WeekIndex],11)=0,"",SUMIFS(T_PlannedOrders[EffectiveQty],T_PlannedOrders[Part Name],$A247,T_PlannedOrders[WeekIndex],11)&amp;" ("&amp;TEXT(SUMPRODUCT(MAX((T_PlannedOrders[Part Name]=$A247)*(T_PlannedOrders[WeekIndex]=11)*(T_PlannedOrders[EffectiveQty]&gt;0)*T_PlannedOrders[Order_Month])),"m月")&amp;"発注)")</f>
        <v/>
      </c>
      <c r="O273">
        <f>IF(SUMIFS(T_PlannedOrders[EffectiveQty],T_PlannedOrders[Part Name],$A247,T_PlannedOrders[WeekIndex],12)=0,"",SUMIFS(T_PlannedOrders[EffectiveQty],T_PlannedOrders[Part Name],$A247,T_PlannedOrders[WeekIndex],12)&amp;" ("&amp;TEXT(SUMPRODUCT(MAX((T_PlannedOrders[Part Name]=$A247)*(T_PlannedOrders[WeekIndex]=12)*(T_PlannedOrders[EffectiveQty]&gt;0)*T_PlannedOrders[Order_Month])),"m月")&amp;"発注)")</f>
        <v/>
      </c>
      <c r="P273">
        <f>IF(SUMIFS(T_PlannedOrders[EffectiveQty],T_PlannedOrders[Part Name],$A247,T_PlannedOrders[WeekIndex],13)=0,"",SUMIFS(T_PlannedOrders[EffectiveQty],T_PlannedOrders[Part Name],$A247,T_PlannedOrders[WeekIndex],13)&amp;" ("&amp;TEXT(SUMPRODUCT(MAX((T_PlannedOrders[Part Name]=$A247)*(T_PlannedOrders[WeekIndex]=13)*(T_PlannedOrders[EffectiveQty]&gt;0)*T_PlannedOrders[Order_Month])),"m月")&amp;"発注)")</f>
        <v/>
      </c>
      <c r="Q273">
        <f>IF(SUMIFS(T_PlannedOrders[EffectiveQty],T_PlannedOrders[Part Name],$A247,T_PlannedOrders[WeekIndex],14)=0,"",SUMIFS(T_PlannedOrders[EffectiveQty],T_PlannedOrders[Part Name],$A247,T_PlannedOrders[WeekIndex],14)&amp;" ("&amp;TEXT(SUMPRODUCT(MAX((T_PlannedOrders[Part Name]=$A247)*(T_PlannedOrders[WeekIndex]=14)*(T_PlannedOrders[EffectiveQty]&gt;0)*T_PlannedOrders[Order_Month])),"m月")&amp;"発注)")</f>
        <v/>
      </c>
      <c r="R273">
        <f>IF(SUMIFS(T_PlannedOrders[EffectiveQty],T_PlannedOrders[Part Name],$A247,T_PlannedOrders[WeekIndex],15)=0,"",SUMIFS(T_PlannedOrders[EffectiveQty],T_PlannedOrders[Part Name],$A247,T_PlannedOrders[WeekIndex],15)&amp;" ("&amp;TEXT(SUMPRODUCT(MAX((T_PlannedOrders[Part Name]=$A247)*(T_PlannedOrders[WeekIndex]=15)*(T_PlannedOrders[EffectiveQty]&gt;0)*T_PlannedOrders[Order_Month])),"m月")&amp;"発注)")</f>
        <v/>
      </c>
      <c r="S273">
        <f>IF(SUMIFS(T_PlannedOrders[EffectiveQty],T_PlannedOrders[Part Name],$A247,T_PlannedOrders[WeekIndex],16)=0,"",SUMIFS(T_PlannedOrders[EffectiveQty],T_PlannedOrders[Part Name],$A247,T_PlannedOrders[WeekIndex],16)&amp;" ("&amp;TEXT(SUMPRODUCT(MAX((T_PlannedOrders[Part Name]=$A247)*(T_PlannedOrders[WeekIndex]=16)*(T_PlannedOrders[EffectiveQty]&gt;0)*T_PlannedOrders[Order_Month])),"m月")&amp;"発注)")</f>
        <v/>
      </c>
      <c r="T273">
        <f>IF(SUMIFS(T_PlannedOrders[EffectiveQty],T_PlannedOrders[Part Name],$A247,T_PlannedOrders[WeekIndex],17)=0,"",SUMIFS(T_PlannedOrders[EffectiveQty],T_PlannedOrders[Part Name],$A247,T_PlannedOrders[WeekIndex],17)&amp;" ("&amp;TEXT(SUMPRODUCT(MAX((T_PlannedOrders[Part Name]=$A247)*(T_PlannedOrders[WeekIndex]=17)*(T_PlannedOrders[EffectiveQty]&gt;0)*T_PlannedOrders[Order_Month])),"m月")&amp;"発注)")</f>
        <v/>
      </c>
      <c r="U273">
        <f>IF(SUMIFS(T_PlannedOrders[EffectiveQty],T_PlannedOrders[Part Name],$A247,T_PlannedOrders[WeekIndex],18)=0,"",SUMIFS(T_PlannedOrders[EffectiveQty],T_PlannedOrders[Part Name],$A247,T_PlannedOrders[WeekIndex],18)&amp;" ("&amp;TEXT(SUMPRODUCT(MAX((T_PlannedOrders[Part Name]=$A247)*(T_PlannedOrders[WeekIndex]=18)*(T_PlannedOrders[EffectiveQty]&gt;0)*T_PlannedOrders[Order_Month])),"m月")&amp;"発注)")</f>
        <v/>
      </c>
      <c r="V273">
        <f>IF(SUMIFS(T_PlannedOrders[EffectiveQty],T_PlannedOrders[Part Name],$A247,T_PlannedOrders[WeekIndex],19)=0,"",SUMIFS(T_PlannedOrders[EffectiveQty],T_PlannedOrders[Part Name],$A247,T_PlannedOrders[WeekIndex],19)&amp;" ("&amp;TEXT(SUMPRODUCT(MAX((T_PlannedOrders[Part Name]=$A247)*(T_PlannedOrders[WeekIndex]=19)*(T_PlannedOrders[EffectiveQty]&gt;0)*T_PlannedOrders[Order_Month])),"m月")&amp;"発注)")</f>
        <v/>
      </c>
      <c r="W273">
        <f>IF(SUMIFS(T_PlannedOrders[EffectiveQty],T_PlannedOrders[Part Name],$A247,T_PlannedOrders[WeekIndex],20)=0,"",SUMIFS(T_PlannedOrders[EffectiveQty],T_PlannedOrders[Part Name],$A247,T_PlannedOrders[WeekIndex],20)&amp;" ("&amp;TEXT(SUMPRODUCT(MAX((T_PlannedOrders[Part Name]=$A247)*(T_PlannedOrders[WeekIndex]=20)*(T_PlannedOrders[EffectiveQty]&gt;0)*T_PlannedOrders[Order_Month])),"m月")&amp;"発注)")</f>
        <v/>
      </c>
      <c r="X273">
        <f>IF(SUMIFS(T_PlannedOrders[EffectiveQty],T_PlannedOrders[Part Name],$A247,T_PlannedOrders[WeekIndex],21)=0,"",SUMIFS(T_PlannedOrders[EffectiveQty],T_PlannedOrders[Part Name],$A247,T_PlannedOrders[WeekIndex],21)&amp;" ("&amp;TEXT(SUMPRODUCT(MAX((T_PlannedOrders[Part Name]=$A247)*(T_PlannedOrders[WeekIndex]=21)*(T_PlannedOrders[EffectiveQty]&gt;0)*T_PlannedOrders[Order_Month])),"m月")&amp;"発注)")</f>
        <v/>
      </c>
      <c r="Y273">
        <f>IF(SUMIFS(T_PlannedOrders[EffectiveQty],T_PlannedOrders[Part Name],$A247,T_PlannedOrders[WeekIndex],22)=0,"",SUMIFS(T_PlannedOrders[EffectiveQty],T_PlannedOrders[Part Name],$A247,T_PlannedOrders[WeekIndex],22)&amp;" ("&amp;TEXT(SUMPRODUCT(MAX((T_PlannedOrders[Part Name]=$A247)*(T_PlannedOrders[WeekIndex]=22)*(T_PlannedOrders[EffectiveQty]&gt;0)*T_PlannedOrders[Order_Month])),"m月")&amp;"発注)")</f>
        <v/>
      </c>
      <c r="Z273">
        <f>IF(SUMIFS(T_PlannedOrders[EffectiveQty],T_PlannedOrders[Part Name],$A247,T_PlannedOrders[WeekIndex],23)=0,"",SUMIFS(T_PlannedOrders[EffectiveQty],T_PlannedOrders[Part Name],$A247,T_PlannedOrders[WeekIndex],23)&amp;" ("&amp;TEXT(SUMPRODUCT(MAX((T_PlannedOrders[Part Name]=$A247)*(T_PlannedOrders[WeekIndex]=23)*(T_PlannedOrders[EffectiveQty]&gt;0)*T_PlannedOrders[Order_Month])),"m月")&amp;"発注)")</f>
        <v/>
      </c>
      <c r="AA273">
        <f>IF(SUMIFS(T_PlannedOrders[EffectiveQty],T_PlannedOrders[Part Name],$A247,T_PlannedOrders[WeekIndex],24)=0,"",SUMIFS(T_PlannedOrders[EffectiveQty],T_PlannedOrders[Part Name],$A247,T_PlannedOrders[WeekIndex],24)&amp;" ("&amp;TEXT(SUMPRODUCT(MAX((T_PlannedOrders[Part Name]=$A247)*(T_PlannedOrders[WeekIndex]=24)*(T_PlannedOrders[EffectiveQty]&gt;0)*T_PlannedOrders[Order_Month])),"m月")&amp;"発注)")</f>
        <v/>
      </c>
      <c r="AB273">
        <f>IF(SUMIFS(T_PlannedOrders[EffectiveQty],T_PlannedOrders[Part Name],$A247,T_PlannedOrders[WeekIndex],25)=0,"",SUMIFS(T_PlannedOrders[EffectiveQty],T_PlannedOrders[Part Name],$A247,T_PlannedOrders[WeekIndex],25)&amp;" ("&amp;TEXT(SUMPRODUCT(MAX((T_PlannedOrders[Part Name]=$A247)*(T_PlannedOrders[WeekIndex]=25)*(T_PlannedOrders[EffectiveQty]&gt;0)*T_PlannedOrders[Order_Month])),"m月")&amp;"発注)")</f>
        <v/>
      </c>
      <c r="AC273">
        <f>IF(SUMIFS(T_PlannedOrders[EffectiveQty],T_PlannedOrders[Part Name],$A247,T_PlannedOrders[WeekIndex],26)=0,"",SUMIFS(T_PlannedOrders[EffectiveQty],T_PlannedOrders[Part Name],$A247,T_PlannedOrders[WeekIndex],26)&amp;" ("&amp;TEXT(SUMPRODUCT(MAX((T_PlannedOrders[Part Name]=$A247)*(T_PlannedOrders[WeekIndex]=26)*(T_PlannedOrders[EffectiveQty]&gt;0)*T_PlannedOrders[Order_Month])),"m月")&amp;"発注)")</f>
        <v/>
      </c>
      <c r="AD273">
        <f>IF(SUMIFS(T_PlannedOrders[EffectiveQty],T_PlannedOrders[Part Name],$A247,T_PlannedOrders[WeekIndex],27)=0,"",SUMIFS(T_PlannedOrders[EffectiveQty],T_PlannedOrders[Part Name],$A247,T_PlannedOrders[WeekIndex],27)&amp;" ("&amp;TEXT(SUMPRODUCT(MAX((T_PlannedOrders[Part Name]=$A247)*(T_PlannedOrders[WeekIndex]=27)*(T_PlannedOrders[EffectiveQty]&gt;0)*T_PlannedOrders[Order_Month])),"m月")&amp;"発注)")</f>
        <v/>
      </c>
      <c r="AE273">
        <f>IF(SUMIFS(T_PlannedOrders[EffectiveQty],T_PlannedOrders[Part Name],$A247,T_PlannedOrders[WeekIndex],28)=0,"",SUMIFS(T_PlannedOrders[EffectiveQty],T_PlannedOrders[Part Name],$A247,T_PlannedOrders[WeekIndex],28)&amp;" ("&amp;TEXT(SUMPRODUCT(MAX((T_PlannedOrders[Part Name]=$A247)*(T_PlannedOrders[WeekIndex]=28)*(T_PlannedOrders[EffectiveQty]&gt;0)*T_PlannedOrders[Order_Month])),"m月")&amp;"発注)")</f>
        <v/>
      </c>
      <c r="AF273">
        <f>IF(SUMIFS(T_PlannedOrders[EffectiveQty],T_PlannedOrders[Part Name],$A247,T_PlannedOrders[WeekIndex],29)=0,"",SUMIFS(T_PlannedOrders[EffectiveQty],T_PlannedOrders[Part Name],$A247,T_PlannedOrders[WeekIndex],29)&amp;" ("&amp;TEXT(SUMPRODUCT(MAX((T_PlannedOrders[Part Name]=$A247)*(T_PlannedOrders[WeekIndex]=29)*(T_PlannedOrders[EffectiveQty]&gt;0)*T_PlannedOrders[Order_Month])),"m月")&amp;"発注)")</f>
        <v/>
      </c>
      <c r="AG273">
        <f>IF(SUMIFS(T_PlannedOrders[EffectiveQty],T_PlannedOrders[Part Name],$A247,T_PlannedOrders[WeekIndex],30)=0,"",SUMIFS(T_PlannedOrders[EffectiveQty],T_PlannedOrders[Part Name],$A247,T_PlannedOrders[WeekIndex],30)&amp;" ("&amp;TEXT(SUMPRODUCT(MAX((T_PlannedOrders[Part Name]=$A247)*(T_PlannedOrders[WeekIndex]=30)*(T_PlannedOrders[EffectiveQty]&gt;0)*T_PlannedOrders[Order_Month])),"m月")&amp;"発注)")</f>
        <v/>
      </c>
      <c r="AH273">
        <f>IF(SUMIFS(T_PlannedOrders[EffectiveQty],T_PlannedOrders[Part Name],$A247,T_PlannedOrders[WeekIndex],31)=0,"",SUMIFS(T_PlannedOrders[EffectiveQty],T_PlannedOrders[Part Name],$A247,T_PlannedOrders[WeekIndex],31)&amp;" ("&amp;TEXT(SUMPRODUCT(MAX((T_PlannedOrders[Part Name]=$A247)*(T_PlannedOrders[WeekIndex]=31)*(T_PlannedOrders[EffectiveQty]&gt;0)*T_PlannedOrders[Order_Month])),"m月")&amp;"発注)")</f>
        <v/>
      </c>
      <c r="AI273">
        <f>IF(SUMIFS(T_PlannedOrders[EffectiveQty],T_PlannedOrders[Part Name],$A247,T_PlannedOrders[WeekIndex],32)=0,"",SUMIFS(T_PlannedOrders[EffectiveQty],T_PlannedOrders[Part Name],$A247,T_PlannedOrders[WeekIndex],32)&amp;" ("&amp;TEXT(SUMPRODUCT(MAX((T_PlannedOrders[Part Name]=$A247)*(T_PlannedOrders[WeekIndex]=32)*(T_PlannedOrders[EffectiveQty]&gt;0)*T_PlannedOrders[Order_Month])),"m月")&amp;"発注)")</f>
        <v/>
      </c>
      <c r="AJ273">
        <f>IF(SUMIFS(T_PlannedOrders[EffectiveQty],T_PlannedOrders[Part Name],$A247,T_PlannedOrders[WeekIndex],33)=0,"",SUMIFS(T_PlannedOrders[EffectiveQty],T_PlannedOrders[Part Name],$A247,T_PlannedOrders[WeekIndex],33)&amp;" ("&amp;TEXT(SUMPRODUCT(MAX((T_PlannedOrders[Part Name]=$A247)*(T_PlannedOrders[WeekIndex]=33)*(T_PlannedOrders[EffectiveQty]&gt;0)*T_PlannedOrders[Order_Month])),"m月")&amp;"発注)")</f>
        <v/>
      </c>
      <c r="AK273">
        <f>IF(SUMIFS(T_PlannedOrders[EffectiveQty],T_PlannedOrders[Part Name],$A247,T_PlannedOrders[WeekIndex],34)=0,"",SUMIFS(T_PlannedOrders[EffectiveQty],T_PlannedOrders[Part Name],$A247,T_PlannedOrders[WeekIndex],34)&amp;" ("&amp;TEXT(SUMPRODUCT(MAX((T_PlannedOrders[Part Name]=$A247)*(T_PlannedOrders[WeekIndex]=34)*(T_PlannedOrders[EffectiveQty]&gt;0)*T_PlannedOrders[Order_Month])),"m月")&amp;"発注)")</f>
        <v/>
      </c>
      <c r="AL273">
        <f>IF(SUMIFS(T_PlannedOrders[EffectiveQty],T_PlannedOrders[Part Name],$A247,T_PlannedOrders[WeekIndex],35)=0,"",SUMIFS(T_PlannedOrders[EffectiveQty],T_PlannedOrders[Part Name],$A247,T_PlannedOrders[WeekIndex],35)&amp;" ("&amp;TEXT(SUMPRODUCT(MAX((T_PlannedOrders[Part Name]=$A247)*(T_PlannedOrders[WeekIndex]=35)*(T_PlannedOrders[EffectiveQty]&gt;0)*T_PlannedOrders[Order_Month])),"m月")&amp;"発注)")</f>
        <v/>
      </c>
      <c r="AM273">
        <f>IF(SUMIFS(T_PlannedOrders[EffectiveQty],T_PlannedOrders[Part Name],$A247,T_PlannedOrders[WeekIndex],36)=0,"",SUMIFS(T_PlannedOrders[EffectiveQty],T_PlannedOrders[Part Name],$A247,T_PlannedOrders[WeekIndex],36)&amp;" ("&amp;TEXT(SUMPRODUCT(MAX((T_PlannedOrders[Part Name]=$A247)*(T_PlannedOrders[WeekIndex]=36)*(T_PlannedOrders[EffectiveQty]&gt;0)*T_PlannedOrders[Order_Month])),"m月")&amp;"発注)")</f>
        <v/>
      </c>
      <c r="AN273">
        <f>IF(SUMIFS(T_PlannedOrders[EffectiveQty],T_PlannedOrders[Part Name],$A247,T_PlannedOrders[WeekIndex],37)=0,"",SUMIFS(T_PlannedOrders[EffectiveQty],T_PlannedOrders[Part Name],$A247,T_PlannedOrders[WeekIndex],37)&amp;" ("&amp;TEXT(SUMPRODUCT(MAX((T_PlannedOrders[Part Name]=$A247)*(T_PlannedOrders[WeekIndex]=37)*(T_PlannedOrders[EffectiveQty]&gt;0)*T_PlannedOrders[Order_Month])),"m月")&amp;"発注)")</f>
        <v/>
      </c>
      <c r="AO273">
        <f>IF(SUMIFS(T_PlannedOrders[EffectiveQty],T_PlannedOrders[Part Name],$A247,T_PlannedOrders[WeekIndex],38)=0,"",SUMIFS(T_PlannedOrders[EffectiveQty],T_PlannedOrders[Part Name],$A247,T_PlannedOrders[WeekIndex],38)&amp;" ("&amp;TEXT(SUMPRODUCT(MAX((T_PlannedOrders[Part Name]=$A247)*(T_PlannedOrders[WeekIndex]=38)*(T_PlannedOrders[EffectiveQty]&gt;0)*T_PlannedOrders[Order_Month])),"m月")&amp;"発注)")</f>
        <v/>
      </c>
      <c r="AP273">
        <f>IF(SUMIFS(T_PlannedOrders[EffectiveQty],T_PlannedOrders[Part Name],$A247,T_PlannedOrders[WeekIndex],39)=0,"",SUMIFS(T_PlannedOrders[EffectiveQty],T_PlannedOrders[Part Name],$A247,T_PlannedOrders[WeekIndex],39)&amp;" ("&amp;TEXT(SUMPRODUCT(MAX((T_PlannedOrders[Part Name]=$A247)*(T_PlannedOrders[WeekIndex]=39)*(T_PlannedOrders[EffectiveQty]&gt;0)*T_PlannedOrders[Order_Month])),"m月")&amp;"発注)")</f>
        <v/>
      </c>
      <c r="AQ273">
        <f>IF(SUMIFS(T_PlannedOrders[EffectiveQty],T_PlannedOrders[Part Name],$A247,T_PlannedOrders[WeekIndex],40)=0,"",SUMIFS(T_PlannedOrders[EffectiveQty],T_PlannedOrders[Part Name],$A247,T_PlannedOrders[WeekIndex],40)&amp;" ("&amp;TEXT(SUMPRODUCT(MAX((T_PlannedOrders[Part Name]=$A247)*(T_PlannedOrders[WeekIndex]=40)*(T_PlannedOrders[EffectiveQty]&gt;0)*T_PlannedOrders[Order_Month])),"m月")&amp;"発注)")</f>
        <v/>
      </c>
      <c r="AR273">
        <f>IF(SUMIFS(T_PlannedOrders[EffectiveQty],T_PlannedOrders[Part Name],$A247,T_PlannedOrders[WeekIndex],41)=0,"",SUMIFS(T_PlannedOrders[EffectiveQty],T_PlannedOrders[Part Name],$A247,T_PlannedOrders[WeekIndex],41)&amp;" ("&amp;TEXT(SUMPRODUCT(MAX((T_PlannedOrders[Part Name]=$A247)*(T_PlannedOrders[WeekIndex]=41)*(T_PlannedOrders[EffectiveQty]&gt;0)*T_PlannedOrders[Order_Month])),"m月")&amp;"発注)")</f>
        <v/>
      </c>
      <c r="AS273">
        <f>IF(SUMIFS(T_PlannedOrders[EffectiveQty],T_PlannedOrders[Part Name],$A247,T_PlannedOrders[WeekIndex],42)=0,"",SUMIFS(T_PlannedOrders[EffectiveQty],T_PlannedOrders[Part Name],$A247,T_PlannedOrders[WeekIndex],42)&amp;" ("&amp;TEXT(SUMPRODUCT(MAX((T_PlannedOrders[Part Name]=$A247)*(T_PlannedOrders[WeekIndex]=42)*(T_PlannedOrders[EffectiveQty]&gt;0)*T_PlannedOrders[Order_Month])),"m月")&amp;"発注)")</f>
        <v/>
      </c>
      <c r="AT273">
        <f>IF(SUMIFS(T_PlannedOrders[EffectiveQty],T_PlannedOrders[Part Name],$A247,T_PlannedOrders[WeekIndex],43)=0,"",SUMIFS(T_PlannedOrders[EffectiveQty],T_PlannedOrders[Part Name],$A247,T_PlannedOrders[WeekIndex],43)&amp;" ("&amp;TEXT(SUMPRODUCT(MAX((T_PlannedOrders[Part Name]=$A247)*(T_PlannedOrders[WeekIndex]=43)*(T_PlannedOrders[EffectiveQty]&gt;0)*T_PlannedOrders[Order_Month])),"m月")&amp;"発注)")</f>
        <v/>
      </c>
      <c r="AU273">
        <f>IF(SUMIFS(T_PlannedOrders[EffectiveQty],T_PlannedOrders[Part Name],$A247,T_PlannedOrders[WeekIndex],44)=0,"",SUMIFS(T_PlannedOrders[EffectiveQty],T_PlannedOrders[Part Name],$A247,T_PlannedOrders[WeekIndex],44)&amp;" ("&amp;TEXT(SUMPRODUCT(MAX((T_PlannedOrders[Part Name]=$A247)*(T_PlannedOrders[WeekIndex]=44)*(T_PlannedOrders[EffectiveQty]&gt;0)*T_PlannedOrders[Order_Month])),"m月")&amp;"発注)")</f>
        <v/>
      </c>
      <c r="AV273">
        <f>IF(SUMIFS(T_PlannedOrders[EffectiveQty],T_PlannedOrders[Part Name],$A247,T_PlannedOrders[WeekIndex],45)=0,"",SUMIFS(T_PlannedOrders[EffectiveQty],T_PlannedOrders[Part Name],$A247,T_PlannedOrders[WeekIndex],45)&amp;" ("&amp;TEXT(SUMPRODUCT(MAX((T_PlannedOrders[Part Name]=$A247)*(T_PlannedOrders[WeekIndex]=45)*(T_PlannedOrders[EffectiveQty]&gt;0)*T_PlannedOrders[Order_Month])),"m月")&amp;"発注)")</f>
        <v/>
      </c>
      <c r="AW273">
        <f>IF(SUMIFS(T_PlannedOrders[EffectiveQty],T_PlannedOrders[Part Name],$A247,T_PlannedOrders[WeekIndex],46)=0,"",SUMIFS(T_PlannedOrders[EffectiveQty],T_PlannedOrders[Part Name],$A247,T_PlannedOrders[WeekIndex],46)&amp;" ("&amp;TEXT(SUMPRODUCT(MAX((T_PlannedOrders[Part Name]=$A247)*(T_PlannedOrders[WeekIndex]=46)*(T_PlannedOrders[EffectiveQty]&gt;0)*T_PlannedOrders[Order_Month])),"m月")&amp;"発注)")</f>
        <v/>
      </c>
      <c r="AX273">
        <f>IF(SUMIFS(T_PlannedOrders[EffectiveQty],T_PlannedOrders[Part Name],$A247,T_PlannedOrders[WeekIndex],47)=0,"",SUMIFS(T_PlannedOrders[EffectiveQty],T_PlannedOrders[Part Name],$A247,T_PlannedOrders[WeekIndex],47)&amp;" ("&amp;TEXT(SUMPRODUCT(MAX((T_PlannedOrders[Part Name]=$A247)*(T_PlannedOrders[WeekIndex]=47)*(T_PlannedOrders[EffectiveQty]&gt;0)*T_PlannedOrders[Order_Month])),"m月")&amp;"発注)")</f>
        <v/>
      </c>
      <c r="AY273">
        <f>IF(SUMIFS(T_PlannedOrders[EffectiveQty],T_PlannedOrders[Part Name],$A247,T_PlannedOrders[WeekIndex],48)=0,"",SUMIFS(T_PlannedOrders[EffectiveQty],T_PlannedOrders[Part Name],$A247,T_PlannedOrders[WeekIndex],48)&amp;" ("&amp;TEXT(SUMPRODUCT(MAX((T_PlannedOrders[Part Name]=$A247)*(T_PlannedOrders[WeekIndex]=48)*(T_PlannedOrders[EffectiveQty]&gt;0)*T_PlannedOrders[Order_Month])),"m月")&amp;"発注)")</f>
        <v/>
      </c>
      <c r="AZ273">
        <f>IF(SUMIFS(T_PlannedOrders[EffectiveQty],T_PlannedOrders[Part Name],$A247,T_PlannedOrders[WeekIndex],49)=0,"",SUMIFS(T_PlannedOrders[EffectiveQty],T_PlannedOrders[Part Name],$A247,T_PlannedOrders[WeekIndex],49)&amp;" ("&amp;TEXT(SUMPRODUCT(MAX((T_PlannedOrders[Part Name]=$A247)*(T_PlannedOrders[WeekIndex]=49)*(T_PlannedOrders[EffectiveQty]&gt;0)*T_PlannedOrders[Order_Month])),"m月")&amp;"発注)")</f>
        <v/>
      </c>
      <c r="BA273">
        <f>IF(SUMIFS(T_PlannedOrders[EffectiveQty],T_PlannedOrders[Part Name],$A247,T_PlannedOrders[WeekIndex],50)=0,"",SUMIFS(T_PlannedOrders[EffectiveQty],T_PlannedOrders[Part Name],$A247,T_PlannedOrders[WeekIndex],50)&amp;" ("&amp;TEXT(SUMPRODUCT(MAX((T_PlannedOrders[Part Name]=$A247)*(T_PlannedOrders[WeekIndex]=50)*(T_PlannedOrders[EffectiveQty]&gt;0)*T_PlannedOrders[Order_Month])),"m月")&amp;"発注)")</f>
        <v/>
      </c>
      <c r="BB273">
        <f>IF(SUMIFS(T_PlannedOrders[EffectiveQty],T_PlannedOrders[Part Name],$A247,T_PlannedOrders[WeekIndex],51)=0,"",SUMIFS(T_PlannedOrders[EffectiveQty],T_PlannedOrders[Part Name],$A247,T_PlannedOrders[WeekIndex],51)&amp;" ("&amp;TEXT(SUMPRODUCT(MAX((T_PlannedOrders[Part Name]=$A247)*(T_PlannedOrders[WeekIndex]=51)*(T_PlannedOrders[EffectiveQty]&gt;0)*T_PlannedOrders[Order_Month])),"m月")&amp;"発注)")</f>
        <v/>
      </c>
      <c r="BC273">
        <f>IF(SUMIFS(T_PlannedOrders[EffectiveQty],T_PlannedOrders[Part Name],$A247,T_PlannedOrders[WeekIndex],52)=0,"",SUMIFS(T_PlannedOrders[EffectiveQty],T_PlannedOrders[Part Name],$A247,T_PlannedOrders[WeekIndex],52)&amp;" ("&amp;TEXT(SUMPRODUCT(MAX((T_PlannedOrders[Part Name]=$A247)*(T_PlannedOrders[WeekIndex]=52)*(T_PlannedOrders[EffectiveQty]&gt;0)*T_PlannedOrders[Order_Month])),"m月")&amp;"発注)")</f>
        <v/>
      </c>
      <c r="BD273">
        <f>IF(SUMIFS(T_PlannedOrders[EffectiveQty],T_PlannedOrders[Part Name],$A247,T_PlannedOrders[WeekIndex],53)=0,"",SUMIFS(T_PlannedOrders[EffectiveQty],T_PlannedOrders[Part Name],$A247,T_PlannedOrders[WeekIndex],53)&amp;" ("&amp;TEXT(SUMPRODUCT(MAX((T_PlannedOrders[Part Name]=$A247)*(T_PlannedOrders[WeekIndex]=53)*(T_PlannedOrders[EffectiveQty]&gt;0)*T_PlannedOrders[Order_Month])),"m月")&amp;"発注)")</f>
        <v/>
      </c>
      <c r="BE273">
        <f>IF(SUMIFS(T_PlannedOrders[EffectiveQty],T_PlannedOrders[Part Name],$A247,T_PlannedOrders[WeekIndex],54)=0,"",SUMIFS(T_PlannedOrders[EffectiveQty],T_PlannedOrders[Part Name],$A247,T_PlannedOrders[WeekIndex],54)&amp;" ("&amp;TEXT(SUMPRODUCT(MAX((T_PlannedOrders[Part Name]=$A247)*(T_PlannedOrders[WeekIndex]=54)*(T_PlannedOrders[EffectiveQty]&gt;0)*T_PlannedOrders[Order_Month])),"m月")&amp;"発注)")</f>
        <v/>
      </c>
      <c r="BF273">
        <f>IF(SUMIFS(T_PlannedOrders[EffectiveQty],T_PlannedOrders[Part Name],$A247,T_PlannedOrders[WeekIndex],55)=0,"",SUMIFS(T_PlannedOrders[EffectiveQty],T_PlannedOrders[Part Name],$A247,T_PlannedOrders[WeekIndex],55)&amp;" ("&amp;TEXT(SUMPRODUCT(MAX((T_PlannedOrders[Part Name]=$A247)*(T_PlannedOrders[WeekIndex]=55)*(T_PlannedOrders[EffectiveQty]&gt;0)*T_PlannedOrders[Order_Month])),"m月")&amp;"発注)")</f>
        <v/>
      </c>
      <c r="BG273">
        <f>IF(SUMIFS(T_PlannedOrders[EffectiveQty],T_PlannedOrders[Part Name],$A247,T_PlannedOrders[WeekIndex],56)=0,"",SUMIFS(T_PlannedOrders[EffectiveQty],T_PlannedOrders[Part Name],$A247,T_PlannedOrders[WeekIndex],56)&amp;" ("&amp;TEXT(SUMPRODUCT(MAX((T_PlannedOrders[Part Name]=$A247)*(T_PlannedOrders[WeekIndex]=56)*(T_PlannedOrders[EffectiveQty]&gt;0)*T_PlannedOrders[Order_Month])),"m月")&amp;"発注)")</f>
        <v/>
      </c>
      <c r="BH273">
        <f>IF(SUMIFS(T_PlannedOrders[EffectiveQty],T_PlannedOrders[Part Name],$A247,T_PlannedOrders[WeekIndex],57)=0,"",SUMIFS(T_PlannedOrders[EffectiveQty],T_PlannedOrders[Part Name],$A247,T_PlannedOrders[WeekIndex],57)&amp;" ("&amp;TEXT(SUMPRODUCT(MAX((T_PlannedOrders[Part Name]=$A247)*(T_PlannedOrders[WeekIndex]=57)*(T_PlannedOrders[EffectiveQty]&gt;0)*T_PlannedOrders[Order_Month])),"m月")&amp;"発注)")</f>
        <v/>
      </c>
      <c r="BI273">
        <f>IF(SUMIFS(T_PlannedOrders[EffectiveQty],T_PlannedOrders[Part Name],$A247,T_PlannedOrders[WeekIndex],58)=0,"",SUMIFS(T_PlannedOrders[EffectiveQty],T_PlannedOrders[Part Name],$A247,T_PlannedOrders[WeekIndex],58)&amp;" ("&amp;TEXT(SUMPRODUCT(MAX((T_PlannedOrders[Part Name]=$A247)*(T_PlannedOrders[WeekIndex]=58)*(T_PlannedOrders[EffectiveQty]&gt;0)*T_PlannedOrders[Order_Month])),"m月")&amp;"発注)")</f>
        <v/>
      </c>
      <c r="BJ273">
        <f>IF(SUMIFS(T_PlannedOrders[EffectiveQty],T_PlannedOrders[Part Name],$A247,T_PlannedOrders[WeekIndex],59)=0,"",SUMIFS(T_PlannedOrders[EffectiveQty],T_PlannedOrders[Part Name],$A247,T_PlannedOrders[WeekIndex],59)&amp;" ("&amp;TEXT(SUMPRODUCT(MAX((T_PlannedOrders[Part Name]=$A247)*(T_PlannedOrders[WeekIndex]=59)*(T_PlannedOrders[EffectiveQty]&gt;0)*T_PlannedOrders[Order_Month])),"m月")&amp;"発注)")</f>
        <v/>
      </c>
      <c r="BK273">
        <f>IF(SUMIFS(T_PlannedOrders[EffectiveQty],T_PlannedOrders[Part Name],$A247,T_PlannedOrders[WeekIndex],60)=0,"",SUMIFS(T_PlannedOrders[EffectiveQty],T_PlannedOrders[Part Name],$A247,T_PlannedOrders[WeekIndex],60)&amp;" ("&amp;TEXT(SUMPRODUCT(MAX((T_PlannedOrders[Part Name]=$A247)*(T_PlannedOrders[WeekIndex]=60)*(T_PlannedOrders[EffectiveQty]&gt;0)*T_PlannedOrders[Order_Month])),"m月")&amp;"発注)")</f>
        <v/>
      </c>
      <c r="BL273">
        <f>IF(SUMIFS(T_PlannedOrders[EffectiveQty],T_PlannedOrders[Part Name],$A247,T_PlannedOrders[WeekIndex],61)=0,"",SUMIFS(T_PlannedOrders[EffectiveQty],T_PlannedOrders[Part Name],$A247,T_PlannedOrders[WeekIndex],61)&amp;" ("&amp;TEXT(SUMPRODUCT(MAX((T_PlannedOrders[Part Name]=$A247)*(T_PlannedOrders[WeekIndex]=61)*(T_PlannedOrders[EffectiveQty]&gt;0)*T_PlannedOrders[Order_Month])),"m月")&amp;"発注)")</f>
        <v/>
      </c>
      <c r="BM273">
        <f>IF(SUMIFS(T_PlannedOrders[EffectiveQty],T_PlannedOrders[Part Name],$A247,T_PlannedOrders[WeekIndex],62)=0,"",SUMIFS(T_PlannedOrders[EffectiveQty],T_PlannedOrders[Part Name],$A247,T_PlannedOrders[WeekIndex],62)&amp;" ("&amp;TEXT(SUMPRODUCT(MAX((T_PlannedOrders[Part Name]=$A247)*(T_PlannedOrders[WeekIndex]=62)*(T_PlannedOrders[EffectiveQty]&gt;0)*T_PlannedOrders[Order_Month])),"m月")&amp;"発注)")</f>
        <v/>
      </c>
      <c r="BN273">
        <f>IF(SUMIFS(T_PlannedOrders[EffectiveQty],T_PlannedOrders[Part Name],$A247,T_PlannedOrders[WeekIndex],63)=0,"",SUMIFS(T_PlannedOrders[EffectiveQty],T_PlannedOrders[Part Name],$A247,T_PlannedOrders[WeekIndex],63)&amp;" ("&amp;TEXT(SUMPRODUCT(MAX((T_PlannedOrders[Part Name]=$A247)*(T_PlannedOrders[WeekIndex]=63)*(T_PlannedOrders[EffectiveQty]&gt;0)*T_PlannedOrders[Order_Month])),"m月")&amp;"発注)")</f>
        <v/>
      </c>
      <c r="BO273">
        <f>IF(SUMIFS(T_PlannedOrders[EffectiveQty],T_PlannedOrders[Part Name],$A247,T_PlannedOrders[WeekIndex],64)=0,"",SUMIFS(T_PlannedOrders[EffectiveQty],T_PlannedOrders[Part Name],$A247,T_PlannedOrders[WeekIndex],64)&amp;" ("&amp;TEXT(SUMPRODUCT(MAX((T_PlannedOrders[Part Name]=$A247)*(T_PlannedOrders[WeekIndex]=64)*(T_PlannedOrders[EffectiveQty]&gt;0)*T_PlannedOrders[Order_Month])),"m月")&amp;"発注)")</f>
        <v/>
      </c>
      <c r="BP273">
        <f>IF(SUMIFS(T_PlannedOrders[EffectiveQty],T_PlannedOrders[Part Name],$A247,T_PlannedOrders[WeekIndex],65)=0,"",SUMIFS(T_PlannedOrders[EffectiveQty],T_PlannedOrders[Part Name],$A247,T_PlannedOrders[WeekIndex],65)&amp;" ("&amp;TEXT(SUMPRODUCT(MAX((T_PlannedOrders[Part Name]=$A247)*(T_PlannedOrders[WeekIndex]=65)*(T_PlannedOrders[EffectiveQty]&gt;0)*T_PlannedOrders[Order_Month])),"m月")&amp;"発注)")</f>
        <v/>
      </c>
      <c r="BQ273">
        <f>IF(SUMIFS(T_PlannedOrders[EffectiveQty],T_PlannedOrders[Part Name],$A247,T_PlannedOrders[WeekIndex],66)=0,"",SUMIFS(T_PlannedOrders[EffectiveQty],T_PlannedOrders[Part Name],$A247,T_PlannedOrders[WeekIndex],66)&amp;" ("&amp;TEXT(SUMPRODUCT(MAX((T_PlannedOrders[Part Name]=$A247)*(T_PlannedOrders[WeekIndex]=66)*(T_PlannedOrders[EffectiveQty]&gt;0)*T_PlannedOrders[Order_Month])),"m月")&amp;"発注)")</f>
        <v/>
      </c>
      <c r="BR273">
        <f>IF(SUMIFS(T_PlannedOrders[EffectiveQty],T_PlannedOrders[Part Name],$A247,T_PlannedOrders[WeekIndex],67)=0,"",SUMIFS(T_PlannedOrders[EffectiveQty],T_PlannedOrders[Part Name],$A247,T_PlannedOrders[WeekIndex],67)&amp;" ("&amp;TEXT(SUMPRODUCT(MAX((T_PlannedOrders[Part Name]=$A247)*(T_PlannedOrders[WeekIndex]=67)*(T_PlannedOrders[EffectiveQty]&gt;0)*T_PlannedOrders[Order_Month])),"m月")&amp;"発注)")</f>
        <v/>
      </c>
      <c r="BS273">
        <f>IF(SUMIFS(T_PlannedOrders[EffectiveQty],T_PlannedOrders[Part Name],$A247,T_PlannedOrders[WeekIndex],68)=0,"",SUMIFS(T_PlannedOrders[EffectiveQty],T_PlannedOrders[Part Name],$A247,T_PlannedOrders[WeekIndex],68)&amp;" ("&amp;TEXT(SUMPRODUCT(MAX((T_PlannedOrders[Part Name]=$A247)*(T_PlannedOrders[WeekIndex]=68)*(T_PlannedOrders[EffectiveQty]&gt;0)*T_PlannedOrders[Order_Month])),"m月")&amp;"発注)")</f>
        <v/>
      </c>
      <c r="BT273">
        <f>IF(SUMIFS(T_PlannedOrders[EffectiveQty],T_PlannedOrders[Part Name],$A247,T_PlannedOrders[WeekIndex],69)=0,"",SUMIFS(T_PlannedOrders[EffectiveQty],T_PlannedOrders[Part Name],$A247,T_PlannedOrders[WeekIndex],69)&amp;" ("&amp;TEXT(SUMPRODUCT(MAX((T_PlannedOrders[Part Name]=$A247)*(T_PlannedOrders[WeekIndex]=69)*(T_PlannedOrders[EffectiveQty]&gt;0)*T_PlannedOrders[Order_Month])),"m月")&amp;"発注)")</f>
        <v/>
      </c>
      <c r="BU273">
        <f>IF(SUMIFS(T_PlannedOrders[EffectiveQty],T_PlannedOrders[Part Name],$A247,T_PlannedOrders[WeekIndex],70)=0,"",SUMIFS(T_PlannedOrders[EffectiveQty],T_PlannedOrders[Part Name],$A247,T_PlannedOrders[WeekIndex],70)&amp;" ("&amp;TEXT(SUMPRODUCT(MAX((T_PlannedOrders[Part Name]=$A247)*(T_PlannedOrders[WeekIndex]=70)*(T_PlannedOrders[EffectiveQty]&gt;0)*T_PlannedOrders[Order_Month])),"m月")&amp;"発注)")</f>
        <v/>
      </c>
      <c r="BV273">
        <f>IF(SUMIFS(T_PlannedOrders[EffectiveQty],T_PlannedOrders[Part Name],$A247,T_PlannedOrders[WeekIndex],71)=0,"",SUMIFS(T_PlannedOrders[EffectiveQty],T_PlannedOrders[Part Name],$A247,T_PlannedOrders[WeekIndex],71)&amp;" ("&amp;TEXT(SUMPRODUCT(MAX((T_PlannedOrders[Part Name]=$A247)*(T_PlannedOrders[WeekIndex]=71)*(T_PlannedOrders[EffectiveQty]&gt;0)*T_PlannedOrders[Order_Month])),"m月")&amp;"発注)")</f>
        <v/>
      </c>
      <c r="BW273">
        <f>IF(SUMIFS(T_PlannedOrders[EffectiveQty],T_PlannedOrders[Part Name],$A247,T_PlannedOrders[WeekIndex],72)=0,"",SUMIFS(T_PlannedOrders[EffectiveQty],T_PlannedOrders[Part Name],$A247,T_PlannedOrders[WeekIndex],72)&amp;" ("&amp;TEXT(SUMPRODUCT(MAX((T_PlannedOrders[Part Name]=$A247)*(T_PlannedOrders[WeekIndex]=72)*(T_PlannedOrders[EffectiveQty]&gt;0)*T_PlannedOrders[Order_Month])),"m月")&amp;"発注)")</f>
        <v/>
      </c>
      <c r="BX273">
        <f>IF(SUMIFS(T_PlannedOrders[EffectiveQty],T_PlannedOrders[Part Name],$A247,T_PlannedOrders[WeekIndex],73)=0,"",SUMIFS(T_PlannedOrders[EffectiveQty],T_PlannedOrders[Part Name],$A247,T_PlannedOrders[WeekIndex],73)&amp;" ("&amp;TEXT(SUMPRODUCT(MAX((T_PlannedOrders[Part Name]=$A247)*(T_PlannedOrders[WeekIndex]=73)*(T_PlannedOrders[EffectiveQty]&gt;0)*T_PlannedOrders[Order_Month])),"m月")&amp;"発注)")</f>
        <v/>
      </c>
      <c r="BY273">
        <f>IF(SUMIFS(T_PlannedOrders[EffectiveQty],T_PlannedOrders[Part Name],$A247,T_PlannedOrders[WeekIndex],74)=0,"",SUMIFS(T_PlannedOrders[EffectiveQty],T_PlannedOrders[Part Name],$A247,T_PlannedOrders[WeekIndex],74)&amp;" ("&amp;TEXT(SUMPRODUCT(MAX((T_PlannedOrders[Part Name]=$A247)*(T_PlannedOrders[WeekIndex]=74)*(T_PlannedOrders[EffectiveQty]&gt;0)*T_PlannedOrders[Order_Month])),"m月")&amp;"発注)")</f>
        <v/>
      </c>
      <c r="BZ273">
        <f>IF(SUMIFS(T_PlannedOrders[EffectiveQty],T_PlannedOrders[Part Name],$A247,T_PlannedOrders[WeekIndex],75)=0,"",SUMIFS(T_PlannedOrders[EffectiveQty],T_PlannedOrders[Part Name],$A247,T_PlannedOrders[WeekIndex],75)&amp;" ("&amp;TEXT(SUMPRODUCT(MAX((T_PlannedOrders[Part Name]=$A247)*(T_PlannedOrders[WeekIndex]=75)*(T_PlannedOrders[EffectiveQty]&gt;0)*T_PlannedOrders[Order_Month])),"m月")&amp;"発注)")</f>
        <v/>
      </c>
      <c r="CA273">
        <f>IF(SUMIFS(T_PlannedOrders[EffectiveQty],T_PlannedOrders[Part Name],$A247,T_PlannedOrders[WeekIndex],76)=0,"",SUMIFS(T_PlannedOrders[EffectiveQty],T_PlannedOrders[Part Name],$A247,T_PlannedOrders[WeekIndex],76)&amp;" ("&amp;TEXT(SUMPRODUCT(MAX((T_PlannedOrders[Part Name]=$A247)*(T_PlannedOrders[WeekIndex]=76)*(T_PlannedOrders[EffectiveQty]&gt;0)*T_PlannedOrders[Order_Month])),"m月")&amp;"発注)")</f>
        <v/>
      </c>
      <c r="CB273">
        <f>IF(SUMIFS(T_PlannedOrders[EffectiveQty],T_PlannedOrders[Part Name],$A247,T_PlannedOrders[WeekIndex],77)=0,"",SUMIFS(T_PlannedOrders[EffectiveQty],T_PlannedOrders[Part Name],$A247,T_PlannedOrders[WeekIndex],77)&amp;" ("&amp;TEXT(SUMPRODUCT(MAX((T_PlannedOrders[Part Name]=$A247)*(T_PlannedOrders[WeekIndex]=77)*(T_PlannedOrders[EffectiveQty]&gt;0)*T_PlannedOrders[Order_Month])),"m月")&amp;"発注)")</f>
        <v/>
      </c>
      <c r="CC273">
        <f>IF(SUMIFS(T_PlannedOrders[EffectiveQty],T_PlannedOrders[Part Name],$A247,T_PlannedOrders[WeekIndex],78)=0,"",SUMIFS(T_PlannedOrders[EffectiveQty],T_PlannedOrders[Part Name],$A247,T_PlannedOrders[WeekIndex],78)&amp;" ("&amp;TEXT(SUMPRODUCT(MAX((T_PlannedOrders[Part Name]=$A247)*(T_PlannedOrders[WeekIndex]=78)*(T_PlannedOrders[EffectiveQty]&gt;0)*T_PlannedOrders[Order_Month])),"m月")&amp;"発注)")</f>
        <v/>
      </c>
      <c r="CD273">
        <f>IF(SUMIFS(T_PlannedOrders[EffectiveQty],T_PlannedOrders[Part Name],$A247,T_PlannedOrders[WeekIndex],79)=0,"",SUMIFS(T_PlannedOrders[EffectiveQty],T_PlannedOrders[Part Name],$A247,T_PlannedOrders[WeekIndex],79)&amp;" ("&amp;TEXT(SUMPRODUCT(MAX((T_PlannedOrders[Part Name]=$A247)*(T_PlannedOrders[WeekIndex]=79)*(T_PlannedOrders[EffectiveQty]&gt;0)*T_PlannedOrders[Order_Month])),"m月")&amp;"発注)")</f>
        <v/>
      </c>
      <c r="CE273">
        <f>IF(SUMIFS(T_PlannedOrders[EffectiveQty],T_PlannedOrders[Part Name],$A247,T_PlannedOrders[WeekIndex],80)=0,"",SUMIFS(T_PlannedOrders[EffectiveQty],T_PlannedOrders[Part Name],$A247,T_PlannedOrders[WeekIndex],80)&amp;" ("&amp;TEXT(SUMPRODUCT(MAX((T_PlannedOrders[Part Name]=$A247)*(T_PlannedOrders[WeekIndex]=80)*(T_PlannedOrders[EffectiveQty]&gt;0)*T_PlannedOrders[Order_Month])),"m月")&amp;"発注)")</f>
        <v/>
      </c>
      <c r="CF273">
        <f>IF(SUMIFS(T_PlannedOrders[EffectiveQty],T_PlannedOrders[Part Name],$A247,T_PlannedOrders[WeekIndex],81)=0,"",SUMIFS(T_PlannedOrders[EffectiveQty],T_PlannedOrders[Part Name],$A247,T_PlannedOrders[WeekIndex],81)&amp;" ("&amp;TEXT(SUMPRODUCT(MAX((T_PlannedOrders[Part Name]=$A247)*(T_PlannedOrders[WeekIndex]=81)*(T_PlannedOrders[EffectiveQty]&gt;0)*T_PlannedOrders[Order_Month])),"m月")&amp;"発注)")</f>
        <v/>
      </c>
      <c r="CG273">
        <f>IF(SUMIFS(T_PlannedOrders[EffectiveQty],T_PlannedOrders[Part Name],$A247,T_PlannedOrders[WeekIndex],82)=0,"",SUMIFS(T_PlannedOrders[EffectiveQty],T_PlannedOrders[Part Name],$A247,T_PlannedOrders[WeekIndex],82)&amp;" ("&amp;TEXT(SUMPRODUCT(MAX((T_PlannedOrders[Part Name]=$A247)*(T_PlannedOrders[WeekIndex]=82)*(T_PlannedOrders[EffectiveQty]&gt;0)*T_PlannedOrders[Order_Month])),"m月")&amp;"発注)")</f>
        <v/>
      </c>
      <c r="CH273">
        <f>IF(SUMIFS(T_PlannedOrders[EffectiveQty],T_PlannedOrders[Part Name],$A247,T_PlannedOrders[WeekIndex],83)=0,"",SUMIFS(T_PlannedOrders[EffectiveQty],T_PlannedOrders[Part Name],$A247,T_PlannedOrders[WeekIndex],83)&amp;" ("&amp;TEXT(SUMPRODUCT(MAX((T_PlannedOrders[Part Name]=$A247)*(T_PlannedOrders[WeekIndex]=83)*(T_PlannedOrders[EffectiveQty]&gt;0)*T_PlannedOrders[Order_Month])),"m月")&amp;"発注)")</f>
        <v/>
      </c>
      <c r="CI273">
        <f>IF(SUMIFS(T_PlannedOrders[EffectiveQty],T_PlannedOrders[Part Name],$A247,T_PlannedOrders[WeekIndex],84)=0,"",SUMIFS(T_PlannedOrders[EffectiveQty],T_PlannedOrders[Part Name],$A247,T_PlannedOrders[WeekIndex],84)&amp;" ("&amp;TEXT(SUMPRODUCT(MAX((T_PlannedOrders[Part Name]=$A247)*(T_PlannedOrders[WeekIndex]=84)*(T_PlannedOrders[EffectiveQty]&gt;0)*T_PlannedOrders[Order_Month])),"m月")&amp;"発注)")</f>
        <v/>
      </c>
      <c r="CJ273">
        <f>IF(SUMIFS(T_PlannedOrders[EffectiveQty],T_PlannedOrders[Part Name],$A247,T_PlannedOrders[WeekIndex],85)=0,"",SUMIFS(T_PlannedOrders[EffectiveQty],T_PlannedOrders[Part Name],$A247,T_PlannedOrders[WeekIndex],85)&amp;" ("&amp;TEXT(SUMPRODUCT(MAX((T_PlannedOrders[Part Name]=$A247)*(T_PlannedOrders[WeekIndex]=85)*(T_PlannedOrders[EffectiveQty]&gt;0)*T_PlannedOrders[Order_Month])),"m月")&amp;"発注)")</f>
        <v/>
      </c>
      <c r="CK273">
        <f>IF(SUMIFS(T_PlannedOrders[EffectiveQty],T_PlannedOrders[Part Name],$A247,T_PlannedOrders[WeekIndex],86)=0,"",SUMIFS(T_PlannedOrders[EffectiveQty],T_PlannedOrders[Part Name],$A247,T_PlannedOrders[WeekIndex],86)&amp;" ("&amp;TEXT(SUMPRODUCT(MAX((T_PlannedOrders[Part Name]=$A247)*(T_PlannedOrders[WeekIndex]=86)*(T_PlannedOrders[EffectiveQty]&gt;0)*T_PlannedOrders[Order_Month])),"m月")&amp;"発注)")</f>
        <v/>
      </c>
      <c r="CL273">
        <f>IF(SUMIFS(T_PlannedOrders[EffectiveQty],T_PlannedOrders[Part Name],$A247,T_PlannedOrders[WeekIndex],87)=0,"",SUMIFS(T_PlannedOrders[EffectiveQty],T_PlannedOrders[Part Name],$A247,T_PlannedOrders[WeekIndex],87)&amp;" ("&amp;TEXT(SUMPRODUCT(MAX((T_PlannedOrders[Part Name]=$A247)*(T_PlannedOrders[WeekIndex]=87)*(T_PlannedOrders[EffectiveQty]&gt;0)*T_PlannedOrders[Order_Month])),"m月")&amp;"発注)")</f>
        <v/>
      </c>
      <c r="CM273">
        <f>IF(SUMIFS(T_PlannedOrders[EffectiveQty],T_PlannedOrders[Part Name],$A247,T_PlannedOrders[WeekIndex],88)=0,"",SUMIFS(T_PlannedOrders[EffectiveQty],T_PlannedOrders[Part Name],$A247,T_PlannedOrders[WeekIndex],88)&amp;" ("&amp;TEXT(SUMPRODUCT(MAX((T_PlannedOrders[Part Name]=$A247)*(T_PlannedOrders[WeekIndex]=88)*(T_PlannedOrders[EffectiveQty]&gt;0)*T_PlannedOrders[Order_Month])),"m月")&amp;"発注)")</f>
        <v/>
      </c>
      <c r="CN273">
        <f>IF(SUMIFS(T_PlannedOrders[EffectiveQty],T_PlannedOrders[Part Name],$A247,T_PlannedOrders[WeekIndex],89)=0,"",SUMIFS(T_PlannedOrders[EffectiveQty],T_PlannedOrders[Part Name],$A247,T_PlannedOrders[WeekIndex],89)&amp;" ("&amp;TEXT(SUMPRODUCT(MAX((T_PlannedOrders[Part Name]=$A247)*(T_PlannedOrders[WeekIndex]=89)*(T_PlannedOrders[EffectiveQty]&gt;0)*T_PlannedOrders[Order_Month])),"m月")&amp;"発注)")</f>
        <v/>
      </c>
      <c r="CO273">
        <f>IF(SUMIFS(T_PlannedOrders[EffectiveQty],T_PlannedOrders[Part Name],$A247,T_PlannedOrders[WeekIndex],90)=0,"",SUMIFS(T_PlannedOrders[EffectiveQty],T_PlannedOrders[Part Name],$A247,T_PlannedOrders[WeekIndex],90)&amp;" ("&amp;TEXT(SUMPRODUCT(MAX((T_PlannedOrders[Part Name]=$A247)*(T_PlannedOrders[WeekIndex]=90)*(T_PlannedOrders[EffectiveQty]&gt;0)*T_PlannedOrders[Order_Month])),"m月")&amp;"発注)")</f>
        <v/>
      </c>
      <c r="CP273">
        <f>IF(SUMIFS(T_PlannedOrders[EffectiveQty],T_PlannedOrders[Part Name],$A247,T_PlannedOrders[WeekIndex],91)=0,"",SUMIFS(T_PlannedOrders[EffectiveQty],T_PlannedOrders[Part Name],$A247,T_PlannedOrders[WeekIndex],91)&amp;" ("&amp;TEXT(SUMPRODUCT(MAX((T_PlannedOrders[Part Name]=$A247)*(T_PlannedOrders[WeekIndex]=91)*(T_PlannedOrders[EffectiveQty]&gt;0)*T_PlannedOrders[Order_Month])),"m月")&amp;"発注)")</f>
        <v/>
      </c>
      <c r="CQ273">
        <f>IF(SUMIFS(T_PlannedOrders[EffectiveQty],T_PlannedOrders[Part Name],$A247,T_PlannedOrders[WeekIndex],92)=0,"",SUMIFS(T_PlannedOrders[EffectiveQty],T_PlannedOrders[Part Name],$A247,T_PlannedOrders[WeekIndex],92)&amp;" ("&amp;TEXT(SUMPRODUCT(MAX((T_PlannedOrders[Part Name]=$A247)*(T_PlannedOrders[WeekIndex]=92)*(T_PlannedOrders[EffectiveQty]&gt;0)*T_PlannedOrders[Order_Month])),"m月")&amp;"発注)")</f>
        <v/>
      </c>
      <c r="CR273">
        <f>IF(SUMIFS(T_PlannedOrders[EffectiveQty],T_PlannedOrders[Part Name],$A247,T_PlannedOrders[WeekIndex],93)=0,"",SUMIFS(T_PlannedOrders[EffectiveQty],T_PlannedOrders[Part Name],$A247,T_PlannedOrders[WeekIndex],93)&amp;" ("&amp;TEXT(SUMPRODUCT(MAX((T_PlannedOrders[Part Name]=$A247)*(T_PlannedOrders[WeekIndex]=93)*(T_PlannedOrders[EffectiveQty]&gt;0)*T_PlannedOrders[Order_Month])),"m月")&amp;"発注)")</f>
        <v/>
      </c>
      <c r="CS273">
        <f>IF(SUMIFS(T_PlannedOrders[EffectiveQty],T_PlannedOrders[Part Name],$A247,T_PlannedOrders[WeekIndex],94)=0,"",SUMIFS(T_PlannedOrders[EffectiveQty],T_PlannedOrders[Part Name],$A247,T_PlannedOrders[WeekIndex],94)&amp;" ("&amp;TEXT(SUMPRODUCT(MAX((T_PlannedOrders[Part Name]=$A247)*(T_PlannedOrders[WeekIndex]=94)*(T_PlannedOrders[EffectiveQty]&gt;0)*T_PlannedOrders[Order_Month])),"m月")&amp;"発注)")</f>
        <v/>
      </c>
      <c r="CT273">
        <f>IF(SUMIFS(T_PlannedOrders[EffectiveQty],T_PlannedOrders[Part Name],$A247,T_PlannedOrders[WeekIndex],95)=0,"",SUMIFS(T_PlannedOrders[EffectiveQty],T_PlannedOrders[Part Name],$A247,T_PlannedOrders[WeekIndex],95)&amp;" ("&amp;TEXT(SUMPRODUCT(MAX((T_PlannedOrders[Part Name]=$A247)*(T_PlannedOrders[WeekIndex]=95)*(T_PlannedOrders[EffectiveQty]&gt;0)*T_PlannedOrders[Order_Month])),"m月")&amp;"発注)")</f>
        <v/>
      </c>
      <c r="CU273">
        <f>IF(SUMIFS(T_PlannedOrders[EffectiveQty],T_PlannedOrders[Part Name],$A247,T_PlannedOrders[WeekIndex],96)=0,"",SUMIFS(T_PlannedOrders[EffectiveQty],T_PlannedOrders[Part Name],$A247,T_PlannedOrders[WeekIndex],96)&amp;" ("&amp;TEXT(SUMPRODUCT(MAX((T_PlannedOrders[Part Name]=$A247)*(T_PlannedOrders[WeekIndex]=96)*(T_PlannedOrders[EffectiveQty]&gt;0)*T_PlannedOrders[Order_Month])),"m月")&amp;"発注)")</f>
        <v/>
      </c>
      <c r="CV273">
        <f>IF(SUMIFS(T_PlannedOrders[EffectiveQty],T_PlannedOrders[Part Name],$A247,T_PlannedOrders[WeekIndex],97)=0,"",SUMIFS(T_PlannedOrders[EffectiveQty],T_PlannedOrders[Part Name],$A247,T_PlannedOrders[WeekIndex],97)&amp;" ("&amp;TEXT(SUMPRODUCT(MAX((T_PlannedOrders[Part Name]=$A247)*(T_PlannedOrders[WeekIndex]=97)*(T_PlannedOrders[EffectiveQty]&gt;0)*T_PlannedOrders[Order_Month])),"m月")&amp;"発注)")</f>
        <v/>
      </c>
      <c r="CW273">
        <f>IF(SUMIFS(T_PlannedOrders[EffectiveQty],T_PlannedOrders[Part Name],$A247,T_PlannedOrders[WeekIndex],98)=0,"",SUMIFS(T_PlannedOrders[EffectiveQty],T_PlannedOrders[Part Name],$A247,T_PlannedOrders[WeekIndex],98)&amp;" ("&amp;TEXT(SUMPRODUCT(MAX((T_PlannedOrders[Part Name]=$A247)*(T_PlannedOrders[WeekIndex]=98)*(T_PlannedOrders[EffectiveQty]&gt;0)*T_PlannedOrders[Order_Month])),"m月")&amp;"発注)")</f>
        <v/>
      </c>
      <c r="CX273">
        <f>IF(SUMIFS(T_PlannedOrders[EffectiveQty],T_PlannedOrders[Part Name],$A247,T_PlannedOrders[WeekIndex],99)=0,"",SUMIFS(T_PlannedOrders[EffectiveQty],T_PlannedOrders[Part Name],$A247,T_PlannedOrders[WeekIndex],99)&amp;" ("&amp;TEXT(SUMPRODUCT(MAX((T_PlannedOrders[Part Name]=$A247)*(T_PlannedOrders[WeekIndex]=99)*(T_PlannedOrders[EffectiveQty]&gt;0)*T_PlannedOrders[Order_Month])),"m月")&amp;"発注)")</f>
        <v/>
      </c>
      <c r="CY273">
        <f>IF(SUMIFS(T_PlannedOrders[EffectiveQty],T_PlannedOrders[Part Name],$A247,T_PlannedOrders[WeekIndex],100)=0,"",SUMIFS(T_PlannedOrders[EffectiveQty],T_PlannedOrders[Part Name],$A247,T_PlannedOrders[WeekIndex],100)&amp;" ("&amp;TEXT(SUMPRODUCT(MAX((T_PlannedOrders[Part Name]=$A247)*(T_PlannedOrders[WeekIndex]=100)*(T_PlannedOrders[EffectiveQty]&gt;0)*T_PlannedOrders[Order_Month])),"m月")&amp;"発注)")</f>
        <v/>
      </c>
      <c r="CZ273">
        <f>IF(SUMIFS(T_PlannedOrders[EffectiveQty],T_PlannedOrders[Part Name],$A247,T_PlannedOrders[WeekIndex],101)=0,"",SUMIFS(T_PlannedOrders[EffectiveQty],T_PlannedOrders[Part Name],$A247,T_PlannedOrders[WeekIndex],101)&amp;" ("&amp;TEXT(SUMPRODUCT(MAX((T_PlannedOrders[Part Name]=$A247)*(T_PlannedOrders[WeekIndex]=101)*(T_PlannedOrders[EffectiveQty]&gt;0)*T_PlannedOrders[Order_Month])),"m月")&amp;"発注)")</f>
        <v/>
      </c>
      <c r="DA273">
        <f>IF(SUMIFS(T_PlannedOrders[EffectiveQty],T_PlannedOrders[Part Name],$A247,T_PlannedOrders[WeekIndex],102)=0,"",SUMIFS(T_PlannedOrders[EffectiveQty],T_PlannedOrders[Part Name],$A247,T_PlannedOrders[WeekIndex],102)&amp;" ("&amp;TEXT(SUMPRODUCT(MAX((T_PlannedOrders[Part Name]=$A247)*(T_PlannedOrders[WeekIndex]=102)*(T_PlannedOrders[EffectiveQty]&gt;0)*T_PlannedOrders[Order_Month])),"m月")&amp;"発注)")</f>
        <v/>
      </c>
      <c r="DB273">
        <f>IF(SUMIFS(T_PlannedOrders[EffectiveQty],T_PlannedOrders[Part Name],$A247,T_PlannedOrders[WeekIndex],103)=0,"",SUMIFS(T_PlannedOrders[EffectiveQty],T_PlannedOrders[Part Name],$A247,T_PlannedOrders[WeekIndex],103)&amp;" ("&amp;TEXT(SUMPRODUCT(MAX((T_PlannedOrders[Part Name]=$A247)*(T_PlannedOrders[WeekIndex]=103)*(T_PlannedOrders[EffectiveQty]&gt;0)*T_PlannedOrders[Order_Month])),"m月")&amp;"発注)")</f>
        <v/>
      </c>
      <c r="DC273">
        <f>IF(SUMIFS(T_PlannedOrders[EffectiveQty],T_PlannedOrders[Part Name],$A247,T_PlannedOrders[WeekIndex],104)=0,"",SUMIFS(T_PlannedOrders[EffectiveQty],T_PlannedOrders[Part Name],$A247,T_PlannedOrders[WeekIndex],104)&amp;" ("&amp;TEXT(SUMPRODUCT(MAX((T_PlannedOrders[Part Name]=$A247)*(T_PlannedOrders[WeekIndex]=104)*(T_PlannedOrders[EffectiveQty]&gt;0)*T_PlannedOrders[Order_Month])),"m月")&amp;"発注)")</f>
        <v/>
      </c>
    </row>
    <row r="274">
      <c r="B274" s="5" t="inlineStr">
        <is>
          <t>合計在庫(週末時点,kg)</t>
        </is>
      </c>
      <c r="D274">
        <f>'Grid_Stock'!B25</f>
        <v/>
      </c>
      <c r="E274">
        <f>'Grid_Stock'!C25</f>
        <v/>
      </c>
      <c r="F274">
        <f>'Grid_Stock'!D25</f>
        <v/>
      </c>
      <c r="G274">
        <f>'Grid_Stock'!E25</f>
        <v/>
      </c>
      <c r="H274">
        <f>'Grid_Stock'!F25</f>
        <v/>
      </c>
      <c r="I274">
        <f>'Grid_Stock'!G25</f>
        <v/>
      </c>
      <c r="J274">
        <f>'Grid_Stock'!H25</f>
        <v/>
      </c>
      <c r="K274">
        <f>'Grid_Stock'!I25</f>
        <v/>
      </c>
      <c r="L274">
        <f>'Grid_Stock'!J25</f>
        <v/>
      </c>
      <c r="M274">
        <f>'Grid_Stock'!K25</f>
        <v/>
      </c>
      <c r="N274">
        <f>'Grid_Stock'!L25</f>
        <v/>
      </c>
      <c r="O274">
        <f>'Grid_Stock'!M25</f>
        <v/>
      </c>
      <c r="P274">
        <f>'Grid_Stock'!N25</f>
        <v/>
      </c>
      <c r="Q274">
        <f>'Grid_Stock'!O25</f>
        <v/>
      </c>
      <c r="R274">
        <f>'Grid_Stock'!P25</f>
        <v/>
      </c>
      <c r="S274">
        <f>'Grid_Stock'!Q25</f>
        <v/>
      </c>
      <c r="T274">
        <f>'Grid_Stock'!R25</f>
        <v/>
      </c>
      <c r="U274">
        <f>'Grid_Stock'!S25</f>
        <v/>
      </c>
      <c r="V274">
        <f>'Grid_Stock'!T25</f>
        <v/>
      </c>
      <c r="W274">
        <f>'Grid_Stock'!U25</f>
        <v/>
      </c>
      <c r="X274">
        <f>'Grid_Stock'!V25</f>
        <v/>
      </c>
      <c r="Y274">
        <f>'Grid_Stock'!W25</f>
        <v/>
      </c>
      <c r="Z274">
        <f>'Grid_Stock'!X25</f>
        <v/>
      </c>
      <c r="AA274">
        <f>'Grid_Stock'!Y25</f>
        <v/>
      </c>
      <c r="AB274">
        <f>'Grid_Stock'!Z25</f>
        <v/>
      </c>
      <c r="AC274">
        <f>'Grid_Stock'!AA25</f>
        <v/>
      </c>
      <c r="AD274">
        <f>'Grid_Stock'!AB25</f>
        <v/>
      </c>
      <c r="AE274">
        <f>'Grid_Stock'!AC25</f>
        <v/>
      </c>
      <c r="AF274">
        <f>'Grid_Stock'!AD25</f>
        <v/>
      </c>
      <c r="AG274">
        <f>'Grid_Stock'!AE25</f>
        <v/>
      </c>
      <c r="AH274">
        <f>'Grid_Stock'!AF25</f>
        <v/>
      </c>
      <c r="AI274">
        <f>'Grid_Stock'!AG25</f>
        <v/>
      </c>
      <c r="AJ274">
        <f>'Grid_Stock'!AH25</f>
        <v/>
      </c>
      <c r="AK274">
        <f>'Grid_Stock'!AI25</f>
        <v/>
      </c>
      <c r="AL274">
        <f>'Grid_Stock'!AJ25</f>
        <v/>
      </c>
      <c r="AM274">
        <f>'Grid_Stock'!AK25</f>
        <v/>
      </c>
      <c r="AN274">
        <f>'Grid_Stock'!AL25</f>
        <v/>
      </c>
      <c r="AO274">
        <f>'Grid_Stock'!AM25</f>
        <v/>
      </c>
      <c r="AP274">
        <f>'Grid_Stock'!AN25</f>
        <v/>
      </c>
      <c r="AQ274">
        <f>'Grid_Stock'!AO25</f>
        <v/>
      </c>
      <c r="AR274">
        <f>'Grid_Stock'!AP25</f>
        <v/>
      </c>
      <c r="AS274">
        <f>'Grid_Stock'!AQ25</f>
        <v/>
      </c>
      <c r="AT274">
        <f>'Grid_Stock'!AR25</f>
        <v/>
      </c>
      <c r="AU274">
        <f>'Grid_Stock'!AS25</f>
        <v/>
      </c>
      <c r="AV274">
        <f>'Grid_Stock'!AT25</f>
        <v/>
      </c>
      <c r="AW274">
        <f>'Grid_Stock'!AU25</f>
        <v/>
      </c>
      <c r="AX274">
        <f>'Grid_Stock'!AV25</f>
        <v/>
      </c>
      <c r="AY274">
        <f>'Grid_Stock'!AW25</f>
        <v/>
      </c>
      <c r="AZ274">
        <f>'Grid_Stock'!AX25</f>
        <v/>
      </c>
      <c r="BA274">
        <f>'Grid_Stock'!AY25</f>
        <v/>
      </c>
      <c r="BB274">
        <f>'Grid_Stock'!AZ25</f>
        <v/>
      </c>
      <c r="BC274">
        <f>'Grid_Stock'!BA25</f>
        <v/>
      </c>
      <c r="BD274">
        <f>'Grid_Stock'!BB25</f>
        <v/>
      </c>
      <c r="BE274">
        <f>'Grid_Stock'!BC25</f>
        <v/>
      </c>
      <c r="BF274">
        <f>'Grid_Stock'!BD25</f>
        <v/>
      </c>
      <c r="BG274">
        <f>'Grid_Stock'!BE25</f>
        <v/>
      </c>
      <c r="BH274">
        <f>'Grid_Stock'!BF25</f>
        <v/>
      </c>
      <c r="BI274">
        <f>'Grid_Stock'!BG25</f>
        <v/>
      </c>
      <c r="BJ274">
        <f>'Grid_Stock'!BH25</f>
        <v/>
      </c>
      <c r="BK274">
        <f>'Grid_Stock'!BI25</f>
        <v/>
      </c>
      <c r="BL274">
        <f>'Grid_Stock'!BJ25</f>
        <v/>
      </c>
      <c r="BM274">
        <f>'Grid_Stock'!BK25</f>
        <v/>
      </c>
      <c r="BN274">
        <f>'Grid_Stock'!BL25</f>
        <v/>
      </c>
      <c r="BO274">
        <f>'Grid_Stock'!BM25</f>
        <v/>
      </c>
      <c r="BP274">
        <f>'Grid_Stock'!BN25</f>
        <v/>
      </c>
      <c r="BQ274">
        <f>'Grid_Stock'!BO25</f>
        <v/>
      </c>
      <c r="BR274">
        <f>'Grid_Stock'!BP25</f>
        <v/>
      </c>
      <c r="BS274">
        <f>'Grid_Stock'!BQ25</f>
        <v/>
      </c>
      <c r="BT274">
        <f>'Grid_Stock'!BR25</f>
        <v/>
      </c>
      <c r="BU274">
        <f>'Grid_Stock'!BS25</f>
        <v/>
      </c>
      <c r="BV274">
        <f>'Grid_Stock'!BT25</f>
        <v/>
      </c>
      <c r="BW274">
        <f>'Grid_Stock'!BU25</f>
        <v/>
      </c>
      <c r="BX274">
        <f>'Grid_Stock'!BV25</f>
        <v/>
      </c>
      <c r="BY274">
        <f>'Grid_Stock'!BW25</f>
        <v/>
      </c>
      <c r="BZ274">
        <f>'Grid_Stock'!BX25</f>
        <v/>
      </c>
      <c r="CA274">
        <f>'Grid_Stock'!BY25</f>
        <v/>
      </c>
      <c r="CB274">
        <f>'Grid_Stock'!BZ25</f>
        <v/>
      </c>
      <c r="CC274">
        <f>'Grid_Stock'!CA25</f>
        <v/>
      </c>
      <c r="CD274">
        <f>'Grid_Stock'!CB25</f>
        <v/>
      </c>
      <c r="CE274">
        <f>'Grid_Stock'!CC25</f>
        <v/>
      </c>
      <c r="CF274">
        <f>'Grid_Stock'!CD25</f>
        <v/>
      </c>
      <c r="CG274">
        <f>'Grid_Stock'!CE25</f>
        <v/>
      </c>
      <c r="CH274">
        <f>'Grid_Stock'!CF25</f>
        <v/>
      </c>
      <c r="CI274">
        <f>'Grid_Stock'!CG25</f>
        <v/>
      </c>
      <c r="CJ274">
        <f>'Grid_Stock'!CH25</f>
        <v/>
      </c>
      <c r="CK274">
        <f>'Grid_Stock'!CI25</f>
        <v/>
      </c>
      <c r="CL274">
        <f>'Grid_Stock'!CJ25</f>
        <v/>
      </c>
      <c r="CM274">
        <f>'Grid_Stock'!CK25</f>
        <v/>
      </c>
      <c r="CN274">
        <f>'Grid_Stock'!CL25</f>
        <v/>
      </c>
      <c r="CO274">
        <f>'Grid_Stock'!CM25</f>
        <v/>
      </c>
      <c r="CP274">
        <f>'Grid_Stock'!CN25</f>
        <v/>
      </c>
      <c r="CQ274">
        <f>'Grid_Stock'!CO25</f>
        <v/>
      </c>
      <c r="CR274">
        <f>'Grid_Stock'!CP25</f>
        <v/>
      </c>
      <c r="CS274">
        <f>'Grid_Stock'!CQ25</f>
        <v/>
      </c>
      <c r="CT274">
        <f>'Grid_Stock'!CR25</f>
        <v/>
      </c>
      <c r="CU274">
        <f>'Grid_Stock'!CS25</f>
        <v/>
      </c>
      <c r="CV274">
        <f>'Grid_Stock'!CT25</f>
        <v/>
      </c>
      <c r="CW274">
        <f>'Grid_Stock'!CU25</f>
        <v/>
      </c>
      <c r="CX274">
        <f>'Grid_Stock'!CV25</f>
        <v/>
      </c>
      <c r="CY274">
        <f>'Grid_Stock'!CW25</f>
        <v/>
      </c>
      <c r="CZ274">
        <f>'Grid_Stock'!CX25</f>
        <v/>
      </c>
      <c r="DA274">
        <f>'Grid_Stock'!CY25</f>
        <v/>
      </c>
      <c r="DB274">
        <f>'Grid_Stock'!CZ25</f>
        <v/>
      </c>
      <c r="DC274">
        <f>'Grid_Stock'!DA25</f>
        <v/>
      </c>
    </row>
    <row r="275">
      <c r="B275" s="23" t="inlineStr">
        <is>
          <t>（発注の目安はDashboardの基準在庫[下限/上限]と色分けを参照）</t>
        </is>
      </c>
    </row>
    <row r="277">
      <c r="A277" s="21" t="inlineStr">
        <is>
          <t>CHEM-1580</t>
        </is>
      </c>
      <c r="B277" s="21" t="inlineStr">
        <is>
          <t>Barium Acetate</t>
        </is>
      </c>
      <c r="C277" s="22" t="n"/>
      <c r="D277" s="21" t="n"/>
      <c r="E277" s="21" t="n"/>
      <c r="F277" s="21" t="n"/>
      <c r="G277" s="21" t="n"/>
      <c r="H277" s="2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  <c r="AA277" s="21" t="n"/>
      <c r="AB277" s="21" t="n"/>
      <c r="AC277" s="21" t="n"/>
      <c r="AD277" s="21" t="n"/>
      <c r="AE277" s="21" t="n"/>
      <c r="AF277" s="21" t="n"/>
      <c r="AG277" s="21" t="n"/>
      <c r="AH277" s="21" t="n"/>
      <c r="AI277" s="21" t="n"/>
      <c r="AJ277" s="21" t="n"/>
      <c r="AK277" s="21" t="n"/>
      <c r="AL277" s="21" t="n"/>
      <c r="AM277" s="21" t="n"/>
      <c r="AN277" s="21" t="n"/>
      <c r="AO277" s="21" t="n"/>
      <c r="AP277" s="21" t="n"/>
      <c r="AQ277" s="21" t="n"/>
      <c r="AR277" s="21" t="n"/>
      <c r="AS277" s="21" t="n"/>
      <c r="AT277" s="21" t="n"/>
      <c r="AU277" s="21" t="n"/>
      <c r="AV277" s="21" t="n"/>
      <c r="AW277" s="21" t="n"/>
      <c r="AX277" s="21" t="n"/>
      <c r="AY277" s="21" t="n"/>
      <c r="AZ277" s="21" t="n"/>
      <c r="BA277" s="21" t="n"/>
      <c r="BB277" s="21" t="n"/>
      <c r="BC277" s="21" t="n"/>
      <c r="BD277" s="21" t="n"/>
      <c r="BE277" s="21" t="n"/>
      <c r="BF277" s="21" t="n"/>
      <c r="BG277" s="21" t="n"/>
      <c r="BH277" s="21" t="n"/>
      <c r="BI277" s="21" t="n"/>
      <c r="BJ277" s="21" t="n"/>
      <c r="BK277" s="21" t="n"/>
      <c r="BL277" s="21" t="n"/>
      <c r="BM277" s="21" t="n"/>
      <c r="BN277" s="21" t="n"/>
      <c r="BO277" s="21" t="n"/>
      <c r="BP277" s="21" t="n"/>
      <c r="BQ277" s="21" t="n"/>
      <c r="BR277" s="21" t="n"/>
      <c r="BS277" s="21" t="n"/>
      <c r="BT277" s="21" t="n"/>
      <c r="BU277" s="21" t="n"/>
      <c r="BV277" s="21" t="n"/>
      <c r="BW277" s="21" t="n"/>
      <c r="BX277" s="21" t="n"/>
      <c r="BY277" s="21" t="n"/>
      <c r="BZ277" s="21" t="n"/>
      <c r="CA277" s="21" t="n"/>
      <c r="CB277" s="21" t="n"/>
      <c r="CC277" s="21" t="n"/>
      <c r="CD277" s="21" t="n"/>
      <c r="CE277" s="21" t="n"/>
      <c r="CF277" s="21" t="n"/>
      <c r="CG277" s="21" t="n"/>
      <c r="CH277" s="21" t="n"/>
      <c r="CI277" s="21" t="n"/>
      <c r="CJ277" s="21" t="n"/>
      <c r="CK277" s="21" t="n"/>
      <c r="CL277" s="21" t="n"/>
      <c r="CM277" s="21" t="n"/>
      <c r="CN277" s="21" t="n"/>
      <c r="CO277" s="21" t="n"/>
      <c r="CP277" s="21" t="n"/>
      <c r="CQ277" s="21" t="n"/>
      <c r="CR277" s="21" t="n"/>
      <c r="CS277" s="21" t="n"/>
      <c r="CT277" s="21" t="n"/>
      <c r="CU277" s="21" t="n"/>
      <c r="CV277" s="21" t="n"/>
      <c r="CW277" s="21" t="n"/>
      <c r="CX277" s="21" t="n"/>
      <c r="CY277" s="21" t="n"/>
      <c r="CZ277" s="21" t="n"/>
      <c r="DA277" s="21" t="n"/>
      <c r="DB277" s="21" t="n"/>
      <c r="DC277" s="21" t="n"/>
    </row>
    <row r="278">
      <c r="B278" t="inlineStr">
        <is>
          <t>TSP-360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12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Name],$A277)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TSP-367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12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Name],$A277)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TSP-544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12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Name],$A277)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TSP-710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12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Name],$A277)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s="5" t="inlineStr">
        <is>
          <t>合計使用量(kg)/週</t>
        </is>
      </c>
      <c r="D286">
        <f>'Grid_Requirement'!B26</f>
        <v/>
      </c>
      <c r="E286">
        <f>'Grid_Requirement'!C26</f>
        <v/>
      </c>
      <c r="F286">
        <f>'Grid_Requirement'!D26</f>
        <v/>
      </c>
      <c r="G286">
        <f>'Grid_Requirement'!E26</f>
        <v/>
      </c>
      <c r="H286">
        <f>'Grid_Requirement'!F26</f>
        <v/>
      </c>
      <c r="I286">
        <f>'Grid_Requirement'!G26</f>
        <v/>
      </c>
      <c r="J286">
        <f>'Grid_Requirement'!H26</f>
        <v/>
      </c>
      <c r="K286">
        <f>'Grid_Requirement'!I26</f>
        <v/>
      </c>
      <c r="L286">
        <f>'Grid_Requirement'!J26</f>
        <v/>
      </c>
      <c r="M286">
        <f>'Grid_Requirement'!K26</f>
        <v/>
      </c>
      <c r="N286">
        <f>'Grid_Requirement'!L26</f>
        <v/>
      </c>
      <c r="O286">
        <f>'Grid_Requirement'!M26</f>
        <v/>
      </c>
      <c r="P286">
        <f>'Grid_Requirement'!N26</f>
        <v/>
      </c>
      <c r="Q286">
        <f>'Grid_Requirement'!O26</f>
        <v/>
      </c>
      <c r="R286">
        <f>'Grid_Requirement'!P26</f>
        <v/>
      </c>
      <c r="S286">
        <f>'Grid_Requirement'!Q26</f>
        <v/>
      </c>
      <c r="T286">
        <f>'Grid_Requirement'!R26</f>
        <v/>
      </c>
      <c r="U286">
        <f>'Grid_Requirement'!S26</f>
        <v/>
      </c>
      <c r="V286">
        <f>'Grid_Requirement'!T26</f>
        <v/>
      </c>
      <c r="W286">
        <f>'Grid_Requirement'!U26</f>
        <v/>
      </c>
      <c r="X286">
        <f>'Grid_Requirement'!V26</f>
        <v/>
      </c>
      <c r="Y286">
        <f>'Grid_Requirement'!W26</f>
        <v/>
      </c>
      <c r="Z286">
        <f>'Grid_Requirement'!X26</f>
        <v/>
      </c>
      <c r="AA286">
        <f>'Grid_Requirement'!Y26</f>
        <v/>
      </c>
      <c r="AB286">
        <f>'Grid_Requirement'!Z26</f>
        <v/>
      </c>
      <c r="AC286">
        <f>'Grid_Requirement'!AA26</f>
        <v/>
      </c>
      <c r="AD286">
        <f>'Grid_Requirement'!AB26</f>
        <v/>
      </c>
      <c r="AE286">
        <f>'Grid_Requirement'!AC26</f>
        <v/>
      </c>
      <c r="AF286">
        <f>'Grid_Requirement'!AD26</f>
        <v/>
      </c>
      <c r="AG286">
        <f>'Grid_Requirement'!AE26</f>
        <v/>
      </c>
      <c r="AH286">
        <f>'Grid_Requirement'!AF26</f>
        <v/>
      </c>
      <c r="AI286">
        <f>'Grid_Requirement'!AG26</f>
        <v/>
      </c>
      <c r="AJ286">
        <f>'Grid_Requirement'!AH26</f>
        <v/>
      </c>
      <c r="AK286">
        <f>'Grid_Requirement'!AI26</f>
        <v/>
      </c>
      <c r="AL286">
        <f>'Grid_Requirement'!AJ26</f>
        <v/>
      </c>
      <c r="AM286">
        <f>'Grid_Requirement'!AK26</f>
        <v/>
      </c>
      <c r="AN286">
        <f>'Grid_Requirement'!AL26</f>
        <v/>
      </c>
      <c r="AO286">
        <f>'Grid_Requirement'!AM26</f>
        <v/>
      </c>
      <c r="AP286">
        <f>'Grid_Requirement'!AN26</f>
        <v/>
      </c>
      <c r="AQ286">
        <f>'Grid_Requirement'!AO26</f>
        <v/>
      </c>
      <c r="AR286">
        <f>'Grid_Requirement'!AP26</f>
        <v/>
      </c>
      <c r="AS286">
        <f>'Grid_Requirement'!AQ26</f>
        <v/>
      </c>
      <c r="AT286">
        <f>'Grid_Requirement'!AR26</f>
        <v/>
      </c>
      <c r="AU286">
        <f>'Grid_Requirement'!AS26</f>
        <v/>
      </c>
      <c r="AV286">
        <f>'Grid_Requirement'!AT26</f>
        <v/>
      </c>
      <c r="AW286">
        <f>'Grid_Requirement'!AU26</f>
        <v/>
      </c>
      <c r="AX286">
        <f>'Grid_Requirement'!AV26</f>
        <v/>
      </c>
      <c r="AY286">
        <f>'Grid_Requirement'!AW26</f>
        <v/>
      </c>
      <c r="AZ286">
        <f>'Grid_Requirement'!AX26</f>
        <v/>
      </c>
      <c r="BA286">
        <f>'Grid_Requirement'!AY26</f>
        <v/>
      </c>
      <c r="BB286">
        <f>'Grid_Requirement'!AZ26</f>
        <v/>
      </c>
      <c r="BC286">
        <f>'Grid_Requirement'!BA26</f>
        <v/>
      </c>
      <c r="BD286">
        <f>'Grid_Requirement'!BB26</f>
        <v/>
      </c>
      <c r="BE286">
        <f>'Grid_Requirement'!BC26</f>
        <v/>
      </c>
      <c r="BF286">
        <f>'Grid_Requirement'!BD26</f>
        <v/>
      </c>
      <c r="BG286">
        <f>'Grid_Requirement'!BE26</f>
        <v/>
      </c>
      <c r="BH286">
        <f>'Grid_Requirement'!BF26</f>
        <v/>
      </c>
      <c r="BI286">
        <f>'Grid_Requirement'!BG26</f>
        <v/>
      </c>
      <c r="BJ286">
        <f>'Grid_Requirement'!BH26</f>
        <v/>
      </c>
      <c r="BK286">
        <f>'Grid_Requirement'!BI26</f>
        <v/>
      </c>
      <c r="BL286">
        <f>'Grid_Requirement'!BJ26</f>
        <v/>
      </c>
      <c r="BM286">
        <f>'Grid_Requirement'!BK26</f>
        <v/>
      </c>
      <c r="BN286">
        <f>'Grid_Requirement'!BL26</f>
        <v/>
      </c>
      <c r="BO286">
        <f>'Grid_Requirement'!BM26</f>
        <v/>
      </c>
      <c r="BP286">
        <f>'Grid_Requirement'!BN26</f>
        <v/>
      </c>
      <c r="BQ286">
        <f>'Grid_Requirement'!BO26</f>
        <v/>
      </c>
      <c r="BR286">
        <f>'Grid_Requirement'!BP26</f>
        <v/>
      </c>
      <c r="BS286">
        <f>'Grid_Requirement'!BQ26</f>
        <v/>
      </c>
      <c r="BT286">
        <f>'Grid_Requirement'!BR26</f>
        <v/>
      </c>
      <c r="BU286">
        <f>'Grid_Requirement'!BS26</f>
        <v/>
      </c>
      <c r="BV286">
        <f>'Grid_Requirement'!BT26</f>
        <v/>
      </c>
      <c r="BW286">
        <f>'Grid_Requirement'!BU26</f>
        <v/>
      </c>
      <c r="BX286">
        <f>'Grid_Requirement'!BV26</f>
        <v/>
      </c>
      <c r="BY286">
        <f>'Grid_Requirement'!BW26</f>
        <v/>
      </c>
      <c r="BZ286">
        <f>'Grid_Requirement'!BX26</f>
        <v/>
      </c>
      <c r="CA286">
        <f>'Grid_Requirement'!BY26</f>
        <v/>
      </c>
      <c r="CB286">
        <f>'Grid_Requirement'!BZ26</f>
        <v/>
      </c>
      <c r="CC286">
        <f>'Grid_Requirement'!CA26</f>
        <v/>
      </c>
      <c r="CD286">
        <f>'Grid_Requirement'!CB26</f>
        <v/>
      </c>
      <c r="CE286">
        <f>'Grid_Requirement'!CC26</f>
        <v/>
      </c>
      <c r="CF286">
        <f>'Grid_Requirement'!CD26</f>
        <v/>
      </c>
      <c r="CG286">
        <f>'Grid_Requirement'!CE26</f>
        <v/>
      </c>
      <c r="CH286">
        <f>'Grid_Requirement'!CF26</f>
        <v/>
      </c>
      <c r="CI286">
        <f>'Grid_Requirement'!CG26</f>
        <v/>
      </c>
      <c r="CJ286">
        <f>'Grid_Requirement'!CH26</f>
        <v/>
      </c>
      <c r="CK286">
        <f>'Grid_Requirement'!CI26</f>
        <v/>
      </c>
      <c r="CL286">
        <f>'Grid_Requirement'!CJ26</f>
        <v/>
      </c>
      <c r="CM286">
        <f>'Grid_Requirement'!CK26</f>
        <v/>
      </c>
      <c r="CN286">
        <f>'Grid_Requirement'!CL26</f>
        <v/>
      </c>
      <c r="CO286">
        <f>'Grid_Requirement'!CM26</f>
        <v/>
      </c>
      <c r="CP286">
        <f>'Grid_Requirement'!CN26</f>
        <v/>
      </c>
      <c r="CQ286">
        <f>'Grid_Requirement'!CO26</f>
        <v/>
      </c>
      <c r="CR286">
        <f>'Grid_Requirement'!CP26</f>
        <v/>
      </c>
      <c r="CS286">
        <f>'Grid_Requirement'!CQ26</f>
        <v/>
      </c>
      <c r="CT286">
        <f>'Grid_Requirement'!CR26</f>
        <v/>
      </c>
      <c r="CU286">
        <f>'Grid_Requirement'!CS26</f>
        <v/>
      </c>
      <c r="CV286">
        <f>'Grid_Requirement'!CT26</f>
        <v/>
      </c>
      <c r="CW286">
        <f>'Grid_Requirement'!CU26</f>
        <v/>
      </c>
      <c r="CX286">
        <f>'Grid_Requirement'!CV26</f>
        <v/>
      </c>
      <c r="CY286">
        <f>'Grid_Requirement'!CW26</f>
        <v/>
      </c>
      <c r="CZ286">
        <f>'Grid_Requirement'!CX26</f>
        <v/>
      </c>
      <c r="DA286">
        <f>'Grid_Requirement'!CY26</f>
        <v/>
      </c>
      <c r="DB286">
        <f>'Grid_Requirement'!CZ26</f>
        <v/>
      </c>
      <c r="DC286">
        <f>'Grid_Requirement'!DA26</f>
        <v/>
      </c>
    </row>
    <row r="287">
      <c r="B287" t="inlineStr">
        <is>
          <t>TTAF在庫(実績,kg)</t>
        </is>
      </c>
      <c r="D287">
        <f>'T_TTAFStock'!B30</f>
        <v/>
      </c>
      <c r="E287">
        <f>'T_TTAFStock'!C30</f>
        <v/>
      </c>
      <c r="F287">
        <f>'T_TTAFStock'!D30</f>
        <v/>
      </c>
      <c r="G287">
        <f>'T_TTAFStock'!E30</f>
        <v/>
      </c>
      <c r="H287">
        <f>'T_TTAFStock'!F30</f>
        <v/>
      </c>
      <c r="I287">
        <f>'T_TTAFStock'!G30</f>
        <v/>
      </c>
      <c r="J287">
        <f>'T_TTAFStock'!H30</f>
        <v/>
      </c>
      <c r="K287">
        <f>'T_TTAFStock'!I30</f>
        <v/>
      </c>
      <c r="L287">
        <f>'T_TTAFStock'!J30</f>
        <v/>
      </c>
      <c r="M287">
        <f>'T_TTAFStock'!K30</f>
        <v/>
      </c>
      <c r="N287">
        <f>'T_TTAFStock'!L30</f>
        <v/>
      </c>
      <c r="O287">
        <f>'T_TTAFStock'!M30</f>
        <v/>
      </c>
      <c r="P287">
        <f>'T_TTAFStock'!N30</f>
        <v/>
      </c>
      <c r="Q287">
        <f>'T_TTAFStock'!O30</f>
        <v/>
      </c>
      <c r="R287">
        <f>'T_TTAFStock'!P30</f>
        <v/>
      </c>
      <c r="S287">
        <f>'T_TTAFStock'!Q30</f>
        <v/>
      </c>
      <c r="T287">
        <f>'T_TTAFStock'!R30</f>
        <v/>
      </c>
      <c r="U287">
        <f>'T_TTAFStock'!S30</f>
        <v/>
      </c>
      <c r="V287">
        <f>'T_TTAFStock'!T30</f>
        <v/>
      </c>
      <c r="W287">
        <f>'T_TTAFStock'!U30</f>
        <v/>
      </c>
      <c r="X287">
        <f>'T_TTAFStock'!V30</f>
        <v/>
      </c>
      <c r="Y287">
        <f>'T_TTAFStock'!W30</f>
        <v/>
      </c>
      <c r="Z287">
        <f>'T_TTAFStock'!X30</f>
        <v/>
      </c>
      <c r="AA287">
        <f>'T_TTAFStock'!Y30</f>
        <v/>
      </c>
      <c r="AB287">
        <f>'T_TTAFStock'!Z30</f>
        <v/>
      </c>
      <c r="AC287">
        <f>'T_TTAFStock'!AA30</f>
        <v/>
      </c>
      <c r="AD287">
        <f>'T_TTAFStock'!AB30</f>
        <v/>
      </c>
      <c r="AE287">
        <f>'T_TTAFStock'!AC30</f>
        <v/>
      </c>
      <c r="AF287">
        <f>'T_TTAFStock'!AD30</f>
        <v/>
      </c>
      <c r="AG287">
        <f>'T_TTAFStock'!AE30</f>
        <v/>
      </c>
      <c r="AH287">
        <f>'T_TTAFStock'!AF30</f>
        <v/>
      </c>
      <c r="AI287">
        <f>'T_TTAFStock'!AG30</f>
        <v/>
      </c>
      <c r="AJ287">
        <f>'T_TTAFStock'!AH30</f>
        <v/>
      </c>
      <c r="AK287">
        <f>'T_TTAFStock'!AI30</f>
        <v/>
      </c>
      <c r="AL287">
        <f>'T_TTAFStock'!AJ30</f>
        <v/>
      </c>
      <c r="AM287">
        <f>'T_TTAFStock'!AK30</f>
        <v/>
      </c>
      <c r="AN287">
        <f>'T_TTAFStock'!AL30</f>
        <v/>
      </c>
      <c r="AO287">
        <f>'T_TTAFStock'!AM30</f>
        <v/>
      </c>
      <c r="AP287">
        <f>'T_TTAFStock'!AN30</f>
        <v/>
      </c>
      <c r="AQ287">
        <f>'T_TTAFStock'!AO30</f>
        <v/>
      </c>
      <c r="AR287">
        <f>'T_TTAFStock'!AP30</f>
        <v/>
      </c>
      <c r="AS287">
        <f>'T_TTAFStock'!AQ30</f>
        <v/>
      </c>
      <c r="AT287">
        <f>'T_TTAFStock'!AR30</f>
        <v/>
      </c>
      <c r="AU287">
        <f>'T_TTAFStock'!AS30</f>
        <v/>
      </c>
      <c r="AV287">
        <f>'T_TTAFStock'!AT30</f>
        <v/>
      </c>
      <c r="AW287">
        <f>'T_TTAFStock'!AU30</f>
        <v/>
      </c>
      <c r="AX287">
        <f>'T_TTAFStock'!AV30</f>
        <v/>
      </c>
      <c r="AY287">
        <f>'T_TTAFStock'!AW30</f>
        <v/>
      </c>
      <c r="AZ287">
        <f>'T_TTAFStock'!AX30</f>
        <v/>
      </c>
      <c r="BA287">
        <f>'T_TTAFStock'!AY30</f>
        <v/>
      </c>
      <c r="BB287">
        <f>'T_TTAFStock'!AZ30</f>
        <v/>
      </c>
      <c r="BC287">
        <f>'T_TTAFStock'!BA30</f>
        <v/>
      </c>
      <c r="BD287">
        <f>'T_TTAFStock'!BB30</f>
        <v/>
      </c>
      <c r="BE287">
        <f>'T_TTAFStock'!BC30</f>
        <v/>
      </c>
      <c r="BF287">
        <f>'T_TTAFStock'!BD30</f>
        <v/>
      </c>
      <c r="BG287">
        <f>'T_TTAFStock'!BE30</f>
        <v/>
      </c>
      <c r="BH287">
        <f>'T_TTAFStock'!BF30</f>
        <v/>
      </c>
      <c r="BI287">
        <f>'T_TTAFStock'!BG30</f>
        <v/>
      </c>
      <c r="BJ287">
        <f>'T_TTAFStock'!BH30</f>
        <v/>
      </c>
      <c r="BK287">
        <f>'T_TTAFStock'!BI30</f>
        <v/>
      </c>
      <c r="BL287">
        <f>'T_TTAFStock'!BJ30</f>
        <v/>
      </c>
      <c r="BM287">
        <f>'T_TTAFStock'!BK30</f>
        <v/>
      </c>
      <c r="BN287">
        <f>'T_TTAFStock'!BL30</f>
        <v/>
      </c>
      <c r="BO287">
        <f>'T_TTAFStock'!BM30</f>
        <v/>
      </c>
      <c r="BP287">
        <f>'T_TTAFStock'!BN30</f>
        <v/>
      </c>
      <c r="BQ287">
        <f>'T_TTAFStock'!BO30</f>
        <v/>
      </c>
      <c r="BR287">
        <f>'T_TTAFStock'!BP30</f>
        <v/>
      </c>
      <c r="BS287">
        <f>'T_TTAFStock'!BQ30</f>
        <v/>
      </c>
      <c r="BT287">
        <f>'T_TTAFStock'!BR30</f>
        <v/>
      </c>
      <c r="BU287">
        <f>'T_TTAFStock'!BS30</f>
        <v/>
      </c>
      <c r="BV287">
        <f>'T_TTAFStock'!BT30</f>
        <v/>
      </c>
      <c r="BW287">
        <f>'T_TTAFStock'!BU30</f>
        <v/>
      </c>
      <c r="BX287">
        <f>'T_TTAFStock'!BV30</f>
        <v/>
      </c>
      <c r="BY287">
        <f>'T_TTAFStock'!BW30</f>
        <v/>
      </c>
      <c r="BZ287">
        <f>'T_TTAFStock'!BX30</f>
        <v/>
      </c>
      <c r="CA287">
        <f>'T_TTAFStock'!BY30</f>
        <v/>
      </c>
      <c r="CB287">
        <f>'T_TTAFStock'!BZ30</f>
        <v/>
      </c>
      <c r="CC287">
        <f>'T_TTAFStock'!CA30</f>
        <v/>
      </c>
      <c r="CD287">
        <f>'T_TTAFStock'!CB30</f>
        <v/>
      </c>
      <c r="CE287">
        <f>'T_TTAFStock'!CC30</f>
        <v/>
      </c>
      <c r="CF287">
        <f>'T_TTAFStock'!CD30</f>
        <v/>
      </c>
      <c r="CG287">
        <f>'T_TTAFStock'!CE30</f>
        <v/>
      </c>
      <c r="CH287">
        <f>'T_TTAFStock'!CF30</f>
        <v/>
      </c>
      <c r="CI287">
        <f>'T_TTAFStock'!CG30</f>
        <v/>
      </c>
      <c r="CJ287">
        <f>'T_TTAFStock'!CH30</f>
        <v/>
      </c>
      <c r="CK287">
        <f>'T_TTAFStock'!CI30</f>
        <v/>
      </c>
      <c r="CL287">
        <f>'T_TTAFStock'!CJ30</f>
        <v/>
      </c>
      <c r="CM287">
        <f>'T_TTAFStock'!CK30</f>
        <v/>
      </c>
      <c r="CN287">
        <f>'T_TTAFStock'!CL30</f>
        <v/>
      </c>
      <c r="CO287">
        <f>'T_TTAFStock'!CM30</f>
        <v/>
      </c>
      <c r="CP287">
        <f>'T_TTAFStock'!CN30</f>
        <v/>
      </c>
      <c r="CQ287">
        <f>'T_TTAFStock'!CO30</f>
        <v/>
      </c>
      <c r="CR287">
        <f>'T_TTAFStock'!CP30</f>
        <v/>
      </c>
      <c r="CS287">
        <f>'T_TTAFStock'!CQ30</f>
        <v/>
      </c>
      <c r="CT287">
        <f>'T_TTAFStock'!CR30</f>
        <v/>
      </c>
      <c r="CU287">
        <f>'T_TTAFStock'!CS30</f>
        <v/>
      </c>
      <c r="CV287">
        <f>'T_TTAFStock'!CT30</f>
        <v/>
      </c>
      <c r="CW287">
        <f>'T_TTAFStock'!CU30</f>
        <v/>
      </c>
      <c r="CX287">
        <f>'T_TTAFStock'!CV30</f>
        <v/>
      </c>
      <c r="CY287">
        <f>'T_TTAFStock'!CW30</f>
        <v/>
      </c>
      <c r="CZ287">
        <f>'T_TTAFStock'!CX30</f>
        <v/>
      </c>
      <c r="DA287">
        <f>'T_TTAFStock'!CY30</f>
        <v/>
      </c>
      <c r="DB287">
        <f>'T_TTAFStock'!CZ30</f>
        <v/>
      </c>
      <c r="DC287">
        <f>'T_TTAFStock'!DA30</f>
        <v/>
      </c>
    </row>
    <row r="288">
      <c r="B288" t="inlineStr">
        <is>
          <t>自社在庫(実績,kg)</t>
        </is>
      </c>
      <c r="D288">
        <f>'T_SelfStock'!B30</f>
        <v/>
      </c>
      <c r="E288">
        <f>'T_SelfStock'!C30</f>
        <v/>
      </c>
      <c r="F288">
        <f>'T_SelfStock'!D30</f>
        <v/>
      </c>
      <c r="G288">
        <f>'T_SelfStock'!E30</f>
        <v/>
      </c>
      <c r="H288">
        <f>'T_SelfStock'!F30</f>
        <v/>
      </c>
      <c r="I288">
        <f>'T_SelfStock'!G30</f>
        <v/>
      </c>
      <c r="J288">
        <f>'T_SelfStock'!H30</f>
        <v/>
      </c>
      <c r="K288">
        <f>'T_SelfStock'!I30</f>
        <v/>
      </c>
      <c r="L288">
        <f>'T_SelfStock'!J30</f>
        <v/>
      </c>
      <c r="M288">
        <f>'T_SelfStock'!K30</f>
        <v/>
      </c>
      <c r="N288">
        <f>'T_SelfStock'!L30</f>
        <v/>
      </c>
      <c r="O288">
        <f>'T_SelfStock'!M30</f>
        <v/>
      </c>
      <c r="P288">
        <f>'T_SelfStock'!N30</f>
        <v/>
      </c>
      <c r="Q288">
        <f>'T_SelfStock'!O30</f>
        <v/>
      </c>
      <c r="R288">
        <f>'T_SelfStock'!P30</f>
        <v/>
      </c>
      <c r="S288">
        <f>'T_SelfStock'!Q30</f>
        <v/>
      </c>
      <c r="T288">
        <f>'T_SelfStock'!R30</f>
        <v/>
      </c>
      <c r="U288">
        <f>'T_SelfStock'!S30</f>
        <v/>
      </c>
      <c r="V288">
        <f>'T_SelfStock'!T30</f>
        <v/>
      </c>
      <c r="W288">
        <f>'T_SelfStock'!U30</f>
        <v/>
      </c>
      <c r="X288">
        <f>'T_SelfStock'!V30</f>
        <v/>
      </c>
      <c r="Y288">
        <f>'T_SelfStock'!W30</f>
        <v/>
      </c>
      <c r="Z288">
        <f>'T_SelfStock'!X30</f>
        <v/>
      </c>
      <c r="AA288">
        <f>'T_SelfStock'!Y30</f>
        <v/>
      </c>
      <c r="AB288">
        <f>'T_SelfStock'!Z30</f>
        <v/>
      </c>
      <c r="AC288">
        <f>'T_SelfStock'!AA30</f>
        <v/>
      </c>
      <c r="AD288">
        <f>'T_SelfStock'!AB30</f>
        <v/>
      </c>
      <c r="AE288">
        <f>'T_SelfStock'!AC30</f>
        <v/>
      </c>
      <c r="AF288">
        <f>'T_SelfStock'!AD30</f>
        <v/>
      </c>
      <c r="AG288">
        <f>'T_SelfStock'!AE30</f>
        <v/>
      </c>
      <c r="AH288">
        <f>'T_SelfStock'!AF30</f>
        <v/>
      </c>
      <c r="AI288">
        <f>'T_SelfStock'!AG30</f>
        <v/>
      </c>
      <c r="AJ288">
        <f>'T_SelfStock'!AH30</f>
        <v/>
      </c>
      <c r="AK288">
        <f>'T_SelfStock'!AI30</f>
        <v/>
      </c>
      <c r="AL288">
        <f>'T_SelfStock'!AJ30</f>
        <v/>
      </c>
      <c r="AM288">
        <f>'T_SelfStock'!AK30</f>
        <v/>
      </c>
      <c r="AN288">
        <f>'T_SelfStock'!AL30</f>
        <v/>
      </c>
      <c r="AO288">
        <f>'T_SelfStock'!AM30</f>
        <v/>
      </c>
      <c r="AP288">
        <f>'T_SelfStock'!AN30</f>
        <v/>
      </c>
      <c r="AQ288">
        <f>'T_SelfStock'!AO30</f>
        <v/>
      </c>
      <c r="AR288">
        <f>'T_SelfStock'!AP30</f>
        <v/>
      </c>
      <c r="AS288">
        <f>'T_SelfStock'!AQ30</f>
        <v/>
      </c>
      <c r="AT288">
        <f>'T_SelfStock'!AR30</f>
        <v/>
      </c>
      <c r="AU288">
        <f>'T_SelfStock'!AS30</f>
        <v/>
      </c>
      <c r="AV288">
        <f>'T_SelfStock'!AT30</f>
        <v/>
      </c>
      <c r="AW288">
        <f>'T_SelfStock'!AU30</f>
        <v/>
      </c>
      <c r="AX288">
        <f>'T_SelfStock'!AV30</f>
        <v/>
      </c>
      <c r="AY288">
        <f>'T_SelfStock'!AW30</f>
        <v/>
      </c>
      <c r="AZ288">
        <f>'T_SelfStock'!AX30</f>
        <v/>
      </c>
      <c r="BA288">
        <f>'T_SelfStock'!AY30</f>
        <v/>
      </c>
      <c r="BB288">
        <f>'T_SelfStock'!AZ30</f>
        <v/>
      </c>
      <c r="BC288">
        <f>'T_SelfStock'!BA30</f>
        <v/>
      </c>
      <c r="BD288">
        <f>'T_SelfStock'!BB30</f>
        <v/>
      </c>
      <c r="BE288">
        <f>'T_SelfStock'!BC30</f>
        <v/>
      </c>
      <c r="BF288">
        <f>'T_SelfStock'!BD30</f>
        <v/>
      </c>
      <c r="BG288">
        <f>'T_SelfStock'!BE30</f>
        <v/>
      </c>
      <c r="BH288">
        <f>'T_SelfStock'!BF30</f>
        <v/>
      </c>
      <c r="BI288">
        <f>'T_SelfStock'!BG30</f>
        <v/>
      </c>
      <c r="BJ288">
        <f>'T_SelfStock'!BH30</f>
        <v/>
      </c>
      <c r="BK288">
        <f>'T_SelfStock'!BI30</f>
        <v/>
      </c>
      <c r="BL288">
        <f>'T_SelfStock'!BJ30</f>
        <v/>
      </c>
      <c r="BM288">
        <f>'T_SelfStock'!BK30</f>
        <v/>
      </c>
      <c r="BN288">
        <f>'T_SelfStock'!BL30</f>
        <v/>
      </c>
      <c r="BO288">
        <f>'T_SelfStock'!BM30</f>
        <v/>
      </c>
      <c r="BP288">
        <f>'T_SelfStock'!BN30</f>
        <v/>
      </c>
      <c r="BQ288">
        <f>'T_SelfStock'!BO30</f>
        <v/>
      </c>
      <c r="BR288">
        <f>'T_SelfStock'!BP30</f>
        <v/>
      </c>
      <c r="BS288">
        <f>'T_SelfStock'!BQ30</f>
        <v/>
      </c>
      <c r="BT288">
        <f>'T_SelfStock'!BR30</f>
        <v/>
      </c>
      <c r="BU288">
        <f>'T_SelfStock'!BS30</f>
        <v/>
      </c>
      <c r="BV288">
        <f>'T_SelfStock'!BT30</f>
        <v/>
      </c>
      <c r="BW288">
        <f>'T_SelfStock'!BU30</f>
        <v/>
      </c>
      <c r="BX288">
        <f>'T_SelfStock'!BV30</f>
        <v/>
      </c>
      <c r="BY288">
        <f>'T_SelfStock'!BW30</f>
        <v/>
      </c>
      <c r="BZ288">
        <f>'T_SelfStock'!BX30</f>
        <v/>
      </c>
      <c r="CA288">
        <f>'T_SelfStock'!BY30</f>
        <v/>
      </c>
      <c r="CB288">
        <f>'T_SelfStock'!BZ30</f>
        <v/>
      </c>
      <c r="CC288">
        <f>'T_SelfStock'!CA30</f>
        <v/>
      </c>
      <c r="CD288">
        <f>'T_SelfStock'!CB30</f>
        <v/>
      </c>
      <c r="CE288">
        <f>'T_SelfStock'!CC30</f>
        <v/>
      </c>
      <c r="CF288">
        <f>'T_SelfStock'!CD30</f>
        <v/>
      </c>
      <c r="CG288">
        <f>'T_SelfStock'!CE30</f>
        <v/>
      </c>
      <c r="CH288">
        <f>'T_SelfStock'!CF30</f>
        <v/>
      </c>
      <c r="CI288">
        <f>'T_SelfStock'!CG30</f>
        <v/>
      </c>
      <c r="CJ288">
        <f>'T_SelfStock'!CH30</f>
        <v/>
      </c>
      <c r="CK288">
        <f>'T_SelfStock'!CI30</f>
        <v/>
      </c>
      <c r="CL288">
        <f>'T_SelfStock'!CJ30</f>
        <v/>
      </c>
      <c r="CM288">
        <f>'T_SelfStock'!CK30</f>
        <v/>
      </c>
      <c r="CN288">
        <f>'T_SelfStock'!CL30</f>
        <v/>
      </c>
      <c r="CO288">
        <f>'T_SelfStock'!CM30</f>
        <v/>
      </c>
      <c r="CP288">
        <f>'T_SelfStock'!CN30</f>
        <v/>
      </c>
      <c r="CQ288">
        <f>'T_SelfStock'!CO30</f>
        <v/>
      </c>
      <c r="CR288">
        <f>'T_SelfStock'!CP30</f>
        <v/>
      </c>
      <c r="CS288">
        <f>'T_SelfStock'!CQ30</f>
        <v/>
      </c>
      <c r="CT288">
        <f>'T_SelfStock'!CR30</f>
        <v/>
      </c>
      <c r="CU288">
        <f>'T_SelfStock'!CS30</f>
        <v/>
      </c>
      <c r="CV288">
        <f>'T_SelfStock'!CT30</f>
        <v/>
      </c>
      <c r="CW288">
        <f>'T_SelfStock'!CU30</f>
        <v/>
      </c>
      <c r="CX288">
        <f>'T_SelfStock'!CV30</f>
        <v/>
      </c>
      <c r="CY288">
        <f>'T_SelfStock'!CW30</f>
        <v/>
      </c>
      <c r="CZ288">
        <f>'T_SelfStock'!CX30</f>
        <v/>
      </c>
      <c r="DA288">
        <f>'T_SelfStock'!CY30</f>
        <v/>
      </c>
      <c r="DB288">
        <f>'T_SelfStock'!CZ30</f>
        <v/>
      </c>
      <c r="DC288">
        <f>'T_SelfStock'!DA30</f>
        <v/>
      </c>
    </row>
    <row r="289">
      <c r="B289" t="inlineStr">
        <is>
          <t>Order(発注予定,kg)</t>
        </is>
      </c>
      <c r="D289">
        <f>IF(SUMIFS(T_PlannedOrders[EffectiveQty],T_PlannedOrders[Part Name],$A277,T_PlannedOrders[WeekIndex],1)=0,"",SUMIFS(T_PlannedOrders[EffectiveQty],T_PlannedOrders[Part Name],$A277,T_PlannedOrders[WeekIndex],1)&amp;" ("&amp;TEXT(SUMPRODUCT(MAX((T_PlannedOrders[Part Name]=$A277)*(T_PlannedOrders[WeekIndex]=1)*(T_PlannedOrders[EffectiveQty]&gt;0)*T_PlannedOrders[Order_Month])),"m月")&amp;"発注)")</f>
        <v/>
      </c>
      <c r="E289">
        <f>IF(SUMIFS(T_PlannedOrders[EffectiveQty],T_PlannedOrders[Part Name],$A277,T_PlannedOrders[WeekIndex],2)=0,"",SUMIFS(T_PlannedOrders[EffectiveQty],T_PlannedOrders[Part Name],$A277,T_PlannedOrders[WeekIndex],2)&amp;" ("&amp;TEXT(SUMPRODUCT(MAX((T_PlannedOrders[Part Name]=$A277)*(T_PlannedOrders[WeekIndex]=2)*(T_PlannedOrders[EffectiveQty]&gt;0)*T_PlannedOrders[Order_Month])),"m月")&amp;"発注)")</f>
        <v/>
      </c>
      <c r="F289">
        <f>IF(SUMIFS(T_PlannedOrders[EffectiveQty],T_PlannedOrders[Part Name],$A277,T_PlannedOrders[WeekIndex],3)=0,"",SUMIFS(T_PlannedOrders[EffectiveQty],T_PlannedOrders[Part Name],$A277,T_PlannedOrders[WeekIndex],3)&amp;" ("&amp;TEXT(SUMPRODUCT(MAX((T_PlannedOrders[Part Name]=$A277)*(T_PlannedOrders[WeekIndex]=3)*(T_PlannedOrders[EffectiveQty]&gt;0)*T_PlannedOrders[Order_Month])),"m月")&amp;"発注)")</f>
        <v/>
      </c>
      <c r="G289">
        <f>IF(SUMIFS(T_PlannedOrders[EffectiveQty],T_PlannedOrders[Part Name],$A277,T_PlannedOrders[WeekIndex],4)=0,"",SUMIFS(T_PlannedOrders[EffectiveQty],T_PlannedOrders[Part Name],$A277,T_PlannedOrders[WeekIndex],4)&amp;" ("&amp;TEXT(SUMPRODUCT(MAX((T_PlannedOrders[Part Name]=$A277)*(T_PlannedOrders[WeekIndex]=4)*(T_PlannedOrders[EffectiveQty]&gt;0)*T_PlannedOrders[Order_Month])),"m月")&amp;"発注)")</f>
        <v/>
      </c>
      <c r="H289">
        <f>IF(SUMIFS(T_PlannedOrders[EffectiveQty],T_PlannedOrders[Part Name],$A277,T_PlannedOrders[WeekIndex],5)=0,"",SUMIFS(T_PlannedOrders[EffectiveQty],T_PlannedOrders[Part Name],$A277,T_PlannedOrders[WeekIndex],5)&amp;" ("&amp;TEXT(SUMPRODUCT(MAX((T_PlannedOrders[Part Name]=$A277)*(T_PlannedOrders[WeekIndex]=5)*(T_PlannedOrders[EffectiveQty]&gt;0)*T_PlannedOrders[Order_Month])),"m月")&amp;"発注)")</f>
        <v/>
      </c>
      <c r="I289">
        <f>IF(SUMIFS(T_PlannedOrders[EffectiveQty],T_PlannedOrders[Part Name],$A277,T_PlannedOrders[WeekIndex],6)=0,"",SUMIFS(T_PlannedOrders[EffectiveQty],T_PlannedOrders[Part Name],$A277,T_PlannedOrders[WeekIndex],6)&amp;" ("&amp;TEXT(SUMPRODUCT(MAX((T_PlannedOrders[Part Name]=$A277)*(T_PlannedOrders[WeekIndex]=6)*(T_PlannedOrders[EffectiveQty]&gt;0)*T_PlannedOrders[Order_Month])),"m月")&amp;"発注)")</f>
        <v/>
      </c>
      <c r="J289">
        <f>IF(SUMIFS(T_PlannedOrders[EffectiveQty],T_PlannedOrders[Part Name],$A277,T_PlannedOrders[WeekIndex],7)=0,"",SUMIFS(T_PlannedOrders[EffectiveQty],T_PlannedOrders[Part Name],$A277,T_PlannedOrders[WeekIndex],7)&amp;" ("&amp;TEXT(SUMPRODUCT(MAX((T_PlannedOrders[Part Name]=$A277)*(T_PlannedOrders[WeekIndex]=7)*(T_PlannedOrders[EffectiveQty]&gt;0)*T_PlannedOrders[Order_Month])),"m月")&amp;"発注)")</f>
        <v/>
      </c>
      <c r="K289">
        <f>IF(SUMIFS(T_PlannedOrders[EffectiveQty],T_PlannedOrders[Part Name],$A277,T_PlannedOrders[WeekIndex],8)=0,"",SUMIFS(T_PlannedOrders[EffectiveQty],T_PlannedOrders[Part Name],$A277,T_PlannedOrders[WeekIndex],8)&amp;" ("&amp;TEXT(SUMPRODUCT(MAX((T_PlannedOrders[Part Name]=$A277)*(T_PlannedOrders[WeekIndex]=8)*(T_PlannedOrders[EffectiveQty]&gt;0)*T_PlannedOrders[Order_Month])),"m月")&amp;"発注)")</f>
        <v/>
      </c>
      <c r="L289">
        <f>IF(SUMIFS(T_PlannedOrders[EffectiveQty],T_PlannedOrders[Part Name],$A277,T_PlannedOrders[WeekIndex],9)=0,"",SUMIFS(T_PlannedOrders[EffectiveQty],T_PlannedOrders[Part Name],$A277,T_PlannedOrders[WeekIndex],9)&amp;" ("&amp;TEXT(SUMPRODUCT(MAX((T_PlannedOrders[Part Name]=$A277)*(T_PlannedOrders[WeekIndex]=9)*(T_PlannedOrders[EffectiveQty]&gt;0)*T_PlannedOrders[Order_Month])),"m月")&amp;"発注)")</f>
        <v/>
      </c>
      <c r="M289">
        <f>IF(SUMIFS(T_PlannedOrders[EffectiveQty],T_PlannedOrders[Part Name],$A277,T_PlannedOrders[WeekIndex],10)=0,"",SUMIFS(T_PlannedOrders[EffectiveQty],T_PlannedOrders[Part Name],$A277,T_PlannedOrders[WeekIndex],10)&amp;" ("&amp;TEXT(SUMPRODUCT(MAX((T_PlannedOrders[Part Name]=$A277)*(T_PlannedOrders[WeekIndex]=10)*(T_PlannedOrders[EffectiveQty]&gt;0)*T_PlannedOrders[Order_Month])),"m月")&amp;"発注)")</f>
        <v/>
      </c>
      <c r="N289">
        <f>IF(SUMIFS(T_PlannedOrders[EffectiveQty],T_PlannedOrders[Part Name],$A277,T_PlannedOrders[WeekIndex],11)=0,"",SUMIFS(T_PlannedOrders[EffectiveQty],T_PlannedOrders[Part Name],$A277,T_PlannedOrders[WeekIndex],11)&amp;" ("&amp;TEXT(SUMPRODUCT(MAX((T_PlannedOrders[Part Name]=$A277)*(T_PlannedOrders[WeekIndex]=11)*(T_PlannedOrders[EffectiveQty]&gt;0)*T_PlannedOrders[Order_Month])),"m月")&amp;"発注)")</f>
        <v/>
      </c>
      <c r="O289">
        <f>IF(SUMIFS(T_PlannedOrders[EffectiveQty],T_PlannedOrders[Part Name],$A277,T_PlannedOrders[WeekIndex],12)=0,"",SUMIFS(T_PlannedOrders[EffectiveQty],T_PlannedOrders[Part Name],$A277,T_PlannedOrders[WeekIndex],12)&amp;" ("&amp;TEXT(SUMPRODUCT(MAX((T_PlannedOrders[Part Name]=$A277)*(T_PlannedOrders[WeekIndex]=12)*(T_PlannedOrders[EffectiveQty]&gt;0)*T_PlannedOrders[Order_Month])),"m月")&amp;"発注)")</f>
        <v/>
      </c>
      <c r="P289">
        <f>IF(SUMIFS(T_PlannedOrders[EffectiveQty],T_PlannedOrders[Part Name],$A277,T_PlannedOrders[WeekIndex],13)=0,"",SUMIFS(T_PlannedOrders[EffectiveQty],T_PlannedOrders[Part Name],$A277,T_PlannedOrders[WeekIndex],13)&amp;" ("&amp;TEXT(SUMPRODUCT(MAX((T_PlannedOrders[Part Name]=$A277)*(T_PlannedOrders[WeekIndex]=13)*(T_PlannedOrders[EffectiveQty]&gt;0)*T_PlannedOrders[Order_Month])),"m月")&amp;"発注)")</f>
        <v/>
      </c>
      <c r="Q289">
        <f>IF(SUMIFS(T_PlannedOrders[EffectiveQty],T_PlannedOrders[Part Name],$A277,T_PlannedOrders[WeekIndex],14)=0,"",SUMIFS(T_PlannedOrders[EffectiveQty],T_PlannedOrders[Part Name],$A277,T_PlannedOrders[WeekIndex],14)&amp;" ("&amp;TEXT(SUMPRODUCT(MAX((T_PlannedOrders[Part Name]=$A277)*(T_PlannedOrders[WeekIndex]=14)*(T_PlannedOrders[EffectiveQty]&gt;0)*T_PlannedOrders[Order_Month])),"m月")&amp;"発注)")</f>
        <v/>
      </c>
      <c r="R289">
        <f>IF(SUMIFS(T_PlannedOrders[EffectiveQty],T_PlannedOrders[Part Name],$A277,T_PlannedOrders[WeekIndex],15)=0,"",SUMIFS(T_PlannedOrders[EffectiveQty],T_PlannedOrders[Part Name],$A277,T_PlannedOrders[WeekIndex],15)&amp;" ("&amp;TEXT(SUMPRODUCT(MAX((T_PlannedOrders[Part Name]=$A277)*(T_PlannedOrders[WeekIndex]=15)*(T_PlannedOrders[EffectiveQty]&gt;0)*T_PlannedOrders[Order_Month])),"m月")&amp;"発注)")</f>
        <v/>
      </c>
      <c r="S289">
        <f>IF(SUMIFS(T_PlannedOrders[EffectiveQty],T_PlannedOrders[Part Name],$A277,T_PlannedOrders[WeekIndex],16)=0,"",SUMIFS(T_PlannedOrders[EffectiveQty],T_PlannedOrders[Part Name],$A277,T_PlannedOrders[WeekIndex],16)&amp;" ("&amp;TEXT(SUMPRODUCT(MAX((T_PlannedOrders[Part Name]=$A277)*(T_PlannedOrders[WeekIndex]=16)*(T_PlannedOrders[EffectiveQty]&gt;0)*T_PlannedOrders[Order_Month])),"m月")&amp;"発注)")</f>
        <v/>
      </c>
      <c r="T289">
        <f>IF(SUMIFS(T_PlannedOrders[EffectiveQty],T_PlannedOrders[Part Name],$A277,T_PlannedOrders[WeekIndex],17)=0,"",SUMIFS(T_PlannedOrders[EffectiveQty],T_PlannedOrders[Part Name],$A277,T_PlannedOrders[WeekIndex],17)&amp;" ("&amp;TEXT(SUMPRODUCT(MAX((T_PlannedOrders[Part Name]=$A277)*(T_PlannedOrders[WeekIndex]=17)*(T_PlannedOrders[EffectiveQty]&gt;0)*T_PlannedOrders[Order_Month])),"m月")&amp;"発注)")</f>
        <v/>
      </c>
      <c r="U289">
        <f>IF(SUMIFS(T_PlannedOrders[EffectiveQty],T_PlannedOrders[Part Name],$A277,T_PlannedOrders[WeekIndex],18)=0,"",SUMIFS(T_PlannedOrders[EffectiveQty],T_PlannedOrders[Part Name],$A277,T_PlannedOrders[WeekIndex],18)&amp;" ("&amp;TEXT(SUMPRODUCT(MAX((T_PlannedOrders[Part Name]=$A277)*(T_PlannedOrders[WeekIndex]=18)*(T_PlannedOrders[EffectiveQty]&gt;0)*T_PlannedOrders[Order_Month])),"m月")&amp;"発注)")</f>
        <v/>
      </c>
      <c r="V289">
        <f>IF(SUMIFS(T_PlannedOrders[EffectiveQty],T_PlannedOrders[Part Name],$A277,T_PlannedOrders[WeekIndex],19)=0,"",SUMIFS(T_PlannedOrders[EffectiveQty],T_PlannedOrders[Part Name],$A277,T_PlannedOrders[WeekIndex],19)&amp;" ("&amp;TEXT(SUMPRODUCT(MAX((T_PlannedOrders[Part Name]=$A277)*(T_PlannedOrders[WeekIndex]=19)*(T_PlannedOrders[EffectiveQty]&gt;0)*T_PlannedOrders[Order_Month])),"m月")&amp;"発注)")</f>
        <v/>
      </c>
      <c r="W289">
        <f>IF(SUMIFS(T_PlannedOrders[EffectiveQty],T_PlannedOrders[Part Name],$A277,T_PlannedOrders[WeekIndex],20)=0,"",SUMIFS(T_PlannedOrders[EffectiveQty],T_PlannedOrders[Part Name],$A277,T_PlannedOrders[WeekIndex],20)&amp;" ("&amp;TEXT(SUMPRODUCT(MAX((T_PlannedOrders[Part Name]=$A277)*(T_PlannedOrders[WeekIndex]=20)*(T_PlannedOrders[EffectiveQty]&gt;0)*T_PlannedOrders[Order_Month])),"m月")&amp;"発注)")</f>
        <v/>
      </c>
      <c r="X289">
        <f>IF(SUMIFS(T_PlannedOrders[EffectiveQty],T_PlannedOrders[Part Name],$A277,T_PlannedOrders[WeekIndex],21)=0,"",SUMIFS(T_PlannedOrders[EffectiveQty],T_PlannedOrders[Part Name],$A277,T_PlannedOrders[WeekIndex],21)&amp;" ("&amp;TEXT(SUMPRODUCT(MAX((T_PlannedOrders[Part Name]=$A277)*(T_PlannedOrders[WeekIndex]=21)*(T_PlannedOrders[EffectiveQty]&gt;0)*T_PlannedOrders[Order_Month])),"m月")&amp;"発注)")</f>
        <v/>
      </c>
      <c r="Y289">
        <f>IF(SUMIFS(T_PlannedOrders[EffectiveQty],T_PlannedOrders[Part Name],$A277,T_PlannedOrders[WeekIndex],22)=0,"",SUMIFS(T_PlannedOrders[EffectiveQty],T_PlannedOrders[Part Name],$A277,T_PlannedOrders[WeekIndex],22)&amp;" ("&amp;TEXT(SUMPRODUCT(MAX((T_PlannedOrders[Part Name]=$A277)*(T_PlannedOrders[WeekIndex]=22)*(T_PlannedOrders[EffectiveQty]&gt;0)*T_PlannedOrders[Order_Month])),"m月")&amp;"発注)")</f>
        <v/>
      </c>
      <c r="Z289">
        <f>IF(SUMIFS(T_PlannedOrders[EffectiveQty],T_PlannedOrders[Part Name],$A277,T_PlannedOrders[WeekIndex],23)=0,"",SUMIFS(T_PlannedOrders[EffectiveQty],T_PlannedOrders[Part Name],$A277,T_PlannedOrders[WeekIndex],23)&amp;" ("&amp;TEXT(SUMPRODUCT(MAX((T_PlannedOrders[Part Name]=$A277)*(T_PlannedOrders[WeekIndex]=23)*(T_PlannedOrders[EffectiveQty]&gt;0)*T_PlannedOrders[Order_Month])),"m月")&amp;"発注)")</f>
        <v/>
      </c>
      <c r="AA289">
        <f>IF(SUMIFS(T_PlannedOrders[EffectiveQty],T_PlannedOrders[Part Name],$A277,T_PlannedOrders[WeekIndex],24)=0,"",SUMIFS(T_PlannedOrders[EffectiveQty],T_PlannedOrders[Part Name],$A277,T_PlannedOrders[WeekIndex],24)&amp;" ("&amp;TEXT(SUMPRODUCT(MAX((T_PlannedOrders[Part Name]=$A277)*(T_PlannedOrders[WeekIndex]=24)*(T_PlannedOrders[EffectiveQty]&gt;0)*T_PlannedOrders[Order_Month])),"m月")&amp;"発注)")</f>
        <v/>
      </c>
      <c r="AB289">
        <f>IF(SUMIFS(T_PlannedOrders[EffectiveQty],T_PlannedOrders[Part Name],$A277,T_PlannedOrders[WeekIndex],25)=0,"",SUMIFS(T_PlannedOrders[EffectiveQty],T_PlannedOrders[Part Name],$A277,T_PlannedOrders[WeekIndex],25)&amp;" ("&amp;TEXT(SUMPRODUCT(MAX((T_PlannedOrders[Part Name]=$A277)*(T_PlannedOrders[WeekIndex]=25)*(T_PlannedOrders[EffectiveQty]&gt;0)*T_PlannedOrders[Order_Month])),"m月")&amp;"発注)")</f>
        <v/>
      </c>
      <c r="AC289">
        <f>IF(SUMIFS(T_PlannedOrders[EffectiveQty],T_PlannedOrders[Part Name],$A277,T_PlannedOrders[WeekIndex],26)=0,"",SUMIFS(T_PlannedOrders[EffectiveQty],T_PlannedOrders[Part Name],$A277,T_PlannedOrders[WeekIndex],26)&amp;" ("&amp;TEXT(SUMPRODUCT(MAX((T_PlannedOrders[Part Name]=$A277)*(T_PlannedOrders[WeekIndex]=26)*(T_PlannedOrders[EffectiveQty]&gt;0)*T_PlannedOrders[Order_Month])),"m月")&amp;"発注)")</f>
        <v/>
      </c>
      <c r="AD289">
        <f>IF(SUMIFS(T_PlannedOrders[EffectiveQty],T_PlannedOrders[Part Name],$A277,T_PlannedOrders[WeekIndex],27)=0,"",SUMIFS(T_PlannedOrders[EffectiveQty],T_PlannedOrders[Part Name],$A277,T_PlannedOrders[WeekIndex],27)&amp;" ("&amp;TEXT(SUMPRODUCT(MAX((T_PlannedOrders[Part Name]=$A277)*(T_PlannedOrders[WeekIndex]=27)*(T_PlannedOrders[EffectiveQty]&gt;0)*T_PlannedOrders[Order_Month])),"m月")&amp;"発注)")</f>
        <v/>
      </c>
      <c r="AE289">
        <f>IF(SUMIFS(T_PlannedOrders[EffectiveQty],T_PlannedOrders[Part Name],$A277,T_PlannedOrders[WeekIndex],28)=0,"",SUMIFS(T_PlannedOrders[EffectiveQty],T_PlannedOrders[Part Name],$A277,T_PlannedOrders[WeekIndex],28)&amp;" ("&amp;TEXT(SUMPRODUCT(MAX((T_PlannedOrders[Part Name]=$A277)*(T_PlannedOrders[WeekIndex]=28)*(T_PlannedOrders[EffectiveQty]&gt;0)*T_PlannedOrders[Order_Month])),"m月")&amp;"発注)")</f>
        <v/>
      </c>
      <c r="AF289">
        <f>IF(SUMIFS(T_PlannedOrders[EffectiveQty],T_PlannedOrders[Part Name],$A277,T_PlannedOrders[WeekIndex],29)=0,"",SUMIFS(T_PlannedOrders[EffectiveQty],T_PlannedOrders[Part Name],$A277,T_PlannedOrders[WeekIndex],29)&amp;" ("&amp;TEXT(SUMPRODUCT(MAX((T_PlannedOrders[Part Name]=$A277)*(T_PlannedOrders[WeekIndex]=29)*(T_PlannedOrders[EffectiveQty]&gt;0)*T_PlannedOrders[Order_Month])),"m月")&amp;"発注)")</f>
        <v/>
      </c>
      <c r="AG289">
        <f>IF(SUMIFS(T_PlannedOrders[EffectiveQty],T_PlannedOrders[Part Name],$A277,T_PlannedOrders[WeekIndex],30)=0,"",SUMIFS(T_PlannedOrders[EffectiveQty],T_PlannedOrders[Part Name],$A277,T_PlannedOrders[WeekIndex],30)&amp;" ("&amp;TEXT(SUMPRODUCT(MAX((T_PlannedOrders[Part Name]=$A277)*(T_PlannedOrders[WeekIndex]=30)*(T_PlannedOrders[EffectiveQty]&gt;0)*T_PlannedOrders[Order_Month])),"m月")&amp;"発注)")</f>
        <v/>
      </c>
      <c r="AH289">
        <f>IF(SUMIFS(T_PlannedOrders[EffectiveQty],T_PlannedOrders[Part Name],$A277,T_PlannedOrders[WeekIndex],31)=0,"",SUMIFS(T_PlannedOrders[EffectiveQty],T_PlannedOrders[Part Name],$A277,T_PlannedOrders[WeekIndex],31)&amp;" ("&amp;TEXT(SUMPRODUCT(MAX((T_PlannedOrders[Part Name]=$A277)*(T_PlannedOrders[WeekIndex]=31)*(T_PlannedOrders[EffectiveQty]&gt;0)*T_PlannedOrders[Order_Month])),"m月")&amp;"発注)")</f>
        <v/>
      </c>
      <c r="AI289">
        <f>IF(SUMIFS(T_PlannedOrders[EffectiveQty],T_PlannedOrders[Part Name],$A277,T_PlannedOrders[WeekIndex],32)=0,"",SUMIFS(T_PlannedOrders[EffectiveQty],T_PlannedOrders[Part Name],$A277,T_PlannedOrders[WeekIndex],32)&amp;" ("&amp;TEXT(SUMPRODUCT(MAX((T_PlannedOrders[Part Name]=$A277)*(T_PlannedOrders[WeekIndex]=32)*(T_PlannedOrders[EffectiveQty]&gt;0)*T_PlannedOrders[Order_Month])),"m月")&amp;"発注)")</f>
        <v/>
      </c>
      <c r="AJ289">
        <f>IF(SUMIFS(T_PlannedOrders[EffectiveQty],T_PlannedOrders[Part Name],$A277,T_PlannedOrders[WeekIndex],33)=0,"",SUMIFS(T_PlannedOrders[EffectiveQty],T_PlannedOrders[Part Name],$A277,T_PlannedOrders[WeekIndex],33)&amp;" ("&amp;TEXT(SUMPRODUCT(MAX((T_PlannedOrders[Part Name]=$A277)*(T_PlannedOrders[WeekIndex]=33)*(T_PlannedOrders[EffectiveQty]&gt;0)*T_PlannedOrders[Order_Month])),"m月")&amp;"発注)")</f>
        <v/>
      </c>
      <c r="AK289">
        <f>IF(SUMIFS(T_PlannedOrders[EffectiveQty],T_PlannedOrders[Part Name],$A277,T_PlannedOrders[WeekIndex],34)=0,"",SUMIFS(T_PlannedOrders[EffectiveQty],T_PlannedOrders[Part Name],$A277,T_PlannedOrders[WeekIndex],34)&amp;" ("&amp;TEXT(SUMPRODUCT(MAX((T_PlannedOrders[Part Name]=$A277)*(T_PlannedOrders[WeekIndex]=34)*(T_PlannedOrders[EffectiveQty]&gt;0)*T_PlannedOrders[Order_Month])),"m月")&amp;"発注)")</f>
        <v/>
      </c>
      <c r="AL289">
        <f>IF(SUMIFS(T_PlannedOrders[EffectiveQty],T_PlannedOrders[Part Name],$A277,T_PlannedOrders[WeekIndex],35)=0,"",SUMIFS(T_PlannedOrders[EffectiveQty],T_PlannedOrders[Part Name],$A277,T_PlannedOrders[WeekIndex],35)&amp;" ("&amp;TEXT(SUMPRODUCT(MAX((T_PlannedOrders[Part Name]=$A277)*(T_PlannedOrders[WeekIndex]=35)*(T_PlannedOrders[EffectiveQty]&gt;0)*T_PlannedOrders[Order_Month])),"m月")&amp;"発注)")</f>
        <v/>
      </c>
      <c r="AM289">
        <f>IF(SUMIFS(T_PlannedOrders[EffectiveQty],T_PlannedOrders[Part Name],$A277,T_PlannedOrders[WeekIndex],36)=0,"",SUMIFS(T_PlannedOrders[EffectiveQty],T_PlannedOrders[Part Name],$A277,T_PlannedOrders[WeekIndex],36)&amp;" ("&amp;TEXT(SUMPRODUCT(MAX((T_PlannedOrders[Part Name]=$A277)*(T_PlannedOrders[WeekIndex]=36)*(T_PlannedOrders[EffectiveQty]&gt;0)*T_PlannedOrders[Order_Month])),"m月")&amp;"発注)")</f>
        <v/>
      </c>
      <c r="AN289">
        <f>IF(SUMIFS(T_PlannedOrders[EffectiveQty],T_PlannedOrders[Part Name],$A277,T_PlannedOrders[WeekIndex],37)=0,"",SUMIFS(T_PlannedOrders[EffectiveQty],T_PlannedOrders[Part Name],$A277,T_PlannedOrders[WeekIndex],37)&amp;" ("&amp;TEXT(SUMPRODUCT(MAX((T_PlannedOrders[Part Name]=$A277)*(T_PlannedOrders[WeekIndex]=37)*(T_PlannedOrders[EffectiveQty]&gt;0)*T_PlannedOrders[Order_Month])),"m月")&amp;"発注)")</f>
        <v/>
      </c>
      <c r="AO289">
        <f>IF(SUMIFS(T_PlannedOrders[EffectiveQty],T_PlannedOrders[Part Name],$A277,T_PlannedOrders[WeekIndex],38)=0,"",SUMIFS(T_PlannedOrders[EffectiveQty],T_PlannedOrders[Part Name],$A277,T_PlannedOrders[WeekIndex],38)&amp;" ("&amp;TEXT(SUMPRODUCT(MAX((T_PlannedOrders[Part Name]=$A277)*(T_PlannedOrders[WeekIndex]=38)*(T_PlannedOrders[EffectiveQty]&gt;0)*T_PlannedOrders[Order_Month])),"m月")&amp;"発注)")</f>
        <v/>
      </c>
      <c r="AP289">
        <f>IF(SUMIFS(T_PlannedOrders[EffectiveQty],T_PlannedOrders[Part Name],$A277,T_PlannedOrders[WeekIndex],39)=0,"",SUMIFS(T_PlannedOrders[EffectiveQty],T_PlannedOrders[Part Name],$A277,T_PlannedOrders[WeekIndex],39)&amp;" ("&amp;TEXT(SUMPRODUCT(MAX((T_PlannedOrders[Part Name]=$A277)*(T_PlannedOrders[WeekIndex]=39)*(T_PlannedOrders[EffectiveQty]&gt;0)*T_PlannedOrders[Order_Month])),"m月")&amp;"発注)")</f>
        <v/>
      </c>
      <c r="AQ289">
        <f>IF(SUMIFS(T_PlannedOrders[EffectiveQty],T_PlannedOrders[Part Name],$A277,T_PlannedOrders[WeekIndex],40)=0,"",SUMIFS(T_PlannedOrders[EffectiveQty],T_PlannedOrders[Part Name],$A277,T_PlannedOrders[WeekIndex],40)&amp;" ("&amp;TEXT(SUMPRODUCT(MAX((T_PlannedOrders[Part Name]=$A277)*(T_PlannedOrders[WeekIndex]=40)*(T_PlannedOrders[EffectiveQty]&gt;0)*T_PlannedOrders[Order_Month])),"m月")&amp;"発注)")</f>
        <v/>
      </c>
      <c r="AR289">
        <f>IF(SUMIFS(T_PlannedOrders[EffectiveQty],T_PlannedOrders[Part Name],$A277,T_PlannedOrders[WeekIndex],41)=0,"",SUMIFS(T_PlannedOrders[EffectiveQty],T_PlannedOrders[Part Name],$A277,T_PlannedOrders[WeekIndex],41)&amp;" ("&amp;TEXT(SUMPRODUCT(MAX((T_PlannedOrders[Part Name]=$A277)*(T_PlannedOrders[WeekIndex]=41)*(T_PlannedOrders[EffectiveQty]&gt;0)*T_PlannedOrders[Order_Month])),"m月")&amp;"発注)")</f>
        <v/>
      </c>
      <c r="AS289">
        <f>IF(SUMIFS(T_PlannedOrders[EffectiveQty],T_PlannedOrders[Part Name],$A277,T_PlannedOrders[WeekIndex],42)=0,"",SUMIFS(T_PlannedOrders[EffectiveQty],T_PlannedOrders[Part Name],$A277,T_PlannedOrders[WeekIndex],42)&amp;" ("&amp;TEXT(SUMPRODUCT(MAX((T_PlannedOrders[Part Name]=$A277)*(T_PlannedOrders[WeekIndex]=42)*(T_PlannedOrders[EffectiveQty]&gt;0)*T_PlannedOrders[Order_Month])),"m月")&amp;"発注)")</f>
        <v/>
      </c>
      <c r="AT289">
        <f>IF(SUMIFS(T_PlannedOrders[EffectiveQty],T_PlannedOrders[Part Name],$A277,T_PlannedOrders[WeekIndex],43)=0,"",SUMIFS(T_PlannedOrders[EffectiveQty],T_PlannedOrders[Part Name],$A277,T_PlannedOrders[WeekIndex],43)&amp;" ("&amp;TEXT(SUMPRODUCT(MAX((T_PlannedOrders[Part Name]=$A277)*(T_PlannedOrders[WeekIndex]=43)*(T_PlannedOrders[EffectiveQty]&gt;0)*T_PlannedOrders[Order_Month])),"m月")&amp;"発注)")</f>
        <v/>
      </c>
      <c r="AU289">
        <f>IF(SUMIFS(T_PlannedOrders[EffectiveQty],T_PlannedOrders[Part Name],$A277,T_PlannedOrders[WeekIndex],44)=0,"",SUMIFS(T_PlannedOrders[EffectiveQty],T_PlannedOrders[Part Name],$A277,T_PlannedOrders[WeekIndex],44)&amp;" ("&amp;TEXT(SUMPRODUCT(MAX((T_PlannedOrders[Part Name]=$A277)*(T_PlannedOrders[WeekIndex]=44)*(T_PlannedOrders[EffectiveQty]&gt;0)*T_PlannedOrders[Order_Month])),"m月")&amp;"発注)")</f>
        <v/>
      </c>
      <c r="AV289">
        <f>IF(SUMIFS(T_PlannedOrders[EffectiveQty],T_PlannedOrders[Part Name],$A277,T_PlannedOrders[WeekIndex],45)=0,"",SUMIFS(T_PlannedOrders[EffectiveQty],T_PlannedOrders[Part Name],$A277,T_PlannedOrders[WeekIndex],45)&amp;" ("&amp;TEXT(SUMPRODUCT(MAX((T_PlannedOrders[Part Name]=$A277)*(T_PlannedOrders[WeekIndex]=45)*(T_PlannedOrders[EffectiveQty]&gt;0)*T_PlannedOrders[Order_Month])),"m月")&amp;"発注)")</f>
        <v/>
      </c>
      <c r="AW289">
        <f>IF(SUMIFS(T_PlannedOrders[EffectiveQty],T_PlannedOrders[Part Name],$A277,T_PlannedOrders[WeekIndex],46)=0,"",SUMIFS(T_PlannedOrders[EffectiveQty],T_PlannedOrders[Part Name],$A277,T_PlannedOrders[WeekIndex],46)&amp;" ("&amp;TEXT(SUMPRODUCT(MAX((T_PlannedOrders[Part Name]=$A277)*(T_PlannedOrders[WeekIndex]=46)*(T_PlannedOrders[EffectiveQty]&gt;0)*T_PlannedOrders[Order_Month])),"m月")&amp;"発注)")</f>
        <v/>
      </c>
      <c r="AX289">
        <f>IF(SUMIFS(T_PlannedOrders[EffectiveQty],T_PlannedOrders[Part Name],$A277,T_PlannedOrders[WeekIndex],47)=0,"",SUMIFS(T_PlannedOrders[EffectiveQty],T_PlannedOrders[Part Name],$A277,T_PlannedOrders[WeekIndex],47)&amp;" ("&amp;TEXT(SUMPRODUCT(MAX((T_PlannedOrders[Part Name]=$A277)*(T_PlannedOrders[WeekIndex]=47)*(T_PlannedOrders[EffectiveQty]&gt;0)*T_PlannedOrders[Order_Month])),"m月")&amp;"発注)")</f>
        <v/>
      </c>
      <c r="AY289">
        <f>IF(SUMIFS(T_PlannedOrders[EffectiveQty],T_PlannedOrders[Part Name],$A277,T_PlannedOrders[WeekIndex],48)=0,"",SUMIFS(T_PlannedOrders[EffectiveQty],T_PlannedOrders[Part Name],$A277,T_PlannedOrders[WeekIndex],48)&amp;" ("&amp;TEXT(SUMPRODUCT(MAX((T_PlannedOrders[Part Name]=$A277)*(T_PlannedOrders[WeekIndex]=48)*(T_PlannedOrders[EffectiveQty]&gt;0)*T_PlannedOrders[Order_Month])),"m月")&amp;"発注)")</f>
        <v/>
      </c>
      <c r="AZ289">
        <f>IF(SUMIFS(T_PlannedOrders[EffectiveQty],T_PlannedOrders[Part Name],$A277,T_PlannedOrders[WeekIndex],49)=0,"",SUMIFS(T_PlannedOrders[EffectiveQty],T_PlannedOrders[Part Name],$A277,T_PlannedOrders[WeekIndex],49)&amp;" ("&amp;TEXT(SUMPRODUCT(MAX((T_PlannedOrders[Part Name]=$A277)*(T_PlannedOrders[WeekIndex]=49)*(T_PlannedOrders[EffectiveQty]&gt;0)*T_PlannedOrders[Order_Month])),"m月")&amp;"発注)")</f>
        <v/>
      </c>
      <c r="BA289">
        <f>IF(SUMIFS(T_PlannedOrders[EffectiveQty],T_PlannedOrders[Part Name],$A277,T_PlannedOrders[WeekIndex],50)=0,"",SUMIFS(T_PlannedOrders[EffectiveQty],T_PlannedOrders[Part Name],$A277,T_PlannedOrders[WeekIndex],50)&amp;" ("&amp;TEXT(SUMPRODUCT(MAX((T_PlannedOrders[Part Name]=$A277)*(T_PlannedOrders[WeekIndex]=50)*(T_PlannedOrders[EffectiveQty]&gt;0)*T_PlannedOrders[Order_Month])),"m月")&amp;"発注)")</f>
        <v/>
      </c>
      <c r="BB289">
        <f>IF(SUMIFS(T_PlannedOrders[EffectiveQty],T_PlannedOrders[Part Name],$A277,T_PlannedOrders[WeekIndex],51)=0,"",SUMIFS(T_PlannedOrders[EffectiveQty],T_PlannedOrders[Part Name],$A277,T_PlannedOrders[WeekIndex],51)&amp;" ("&amp;TEXT(SUMPRODUCT(MAX((T_PlannedOrders[Part Name]=$A277)*(T_PlannedOrders[WeekIndex]=51)*(T_PlannedOrders[EffectiveQty]&gt;0)*T_PlannedOrders[Order_Month])),"m月")&amp;"発注)")</f>
        <v/>
      </c>
      <c r="BC289">
        <f>IF(SUMIFS(T_PlannedOrders[EffectiveQty],T_PlannedOrders[Part Name],$A277,T_PlannedOrders[WeekIndex],52)=0,"",SUMIFS(T_PlannedOrders[EffectiveQty],T_PlannedOrders[Part Name],$A277,T_PlannedOrders[WeekIndex],52)&amp;" ("&amp;TEXT(SUMPRODUCT(MAX((T_PlannedOrders[Part Name]=$A277)*(T_PlannedOrders[WeekIndex]=52)*(T_PlannedOrders[EffectiveQty]&gt;0)*T_PlannedOrders[Order_Month])),"m月")&amp;"発注)")</f>
        <v/>
      </c>
      <c r="BD289">
        <f>IF(SUMIFS(T_PlannedOrders[EffectiveQty],T_PlannedOrders[Part Name],$A277,T_PlannedOrders[WeekIndex],53)=0,"",SUMIFS(T_PlannedOrders[EffectiveQty],T_PlannedOrders[Part Name],$A277,T_PlannedOrders[WeekIndex],53)&amp;" ("&amp;TEXT(SUMPRODUCT(MAX((T_PlannedOrders[Part Name]=$A277)*(T_PlannedOrders[WeekIndex]=53)*(T_PlannedOrders[EffectiveQty]&gt;0)*T_PlannedOrders[Order_Month])),"m月")&amp;"発注)")</f>
        <v/>
      </c>
      <c r="BE289">
        <f>IF(SUMIFS(T_PlannedOrders[EffectiveQty],T_PlannedOrders[Part Name],$A277,T_PlannedOrders[WeekIndex],54)=0,"",SUMIFS(T_PlannedOrders[EffectiveQty],T_PlannedOrders[Part Name],$A277,T_PlannedOrders[WeekIndex],54)&amp;" ("&amp;TEXT(SUMPRODUCT(MAX((T_PlannedOrders[Part Name]=$A277)*(T_PlannedOrders[WeekIndex]=54)*(T_PlannedOrders[EffectiveQty]&gt;0)*T_PlannedOrders[Order_Month])),"m月")&amp;"発注)")</f>
        <v/>
      </c>
      <c r="BF289">
        <f>IF(SUMIFS(T_PlannedOrders[EffectiveQty],T_PlannedOrders[Part Name],$A277,T_PlannedOrders[WeekIndex],55)=0,"",SUMIFS(T_PlannedOrders[EffectiveQty],T_PlannedOrders[Part Name],$A277,T_PlannedOrders[WeekIndex],55)&amp;" ("&amp;TEXT(SUMPRODUCT(MAX((T_PlannedOrders[Part Name]=$A277)*(T_PlannedOrders[WeekIndex]=55)*(T_PlannedOrders[EffectiveQty]&gt;0)*T_PlannedOrders[Order_Month])),"m月")&amp;"発注)")</f>
        <v/>
      </c>
      <c r="BG289">
        <f>IF(SUMIFS(T_PlannedOrders[EffectiveQty],T_PlannedOrders[Part Name],$A277,T_PlannedOrders[WeekIndex],56)=0,"",SUMIFS(T_PlannedOrders[EffectiveQty],T_PlannedOrders[Part Name],$A277,T_PlannedOrders[WeekIndex],56)&amp;" ("&amp;TEXT(SUMPRODUCT(MAX((T_PlannedOrders[Part Name]=$A277)*(T_PlannedOrders[WeekIndex]=56)*(T_PlannedOrders[EffectiveQty]&gt;0)*T_PlannedOrders[Order_Month])),"m月")&amp;"発注)")</f>
        <v/>
      </c>
      <c r="BH289">
        <f>IF(SUMIFS(T_PlannedOrders[EffectiveQty],T_PlannedOrders[Part Name],$A277,T_PlannedOrders[WeekIndex],57)=0,"",SUMIFS(T_PlannedOrders[EffectiveQty],T_PlannedOrders[Part Name],$A277,T_PlannedOrders[WeekIndex],57)&amp;" ("&amp;TEXT(SUMPRODUCT(MAX((T_PlannedOrders[Part Name]=$A277)*(T_PlannedOrders[WeekIndex]=57)*(T_PlannedOrders[EffectiveQty]&gt;0)*T_PlannedOrders[Order_Month])),"m月")&amp;"発注)")</f>
        <v/>
      </c>
      <c r="BI289">
        <f>IF(SUMIFS(T_PlannedOrders[EffectiveQty],T_PlannedOrders[Part Name],$A277,T_PlannedOrders[WeekIndex],58)=0,"",SUMIFS(T_PlannedOrders[EffectiveQty],T_PlannedOrders[Part Name],$A277,T_PlannedOrders[WeekIndex],58)&amp;" ("&amp;TEXT(SUMPRODUCT(MAX((T_PlannedOrders[Part Name]=$A277)*(T_PlannedOrders[WeekIndex]=58)*(T_PlannedOrders[EffectiveQty]&gt;0)*T_PlannedOrders[Order_Month])),"m月")&amp;"発注)")</f>
        <v/>
      </c>
      <c r="BJ289">
        <f>IF(SUMIFS(T_PlannedOrders[EffectiveQty],T_PlannedOrders[Part Name],$A277,T_PlannedOrders[WeekIndex],59)=0,"",SUMIFS(T_PlannedOrders[EffectiveQty],T_PlannedOrders[Part Name],$A277,T_PlannedOrders[WeekIndex],59)&amp;" ("&amp;TEXT(SUMPRODUCT(MAX((T_PlannedOrders[Part Name]=$A277)*(T_PlannedOrders[WeekIndex]=59)*(T_PlannedOrders[EffectiveQty]&gt;0)*T_PlannedOrders[Order_Month])),"m月")&amp;"発注)")</f>
        <v/>
      </c>
      <c r="BK289">
        <f>IF(SUMIFS(T_PlannedOrders[EffectiveQty],T_PlannedOrders[Part Name],$A277,T_PlannedOrders[WeekIndex],60)=0,"",SUMIFS(T_PlannedOrders[EffectiveQty],T_PlannedOrders[Part Name],$A277,T_PlannedOrders[WeekIndex],60)&amp;" ("&amp;TEXT(SUMPRODUCT(MAX((T_PlannedOrders[Part Name]=$A277)*(T_PlannedOrders[WeekIndex]=60)*(T_PlannedOrders[EffectiveQty]&gt;0)*T_PlannedOrders[Order_Month])),"m月")&amp;"発注)")</f>
        <v/>
      </c>
      <c r="BL289">
        <f>IF(SUMIFS(T_PlannedOrders[EffectiveQty],T_PlannedOrders[Part Name],$A277,T_PlannedOrders[WeekIndex],61)=0,"",SUMIFS(T_PlannedOrders[EffectiveQty],T_PlannedOrders[Part Name],$A277,T_PlannedOrders[WeekIndex],61)&amp;" ("&amp;TEXT(SUMPRODUCT(MAX((T_PlannedOrders[Part Name]=$A277)*(T_PlannedOrders[WeekIndex]=61)*(T_PlannedOrders[EffectiveQty]&gt;0)*T_PlannedOrders[Order_Month])),"m月")&amp;"発注)")</f>
        <v/>
      </c>
      <c r="BM289">
        <f>IF(SUMIFS(T_PlannedOrders[EffectiveQty],T_PlannedOrders[Part Name],$A277,T_PlannedOrders[WeekIndex],62)=0,"",SUMIFS(T_PlannedOrders[EffectiveQty],T_PlannedOrders[Part Name],$A277,T_PlannedOrders[WeekIndex],62)&amp;" ("&amp;TEXT(SUMPRODUCT(MAX((T_PlannedOrders[Part Name]=$A277)*(T_PlannedOrders[WeekIndex]=62)*(T_PlannedOrders[EffectiveQty]&gt;0)*T_PlannedOrders[Order_Month])),"m月")&amp;"発注)")</f>
        <v/>
      </c>
      <c r="BN289">
        <f>IF(SUMIFS(T_PlannedOrders[EffectiveQty],T_PlannedOrders[Part Name],$A277,T_PlannedOrders[WeekIndex],63)=0,"",SUMIFS(T_PlannedOrders[EffectiveQty],T_PlannedOrders[Part Name],$A277,T_PlannedOrders[WeekIndex],63)&amp;" ("&amp;TEXT(SUMPRODUCT(MAX((T_PlannedOrders[Part Name]=$A277)*(T_PlannedOrders[WeekIndex]=63)*(T_PlannedOrders[EffectiveQty]&gt;0)*T_PlannedOrders[Order_Month])),"m月")&amp;"発注)")</f>
        <v/>
      </c>
      <c r="BO289">
        <f>IF(SUMIFS(T_PlannedOrders[EffectiveQty],T_PlannedOrders[Part Name],$A277,T_PlannedOrders[WeekIndex],64)=0,"",SUMIFS(T_PlannedOrders[EffectiveQty],T_PlannedOrders[Part Name],$A277,T_PlannedOrders[WeekIndex],64)&amp;" ("&amp;TEXT(SUMPRODUCT(MAX((T_PlannedOrders[Part Name]=$A277)*(T_PlannedOrders[WeekIndex]=64)*(T_PlannedOrders[EffectiveQty]&gt;0)*T_PlannedOrders[Order_Month])),"m月")&amp;"発注)")</f>
        <v/>
      </c>
      <c r="BP289">
        <f>IF(SUMIFS(T_PlannedOrders[EffectiveQty],T_PlannedOrders[Part Name],$A277,T_PlannedOrders[WeekIndex],65)=0,"",SUMIFS(T_PlannedOrders[EffectiveQty],T_PlannedOrders[Part Name],$A277,T_PlannedOrders[WeekIndex],65)&amp;" ("&amp;TEXT(SUMPRODUCT(MAX((T_PlannedOrders[Part Name]=$A277)*(T_PlannedOrders[WeekIndex]=65)*(T_PlannedOrders[EffectiveQty]&gt;0)*T_PlannedOrders[Order_Month])),"m月")&amp;"発注)")</f>
        <v/>
      </c>
      <c r="BQ289">
        <f>IF(SUMIFS(T_PlannedOrders[EffectiveQty],T_PlannedOrders[Part Name],$A277,T_PlannedOrders[WeekIndex],66)=0,"",SUMIFS(T_PlannedOrders[EffectiveQty],T_PlannedOrders[Part Name],$A277,T_PlannedOrders[WeekIndex],66)&amp;" ("&amp;TEXT(SUMPRODUCT(MAX((T_PlannedOrders[Part Name]=$A277)*(T_PlannedOrders[WeekIndex]=66)*(T_PlannedOrders[EffectiveQty]&gt;0)*T_PlannedOrders[Order_Month])),"m月")&amp;"発注)")</f>
        <v/>
      </c>
      <c r="BR289">
        <f>IF(SUMIFS(T_PlannedOrders[EffectiveQty],T_PlannedOrders[Part Name],$A277,T_PlannedOrders[WeekIndex],67)=0,"",SUMIFS(T_PlannedOrders[EffectiveQty],T_PlannedOrders[Part Name],$A277,T_PlannedOrders[WeekIndex],67)&amp;" ("&amp;TEXT(SUMPRODUCT(MAX((T_PlannedOrders[Part Name]=$A277)*(T_PlannedOrders[WeekIndex]=67)*(T_PlannedOrders[EffectiveQty]&gt;0)*T_PlannedOrders[Order_Month])),"m月")&amp;"発注)")</f>
        <v/>
      </c>
      <c r="BS289">
        <f>IF(SUMIFS(T_PlannedOrders[EffectiveQty],T_PlannedOrders[Part Name],$A277,T_PlannedOrders[WeekIndex],68)=0,"",SUMIFS(T_PlannedOrders[EffectiveQty],T_PlannedOrders[Part Name],$A277,T_PlannedOrders[WeekIndex],68)&amp;" ("&amp;TEXT(SUMPRODUCT(MAX((T_PlannedOrders[Part Name]=$A277)*(T_PlannedOrders[WeekIndex]=68)*(T_PlannedOrders[EffectiveQty]&gt;0)*T_PlannedOrders[Order_Month])),"m月")&amp;"発注)")</f>
        <v/>
      </c>
      <c r="BT289">
        <f>IF(SUMIFS(T_PlannedOrders[EffectiveQty],T_PlannedOrders[Part Name],$A277,T_PlannedOrders[WeekIndex],69)=0,"",SUMIFS(T_PlannedOrders[EffectiveQty],T_PlannedOrders[Part Name],$A277,T_PlannedOrders[WeekIndex],69)&amp;" ("&amp;TEXT(SUMPRODUCT(MAX((T_PlannedOrders[Part Name]=$A277)*(T_PlannedOrders[WeekIndex]=69)*(T_PlannedOrders[EffectiveQty]&gt;0)*T_PlannedOrders[Order_Month])),"m月")&amp;"発注)")</f>
        <v/>
      </c>
      <c r="BU289">
        <f>IF(SUMIFS(T_PlannedOrders[EffectiveQty],T_PlannedOrders[Part Name],$A277,T_PlannedOrders[WeekIndex],70)=0,"",SUMIFS(T_PlannedOrders[EffectiveQty],T_PlannedOrders[Part Name],$A277,T_PlannedOrders[WeekIndex],70)&amp;" ("&amp;TEXT(SUMPRODUCT(MAX((T_PlannedOrders[Part Name]=$A277)*(T_PlannedOrders[WeekIndex]=70)*(T_PlannedOrders[EffectiveQty]&gt;0)*T_PlannedOrders[Order_Month])),"m月")&amp;"発注)")</f>
        <v/>
      </c>
      <c r="BV289">
        <f>IF(SUMIFS(T_PlannedOrders[EffectiveQty],T_PlannedOrders[Part Name],$A277,T_PlannedOrders[WeekIndex],71)=0,"",SUMIFS(T_PlannedOrders[EffectiveQty],T_PlannedOrders[Part Name],$A277,T_PlannedOrders[WeekIndex],71)&amp;" ("&amp;TEXT(SUMPRODUCT(MAX((T_PlannedOrders[Part Name]=$A277)*(T_PlannedOrders[WeekIndex]=71)*(T_PlannedOrders[EffectiveQty]&gt;0)*T_PlannedOrders[Order_Month])),"m月")&amp;"発注)")</f>
        <v/>
      </c>
      <c r="BW289">
        <f>IF(SUMIFS(T_PlannedOrders[EffectiveQty],T_PlannedOrders[Part Name],$A277,T_PlannedOrders[WeekIndex],72)=0,"",SUMIFS(T_PlannedOrders[EffectiveQty],T_PlannedOrders[Part Name],$A277,T_PlannedOrders[WeekIndex],72)&amp;" ("&amp;TEXT(SUMPRODUCT(MAX((T_PlannedOrders[Part Name]=$A277)*(T_PlannedOrders[WeekIndex]=72)*(T_PlannedOrders[EffectiveQty]&gt;0)*T_PlannedOrders[Order_Month])),"m月")&amp;"発注)")</f>
        <v/>
      </c>
      <c r="BX289">
        <f>IF(SUMIFS(T_PlannedOrders[EffectiveQty],T_PlannedOrders[Part Name],$A277,T_PlannedOrders[WeekIndex],73)=0,"",SUMIFS(T_PlannedOrders[EffectiveQty],T_PlannedOrders[Part Name],$A277,T_PlannedOrders[WeekIndex],73)&amp;" ("&amp;TEXT(SUMPRODUCT(MAX((T_PlannedOrders[Part Name]=$A277)*(T_PlannedOrders[WeekIndex]=73)*(T_PlannedOrders[EffectiveQty]&gt;0)*T_PlannedOrders[Order_Month])),"m月")&amp;"発注)")</f>
        <v/>
      </c>
      <c r="BY289">
        <f>IF(SUMIFS(T_PlannedOrders[EffectiveQty],T_PlannedOrders[Part Name],$A277,T_PlannedOrders[WeekIndex],74)=0,"",SUMIFS(T_PlannedOrders[EffectiveQty],T_PlannedOrders[Part Name],$A277,T_PlannedOrders[WeekIndex],74)&amp;" ("&amp;TEXT(SUMPRODUCT(MAX((T_PlannedOrders[Part Name]=$A277)*(T_PlannedOrders[WeekIndex]=74)*(T_PlannedOrders[EffectiveQty]&gt;0)*T_PlannedOrders[Order_Month])),"m月")&amp;"発注)")</f>
        <v/>
      </c>
      <c r="BZ289">
        <f>IF(SUMIFS(T_PlannedOrders[EffectiveQty],T_PlannedOrders[Part Name],$A277,T_PlannedOrders[WeekIndex],75)=0,"",SUMIFS(T_PlannedOrders[EffectiveQty],T_PlannedOrders[Part Name],$A277,T_PlannedOrders[WeekIndex],75)&amp;" ("&amp;TEXT(SUMPRODUCT(MAX((T_PlannedOrders[Part Name]=$A277)*(T_PlannedOrders[WeekIndex]=75)*(T_PlannedOrders[EffectiveQty]&gt;0)*T_PlannedOrders[Order_Month])),"m月")&amp;"発注)")</f>
        <v/>
      </c>
      <c r="CA289">
        <f>IF(SUMIFS(T_PlannedOrders[EffectiveQty],T_PlannedOrders[Part Name],$A277,T_PlannedOrders[WeekIndex],76)=0,"",SUMIFS(T_PlannedOrders[EffectiveQty],T_PlannedOrders[Part Name],$A277,T_PlannedOrders[WeekIndex],76)&amp;" ("&amp;TEXT(SUMPRODUCT(MAX((T_PlannedOrders[Part Name]=$A277)*(T_PlannedOrders[WeekIndex]=76)*(T_PlannedOrders[EffectiveQty]&gt;0)*T_PlannedOrders[Order_Month])),"m月")&amp;"発注)")</f>
        <v/>
      </c>
      <c r="CB289">
        <f>IF(SUMIFS(T_PlannedOrders[EffectiveQty],T_PlannedOrders[Part Name],$A277,T_PlannedOrders[WeekIndex],77)=0,"",SUMIFS(T_PlannedOrders[EffectiveQty],T_PlannedOrders[Part Name],$A277,T_PlannedOrders[WeekIndex],77)&amp;" ("&amp;TEXT(SUMPRODUCT(MAX((T_PlannedOrders[Part Name]=$A277)*(T_PlannedOrders[WeekIndex]=77)*(T_PlannedOrders[EffectiveQty]&gt;0)*T_PlannedOrders[Order_Month])),"m月")&amp;"発注)")</f>
        <v/>
      </c>
      <c r="CC289">
        <f>IF(SUMIFS(T_PlannedOrders[EffectiveQty],T_PlannedOrders[Part Name],$A277,T_PlannedOrders[WeekIndex],78)=0,"",SUMIFS(T_PlannedOrders[EffectiveQty],T_PlannedOrders[Part Name],$A277,T_PlannedOrders[WeekIndex],78)&amp;" ("&amp;TEXT(SUMPRODUCT(MAX((T_PlannedOrders[Part Name]=$A277)*(T_PlannedOrders[WeekIndex]=78)*(T_PlannedOrders[EffectiveQty]&gt;0)*T_PlannedOrders[Order_Month])),"m月")&amp;"発注)")</f>
        <v/>
      </c>
      <c r="CD289">
        <f>IF(SUMIFS(T_PlannedOrders[EffectiveQty],T_PlannedOrders[Part Name],$A277,T_PlannedOrders[WeekIndex],79)=0,"",SUMIFS(T_PlannedOrders[EffectiveQty],T_PlannedOrders[Part Name],$A277,T_PlannedOrders[WeekIndex],79)&amp;" ("&amp;TEXT(SUMPRODUCT(MAX((T_PlannedOrders[Part Name]=$A277)*(T_PlannedOrders[WeekIndex]=79)*(T_PlannedOrders[EffectiveQty]&gt;0)*T_PlannedOrders[Order_Month])),"m月")&amp;"発注)")</f>
        <v/>
      </c>
      <c r="CE289">
        <f>IF(SUMIFS(T_PlannedOrders[EffectiveQty],T_PlannedOrders[Part Name],$A277,T_PlannedOrders[WeekIndex],80)=0,"",SUMIFS(T_PlannedOrders[EffectiveQty],T_PlannedOrders[Part Name],$A277,T_PlannedOrders[WeekIndex],80)&amp;" ("&amp;TEXT(SUMPRODUCT(MAX((T_PlannedOrders[Part Name]=$A277)*(T_PlannedOrders[WeekIndex]=80)*(T_PlannedOrders[EffectiveQty]&gt;0)*T_PlannedOrders[Order_Month])),"m月")&amp;"発注)")</f>
        <v/>
      </c>
      <c r="CF289">
        <f>IF(SUMIFS(T_PlannedOrders[EffectiveQty],T_PlannedOrders[Part Name],$A277,T_PlannedOrders[WeekIndex],81)=0,"",SUMIFS(T_PlannedOrders[EffectiveQty],T_PlannedOrders[Part Name],$A277,T_PlannedOrders[WeekIndex],81)&amp;" ("&amp;TEXT(SUMPRODUCT(MAX((T_PlannedOrders[Part Name]=$A277)*(T_PlannedOrders[WeekIndex]=81)*(T_PlannedOrders[EffectiveQty]&gt;0)*T_PlannedOrders[Order_Month])),"m月")&amp;"発注)")</f>
        <v/>
      </c>
      <c r="CG289">
        <f>IF(SUMIFS(T_PlannedOrders[EffectiveQty],T_PlannedOrders[Part Name],$A277,T_PlannedOrders[WeekIndex],82)=0,"",SUMIFS(T_PlannedOrders[EffectiveQty],T_PlannedOrders[Part Name],$A277,T_PlannedOrders[WeekIndex],82)&amp;" ("&amp;TEXT(SUMPRODUCT(MAX((T_PlannedOrders[Part Name]=$A277)*(T_PlannedOrders[WeekIndex]=82)*(T_PlannedOrders[EffectiveQty]&gt;0)*T_PlannedOrders[Order_Month])),"m月")&amp;"発注)")</f>
        <v/>
      </c>
      <c r="CH289">
        <f>IF(SUMIFS(T_PlannedOrders[EffectiveQty],T_PlannedOrders[Part Name],$A277,T_PlannedOrders[WeekIndex],83)=0,"",SUMIFS(T_PlannedOrders[EffectiveQty],T_PlannedOrders[Part Name],$A277,T_PlannedOrders[WeekIndex],83)&amp;" ("&amp;TEXT(SUMPRODUCT(MAX((T_PlannedOrders[Part Name]=$A277)*(T_PlannedOrders[WeekIndex]=83)*(T_PlannedOrders[EffectiveQty]&gt;0)*T_PlannedOrders[Order_Month])),"m月")&amp;"発注)")</f>
        <v/>
      </c>
      <c r="CI289">
        <f>IF(SUMIFS(T_PlannedOrders[EffectiveQty],T_PlannedOrders[Part Name],$A277,T_PlannedOrders[WeekIndex],84)=0,"",SUMIFS(T_PlannedOrders[EffectiveQty],T_PlannedOrders[Part Name],$A277,T_PlannedOrders[WeekIndex],84)&amp;" ("&amp;TEXT(SUMPRODUCT(MAX((T_PlannedOrders[Part Name]=$A277)*(T_PlannedOrders[WeekIndex]=84)*(T_PlannedOrders[EffectiveQty]&gt;0)*T_PlannedOrders[Order_Month])),"m月")&amp;"発注)")</f>
        <v/>
      </c>
      <c r="CJ289">
        <f>IF(SUMIFS(T_PlannedOrders[EffectiveQty],T_PlannedOrders[Part Name],$A277,T_PlannedOrders[WeekIndex],85)=0,"",SUMIFS(T_PlannedOrders[EffectiveQty],T_PlannedOrders[Part Name],$A277,T_PlannedOrders[WeekIndex],85)&amp;" ("&amp;TEXT(SUMPRODUCT(MAX((T_PlannedOrders[Part Name]=$A277)*(T_PlannedOrders[WeekIndex]=85)*(T_PlannedOrders[EffectiveQty]&gt;0)*T_PlannedOrders[Order_Month])),"m月")&amp;"発注)")</f>
        <v/>
      </c>
      <c r="CK289">
        <f>IF(SUMIFS(T_PlannedOrders[EffectiveQty],T_PlannedOrders[Part Name],$A277,T_PlannedOrders[WeekIndex],86)=0,"",SUMIFS(T_PlannedOrders[EffectiveQty],T_PlannedOrders[Part Name],$A277,T_PlannedOrders[WeekIndex],86)&amp;" ("&amp;TEXT(SUMPRODUCT(MAX((T_PlannedOrders[Part Name]=$A277)*(T_PlannedOrders[WeekIndex]=86)*(T_PlannedOrders[EffectiveQty]&gt;0)*T_PlannedOrders[Order_Month])),"m月")&amp;"発注)")</f>
        <v/>
      </c>
      <c r="CL289">
        <f>IF(SUMIFS(T_PlannedOrders[EffectiveQty],T_PlannedOrders[Part Name],$A277,T_PlannedOrders[WeekIndex],87)=0,"",SUMIFS(T_PlannedOrders[EffectiveQty],T_PlannedOrders[Part Name],$A277,T_PlannedOrders[WeekIndex],87)&amp;" ("&amp;TEXT(SUMPRODUCT(MAX((T_PlannedOrders[Part Name]=$A277)*(T_PlannedOrders[WeekIndex]=87)*(T_PlannedOrders[EffectiveQty]&gt;0)*T_PlannedOrders[Order_Month])),"m月")&amp;"発注)")</f>
        <v/>
      </c>
      <c r="CM289">
        <f>IF(SUMIFS(T_PlannedOrders[EffectiveQty],T_PlannedOrders[Part Name],$A277,T_PlannedOrders[WeekIndex],88)=0,"",SUMIFS(T_PlannedOrders[EffectiveQty],T_PlannedOrders[Part Name],$A277,T_PlannedOrders[WeekIndex],88)&amp;" ("&amp;TEXT(SUMPRODUCT(MAX((T_PlannedOrders[Part Name]=$A277)*(T_PlannedOrders[WeekIndex]=88)*(T_PlannedOrders[EffectiveQty]&gt;0)*T_PlannedOrders[Order_Month])),"m月")&amp;"発注)")</f>
        <v/>
      </c>
      <c r="CN289">
        <f>IF(SUMIFS(T_PlannedOrders[EffectiveQty],T_PlannedOrders[Part Name],$A277,T_PlannedOrders[WeekIndex],89)=0,"",SUMIFS(T_PlannedOrders[EffectiveQty],T_PlannedOrders[Part Name],$A277,T_PlannedOrders[WeekIndex],89)&amp;" ("&amp;TEXT(SUMPRODUCT(MAX((T_PlannedOrders[Part Name]=$A277)*(T_PlannedOrders[WeekIndex]=89)*(T_PlannedOrders[EffectiveQty]&gt;0)*T_PlannedOrders[Order_Month])),"m月")&amp;"発注)")</f>
        <v/>
      </c>
      <c r="CO289">
        <f>IF(SUMIFS(T_PlannedOrders[EffectiveQty],T_PlannedOrders[Part Name],$A277,T_PlannedOrders[WeekIndex],90)=0,"",SUMIFS(T_PlannedOrders[EffectiveQty],T_PlannedOrders[Part Name],$A277,T_PlannedOrders[WeekIndex],90)&amp;" ("&amp;TEXT(SUMPRODUCT(MAX((T_PlannedOrders[Part Name]=$A277)*(T_PlannedOrders[WeekIndex]=90)*(T_PlannedOrders[EffectiveQty]&gt;0)*T_PlannedOrders[Order_Month])),"m月")&amp;"発注)")</f>
        <v/>
      </c>
      <c r="CP289">
        <f>IF(SUMIFS(T_PlannedOrders[EffectiveQty],T_PlannedOrders[Part Name],$A277,T_PlannedOrders[WeekIndex],91)=0,"",SUMIFS(T_PlannedOrders[EffectiveQty],T_PlannedOrders[Part Name],$A277,T_PlannedOrders[WeekIndex],91)&amp;" ("&amp;TEXT(SUMPRODUCT(MAX((T_PlannedOrders[Part Name]=$A277)*(T_PlannedOrders[WeekIndex]=91)*(T_PlannedOrders[EffectiveQty]&gt;0)*T_PlannedOrders[Order_Month])),"m月")&amp;"発注)")</f>
        <v/>
      </c>
      <c r="CQ289">
        <f>IF(SUMIFS(T_PlannedOrders[EffectiveQty],T_PlannedOrders[Part Name],$A277,T_PlannedOrders[WeekIndex],92)=0,"",SUMIFS(T_PlannedOrders[EffectiveQty],T_PlannedOrders[Part Name],$A277,T_PlannedOrders[WeekIndex],92)&amp;" ("&amp;TEXT(SUMPRODUCT(MAX((T_PlannedOrders[Part Name]=$A277)*(T_PlannedOrders[WeekIndex]=92)*(T_PlannedOrders[EffectiveQty]&gt;0)*T_PlannedOrders[Order_Month])),"m月")&amp;"発注)")</f>
        <v/>
      </c>
      <c r="CR289">
        <f>IF(SUMIFS(T_PlannedOrders[EffectiveQty],T_PlannedOrders[Part Name],$A277,T_PlannedOrders[WeekIndex],93)=0,"",SUMIFS(T_PlannedOrders[EffectiveQty],T_PlannedOrders[Part Name],$A277,T_PlannedOrders[WeekIndex],93)&amp;" ("&amp;TEXT(SUMPRODUCT(MAX((T_PlannedOrders[Part Name]=$A277)*(T_PlannedOrders[WeekIndex]=93)*(T_PlannedOrders[EffectiveQty]&gt;0)*T_PlannedOrders[Order_Month])),"m月")&amp;"発注)")</f>
        <v/>
      </c>
      <c r="CS289">
        <f>IF(SUMIFS(T_PlannedOrders[EffectiveQty],T_PlannedOrders[Part Name],$A277,T_PlannedOrders[WeekIndex],94)=0,"",SUMIFS(T_PlannedOrders[EffectiveQty],T_PlannedOrders[Part Name],$A277,T_PlannedOrders[WeekIndex],94)&amp;" ("&amp;TEXT(SUMPRODUCT(MAX((T_PlannedOrders[Part Name]=$A277)*(T_PlannedOrders[WeekIndex]=94)*(T_PlannedOrders[EffectiveQty]&gt;0)*T_PlannedOrders[Order_Month])),"m月")&amp;"発注)")</f>
        <v/>
      </c>
      <c r="CT289">
        <f>IF(SUMIFS(T_PlannedOrders[EffectiveQty],T_PlannedOrders[Part Name],$A277,T_PlannedOrders[WeekIndex],95)=0,"",SUMIFS(T_PlannedOrders[EffectiveQty],T_PlannedOrders[Part Name],$A277,T_PlannedOrders[WeekIndex],95)&amp;" ("&amp;TEXT(SUMPRODUCT(MAX((T_PlannedOrders[Part Name]=$A277)*(T_PlannedOrders[WeekIndex]=95)*(T_PlannedOrders[EffectiveQty]&gt;0)*T_PlannedOrders[Order_Month])),"m月")&amp;"発注)")</f>
        <v/>
      </c>
      <c r="CU289">
        <f>IF(SUMIFS(T_PlannedOrders[EffectiveQty],T_PlannedOrders[Part Name],$A277,T_PlannedOrders[WeekIndex],96)=0,"",SUMIFS(T_PlannedOrders[EffectiveQty],T_PlannedOrders[Part Name],$A277,T_PlannedOrders[WeekIndex],96)&amp;" ("&amp;TEXT(SUMPRODUCT(MAX((T_PlannedOrders[Part Name]=$A277)*(T_PlannedOrders[WeekIndex]=96)*(T_PlannedOrders[EffectiveQty]&gt;0)*T_PlannedOrders[Order_Month])),"m月")&amp;"発注)")</f>
        <v/>
      </c>
      <c r="CV289">
        <f>IF(SUMIFS(T_PlannedOrders[EffectiveQty],T_PlannedOrders[Part Name],$A277,T_PlannedOrders[WeekIndex],97)=0,"",SUMIFS(T_PlannedOrders[EffectiveQty],T_PlannedOrders[Part Name],$A277,T_PlannedOrders[WeekIndex],97)&amp;" ("&amp;TEXT(SUMPRODUCT(MAX((T_PlannedOrders[Part Name]=$A277)*(T_PlannedOrders[WeekIndex]=97)*(T_PlannedOrders[EffectiveQty]&gt;0)*T_PlannedOrders[Order_Month])),"m月")&amp;"発注)")</f>
        <v/>
      </c>
      <c r="CW289">
        <f>IF(SUMIFS(T_PlannedOrders[EffectiveQty],T_PlannedOrders[Part Name],$A277,T_PlannedOrders[WeekIndex],98)=0,"",SUMIFS(T_PlannedOrders[EffectiveQty],T_PlannedOrders[Part Name],$A277,T_PlannedOrders[WeekIndex],98)&amp;" ("&amp;TEXT(SUMPRODUCT(MAX((T_PlannedOrders[Part Name]=$A277)*(T_PlannedOrders[WeekIndex]=98)*(T_PlannedOrders[EffectiveQty]&gt;0)*T_PlannedOrders[Order_Month])),"m月")&amp;"発注)")</f>
        <v/>
      </c>
      <c r="CX289">
        <f>IF(SUMIFS(T_PlannedOrders[EffectiveQty],T_PlannedOrders[Part Name],$A277,T_PlannedOrders[WeekIndex],99)=0,"",SUMIFS(T_PlannedOrders[EffectiveQty],T_PlannedOrders[Part Name],$A277,T_PlannedOrders[WeekIndex],99)&amp;" ("&amp;TEXT(SUMPRODUCT(MAX((T_PlannedOrders[Part Name]=$A277)*(T_PlannedOrders[WeekIndex]=99)*(T_PlannedOrders[EffectiveQty]&gt;0)*T_PlannedOrders[Order_Month])),"m月")&amp;"発注)")</f>
        <v/>
      </c>
      <c r="CY289">
        <f>IF(SUMIFS(T_PlannedOrders[EffectiveQty],T_PlannedOrders[Part Name],$A277,T_PlannedOrders[WeekIndex],100)=0,"",SUMIFS(T_PlannedOrders[EffectiveQty],T_PlannedOrders[Part Name],$A277,T_PlannedOrders[WeekIndex],100)&amp;" ("&amp;TEXT(SUMPRODUCT(MAX((T_PlannedOrders[Part Name]=$A277)*(T_PlannedOrders[WeekIndex]=100)*(T_PlannedOrders[EffectiveQty]&gt;0)*T_PlannedOrders[Order_Month])),"m月")&amp;"発注)")</f>
        <v/>
      </c>
      <c r="CZ289">
        <f>IF(SUMIFS(T_PlannedOrders[EffectiveQty],T_PlannedOrders[Part Name],$A277,T_PlannedOrders[WeekIndex],101)=0,"",SUMIFS(T_PlannedOrders[EffectiveQty],T_PlannedOrders[Part Name],$A277,T_PlannedOrders[WeekIndex],101)&amp;" ("&amp;TEXT(SUMPRODUCT(MAX((T_PlannedOrders[Part Name]=$A277)*(T_PlannedOrders[WeekIndex]=101)*(T_PlannedOrders[EffectiveQty]&gt;0)*T_PlannedOrders[Order_Month])),"m月")&amp;"発注)")</f>
        <v/>
      </c>
      <c r="DA289">
        <f>IF(SUMIFS(T_PlannedOrders[EffectiveQty],T_PlannedOrders[Part Name],$A277,T_PlannedOrders[WeekIndex],102)=0,"",SUMIFS(T_PlannedOrders[EffectiveQty],T_PlannedOrders[Part Name],$A277,T_PlannedOrders[WeekIndex],102)&amp;" ("&amp;TEXT(SUMPRODUCT(MAX((T_PlannedOrders[Part Name]=$A277)*(T_PlannedOrders[WeekIndex]=102)*(T_PlannedOrders[EffectiveQty]&gt;0)*T_PlannedOrders[Order_Month])),"m月")&amp;"発注)")</f>
        <v/>
      </c>
      <c r="DB289">
        <f>IF(SUMIFS(T_PlannedOrders[EffectiveQty],T_PlannedOrders[Part Name],$A277,T_PlannedOrders[WeekIndex],103)=0,"",SUMIFS(T_PlannedOrders[EffectiveQty],T_PlannedOrders[Part Name],$A277,T_PlannedOrders[WeekIndex],103)&amp;" ("&amp;TEXT(SUMPRODUCT(MAX((T_PlannedOrders[Part Name]=$A277)*(T_PlannedOrders[WeekIndex]=103)*(T_PlannedOrders[EffectiveQty]&gt;0)*T_PlannedOrders[Order_Month])),"m月")&amp;"発注)")</f>
        <v/>
      </c>
      <c r="DC289">
        <f>IF(SUMIFS(T_PlannedOrders[EffectiveQty],T_PlannedOrders[Part Name],$A277,T_PlannedOrders[WeekIndex],104)=0,"",SUMIFS(T_PlannedOrders[EffectiveQty],T_PlannedOrders[Part Name],$A277,T_PlannedOrders[WeekIndex],104)&amp;" ("&amp;TEXT(SUMPRODUCT(MAX((T_PlannedOrders[Part Name]=$A277)*(T_PlannedOrders[WeekIndex]=104)*(T_PlannedOrders[EffectiveQty]&gt;0)*T_PlannedOrders[Order_Month])),"m月")&amp;"発注)")</f>
        <v/>
      </c>
    </row>
    <row r="290">
      <c r="B290" s="5" t="inlineStr">
        <is>
          <t>合計在庫(週末時点,kg)</t>
        </is>
      </c>
      <c r="D290">
        <f>'Grid_Stock'!B26</f>
        <v/>
      </c>
      <c r="E290">
        <f>'Grid_Stock'!C26</f>
        <v/>
      </c>
      <c r="F290">
        <f>'Grid_Stock'!D26</f>
        <v/>
      </c>
      <c r="G290">
        <f>'Grid_Stock'!E26</f>
        <v/>
      </c>
      <c r="H290">
        <f>'Grid_Stock'!F26</f>
        <v/>
      </c>
      <c r="I290">
        <f>'Grid_Stock'!G26</f>
        <v/>
      </c>
      <c r="J290">
        <f>'Grid_Stock'!H26</f>
        <v/>
      </c>
      <c r="K290">
        <f>'Grid_Stock'!I26</f>
        <v/>
      </c>
      <c r="L290">
        <f>'Grid_Stock'!J26</f>
        <v/>
      </c>
      <c r="M290">
        <f>'Grid_Stock'!K26</f>
        <v/>
      </c>
      <c r="N290">
        <f>'Grid_Stock'!L26</f>
        <v/>
      </c>
      <c r="O290">
        <f>'Grid_Stock'!M26</f>
        <v/>
      </c>
      <c r="P290">
        <f>'Grid_Stock'!N26</f>
        <v/>
      </c>
      <c r="Q290">
        <f>'Grid_Stock'!O26</f>
        <v/>
      </c>
      <c r="R290">
        <f>'Grid_Stock'!P26</f>
        <v/>
      </c>
      <c r="S290">
        <f>'Grid_Stock'!Q26</f>
        <v/>
      </c>
      <c r="T290">
        <f>'Grid_Stock'!R26</f>
        <v/>
      </c>
      <c r="U290">
        <f>'Grid_Stock'!S26</f>
        <v/>
      </c>
      <c r="V290">
        <f>'Grid_Stock'!T26</f>
        <v/>
      </c>
      <c r="W290">
        <f>'Grid_Stock'!U26</f>
        <v/>
      </c>
      <c r="X290">
        <f>'Grid_Stock'!V26</f>
        <v/>
      </c>
      <c r="Y290">
        <f>'Grid_Stock'!W26</f>
        <v/>
      </c>
      <c r="Z290">
        <f>'Grid_Stock'!X26</f>
        <v/>
      </c>
      <c r="AA290">
        <f>'Grid_Stock'!Y26</f>
        <v/>
      </c>
      <c r="AB290">
        <f>'Grid_Stock'!Z26</f>
        <v/>
      </c>
      <c r="AC290">
        <f>'Grid_Stock'!AA26</f>
        <v/>
      </c>
      <c r="AD290">
        <f>'Grid_Stock'!AB26</f>
        <v/>
      </c>
      <c r="AE290">
        <f>'Grid_Stock'!AC26</f>
        <v/>
      </c>
      <c r="AF290">
        <f>'Grid_Stock'!AD26</f>
        <v/>
      </c>
      <c r="AG290">
        <f>'Grid_Stock'!AE26</f>
        <v/>
      </c>
      <c r="AH290">
        <f>'Grid_Stock'!AF26</f>
        <v/>
      </c>
      <c r="AI290">
        <f>'Grid_Stock'!AG26</f>
        <v/>
      </c>
      <c r="AJ290">
        <f>'Grid_Stock'!AH26</f>
        <v/>
      </c>
      <c r="AK290">
        <f>'Grid_Stock'!AI26</f>
        <v/>
      </c>
      <c r="AL290">
        <f>'Grid_Stock'!AJ26</f>
        <v/>
      </c>
      <c r="AM290">
        <f>'Grid_Stock'!AK26</f>
        <v/>
      </c>
      <c r="AN290">
        <f>'Grid_Stock'!AL26</f>
        <v/>
      </c>
      <c r="AO290">
        <f>'Grid_Stock'!AM26</f>
        <v/>
      </c>
      <c r="AP290">
        <f>'Grid_Stock'!AN26</f>
        <v/>
      </c>
      <c r="AQ290">
        <f>'Grid_Stock'!AO26</f>
        <v/>
      </c>
      <c r="AR290">
        <f>'Grid_Stock'!AP26</f>
        <v/>
      </c>
      <c r="AS290">
        <f>'Grid_Stock'!AQ26</f>
        <v/>
      </c>
      <c r="AT290">
        <f>'Grid_Stock'!AR26</f>
        <v/>
      </c>
      <c r="AU290">
        <f>'Grid_Stock'!AS26</f>
        <v/>
      </c>
      <c r="AV290">
        <f>'Grid_Stock'!AT26</f>
        <v/>
      </c>
      <c r="AW290">
        <f>'Grid_Stock'!AU26</f>
        <v/>
      </c>
      <c r="AX290">
        <f>'Grid_Stock'!AV26</f>
        <v/>
      </c>
      <c r="AY290">
        <f>'Grid_Stock'!AW26</f>
        <v/>
      </c>
      <c r="AZ290">
        <f>'Grid_Stock'!AX26</f>
        <v/>
      </c>
      <c r="BA290">
        <f>'Grid_Stock'!AY26</f>
        <v/>
      </c>
      <c r="BB290">
        <f>'Grid_Stock'!AZ26</f>
        <v/>
      </c>
      <c r="BC290">
        <f>'Grid_Stock'!BA26</f>
        <v/>
      </c>
      <c r="BD290">
        <f>'Grid_Stock'!BB26</f>
        <v/>
      </c>
      <c r="BE290">
        <f>'Grid_Stock'!BC26</f>
        <v/>
      </c>
      <c r="BF290">
        <f>'Grid_Stock'!BD26</f>
        <v/>
      </c>
      <c r="BG290">
        <f>'Grid_Stock'!BE26</f>
        <v/>
      </c>
      <c r="BH290">
        <f>'Grid_Stock'!BF26</f>
        <v/>
      </c>
      <c r="BI290">
        <f>'Grid_Stock'!BG26</f>
        <v/>
      </c>
      <c r="BJ290">
        <f>'Grid_Stock'!BH26</f>
        <v/>
      </c>
      <c r="BK290">
        <f>'Grid_Stock'!BI26</f>
        <v/>
      </c>
      <c r="BL290">
        <f>'Grid_Stock'!BJ26</f>
        <v/>
      </c>
      <c r="BM290">
        <f>'Grid_Stock'!BK26</f>
        <v/>
      </c>
      <c r="BN290">
        <f>'Grid_Stock'!BL26</f>
        <v/>
      </c>
      <c r="BO290">
        <f>'Grid_Stock'!BM26</f>
        <v/>
      </c>
      <c r="BP290">
        <f>'Grid_Stock'!BN26</f>
        <v/>
      </c>
      <c r="BQ290">
        <f>'Grid_Stock'!BO26</f>
        <v/>
      </c>
      <c r="BR290">
        <f>'Grid_Stock'!BP26</f>
        <v/>
      </c>
      <c r="BS290">
        <f>'Grid_Stock'!BQ26</f>
        <v/>
      </c>
      <c r="BT290">
        <f>'Grid_Stock'!BR26</f>
        <v/>
      </c>
      <c r="BU290">
        <f>'Grid_Stock'!BS26</f>
        <v/>
      </c>
      <c r="BV290">
        <f>'Grid_Stock'!BT26</f>
        <v/>
      </c>
      <c r="BW290">
        <f>'Grid_Stock'!BU26</f>
        <v/>
      </c>
      <c r="BX290">
        <f>'Grid_Stock'!BV26</f>
        <v/>
      </c>
      <c r="BY290">
        <f>'Grid_Stock'!BW26</f>
        <v/>
      </c>
      <c r="BZ290">
        <f>'Grid_Stock'!BX26</f>
        <v/>
      </c>
      <c r="CA290">
        <f>'Grid_Stock'!BY26</f>
        <v/>
      </c>
      <c r="CB290">
        <f>'Grid_Stock'!BZ26</f>
        <v/>
      </c>
      <c r="CC290">
        <f>'Grid_Stock'!CA26</f>
        <v/>
      </c>
      <c r="CD290">
        <f>'Grid_Stock'!CB26</f>
        <v/>
      </c>
      <c r="CE290">
        <f>'Grid_Stock'!CC26</f>
        <v/>
      </c>
      <c r="CF290">
        <f>'Grid_Stock'!CD26</f>
        <v/>
      </c>
      <c r="CG290">
        <f>'Grid_Stock'!CE26</f>
        <v/>
      </c>
      <c r="CH290">
        <f>'Grid_Stock'!CF26</f>
        <v/>
      </c>
      <c r="CI290">
        <f>'Grid_Stock'!CG26</f>
        <v/>
      </c>
      <c r="CJ290">
        <f>'Grid_Stock'!CH26</f>
        <v/>
      </c>
      <c r="CK290">
        <f>'Grid_Stock'!CI26</f>
        <v/>
      </c>
      <c r="CL290">
        <f>'Grid_Stock'!CJ26</f>
        <v/>
      </c>
      <c r="CM290">
        <f>'Grid_Stock'!CK26</f>
        <v/>
      </c>
      <c r="CN290">
        <f>'Grid_Stock'!CL26</f>
        <v/>
      </c>
      <c r="CO290">
        <f>'Grid_Stock'!CM26</f>
        <v/>
      </c>
      <c r="CP290">
        <f>'Grid_Stock'!CN26</f>
        <v/>
      </c>
      <c r="CQ290">
        <f>'Grid_Stock'!CO26</f>
        <v/>
      </c>
      <c r="CR290">
        <f>'Grid_Stock'!CP26</f>
        <v/>
      </c>
      <c r="CS290">
        <f>'Grid_Stock'!CQ26</f>
        <v/>
      </c>
      <c r="CT290">
        <f>'Grid_Stock'!CR26</f>
        <v/>
      </c>
      <c r="CU290">
        <f>'Grid_Stock'!CS26</f>
        <v/>
      </c>
      <c r="CV290">
        <f>'Grid_Stock'!CT26</f>
        <v/>
      </c>
      <c r="CW290">
        <f>'Grid_Stock'!CU26</f>
        <v/>
      </c>
      <c r="CX290">
        <f>'Grid_Stock'!CV26</f>
        <v/>
      </c>
      <c r="CY290">
        <f>'Grid_Stock'!CW26</f>
        <v/>
      </c>
      <c r="CZ290">
        <f>'Grid_Stock'!CX26</f>
        <v/>
      </c>
      <c r="DA290">
        <f>'Grid_Stock'!CY26</f>
        <v/>
      </c>
      <c r="DB290">
        <f>'Grid_Stock'!CZ26</f>
        <v/>
      </c>
      <c r="DC290">
        <f>'Grid_Stock'!DA26</f>
        <v/>
      </c>
    </row>
    <row r="291">
      <c r="B291" s="23" t="inlineStr">
        <is>
          <t>（発注の目安はDashboardの基準在庫[下限/上限]と色分けを参照）</t>
        </is>
      </c>
    </row>
    <row r="293">
      <c r="A293" s="21" t="inlineStr">
        <is>
          <t>CHEM-1250</t>
        </is>
      </c>
      <c r="B293" s="21" t="inlineStr">
        <is>
          <t>Barium Sulfate [B-55]</t>
        </is>
      </c>
      <c r="C293" s="22" t="n"/>
      <c r="D293" s="21" t="n"/>
      <c r="E293" s="21" t="n"/>
      <c r="F293" s="21" t="n"/>
      <c r="G293" s="21" t="n"/>
      <c r="H293" s="2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  <c r="AA293" s="21" t="n"/>
      <c r="AB293" s="21" t="n"/>
      <c r="AC293" s="21" t="n"/>
      <c r="AD293" s="21" t="n"/>
      <c r="AE293" s="21" t="n"/>
      <c r="AF293" s="21" t="n"/>
      <c r="AG293" s="21" t="n"/>
      <c r="AH293" s="21" t="n"/>
      <c r="AI293" s="21" t="n"/>
      <c r="AJ293" s="21" t="n"/>
      <c r="AK293" s="21" t="n"/>
      <c r="AL293" s="21" t="n"/>
      <c r="AM293" s="21" t="n"/>
      <c r="AN293" s="21" t="n"/>
      <c r="AO293" s="21" t="n"/>
      <c r="AP293" s="21" t="n"/>
      <c r="AQ293" s="21" t="n"/>
      <c r="AR293" s="21" t="n"/>
      <c r="AS293" s="21" t="n"/>
      <c r="AT293" s="21" t="n"/>
      <c r="AU293" s="21" t="n"/>
      <c r="AV293" s="21" t="n"/>
      <c r="AW293" s="21" t="n"/>
      <c r="AX293" s="21" t="n"/>
      <c r="AY293" s="21" t="n"/>
      <c r="AZ293" s="21" t="n"/>
      <c r="BA293" s="21" t="n"/>
      <c r="BB293" s="21" t="n"/>
      <c r="BC293" s="21" t="n"/>
      <c r="BD293" s="21" t="n"/>
      <c r="BE293" s="21" t="n"/>
      <c r="BF293" s="21" t="n"/>
      <c r="BG293" s="21" t="n"/>
      <c r="BH293" s="21" t="n"/>
      <c r="BI293" s="21" t="n"/>
      <c r="BJ293" s="21" t="n"/>
      <c r="BK293" s="21" t="n"/>
      <c r="BL293" s="21" t="n"/>
      <c r="BM293" s="21" t="n"/>
      <c r="BN293" s="21" t="n"/>
      <c r="BO293" s="21" t="n"/>
      <c r="BP293" s="21" t="n"/>
      <c r="BQ293" s="21" t="n"/>
      <c r="BR293" s="21" t="n"/>
      <c r="BS293" s="21" t="n"/>
      <c r="BT293" s="21" t="n"/>
      <c r="BU293" s="21" t="n"/>
      <c r="BV293" s="21" t="n"/>
      <c r="BW293" s="21" t="n"/>
      <c r="BX293" s="21" t="n"/>
      <c r="BY293" s="21" t="n"/>
      <c r="BZ293" s="21" t="n"/>
      <c r="CA293" s="21" t="n"/>
      <c r="CB293" s="21" t="n"/>
      <c r="CC293" s="21" t="n"/>
      <c r="CD293" s="21" t="n"/>
      <c r="CE293" s="21" t="n"/>
      <c r="CF293" s="21" t="n"/>
      <c r="CG293" s="21" t="n"/>
      <c r="CH293" s="21" t="n"/>
      <c r="CI293" s="21" t="n"/>
      <c r="CJ293" s="21" t="n"/>
      <c r="CK293" s="21" t="n"/>
      <c r="CL293" s="21" t="n"/>
      <c r="CM293" s="21" t="n"/>
      <c r="CN293" s="21" t="n"/>
      <c r="CO293" s="21" t="n"/>
      <c r="CP293" s="21" t="n"/>
      <c r="CQ293" s="21" t="n"/>
      <c r="CR293" s="21" t="n"/>
      <c r="CS293" s="21" t="n"/>
      <c r="CT293" s="21" t="n"/>
      <c r="CU293" s="21" t="n"/>
      <c r="CV293" s="21" t="n"/>
      <c r="CW293" s="21" t="n"/>
      <c r="CX293" s="21" t="n"/>
      <c r="CY293" s="21" t="n"/>
      <c r="CZ293" s="21" t="n"/>
      <c r="DA293" s="21" t="n"/>
      <c r="DB293" s="21" t="n"/>
      <c r="DC293" s="21" t="n"/>
    </row>
    <row r="294">
      <c r="B294" t="inlineStr">
        <is>
          <t>TSP-049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12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Name],$A293)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TSP-067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12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Name],$A293)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TSP-069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12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Name],$A293)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TSP-104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12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Name],$A293)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TSP-199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12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Name],$A293)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TSP-205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12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Name],$A293)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TSP-656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12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Name],$A293)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TSP-668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12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Name],$A293)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TSP-669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12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Name],$A293)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TSP-670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12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Name],$A293)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TSP-966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12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Name],$A293)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s="5" t="inlineStr">
        <is>
          <t>合計使用量(kg)/週</t>
        </is>
      </c>
      <c r="D316">
        <f>'Grid_Requirement'!B27</f>
        <v/>
      </c>
      <c r="E316">
        <f>'Grid_Requirement'!C27</f>
        <v/>
      </c>
      <c r="F316">
        <f>'Grid_Requirement'!D27</f>
        <v/>
      </c>
      <c r="G316">
        <f>'Grid_Requirement'!E27</f>
        <v/>
      </c>
      <c r="H316">
        <f>'Grid_Requirement'!F27</f>
        <v/>
      </c>
      <c r="I316">
        <f>'Grid_Requirement'!G27</f>
        <v/>
      </c>
      <c r="J316">
        <f>'Grid_Requirement'!H27</f>
        <v/>
      </c>
      <c r="K316">
        <f>'Grid_Requirement'!I27</f>
        <v/>
      </c>
      <c r="L316">
        <f>'Grid_Requirement'!J27</f>
        <v/>
      </c>
      <c r="M316">
        <f>'Grid_Requirement'!K27</f>
        <v/>
      </c>
      <c r="N316">
        <f>'Grid_Requirement'!L27</f>
        <v/>
      </c>
      <c r="O316">
        <f>'Grid_Requirement'!M27</f>
        <v/>
      </c>
      <c r="P316">
        <f>'Grid_Requirement'!N27</f>
        <v/>
      </c>
      <c r="Q316">
        <f>'Grid_Requirement'!O27</f>
        <v/>
      </c>
      <c r="R316">
        <f>'Grid_Requirement'!P27</f>
        <v/>
      </c>
      <c r="S316">
        <f>'Grid_Requirement'!Q27</f>
        <v/>
      </c>
      <c r="T316">
        <f>'Grid_Requirement'!R27</f>
        <v/>
      </c>
      <c r="U316">
        <f>'Grid_Requirement'!S27</f>
        <v/>
      </c>
      <c r="V316">
        <f>'Grid_Requirement'!T27</f>
        <v/>
      </c>
      <c r="W316">
        <f>'Grid_Requirement'!U27</f>
        <v/>
      </c>
      <c r="X316">
        <f>'Grid_Requirement'!V27</f>
        <v/>
      </c>
      <c r="Y316">
        <f>'Grid_Requirement'!W27</f>
        <v/>
      </c>
      <c r="Z316">
        <f>'Grid_Requirement'!X27</f>
        <v/>
      </c>
      <c r="AA316">
        <f>'Grid_Requirement'!Y27</f>
        <v/>
      </c>
      <c r="AB316">
        <f>'Grid_Requirement'!Z27</f>
        <v/>
      </c>
      <c r="AC316">
        <f>'Grid_Requirement'!AA27</f>
        <v/>
      </c>
      <c r="AD316">
        <f>'Grid_Requirement'!AB27</f>
        <v/>
      </c>
      <c r="AE316">
        <f>'Grid_Requirement'!AC27</f>
        <v/>
      </c>
      <c r="AF316">
        <f>'Grid_Requirement'!AD27</f>
        <v/>
      </c>
      <c r="AG316">
        <f>'Grid_Requirement'!AE27</f>
        <v/>
      </c>
      <c r="AH316">
        <f>'Grid_Requirement'!AF27</f>
        <v/>
      </c>
      <c r="AI316">
        <f>'Grid_Requirement'!AG27</f>
        <v/>
      </c>
      <c r="AJ316">
        <f>'Grid_Requirement'!AH27</f>
        <v/>
      </c>
      <c r="AK316">
        <f>'Grid_Requirement'!AI27</f>
        <v/>
      </c>
      <c r="AL316">
        <f>'Grid_Requirement'!AJ27</f>
        <v/>
      </c>
      <c r="AM316">
        <f>'Grid_Requirement'!AK27</f>
        <v/>
      </c>
      <c r="AN316">
        <f>'Grid_Requirement'!AL27</f>
        <v/>
      </c>
      <c r="AO316">
        <f>'Grid_Requirement'!AM27</f>
        <v/>
      </c>
      <c r="AP316">
        <f>'Grid_Requirement'!AN27</f>
        <v/>
      </c>
      <c r="AQ316">
        <f>'Grid_Requirement'!AO27</f>
        <v/>
      </c>
      <c r="AR316">
        <f>'Grid_Requirement'!AP27</f>
        <v/>
      </c>
      <c r="AS316">
        <f>'Grid_Requirement'!AQ27</f>
        <v/>
      </c>
      <c r="AT316">
        <f>'Grid_Requirement'!AR27</f>
        <v/>
      </c>
      <c r="AU316">
        <f>'Grid_Requirement'!AS27</f>
        <v/>
      </c>
      <c r="AV316">
        <f>'Grid_Requirement'!AT27</f>
        <v/>
      </c>
      <c r="AW316">
        <f>'Grid_Requirement'!AU27</f>
        <v/>
      </c>
      <c r="AX316">
        <f>'Grid_Requirement'!AV27</f>
        <v/>
      </c>
      <c r="AY316">
        <f>'Grid_Requirement'!AW27</f>
        <v/>
      </c>
      <c r="AZ316">
        <f>'Grid_Requirement'!AX27</f>
        <v/>
      </c>
      <c r="BA316">
        <f>'Grid_Requirement'!AY27</f>
        <v/>
      </c>
      <c r="BB316">
        <f>'Grid_Requirement'!AZ27</f>
        <v/>
      </c>
      <c r="BC316">
        <f>'Grid_Requirement'!BA27</f>
        <v/>
      </c>
      <c r="BD316">
        <f>'Grid_Requirement'!BB27</f>
        <v/>
      </c>
      <c r="BE316">
        <f>'Grid_Requirement'!BC27</f>
        <v/>
      </c>
      <c r="BF316">
        <f>'Grid_Requirement'!BD27</f>
        <v/>
      </c>
      <c r="BG316">
        <f>'Grid_Requirement'!BE27</f>
        <v/>
      </c>
      <c r="BH316">
        <f>'Grid_Requirement'!BF27</f>
        <v/>
      </c>
      <c r="BI316">
        <f>'Grid_Requirement'!BG27</f>
        <v/>
      </c>
      <c r="BJ316">
        <f>'Grid_Requirement'!BH27</f>
        <v/>
      </c>
      <c r="BK316">
        <f>'Grid_Requirement'!BI27</f>
        <v/>
      </c>
      <c r="BL316">
        <f>'Grid_Requirement'!BJ27</f>
        <v/>
      </c>
      <c r="BM316">
        <f>'Grid_Requirement'!BK27</f>
        <v/>
      </c>
      <c r="BN316">
        <f>'Grid_Requirement'!BL27</f>
        <v/>
      </c>
      <c r="BO316">
        <f>'Grid_Requirement'!BM27</f>
        <v/>
      </c>
      <c r="BP316">
        <f>'Grid_Requirement'!BN27</f>
        <v/>
      </c>
      <c r="BQ316">
        <f>'Grid_Requirement'!BO27</f>
        <v/>
      </c>
      <c r="BR316">
        <f>'Grid_Requirement'!BP27</f>
        <v/>
      </c>
      <c r="BS316">
        <f>'Grid_Requirement'!BQ27</f>
        <v/>
      </c>
      <c r="BT316">
        <f>'Grid_Requirement'!BR27</f>
        <v/>
      </c>
      <c r="BU316">
        <f>'Grid_Requirement'!BS27</f>
        <v/>
      </c>
      <c r="BV316">
        <f>'Grid_Requirement'!BT27</f>
        <v/>
      </c>
      <c r="BW316">
        <f>'Grid_Requirement'!BU27</f>
        <v/>
      </c>
      <c r="BX316">
        <f>'Grid_Requirement'!BV27</f>
        <v/>
      </c>
      <c r="BY316">
        <f>'Grid_Requirement'!BW27</f>
        <v/>
      </c>
      <c r="BZ316">
        <f>'Grid_Requirement'!BX27</f>
        <v/>
      </c>
      <c r="CA316">
        <f>'Grid_Requirement'!BY27</f>
        <v/>
      </c>
      <c r="CB316">
        <f>'Grid_Requirement'!BZ27</f>
        <v/>
      </c>
      <c r="CC316">
        <f>'Grid_Requirement'!CA27</f>
        <v/>
      </c>
      <c r="CD316">
        <f>'Grid_Requirement'!CB27</f>
        <v/>
      </c>
      <c r="CE316">
        <f>'Grid_Requirement'!CC27</f>
        <v/>
      </c>
      <c r="CF316">
        <f>'Grid_Requirement'!CD27</f>
        <v/>
      </c>
      <c r="CG316">
        <f>'Grid_Requirement'!CE27</f>
        <v/>
      </c>
      <c r="CH316">
        <f>'Grid_Requirement'!CF27</f>
        <v/>
      </c>
      <c r="CI316">
        <f>'Grid_Requirement'!CG27</f>
        <v/>
      </c>
      <c r="CJ316">
        <f>'Grid_Requirement'!CH27</f>
        <v/>
      </c>
      <c r="CK316">
        <f>'Grid_Requirement'!CI27</f>
        <v/>
      </c>
      <c r="CL316">
        <f>'Grid_Requirement'!CJ27</f>
        <v/>
      </c>
      <c r="CM316">
        <f>'Grid_Requirement'!CK27</f>
        <v/>
      </c>
      <c r="CN316">
        <f>'Grid_Requirement'!CL27</f>
        <v/>
      </c>
      <c r="CO316">
        <f>'Grid_Requirement'!CM27</f>
        <v/>
      </c>
      <c r="CP316">
        <f>'Grid_Requirement'!CN27</f>
        <v/>
      </c>
      <c r="CQ316">
        <f>'Grid_Requirement'!CO27</f>
        <v/>
      </c>
      <c r="CR316">
        <f>'Grid_Requirement'!CP27</f>
        <v/>
      </c>
      <c r="CS316">
        <f>'Grid_Requirement'!CQ27</f>
        <v/>
      </c>
      <c r="CT316">
        <f>'Grid_Requirement'!CR27</f>
        <v/>
      </c>
      <c r="CU316">
        <f>'Grid_Requirement'!CS27</f>
        <v/>
      </c>
      <c r="CV316">
        <f>'Grid_Requirement'!CT27</f>
        <v/>
      </c>
      <c r="CW316">
        <f>'Grid_Requirement'!CU27</f>
        <v/>
      </c>
      <c r="CX316">
        <f>'Grid_Requirement'!CV27</f>
        <v/>
      </c>
      <c r="CY316">
        <f>'Grid_Requirement'!CW27</f>
        <v/>
      </c>
      <c r="CZ316">
        <f>'Grid_Requirement'!CX27</f>
        <v/>
      </c>
      <c r="DA316">
        <f>'Grid_Requirement'!CY27</f>
        <v/>
      </c>
      <c r="DB316">
        <f>'Grid_Requirement'!CZ27</f>
        <v/>
      </c>
      <c r="DC316">
        <f>'Grid_Requirement'!DA27</f>
        <v/>
      </c>
    </row>
    <row r="317">
      <c r="B317" t="inlineStr">
        <is>
          <t>TTAF在庫(実績,kg)</t>
        </is>
      </c>
      <c r="D317">
        <f>'T_TTAFStock'!B31</f>
        <v/>
      </c>
      <c r="E317">
        <f>'T_TTAFStock'!C31</f>
        <v/>
      </c>
      <c r="F317">
        <f>'T_TTAFStock'!D31</f>
        <v/>
      </c>
      <c r="G317">
        <f>'T_TTAFStock'!E31</f>
        <v/>
      </c>
      <c r="H317">
        <f>'T_TTAFStock'!F31</f>
        <v/>
      </c>
      <c r="I317">
        <f>'T_TTAFStock'!G31</f>
        <v/>
      </c>
      <c r="J317">
        <f>'T_TTAFStock'!H31</f>
        <v/>
      </c>
      <c r="K317">
        <f>'T_TTAFStock'!I31</f>
        <v/>
      </c>
      <c r="L317">
        <f>'T_TTAFStock'!J31</f>
        <v/>
      </c>
      <c r="M317">
        <f>'T_TTAFStock'!K31</f>
        <v/>
      </c>
      <c r="N317">
        <f>'T_TTAFStock'!L31</f>
        <v/>
      </c>
      <c r="O317">
        <f>'T_TTAFStock'!M31</f>
        <v/>
      </c>
      <c r="P317">
        <f>'T_TTAFStock'!N31</f>
        <v/>
      </c>
      <c r="Q317">
        <f>'T_TTAFStock'!O31</f>
        <v/>
      </c>
      <c r="R317">
        <f>'T_TTAFStock'!P31</f>
        <v/>
      </c>
      <c r="S317">
        <f>'T_TTAFStock'!Q31</f>
        <v/>
      </c>
      <c r="T317">
        <f>'T_TTAFStock'!R31</f>
        <v/>
      </c>
      <c r="U317">
        <f>'T_TTAFStock'!S31</f>
        <v/>
      </c>
      <c r="V317">
        <f>'T_TTAFStock'!T31</f>
        <v/>
      </c>
      <c r="W317">
        <f>'T_TTAFStock'!U31</f>
        <v/>
      </c>
      <c r="X317">
        <f>'T_TTAFStock'!V31</f>
        <v/>
      </c>
      <c r="Y317">
        <f>'T_TTAFStock'!W31</f>
        <v/>
      </c>
      <c r="Z317">
        <f>'T_TTAFStock'!X31</f>
        <v/>
      </c>
      <c r="AA317">
        <f>'T_TTAFStock'!Y31</f>
        <v/>
      </c>
      <c r="AB317">
        <f>'T_TTAFStock'!Z31</f>
        <v/>
      </c>
      <c r="AC317">
        <f>'T_TTAFStock'!AA31</f>
        <v/>
      </c>
      <c r="AD317">
        <f>'T_TTAFStock'!AB31</f>
        <v/>
      </c>
      <c r="AE317">
        <f>'T_TTAFStock'!AC31</f>
        <v/>
      </c>
      <c r="AF317">
        <f>'T_TTAFStock'!AD31</f>
        <v/>
      </c>
      <c r="AG317">
        <f>'T_TTAFStock'!AE31</f>
        <v/>
      </c>
      <c r="AH317">
        <f>'T_TTAFStock'!AF31</f>
        <v/>
      </c>
      <c r="AI317">
        <f>'T_TTAFStock'!AG31</f>
        <v/>
      </c>
      <c r="AJ317">
        <f>'T_TTAFStock'!AH31</f>
        <v/>
      </c>
      <c r="AK317">
        <f>'T_TTAFStock'!AI31</f>
        <v/>
      </c>
      <c r="AL317">
        <f>'T_TTAFStock'!AJ31</f>
        <v/>
      </c>
      <c r="AM317">
        <f>'T_TTAFStock'!AK31</f>
        <v/>
      </c>
      <c r="AN317">
        <f>'T_TTAFStock'!AL31</f>
        <v/>
      </c>
      <c r="AO317">
        <f>'T_TTAFStock'!AM31</f>
        <v/>
      </c>
      <c r="AP317">
        <f>'T_TTAFStock'!AN31</f>
        <v/>
      </c>
      <c r="AQ317">
        <f>'T_TTAFStock'!AO31</f>
        <v/>
      </c>
      <c r="AR317">
        <f>'T_TTAFStock'!AP31</f>
        <v/>
      </c>
      <c r="AS317">
        <f>'T_TTAFStock'!AQ31</f>
        <v/>
      </c>
      <c r="AT317">
        <f>'T_TTAFStock'!AR31</f>
        <v/>
      </c>
      <c r="AU317">
        <f>'T_TTAFStock'!AS31</f>
        <v/>
      </c>
      <c r="AV317">
        <f>'T_TTAFStock'!AT31</f>
        <v/>
      </c>
      <c r="AW317">
        <f>'T_TTAFStock'!AU31</f>
        <v/>
      </c>
      <c r="AX317">
        <f>'T_TTAFStock'!AV31</f>
        <v/>
      </c>
      <c r="AY317">
        <f>'T_TTAFStock'!AW31</f>
        <v/>
      </c>
      <c r="AZ317">
        <f>'T_TTAFStock'!AX31</f>
        <v/>
      </c>
      <c r="BA317">
        <f>'T_TTAFStock'!AY31</f>
        <v/>
      </c>
      <c r="BB317">
        <f>'T_TTAFStock'!AZ31</f>
        <v/>
      </c>
      <c r="BC317">
        <f>'T_TTAFStock'!BA31</f>
        <v/>
      </c>
      <c r="BD317">
        <f>'T_TTAFStock'!BB31</f>
        <v/>
      </c>
      <c r="BE317">
        <f>'T_TTAFStock'!BC31</f>
        <v/>
      </c>
      <c r="BF317">
        <f>'T_TTAFStock'!BD31</f>
        <v/>
      </c>
      <c r="BG317">
        <f>'T_TTAFStock'!BE31</f>
        <v/>
      </c>
      <c r="BH317">
        <f>'T_TTAFStock'!BF31</f>
        <v/>
      </c>
      <c r="BI317">
        <f>'T_TTAFStock'!BG31</f>
        <v/>
      </c>
      <c r="BJ317">
        <f>'T_TTAFStock'!BH31</f>
        <v/>
      </c>
      <c r="BK317">
        <f>'T_TTAFStock'!BI31</f>
        <v/>
      </c>
      <c r="BL317">
        <f>'T_TTAFStock'!BJ31</f>
        <v/>
      </c>
      <c r="BM317">
        <f>'T_TTAFStock'!BK31</f>
        <v/>
      </c>
      <c r="BN317">
        <f>'T_TTAFStock'!BL31</f>
        <v/>
      </c>
      <c r="BO317">
        <f>'T_TTAFStock'!BM31</f>
        <v/>
      </c>
      <c r="BP317">
        <f>'T_TTAFStock'!BN31</f>
        <v/>
      </c>
      <c r="BQ317">
        <f>'T_TTAFStock'!BO31</f>
        <v/>
      </c>
      <c r="BR317">
        <f>'T_TTAFStock'!BP31</f>
        <v/>
      </c>
      <c r="BS317">
        <f>'T_TTAFStock'!BQ31</f>
        <v/>
      </c>
      <c r="BT317">
        <f>'T_TTAFStock'!BR31</f>
        <v/>
      </c>
      <c r="BU317">
        <f>'T_TTAFStock'!BS31</f>
        <v/>
      </c>
      <c r="BV317">
        <f>'T_TTAFStock'!BT31</f>
        <v/>
      </c>
      <c r="BW317">
        <f>'T_TTAFStock'!BU31</f>
        <v/>
      </c>
      <c r="BX317">
        <f>'T_TTAFStock'!BV31</f>
        <v/>
      </c>
      <c r="BY317">
        <f>'T_TTAFStock'!BW31</f>
        <v/>
      </c>
      <c r="BZ317">
        <f>'T_TTAFStock'!BX31</f>
        <v/>
      </c>
      <c r="CA317">
        <f>'T_TTAFStock'!BY31</f>
        <v/>
      </c>
      <c r="CB317">
        <f>'T_TTAFStock'!BZ31</f>
        <v/>
      </c>
      <c r="CC317">
        <f>'T_TTAFStock'!CA31</f>
        <v/>
      </c>
      <c r="CD317">
        <f>'T_TTAFStock'!CB31</f>
        <v/>
      </c>
      <c r="CE317">
        <f>'T_TTAFStock'!CC31</f>
        <v/>
      </c>
      <c r="CF317">
        <f>'T_TTAFStock'!CD31</f>
        <v/>
      </c>
      <c r="CG317">
        <f>'T_TTAFStock'!CE31</f>
        <v/>
      </c>
      <c r="CH317">
        <f>'T_TTAFStock'!CF31</f>
        <v/>
      </c>
      <c r="CI317">
        <f>'T_TTAFStock'!CG31</f>
        <v/>
      </c>
      <c r="CJ317">
        <f>'T_TTAFStock'!CH31</f>
        <v/>
      </c>
      <c r="CK317">
        <f>'T_TTAFStock'!CI31</f>
        <v/>
      </c>
      <c r="CL317">
        <f>'T_TTAFStock'!CJ31</f>
        <v/>
      </c>
      <c r="CM317">
        <f>'T_TTAFStock'!CK31</f>
        <v/>
      </c>
      <c r="CN317">
        <f>'T_TTAFStock'!CL31</f>
        <v/>
      </c>
      <c r="CO317">
        <f>'T_TTAFStock'!CM31</f>
        <v/>
      </c>
      <c r="CP317">
        <f>'T_TTAFStock'!CN31</f>
        <v/>
      </c>
      <c r="CQ317">
        <f>'T_TTAFStock'!CO31</f>
        <v/>
      </c>
      <c r="CR317">
        <f>'T_TTAFStock'!CP31</f>
        <v/>
      </c>
      <c r="CS317">
        <f>'T_TTAFStock'!CQ31</f>
        <v/>
      </c>
      <c r="CT317">
        <f>'T_TTAFStock'!CR31</f>
        <v/>
      </c>
      <c r="CU317">
        <f>'T_TTAFStock'!CS31</f>
        <v/>
      </c>
      <c r="CV317">
        <f>'T_TTAFStock'!CT31</f>
        <v/>
      </c>
      <c r="CW317">
        <f>'T_TTAFStock'!CU31</f>
        <v/>
      </c>
      <c r="CX317">
        <f>'T_TTAFStock'!CV31</f>
        <v/>
      </c>
      <c r="CY317">
        <f>'T_TTAFStock'!CW31</f>
        <v/>
      </c>
      <c r="CZ317">
        <f>'T_TTAFStock'!CX31</f>
        <v/>
      </c>
      <c r="DA317">
        <f>'T_TTAFStock'!CY31</f>
        <v/>
      </c>
      <c r="DB317">
        <f>'T_TTAFStock'!CZ31</f>
        <v/>
      </c>
      <c r="DC317">
        <f>'T_TTAFStock'!DA31</f>
        <v/>
      </c>
    </row>
    <row r="318">
      <c r="B318" t="inlineStr">
        <is>
          <t>自社在庫(実績,kg)</t>
        </is>
      </c>
      <c r="D318">
        <f>'T_SelfStock'!B31</f>
        <v/>
      </c>
      <c r="E318">
        <f>'T_SelfStock'!C31</f>
        <v/>
      </c>
      <c r="F318">
        <f>'T_SelfStock'!D31</f>
        <v/>
      </c>
      <c r="G318">
        <f>'T_SelfStock'!E31</f>
        <v/>
      </c>
      <c r="H318">
        <f>'T_SelfStock'!F31</f>
        <v/>
      </c>
      <c r="I318">
        <f>'T_SelfStock'!G31</f>
        <v/>
      </c>
      <c r="J318">
        <f>'T_SelfStock'!H31</f>
        <v/>
      </c>
      <c r="K318">
        <f>'T_SelfStock'!I31</f>
        <v/>
      </c>
      <c r="L318">
        <f>'T_SelfStock'!J31</f>
        <v/>
      </c>
      <c r="M318">
        <f>'T_SelfStock'!K31</f>
        <v/>
      </c>
      <c r="N318">
        <f>'T_SelfStock'!L31</f>
        <v/>
      </c>
      <c r="O318">
        <f>'T_SelfStock'!M31</f>
        <v/>
      </c>
      <c r="P318">
        <f>'T_SelfStock'!N31</f>
        <v/>
      </c>
      <c r="Q318">
        <f>'T_SelfStock'!O31</f>
        <v/>
      </c>
      <c r="R318">
        <f>'T_SelfStock'!P31</f>
        <v/>
      </c>
      <c r="S318">
        <f>'T_SelfStock'!Q31</f>
        <v/>
      </c>
      <c r="T318">
        <f>'T_SelfStock'!R31</f>
        <v/>
      </c>
      <c r="U318">
        <f>'T_SelfStock'!S31</f>
        <v/>
      </c>
      <c r="V318">
        <f>'T_SelfStock'!T31</f>
        <v/>
      </c>
      <c r="W318">
        <f>'T_SelfStock'!U31</f>
        <v/>
      </c>
      <c r="X318">
        <f>'T_SelfStock'!V31</f>
        <v/>
      </c>
      <c r="Y318">
        <f>'T_SelfStock'!W31</f>
        <v/>
      </c>
      <c r="Z318">
        <f>'T_SelfStock'!X31</f>
        <v/>
      </c>
      <c r="AA318">
        <f>'T_SelfStock'!Y31</f>
        <v/>
      </c>
      <c r="AB318">
        <f>'T_SelfStock'!Z31</f>
        <v/>
      </c>
      <c r="AC318">
        <f>'T_SelfStock'!AA31</f>
        <v/>
      </c>
      <c r="AD318">
        <f>'T_SelfStock'!AB31</f>
        <v/>
      </c>
      <c r="AE318">
        <f>'T_SelfStock'!AC31</f>
        <v/>
      </c>
      <c r="AF318">
        <f>'T_SelfStock'!AD31</f>
        <v/>
      </c>
      <c r="AG318">
        <f>'T_SelfStock'!AE31</f>
        <v/>
      </c>
      <c r="AH318">
        <f>'T_SelfStock'!AF31</f>
        <v/>
      </c>
      <c r="AI318">
        <f>'T_SelfStock'!AG31</f>
        <v/>
      </c>
      <c r="AJ318">
        <f>'T_SelfStock'!AH31</f>
        <v/>
      </c>
      <c r="AK318">
        <f>'T_SelfStock'!AI31</f>
        <v/>
      </c>
      <c r="AL318">
        <f>'T_SelfStock'!AJ31</f>
        <v/>
      </c>
      <c r="AM318">
        <f>'T_SelfStock'!AK31</f>
        <v/>
      </c>
      <c r="AN318">
        <f>'T_SelfStock'!AL31</f>
        <v/>
      </c>
      <c r="AO318">
        <f>'T_SelfStock'!AM31</f>
        <v/>
      </c>
      <c r="AP318">
        <f>'T_SelfStock'!AN31</f>
        <v/>
      </c>
      <c r="AQ318">
        <f>'T_SelfStock'!AO31</f>
        <v/>
      </c>
      <c r="AR318">
        <f>'T_SelfStock'!AP31</f>
        <v/>
      </c>
      <c r="AS318">
        <f>'T_SelfStock'!AQ31</f>
        <v/>
      </c>
      <c r="AT318">
        <f>'T_SelfStock'!AR31</f>
        <v/>
      </c>
      <c r="AU318">
        <f>'T_SelfStock'!AS31</f>
        <v/>
      </c>
      <c r="AV318">
        <f>'T_SelfStock'!AT31</f>
        <v/>
      </c>
      <c r="AW318">
        <f>'T_SelfStock'!AU31</f>
        <v/>
      </c>
      <c r="AX318">
        <f>'T_SelfStock'!AV31</f>
        <v/>
      </c>
      <c r="AY318">
        <f>'T_SelfStock'!AW31</f>
        <v/>
      </c>
      <c r="AZ318">
        <f>'T_SelfStock'!AX31</f>
        <v/>
      </c>
      <c r="BA318">
        <f>'T_SelfStock'!AY31</f>
        <v/>
      </c>
      <c r="BB318">
        <f>'T_SelfStock'!AZ31</f>
        <v/>
      </c>
      <c r="BC318">
        <f>'T_SelfStock'!BA31</f>
        <v/>
      </c>
      <c r="BD318">
        <f>'T_SelfStock'!BB31</f>
        <v/>
      </c>
      <c r="BE318">
        <f>'T_SelfStock'!BC31</f>
        <v/>
      </c>
      <c r="BF318">
        <f>'T_SelfStock'!BD31</f>
        <v/>
      </c>
      <c r="BG318">
        <f>'T_SelfStock'!BE31</f>
        <v/>
      </c>
      <c r="BH318">
        <f>'T_SelfStock'!BF31</f>
        <v/>
      </c>
      <c r="BI318">
        <f>'T_SelfStock'!BG31</f>
        <v/>
      </c>
      <c r="BJ318">
        <f>'T_SelfStock'!BH31</f>
        <v/>
      </c>
      <c r="BK318">
        <f>'T_SelfStock'!BI31</f>
        <v/>
      </c>
      <c r="BL318">
        <f>'T_SelfStock'!BJ31</f>
        <v/>
      </c>
      <c r="BM318">
        <f>'T_SelfStock'!BK31</f>
        <v/>
      </c>
      <c r="BN318">
        <f>'T_SelfStock'!BL31</f>
        <v/>
      </c>
      <c r="BO318">
        <f>'T_SelfStock'!BM31</f>
        <v/>
      </c>
      <c r="BP318">
        <f>'T_SelfStock'!BN31</f>
        <v/>
      </c>
      <c r="BQ318">
        <f>'T_SelfStock'!BO31</f>
        <v/>
      </c>
      <c r="BR318">
        <f>'T_SelfStock'!BP31</f>
        <v/>
      </c>
      <c r="BS318">
        <f>'T_SelfStock'!BQ31</f>
        <v/>
      </c>
      <c r="BT318">
        <f>'T_SelfStock'!BR31</f>
        <v/>
      </c>
      <c r="BU318">
        <f>'T_SelfStock'!BS31</f>
        <v/>
      </c>
      <c r="BV318">
        <f>'T_SelfStock'!BT31</f>
        <v/>
      </c>
      <c r="BW318">
        <f>'T_SelfStock'!BU31</f>
        <v/>
      </c>
      <c r="BX318">
        <f>'T_SelfStock'!BV31</f>
        <v/>
      </c>
      <c r="BY318">
        <f>'T_SelfStock'!BW31</f>
        <v/>
      </c>
      <c r="BZ318">
        <f>'T_SelfStock'!BX31</f>
        <v/>
      </c>
      <c r="CA318">
        <f>'T_SelfStock'!BY31</f>
        <v/>
      </c>
      <c r="CB318">
        <f>'T_SelfStock'!BZ31</f>
        <v/>
      </c>
      <c r="CC318">
        <f>'T_SelfStock'!CA31</f>
        <v/>
      </c>
      <c r="CD318">
        <f>'T_SelfStock'!CB31</f>
        <v/>
      </c>
      <c r="CE318">
        <f>'T_SelfStock'!CC31</f>
        <v/>
      </c>
      <c r="CF318">
        <f>'T_SelfStock'!CD31</f>
        <v/>
      </c>
      <c r="CG318">
        <f>'T_SelfStock'!CE31</f>
        <v/>
      </c>
      <c r="CH318">
        <f>'T_SelfStock'!CF31</f>
        <v/>
      </c>
      <c r="CI318">
        <f>'T_SelfStock'!CG31</f>
        <v/>
      </c>
      <c r="CJ318">
        <f>'T_SelfStock'!CH31</f>
        <v/>
      </c>
      <c r="CK318">
        <f>'T_SelfStock'!CI31</f>
        <v/>
      </c>
      <c r="CL318">
        <f>'T_SelfStock'!CJ31</f>
        <v/>
      </c>
      <c r="CM318">
        <f>'T_SelfStock'!CK31</f>
        <v/>
      </c>
      <c r="CN318">
        <f>'T_SelfStock'!CL31</f>
        <v/>
      </c>
      <c r="CO318">
        <f>'T_SelfStock'!CM31</f>
        <v/>
      </c>
      <c r="CP318">
        <f>'T_SelfStock'!CN31</f>
        <v/>
      </c>
      <c r="CQ318">
        <f>'T_SelfStock'!CO31</f>
        <v/>
      </c>
      <c r="CR318">
        <f>'T_SelfStock'!CP31</f>
        <v/>
      </c>
      <c r="CS318">
        <f>'T_SelfStock'!CQ31</f>
        <v/>
      </c>
      <c r="CT318">
        <f>'T_SelfStock'!CR31</f>
        <v/>
      </c>
      <c r="CU318">
        <f>'T_SelfStock'!CS31</f>
        <v/>
      </c>
      <c r="CV318">
        <f>'T_SelfStock'!CT31</f>
        <v/>
      </c>
      <c r="CW318">
        <f>'T_SelfStock'!CU31</f>
        <v/>
      </c>
      <c r="CX318">
        <f>'T_SelfStock'!CV31</f>
        <v/>
      </c>
      <c r="CY318">
        <f>'T_SelfStock'!CW31</f>
        <v/>
      </c>
      <c r="CZ318">
        <f>'T_SelfStock'!CX31</f>
        <v/>
      </c>
      <c r="DA318">
        <f>'T_SelfStock'!CY31</f>
        <v/>
      </c>
      <c r="DB318">
        <f>'T_SelfStock'!CZ31</f>
        <v/>
      </c>
      <c r="DC318">
        <f>'T_SelfStock'!DA31</f>
        <v/>
      </c>
    </row>
    <row r="319">
      <c r="B319" t="inlineStr">
        <is>
          <t>Order(発注予定,kg)</t>
        </is>
      </c>
      <c r="D319">
        <f>IF(SUMIFS(T_PlannedOrders[EffectiveQty],T_PlannedOrders[Part Name],$A293,T_PlannedOrders[WeekIndex],1)=0,"",SUMIFS(T_PlannedOrders[EffectiveQty],T_PlannedOrders[Part Name],$A293,T_PlannedOrders[WeekIndex],1)&amp;" ("&amp;TEXT(SUMPRODUCT(MAX((T_PlannedOrders[Part Name]=$A293)*(T_PlannedOrders[WeekIndex]=1)*(T_PlannedOrders[EffectiveQty]&gt;0)*T_PlannedOrders[Order_Month])),"m月")&amp;"発注)")</f>
        <v/>
      </c>
      <c r="E319">
        <f>IF(SUMIFS(T_PlannedOrders[EffectiveQty],T_PlannedOrders[Part Name],$A293,T_PlannedOrders[WeekIndex],2)=0,"",SUMIFS(T_PlannedOrders[EffectiveQty],T_PlannedOrders[Part Name],$A293,T_PlannedOrders[WeekIndex],2)&amp;" ("&amp;TEXT(SUMPRODUCT(MAX((T_PlannedOrders[Part Name]=$A293)*(T_PlannedOrders[WeekIndex]=2)*(T_PlannedOrders[EffectiveQty]&gt;0)*T_PlannedOrders[Order_Month])),"m月")&amp;"発注)")</f>
        <v/>
      </c>
      <c r="F319">
        <f>IF(SUMIFS(T_PlannedOrders[EffectiveQty],T_PlannedOrders[Part Name],$A293,T_PlannedOrders[WeekIndex],3)=0,"",SUMIFS(T_PlannedOrders[EffectiveQty],T_PlannedOrders[Part Name],$A293,T_PlannedOrders[WeekIndex],3)&amp;" ("&amp;TEXT(SUMPRODUCT(MAX((T_PlannedOrders[Part Name]=$A293)*(T_PlannedOrders[WeekIndex]=3)*(T_PlannedOrders[EffectiveQty]&gt;0)*T_PlannedOrders[Order_Month])),"m月")&amp;"発注)")</f>
        <v/>
      </c>
      <c r="G319">
        <f>IF(SUMIFS(T_PlannedOrders[EffectiveQty],T_PlannedOrders[Part Name],$A293,T_PlannedOrders[WeekIndex],4)=0,"",SUMIFS(T_PlannedOrders[EffectiveQty],T_PlannedOrders[Part Name],$A293,T_PlannedOrders[WeekIndex],4)&amp;" ("&amp;TEXT(SUMPRODUCT(MAX((T_PlannedOrders[Part Name]=$A293)*(T_PlannedOrders[WeekIndex]=4)*(T_PlannedOrders[EffectiveQty]&gt;0)*T_PlannedOrders[Order_Month])),"m月")&amp;"発注)")</f>
        <v/>
      </c>
      <c r="H319">
        <f>IF(SUMIFS(T_PlannedOrders[EffectiveQty],T_PlannedOrders[Part Name],$A293,T_PlannedOrders[WeekIndex],5)=0,"",SUMIFS(T_PlannedOrders[EffectiveQty],T_PlannedOrders[Part Name],$A293,T_PlannedOrders[WeekIndex],5)&amp;" ("&amp;TEXT(SUMPRODUCT(MAX((T_PlannedOrders[Part Name]=$A293)*(T_PlannedOrders[WeekIndex]=5)*(T_PlannedOrders[EffectiveQty]&gt;0)*T_PlannedOrders[Order_Month])),"m月")&amp;"発注)")</f>
        <v/>
      </c>
      <c r="I319">
        <f>IF(SUMIFS(T_PlannedOrders[EffectiveQty],T_PlannedOrders[Part Name],$A293,T_PlannedOrders[WeekIndex],6)=0,"",SUMIFS(T_PlannedOrders[EffectiveQty],T_PlannedOrders[Part Name],$A293,T_PlannedOrders[WeekIndex],6)&amp;" ("&amp;TEXT(SUMPRODUCT(MAX((T_PlannedOrders[Part Name]=$A293)*(T_PlannedOrders[WeekIndex]=6)*(T_PlannedOrders[EffectiveQty]&gt;0)*T_PlannedOrders[Order_Month])),"m月")&amp;"発注)")</f>
        <v/>
      </c>
      <c r="J319">
        <f>IF(SUMIFS(T_PlannedOrders[EffectiveQty],T_PlannedOrders[Part Name],$A293,T_PlannedOrders[WeekIndex],7)=0,"",SUMIFS(T_PlannedOrders[EffectiveQty],T_PlannedOrders[Part Name],$A293,T_PlannedOrders[WeekIndex],7)&amp;" ("&amp;TEXT(SUMPRODUCT(MAX((T_PlannedOrders[Part Name]=$A293)*(T_PlannedOrders[WeekIndex]=7)*(T_PlannedOrders[EffectiveQty]&gt;0)*T_PlannedOrders[Order_Month])),"m月")&amp;"発注)")</f>
        <v/>
      </c>
      <c r="K319">
        <f>IF(SUMIFS(T_PlannedOrders[EffectiveQty],T_PlannedOrders[Part Name],$A293,T_PlannedOrders[WeekIndex],8)=0,"",SUMIFS(T_PlannedOrders[EffectiveQty],T_PlannedOrders[Part Name],$A293,T_PlannedOrders[WeekIndex],8)&amp;" ("&amp;TEXT(SUMPRODUCT(MAX((T_PlannedOrders[Part Name]=$A293)*(T_PlannedOrders[WeekIndex]=8)*(T_PlannedOrders[EffectiveQty]&gt;0)*T_PlannedOrders[Order_Month])),"m月")&amp;"発注)")</f>
        <v/>
      </c>
      <c r="L319">
        <f>IF(SUMIFS(T_PlannedOrders[EffectiveQty],T_PlannedOrders[Part Name],$A293,T_PlannedOrders[WeekIndex],9)=0,"",SUMIFS(T_PlannedOrders[EffectiveQty],T_PlannedOrders[Part Name],$A293,T_PlannedOrders[WeekIndex],9)&amp;" ("&amp;TEXT(SUMPRODUCT(MAX((T_PlannedOrders[Part Name]=$A293)*(T_PlannedOrders[WeekIndex]=9)*(T_PlannedOrders[EffectiveQty]&gt;0)*T_PlannedOrders[Order_Month])),"m月")&amp;"発注)")</f>
        <v/>
      </c>
      <c r="M319">
        <f>IF(SUMIFS(T_PlannedOrders[EffectiveQty],T_PlannedOrders[Part Name],$A293,T_PlannedOrders[WeekIndex],10)=0,"",SUMIFS(T_PlannedOrders[EffectiveQty],T_PlannedOrders[Part Name],$A293,T_PlannedOrders[WeekIndex],10)&amp;" ("&amp;TEXT(SUMPRODUCT(MAX((T_PlannedOrders[Part Name]=$A293)*(T_PlannedOrders[WeekIndex]=10)*(T_PlannedOrders[EffectiveQty]&gt;0)*T_PlannedOrders[Order_Month])),"m月")&amp;"発注)")</f>
        <v/>
      </c>
      <c r="N319">
        <f>IF(SUMIFS(T_PlannedOrders[EffectiveQty],T_PlannedOrders[Part Name],$A293,T_PlannedOrders[WeekIndex],11)=0,"",SUMIFS(T_PlannedOrders[EffectiveQty],T_PlannedOrders[Part Name],$A293,T_PlannedOrders[WeekIndex],11)&amp;" ("&amp;TEXT(SUMPRODUCT(MAX((T_PlannedOrders[Part Name]=$A293)*(T_PlannedOrders[WeekIndex]=11)*(T_PlannedOrders[EffectiveQty]&gt;0)*T_PlannedOrders[Order_Month])),"m月")&amp;"発注)")</f>
        <v/>
      </c>
      <c r="O319">
        <f>IF(SUMIFS(T_PlannedOrders[EffectiveQty],T_PlannedOrders[Part Name],$A293,T_PlannedOrders[WeekIndex],12)=0,"",SUMIFS(T_PlannedOrders[EffectiveQty],T_PlannedOrders[Part Name],$A293,T_PlannedOrders[WeekIndex],12)&amp;" ("&amp;TEXT(SUMPRODUCT(MAX((T_PlannedOrders[Part Name]=$A293)*(T_PlannedOrders[WeekIndex]=12)*(T_PlannedOrders[EffectiveQty]&gt;0)*T_PlannedOrders[Order_Month])),"m月")&amp;"発注)")</f>
        <v/>
      </c>
      <c r="P319">
        <f>IF(SUMIFS(T_PlannedOrders[EffectiveQty],T_PlannedOrders[Part Name],$A293,T_PlannedOrders[WeekIndex],13)=0,"",SUMIFS(T_PlannedOrders[EffectiveQty],T_PlannedOrders[Part Name],$A293,T_PlannedOrders[WeekIndex],13)&amp;" ("&amp;TEXT(SUMPRODUCT(MAX((T_PlannedOrders[Part Name]=$A293)*(T_PlannedOrders[WeekIndex]=13)*(T_PlannedOrders[EffectiveQty]&gt;0)*T_PlannedOrders[Order_Month])),"m月")&amp;"発注)")</f>
        <v/>
      </c>
      <c r="Q319">
        <f>IF(SUMIFS(T_PlannedOrders[EffectiveQty],T_PlannedOrders[Part Name],$A293,T_PlannedOrders[WeekIndex],14)=0,"",SUMIFS(T_PlannedOrders[EffectiveQty],T_PlannedOrders[Part Name],$A293,T_PlannedOrders[WeekIndex],14)&amp;" ("&amp;TEXT(SUMPRODUCT(MAX((T_PlannedOrders[Part Name]=$A293)*(T_PlannedOrders[WeekIndex]=14)*(T_PlannedOrders[EffectiveQty]&gt;0)*T_PlannedOrders[Order_Month])),"m月")&amp;"発注)")</f>
        <v/>
      </c>
      <c r="R319">
        <f>IF(SUMIFS(T_PlannedOrders[EffectiveQty],T_PlannedOrders[Part Name],$A293,T_PlannedOrders[WeekIndex],15)=0,"",SUMIFS(T_PlannedOrders[EffectiveQty],T_PlannedOrders[Part Name],$A293,T_PlannedOrders[WeekIndex],15)&amp;" ("&amp;TEXT(SUMPRODUCT(MAX((T_PlannedOrders[Part Name]=$A293)*(T_PlannedOrders[WeekIndex]=15)*(T_PlannedOrders[EffectiveQty]&gt;0)*T_PlannedOrders[Order_Month])),"m月")&amp;"発注)")</f>
        <v/>
      </c>
      <c r="S319">
        <f>IF(SUMIFS(T_PlannedOrders[EffectiveQty],T_PlannedOrders[Part Name],$A293,T_PlannedOrders[WeekIndex],16)=0,"",SUMIFS(T_PlannedOrders[EffectiveQty],T_PlannedOrders[Part Name],$A293,T_PlannedOrders[WeekIndex],16)&amp;" ("&amp;TEXT(SUMPRODUCT(MAX((T_PlannedOrders[Part Name]=$A293)*(T_PlannedOrders[WeekIndex]=16)*(T_PlannedOrders[EffectiveQty]&gt;0)*T_PlannedOrders[Order_Month])),"m月")&amp;"発注)")</f>
        <v/>
      </c>
      <c r="T319">
        <f>IF(SUMIFS(T_PlannedOrders[EffectiveQty],T_PlannedOrders[Part Name],$A293,T_PlannedOrders[WeekIndex],17)=0,"",SUMIFS(T_PlannedOrders[EffectiveQty],T_PlannedOrders[Part Name],$A293,T_PlannedOrders[WeekIndex],17)&amp;" ("&amp;TEXT(SUMPRODUCT(MAX((T_PlannedOrders[Part Name]=$A293)*(T_PlannedOrders[WeekIndex]=17)*(T_PlannedOrders[EffectiveQty]&gt;0)*T_PlannedOrders[Order_Month])),"m月")&amp;"発注)")</f>
        <v/>
      </c>
      <c r="U319">
        <f>IF(SUMIFS(T_PlannedOrders[EffectiveQty],T_PlannedOrders[Part Name],$A293,T_PlannedOrders[WeekIndex],18)=0,"",SUMIFS(T_PlannedOrders[EffectiveQty],T_PlannedOrders[Part Name],$A293,T_PlannedOrders[WeekIndex],18)&amp;" ("&amp;TEXT(SUMPRODUCT(MAX((T_PlannedOrders[Part Name]=$A293)*(T_PlannedOrders[WeekIndex]=18)*(T_PlannedOrders[EffectiveQty]&gt;0)*T_PlannedOrders[Order_Month])),"m月")&amp;"発注)")</f>
        <v/>
      </c>
      <c r="V319">
        <f>IF(SUMIFS(T_PlannedOrders[EffectiveQty],T_PlannedOrders[Part Name],$A293,T_PlannedOrders[WeekIndex],19)=0,"",SUMIFS(T_PlannedOrders[EffectiveQty],T_PlannedOrders[Part Name],$A293,T_PlannedOrders[WeekIndex],19)&amp;" ("&amp;TEXT(SUMPRODUCT(MAX((T_PlannedOrders[Part Name]=$A293)*(T_PlannedOrders[WeekIndex]=19)*(T_PlannedOrders[EffectiveQty]&gt;0)*T_PlannedOrders[Order_Month])),"m月")&amp;"発注)")</f>
        <v/>
      </c>
      <c r="W319">
        <f>IF(SUMIFS(T_PlannedOrders[EffectiveQty],T_PlannedOrders[Part Name],$A293,T_PlannedOrders[WeekIndex],20)=0,"",SUMIFS(T_PlannedOrders[EffectiveQty],T_PlannedOrders[Part Name],$A293,T_PlannedOrders[WeekIndex],20)&amp;" ("&amp;TEXT(SUMPRODUCT(MAX((T_PlannedOrders[Part Name]=$A293)*(T_PlannedOrders[WeekIndex]=20)*(T_PlannedOrders[EffectiveQty]&gt;0)*T_PlannedOrders[Order_Month])),"m月")&amp;"発注)")</f>
        <v/>
      </c>
      <c r="X319">
        <f>IF(SUMIFS(T_PlannedOrders[EffectiveQty],T_PlannedOrders[Part Name],$A293,T_PlannedOrders[WeekIndex],21)=0,"",SUMIFS(T_PlannedOrders[EffectiveQty],T_PlannedOrders[Part Name],$A293,T_PlannedOrders[WeekIndex],21)&amp;" ("&amp;TEXT(SUMPRODUCT(MAX((T_PlannedOrders[Part Name]=$A293)*(T_PlannedOrders[WeekIndex]=21)*(T_PlannedOrders[EffectiveQty]&gt;0)*T_PlannedOrders[Order_Month])),"m月")&amp;"発注)")</f>
        <v/>
      </c>
      <c r="Y319">
        <f>IF(SUMIFS(T_PlannedOrders[EffectiveQty],T_PlannedOrders[Part Name],$A293,T_PlannedOrders[WeekIndex],22)=0,"",SUMIFS(T_PlannedOrders[EffectiveQty],T_PlannedOrders[Part Name],$A293,T_PlannedOrders[WeekIndex],22)&amp;" ("&amp;TEXT(SUMPRODUCT(MAX((T_PlannedOrders[Part Name]=$A293)*(T_PlannedOrders[WeekIndex]=22)*(T_PlannedOrders[EffectiveQty]&gt;0)*T_PlannedOrders[Order_Month])),"m月")&amp;"発注)")</f>
        <v/>
      </c>
      <c r="Z319">
        <f>IF(SUMIFS(T_PlannedOrders[EffectiveQty],T_PlannedOrders[Part Name],$A293,T_PlannedOrders[WeekIndex],23)=0,"",SUMIFS(T_PlannedOrders[EffectiveQty],T_PlannedOrders[Part Name],$A293,T_PlannedOrders[WeekIndex],23)&amp;" ("&amp;TEXT(SUMPRODUCT(MAX((T_PlannedOrders[Part Name]=$A293)*(T_PlannedOrders[WeekIndex]=23)*(T_PlannedOrders[EffectiveQty]&gt;0)*T_PlannedOrders[Order_Month])),"m月")&amp;"発注)")</f>
        <v/>
      </c>
      <c r="AA319">
        <f>IF(SUMIFS(T_PlannedOrders[EffectiveQty],T_PlannedOrders[Part Name],$A293,T_PlannedOrders[WeekIndex],24)=0,"",SUMIFS(T_PlannedOrders[EffectiveQty],T_PlannedOrders[Part Name],$A293,T_PlannedOrders[WeekIndex],24)&amp;" ("&amp;TEXT(SUMPRODUCT(MAX((T_PlannedOrders[Part Name]=$A293)*(T_PlannedOrders[WeekIndex]=24)*(T_PlannedOrders[EffectiveQty]&gt;0)*T_PlannedOrders[Order_Month])),"m月")&amp;"発注)")</f>
        <v/>
      </c>
      <c r="AB319">
        <f>IF(SUMIFS(T_PlannedOrders[EffectiveQty],T_PlannedOrders[Part Name],$A293,T_PlannedOrders[WeekIndex],25)=0,"",SUMIFS(T_PlannedOrders[EffectiveQty],T_PlannedOrders[Part Name],$A293,T_PlannedOrders[WeekIndex],25)&amp;" ("&amp;TEXT(SUMPRODUCT(MAX((T_PlannedOrders[Part Name]=$A293)*(T_PlannedOrders[WeekIndex]=25)*(T_PlannedOrders[EffectiveQty]&gt;0)*T_PlannedOrders[Order_Month])),"m月")&amp;"発注)")</f>
        <v/>
      </c>
      <c r="AC319">
        <f>IF(SUMIFS(T_PlannedOrders[EffectiveQty],T_PlannedOrders[Part Name],$A293,T_PlannedOrders[WeekIndex],26)=0,"",SUMIFS(T_PlannedOrders[EffectiveQty],T_PlannedOrders[Part Name],$A293,T_PlannedOrders[WeekIndex],26)&amp;" ("&amp;TEXT(SUMPRODUCT(MAX((T_PlannedOrders[Part Name]=$A293)*(T_PlannedOrders[WeekIndex]=26)*(T_PlannedOrders[EffectiveQty]&gt;0)*T_PlannedOrders[Order_Month])),"m月")&amp;"発注)")</f>
        <v/>
      </c>
      <c r="AD319">
        <f>IF(SUMIFS(T_PlannedOrders[EffectiveQty],T_PlannedOrders[Part Name],$A293,T_PlannedOrders[WeekIndex],27)=0,"",SUMIFS(T_PlannedOrders[EffectiveQty],T_PlannedOrders[Part Name],$A293,T_PlannedOrders[WeekIndex],27)&amp;" ("&amp;TEXT(SUMPRODUCT(MAX((T_PlannedOrders[Part Name]=$A293)*(T_PlannedOrders[WeekIndex]=27)*(T_PlannedOrders[EffectiveQty]&gt;0)*T_PlannedOrders[Order_Month])),"m月")&amp;"発注)")</f>
        <v/>
      </c>
      <c r="AE319">
        <f>IF(SUMIFS(T_PlannedOrders[EffectiveQty],T_PlannedOrders[Part Name],$A293,T_PlannedOrders[WeekIndex],28)=0,"",SUMIFS(T_PlannedOrders[EffectiveQty],T_PlannedOrders[Part Name],$A293,T_PlannedOrders[WeekIndex],28)&amp;" ("&amp;TEXT(SUMPRODUCT(MAX((T_PlannedOrders[Part Name]=$A293)*(T_PlannedOrders[WeekIndex]=28)*(T_PlannedOrders[EffectiveQty]&gt;0)*T_PlannedOrders[Order_Month])),"m月")&amp;"発注)")</f>
        <v/>
      </c>
      <c r="AF319">
        <f>IF(SUMIFS(T_PlannedOrders[EffectiveQty],T_PlannedOrders[Part Name],$A293,T_PlannedOrders[WeekIndex],29)=0,"",SUMIFS(T_PlannedOrders[EffectiveQty],T_PlannedOrders[Part Name],$A293,T_PlannedOrders[WeekIndex],29)&amp;" ("&amp;TEXT(SUMPRODUCT(MAX((T_PlannedOrders[Part Name]=$A293)*(T_PlannedOrders[WeekIndex]=29)*(T_PlannedOrders[EffectiveQty]&gt;0)*T_PlannedOrders[Order_Month])),"m月")&amp;"発注)")</f>
        <v/>
      </c>
      <c r="AG319">
        <f>IF(SUMIFS(T_PlannedOrders[EffectiveQty],T_PlannedOrders[Part Name],$A293,T_PlannedOrders[WeekIndex],30)=0,"",SUMIFS(T_PlannedOrders[EffectiveQty],T_PlannedOrders[Part Name],$A293,T_PlannedOrders[WeekIndex],30)&amp;" ("&amp;TEXT(SUMPRODUCT(MAX((T_PlannedOrders[Part Name]=$A293)*(T_PlannedOrders[WeekIndex]=30)*(T_PlannedOrders[EffectiveQty]&gt;0)*T_PlannedOrders[Order_Month])),"m月")&amp;"発注)")</f>
        <v/>
      </c>
      <c r="AH319">
        <f>IF(SUMIFS(T_PlannedOrders[EffectiveQty],T_PlannedOrders[Part Name],$A293,T_PlannedOrders[WeekIndex],31)=0,"",SUMIFS(T_PlannedOrders[EffectiveQty],T_PlannedOrders[Part Name],$A293,T_PlannedOrders[WeekIndex],31)&amp;" ("&amp;TEXT(SUMPRODUCT(MAX((T_PlannedOrders[Part Name]=$A293)*(T_PlannedOrders[WeekIndex]=31)*(T_PlannedOrders[EffectiveQty]&gt;0)*T_PlannedOrders[Order_Month])),"m月")&amp;"発注)")</f>
        <v/>
      </c>
      <c r="AI319">
        <f>IF(SUMIFS(T_PlannedOrders[EffectiveQty],T_PlannedOrders[Part Name],$A293,T_PlannedOrders[WeekIndex],32)=0,"",SUMIFS(T_PlannedOrders[EffectiveQty],T_PlannedOrders[Part Name],$A293,T_PlannedOrders[WeekIndex],32)&amp;" ("&amp;TEXT(SUMPRODUCT(MAX((T_PlannedOrders[Part Name]=$A293)*(T_PlannedOrders[WeekIndex]=32)*(T_PlannedOrders[EffectiveQty]&gt;0)*T_PlannedOrders[Order_Month])),"m月")&amp;"発注)")</f>
        <v/>
      </c>
      <c r="AJ319">
        <f>IF(SUMIFS(T_PlannedOrders[EffectiveQty],T_PlannedOrders[Part Name],$A293,T_PlannedOrders[WeekIndex],33)=0,"",SUMIFS(T_PlannedOrders[EffectiveQty],T_PlannedOrders[Part Name],$A293,T_PlannedOrders[WeekIndex],33)&amp;" ("&amp;TEXT(SUMPRODUCT(MAX((T_PlannedOrders[Part Name]=$A293)*(T_PlannedOrders[WeekIndex]=33)*(T_PlannedOrders[EffectiveQty]&gt;0)*T_PlannedOrders[Order_Month])),"m月")&amp;"発注)")</f>
        <v/>
      </c>
      <c r="AK319">
        <f>IF(SUMIFS(T_PlannedOrders[EffectiveQty],T_PlannedOrders[Part Name],$A293,T_PlannedOrders[WeekIndex],34)=0,"",SUMIFS(T_PlannedOrders[EffectiveQty],T_PlannedOrders[Part Name],$A293,T_PlannedOrders[WeekIndex],34)&amp;" ("&amp;TEXT(SUMPRODUCT(MAX((T_PlannedOrders[Part Name]=$A293)*(T_PlannedOrders[WeekIndex]=34)*(T_PlannedOrders[EffectiveQty]&gt;0)*T_PlannedOrders[Order_Month])),"m月")&amp;"発注)")</f>
        <v/>
      </c>
      <c r="AL319">
        <f>IF(SUMIFS(T_PlannedOrders[EffectiveQty],T_PlannedOrders[Part Name],$A293,T_PlannedOrders[WeekIndex],35)=0,"",SUMIFS(T_PlannedOrders[EffectiveQty],T_PlannedOrders[Part Name],$A293,T_PlannedOrders[WeekIndex],35)&amp;" ("&amp;TEXT(SUMPRODUCT(MAX((T_PlannedOrders[Part Name]=$A293)*(T_PlannedOrders[WeekIndex]=35)*(T_PlannedOrders[EffectiveQty]&gt;0)*T_PlannedOrders[Order_Month])),"m月")&amp;"発注)")</f>
        <v/>
      </c>
      <c r="AM319">
        <f>IF(SUMIFS(T_PlannedOrders[EffectiveQty],T_PlannedOrders[Part Name],$A293,T_PlannedOrders[WeekIndex],36)=0,"",SUMIFS(T_PlannedOrders[EffectiveQty],T_PlannedOrders[Part Name],$A293,T_PlannedOrders[WeekIndex],36)&amp;" ("&amp;TEXT(SUMPRODUCT(MAX((T_PlannedOrders[Part Name]=$A293)*(T_PlannedOrders[WeekIndex]=36)*(T_PlannedOrders[EffectiveQty]&gt;0)*T_PlannedOrders[Order_Month])),"m月")&amp;"発注)")</f>
        <v/>
      </c>
      <c r="AN319">
        <f>IF(SUMIFS(T_PlannedOrders[EffectiveQty],T_PlannedOrders[Part Name],$A293,T_PlannedOrders[WeekIndex],37)=0,"",SUMIFS(T_PlannedOrders[EffectiveQty],T_PlannedOrders[Part Name],$A293,T_PlannedOrders[WeekIndex],37)&amp;" ("&amp;TEXT(SUMPRODUCT(MAX((T_PlannedOrders[Part Name]=$A293)*(T_PlannedOrders[WeekIndex]=37)*(T_PlannedOrders[EffectiveQty]&gt;0)*T_PlannedOrders[Order_Month])),"m月")&amp;"発注)")</f>
        <v/>
      </c>
      <c r="AO319">
        <f>IF(SUMIFS(T_PlannedOrders[EffectiveQty],T_PlannedOrders[Part Name],$A293,T_PlannedOrders[WeekIndex],38)=0,"",SUMIFS(T_PlannedOrders[EffectiveQty],T_PlannedOrders[Part Name],$A293,T_PlannedOrders[WeekIndex],38)&amp;" ("&amp;TEXT(SUMPRODUCT(MAX((T_PlannedOrders[Part Name]=$A293)*(T_PlannedOrders[WeekIndex]=38)*(T_PlannedOrders[EffectiveQty]&gt;0)*T_PlannedOrders[Order_Month])),"m月")&amp;"発注)")</f>
        <v/>
      </c>
      <c r="AP319">
        <f>IF(SUMIFS(T_PlannedOrders[EffectiveQty],T_PlannedOrders[Part Name],$A293,T_PlannedOrders[WeekIndex],39)=0,"",SUMIFS(T_PlannedOrders[EffectiveQty],T_PlannedOrders[Part Name],$A293,T_PlannedOrders[WeekIndex],39)&amp;" ("&amp;TEXT(SUMPRODUCT(MAX((T_PlannedOrders[Part Name]=$A293)*(T_PlannedOrders[WeekIndex]=39)*(T_PlannedOrders[EffectiveQty]&gt;0)*T_PlannedOrders[Order_Month])),"m月")&amp;"発注)")</f>
        <v/>
      </c>
      <c r="AQ319">
        <f>IF(SUMIFS(T_PlannedOrders[EffectiveQty],T_PlannedOrders[Part Name],$A293,T_PlannedOrders[WeekIndex],40)=0,"",SUMIFS(T_PlannedOrders[EffectiveQty],T_PlannedOrders[Part Name],$A293,T_PlannedOrders[WeekIndex],40)&amp;" ("&amp;TEXT(SUMPRODUCT(MAX((T_PlannedOrders[Part Name]=$A293)*(T_PlannedOrders[WeekIndex]=40)*(T_PlannedOrders[EffectiveQty]&gt;0)*T_PlannedOrders[Order_Month])),"m月")&amp;"発注)")</f>
        <v/>
      </c>
      <c r="AR319">
        <f>IF(SUMIFS(T_PlannedOrders[EffectiveQty],T_PlannedOrders[Part Name],$A293,T_PlannedOrders[WeekIndex],41)=0,"",SUMIFS(T_PlannedOrders[EffectiveQty],T_PlannedOrders[Part Name],$A293,T_PlannedOrders[WeekIndex],41)&amp;" ("&amp;TEXT(SUMPRODUCT(MAX((T_PlannedOrders[Part Name]=$A293)*(T_PlannedOrders[WeekIndex]=41)*(T_PlannedOrders[EffectiveQty]&gt;0)*T_PlannedOrders[Order_Month])),"m月")&amp;"発注)")</f>
        <v/>
      </c>
      <c r="AS319">
        <f>IF(SUMIFS(T_PlannedOrders[EffectiveQty],T_PlannedOrders[Part Name],$A293,T_PlannedOrders[WeekIndex],42)=0,"",SUMIFS(T_PlannedOrders[EffectiveQty],T_PlannedOrders[Part Name],$A293,T_PlannedOrders[WeekIndex],42)&amp;" ("&amp;TEXT(SUMPRODUCT(MAX((T_PlannedOrders[Part Name]=$A293)*(T_PlannedOrders[WeekIndex]=42)*(T_PlannedOrders[EffectiveQty]&gt;0)*T_PlannedOrders[Order_Month])),"m月")&amp;"発注)")</f>
        <v/>
      </c>
      <c r="AT319">
        <f>IF(SUMIFS(T_PlannedOrders[EffectiveQty],T_PlannedOrders[Part Name],$A293,T_PlannedOrders[WeekIndex],43)=0,"",SUMIFS(T_PlannedOrders[EffectiveQty],T_PlannedOrders[Part Name],$A293,T_PlannedOrders[WeekIndex],43)&amp;" ("&amp;TEXT(SUMPRODUCT(MAX((T_PlannedOrders[Part Name]=$A293)*(T_PlannedOrders[WeekIndex]=43)*(T_PlannedOrders[EffectiveQty]&gt;0)*T_PlannedOrders[Order_Month])),"m月")&amp;"発注)")</f>
        <v/>
      </c>
      <c r="AU319">
        <f>IF(SUMIFS(T_PlannedOrders[EffectiveQty],T_PlannedOrders[Part Name],$A293,T_PlannedOrders[WeekIndex],44)=0,"",SUMIFS(T_PlannedOrders[EffectiveQty],T_PlannedOrders[Part Name],$A293,T_PlannedOrders[WeekIndex],44)&amp;" ("&amp;TEXT(SUMPRODUCT(MAX((T_PlannedOrders[Part Name]=$A293)*(T_PlannedOrders[WeekIndex]=44)*(T_PlannedOrders[EffectiveQty]&gt;0)*T_PlannedOrders[Order_Month])),"m月")&amp;"発注)")</f>
        <v/>
      </c>
      <c r="AV319">
        <f>IF(SUMIFS(T_PlannedOrders[EffectiveQty],T_PlannedOrders[Part Name],$A293,T_PlannedOrders[WeekIndex],45)=0,"",SUMIFS(T_PlannedOrders[EffectiveQty],T_PlannedOrders[Part Name],$A293,T_PlannedOrders[WeekIndex],45)&amp;" ("&amp;TEXT(SUMPRODUCT(MAX((T_PlannedOrders[Part Name]=$A293)*(T_PlannedOrders[WeekIndex]=45)*(T_PlannedOrders[EffectiveQty]&gt;0)*T_PlannedOrders[Order_Month])),"m月")&amp;"発注)")</f>
        <v/>
      </c>
      <c r="AW319">
        <f>IF(SUMIFS(T_PlannedOrders[EffectiveQty],T_PlannedOrders[Part Name],$A293,T_PlannedOrders[WeekIndex],46)=0,"",SUMIFS(T_PlannedOrders[EffectiveQty],T_PlannedOrders[Part Name],$A293,T_PlannedOrders[WeekIndex],46)&amp;" ("&amp;TEXT(SUMPRODUCT(MAX((T_PlannedOrders[Part Name]=$A293)*(T_PlannedOrders[WeekIndex]=46)*(T_PlannedOrders[EffectiveQty]&gt;0)*T_PlannedOrders[Order_Month])),"m月")&amp;"発注)")</f>
        <v/>
      </c>
      <c r="AX319">
        <f>IF(SUMIFS(T_PlannedOrders[EffectiveQty],T_PlannedOrders[Part Name],$A293,T_PlannedOrders[WeekIndex],47)=0,"",SUMIFS(T_PlannedOrders[EffectiveQty],T_PlannedOrders[Part Name],$A293,T_PlannedOrders[WeekIndex],47)&amp;" ("&amp;TEXT(SUMPRODUCT(MAX((T_PlannedOrders[Part Name]=$A293)*(T_PlannedOrders[WeekIndex]=47)*(T_PlannedOrders[EffectiveQty]&gt;0)*T_PlannedOrders[Order_Month])),"m月")&amp;"発注)")</f>
        <v/>
      </c>
      <c r="AY319">
        <f>IF(SUMIFS(T_PlannedOrders[EffectiveQty],T_PlannedOrders[Part Name],$A293,T_PlannedOrders[WeekIndex],48)=0,"",SUMIFS(T_PlannedOrders[EffectiveQty],T_PlannedOrders[Part Name],$A293,T_PlannedOrders[WeekIndex],48)&amp;" ("&amp;TEXT(SUMPRODUCT(MAX((T_PlannedOrders[Part Name]=$A293)*(T_PlannedOrders[WeekIndex]=48)*(T_PlannedOrders[EffectiveQty]&gt;0)*T_PlannedOrders[Order_Month])),"m月")&amp;"発注)")</f>
        <v/>
      </c>
      <c r="AZ319">
        <f>IF(SUMIFS(T_PlannedOrders[EffectiveQty],T_PlannedOrders[Part Name],$A293,T_PlannedOrders[WeekIndex],49)=0,"",SUMIFS(T_PlannedOrders[EffectiveQty],T_PlannedOrders[Part Name],$A293,T_PlannedOrders[WeekIndex],49)&amp;" ("&amp;TEXT(SUMPRODUCT(MAX((T_PlannedOrders[Part Name]=$A293)*(T_PlannedOrders[WeekIndex]=49)*(T_PlannedOrders[EffectiveQty]&gt;0)*T_PlannedOrders[Order_Month])),"m月")&amp;"発注)")</f>
        <v/>
      </c>
      <c r="BA319">
        <f>IF(SUMIFS(T_PlannedOrders[EffectiveQty],T_PlannedOrders[Part Name],$A293,T_PlannedOrders[WeekIndex],50)=0,"",SUMIFS(T_PlannedOrders[EffectiveQty],T_PlannedOrders[Part Name],$A293,T_PlannedOrders[WeekIndex],50)&amp;" ("&amp;TEXT(SUMPRODUCT(MAX((T_PlannedOrders[Part Name]=$A293)*(T_PlannedOrders[WeekIndex]=50)*(T_PlannedOrders[EffectiveQty]&gt;0)*T_PlannedOrders[Order_Month])),"m月")&amp;"発注)")</f>
        <v/>
      </c>
      <c r="BB319">
        <f>IF(SUMIFS(T_PlannedOrders[EffectiveQty],T_PlannedOrders[Part Name],$A293,T_PlannedOrders[WeekIndex],51)=0,"",SUMIFS(T_PlannedOrders[EffectiveQty],T_PlannedOrders[Part Name],$A293,T_PlannedOrders[WeekIndex],51)&amp;" ("&amp;TEXT(SUMPRODUCT(MAX((T_PlannedOrders[Part Name]=$A293)*(T_PlannedOrders[WeekIndex]=51)*(T_PlannedOrders[EffectiveQty]&gt;0)*T_PlannedOrders[Order_Month])),"m月")&amp;"発注)")</f>
        <v/>
      </c>
      <c r="BC319">
        <f>IF(SUMIFS(T_PlannedOrders[EffectiveQty],T_PlannedOrders[Part Name],$A293,T_PlannedOrders[WeekIndex],52)=0,"",SUMIFS(T_PlannedOrders[EffectiveQty],T_PlannedOrders[Part Name],$A293,T_PlannedOrders[WeekIndex],52)&amp;" ("&amp;TEXT(SUMPRODUCT(MAX((T_PlannedOrders[Part Name]=$A293)*(T_PlannedOrders[WeekIndex]=52)*(T_PlannedOrders[EffectiveQty]&gt;0)*T_PlannedOrders[Order_Month])),"m月")&amp;"発注)")</f>
        <v/>
      </c>
      <c r="BD319">
        <f>IF(SUMIFS(T_PlannedOrders[EffectiveQty],T_PlannedOrders[Part Name],$A293,T_PlannedOrders[WeekIndex],53)=0,"",SUMIFS(T_PlannedOrders[EffectiveQty],T_PlannedOrders[Part Name],$A293,T_PlannedOrders[WeekIndex],53)&amp;" ("&amp;TEXT(SUMPRODUCT(MAX((T_PlannedOrders[Part Name]=$A293)*(T_PlannedOrders[WeekIndex]=53)*(T_PlannedOrders[EffectiveQty]&gt;0)*T_PlannedOrders[Order_Month])),"m月")&amp;"発注)")</f>
        <v/>
      </c>
      <c r="BE319">
        <f>IF(SUMIFS(T_PlannedOrders[EffectiveQty],T_PlannedOrders[Part Name],$A293,T_PlannedOrders[WeekIndex],54)=0,"",SUMIFS(T_PlannedOrders[EffectiveQty],T_PlannedOrders[Part Name],$A293,T_PlannedOrders[WeekIndex],54)&amp;" ("&amp;TEXT(SUMPRODUCT(MAX((T_PlannedOrders[Part Name]=$A293)*(T_PlannedOrders[WeekIndex]=54)*(T_PlannedOrders[EffectiveQty]&gt;0)*T_PlannedOrders[Order_Month])),"m月")&amp;"発注)")</f>
        <v/>
      </c>
      <c r="BF319">
        <f>IF(SUMIFS(T_PlannedOrders[EffectiveQty],T_PlannedOrders[Part Name],$A293,T_PlannedOrders[WeekIndex],55)=0,"",SUMIFS(T_PlannedOrders[EffectiveQty],T_PlannedOrders[Part Name],$A293,T_PlannedOrders[WeekIndex],55)&amp;" ("&amp;TEXT(SUMPRODUCT(MAX((T_PlannedOrders[Part Name]=$A293)*(T_PlannedOrders[WeekIndex]=55)*(T_PlannedOrders[EffectiveQty]&gt;0)*T_PlannedOrders[Order_Month])),"m月")&amp;"発注)")</f>
        <v/>
      </c>
      <c r="BG319">
        <f>IF(SUMIFS(T_PlannedOrders[EffectiveQty],T_PlannedOrders[Part Name],$A293,T_PlannedOrders[WeekIndex],56)=0,"",SUMIFS(T_PlannedOrders[EffectiveQty],T_PlannedOrders[Part Name],$A293,T_PlannedOrders[WeekIndex],56)&amp;" ("&amp;TEXT(SUMPRODUCT(MAX((T_PlannedOrders[Part Name]=$A293)*(T_PlannedOrders[WeekIndex]=56)*(T_PlannedOrders[EffectiveQty]&gt;0)*T_PlannedOrders[Order_Month])),"m月")&amp;"発注)")</f>
        <v/>
      </c>
      <c r="BH319">
        <f>IF(SUMIFS(T_PlannedOrders[EffectiveQty],T_PlannedOrders[Part Name],$A293,T_PlannedOrders[WeekIndex],57)=0,"",SUMIFS(T_PlannedOrders[EffectiveQty],T_PlannedOrders[Part Name],$A293,T_PlannedOrders[WeekIndex],57)&amp;" ("&amp;TEXT(SUMPRODUCT(MAX((T_PlannedOrders[Part Name]=$A293)*(T_PlannedOrders[WeekIndex]=57)*(T_PlannedOrders[EffectiveQty]&gt;0)*T_PlannedOrders[Order_Month])),"m月")&amp;"発注)")</f>
        <v/>
      </c>
      <c r="BI319">
        <f>IF(SUMIFS(T_PlannedOrders[EffectiveQty],T_PlannedOrders[Part Name],$A293,T_PlannedOrders[WeekIndex],58)=0,"",SUMIFS(T_PlannedOrders[EffectiveQty],T_PlannedOrders[Part Name],$A293,T_PlannedOrders[WeekIndex],58)&amp;" ("&amp;TEXT(SUMPRODUCT(MAX((T_PlannedOrders[Part Name]=$A293)*(T_PlannedOrders[WeekIndex]=58)*(T_PlannedOrders[EffectiveQty]&gt;0)*T_PlannedOrders[Order_Month])),"m月")&amp;"発注)")</f>
        <v/>
      </c>
      <c r="BJ319">
        <f>IF(SUMIFS(T_PlannedOrders[EffectiveQty],T_PlannedOrders[Part Name],$A293,T_PlannedOrders[WeekIndex],59)=0,"",SUMIFS(T_PlannedOrders[EffectiveQty],T_PlannedOrders[Part Name],$A293,T_PlannedOrders[WeekIndex],59)&amp;" ("&amp;TEXT(SUMPRODUCT(MAX((T_PlannedOrders[Part Name]=$A293)*(T_PlannedOrders[WeekIndex]=59)*(T_PlannedOrders[EffectiveQty]&gt;0)*T_PlannedOrders[Order_Month])),"m月")&amp;"発注)")</f>
        <v/>
      </c>
      <c r="BK319">
        <f>IF(SUMIFS(T_PlannedOrders[EffectiveQty],T_PlannedOrders[Part Name],$A293,T_PlannedOrders[WeekIndex],60)=0,"",SUMIFS(T_PlannedOrders[EffectiveQty],T_PlannedOrders[Part Name],$A293,T_PlannedOrders[WeekIndex],60)&amp;" ("&amp;TEXT(SUMPRODUCT(MAX((T_PlannedOrders[Part Name]=$A293)*(T_PlannedOrders[WeekIndex]=60)*(T_PlannedOrders[EffectiveQty]&gt;0)*T_PlannedOrders[Order_Month])),"m月")&amp;"発注)")</f>
        <v/>
      </c>
      <c r="BL319">
        <f>IF(SUMIFS(T_PlannedOrders[EffectiveQty],T_PlannedOrders[Part Name],$A293,T_PlannedOrders[WeekIndex],61)=0,"",SUMIFS(T_PlannedOrders[EffectiveQty],T_PlannedOrders[Part Name],$A293,T_PlannedOrders[WeekIndex],61)&amp;" ("&amp;TEXT(SUMPRODUCT(MAX((T_PlannedOrders[Part Name]=$A293)*(T_PlannedOrders[WeekIndex]=61)*(T_PlannedOrders[EffectiveQty]&gt;0)*T_PlannedOrders[Order_Month])),"m月")&amp;"発注)")</f>
        <v/>
      </c>
      <c r="BM319">
        <f>IF(SUMIFS(T_PlannedOrders[EffectiveQty],T_PlannedOrders[Part Name],$A293,T_PlannedOrders[WeekIndex],62)=0,"",SUMIFS(T_PlannedOrders[EffectiveQty],T_PlannedOrders[Part Name],$A293,T_PlannedOrders[WeekIndex],62)&amp;" ("&amp;TEXT(SUMPRODUCT(MAX((T_PlannedOrders[Part Name]=$A293)*(T_PlannedOrders[WeekIndex]=62)*(T_PlannedOrders[EffectiveQty]&gt;0)*T_PlannedOrders[Order_Month])),"m月")&amp;"発注)")</f>
        <v/>
      </c>
      <c r="BN319">
        <f>IF(SUMIFS(T_PlannedOrders[EffectiveQty],T_PlannedOrders[Part Name],$A293,T_PlannedOrders[WeekIndex],63)=0,"",SUMIFS(T_PlannedOrders[EffectiveQty],T_PlannedOrders[Part Name],$A293,T_PlannedOrders[WeekIndex],63)&amp;" ("&amp;TEXT(SUMPRODUCT(MAX((T_PlannedOrders[Part Name]=$A293)*(T_PlannedOrders[WeekIndex]=63)*(T_PlannedOrders[EffectiveQty]&gt;0)*T_PlannedOrders[Order_Month])),"m月")&amp;"発注)")</f>
        <v/>
      </c>
      <c r="BO319">
        <f>IF(SUMIFS(T_PlannedOrders[EffectiveQty],T_PlannedOrders[Part Name],$A293,T_PlannedOrders[WeekIndex],64)=0,"",SUMIFS(T_PlannedOrders[EffectiveQty],T_PlannedOrders[Part Name],$A293,T_PlannedOrders[WeekIndex],64)&amp;" ("&amp;TEXT(SUMPRODUCT(MAX((T_PlannedOrders[Part Name]=$A293)*(T_PlannedOrders[WeekIndex]=64)*(T_PlannedOrders[EffectiveQty]&gt;0)*T_PlannedOrders[Order_Month])),"m月")&amp;"発注)")</f>
        <v/>
      </c>
      <c r="BP319">
        <f>IF(SUMIFS(T_PlannedOrders[EffectiveQty],T_PlannedOrders[Part Name],$A293,T_PlannedOrders[WeekIndex],65)=0,"",SUMIFS(T_PlannedOrders[EffectiveQty],T_PlannedOrders[Part Name],$A293,T_PlannedOrders[WeekIndex],65)&amp;" ("&amp;TEXT(SUMPRODUCT(MAX((T_PlannedOrders[Part Name]=$A293)*(T_PlannedOrders[WeekIndex]=65)*(T_PlannedOrders[EffectiveQty]&gt;0)*T_PlannedOrders[Order_Month])),"m月")&amp;"発注)")</f>
        <v/>
      </c>
      <c r="BQ319">
        <f>IF(SUMIFS(T_PlannedOrders[EffectiveQty],T_PlannedOrders[Part Name],$A293,T_PlannedOrders[WeekIndex],66)=0,"",SUMIFS(T_PlannedOrders[EffectiveQty],T_PlannedOrders[Part Name],$A293,T_PlannedOrders[WeekIndex],66)&amp;" ("&amp;TEXT(SUMPRODUCT(MAX((T_PlannedOrders[Part Name]=$A293)*(T_PlannedOrders[WeekIndex]=66)*(T_PlannedOrders[EffectiveQty]&gt;0)*T_PlannedOrders[Order_Month])),"m月")&amp;"発注)")</f>
        <v/>
      </c>
      <c r="BR319">
        <f>IF(SUMIFS(T_PlannedOrders[EffectiveQty],T_PlannedOrders[Part Name],$A293,T_PlannedOrders[WeekIndex],67)=0,"",SUMIFS(T_PlannedOrders[EffectiveQty],T_PlannedOrders[Part Name],$A293,T_PlannedOrders[WeekIndex],67)&amp;" ("&amp;TEXT(SUMPRODUCT(MAX((T_PlannedOrders[Part Name]=$A293)*(T_PlannedOrders[WeekIndex]=67)*(T_PlannedOrders[EffectiveQty]&gt;0)*T_PlannedOrders[Order_Month])),"m月")&amp;"発注)")</f>
        <v/>
      </c>
      <c r="BS319">
        <f>IF(SUMIFS(T_PlannedOrders[EffectiveQty],T_PlannedOrders[Part Name],$A293,T_PlannedOrders[WeekIndex],68)=0,"",SUMIFS(T_PlannedOrders[EffectiveQty],T_PlannedOrders[Part Name],$A293,T_PlannedOrders[WeekIndex],68)&amp;" ("&amp;TEXT(SUMPRODUCT(MAX((T_PlannedOrders[Part Name]=$A293)*(T_PlannedOrders[WeekIndex]=68)*(T_PlannedOrders[EffectiveQty]&gt;0)*T_PlannedOrders[Order_Month])),"m月")&amp;"発注)")</f>
        <v/>
      </c>
      <c r="BT319">
        <f>IF(SUMIFS(T_PlannedOrders[EffectiveQty],T_PlannedOrders[Part Name],$A293,T_PlannedOrders[WeekIndex],69)=0,"",SUMIFS(T_PlannedOrders[EffectiveQty],T_PlannedOrders[Part Name],$A293,T_PlannedOrders[WeekIndex],69)&amp;" ("&amp;TEXT(SUMPRODUCT(MAX((T_PlannedOrders[Part Name]=$A293)*(T_PlannedOrders[WeekIndex]=69)*(T_PlannedOrders[EffectiveQty]&gt;0)*T_PlannedOrders[Order_Month])),"m月")&amp;"発注)")</f>
        <v/>
      </c>
      <c r="BU319">
        <f>IF(SUMIFS(T_PlannedOrders[EffectiveQty],T_PlannedOrders[Part Name],$A293,T_PlannedOrders[WeekIndex],70)=0,"",SUMIFS(T_PlannedOrders[EffectiveQty],T_PlannedOrders[Part Name],$A293,T_PlannedOrders[WeekIndex],70)&amp;" ("&amp;TEXT(SUMPRODUCT(MAX((T_PlannedOrders[Part Name]=$A293)*(T_PlannedOrders[WeekIndex]=70)*(T_PlannedOrders[EffectiveQty]&gt;0)*T_PlannedOrders[Order_Month])),"m月")&amp;"発注)")</f>
        <v/>
      </c>
      <c r="BV319">
        <f>IF(SUMIFS(T_PlannedOrders[EffectiveQty],T_PlannedOrders[Part Name],$A293,T_PlannedOrders[WeekIndex],71)=0,"",SUMIFS(T_PlannedOrders[EffectiveQty],T_PlannedOrders[Part Name],$A293,T_PlannedOrders[WeekIndex],71)&amp;" ("&amp;TEXT(SUMPRODUCT(MAX((T_PlannedOrders[Part Name]=$A293)*(T_PlannedOrders[WeekIndex]=71)*(T_PlannedOrders[EffectiveQty]&gt;0)*T_PlannedOrders[Order_Month])),"m月")&amp;"発注)")</f>
        <v/>
      </c>
      <c r="BW319">
        <f>IF(SUMIFS(T_PlannedOrders[EffectiveQty],T_PlannedOrders[Part Name],$A293,T_PlannedOrders[WeekIndex],72)=0,"",SUMIFS(T_PlannedOrders[EffectiveQty],T_PlannedOrders[Part Name],$A293,T_PlannedOrders[WeekIndex],72)&amp;" ("&amp;TEXT(SUMPRODUCT(MAX((T_PlannedOrders[Part Name]=$A293)*(T_PlannedOrders[WeekIndex]=72)*(T_PlannedOrders[EffectiveQty]&gt;0)*T_PlannedOrders[Order_Month])),"m月")&amp;"発注)")</f>
        <v/>
      </c>
      <c r="BX319">
        <f>IF(SUMIFS(T_PlannedOrders[EffectiveQty],T_PlannedOrders[Part Name],$A293,T_PlannedOrders[WeekIndex],73)=0,"",SUMIFS(T_PlannedOrders[EffectiveQty],T_PlannedOrders[Part Name],$A293,T_PlannedOrders[WeekIndex],73)&amp;" ("&amp;TEXT(SUMPRODUCT(MAX((T_PlannedOrders[Part Name]=$A293)*(T_PlannedOrders[WeekIndex]=73)*(T_PlannedOrders[EffectiveQty]&gt;0)*T_PlannedOrders[Order_Month])),"m月")&amp;"発注)")</f>
        <v/>
      </c>
      <c r="BY319">
        <f>IF(SUMIFS(T_PlannedOrders[EffectiveQty],T_PlannedOrders[Part Name],$A293,T_PlannedOrders[WeekIndex],74)=0,"",SUMIFS(T_PlannedOrders[EffectiveQty],T_PlannedOrders[Part Name],$A293,T_PlannedOrders[WeekIndex],74)&amp;" ("&amp;TEXT(SUMPRODUCT(MAX((T_PlannedOrders[Part Name]=$A293)*(T_PlannedOrders[WeekIndex]=74)*(T_PlannedOrders[EffectiveQty]&gt;0)*T_PlannedOrders[Order_Month])),"m月")&amp;"発注)")</f>
        <v/>
      </c>
      <c r="BZ319">
        <f>IF(SUMIFS(T_PlannedOrders[EffectiveQty],T_PlannedOrders[Part Name],$A293,T_PlannedOrders[WeekIndex],75)=0,"",SUMIFS(T_PlannedOrders[EffectiveQty],T_PlannedOrders[Part Name],$A293,T_PlannedOrders[WeekIndex],75)&amp;" ("&amp;TEXT(SUMPRODUCT(MAX((T_PlannedOrders[Part Name]=$A293)*(T_PlannedOrders[WeekIndex]=75)*(T_PlannedOrders[EffectiveQty]&gt;0)*T_PlannedOrders[Order_Month])),"m月")&amp;"発注)")</f>
        <v/>
      </c>
      <c r="CA319">
        <f>IF(SUMIFS(T_PlannedOrders[EffectiveQty],T_PlannedOrders[Part Name],$A293,T_PlannedOrders[WeekIndex],76)=0,"",SUMIFS(T_PlannedOrders[EffectiveQty],T_PlannedOrders[Part Name],$A293,T_PlannedOrders[WeekIndex],76)&amp;" ("&amp;TEXT(SUMPRODUCT(MAX((T_PlannedOrders[Part Name]=$A293)*(T_PlannedOrders[WeekIndex]=76)*(T_PlannedOrders[EffectiveQty]&gt;0)*T_PlannedOrders[Order_Month])),"m月")&amp;"発注)")</f>
        <v/>
      </c>
      <c r="CB319">
        <f>IF(SUMIFS(T_PlannedOrders[EffectiveQty],T_PlannedOrders[Part Name],$A293,T_PlannedOrders[WeekIndex],77)=0,"",SUMIFS(T_PlannedOrders[EffectiveQty],T_PlannedOrders[Part Name],$A293,T_PlannedOrders[WeekIndex],77)&amp;" ("&amp;TEXT(SUMPRODUCT(MAX((T_PlannedOrders[Part Name]=$A293)*(T_PlannedOrders[WeekIndex]=77)*(T_PlannedOrders[EffectiveQty]&gt;0)*T_PlannedOrders[Order_Month])),"m月")&amp;"発注)")</f>
        <v/>
      </c>
      <c r="CC319">
        <f>IF(SUMIFS(T_PlannedOrders[EffectiveQty],T_PlannedOrders[Part Name],$A293,T_PlannedOrders[WeekIndex],78)=0,"",SUMIFS(T_PlannedOrders[EffectiveQty],T_PlannedOrders[Part Name],$A293,T_PlannedOrders[WeekIndex],78)&amp;" ("&amp;TEXT(SUMPRODUCT(MAX((T_PlannedOrders[Part Name]=$A293)*(T_PlannedOrders[WeekIndex]=78)*(T_PlannedOrders[EffectiveQty]&gt;0)*T_PlannedOrders[Order_Month])),"m月")&amp;"発注)")</f>
        <v/>
      </c>
      <c r="CD319">
        <f>IF(SUMIFS(T_PlannedOrders[EffectiveQty],T_PlannedOrders[Part Name],$A293,T_PlannedOrders[WeekIndex],79)=0,"",SUMIFS(T_PlannedOrders[EffectiveQty],T_PlannedOrders[Part Name],$A293,T_PlannedOrders[WeekIndex],79)&amp;" ("&amp;TEXT(SUMPRODUCT(MAX((T_PlannedOrders[Part Name]=$A293)*(T_PlannedOrders[WeekIndex]=79)*(T_PlannedOrders[EffectiveQty]&gt;0)*T_PlannedOrders[Order_Month])),"m月")&amp;"発注)")</f>
        <v/>
      </c>
      <c r="CE319">
        <f>IF(SUMIFS(T_PlannedOrders[EffectiveQty],T_PlannedOrders[Part Name],$A293,T_PlannedOrders[WeekIndex],80)=0,"",SUMIFS(T_PlannedOrders[EffectiveQty],T_PlannedOrders[Part Name],$A293,T_PlannedOrders[WeekIndex],80)&amp;" ("&amp;TEXT(SUMPRODUCT(MAX((T_PlannedOrders[Part Name]=$A293)*(T_PlannedOrders[WeekIndex]=80)*(T_PlannedOrders[EffectiveQty]&gt;0)*T_PlannedOrders[Order_Month])),"m月")&amp;"発注)")</f>
        <v/>
      </c>
      <c r="CF319">
        <f>IF(SUMIFS(T_PlannedOrders[EffectiveQty],T_PlannedOrders[Part Name],$A293,T_PlannedOrders[WeekIndex],81)=0,"",SUMIFS(T_PlannedOrders[EffectiveQty],T_PlannedOrders[Part Name],$A293,T_PlannedOrders[WeekIndex],81)&amp;" ("&amp;TEXT(SUMPRODUCT(MAX((T_PlannedOrders[Part Name]=$A293)*(T_PlannedOrders[WeekIndex]=81)*(T_PlannedOrders[EffectiveQty]&gt;0)*T_PlannedOrders[Order_Month])),"m月")&amp;"発注)")</f>
        <v/>
      </c>
      <c r="CG319">
        <f>IF(SUMIFS(T_PlannedOrders[EffectiveQty],T_PlannedOrders[Part Name],$A293,T_PlannedOrders[WeekIndex],82)=0,"",SUMIFS(T_PlannedOrders[EffectiveQty],T_PlannedOrders[Part Name],$A293,T_PlannedOrders[WeekIndex],82)&amp;" ("&amp;TEXT(SUMPRODUCT(MAX((T_PlannedOrders[Part Name]=$A293)*(T_PlannedOrders[WeekIndex]=82)*(T_PlannedOrders[EffectiveQty]&gt;0)*T_PlannedOrders[Order_Month])),"m月")&amp;"発注)")</f>
        <v/>
      </c>
      <c r="CH319">
        <f>IF(SUMIFS(T_PlannedOrders[EffectiveQty],T_PlannedOrders[Part Name],$A293,T_PlannedOrders[WeekIndex],83)=0,"",SUMIFS(T_PlannedOrders[EffectiveQty],T_PlannedOrders[Part Name],$A293,T_PlannedOrders[WeekIndex],83)&amp;" ("&amp;TEXT(SUMPRODUCT(MAX((T_PlannedOrders[Part Name]=$A293)*(T_PlannedOrders[WeekIndex]=83)*(T_PlannedOrders[EffectiveQty]&gt;0)*T_PlannedOrders[Order_Month])),"m月")&amp;"発注)")</f>
        <v/>
      </c>
      <c r="CI319">
        <f>IF(SUMIFS(T_PlannedOrders[EffectiveQty],T_PlannedOrders[Part Name],$A293,T_PlannedOrders[WeekIndex],84)=0,"",SUMIFS(T_PlannedOrders[EffectiveQty],T_PlannedOrders[Part Name],$A293,T_PlannedOrders[WeekIndex],84)&amp;" ("&amp;TEXT(SUMPRODUCT(MAX((T_PlannedOrders[Part Name]=$A293)*(T_PlannedOrders[WeekIndex]=84)*(T_PlannedOrders[EffectiveQty]&gt;0)*T_PlannedOrders[Order_Month])),"m月")&amp;"発注)")</f>
        <v/>
      </c>
      <c r="CJ319">
        <f>IF(SUMIFS(T_PlannedOrders[EffectiveQty],T_PlannedOrders[Part Name],$A293,T_PlannedOrders[WeekIndex],85)=0,"",SUMIFS(T_PlannedOrders[EffectiveQty],T_PlannedOrders[Part Name],$A293,T_PlannedOrders[WeekIndex],85)&amp;" ("&amp;TEXT(SUMPRODUCT(MAX((T_PlannedOrders[Part Name]=$A293)*(T_PlannedOrders[WeekIndex]=85)*(T_PlannedOrders[EffectiveQty]&gt;0)*T_PlannedOrders[Order_Month])),"m月")&amp;"発注)")</f>
        <v/>
      </c>
      <c r="CK319">
        <f>IF(SUMIFS(T_PlannedOrders[EffectiveQty],T_PlannedOrders[Part Name],$A293,T_PlannedOrders[WeekIndex],86)=0,"",SUMIFS(T_PlannedOrders[EffectiveQty],T_PlannedOrders[Part Name],$A293,T_PlannedOrders[WeekIndex],86)&amp;" ("&amp;TEXT(SUMPRODUCT(MAX((T_PlannedOrders[Part Name]=$A293)*(T_PlannedOrders[WeekIndex]=86)*(T_PlannedOrders[EffectiveQty]&gt;0)*T_PlannedOrders[Order_Month])),"m月")&amp;"発注)")</f>
        <v/>
      </c>
      <c r="CL319">
        <f>IF(SUMIFS(T_PlannedOrders[EffectiveQty],T_PlannedOrders[Part Name],$A293,T_PlannedOrders[WeekIndex],87)=0,"",SUMIFS(T_PlannedOrders[EffectiveQty],T_PlannedOrders[Part Name],$A293,T_PlannedOrders[WeekIndex],87)&amp;" ("&amp;TEXT(SUMPRODUCT(MAX((T_PlannedOrders[Part Name]=$A293)*(T_PlannedOrders[WeekIndex]=87)*(T_PlannedOrders[EffectiveQty]&gt;0)*T_PlannedOrders[Order_Month])),"m月")&amp;"発注)")</f>
        <v/>
      </c>
      <c r="CM319">
        <f>IF(SUMIFS(T_PlannedOrders[EffectiveQty],T_PlannedOrders[Part Name],$A293,T_PlannedOrders[WeekIndex],88)=0,"",SUMIFS(T_PlannedOrders[EffectiveQty],T_PlannedOrders[Part Name],$A293,T_PlannedOrders[WeekIndex],88)&amp;" ("&amp;TEXT(SUMPRODUCT(MAX((T_PlannedOrders[Part Name]=$A293)*(T_PlannedOrders[WeekIndex]=88)*(T_PlannedOrders[EffectiveQty]&gt;0)*T_PlannedOrders[Order_Month])),"m月")&amp;"発注)")</f>
        <v/>
      </c>
      <c r="CN319">
        <f>IF(SUMIFS(T_PlannedOrders[EffectiveQty],T_PlannedOrders[Part Name],$A293,T_PlannedOrders[WeekIndex],89)=0,"",SUMIFS(T_PlannedOrders[EffectiveQty],T_PlannedOrders[Part Name],$A293,T_PlannedOrders[WeekIndex],89)&amp;" ("&amp;TEXT(SUMPRODUCT(MAX((T_PlannedOrders[Part Name]=$A293)*(T_PlannedOrders[WeekIndex]=89)*(T_PlannedOrders[EffectiveQty]&gt;0)*T_PlannedOrders[Order_Month])),"m月")&amp;"発注)")</f>
        <v/>
      </c>
      <c r="CO319">
        <f>IF(SUMIFS(T_PlannedOrders[EffectiveQty],T_PlannedOrders[Part Name],$A293,T_PlannedOrders[WeekIndex],90)=0,"",SUMIFS(T_PlannedOrders[EffectiveQty],T_PlannedOrders[Part Name],$A293,T_PlannedOrders[WeekIndex],90)&amp;" ("&amp;TEXT(SUMPRODUCT(MAX((T_PlannedOrders[Part Name]=$A293)*(T_PlannedOrders[WeekIndex]=90)*(T_PlannedOrders[EffectiveQty]&gt;0)*T_PlannedOrders[Order_Month])),"m月")&amp;"発注)")</f>
        <v/>
      </c>
      <c r="CP319">
        <f>IF(SUMIFS(T_PlannedOrders[EffectiveQty],T_PlannedOrders[Part Name],$A293,T_PlannedOrders[WeekIndex],91)=0,"",SUMIFS(T_PlannedOrders[EffectiveQty],T_PlannedOrders[Part Name],$A293,T_PlannedOrders[WeekIndex],91)&amp;" ("&amp;TEXT(SUMPRODUCT(MAX((T_PlannedOrders[Part Name]=$A293)*(T_PlannedOrders[WeekIndex]=91)*(T_PlannedOrders[EffectiveQty]&gt;0)*T_PlannedOrders[Order_Month])),"m月")&amp;"発注)")</f>
        <v/>
      </c>
      <c r="CQ319">
        <f>IF(SUMIFS(T_PlannedOrders[EffectiveQty],T_PlannedOrders[Part Name],$A293,T_PlannedOrders[WeekIndex],92)=0,"",SUMIFS(T_PlannedOrders[EffectiveQty],T_PlannedOrders[Part Name],$A293,T_PlannedOrders[WeekIndex],92)&amp;" ("&amp;TEXT(SUMPRODUCT(MAX((T_PlannedOrders[Part Name]=$A293)*(T_PlannedOrders[WeekIndex]=92)*(T_PlannedOrders[EffectiveQty]&gt;0)*T_PlannedOrders[Order_Month])),"m月")&amp;"発注)")</f>
        <v/>
      </c>
      <c r="CR319">
        <f>IF(SUMIFS(T_PlannedOrders[EffectiveQty],T_PlannedOrders[Part Name],$A293,T_PlannedOrders[WeekIndex],93)=0,"",SUMIFS(T_PlannedOrders[EffectiveQty],T_PlannedOrders[Part Name],$A293,T_PlannedOrders[WeekIndex],93)&amp;" ("&amp;TEXT(SUMPRODUCT(MAX((T_PlannedOrders[Part Name]=$A293)*(T_PlannedOrders[WeekIndex]=93)*(T_PlannedOrders[EffectiveQty]&gt;0)*T_PlannedOrders[Order_Month])),"m月")&amp;"発注)")</f>
        <v/>
      </c>
      <c r="CS319">
        <f>IF(SUMIFS(T_PlannedOrders[EffectiveQty],T_PlannedOrders[Part Name],$A293,T_PlannedOrders[WeekIndex],94)=0,"",SUMIFS(T_PlannedOrders[EffectiveQty],T_PlannedOrders[Part Name],$A293,T_PlannedOrders[WeekIndex],94)&amp;" ("&amp;TEXT(SUMPRODUCT(MAX((T_PlannedOrders[Part Name]=$A293)*(T_PlannedOrders[WeekIndex]=94)*(T_PlannedOrders[EffectiveQty]&gt;0)*T_PlannedOrders[Order_Month])),"m月")&amp;"発注)")</f>
        <v/>
      </c>
      <c r="CT319">
        <f>IF(SUMIFS(T_PlannedOrders[EffectiveQty],T_PlannedOrders[Part Name],$A293,T_PlannedOrders[WeekIndex],95)=0,"",SUMIFS(T_PlannedOrders[EffectiveQty],T_PlannedOrders[Part Name],$A293,T_PlannedOrders[WeekIndex],95)&amp;" ("&amp;TEXT(SUMPRODUCT(MAX((T_PlannedOrders[Part Name]=$A293)*(T_PlannedOrders[WeekIndex]=95)*(T_PlannedOrders[EffectiveQty]&gt;0)*T_PlannedOrders[Order_Month])),"m月")&amp;"発注)")</f>
        <v/>
      </c>
      <c r="CU319">
        <f>IF(SUMIFS(T_PlannedOrders[EffectiveQty],T_PlannedOrders[Part Name],$A293,T_PlannedOrders[WeekIndex],96)=0,"",SUMIFS(T_PlannedOrders[EffectiveQty],T_PlannedOrders[Part Name],$A293,T_PlannedOrders[WeekIndex],96)&amp;" ("&amp;TEXT(SUMPRODUCT(MAX((T_PlannedOrders[Part Name]=$A293)*(T_PlannedOrders[WeekIndex]=96)*(T_PlannedOrders[EffectiveQty]&gt;0)*T_PlannedOrders[Order_Month])),"m月")&amp;"発注)")</f>
        <v/>
      </c>
      <c r="CV319">
        <f>IF(SUMIFS(T_PlannedOrders[EffectiveQty],T_PlannedOrders[Part Name],$A293,T_PlannedOrders[WeekIndex],97)=0,"",SUMIFS(T_PlannedOrders[EffectiveQty],T_PlannedOrders[Part Name],$A293,T_PlannedOrders[WeekIndex],97)&amp;" ("&amp;TEXT(SUMPRODUCT(MAX((T_PlannedOrders[Part Name]=$A293)*(T_PlannedOrders[WeekIndex]=97)*(T_PlannedOrders[EffectiveQty]&gt;0)*T_PlannedOrders[Order_Month])),"m月")&amp;"発注)")</f>
        <v/>
      </c>
      <c r="CW319">
        <f>IF(SUMIFS(T_PlannedOrders[EffectiveQty],T_PlannedOrders[Part Name],$A293,T_PlannedOrders[WeekIndex],98)=0,"",SUMIFS(T_PlannedOrders[EffectiveQty],T_PlannedOrders[Part Name],$A293,T_PlannedOrders[WeekIndex],98)&amp;" ("&amp;TEXT(SUMPRODUCT(MAX((T_PlannedOrders[Part Name]=$A293)*(T_PlannedOrders[WeekIndex]=98)*(T_PlannedOrders[EffectiveQty]&gt;0)*T_PlannedOrders[Order_Month])),"m月")&amp;"発注)")</f>
        <v/>
      </c>
      <c r="CX319">
        <f>IF(SUMIFS(T_PlannedOrders[EffectiveQty],T_PlannedOrders[Part Name],$A293,T_PlannedOrders[WeekIndex],99)=0,"",SUMIFS(T_PlannedOrders[EffectiveQty],T_PlannedOrders[Part Name],$A293,T_PlannedOrders[WeekIndex],99)&amp;" ("&amp;TEXT(SUMPRODUCT(MAX((T_PlannedOrders[Part Name]=$A293)*(T_PlannedOrders[WeekIndex]=99)*(T_PlannedOrders[EffectiveQty]&gt;0)*T_PlannedOrders[Order_Month])),"m月")&amp;"発注)")</f>
        <v/>
      </c>
      <c r="CY319">
        <f>IF(SUMIFS(T_PlannedOrders[EffectiveQty],T_PlannedOrders[Part Name],$A293,T_PlannedOrders[WeekIndex],100)=0,"",SUMIFS(T_PlannedOrders[EffectiveQty],T_PlannedOrders[Part Name],$A293,T_PlannedOrders[WeekIndex],100)&amp;" ("&amp;TEXT(SUMPRODUCT(MAX((T_PlannedOrders[Part Name]=$A293)*(T_PlannedOrders[WeekIndex]=100)*(T_PlannedOrders[EffectiveQty]&gt;0)*T_PlannedOrders[Order_Month])),"m月")&amp;"発注)")</f>
        <v/>
      </c>
      <c r="CZ319">
        <f>IF(SUMIFS(T_PlannedOrders[EffectiveQty],T_PlannedOrders[Part Name],$A293,T_PlannedOrders[WeekIndex],101)=0,"",SUMIFS(T_PlannedOrders[EffectiveQty],T_PlannedOrders[Part Name],$A293,T_PlannedOrders[WeekIndex],101)&amp;" ("&amp;TEXT(SUMPRODUCT(MAX((T_PlannedOrders[Part Name]=$A293)*(T_PlannedOrders[WeekIndex]=101)*(T_PlannedOrders[EffectiveQty]&gt;0)*T_PlannedOrders[Order_Month])),"m月")&amp;"発注)")</f>
        <v/>
      </c>
      <c r="DA319">
        <f>IF(SUMIFS(T_PlannedOrders[EffectiveQty],T_PlannedOrders[Part Name],$A293,T_PlannedOrders[WeekIndex],102)=0,"",SUMIFS(T_PlannedOrders[EffectiveQty],T_PlannedOrders[Part Name],$A293,T_PlannedOrders[WeekIndex],102)&amp;" ("&amp;TEXT(SUMPRODUCT(MAX((T_PlannedOrders[Part Name]=$A293)*(T_PlannedOrders[WeekIndex]=102)*(T_PlannedOrders[EffectiveQty]&gt;0)*T_PlannedOrders[Order_Month])),"m月")&amp;"発注)")</f>
        <v/>
      </c>
      <c r="DB319">
        <f>IF(SUMIFS(T_PlannedOrders[EffectiveQty],T_PlannedOrders[Part Name],$A293,T_PlannedOrders[WeekIndex],103)=0,"",SUMIFS(T_PlannedOrders[EffectiveQty],T_PlannedOrders[Part Name],$A293,T_PlannedOrders[WeekIndex],103)&amp;" ("&amp;TEXT(SUMPRODUCT(MAX((T_PlannedOrders[Part Name]=$A293)*(T_PlannedOrders[WeekIndex]=103)*(T_PlannedOrders[EffectiveQty]&gt;0)*T_PlannedOrders[Order_Month])),"m月")&amp;"発注)")</f>
        <v/>
      </c>
      <c r="DC319">
        <f>IF(SUMIFS(T_PlannedOrders[EffectiveQty],T_PlannedOrders[Part Name],$A293,T_PlannedOrders[WeekIndex],104)=0,"",SUMIFS(T_PlannedOrders[EffectiveQty],T_PlannedOrders[Part Name],$A293,T_PlannedOrders[WeekIndex],104)&amp;" ("&amp;TEXT(SUMPRODUCT(MAX((T_PlannedOrders[Part Name]=$A293)*(T_PlannedOrders[WeekIndex]=104)*(T_PlannedOrders[EffectiveQty]&gt;0)*T_PlannedOrders[Order_Month])),"m月")&amp;"発注)")</f>
        <v/>
      </c>
    </row>
    <row r="320">
      <c r="B320" s="5" t="inlineStr">
        <is>
          <t>合計在庫(週末時点,kg)</t>
        </is>
      </c>
      <c r="D320">
        <f>'Grid_Stock'!B27</f>
        <v/>
      </c>
      <c r="E320">
        <f>'Grid_Stock'!C27</f>
        <v/>
      </c>
      <c r="F320">
        <f>'Grid_Stock'!D27</f>
        <v/>
      </c>
      <c r="G320">
        <f>'Grid_Stock'!E27</f>
        <v/>
      </c>
      <c r="H320">
        <f>'Grid_Stock'!F27</f>
        <v/>
      </c>
      <c r="I320">
        <f>'Grid_Stock'!G27</f>
        <v/>
      </c>
      <c r="J320">
        <f>'Grid_Stock'!H27</f>
        <v/>
      </c>
      <c r="K320">
        <f>'Grid_Stock'!I27</f>
        <v/>
      </c>
      <c r="L320">
        <f>'Grid_Stock'!J27</f>
        <v/>
      </c>
      <c r="M320">
        <f>'Grid_Stock'!K27</f>
        <v/>
      </c>
      <c r="N320">
        <f>'Grid_Stock'!L27</f>
        <v/>
      </c>
      <c r="O320">
        <f>'Grid_Stock'!M27</f>
        <v/>
      </c>
      <c r="P320">
        <f>'Grid_Stock'!N27</f>
        <v/>
      </c>
      <c r="Q320">
        <f>'Grid_Stock'!O27</f>
        <v/>
      </c>
      <c r="R320">
        <f>'Grid_Stock'!P27</f>
        <v/>
      </c>
      <c r="S320">
        <f>'Grid_Stock'!Q27</f>
        <v/>
      </c>
      <c r="T320">
        <f>'Grid_Stock'!R27</f>
        <v/>
      </c>
      <c r="U320">
        <f>'Grid_Stock'!S27</f>
        <v/>
      </c>
      <c r="V320">
        <f>'Grid_Stock'!T27</f>
        <v/>
      </c>
      <c r="W320">
        <f>'Grid_Stock'!U27</f>
        <v/>
      </c>
      <c r="X320">
        <f>'Grid_Stock'!V27</f>
        <v/>
      </c>
      <c r="Y320">
        <f>'Grid_Stock'!W27</f>
        <v/>
      </c>
      <c r="Z320">
        <f>'Grid_Stock'!X27</f>
        <v/>
      </c>
      <c r="AA320">
        <f>'Grid_Stock'!Y27</f>
        <v/>
      </c>
      <c r="AB320">
        <f>'Grid_Stock'!Z27</f>
        <v/>
      </c>
      <c r="AC320">
        <f>'Grid_Stock'!AA27</f>
        <v/>
      </c>
      <c r="AD320">
        <f>'Grid_Stock'!AB27</f>
        <v/>
      </c>
      <c r="AE320">
        <f>'Grid_Stock'!AC27</f>
        <v/>
      </c>
      <c r="AF320">
        <f>'Grid_Stock'!AD27</f>
        <v/>
      </c>
      <c r="AG320">
        <f>'Grid_Stock'!AE27</f>
        <v/>
      </c>
      <c r="AH320">
        <f>'Grid_Stock'!AF27</f>
        <v/>
      </c>
      <c r="AI320">
        <f>'Grid_Stock'!AG27</f>
        <v/>
      </c>
      <c r="AJ320">
        <f>'Grid_Stock'!AH27</f>
        <v/>
      </c>
      <c r="AK320">
        <f>'Grid_Stock'!AI27</f>
        <v/>
      </c>
      <c r="AL320">
        <f>'Grid_Stock'!AJ27</f>
        <v/>
      </c>
      <c r="AM320">
        <f>'Grid_Stock'!AK27</f>
        <v/>
      </c>
      <c r="AN320">
        <f>'Grid_Stock'!AL27</f>
        <v/>
      </c>
      <c r="AO320">
        <f>'Grid_Stock'!AM27</f>
        <v/>
      </c>
      <c r="AP320">
        <f>'Grid_Stock'!AN27</f>
        <v/>
      </c>
      <c r="AQ320">
        <f>'Grid_Stock'!AO27</f>
        <v/>
      </c>
      <c r="AR320">
        <f>'Grid_Stock'!AP27</f>
        <v/>
      </c>
      <c r="AS320">
        <f>'Grid_Stock'!AQ27</f>
        <v/>
      </c>
      <c r="AT320">
        <f>'Grid_Stock'!AR27</f>
        <v/>
      </c>
      <c r="AU320">
        <f>'Grid_Stock'!AS27</f>
        <v/>
      </c>
      <c r="AV320">
        <f>'Grid_Stock'!AT27</f>
        <v/>
      </c>
      <c r="AW320">
        <f>'Grid_Stock'!AU27</f>
        <v/>
      </c>
      <c r="AX320">
        <f>'Grid_Stock'!AV27</f>
        <v/>
      </c>
      <c r="AY320">
        <f>'Grid_Stock'!AW27</f>
        <v/>
      </c>
      <c r="AZ320">
        <f>'Grid_Stock'!AX27</f>
        <v/>
      </c>
      <c r="BA320">
        <f>'Grid_Stock'!AY27</f>
        <v/>
      </c>
      <c r="BB320">
        <f>'Grid_Stock'!AZ27</f>
        <v/>
      </c>
      <c r="BC320">
        <f>'Grid_Stock'!BA27</f>
        <v/>
      </c>
      <c r="BD320">
        <f>'Grid_Stock'!BB27</f>
        <v/>
      </c>
      <c r="BE320">
        <f>'Grid_Stock'!BC27</f>
        <v/>
      </c>
      <c r="BF320">
        <f>'Grid_Stock'!BD27</f>
        <v/>
      </c>
      <c r="BG320">
        <f>'Grid_Stock'!BE27</f>
        <v/>
      </c>
      <c r="BH320">
        <f>'Grid_Stock'!BF27</f>
        <v/>
      </c>
      <c r="BI320">
        <f>'Grid_Stock'!BG27</f>
        <v/>
      </c>
      <c r="BJ320">
        <f>'Grid_Stock'!BH27</f>
        <v/>
      </c>
      <c r="BK320">
        <f>'Grid_Stock'!BI27</f>
        <v/>
      </c>
      <c r="BL320">
        <f>'Grid_Stock'!BJ27</f>
        <v/>
      </c>
      <c r="BM320">
        <f>'Grid_Stock'!BK27</f>
        <v/>
      </c>
      <c r="BN320">
        <f>'Grid_Stock'!BL27</f>
        <v/>
      </c>
      <c r="BO320">
        <f>'Grid_Stock'!BM27</f>
        <v/>
      </c>
      <c r="BP320">
        <f>'Grid_Stock'!BN27</f>
        <v/>
      </c>
      <c r="BQ320">
        <f>'Grid_Stock'!BO27</f>
        <v/>
      </c>
      <c r="BR320">
        <f>'Grid_Stock'!BP27</f>
        <v/>
      </c>
      <c r="BS320">
        <f>'Grid_Stock'!BQ27</f>
        <v/>
      </c>
      <c r="BT320">
        <f>'Grid_Stock'!BR27</f>
        <v/>
      </c>
      <c r="BU320">
        <f>'Grid_Stock'!BS27</f>
        <v/>
      </c>
      <c r="BV320">
        <f>'Grid_Stock'!BT27</f>
        <v/>
      </c>
      <c r="BW320">
        <f>'Grid_Stock'!BU27</f>
        <v/>
      </c>
      <c r="BX320">
        <f>'Grid_Stock'!BV27</f>
        <v/>
      </c>
      <c r="BY320">
        <f>'Grid_Stock'!BW27</f>
        <v/>
      </c>
      <c r="BZ320">
        <f>'Grid_Stock'!BX27</f>
        <v/>
      </c>
      <c r="CA320">
        <f>'Grid_Stock'!BY27</f>
        <v/>
      </c>
      <c r="CB320">
        <f>'Grid_Stock'!BZ27</f>
        <v/>
      </c>
      <c r="CC320">
        <f>'Grid_Stock'!CA27</f>
        <v/>
      </c>
      <c r="CD320">
        <f>'Grid_Stock'!CB27</f>
        <v/>
      </c>
      <c r="CE320">
        <f>'Grid_Stock'!CC27</f>
        <v/>
      </c>
      <c r="CF320">
        <f>'Grid_Stock'!CD27</f>
        <v/>
      </c>
      <c r="CG320">
        <f>'Grid_Stock'!CE27</f>
        <v/>
      </c>
      <c r="CH320">
        <f>'Grid_Stock'!CF27</f>
        <v/>
      </c>
      <c r="CI320">
        <f>'Grid_Stock'!CG27</f>
        <v/>
      </c>
      <c r="CJ320">
        <f>'Grid_Stock'!CH27</f>
        <v/>
      </c>
      <c r="CK320">
        <f>'Grid_Stock'!CI27</f>
        <v/>
      </c>
      <c r="CL320">
        <f>'Grid_Stock'!CJ27</f>
        <v/>
      </c>
      <c r="CM320">
        <f>'Grid_Stock'!CK27</f>
        <v/>
      </c>
      <c r="CN320">
        <f>'Grid_Stock'!CL27</f>
        <v/>
      </c>
      <c r="CO320">
        <f>'Grid_Stock'!CM27</f>
        <v/>
      </c>
      <c r="CP320">
        <f>'Grid_Stock'!CN27</f>
        <v/>
      </c>
      <c r="CQ320">
        <f>'Grid_Stock'!CO27</f>
        <v/>
      </c>
      <c r="CR320">
        <f>'Grid_Stock'!CP27</f>
        <v/>
      </c>
      <c r="CS320">
        <f>'Grid_Stock'!CQ27</f>
        <v/>
      </c>
      <c r="CT320">
        <f>'Grid_Stock'!CR27</f>
        <v/>
      </c>
      <c r="CU320">
        <f>'Grid_Stock'!CS27</f>
        <v/>
      </c>
      <c r="CV320">
        <f>'Grid_Stock'!CT27</f>
        <v/>
      </c>
      <c r="CW320">
        <f>'Grid_Stock'!CU27</f>
        <v/>
      </c>
      <c r="CX320">
        <f>'Grid_Stock'!CV27</f>
        <v/>
      </c>
      <c r="CY320">
        <f>'Grid_Stock'!CW27</f>
        <v/>
      </c>
      <c r="CZ320">
        <f>'Grid_Stock'!CX27</f>
        <v/>
      </c>
      <c r="DA320">
        <f>'Grid_Stock'!CY27</f>
        <v/>
      </c>
      <c r="DB320">
        <f>'Grid_Stock'!CZ27</f>
        <v/>
      </c>
      <c r="DC320">
        <f>'Grid_Stock'!DA27</f>
        <v/>
      </c>
    </row>
    <row r="321">
      <c r="B321" s="23" t="inlineStr">
        <is>
          <t>（発注の目安はDashboardの基準在庫[下限/上限]と色分けを参照）</t>
        </is>
      </c>
    </row>
    <row r="323">
      <c r="A323" s="21" t="inlineStr">
        <is>
          <t>CHEM-1600</t>
        </is>
      </c>
      <c r="B323" s="21" t="inlineStr">
        <is>
          <t>BF-1P</t>
        </is>
      </c>
      <c r="C323" s="22" t="n"/>
      <c r="D323" s="21" t="n"/>
      <c r="E323" s="21" t="n"/>
      <c r="F323" s="21" t="n"/>
      <c r="G323" s="21" t="n"/>
      <c r="H323" s="2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  <c r="AA323" s="21" t="n"/>
      <c r="AB323" s="21" t="n"/>
      <c r="AC323" s="21" t="n"/>
      <c r="AD323" s="21" t="n"/>
      <c r="AE323" s="21" t="n"/>
      <c r="AF323" s="21" t="n"/>
      <c r="AG323" s="21" t="n"/>
      <c r="AH323" s="21" t="n"/>
      <c r="AI323" s="21" t="n"/>
      <c r="AJ323" s="21" t="n"/>
      <c r="AK323" s="21" t="n"/>
      <c r="AL323" s="21" t="n"/>
      <c r="AM323" s="21" t="n"/>
      <c r="AN323" s="21" t="n"/>
      <c r="AO323" s="21" t="n"/>
      <c r="AP323" s="21" t="n"/>
      <c r="AQ323" s="21" t="n"/>
      <c r="AR323" s="21" t="n"/>
      <c r="AS323" s="21" t="n"/>
      <c r="AT323" s="21" t="n"/>
      <c r="AU323" s="21" t="n"/>
      <c r="AV323" s="21" t="n"/>
      <c r="AW323" s="21" t="n"/>
      <c r="AX323" s="21" t="n"/>
      <c r="AY323" s="21" t="n"/>
      <c r="AZ323" s="21" t="n"/>
      <c r="BA323" s="21" t="n"/>
      <c r="BB323" s="21" t="n"/>
      <c r="BC323" s="21" t="n"/>
      <c r="BD323" s="21" t="n"/>
      <c r="BE323" s="21" t="n"/>
      <c r="BF323" s="21" t="n"/>
      <c r="BG323" s="21" t="n"/>
      <c r="BH323" s="21" t="n"/>
      <c r="BI323" s="21" t="n"/>
      <c r="BJ323" s="21" t="n"/>
      <c r="BK323" s="21" t="n"/>
      <c r="BL323" s="21" t="n"/>
      <c r="BM323" s="21" t="n"/>
      <c r="BN323" s="21" t="n"/>
      <c r="BO323" s="21" t="n"/>
      <c r="BP323" s="21" t="n"/>
      <c r="BQ323" s="21" t="n"/>
      <c r="BR323" s="21" t="n"/>
      <c r="BS323" s="21" t="n"/>
      <c r="BT323" s="21" t="n"/>
      <c r="BU323" s="21" t="n"/>
      <c r="BV323" s="21" t="n"/>
      <c r="BW323" s="21" t="n"/>
      <c r="BX323" s="21" t="n"/>
      <c r="BY323" s="21" t="n"/>
      <c r="BZ323" s="21" t="n"/>
      <c r="CA323" s="21" t="n"/>
      <c r="CB323" s="21" t="n"/>
      <c r="CC323" s="21" t="n"/>
      <c r="CD323" s="21" t="n"/>
      <c r="CE323" s="21" t="n"/>
      <c r="CF323" s="21" t="n"/>
      <c r="CG323" s="21" t="n"/>
      <c r="CH323" s="21" t="n"/>
      <c r="CI323" s="21" t="n"/>
      <c r="CJ323" s="21" t="n"/>
      <c r="CK323" s="21" t="n"/>
      <c r="CL323" s="21" t="n"/>
      <c r="CM323" s="21" t="n"/>
      <c r="CN323" s="21" t="n"/>
      <c r="CO323" s="21" t="n"/>
      <c r="CP323" s="21" t="n"/>
      <c r="CQ323" s="21" t="n"/>
      <c r="CR323" s="21" t="n"/>
      <c r="CS323" s="21" t="n"/>
      <c r="CT323" s="21" t="n"/>
      <c r="CU323" s="21" t="n"/>
      <c r="CV323" s="21" t="n"/>
      <c r="CW323" s="21" t="n"/>
      <c r="CX323" s="21" t="n"/>
      <c r="CY323" s="21" t="n"/>
      <c r="CZ323" s="21" t="n"/>
      <c r="DA323" s="21" t="n"/>
      <c r="DB323" s="21" t="n"/>
      <c r="DC323" s="21" t="n"/>
    </row>
    <row r="324">
      <c r="B324" t="inlineStr">
        <is>
          <t>TSP-1388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12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Name],$A323)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TSP-618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12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Name],$A323)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TSP-828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12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Name],$A323)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TSP-924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12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Name],$A323)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TSP-925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12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Name],$A323)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t="inlineStr">
        <is>
          <t>TSZ-616</t>
        </is>
      </c>
      <c r="C334" t="inlineStr">
        <is>
          <t>No. of batches</t>
        </is>
      </c>
      <c r="D334">
        <f>IFERROR(INDEX(PP_Grid[#Data],$DD334,2),0)</f>
        <v/>
      </c>
      <c r="E334">
        <f>IFERROR(INDEX(PP_Grid[#Data],$DD334,3),0)</f>
        <v/>
      </c>
      <c r="F334">
        <f>IFERROR(INDEX(PP_Grid[#Data],$DD334,4),0)</f>
        <v/>
      </c>
      <c r="G334">
        <f>IFERROR(INDEX(PP_Grid[#Data],$DD334,5),0)</f>
        <v/>
      </c>
      <c r="H334">
        <f>IFERROR(INDEX(PP_Grid[#Data],$DD334,6),0)</f>
        <v/>
      </c>
      <c r="I334">
        <f>IFERROR(INDEX(PP_Grid[#Data],$DD334,7),0)</f>
        <v/>
      </c>
      <c r="J334">
        <f>IFERROR(INDEX(PP_Grid[#Data],$DD334,8),0)</f>
        <v/>
      </c>
      <c r="K334">
        <f>IFERROR(INDEX(PP_Grid[#Data],$DD334,9),0)</f>
        <v/>
      </c>
      <c r="L334">
        <f>IFERROR(INDEX(PP_Grid[#Data],$DD334,10),0)</f>
        <v/>
      </c>
      <c r="M334">
        <f>IFERROR(INDEX(PP_Grid[#Data],$DD334,11),0)</f>
        <v/>
      </c>
      <c r="N334">
        <f>IFERROR(INDEX(PP_Grid[#Data],$DD334,12),0)</f>
        <v/>
      </c>
      <c r="O334">
        <f>IFERROR(INDEX(PP_Grid[#Data],$DD334,13),0)</f>
        <v/>
      </c>
      <c r="P334">
        <f>IFERROR(INDEX(PP_Grid[#Data],$DD334,14),0)</f>
        <v/>
      </c>
      <c r="Q334">
        <f>IFERROR(INDEX(PP_Grid[#Data],$DD334,15),0)</f>
        <v/>
      </c>
      <c r="R334">
        <f>IFERROR(INDEX(PP_Grid[#Data],$DD334,16),0)</f>
        <v/>
      </c>
      <c r="S334">
        <f>IFERROR(INDEX(PP_Grid[#Data],$DD334,17),0)</f>
        <v/>
      </c>
      <c r="T334">
        <f>IFERROR(INDEX(PP_Grid[#Data],$DD334,18),0)</f>
        <v/>
      </c>
      <c r="U334">
        <f>IFERROR(INDEX(PP_Grid[#Data],$DD334,19),0)</f>
        <v/>
      </c>
      <c r="V334">
        <f>IFERROR(INDEX(PP_Grid[#Data],$DD334,20),0)</f>
        <v/>
      </c>
      <c r="W334">
        <f>IFERROR(INDEX(PP_Grid[#Data],$DD334,21),0)</f>
        <v/>
      </c>
      <c r="X334">
        <f>IFERROR(INDEX(PP_Grid[#Data],$DD334,22),0)</f>
        <v/>
      </c>
      <c r="Y334">
        <f>IFERROR(INDEX(PP_Grid[#Data],$DD334,23),0)</f>
        <v/>
      </c>
      <c r="Z334">
        <f>IFERROR(INDEX(PP_Grid[#Data],$DD334,24),0)</f>
        <v/>
      </c>
      <c r="AA334">
        <f>IFERROR(INDEX(PP_Grid[#Data],$DD334,25),0)</f>
        <v/>
      </c>
      <c r="AB334">
        <f>IFERROR(INDEX(PP_Grid[#Data],$DD334,26),0)</f>
        <v/>
      </c>
      <c r="AC334">
        <f>IFERROR(INDEX(PP_Grid[#Data],$DD334,27),0)</f>
        <v/>
      </c>
      <c r="AD334">
        <f>IFERROR(INDEX(PP_Grid[#Data],$DD334,28),0)</f>
        <v/>
      </c>
      <c r="AE334">
        <f>IFERROR(INDEX(PP_Grid[#Data],$DD334,29),0)</f>
        <v/>
      </c>
      <c r="AF334">
        <f>IFERROR(INDEX(PP_Grid[#Data],$DD334,30),0)</f>
        <v/>
      </c>
      <c r="AG334">
        <f>IFERROR(INDEX(PP_Grid[#Data],$DD334,31),0)</f>
        <v/>
      </c>
      <c r="AH334">
        <f>IFERROR(INDEX(PP_Grid[#Data],$DD334,32),0)</f>
        <v/>
      </c>
      <c r="AI334">
        <f>IFERROR(INDEX(PP_Grid[#Data],$DD334,33),0)</f>
        <v/>
      </c>
      <c r="AJ334">
        <f>IFERROR(INDEX(PP_Grid[#Data],$DD334,34),0)</f>
        <v/>
      </c>
      <c r="AK334">
        <f>IFERROR(INDEX(PP_Grid[#Data],$DD334,35),0)</f>
        <v/>
      </c>
      <c r="AL334">
        <f>IFERROR(INDEX(PP_Grid[#Data],$DD334,36),0)</f>
        <v/>
      </c>
      <c r="AM334">
        <f>IFERROR(INDEX(PP_Grid[#Data],$DD334,37),0)</f>
        <v/>
      </c>
      <c r="AN334">
        <f>IFERROR(INDEX(PP_Grid[#Data],$DD334,38),0)</f>
        <v/>
      </c>
      <c r="AO334">
        <f>IFERROR(INDEX(PP_Grid[#Data],$DD334,39),0)</f>
        <v/>
      </c>
      <c r="AP334">
        <f>IFERROR(INDEX(PP_Grid[#Data],$DD334,40),0)</f>
        <v/>
      </c>
      <c r="AQ334">
        <f>IFERROR(INDEX(PP_Grid[#Data],$DD334,41),0)</f>
        <v/>
      </c>
      <c r="AR334">
        <f>IFERROR(INDEX(PP_Grid[#Data],$DD334,42),0)</f>
        <v/>
      </c>
      <c r="AS334">
        <f>IFERROR(INDEX(PP_Grid[#Data],$DD334,43),0)</f>
        <v/>
      </c>
      <c r="AT334">
        <f>IFERROR(INDEX(PP_Grid[#Data],$DD334,44),0)</f>
        <v/>
      </c>
      <c r="AU334">
        <f>IFERROR(INDEX(PP_Grid[#Data],$DD334,45),0)</f>
        <v/>
      </c>
      <c r="AV334">
        <f>IFERROR(INDEX(PP_Grid[#Data],$DD334,46),0)</f>
        <v/>
      </c>
      <c r="AW334">
        <f>IFERROR(INDEX(PP_Grid[#Data],$DD334,47),0)</f>
        <v/>
      </c>
      <c r="AX334">
        <f>IFERROR(INDEX(PP_Grid[#Data],$DD334,48),0)</f>
        <v/>
      </c>
      <c r="AY334">
        <f>IFERROR(INDEX(PP_Grid[#Data],$DD334,49),0)</f>
        <v/>
      </c>
      <c r="AZ334">
        <f>IFERROR(INDEX(PP_Grid[#Data],$DD334,50),0)</f>
        <v/>
      </c>
      <c r="BA334">
        <f>IFERROR(INDEX(PP_Grid[#Data],$DD334,51),0)</f>
        <v/>
      </c>
      <c r="BB334">
        <f>IFERROR(INDEX(PP_Grid[#Data],$DD334,52),0)</f>
        <v/>
      </c>
      <c r="BC334">
        <f>IFERROR(INDEX(PP_Grid[#Data],$DD334,53),0)</f>
        <v/>
      </c>
      <c r="BD334">
        <f>IFERROR(INDEX(PP_Grid[#Data],$DD334,54),0)</f>
        <v/>
      </c>
      <c r="BE334">
        <f>IFERROR(INDEX(PP_Grid[#Data],$DD334,55),0)</f>
        <v/>
      </c>
      <c r="BF334">
        <f>IFERROR(INDEX(PP_Grid[#Data],$DD334,56),0)</f>
        <v/>
      </c>
      <c r="BG334">
        <f>IFERROR(INDEX(PP_Grid[#Data],$DD334,57),0)</f>
        <v/>
      </c>
      <c r="BH334">
        <f>IFERROR(INDEX(PP_Grid[#Data],$DD334,58),0)</f>
        <v/>
      </c>
      <c r="BI334">
        <f>IFERROR(INDEX(PP_Grid[#Data],$DD334,59),0)</f>
        <v/>
      </c>
      <c r="BJ334">
        <f>IFERROR(INDEX(PP_Grid[#Data],$DD334,60),0)</f>
        <v/>
      </c>
      <c r="BK334">
        <f>IFERROR(INDEX(PP_Grid[#Data],$DD334,61),0)</f>
        <v/>
      </c>
      <c r="BL334">
        <f>IFERROR(INDEX(PP_Grid[#Data],$DD334,62),0)</f>
        <v/>
      </c>
      <c r="BM334">
        <f>IFERROR(INDEX(PP_Grid[#Data],$DD334,63),0)</f>
        <v/>
      </c>
      <c r="BN334">
        <f>IFERROR(INDEX(PP_Grid[#Data],$DD334,64),0)</f>
        <v/>
      </c>
      <c r="BO334">
        <f>IFERROR(INDEX(PP_Grid[#Data],$DD334,65),0)</f>
        <v/>
      </c>
      <c r="BP334">
        <f>IFERROR(INDEX(PP_Grid[#Data],$DD334,66),0)</f>
        <v/>
      </c>
      <c r="BQ334">
        <f>IFERROR(INDEX(PP_Grid[#Data],$DD334,67),0)</f>
        <v/>
      </c>
      <c r="BR334">
        <f>IFERROR(INDEX(PP_Grid[#Data],$DD334,68),0)</f>
        <v/>
      </c>
      <c r="BS334">
        <f>IFERROR(INDEX(PP_Grid[#Data],$DD334,69),0)</f>
        <v/>
      </c>
      <c r="BT334">
        <f>IFERROR(INDEX(PP_Grid[#Data],$DD334,70),0)</f>
        <v/>
      </c>
      <c r="BU334">
        <f>IFERROR(INDEX(PP_Grid[#Data],$DD334,71),0)</f>
        <v/>
      </c>
      <c r="BV334">
        <f>IFERROR(INDEX(PP_Grid[#Data],$DD334,72),0)</f>
        <v/>
      </c>
      <c r="BW334">
        <f>IFERROR(INDEX(PP_Grid[#Data],$DD334,73),0)</f>
        <v/>
      </c>
      <c r="BX334">
        <f>IFERROR(INDEX(PP_Grid[#Data],$DD334,74),0)</f>
        <v/>
      </c>
      <c r="BY334">
        <f>IFERROR(INDEX(PP_Grid[#Data],$DD334,75),0)</f>
        <v/>
      </c>
      <c r="BZ334">
        <f>IFERROR(INDEX(PP_Grid[#Data],$DD334,76),0)</f>
        <v/>
      </c>
      <c r="CA334">
        <f>IFERROR(INDEX(PP_Grid[#Data],$DD334,77),0)</f>
        <v/>
      </c>
      <c r="CB334">
        <f>IFERROR(INDEX(PP_Grid[#Data],$DD334,78),0)</f>
        <v/>
      </c>
      <c r="CC334">
        <f>IFERROR(INDEX(PP_Grid[#Data],$DD334,79),0)</f>
        <v/>
      </c>
      <c r="CD334">
        <f>IFERROR(INDEX(PP_Grid[#Data],$DD334,80),0)</f>
        <v/>
      </c>
      <c r="CE334">
        <f>IFERROR(INDEX(PP_Grid[#Data],$DD334,81),0)</f>
        <v/>
      </c>
      <c r="CF334">
        <f>IFERROR(INDEX(PP_Grid[#Data],$DD334,82),0)</f>
        <v/>
      </c>
      <c r="CG334">
        <f>IFERROR(INDEX(PP_Grid[#Data],$DD334,83),0)</f>
        <v/>
      </c>
      <c r="CH334">
        <f>IFERROR(INDEX(PP_Grid[#Data],$DD334,84),0)</f>
        <v/>
      </c>
      <c r="CI334">
        <f>IFERROR(INDEX(PP_Grid[#Data],$DD334,85),0)</f>
        <v/>
      </c>
      <c r="CJ334">
        <f>IFERROR(INDEX(PP_Grid[#Data],$DD334,86),0)</f>
        <v/>
      </c>
      <c r="CK334">
        <f>IFERROR(INDEX(PP_Grid[#Data],$DD334,87),0)</f>
        <v/>
      </c>
      <c r="CL334">
        <f>IFERROR(INDEX(PP_Grid[#Data],$DD334,88),0)</f>
        <v/>
      </c>
      <c r="CM334">
        <f>IFERROR(INDEX(PP_Grid[#Data],$DD334,89),0)</f>
        <v/>
      </c>
      <c r="CN334">
        <f>IFERROR(INDEX(PP_Grid[#Data],$DD334,90),0)</f>
        <v/>
      </c>
      <c r="CO334">
        <f>IFERROR(INDEX(PP_Grid[#Data],$DD334,91),0)</f>
        <v/>
      </c>
      <c r="CP334">
        <f>IFERROR(INDEX(PP_Grid[#Data],$DD334,92),0)</f>
        <v/>
      </c>
      <c r="CQ334">
        <f>IFERROR(INDEX(PP_Grid[#Data],$DD334,93),0)</f>
        <v/>
      </c>
      <c r="CR334">
        <f>IFERROR(INDEX(PP_Grid[#Data],$DD334,94),0)</f>
        <v/>
      </c>
      <c r="CS334">
        <f>IFERROR(INDEX(PP_Grid[#Data],$DD334,95),0)</f>
        <v/>
      </c>
      <c r="CT334">
        <f>IFERROR(INDEX(PP_Grid[#Data],$DD334,96),0)</f>
        <v/>
      </c>
      <c r="CU334">
        <f>IFERROR(INDEX(PP_Grid[#Data],$DD334,97),0)</f>
        <v/>
      </c>
      <c r="CV334">
        <f>IFERROR(INDEX(PP_Grid[#Data],$DD334,98),0)</f>
        <v/>
      </c>
      <c r="CW334">
        <f>IFERROR(INDEX(PP_Grid[#Data],$DD334,99),0)</f>
        <v/>
      </c>
      <c r="CX334">
        <f>IFERROR(INDEX(PP_Grid[#Data],$DD334,100),0)</f>
        <v/>
      </c>
      <c r="CY334">
        <f>IFERROR(INDEX(PP_Grid[#Data],$DD334,101),0)</f>
        <v/>
      </c>
      <c r="CZ334">
        <f>IFERROR(INDEX(PP_Grid[#Data],$DD334,102),0)</f>
        <v/>
      </c>
      <c r="DA334">
        <f>IFERROR(INDEX(PP_Grid[#Data],$DD334,103),0)</f>
        <v/>
      </c>
      <c r="DB334">
        <f>IFERROR(INDEX(PP_Grid[#Data],$DD334,104),0)</f>
        <v/>
      </c>
      <c r="DC334">
        <f>IFERROR(INDEX(PP_Grid[#Data],$DD334,105),0)</f>
        <v/>
      </c>
      <c r="DD334" s="12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SUMIFS(M_BOM[RM_Qty_Per_Batch],M_BOM[Intermediate],$B334,M_BOM[Part Name],$A323)</f>
        <v/>
      </c>
      <c r="D335">
        <f>$C335*D334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</row>
    <row r="336">
      <c r="B336" t="inlineStr">
        <is>
          <t>VSP-600</t>
        </is>
      </c>
      <c r="C336" t="inlineStr">
        <is>
          <t>No. of batches</t>
        </is>
      </c>
      <c r="D336">
        <f>IFERROR(INDEX(PP_Grid[#Data],$DD336,2),0)</f>
        <v/>
      </c>
      <c r="E336">
        <f>IFERROR(INDEX(PP_Grid[#Data],$DD336,3),0)</f>
        <v/>
      </c>
      <c r="F336">
        <f>IFERROR(INDEX(PP_Grid[#Data],$DD336,4),0)</f>
        <v/>
      </c>
      <c r="G336">
        <f>IFERROR(INDEX(PP_Grid[#Data],$DD336,5),0)</f>
        <v/>
      </c>
      <c r="H336">
        <f>IFERROR(INDEX(PP_Grid[#Data],$DD336,6),0)</f>
        <v/>
      </c>
      <c r="I336">
        <f>IFERROR(INDEX(PP_Grid[#Data],$DD336,7),0)</f>
        <v/>
      </c>
      <c r="J336">
        <f>IFERROR(INDEX(PP_Grid[#Data],$DD336,8),0)</f>
        <v/>
      </c>
      <c r="K336">
        <f>IFERROR(INDEX(PP_Grid[#Data],$DD336,9),0)</f>
        <v/>
      </c>
      <c r="L336">
        <f>IFERROR(INDEX(PP_Grid[#Data],$DD336,10),0)</f>
        <v/>
      </c>
      <c r="M336">
        <f>IFERROR(INDEX(PP_Grid[#Data],$DD336,11),0)</f>
        <v/>
      </c>
      <c r="N336">
        <f>IFERROR(INDEX(PP_Grid[#Data],$DD336,12),0)</f>
        <v/>
      </c>
      <c r="O336">
        <f>IFERROR(INDEX(PP_Grid[#Data],$DD336,13),0)</f>
        <v/>
      </c>
      <c r="P336">
        <f>IFERROR(INDEX(PP_Grid[#Data],$DD336,14),0)</f>
        <v/>
      </c>
      <c r="Q336">
        <f>IFERROR(INDEX(PP_Grid[#Data],$DD336,15),0)</f>
        <v/>
      </c>
      <c r="R336">
        <f>IFERROR(INDEX(PP_Grid[#Data],$DD336,16),0)</f>
        <v/>
      </c>
      <c r="S336">
        <f>IFERROR(INDEX(PP_Grid[#Data],$DD336,17),0)</f>
        <v/>
      </c>
      <c r="T336">
        <f>IFERROR(INDEX(PP_Grid[#Data],$DD336,18),0)</f>
        <v/>
      </c>
      <c r="U336">
        <f>IFERROR(INDEX(PP_Grid[#Data],$DD336,19),0)</f>
        <v/>
      </c>
      <c r="V336">
        <f>IFERROR(INDEX(PP_Grid[#Data],$DD336,20),0)</f>
        <v/>
      </c>
      <c r="W336">
        <f>IFERROR(INDEX(PP_Grid[#Data],$DD336,21),0)</f>
        <v/>
      </c>
      <c r="X336">
        <f>IFERROR(INDEX(PP_Grid[#Data],$DD336,22),0)</f>
        <v/>
      </c>
      <c r="Y336">
        <f>IFERROR(INDEX(PP_Grid[#Data],$DD336,23),0)</f>
        <v/>
      </c>
      <c r="Z336">
        <f>IFERROR(INDEX(PP_Grid[#Data],$DD336,24),0)</f>
        <v/>
      </c>
      <c r="AA336">
        <f>IFERROR(INDEX(PP_Grid[#Data],$DD336,25),0)</f>
        <v/>
      </c>
      <c r="AB336">
        <f>IFERROR(INDEX(PP_Grid[#Data],$DD336,26),0)</f>
        <v/>
      </c>
      <c r="AC336">
        <f>IFERROR(INDEX(PP_Grid[#Data],$DD336,27),0)</f>
        <v/>
      </c>
      <c r="AD336">
        <f>IFERROR(INDEX(PP_Grid[#Data],$DD336,28),0)</f>
        <v/>
      </c>
      <c r="AE336">
        <f>IFERROR(INDEX(PP_Grid[#Data],$DD336,29),0)</f>
        <v/>
      </c>
      <c r="AF336">
        <f>IFERROR(INDEX(PP_Grid[#Data],$DD336,30),0)</f>
        <v/>
      </c>
      <c r="AG336">
        <f>IFERROR(INDEX(PP_Grid[#Data],$DD336,31),0)</f>
        <v/>
      </c>
      <c r="AH336">
        <f>IFERROR(INDEX(PP_Grid[#Data],$DD336,32),0)</f>
        <v/>
      </c>
      <c r="AI336">
        <f>IFERROR(INDEX(PP_Grid[#Data],$DD336,33),0)</f>
        <v/>
      </c>
      <c r="AJ336">
        <f>IFERROR(INDEX(PP_Grid[#Data],$DD336,34),0)</f>
        <v/>
      </c>
      <c r="AK336">
        <f>IFERROR(INDEX(PP_Grid[#Data],$DD336,35),0)</f>
        <v/>
      </c>
      <c r="AL336">
        <f>IFERROR(INDEX(PP_Grid[#Data],$DD336,36),0)</f>
        <v/>
      </c>
      <c r="AM336">
        <f>IFERROR(INDEX(PP_Grid[#Data],$DD336,37),0)</f>
        <v/>
      </c>
      <c r="AN336">
        <f>IFERROR(INDEX(PP_Grid[#Data],$DD336,38),0)</f>
        <v/>
      </c>
      <c r="AO336">
        <f>IFERROR(INDEX(PP_Grid[#Data],$DD336,39),0)</f>
        <v/>
      </c>
      <c r="AP336">
        <f>IFERROR(INDEX(PP_Grid[#Data],$DD336,40),0)</f>
        <v/>
      </c>
      <c r="AQ336">
        <f>IFERROR(INDEX(PP_Grid[#Data],$DD336,41),0)</f>
        <v/>
      </c>
      <c r="AR336">
        <f>IFERROR(INDEX(PP_Grid[#Data],$DD336,42),0)</f>
        <v/>
      </c>
      <c r="AS336">
        <f>IFERROR(INDEX(PP_Grid[#Data],$DD336,43),0)</f>
        <v/>
      </c>
      <c r="AT336">
        <f>IFERROR(INDEX(PP_Grid[#Data],$DD336,44),0)</f>
        <v/>
      </c>
      <c r="AU336">
        <f>IFERROR(INDEX(PP_Grid[#Data],$DD336,45),0)</f>
        <v/>
      </c>
      <c r="AV336">
        <f>IFERROR(INDEX(PP_Grid[#Data],$DD336,46),0)</f>
        <v/>
      </c>
      <c r="AW336">
        <f>IFERROR(INDEX(PP_Grid[#Data],$DD336,47),0)</f>
        <v/>
      </c>
      <c r="AX336">
        <f>IFERROR(INDEX(PP_Grid[#Data],$DD336,48),0)</f>
        <v/>
      </c>
      <c r="AY336">
        <f>IFERROR(INDEX(PP_Grid[#Data],$DD336,49),0)</f>
        <v/>
      </c>
      <c r="AZ336">
        <f>IFERROR(INDEX(PP_Grid[#Data],$DD336,50),0)</f>
        <v/>
      </c>
      <c r="BA336">
        <f>IFERROR(INDEX(PP_Grid[#Data],$DD336,51),0)</f>
        <v/>
      </c>
      <c r="BB336">
        <f>IFERROR(INDEX(PP_Grid[#Data],$DD336,52),0)</f>
        <v/>
      </c>
      <c r="BC336">
        <f>IFERROR(INDEX(PP_Grid[#Data],$DD336,53),0)</f>
        <v/>
      </c>
      <c r="BD336">
        <f>IFERROR(INDEX(PP_Grid[#Data],$DD336,54),0)</f>
        <v/>
      </c>
      <c r="BE336">
        <f>IFERROR(INDEX(PP_Grid[#Data],$DD336,55),0)</f>
        <v/>
      </c>
      <c r="BF336">
        <f>IFERROR(INDEX(PP_Grid[#Data],$DD336,56),0)</f>
        <v/>
      </c>
      <c r="BG336">
        <f>IFERROR(INDEX(PP_Grid[#Data],$DD336,57),0)</f>
        <v/>
      </c>
      <c r="BH336">
        <f>IFERROR(INDEX(PP_Grid[#Data],$DD336,58),0)</f>
        <v/>
      </c>
      <c r="BI336">
        <f>IFERROR(INDEX(PP_Grid[#Data],$DD336,59),0)</f>
        <v/>
      </c>
      <c r="BJ336">
        <f>IFERROR(INDEX(PP_Grid[#Data],$DD336,60),0)</f>
        <v/>
      </c>
      <c r="BK336">
        <f>IFERROR(INDEX(PP_Grid[#Data],$DD336,61),0)</f>
        <v/>
      </c>
      <c r="BL336">
        <f>IFERROR(INDEX(PP_Grid[#Data],$DD336,62),0)</f>
        <v/>
      </c>
      <c r="BM336">
        <f>IFERROR(INDEX(PP_Grid[#Data],$DD336,63),0)</f>
        <v/>
      </c>
      <c r="BN336">
        <f>IFERROR(INDEX(PP_Grid[#Data],$DD336,64),0)</f>
        <v/>
      </c>
      <c r="BO336">
        <f>IFERROR(INDEX(PP_Grid[#Data],$DD336,65),0)</f>
        <v/>
      </c>
      <c r="BP336">
        <f>IFERROR(INDEX(PP_Grid[#Data],$DD336,66),0)</f>
        <v/>
      </c>
      <c r="BQ336">
        <f>IFERROR(INDEX(PP_Grid[#Data],$DD336,67),0)</f>
        <v/>
      </c>
      <c r="BR336">
        <f>IFERROR(INDEX(PP_Grid[#Data],$DD336,68),0)</f>
        <v/>
      </c>
      <c r="BS336">
        <f>IFERROR(INDEX(PP_Grid[#Data],$DD336,69),0)</f>
        <v/>
      </c>
      <c r="BT336">
        <f>IFERROR(INDEX(PP_Grid[#Data],$DD336,70),0)</f>
        <v/>
      </c>
      <c r="BU336">
        <f>IFERROR(INDEX(PP_Grid[#Data],$DD336,71),0)</f>
        <v/>
      </c>
      <c r="BV336">
        <f>IFERROR(INDEX(PP_Grid[#Data],$DD336,72),0)</f>
        <v/>
      </c>
      <c r="BW336">
        <f>IFERROR(INDEX(PP_Grid[#Data],$DD336,73),0)</f>
        <v/>
      </c>
      <c r="BX336">
        <f>IFERROR(INDEX(PP_Grid[#Data],$DD336,74),0)</f>
        <v/>
      </c>
      <c r="BY336">
        <f>IFERROR(INDEX(PP_Grid[#Data],$DD336,75),0)</f>
        <v/>
      </c>
      <c r="BZ336">
        <f>IFERROR(INDEX(PP_Grid[#Data],$DD336,76),0)</f>
        <v/>
      </c>
      <c r="CA336">
        <f>IFERROR(INDEX(PP_Grid[#Data],$DD336,77),0)</f>
        <v/>
      </c>
      <c r="CB336">
        <f>IFERROR(INDEX(PP_Grid[#Data],$DD336,78),0)</f>
        <v/>
      </c>
      <c r="CC336">
        <f>IFERROR(INDEX(PP_Grid[#Data],$DD336,79),0)</f>
        <v/>
      </c>
      <c r="CD336">
        <f>IFERROR(INDEX(PP_Grid[#Data],$DD336,80),0)</f>
        <v/>
      </c>
      <c r="CE336">
        <f>IFERROR(INDEX(PP_Grid[#Data],$DD336,81),0)</f>
        <v/>
      </c>
      <c r="CF336">
        <f>IFERROR(INDEX(PP_Grid[#Data],$DD336,82),0)</f>
        <v/>
      </c>
      <c r="CG336">
        <f>IFERROR(INDEX(PP_Grid[#Data],$DD336,83),0)</f>
        <v/>
      </c>
      <c r="CH336">
        <f>IFERROR(INDEX(PP_Grid[#Data],$DD336,84),0)</f>
        <v/>
      </c>
      <c r="CI336">
        <f>IFERROR(INDEX(PP_Grid[#Data],$DD336,85),0)</f>
        <v/>
      </c>
      <c r="CJ336">
        <f>IFERROR(INDEX(PP_Grid[#Data],$DD336,86),0)</f>
        <v/>
      </c>
      <c r="CK336">
        <f>IFERROR(INDEX(PP_Grid[#Data],$DD336,87),0)</f>
        <v/>
      </c>
      <c r="CL336">
        <f>IFERROR(INDEX(PP_Grid[#Data],$DD336,88),0)</f>
        <v/>
      </c>
      <c r="CM336">
        <f>IFERROR(INDEX(PP_Grid[#Data],$DD336,89),0)</f>
        <v/>
      </c>
      <c r="CN336">
        <f>IFERROR(INDEX(PP_Grid[#Data],$DD336,90),0)</f>
        <v/>
      </c>
      <c r="CO336">
        <f>IFERROR(INDEX(PP_Grid[#Data],$DD336,91),0)</f>
        <v/>
      </c>
      <c r="CP336">
        <f>IFERROR(INDEX(PP_Grid[#Data],$DD336,92),0)</f>
        <v/>
      </c>
      <c r="CQ336">
        <f>IFERROR(INDEX(PP_Grid[#Data],$DD336,93),0)</f>
        <v/>
      </c>
      <c r="CR336">
        <f>IFERROR(INDEX(PP_Grid[#Data],$DD336,94),0)</f>
        <v/>
      </c>
      <c r="CS336">
        <f>IFERROR(INDEX(PP_Grid[#Data],$DD336,95),0)</f>
        <v/>
      </c>
      <c r="CT336">
        <f>IFERROR(INDEX(PP_Grid[#Data],$DD336,96),0)</f>
        <v/>
      </c>
      <c r="CU336">
        <f>IFERROR(INDEX(PP_Grid[#Data],$DD336,97),0)</f>
        <v/>
      </c>
      <c r="CV336">
        <f>IFERROR(INDEX(PP_Grid[#Data],$DD336,98),0)</f>
        <v/>
      </c>
      <c r="CW336">
        <f>IFERROR(INDEX(PP_Grid[#Data],$DD336,99),0)</f>
        <v/>
      </c>
      <c r="CX336">
        <f>IFERROR(INDEX(PP_Grid[#Data],$DD336,100),0)</f>
        <v/>
      </c>
      <c r="CY336">
        <f>IFERROR(INDEX(PP_Grid[#Data],$DD336,101),0)</f>
        <v/>
      </c>
      <c r="CZ336">
        <f>IFERROR(INDEX(PP_Grid[#Data],$DD336,102),0)</f>
        <v/>
      </c>
      <c r="DA336">
        <f>IFERROR(INDEX(PP_Grid[#Data],$DD336,103),0)</f>
        <v/>
      </c>
      <c r="DB336">
        <f>IFERROR(INDEX(PP_Grid[#Data],$DD336,104),0)</f>
        <v/>
      </c>
      <c r="DC336">
        <f>IFERROR(INDEX(PP_Grid[#Data],$DD336,105),0)</f>
        <v/>
      </c>
      <c r="DD336" s="12">
        <f>IFERROR(MATCH($B336,PP_Grid[Intermediate],0),99999)</f>
        <v/>
      </c>
    </row>
    <row r="337">
      <c r="B337" t="inlineStr">
        <is>
          <t>使用量(kg)</t>
        </is>
      </c>
      <c r="C337">
        <f>SUMIFS(M_BOM[RM_Qty_Per_Batch],M_BOM[Intermediate],$B336,M_BOM[Part Name],$A323)</f>
        <v/>
      </c>
      <c r="D337">
        <f>$C337*D336</f>
        <v/>
      </c>
      <c r="E337">
        <f>$C337*E336</f>
        <v/>
      </c>
      <c r="F337">
        <f>$C337*F336</f>
        <v/>
      </c>
      <c r="G337">
        <f>$C337*G336</f>
        <v/>
      </c>
      <c r="H337">
        <f>$C337*H336</f>
        <v/>
      </c>
      <c r="I337">
        <f>$C337*I336</f>
        <v/>
      </c>
      <c r="J337">
        <f>$C337*J336</f>
        <v/>
      </c>
      <c r="K337">
        <f>$C337*K336</f>
        <v/>
      </c>
      <c r="L337">
        <f>$C337*L336</f>
        <v/>
      </c>
      <c r="M337">
        <f>$C337*M336</f>
        <v/>
      </c>
      <c r="N337">
        <f>$C337*N336</f>
        <v/>
      </c>
      <c r="O337">
        <f>$C337*O336</f>
        <v/>
      </c>
      <c r="P337">
        <f>$C337*P336</f>
        <v/>
      </c>
      <c r="Q337">
        <f>$C337*Q336</f>
        <v/>
      </c>
      <c r="R337">
        <f>$C337*R336</f>
        <v/>
      </c>
      <c r="S337">
        <f>$C337*S336</f>
        <v/>
      </c>
      <c r="T337">
        <f>$C337*T336</f>
        <v/>
      </c>
      <c r="U337">
        <f>$C337*U336</f>
        <v/>
      </c>
      <c r="V337">
        <f>$C337*V336</f>
        <v/>
      </c>
      <c r="W337">
        <f>$C337*W336</f>
        <v/>
      </c>
      <c r="X337">
        <f>$C337*X336</f>
        <v/>
      </c>
      <c r="Y337">
        <f>$C337*Y336</f>
        <v/>
      </c>
      <c r="Z337">
        <f>$C337*Z336</f>
        <v/>
      </c>
      <c r="AA337">
        <f>$C337*AA336</f>
        <v/>
      </c>
      <c r="AB337">
        <f>$C337*AB336</f>
        <v/>
      </c>
      <c r="AC337">
        <f>$C337*AC336</f>
        <v/>
      </c>
      <c r="AD337">
        <f>$C337*AD336</f>
        <v/>
      </c>
      <c r="AE337">
        <f>$C337*AE336</f>
        <v/>
      </c>
      <c r="AF337">
        <f>$C337*AF336</f>
        <v/>
      </c>
      <c r="AG337">
        <f>$C337*AG336</f>
        <v/>
      </c>
      <c r="AH337">
        <f>$C337*AH336</f>
        <v/>
      </c>
      <c r="AI337">
        <f>$C337*AI336</f>
        <v/>
      </c>
      <c r="AJ337">
        <f>$C337*AJ336</f>
        <v/>
      </c>
      <c r="AK337">
        <f>$C337*AK336</f>
        <v/>
      </c>
      <c r="AL337">
        <f>$C337*AL336</f>
        <v/>
      </c>
      <c r="AM337">
        <f>$C337*AM336</f>
        <v/>
      </c>
      <c r="AN337">
        <f>$C337*AN336</f>
        <v/>
      </c>
      <c r="AO337">
        <f>$C337*AO336</f>
        <v/>
      </c>
      <c r="AP337">
        <f>$C337*AP336</f>
        <v/>
      </c>
      <c r="AQ337">
        <f>$C337*AQ336</f>
        <v/>
      </c>
      <c r="AR337">
        <f>$C337*AR336</f>
        <v/>
      </c>
      <c r="AS337">
        <f>$C337*AS336</f>
        <v/>
      </c>
      <c r="AT337">
        <f>$C337*AT336</f>
        <v/>
      </c>
      <c r="AU337">
        <f>$C337*AU336</f>
        <v/>
      </c>
      <c r="AV337">
        <f>$C337*AV336</f>
        <v/>
      </c>
      <c r="AW337">
        <f>$C337*AW336</f>
        <v/>
      </c>
      <c r="AX337">
        <f>$C337*AX336</f>
        <v/>
      </c>
      <c r="AY337">
        <f>$C337*AY336</f>
        <v/>
      </c>
      <c r="AZ337">
        <f>$C337*AZ336</f>
        <v/>
      </c>
      <c r="BA337">
        <f>$C337*BA336</f>
        <v/>
      </c>
      <c r="BB337">
        <f>$C337*BB336</f>
        <v/>
      </c>
      <c r="BC337">
        <f>$C337*BC336</f>
        <v/>
      </c>
      <c r="BD337">
        <f>$C337*BD336</f>
        <v/>
      </c>
      <c r="BE337">
        <f>$C337*BE336</f>
        <v/>
      </c>
      <c r="BF337">
        <f>$C337*BF336</f>
        <v/>
      </c>
      <c r="BG337">
        <f>$C337*BG336</f>
        <v/>
      </c>
      <c r="BH337">
        <f>$C337*BH336</f>
        <v/>
      </c>
      <c r="BI337">
        <f>$C337*BI336</f>
        <v/>
      </c>
      <c r="BJ337">
        <f>$C337*BJ336</f>
        <v/>
      </c>
      <c r="BK337">
        <f>$C337*BK336</f>
        <v/>
      </c>
      <c r="BL337">
        <f>$C337*BL336</f>
        <v/>
      </c>
      <c r="BM337">
        <f>$C337*BM336</f>
        <v/>
      </c>
      <c r="BN337">
        <f>$C337*BN336</f>
        <v/>
      </c>
      <c r="BO337">
        <f>$C337*BO336</f>
        <v/>
      </c>
      <c r="BP337">
        <f>$C337*BP336</f>
        <v/>
      </c>
      <c r="BQ337">
        <f>$C337*BQ336</f>
        <v/>
      </c>
      <c r="BR337">
        <f>$C337*BR336</f>
        <v/>
      </c>
      <c r="BS337">
        <f>$C337*BS336</f>
        <v/>
      </c>
      <c r="BT337">
        <f>$C337*BT336</f>
        <v/>
      </c>
      <c r="BU337">
        <f>$C337*BU336</f>
        <v/>
      </c>
      <c r="BV337">
        <f>$C337*BV336</f>
        <v/>
      </c>
      <c r="BW337">
        <f>$C337*BW336</f>
        <v/>
      </c>
      <c r="BX337">
        <f>$C337*BX336</f>
        <v/>
      </c>
      <c r="BY337">
        <f>$C337*BY336</f>
        <v/>
      </c>
      <c r="BZ337">
        <f>$C337*BZ336</f>
        <v/>
      </c>
      <c r="CA337">
        <f>$C337*CA336</f>
        <v/>
      </c>
      <c r="CB337">
        <f>$C337*CB336</f>
        <v/>
      </c>
      <c r="CC337">
        <f>$C337*CC336</f>
        <v/>
      </c>
      <c r="CD337">
        <f>$C337*CD336</f>
        <v/>
      </c>
      <c r="CE337">
        <f>$C337*CE336</f>
        <v/>
      </c>
      <c r="CF337">
        <f>$C337*CF336</f>
        <v/>
      </c>
      <c r="CG337">
        <f>$C337*CG336</f>
        <v/>
      </c>
      <c r="CH337">
        <f>$C337*CH336</f>
        <v/>
      </c>
      <c r="CI337">
        <f>$C337*CI336</f>
        <v/>
      </c>
      <c r="CJ337">
        <f>$C337*CJ336</f>
        <v/>
      </c>
      <c r="CK337">
        <f>$C337*CK336</f>
        <v/>
      </c>
      <c r="CL337">
        <f>$C337*CL336</f>
        <v/>
      </c>
      <c r="CM337">
        <f>$C337*CM336</f>
        <v/>
      </c>
      <c r="CN337">
        <f>$C337*CN336</f>
        <v/>
      </c>
      <c r="CO337">
        <f>$C337*CO336</f>
        <v/>
      </c>
      <c r="CP337">
        <f>$C337*CP336</f>
        <v/>
      </c>
      <c r="CQ337">
        <f>$C337*CQ336</f>
        <v/>
      </c>
      <c r="CR337">
        <f>$C337*CR336</f>
        <v/>
      </c>
      <c r="CS337">
        <f>$C337*CS336</f>
        <v/>
      </c>
      <c r="CT337">
        <f>$C337*CT336</f>
        <v/>
      </c>
      <c r="CU337">
        <f>$C337*CU336</f>
        <v/>
      </c>
      <c r="CV337">
        <f>$C337*CV336</f>
        <v/>
      </c>
      <c r="CW337">
        <f>$C337*CW336</f>
        <v/>
      </c>
      <c r="CX337">
        <f>$C337*CX336</f>
        <v/>
      </c>
      <c r="CY337">
        <f>$C337*CY336</f>
        <v/>
      </c>
      <c r="CZ337">
        <f>$C337*CZ336</f>
        <v/>
      </c>
      <c r="DA337">
        <f>$C337*DA336</f>
        <v/>
      </c>
      <c r="DB337">
        <f>$C337*DB336</f>
        <v/>
      </c>
      <c r="DC337">
        <f>$C337*DC336</f>
        <v/>
      </c>
    </row>
    <row r="338">
      <c r="B338" t="inlineStr">
        <is>
          <t>VSP-601</t>
        </is>
      </c>
      <c r="C338" t="inlineStr">
        <is>
          <t>No. of batches</t>
        </is>
      </c>
      <c r="D338">
        <f>IFERROR(INDEX(PP_Grid[#Data],$DD338,2),0)</f>
        <v/>
      </c>
      <c r="E338">
        <f>IFERROR(INDEX(PP_Grid[#Data],$DD338,3),0)</f>
        <v/>
      </c>
      <c r="F338">
        <f>IFERROR(INDEX(PP_Grid[#Data],$DD338,4),0)</f>
        <v/>
      </c>
      <c r="G338">
        <f>IFERROR(INDEX(PP_Grid[#Data],$DD338,5),0)</f>
        <v/>
      </c>
      <c r="H338">
        <f>IFERROR(INDEX(PP_Grid[#Data],$DD338,6),0)</f>
        <v/>
      </c>
      <c r="I338">
        <f>IFERROR(INDEX(PP_Grid[#Data],$DD338,7),0)</f>
        <v/>
      </c>
      <c r="J338">
        <f>IFERROR(INDEX(PP_Grid[#Data],$DD338,8),0)</f>
        <v/>
      </c>
      <c r="K338">
        <f>IFERROR(INDEX(PP_Grid[#Data],$DD338,9),0)</f>
        <v/>
      </c>
      <c r="L338">
        <f>IFERROR(INDEX(PP_Grid[#Data],$DD338,10),0)</f>
        <v/>
      </c>
      <c r="M338">
        <f>IFERROR(INDEX(PP_Grid[#Data],$DD338,11),0)</f>
        <v/>
      </c>
      <c r="N338">
        <f>IFERROR(INDEX(PP_Grid[#Data],$DD338,12),0)</f>
        <v/>
      </c>
      <c r="O338">
        <f>IFERROR(INDEX(PP_Grid[#Data],$DD338,13),0)</f>
        <v/>
      </c>
      <c r="P338">
        <f>IFERROR(INDEX(PP_Grid[#Data],$DD338,14),0)</f>
        <v/>
      </c>
      <c r="Q338">
        <f>IFERROR(INDEX(PP_Grid[#Data],$DD338,15),0)</f>
        <v/>
      </c>
      <c r="R338">
        <f>IFERROR(INDEX(PP_Grid[#Data],$DD338,16),0)</f>
        <v/>
      </c>
      <c r="S338">
        <f>IFERROR(INDEX(PP_Grid[#Data],$DD338,17),0)</f>
        <v/>
      </c>
      <c r="T338">
        <f>IFERROR(INDEX(PP_Grid[#Data],$DD338,18),0)</f>
        <v/>
      </c>
      <c r="U338">
        <f>IFERROR(INDEX(PP_Grid[#Data],$DD338,19),0)</f>
        <v/>
      </c>
      <c r="V338">
        <f>IFERROR(INDEX(PP_Grid[#Data],$DD338,20),0)</f>
        <v/>
      </c>
      <c r="W338">
        <f>IFERROR(INDEX(PP_Grid[#Data],$DD338,21),0)</f>
        <v/>
      </c>
      <c r="X338">
        <f>IFERROR(INDEX(PP_Grid[#Data],$DD338,22),0)</f>
        <v/>
      </c>
      <c r="Y338">
        <f>IFERROR(INDEX(PP_Grid[#Data],$DD338,23),0)</f>
        <v/>
      </c>
      <c r="Z338">
        <f>IFERROR(INDEX(PP_Grid[#Data],$DD338,24),0)</f>
        <v/>
      </c>
      <c r="AA338">
        <f>IFERROR(INDEX(PP_Grid[#Data],$DD338,25),0)</f>
        <v/>
      </c>
      <c r="AB338">
        <f>IFERROR(INDEX(PP_Grid[#Data],$DD338,26),0)</f>
        <v/>
      </c>
      <c r="AC338">
        <f>IFERROR(INDEX(PP_Grid[#Data],$DD338,27),0)</f>
        <v/>
      </c>
      <c r="AD338">
        <f>IFERROR(INDEX(PP_Grid[#Data],$DD338,28),0)</f>
        <v/>
      </c>
      <c r="AE338">
        <f>IFERROR(INDEX(PP_Grid[#Data],$DD338,29),0)</f>
        <v/>
      </c>
      <c r="AF338">
        <f>IFERROR(INDEX(PP_Grid[#Data],$DD338,30),0)</f>
        <v/>
      </c>
      <c r="AG338">
        <f>IFERROR(INDEX(PP_Grid[#Data],$DD338,31),0)</f>
        <v/>
      </c>
      <c r="AH338">
        <f>IFERROR(INDEX(PP_Grid[#Data],$DD338,32),0)</f>
        <v/>
      </c>
      <c r="AI338">
        <f>IFERROR(INDEX(PP_Grid[#Data],$DD338,33),0)</f>
        <v/>
      </c>
      <c r="AJ338">
        <f>IFERROR(INDEX(PP_Grid[#Data],$DD338,34),0)</f>
        <v/>
      </c>
      <c r="AK338">
        <f>IFERROR(INDEX(PP_Grid[#Data],$DD338,35),0)</f>
        <v/>
      </c>
      <c r="AL338">
        <f>IFERROR(INDEX(PP_Grid[#Data],$DD338,36),0)</f>
        <v/>
      </c>
      <c r="AM338">
        <f>IFERROR(INDEX(PP_Grid[#Data],$DD338,37),0)</f>
        <v/>
      </c>
      <c r="AN338">
        <f>IFERROR(INDEX(PP_Grid[#Data],$DD338,38),0)</f>
        <v/>
      </c>
      <c r="AO338">
        <f>IFERROR(INDEX(PP_Grid[#Data],$DD338,39),0)</f>
        <v/>
      </c>
      <c r="AP338">
        <f>IFERROR(INDEX(PP_Grid[#Data],$DD338,40),0)</f>
        <v/>
      </c>
      <c r="AQ338">
        <f>IFERROR(INDEX(PP_Grid[#Data],$DD338,41),0)</f>
        <v/>
      </c>
      <c r="AR338">
        <f>IFERROR(INDEX(PP_Grid[#Data],$DD338,42),0)</f>
        <v/>
      </c>
      <c r="AS338">
        <f>IFERROR(INDEX(PP_Grid[#Data],$DD338,43),0)</f>
        <v/>
      </c>
      <c r="AT338">
        <f>IFERROR(INDEX(PP_Grid[#Data],$DD338,44),0)</f>
        <v/>
      </c>
      <c r="AU338">
        <f>IFERROR(INDEX(PP_Grid[#Data],$DD338,45),0)</f>
        <v/>
      </c>
      <c r="AV338">
        <f>IFERROR(INDEX(PP_Grid[#Data],$DD338,46),0)</f>
        <v/>
      </c>
      <c r="AW338">
        <f>IFERROR(INDEX(PP_Grid[#Data],$DD338,47),0)</f>
        <v/>
      </c>
      <c r="AX338">
        <f>IFERROR(INDEX(PP_Grid[#Data],$DD338,48),0)</f>
        <v/>
      </c>
      <c r="AY338">
        <f>IFERROR(INDEX(PP_Grid[#Data],$DD338,49),0)</f>
        <v/>
      </c>
      <c r="AZ338">
        <f>IFERROR(INDEX(PP_Grid[#Data],$DD338,50),0)</f>
        <v/>
      </c>
      <c r="BA338">
        <f>IFERROR(INDEX(PP_Grid[#Data],$DD338,51),0)</f>
        <v/>
      </c>
      <c r="BB338">
        <f>IFERROR(INDEX(PP_Grid[#Data],$DD338,52),0)</f>
        <v/>
      </c>
      <c r="BC338">
        <f>IFERROR(INDEX(PP_Grid[#Data],$DD338,53),0)</f>
        <v/>
      </c>
      <c r="BD338">
        <f>IFERROR(INDEX(PP_Grid[#Data],$DD338,54),0)</f>
        <v/>
      </c>
      <c r="BE338">
        <f>IFERROR(INDEX(PP_Grid[#Data],$DD338,55),0)</f>
        <v/>
      </c>
      <c r="BF338">
        <f>IFERROR(INDEX(PP_Grid[#Data],$DD338,56),0)</f>
        <v/>
      </c>
      <c r="BG338">
        <f>IFERROR(INDEX(PP_Grid[#Data],$DD338,57),0)</f>
        <v/>
      </c>
      <c r="BH338">
        <f>IFERROR(INDEX(PP_Grid[#Data],$DD338,58),0)</f>
        <v/>
      </c>
      <c r="BI338">
        <f>IFERROR(INDEX(PP_Grid[#Data],$DD338,59),0)</f>
        <v/>
      </c>
      <c r="BJ338">
        <f>IFERROR(INDEX(PP_Grid[#Data],$DD338,60),0)</f>
        <v/>
      </c>
      <c r="BK338">
        <f>IFERROR(INDEX(PP_Grid[#Data],$DD338,61),0)</f>
        <v/>
      </c>
      <c r="BL338">
        <f>IFERROR(INDEX(PP_Grid[#Data],$DD338,62),0)</f>
        <v/>
      </c>
      <c r="BM338">
        <f>IFERROR(INDEX(PP_Grid[#Data],$DD338,63),0)</f>
        <v/>
      </c>
      <c r="BN338">
        <f>IFERROR(INDEX(PP_Grid[#Data],$DD338,64),0)</f>
        <v/>
      </c>
      <c r="BO338">
        <f>IFERROR(INDEX(PP_Grid[#Data],$DD338,65),0)</f>
        <v/>
      </c>
      <c r="BP338">
        <f>IFERROR(INDEX(PP_Grid[#Data],$DD338,66),0)</f>
        <v/>
      </c>
      <c r="BQ338">
        <f>IFERROR(INDEX(PP_Grid[#Data],$DD338,67),0)</f>
        <v/>
      </c>
      <c r="BR338">
        <f>IFERROR(INDEX(PP_Grid[#Data],$DD338,68),0)</f>
        <v/>
      </c>
      <c r="BS338">
        <f>IFERROR(INDEX(PP_Grid[#Data],$DD338,69),0)</f>
        <v/>
      </c>
      <c r="BT338">
        <f>IFERROR(INDEX(PP_Grid[#Data],$DD338,70),0)</f>
        <v/>
      </c>
      <c r="BU338">
        <f>IFERROR(INDEX(PP_Grid[#Data],$DD338,71),0)</f>
        <v/>
      </c>
      <c r="BV338">
        <f>IFERROR(INDEX(PP_Grid[#Data],$DD338,72),0)</f>
        <v/>
      </c>
      <c r="BW338">
        <f>IFERROR(INDEX(PP_Grid[#Data],$DD338,73),0)</f>
        <v/>
      </c>
      <c r="BX338">
        <f>IFERROR(INDEX(PP_Grid[#Data],$DD338,74),0)</f>
        <v/>
      </c>
      <c r="BY338">
        <f>IFERROR(INDEX(PP_Grid[#Data],$DD338,75),0)</f>
        <v/>
      </c>
      <c r="BZ338">
        <f>IFERROR(INDEX(PP_Grid[#Data],$DD338,76),0)</f>
        <v/>
      </c>
      <c r="CA338">
        <f>IFERROR(INDEX(PP_Grid[#Data],$DD338,77),0)</f>
        <v/>
      </c>
      <c r="CB338">
        <f>IFERROR(INDEX(PP_Grid[#Data],$DD338,78),0)</f>
        <v/>
      </c>
      <c r="CC338">
        <f>IFERROR(INDEX(PP_Grid[#Data],$DD338,79),0)</f>
        <v/>
      </c>
      <c r="CD338">
        <f>IFERROR(INDEX(PP_Grid[#Data],$DD338,80),0)</f>
        <v/>
      </c>
      <c r="CE338">
        <f>IFERROR(INDEX(PP_Grid[#Data],$DD338,81),0)</f>
        <v/>
      </c>
      <c r="CF338">
        <f>IFERROR(INDEX(PP_Grid[#Data],$DD338,82),0)</f>
        <v/>
      </c>
      <c r="CG338">
        <f>IFERROR(INDEX(PP_Grid[#Data],$DD338,83),0)</f>
        <v/>
      </c>
      <c r="CH338">
        <f>IFERROR(INDEX(PP_Grid[#Data],$DD338,84),0)</f>
        <v/>
      </c>
      <c r="CI338">
        <f>IFERROR(INDEX(PP_Grid[#Data],$DD338,85),0)</f>
        <v/>
      </c>
      <c r="CJ338">
        <f>IFERROR(INDEX(PP_Grid[#Data],$DD338,86),0)</f>
        <v/>
      </c>
      <c r="CK338">
        <f>IFERROR(INDEX(PP_Grid[#Data],$DD338,87),0)</f>
        <v/>
      </c>
      <c r="CL338">
        <f>IFERROR(INDEX(PP_Grid[#Data],$DD338,88),0)</f>
        <v/>
      </c>
      <c r="CM338">
        <f>IFERROR(INDEX(PP_Grid[#Data],$DD338,89),0)</f>
        <v/>
      </c>
      <c r="CN338">
        <f>IFERROR(INDEX(PP_Grid[#Data],$DD338,90),0)</f>
        <v/>
      </c>
      <c r="CO338">
        <f>IFERROR(INDEX(PP_Grid[#Data],$DD338,91),0)</f>
        <v/>
      </c>
      <c r="CP338">
        <f>IFERROR(INDEX(PP_Grid[#Data],$DD338,92),0)</f>
        <v/>
      </c>
      <c r="CQ338">
        <f>IFERROR(INDEX(PP_Grid[#Data],$DD338,93),0)</f>
        <v/>
      </c>
      <c r="CR338">
        <f>IFERROR(INDEX(PP_Grid[#Data],$DD338,94),0)</f>
        <v/>
      </c>
      <c r="CS338">
        <f>IFERROR(INDEX(PP_Grid[#Data],$DD338,95),0)</f>
        <v/>
      </c>
      <c r="CT338">
        <f>IFERROR(INDEX(PP_Grid[#Data],$DD338,96),0)</f>
        <v/>
      </c>
      <c r="CU338">
        <f>IFERROR(INDEX(PP_Grid[#Data],$DD338,97),0)</f>
        <v/>
      </c>
      <c r="CV338">
        <f>IFERROR(INDEX(PP_Grid[#Data],$DD338,98),0)</f>
        <v/>
      </c>
      <c r="CW338">
        <f>IFERROR(INDEX(PP_Grid[#Data],$DD338,99),0)</f>
        <v/>
      </c>
      <c r="CX338">
        <f>IFERROR(INDEX(PP_Grid[#Data],$DD338,100),0)</f>
        <v/>
      </c>
      <c r="CY338">
        <f>IFERROR(INDEX(PP_Grid[#Data],$DD338,101),0)</f>
        <v/>
      </c>
      <c r="CZ338">
        <f>IFERROR(INDEX(PP_Grid[#Data],$DD338,102),0)</f>
        <v/>
      </c>
      <c r="DA338">
        <f>IFERROR(INDEX(PP_Grid[#Data],$DD338,103),0)</f>
        <v/>
      </c>
      <c r="DB338">
        <f>IFERROR(INDEX(PP_Grid[#Data],$DD338,104),0)</f>
        <v/>
      </c>
      <c r="DC338">
        <f>IFERROR(INDEX(PP_Grid[#Data],$DD338,105),0)</f>
        <v/>
      </c>
      <c r="DD338" s="12">
        <f>IFERROR(MATCH($B338,PP_Grid[Intermediate],0),99999)</f>
        <v/>
      </c>
    </row>
    <row r="339">
      <c r="B339" t="inlineStr">
        <is>
          <t>使用量(kg)</t>
        </is>
      </c>
      <c r="C339">
        <f>SUMIFS(M_BOM[RM_Qty_Per_Batch],M_BOM[Intermediate],$B338,M_BOM[Part Name],$A323)</f>
        <v/>
      </c>
      <c r="D339">
        <f>$C339*D338</f>
        <v/>
      </c>
      <c r="E339">
        <f>$C339*E338</f>
        <v/>
      </c>
      <c r="F339">
        <f>$C339*F338</f>
        <v/>
      </c>
      <c r="G339">
        <f>$C339*G338</f>
        <v/>
      </c>
      <c r="H339">
        <f>$C339*H338</f>
        <v/>
      </c>
      <c r="I339">
        <f>$C339*I338</f>
        <v/>
      </c>
      <c r="J339">
        <f>$C339*J338</f>
        <v/>
      </c>
      <c r="K339">
        <f>$C339*K338</f>
        <v/>
      </c>
      <c r="L339">
        <f>$C339*L338</f>
        <v/>
      </c>
      <c r="M339">
        <f>$C339*M338</f>
        <v/>
      </c>
      <c r="N339">
        <f>$C339*N338</f>
        <v/>
      </c>
      <c r="O339">
        <f>$C339*O338</f>
        <v/>
      </c>
      <c r="P339">
        <f>$C339*P338</f>
        <v/>
      </c>
      <c r="Q339">
        <f>$C339*Q338</f>
        <v/>
      </c>
      <c r="R339">
        <f>$C339*R338</f>
        <v/>
      </c>
      <c r="S339">
        <f>$C339*S338</f>
        <v/>
      </c>
      <c r="T339">
        <f>$C339*T338</f>
        <v/>
      </c>
      <c r="U339">
        <f>$C339*U338</f>
        <v/>
      </c>
      <c r="V339">
        <f>$C339*V338</f>
        <v/>
      </c>
      <c r="W339">
        <f>$C339*W338</f>
        <v/>
      </c>
      <c r="X339">
        <f>$C339*X338</f>
        <v/>
      </c>
      <c r="Y339">
        <f>$C339*Y338</f>
        <v/>
      </c>
      <c r="Z339">
        <f>$C339*Z338</f>
        <v/>
      </c>
      <c r="AA339">
        <f>$C339*AA338</f>
        <v/>
      </c>
      <c r="AB339">
        <f>$C339*AB338</f>
        <v/>
      </c>
      <c r="AC339">
        <f>$C339*AC338</f>
        <v/>
      </c>
      <c r="AD339">
        <f>$C339*AD338</f>
        <v/>
      </c>
      <c r="AE339">
        <f>$C339*AE338</f>
        <v/>
      </c>
      <c r="AF339">
        <f>$C339*AF338</f>
        <v/>
      </c>
      <c r="AG339">
        <f>$C339*AG338</f>
        <v/>
      </c>
      <c r="AH339">
        <f>$C339*AH338</f>
        <v/>
      </c>
      <c r="AI339">
        <f>$C339*AI338</f>
        <v/>
      </c>
      <c r="AJ339">
        <f>$C339*AJ338</f>
        <v/>
      </c>
      <c r="AK339">
        <f>$C339*AK338</f>
        <v/>
      </c>
      <c r="AL339">
        <f>$C339*AL338</f>
        <v/>
      </c>
      <c r="AM339">
        <f>$C339*AM338</f>
        <v/>
      </c>
      <c r="AN339">
        <f>$C339*AN338</f>
        <v/>
      </c>
      <c r="AO339">
        <f>$C339*AO338</f>
        <v/>
      </c>
      <c r="AP339">
        <f>$C339*AP338</f>
        <v/>
      </c>
      <c r="AQ339">
        <f>$C339*AQ338</f>
        <v/>
      </c>
      <c r="AR339">
        <f>$C339*AR338</f>
        <v/>
      </c>
      <c r="AS339">
        <f>$C339*AS338</f>
        <v/>
      </c>
      <c r="AT339">
        <f>$C339*AT338</f>
        <v/>
      </c>
      <c r="AU339">
        <f>$C339*AU338</f>
        <v/>
      </c>
      <c r="AV339">
        <f>$C339*AV338</f>
        <v/>
      </c>
      <c r="AW339">
        <f>$C339*AW338</f>
        <v/>
      </c>
      <c r="AX339">
        <f>$C339*AX338</f>
        <v/>
      </c>
      <c r="AY339">
        <f>$C339*AY338</f>
        <v/>
      </c>
      <c r="AZ339">
        <f>$C339*AZ338</f>
        <v/>
      </c>
      <c r="BA339">
        <f>$C339*BA338</f>
        <v/>
      </c>
      <c r="BB339">
        <f>$C339*BB338</f>
        <v/>
      </c>
      <c r="BC339">
        <f>$C339*BC338</f>
        <v/>
      </c>
      <c r="BD339">
        <f>$C339*BD338</f>
        <v/>
      </c>
      <c r="BE339">
        <f>$C339*BE338</f>
        <v/>
      </c>
      <c r="BF339">
        <f>$C339*BF338</f>
        <v/>
      </c>
      <c r="BG339">
        <f>$C339*BG338</f>
        <v/>
      </c>
      <c r="BH339">
        <f>$C339*BH338</f>
        <v/>
      </c>
      <c r="BI339">
        <f>$C339*BI338</f>
        <v/>
      </c>
      <c r="BJ339">
        <f>$C339*BJ338</f>
        <v/>
      </c>
      <c r="BK339">
        <f>$C339*BK338</f>
        <v/>
      </c>
      <c r="BL339">
        <f>$C339*BL338</f>
        <v/>
      </c>
      <c r="BM339">
        <f>$C339*BM338</f>
        <v/>
      </c>
      <c r="BN339">
        <f>$C339*BN338</f>
        <v/>
      </c>
      <c r="BO339">
        <f>$C339*BO338</f>
        <v/>
      </c>
      <c r="BP339">
        <f>$C339*BP338</f>
        <v/>
      </c>
      <c r="BQ339">
        <f>$C339*BQ338</f>
        <v/>
      </c>
      <c r="BR339">
        <f>$C339*BR338</f>
        <v/>
      </c>
      <c r="BS339">
        <f>$C339*BS338</f>
        <v/>
      </c>
      <c r="BT339">
        <f>$C339*BT338</f>
        <v/>
      </c>
      <c r="BU339">
        <f>$C339*BU338</f>
        <v/>
      </c>
      <c r="BV339">
        <f>$C339*BV338</f>
        <v/>
      </c>
      <c r="BW339">
        <f>$C339*BW338</f>
        <v/>
      </c>
      <c r="BX339">
        <f>$C339*BX338</f>
        <v/>
      </c>
      <c r="BY339">
        <f>$C339*BY338</f>
        <v/>
      </c>
      <c r="BZ339">
        <f>$C339*BZ338</f>
        <v/>
      </c>
      <c r="CA339">
        <f>$C339*CA338</f>
        <v/>
      </c>
      <c r="CB339">
        <f>$C339*CB338</f>
        <v/>
      </c>
      <c r="CC339">
        <f>$C339*CC338</f>
        <v/>
      </c>
      <c r="CD339">
        <f>$C339*CD338</f>
        <v/>
      </c>
      <c r="CE339">
        <f>$C339*CE338</f>
        <v/>
      </c>
      <c r="CF339">
        <f>$C339*CF338</f>
        <v/>
      </c>
      <c r="CG339">
        <f>$C339*CG338</f>
        <v/>
      </c>
      <c r="CH339">
        <f>$C339*CH338</f>
        <v/>
      </c>
      <c r="CI339">
        <f>$C339*CI338</f>
        <v/>
      </c>
      <c r="CJ339">
        <f>$C339*CJ338</f>
        <v/>
      </c>
      <c r="CK339">
        <f>$C339*CK338</f>
        <v/>
      </c>
      <c r="CL339">
        <f>$C339*CL338</f>
        <v/>
      </c>
      <c r="CM339">
        <f>$C339*CM338</f>
        <v/>
      </c>
      <c r="CN339">
        <f>$C339*CN338</f>
        <v/>
      </c>
      <c r="CO339">
        <f>$C339*CO338</f>
        <v/>
      </c>
      <c r="CP339">
        <f>$C339*CP338</f>
        <v/>
      </c>
      <c r="CQ339">
        <f>$C339*CQ338</f>
        <v/>
      </c>
      <c r="CR339">
        <f>$C339*CR338</f>
        <v/>
      </c>
      <c r="CS339">
        <f>$C339*CS338</f>
        <v/>
      </c>
      <c r="CT339">
        <f>$C339*CT338</f>
        <v/>
      </c>
      <c r="CU339">
        <f>$C339*CU338</f>
        <v/>
      </c>
      <c r="CV339">
        <f>$C339*CV338</f>
        <v/>
      </c>
      <c r="CW339">
        <f>$C339*CW338</f>
        <v/>
      </c>
      <c r="CX339">
        <f>$C339*CX338</f>
        <v/>
      </c>
      <c r="CY339">
        <f>$C339*CY338</f>
        <v/>
      </c>
      <c r="CZ339">
        <f>$C339*CZ338</f>
        <v/>
      </c>
      <c r="DA339">
        <f>$C339*DA338</f>
        <v/>
      </c>
      <c r="DB339">
        <f>$C339*DB338</f>
        <v/>
      </c>
      <c r="DC339">
        <f>$C339*DC338</f>
        <v/>
      </c>
    </row>
    <row r="340">
      <c r="B340" t="inlineStr">
        <is>
          <t>VSP-820</t>
        </is>
      </c>
      <c r="C340" t="inlineStr">
        <is>
          <t>No. of batches</t>
        </is>
      </c>
      <c r="D340">
        <f>IFERROR(INDEX(PP_Grid[#Data],$DD340,2),0)</f>
        <v/>
      </c>
      <c r="E340">
        <f>IFERROR(INDEX(PP_Grid[#Data],$DD340,3),0)</f>
        <v/>
      </c>
      <c r="F340">
        <f>IFERROR(INDEX(PP_Grid[#Data],$DD340,4),0)</f>
        <v/>
      </c>
      <c r="G340">
        <f>IFERROR(INDEX(PP_Grid[#Data],$DD340,5),0)</f>
        <v/>
      </c>
      <c r="H340">
        <f>IFERROR(INDEX(PP_Grid[#Data],$DD340,6),0)</f>
        <v/>
      </c>
      <c r="I340">
        <f>IFERROR(INDEX(PP_Grid[#Data],$DD340,7),0)</f>
        <v/>
      </c>
      <c r="J340">
        <f>IFERROR(INDEX(PP_Grid[#Data],$DD340,8),0)</f>
        <v/>
      </c>
      <c r="K340">
        <f>IFERROR(INDEX(PP_Grid[#Data],$DD340,9),0)</f>
        <v/>
      </c>
      <c r="L340">
        <f>IFERROR(INDEX(PP_Grid[#Data],$DD340,10),0)</f>
        <v/>
      </c>
      <c r="M340">
        <f>IFERROR(INDEX(PP_Grid[#Data],$DD340,11),0)</f>
        <v/>
      </c>
      <c r="N340">
        <f>IFERROR(INDEX(PP_Grid[#Data],$DD340,12),0)</f>
        <v/>
      </c>
      <c r="O340">
        <f>IFERROR(INDEX(PP_Grid[#Data],$DD340,13),0)</f>
        <v/>
      </c>
      <c r="P340">
        <f>IFERROR(INDEX(PP_Grid[#Data],$DD340,14),0)</f>
        <v/>
      </c>
      <c r="Q340">
        <f>IFERROR(INDEX(PP_Grid[#Data],$DD340,15),0)</f>
        <v/>
      </c>
      <c r="R340">
        <f>IFERROR(INDEX(PP_Grid[#Data],$DD340,16),0)</f>
        <v/>
      </c>
      <c r="S340">
        <f>IFERROR(INDEX(PP_Grid[#Data],$DD340,17),0)</f>
        <v/>
      </c>
      <c r="T340">
        <f>IFERROR(INDEX(PP_Grid[#Data],$DD340,18),0)</f>
        <v/>
      </c>
      <c r="U340">
        <f>IFERROR(INDEX(PP_Grid[#Data],$DD340,19),0)</f>
        <v/>
      </c>
      <c r="V340">
        <f>IFERROR(INDEX(PP_Grid[#Data],$DD340,20),0)</f>
        <v/>
      </c>
      <c r="W340">
        <f>IFERROR(INDEX(PP_Grid[#Data],$DD340,21),0)</f>
        <v/>
      </c>
      <c r="X340">
        <f>IFERROR(INDEX(PP_Grid[#Data],$DD340,22),0)</f>
        <v/>
      </c>
      <c r="Y340">
        <f>IFERROR(INDEX(PP_Grid[#Data],$DD340,23),0)</f>
        <v/>
      </c>
      <c r="Z340">
        <f>IFERROR(INDEX(PP_Grid[#Data],$DD340,24),0)</f>
        <v/>
      </c>
      <c r="AA340">
        <f>IFERROR(INDEX(PP_Grid[#Data],$DD340,25),0)</f>
        <v/>
      </c>
      <c r="AB340">
        <f>IFERROR(INDEX(PP_Grid[#Data],$DD340,26),0)</f>
        <v/>
      </c>
      <c r="AC340">
        <f>IFERROR(INDEX(PP_Grid[#Data],$DD340,27),0)</f>
        <v/>
      </c>
      <c r="AD340">
        <f>IFERROR(INDEX(PP_Grid[#Data],$DD340,28),0)</f>
        <v/>
      </c>
      <c r="AE340">
        <f>IFERROR(INDEX(PP_Grid[#Data],$DD340,29),0)</f>
        <v/>
      </c>
      <c r="AF340">
        <f>IFERROR(INDEX(PP_Grid[#Data],$DD340,30),0)</f>
        <v/>
      </c>
      <c r="AG340">
        <f>IFERROR(INDEX(PP_Grid[#Data],$DD340,31),0)</f>
        <v/>
      </c>
      <c r="AH340">
        <f>IFERROR(INDEX(PP_Grid[#Data],$DD340,32),0)</f>
        <v/>
      </c>
      <c r="AI340">
        <f>IFERROR(INDEX(PP_Grid[#Data],$DD340,33),0)</f>
        <v/>
      </c>
      <c r="AJ340">
        <f>IFERROR(INDEX(PP_Grid[#Data],$DD340,34),0)</f>
        <v/>
      </c>
      <c r="AK340">
        <f>IFERROR(INDEX(PP_Grid[#Data],$DD340,35),0)</f>
        <v/>
      </c>
      <c r="AL340">
        <f>IFERROR(INDEX(PP_Grid[#Data],$DD340,36),0)</f>
        <v/>
      </c>
      <c r="AM340">
        <f>IFERROR(INDEX(PP_Grid[#Data],$DD340,37),0)</f>
        <v/>
      </c>
      <c r="AN340">
        <f>IFERROR(INDEX(PP_Grid[#Data],$DD340,38),0)</f>
        <v/>
      </c>
      <c r="AO340">
        <f>IFERROR(INDEX(PP_Grid[#Data],$DD340,39),0)</f>
        <v/>
      </c>
      <c r="AP340">
        <f>IFERROR(INDEX(PP_Grid[#Data],$DD340,40),0)</f>
        <v/>
      </c>
      <c r="AQ340">
        <f>IFERROR(INDEX(PP_Grid[#Data],$DD340,41),0)</f>
        <v/>
      </c>
      <c r="AR340">
        <f>IFERROR(INDEX(PP_Grid[#Data],$DD340,42),0)</f>
        <v/>
      </c>
      <c r="AS340">
        <f>IFERROR(INDEX(PP_Grid[#Data],$DD340,43),0)</f>
        <v/>
      </c>
      <c r="AT340">
        <f>IFERROR(INDEX(PP_Grid[#Data],$DD340,44),0)</f>
        <v/>
      </c>
      <c r="AU340">
        <f>IFERROR(INDEX(PP_Grid[#Data],$DD340,45),0)</f>
        <v/>
      </c>
      <c r="AV340">
        <f>IFERROR(INDEX(PP_Grid[#Data],$DD340,46),0)</f>
        <v/>
      </c>
      <c r="AW340">
        <f>IFERROR(INDEX(PP_Grid[#Data],$DD340,47),0)</f>
        <v/>
      </c>
      <c r="AX340">
        <f>IFERROR(INDEX(PP_Grid[#Data],$DD340,48),0)</f>
        <v/>
      </c>
      <c r="AY340">
        <f>IFERROR(INDEX(PP_Grid[#Data],$DD340,49),0)</f>
        <v/>
      </c>
      <c r="AZ340">
        <f>IFERROR(INDEX(PP_Grid[#Data],$DD340,50),0)</f>
        <v/>
      </c>
      <c r="BA340">
        <f>IFERROR(INDEX(PP_Grid[#Data],$DD340,51),0)</f>
        <v/>
      </c>
      <c r="BB340">
        <f>IFERROR(INDEX(PP_Grid[#Data],$DD340,52),0)</f>
        <v/>
      </c>
      <c r="BC340">
        <f>IFERROR(INDEX(PP_Grid[#Data],$DD340,53),0)</f>
        <v/>
      </c>
      <c r="BD340">
        <f>IFERROR(INDEX(PP_Grid[#Data],$DD340,54),0)</f>
        <v/>
      </c>
      <c r="BE340">
        <f>IFERROR(INDEX(PP_Grid[#Data],$DD340,55),0)</f>
        <v/>
      </c>
      <c r="BF340">
        <f>IFERROR(INDEX(PP_Grid[#Data],$DD340,56),0)</f>
        <v/>
      </c>
      <c r="BG340">
        <f>IFERROR(INDEX(PP_Grid[#Data],$DD340,57),0)</f>
        <v/>
      </c>
      <c r="BH340">
        <f>IFERROR(INDEX(PP_Grid[#Data],$DD340,58),0)</f>
        <v/>
      </c>
      <c r="BI340">
        <f>IFERROR(INDEX(PP_Grid[#Data],$DD340,59),0)</f>
        <v/>
      </c>
      <c r="BJ340">
        <f>IFERROR(INDEX(PP_Grid[#Data],$DD340,60),0)</f>
        <v/>
      </c>
      <c r="BK340">
        <f>IFERROR(INDEX(PP_Grid[#Data],$DD340,61),0)</f>
        <v/>
      </c>
      <c r="BL340">
        <f>IFERROR(INDEX(PP_Grid[#Data],$DD340,62),0)</f>
        <v/>
      </c>
      <c r="BM340">
        <f>IFERROR(INDEX(PP_Grid[#Data],$DD340,63),0)</f>
        <v/>
      </c>
      <c r="BN340">
        <f>IFERROR(INDEX(PP_Grid[#Data],$DD340,64),0)</f>
        <v/>
      </c>
      <c r="BO340">
        <f>IFERROR(INDEX(PP_Grid[#Data],$DD340,65),0)</f>
        <v/>
      </c>
      <c r="BP340">
        <f>IFERROR(INDEX(PP_Grid[#Data],$DD340,66),0)</f>
        <v/>
      </c>
      <c r="BQ340">
        <f>IFERROR(INDEX(PP_Grid[#Data],$DD340,67),0)</f>
        <v/>
      </c>
      <c r="BR340">
        <f>IFERROR(INDEX(PP_Grid[#Data],$DD340,68),0)</f>
        <v/>
      </c>
      <c r="BS340">
        <f>IFERROR(INDEX(PP_Grid[#Data],$DD340,69),0)</f>
        <v/>
      </c>
      <c r="BT340">
        <f>IFERROR(INDEX(PP_Grid[#Data],$DD340,70),0)</f>
        <v/>
      </c>
      <c r="BU340">
        <f>IFERROR(INDEX(PP_Grid[#Data],$DD340,71),0)</f>
        <v/>
      </c>
      <c r="BV340">
        <f>IFERROR(INDEX(PP_Grid[#Data],$DD340,72),0)</f>
        <v/>
      </c>
      <c r="BW340">
        <f>IFERROR(INDEX(PP_Grid[#Data],$DD340,73),0)</f>
        <v/>
      </c>
      <c r="BX340">
        <f>IFERROR(INDEX(PP_Grid[#Data],$DD340,74),0)</f>
        <v/>
      </c>
      <c r="BY340">
        <f>IFERROR(INDEX(PP_Grid[#Data],$DD340,75),0)</f>
        <v/>
      </c>
      <c r="BZ340">
        <f>IFERROR(INDEX(PP_Grid[#Data],$DD340,76),0)</f>
        <v/>
      </c>
      <c r="CA340">
        <f>IFERROR(INDEX(PP_Grid[#Data],$DD340,77),0)</f>
        <v/>
      </c>
      <c r="CB340">
        <f>IFERROR(INDEX(PP_Grid[#Data],$DD340,78),0)</f>
        <v/>
      </c>
      <c r="CC340">
        <f>IFERROR(INDEX(PP_Grid[#Data],$DD340,79),0)</f>
        <v/>
      </c>
      <c r="CD340">
        <f>IFERROR(INDEX(PP_Grid[#Data],$DD340,80),0)</f>
        <v/>
      </c>
      <c r="CE340">
        <f>IFERROR(INDEX(PP_Grid[#Data],$DD340,81),0)</f>
        <v/>
      </c>
      <c r="CF340">
        <f>IFERROR(INDEX(PP_Grid[#Data],$DD340,82),0)</f>
        <v/>
      </c>
      <c r="CG340">
        <f>IFERROR(INDEX(PP_Grid[#Data],$DD340,83),0)</f>
        <v/>
      </c>
      <c r="CH340">
        <f>IFERROR(INDEX(PP_Grid[#Data],$DD340,84),0)</f>
        <v/>
      </c>
      <c r="CI340">
        <f>IFERROR(INDEX(PP_Grid[#Data],$DD340,85),0)</f>
        <v/>
      </c>
      <c r="CJ340">
        <f>IFERROR(INDEX(PP_Grid[#Data],$DD340,86),0)</f>
        <v/>
      </c>
      <c r="CK340">
        <f>IFERROR(INDEX(PP_Grid[#Data],$DD340,87),0)</f>
        <v/>
      </c>
      <c r="CL340">
        <f>IFERROR(INDEX(PP_Grid[#Data],$DD340,88),0)</f>
        <v/>
      </c>
      <c r="CM340">
        <f>IFERROR(INDEX(PP_Grid[#Data],$DD340,89),0)</f>
        <v/>
      </c>
      <c r="CN340">
        <f>IFERROR(INDEX(PP_Grid[#Data],$DD340,90),0)</f>
        <v/>
      </c>
      <c r="CO340">
        <f>IFERROR(INDEX(PP_Grid[#Data],$DD340,91),0)</f>
        <v/>
      </c>
      <c r="CP340">
        <f>IFERROR(INDEX(PP_Grid[#Data],$DD340,92),0)</f>
        <v/>
      </c>
      <c r="CQ340">
        <f>IFERROR(INDEX(PP_Grid[#Data],$DD340,93),0)</f>
        <v/>
      </c>
      <c r="CR340">
        <f>IFERROR(INDEX(PP_Grid[#Data],$DD340,94),0)</f>
        <v/>
      </c>
      <c r="CS340">
        <f>IFERROR(INDEX(PP_Grid[#Data],$DD340,95),0)</f>
        <v/>
      </c>
      <c r="CT340">
        <f>IFERROR(INDEX(PP_Grid[#Data],$DD340,96),0)</f>
        <v/>
      </c>
      <c r="CU340">
        <f>IFERROR(INDEX(PP_Grid[#Data],$DD340,97),0)</f>
        <v/>
      </c>
      <c r="CV340">
        <f>IFERROR(INDEX(PP_Grid[#Data],$DD340,98),0)</f>
        <v/>
      </c>
      <c r="CW340">
        <f>IFERROR(INDEX(PP_Grid[#Data],$DD340,99),0)</f>
        <v/>
      </c>
      <c r="CX340">
        <f>IFERROR(INDEX(PP_Grid[#Data],$DD340,100),0)</f>
        <v/>
      </c>
      <c r="CY340">
        <f>IFERROR(INDEX(PP_Grid[#Data],$DD340,101),0)</f>
        <v/>
      </c>
      <c r="CZ340">
        <f>IFERROR(INDEX(PP_Grid[#Data],$DD340,102),0)</f>
        <v/>
      </c>
      <c r="DA340">
        <f>IFERROR(INDEX(PP_Grid[#Data],$DD340,103),0)</f>
        <v/>
      </c>
      <c r="DB340">
        <f>IFERROR(INDEX(PP_Grid[#Data],$DD340,104),0)</f>
        <v/>
      </c>
      <c r="DC340">
        <f>IFERROR(INDEX(PP_Grid[#Data],$DD340,105),0)</f>
        <v/>
      </c>
      <c r="DD340" s="12">
        <f>IFERROR(MATCH($B340,PP_Grid[Intermediate],0),99999)</f>
        <v/>
      </c>
    </row>
    <row r="341">
      <c r="B341" t="inlineStr">
        <is>
          <t>使用量(kg)</t>
        </is>
      </c>
      <c r="C341">
        <f>SUMIFS(M_BOM[RM_Qty_Per_Batch],M_BOM[Intermediate],$B340,M_BOM[Part Name],$A323)</f>
        <v/>
      </c>
      <c r="D341">
        <f>$C341*D340</f>
        <v/>
      </c>
      <c r="E341">
        <f>$C341*E340</f>
        <v/>
      </c>
      <c r="F341">
        <f>$C341*F340</f>
        <v/>
      </c>
      <c r="G341">
        <f>$C341*G340</f>
        <v/>
      </c>
      <c r="H341">
        <f>$C341*H340</f>
        <v/>
      </c>
      <c r="I341">
        <f>$C341*I340</f>
        <v/>
      </c>
      <c r="J341">
        <f>$C341*J340</f>
        <v/>
      </c>
      <c r="K341">
        <f>$C341*K340</f>
        <v/>
      </c>
      <c r="L341">
        <f>$C341*L340</f>
        <v/>
      </c>
      <c r="M341">
        <f>$C341*M340</f>
        <v/>
      </c>
      <c r="N341">
        <f>$C341*N340</f>
        <v/>
      </c>
      <c r="O341">
        <f>$C341*O340</f>
        <v/>
      </c>
      <c r="P341">
        <f>$C341*P340</f>
        <v/>
      </c>
      <c r="Q341">
        <f>$C341*Q340</f>
        <v/>
      </c>
      <c r="R341">
        <f>$C341*R340</f>
        <v/>
      </c>
      <c r="S341">
        <f>$C341*S340</f>
        <v/>
      </c>
      <c r="T341">
        <f>$C341*T340</f>
        <v/>
      </c>
      <c r="U341">
        <f>$C341*U340</f>
        <v/>
      </c>
      <c r="V341">
        <f>$C341*V340</f>
        <v/>
      </c>
      <c r="W341">
        <f>$C341*W340</f>
        <v/>
      </c>
      <c r="X341">
        <f>$C341*X340</f>
        <v/>
      </c>
      <c r="Y341">
        <f>$C341*Y340</f>
        <v/>
      </c>
      <c r="Z341">
        <f>$C341*Z340</f>
        <v/>
      </c>
      <c r="AA341">
        <f>$C341*AA340</f>
        <v/>
      </c>
      <c r="AB341">
        <f>$C341*AB340</f>
        <v/>
      </c>
      <c r="AC341">
        <f>$C341*AC340</f>
        <v/>
      </c>
      <c r="AD341">
        <f>$C341*AD340</f>
        <v/>
      </c>
      <c r="AE341">
        <f>$C341*AE340</f>
        <v/>
      </c>
      <c r="AF341">
        <f>$C341*AF340</f>
        <v/>
      </c>
      <c r="AG341">
        <f>$C341*AG340</f>
        <v/>
      </c>
      <c r="AH341">
        <f>$C341*AH340</f>
        <v/>
      </c>
      <c r="AI341">
        <f>$C341*AI340</f>
        <v/>
      </c>
      <c r="AJ341">
        <f>$C341*AJ340</f>
        <v/>
      </c>
      <c r="AK341">
        <f>$C341*AK340</f>
        <v/>
      </c>
      <c r="AL341">
        <f>$C341*AL340</f>
        <v/>
      </c>
      <c r="AM341">
        <f>$C341*AM340</f>
        <v/>
      </c>
      <c r="AN341">
        <f>$C341*AN340</f>
        <v/>
      </c>
      <c r="AO341">
        <f>$C341*AO340</f>
        <v/>
      </c>
      <c r="AP341">
        <f>$C341*AP340</f>
        <v/>
      </c>
      <c r="AQ341">
        <f>$C341*AQ340</f>
        <v/>
      </c>
      <c r="AR341">
        <f>$C341*AR340</f>
        <v/>
      </c>
      <c r="AS341">
        <f>$C341*AS340</f>
        <v/>
      </c>
      <c r="AT341">
        <f>$C341*AT340</f>
        <v/>
      </c>
      <c r="AU341">
        <f>$C341*AU340</f>
        <v/>
      </c>
      <c r="AV341">
        <f>$C341*AV340</f>
        <v/>
      </c>
      <c r="AW341">
        <f>$C341*AW340</f>
        <v/>
      </c>
      <c r="AX341">
        <f>$C341*AX340</f>
        <v/>
      </c>
      <c r="AY341">
        <f>$C341*AY340</f>
        <v/>
      </c>
      <c r="AZ341">
        <f>$C341*AZ340</f>
        <v/>
      </c>
      <c r="BA341">
        <f>$C341*BA340</f>
        <v/>
      </c>
      <c r="BB341">
        <f>$C341*BB340</f>
        <v/>
      </c>
      <c r="BC341">
        <f>$C341*BC340</f>
        <v/>
      </c>
      <c r="BD341">
        <f>$C341*BD340</f>
        <v/>
      </c>
      <c r="BE341">
        <f>$C341*BE340</f>
        <v/>
      </c>
      <c r="BF341">
        <f>$C341*BF340</f>
        <v/>
      </c>
      <c r="BG341">
        <f>$C341*BG340</f>
        <v/>
      </c>
      <c r="BH341">
        <f>$C341*BH340</f>
        <v/>
      </c>
      <c r="BI341">
        <f>$C341*BI340</f>
        <v/>
      </c>
      <c r="BJ341">
        <f>$C341*BJ340</f>
        <v/>
      </c>
      <c r="BK341">
        <f>$C341*BK340</f>
        <v/>
      </c>
      <c r="BL341">
        <f>$C341*BL340</f>
        <v/>
      </c>
      <c r="BM341">
        <f>$C341*BM340</f>
        <v/>
      </c>
      <c r="BN341">
        <f>$C341*BN340</f>
        <v/>
      </c>
      <c r="BO341">
        <f>$C341*BO340</f>
        <v/>
      </c>
      <c r="BP341">
        <f>$C341*BP340</f>
        <v/>
      </c>
      <c r="BQ341">
        <f>$C341*BQ340</f>
        <v/>
      </c>
      <c r="BR341">
        <f>$C341*BR340</f>
        <v/>
      </c>
      <c r="BS341">
        <f>$C341*BS340</f>
        <v/>
      </c>
      <c r="BT341">
        <f>$C341*BT340</f>
        <v/>
      </c>
      <c r="BU341">
        <f>$C341*BU340</f>
        <v/>
      </c>
      <c r="BV341">
        <f>$C341*BV340</f>
        <v/>
      </c>
      <c r="BW341">
        <f>$C341*BW340</f>
        <v/>
      </c>
      <c r="BX341">
        <f>$C341*BX340</f>
        <v/>
      </c>
      <c r="BY341">
        <f>$C341*BY340</f>
        <v/>
      </c>
      <c r="BZ341">
        <f>$C341*BZ340</f>
        <v/>
      </c>
      <c r="CA341">
        <f>$C341*CA340</f>
        <v/>
      </c>
      <c r="CB341">
        <f>$C341*CB340</f>
        <v/>
      </c>
      <c r="CC341">
        <f>$C341*CC340</f>
        <v/>
      </c>
      <c r="CD341">
        <f>$C341*CD340</f>
        <v/>
      </c>
      <c r="CE341">
        <f>$C341*CE340</f>
        <v/>
      </c>
      <c r="CF341">
        <f>$C341*CF340</f>
        <v/>
      </c>
      <c r="CG341">
        <f>$C341*CG340</f>
        <v/>
      </c>
      <c r="CH341">
        <f>$C341*CH340</f>
        <v/>
      </c>
      <c r="CI341">
        <f>$C341*CI340</f>
        <v/>
      </c>
      <c r="CJ341">
        <f>$C341*CJ340</f>
        <v/>
      </c>
      <c r="CK341">
        <f>$C341*CK340</f>
        <v/>
      </c>
      <c r="CL341">
        <f>$C341*CL340</f>
        <v/>
      </c>
      <c r="CM341">
        <f>$C341*CM340</f>
        <v/>
      </c>
      <c r="CN341">
        <f>$C341*CN340</f>
        <v/>
      </c>
      <c r="CO341">
        <f>$C341*CO340</f>
        <v/>
      </c>
      <c r="CP341">
        <f>$C341*CP340</f>
        <v/>
      </c>
      <c r="CQ341">
        <f>$C341*CQ340</f>
        <v/>
      </c>
      <c r="CR341">
        <f>$C341*CR340</f>
        <v/>
      </c>
      <c r="CS341">
        <f>$C341*CS340</f>
        <v/>
      </c>
      <c r="CT341">
        <f>$C341*CT340</f>
        <v/>
      </c>
      <c r="CU341">
        <f>$C341*CU340</f>
        <v/>
      </c>
      <c r="CV341">
        <f>$C341*CV340</f>
        <v/>
      </c>
      <c r="CW341">
        <f>$C341*CW340</f>
        <v/>
      </c>
      <c r="CX341">
        <f>$C341*CX340</f>
        <v/>
      </c>
      <c r="CY341">
        <f>$C341*CY340</f>
        <v/>
      </c>
      <c r="CZ341">
        <f>$C341*CZ340</f>
        <v/>
      </c>
      <c r="DA341">
        <f>$C341*DA340</f>
        <v/>
      </c>
      <c r="DB341">
        <f>$C341*DB340</f>
        <v/>
      </c>
      <c r="DC341">
        <f>$C341*DC340</f>
        <v/>
      </c>
    </row>
    <row r="342">
      <c r="B342" t="inlineStr">
        <is>
          <t>VSP-989</t>
        </is>
      </c>
      <c r="C342" t="inlineStr">
        <is>
          <t>No. of batches</t>
        </is>
      </c>
      <c r="D342">
        <f>IFERROR(INDEX(PP_Grid[#Data],$DD342,2),0)</f>
        <v/>
      </c>
      <c r="E342">
        <f>IFERROR(INDEX(PP_Grid[#Data],$DD342,3),0)</f>
        <v/>
      </c>
      <c r="F342">
        <f>IFERROR(INDEX(PP_Grid[#Data],$DD342,4),0)</f>
        <v/>
      </c>
      <c r="G342">
        <f>IFERROR(INDEX(PP_Grid[#Data],$DD342,5),0)</f>
        <v/>
      </c>
      <c r="H342">
        <f>IFERROR(INDEX(PP_Grid[#Data],$DD342,6),0)</f>
        <v/>
      </c>
      <c r="I342">
        <f>IFERROR(INDEX(PP_Grid[#Data],$DD342,7),0)</f>
        <v/>
      </c>
      <c r="J342">
        <f>IFERROR(INDEX(PP_Grid[#Data],$DD342,8),0)</f>
        <v/>
      </c>
      <c r="K342">
        <f>IFERROR(INDEX(PP_Grid[#Data],$DD342,9),0)</f>
        <v/>
      </c>
      <c r="L342">
        <f>IFERROR(INDEX(PP_Grid[#Data],$DD342,10),0)</f>
        <v/>
      </c>
      <c r="M342">
        <f>IFERROR(INDEX(PP_Grid[#Data],$DD342,11),0)</f>
        <v/>
      </c>
      <c r="N342">
        <f>IFERROR(INDEX(PP_Grid[#Data],$DD342,12),0)</f>
        <v/>
      </c>
      <c r="O342">
        <f>IFERROR(INDEX(PP_Grid[#Data],$DD342,13),0)</f>
        <v/>
      </c>
      <c r="P342">
        <f>IFERROR(INDEX(PP_Grid[#Data],$DD342,14),0)</f>
        <v/>
      </c>
      <c r="Q342">
        <f>IFERROR(INDEX(PP_Grid[#Data],$DD342,15),0)</f>
        <v/>
      </c>
      <c r="R342">
        <f>IFERROR(INDEX(PP_Grid[#Data],$DD342,16),0)</f>
        <v/>
      </c>
      <c r="S342">
        <f>IFERROR(INDEX(PP_Grid[#Data],$DD342,17),0)</f>
        <v/>
      </c>
      <c r="T342">
        <f>IFERROR(INDEX(PP_Grid[#Data],$DD342,18),0)</f>
        <v/>
      </c>
      <c r="U342">
        <f>IFERROR(INDEX(PP_Grid[#Data],$DD342,19),0)</f>
        <v/>
      </c>
      <c r="V342">
        <f>IFERROR(INDEX(PP_Grid[#Data],$DD342,20),0)</f>
        <v/>
      </c>
      <c r="W342">
        <f>IFERROR(INDEX(PP_Grid[#Data],$DD342,21),0)</f>
        <v/>
      </c>
      <c r="X342">
        <f>IFERROR(INDEX(PP_Grid[#Data],$DD342,22),0)</f>
        <v/>
      </c>
      <c r="Y342">
        <f>IFERROR(INDEX(PP_Grid[#Data],$DD342,23),0)</f>
        <v/>
      </c>
      <c r="Z342">
        <f>IFERROR(INDEX(PP_Grid[#Data],$DD342,24),0)</f>
        <v/>
      </c>
      <c r="AA342">
        <f>IFERROR(INDEX(PP_Grid[#Data],$DD342,25),0)</f>
        <v/>
      </c>
      <c r="AB342">
        <f>IFERROR(INDEX(PP_Grid[#Data],$DD342,26),0)</f>
        <v/>
      </c>
      <c r="AC342">
        <f>IFERROR(INDEX(PP_Grid[#Data],$DD342,27),0)</f>
        <v/>
      </c>
      <c r="AD342">
        <f>IFERROR(INDEX(PP_Grid[#Data],$DD342,28),0)</f>
        <v/>
      </c>
      <c r="AE342">
        <f>IFERROR(INDEX(PP_Grid[#Data],$DD342,29),0)</f>
        <v/>
      </c>
      <c r="AF342">
        <f>IFERROR(INDEX(PP_Grid[#Data],$DD342,30),0)</f>
        <v/>
      </c>
      <c r="AG342">
        <f>IFERROR(INDEX(PP_Grid[#Data],$DD342,31),0)</f>
        <v/>
      </c>
      <c r="AH342">
        <f>IFERROR(INDEX(PP_Grid[#Data],$DD342,32),0)</f>
        <v/>
      </c>
      <c r="AI342">
        <f>IFERROR(INDEX(PP_Grid[#Data],$DD342,33),0)</f>
        <v/>
      </c>
      <c r="AJ342">
        <f>IFERROR(INDEX(PP_Grid[#Data],$DD342,34),0)</f>
        <v/>
      </c>
      <c r="AK342">
        <f>IFERROR(INDEX(PP_Grid[#Data],$DD342,35),0)</f>
        <v/>
      </c>
      <c r="AL342">
        <f>IFERROR(INDEX(PP_Grid[#Data],$DD342,36),0)</f>
        <v/>
      </c>
      <c r="AM342">
        <f>IFERROR(INDEX(PP_Grid[#Data],$DD342,37),0)</f>
        <v/>
      </c>
      <c r="AN342">
        <f>IFERROR(INDEX(PP_Grid[#Data],$DD342,38),0)</f>
        <v/>
      </c>
      <c r="AO342">
        <f>IFERROR(INDEX(PP_Grid[#Data],$DD342,39),0)</f>
        <v/>
      </c>
      <c r="AP342">
        <f>IFERROR(INDEX(PP_Grid[#Data],$DD342,40),0)</f>
        <v/>
      </c>
      <c r="AQ342">
        <f>IFERROR(INDEX(PP_Grid[#Data],$DD342,41),0)</f>
        <v/>
      </c>
      <c r="AR342">
        <f>IFERROR(INDEX(PP_Grid[#Data],$DD342,42),0)</f>
        <v/>
      </c>
      <c r="AS342">
        <f>IFERROR(INDEX(PP_Grid[#Data],$DD342,43),0)</f>
        <v/>
      </c>
      <c r="AT342">
        <f>IFERROR(INDEX(PP_Grid[#Data],$DD342,44),0)</f>
        <v/>
      </c>
      <c r="AU342">
        <f>IFERROR(INDEX(PP_Grid[#Data],$DD342,45),0)</f>
        <v/>
      </c>
      <c r="AV342">
        <f>IFERROR(INDEX(PP_Grid[#Data],$DD342,46),0)</f>
        <v/>
      </c>
      <c r="AW342">
        <f>IFERROR(INDEX(PP_Grid[#Data],$DD342,47),0)</f>
        <v/>
      </c>
      <c r="AX342">
        <f>IFERROR(INDEX(PP_Grid[#Data],$DD342,48),0)</f>
        <v/>
      </c>
      <c r="AY342">
        <f>IFERROR(INDEX(PP_Grid[#Data],$DD342,49),0)</f>
        <v/>
      </c>
      <c r="AZ342">
        <f>IFERROR(INDEX(PP_Grid[#Data],$DD342,50),0)</f>
        <v/>
      </c>
      <c r="BA342">
        <f>IFERROR(INDEX(PP_Grid[#Data],$DD342,51),0)</f>
        <v/>
      </c>
      <c r="BB342">
        <f>IFERROR(INDEX(PP_Grid[#Data],$DD342,52),0)</f>
        <v/>
      </c>
      <c r="BC342">
        <f>IFERROR(INDEX(PP_Grid[#Data],$DD342,53),0)</f>
        <v/>
      </c>
      <c r="BD342">
        <f>IFERROR(INDEX(PP_Grid[#Data],$DD342,54),0)</f>
        <v/>
      </c>
      <c r="BE342">
        <f>IFERROR(INDEX(PP_Grid[#Data],$DD342,55),0)</f>
        <v/>
      </c>
      <c r="BF342">
        <f>IFERROR(INDEX(PP_Grid[#Data],$DD342,56),0)</f>
        <v/>
      </c>
      <c r="BG342">
        <f>IFERROR(INDEX(PP_Grid[#Data],$DD342,57),0)</f>
        <v/>
      </c>
      <c r="BH342">
        <f>IFERROR(INDEX(PP_Grid[#Data],$DD342,58),0)</f>
        <v/>
      </c>
      <c r="BI342">
        <f>IFERROR(INDEX(PP_Grid[#Data],$DD342,59),0)</f>
        <v/>
      </c>
      <c r="BJ342">
        <f>IFERROR(INDEX(PP_Grid[#Data],$DD342,60),0)</f>
        <v/>
      </c>
      <c r="BK342">
        <f>IFERROR(INDEX(PP_Grid[#Data],$DD342,61),0)</f>
        <v/>
      </c>
      <c r="BL342">
        <f>IFERROR(INDEX(PP_Grid[#Data],$DD342,62),0)</f>
        <v/>
      </c>
      <c r="BM342">
        <f>IFERROR(INDEX(PP_Grid[#Data],$DD342,63),0)</f>
        <v/>
      </c>
      <c r="BN342">
        <f>IFERROR(INDEX(PP_Grid[#Data],$DD342,64),0)</f>
        <v/>
      </c>
      <c r="BO342">
        <f>IFERROR(INDEX(PP_Grid[#Data],$DD342,65),0)</f>
        <v/>
      </c>
      <c r="BP342">
        <f>IFERROR(INDEX(PP_Grid[#Data],$DD342,66),0)</f>
        <v/>
      </c>
      <c r="BQ342">
        <f>IFERROR(INDEX(PP_Grid[#Data],$DD342,67),0)</f>
        <v/>
      </c>
      <c r="BR342">
        <f>IFERROR(INDEX(PP_Grid[#Data],$DD342,68),0)</f>
        <v/>
      </c>
      <c r="BS342">
        <f>IFERROR(INDEX(PP_Grid[#Data],$DD342,69),0)</f>
        <v/>
      </c>
      <c r="BT342">
        <f>IFERROR(INDEX(PP_Grid[#Data],$DD342,70),0)</f>
        <v/>
      </c>
      <c r="BU342">
        <f>IFERROR(INDEX(PP_Grid[#Data],$DD342,71),0)</f>
        <v/>
      </c>
      <c r="BV342">
        <f>IFERROR(INDEX(PP_Grid[#Data],$DD342,72),0)</f>
        <v/>
      </c>
      <c r="BW342">
        <f>IFERROR(INDEX(PP_Grid[#Data],$DD342,73),0)</f>
        <v/>
      </c>
      <c r="BX342">
        <f>IFERROR(INDEX(PP_Grid[#Data],$DD342,74),0)</f>
        <v/>
      </c>
      <c r="BY342">
        <f>IFERROR(INDEX(PP_Grid[#Data],$DD342,75),0)</f>
        <v/>
      </c>
      <c r="BZ342">
        <f>IFERROR(INDEX(PP_Grid[#Data],$DD342,76),0)</f>
        <v/>
      </c>
      <c r="CA342">
        <f>IFERROR(INDEX(PP_Grid[#Data],$DD342,77),0)</f>
        <v/>
      </c>
      <c r="CB342">
        <f>IFERROR(INDEX(PP_Grid[#Data],$DD342,78),0)</f>
        <v/>
      </c>
      <c r="CC342">
        <f>IFERROR(INDEX(PP_Grid[#Data],$DD342,79),0)</f>
        <v/>
      </c>
      <c r="CD342">
        <f>IFERROR(INDEX(PP_Grid[#Data],$DD342,80),0)</f>
        <v/>
      </c>
      <c r="CE342">
        <f>IFERROR(INDEX(PP_Grid[#Data],$DD342,81),0)</f>
        <v/>
      </c>
      <c r="CF342">
        <f>IFERROR(INDEX(PP_Grid[#Data],$DD342,82),0)</f>
        <v/>
      </c>
      <c r="CG342">
        <f>IFERROR(INDEX(PP_Grid[#Data],$DD342,83),0)</f>
        <v/>
      </c>
      <c r="CH342">
        <f>IFERROR(INDEX(PP_Grid[#Data],$DD342,84),0)</f>
        <v/>
      </c>
      <c r="CI342">
        <f>IFERROR(INDEX(PP_Grid[#Data],$DD342,85),0)</f>
        <v/>
      </c>
      <c r="CJ342">
        <f>IFERROR(INDEX(PP_Grid[#Data],$DD342,86),0)</f>
        <v/>
      </c>
      <c r="CK342">
        <f>IFERROR(INDEX(PP_Grid[#Data],$DD342,87),0)</f>
        <v/>
      </c>
      <c r="CL342">
        <f>IFERROR(INDEX(PP_Grid[#Data],$DD342,88),0)</f>
        <v/>
      </c>
      <c r="CM342">
        <f>IFERROR(INDEX(PP_Grid[#Data],$DD342,89),0)</f>
        <v/>
      </c>
      <c r="CN342">
        <f>IFERROR(INDEX(PP_Grid[#Data],$DD342,90),0)</f>
        <v/>
      </c>
      <c r="CO342">
        <f>IFERROR(INDEX(PP_Grid[#Data],$DD342,91),0)</f>
        <v/>
      </c>
      <c r="CP342">
        <f>IFERROR(INDEX(PP_Grid[#Data],$DD342,92),0)</f>
        <v/>
      </c>
      <c r="CQ342">
        <f>IFERROR(INDEX(PP_Grid[#Data],$DD342,93),0)</f>
        <v/>
      </c>
      <c r="CR342">
        <f>IFERROR(INDEX(PP_Grid[#Data],$DD342,94),0)</f>
        <v/>
      </c>
      <c r="CS342">
        <f>IFERROR(INDEX(PP_Grid[#Data],$DD342,95),0)</f>
        <v/>
      </c>
      <c r="CT342">
        <f>IFERROR(INDEX(PP_Grid[#Data],$DD342,96),0)</f>
        <v/>
      </c>
      <c r="CU342">
        <f>IFERROR(INDEX(PP_Grid[#Data],$DD342,97),0)</f>
        <v/>
      </c>
      <c r="CV342">
        <f>IFERROR(INDEX(PP_Grid[#Data],$DD342,98),0)</f>
        <v/>
      </c>
      <c r="CW342">
        <f>IFERROR(INDEX(PP_Grid[#Data],$DD342,99),0)</f>
        <v/>
      </c>
      <c r="CX342">
        <f>IFERROR(INDEX(PP_Grid[#Data],$DD342,100),0)</f>
        <v/>
      </c>
      <c r="CY342">
        <f>IFERROR(INDEX(PP_Grid[#Data],$DD342,101),0)</f>
        <v/>
      </c>
      <c r="CZ342">
        <f>IFERROR(INDEX(PP_Grid[#Data],$DD342,102),0)</f>
        <v/>
      </c>
      <c r="DA342">
        <f>IFERROR(INDEX(PP_Grid[#Data],$DD342,103),0)</f>
        <v/>
      </c>
      <c r="DB342">
        <f>IFERROR(INDEX(PP_Grid[#Data],$DD342,104),0)</f>
        <v/>
      </c>
      <c r="DC342">
        <f>IFERROR(INDEX(PP_Grid[#Data],$DD342,105),0)</f>
        <v/>
      </c>
      <c r="DD342" s="12">
        <f>IFERROR(MATCH($B342,PP_Grid[Intermediate],0),99999)</f>
        <v/>
      </c>
    </row>
    <row r="343">
      <c r="B343" t="inlineStr">
        <is>
          <t>使用量(kg)</t>
        </is>
      </c>
      <c r="C343">
        <f>SUMIFS(M_BOM[RM_Qty_Per_Batch],M_BOM[Intermediate],$B342,M_BOM[Part Name],$A323)</f>
        <v/>
      </c>
      <c r="D343">
        <f>$C343*D342</f>
        <v/>
      </c>
      <c r="E343">
        <f>$C343*E342</f>
        <v/>
      </c>
      <c r="F343">
        <f>$C343*F342</f>
        <v/>
      </c>
      <c r="G343">
        <f>$C343*G342</f>
        <v/>
      </c>
      <c r="H343">
        <f>$C343*H342</f>
        <v/>
      </c>
      <c r="I343">
        <f>$C343*I342</f>
        <v/>
      </c>
      <c r="J343">
        <f>$C343*J342</f>
        <v/>
      </c>
      <c r="K343">
        <f>$C343*K342</f>
        <v/>
      </c>
      <c r="L343">
        <f>$C343*L342</f>
        <v/>
      </c>
      <c r="M343">
        <f>$C343*M342</f>
        <v/>
      </c>
      <c r="N343">
        <f>$C343*N342</f>
        <v/>
      </c>
      <c r="O343">
        <f>$C343*O342</f>
        <v/>
      </c>
      <c r="P343">
        <f>$C343*P342</f>
        <v/>
      </c>
      <c r="Q343">
        <f>$C343*Q342</f>
        <v/>
      </c>
      <c r="R343">
        <f>$C343*R342</f>
        <v/>
      </c>
      <c r="S343">
        <f>$C343*S342</f>
        <v/>
      </c>
      <c r="T343">
        <f>$C343*T342</f>
        <v/>
      </c>
      <c r="U343">
        <f>$C343*U342</f>
        <v/>
      </c>
      <c r="V343">
        <f>$C343*V342</f>
        <v/>
      </c>
      <c r="W343">
        <f>$C343*W342</f>
        <v/>
      </c>
      <c r="X343">
        <f>$C343*X342</f>
        <v/>
      </c>
      <c r="Y343">
        <f>$C343*Y342</f>
        <v/>
      </c>
      <c r="Z343">
        <f>$C343*Z342</f>
        <v/>
      </c>
      <c r="AA343">
        <f>$C343*AA342</f>
        <v/>
      </c>
      <c r="AB343">
        <f>$C343*AB342</f>
        <v/>
      </c>
      <c r="AC343">
        <f>$C343*AC342</f>
        <v/>
      </c>
      <c r="AD343">
        <f>$C343*AD342</f>
        <v/>
      </c>
      <c r="AE343">
        <f>$C343*AE342</f>
        <v/>
      </c>
      <c r="AF343">
        <f>$C343*AF342</f>
        <v/>
      </c>
      <c r="AG343">
        <f>$C343*AG342</f>
        <v/>
      </c>
      <c r="AH343">
        <f>$C343*AH342</f>
        <v/>
      </c>
      <c r="AI343">
        <f>$C343*AI342</f>
        <v/>
      </c>
      <c r="AJ343">
        <f>$C343*AJ342</f>
        <v/>
      </c>
      <c r="AK343">
        <f>$C343*AK342</f>
        <v/>
      </c>
      <c r="AL343">
        <f>$C343*AL342</f>
        <v/>
      </c>
      <c r="AM343">
        <f>$C343*AM342</f>
        <v/>
      </c>
      <c r="AN343">
        <f>$C343*AN342</f>
        <v/>
      </c>
      <c r="AO343">
        <f>$C343*AO342</f>
        <v/>
      </c>
      <c r="AP343">
        <f>$C343*AP342</f>
        <v/>
      </c>
      <c r="AQ343">
        <f>$C343*AQ342</f>
        <v/>
      </c>
      <c r="AR343">
        <f>$C343*AR342</f>
        <v/>
      </c>
      <c r="AS343">
        <f>$C343*AS342</f>
        <v/>
      </c>
      <c r="AT343">
        <f>$C343*AT342</f>
        <v/>
      </c>
      <c r="AU343">
        <f>$C343*AU342</f>
        <v/>
      </c>
      <c r="AV343">
        <f>$C343*AV342</f>
        <v/>
      </c>
      <c r="AW343">
        <f>$C343*AW342</f>
        <v/>
      </c>
      <c r="AX343">
        <f>$C343*AX342</f>
        <v/>
      </c>
      <c r="AY343">
        <f>$C343*AY342</f>
        <v/>
      </c>
      <c r="AZ343">
        <f>$C343*AZ342</f>
        <v/>
      </c>
      <c r="BA343">
        <f>$C343*BA342</f>
        <v/>
      </c>
      <c r="BB343">
        <f>$C343*BB342</f>
        <v/>
      </c>
      <c r="BC343">
        <f>$C343*BC342</f>
        <v/>
      </c>
      <c r="BD343">
        <f>$C343*BD342</f>
        <v/>
      </c>
      <c r="BE343">
        <f>$C343*BE342</f>
        <v/>
      </c>
      <c r="BF343">
        <f>$C343*BF342</f>
        <v/>
      </c>
      <c r="BG343">
        <f>$C343*BG342</f>
        <v/>
      </c>
      <c r="BH343">
        <f>$C343*BH342</f>
        <v/>
      </c>
      <c r="BI343">
        <f>$C343*BI342</f>
        <v/>
      </c>
      <c r="BJ343">
        <f>$C343*BJ342</f>
        <v/>
      </c>
      <c r="BK343">
        <f>$C343*BK342</f>
        <v/>
      </c>
      <c r="BL343">
        <f>$C343*BL342</f>
        <v/>
      </c>
      <c r="BM343">
        <f>$C343*BM342</f>
        <v/>
      </c>
      <c r="BN343">
        <f>$C343*BN342</f>
        <v/>
      </c>
      <c r="BO343">
        <f>$C343*BO342</f>
        <v/>
      </c>
      <c r="BP343">
        <f>$C343*BP342</f>
        <v/>
      </c>
      <c r="BQ343">
        <f>$C343*BQ342</f>
        <v/>
      </c>
      <c r="BR343">
        <f>$C343*BR342</f>
        <v/>
      </c>
      <c r="BS343">
        <f>$C343*BS342</f>
        <v/>
      </c>
      <c r="BT343">
        <f>$C343*BT342</f>
        <v/>
      </c>
      <c r="BU343">
        <f>$C343*BU342</f>
        <v/>
      </c>
      <c r="BV343">
        <f>$C343*BV342</f>
        <v/>
      </c>
      <c r="BW343">
        <f>$C343*BW342</f>
        <v/>
      </c>
      <c r="BX343">
        <f>$C343*BX342</f>
        <v/>
      </c>
      <c r="BY343">
        <f>$C343*BY342</f>
        <v/>
      </c>
      <c r="BZ343">
        <f>$C343*BZ342</f>
        <v/>
      </c>
      <c r="CA343">
        <f>$C343*CA342</f>
        <v/>
      </c>
      <c r="CB343">
        <f>$C343*CB342</f>
        <v/>
      </c>
      <c r="CC343">
        <f>$C343*CC342</f>
        <v/>
      </c>
      <c r="CD343">
        <f>$C343*CD342</f>
        <v/>
      </c>
      <c r="CE343">
        <f>$C343*CE342</f>
        <v/>
      </c>
      <c r="CF343">
        <f>$C343*CF342</f>
        <v/>
      </c>
      <c r="CG343">
        <f>$C343*CG342</f>
        <v/>
      </c>
      <c r="CH343">
        <f>$C343*CH342</f>
        <v/>
      </c>
      <c r="CI343">
        <f>$C343*CI342</f>
        <v/>
      </c>
      <c r="CJ343">
        <f>$C343*CJ342</f>
        <v/>
      </c>
      <c r="CK343">
        <f>$C343*CK342</f>
        <v/>
      </c>
      <c r="CL343">
        <f>$C343*CL342</f>
        <v/>
      </c>
      <c r="CM343">
        <f>$C343*CM342</f>
        <v/>
      </c>
      <c r="CN343">
        <f>$C343*CN342</f>
        <v/>
      </c>
      <c r="CO343">
        <f>$C343*CO342</f>
        <v/>
      </c>
      <c r="CP343">
        <f>$C343*CP342</f>
        <v/>
      </c>
      <c r="CQ343">
        <f>$C343*CQ342</f>
        <v/>
      </c>
      <c r="CR343">
        <f>$C343*CR342</f>
        <v/>
      </c>
      <c r="CS343">
        <f>$C343*CS342</f>
        <v/>
      </c>
      <c r="CT343">
        <f>$C343*CT342</f>
        <v/>
      </c>
      <c r="CU343">
        <f>$C343*CU342</f>
        <v/>
      </c>
      <c r="CV343">
        <f>$C343*CV342</f>
        <v/>
      </c>
      <c r="CW343">
        <f>$C343*CW342</f>
        <v/>
      </c>
      <c r="CX343">
        <f>$C343*CX342</f>
        <v/>
      </c>
      <c r="CY343">
        <f>$C343*CY342</f>
        <v/>
      </c>
      <c r="CZ343">
        <f>$C343*CZ342</f>
        <v/>
      </c>
      <c r="DA343">
        <f>$C343*DA342</f>
        <v/>
      </c>
      <c r="DB343">
        <f>$C343*DB342</f>
        <v/>
      </c>
      <c r="DC343">
        <f>$C343*DC342</f>
        <v/>
      </c>
    </row>
    <row r="344">
      <c r="B344" s="5" t="inlineStr">
        <is>
          <t>合計使用量(kg)/週</t>
        </is>
      </c>
      <c r="D344">
        <f>'Grid_Requirement'!B28</f>
        <v/>
      </c>
      <c r="E344">
        <f>'Grid_Requirement'!C28</f>
        <v/>
      </c>
      <c r="F344">
        <f>'Grid_Requirement'!D28</f>
        <v/>
      </c>
      <c r="G344">
        <f>'Grid_Requirement'!E28</f>
        <v/>
      </c>
      <c r="H344">
        <f>'Grid_Requirement'!F28</f>
        <v/>
      </c>
      <c r="I344">
        <f>'Grid_Requirement'!G28</f>
        <v/>
      </c>
      <c r="J344">
        <f>'Grid_Requirement'!H28</f>
        <v/>
      </c>
      <c r="K344">
        <f>'Grid_Requirement'!I28</f>
        <v/>
      </c>
      <c r="L344">
        <f>'Grid_Requirement'!J28</f>
        <v/>
      </c>
      <c r="M344">
        <f>'Grid_Requirement'!K28</f>
        <v/>
      </c>
      <c r="N344">
        <f>'Grid_Requirement'!L28</f>
        <v/>
      </c>
      <c r="O344">
        <f>'Grid_Requirement'!M28</f>
        <v/>
      </c>
      <c r="P344">
        <f>'Grid_Requirement'!N28</f>
        <v/>
      </c>
      <c r="Q344">
        <f>'Grid_Requirement'!O28</f>
        <v/>
      </c>
      <c r="R344">
        <f>'Grid_Requirement'!P28</f>
        <v/>
      </c>
      <c r="S344">
        <f>'Grid_Requirement'!Q28</f>
        <v/>
      </c>
      <c r="T344">
        <f>'Grid_Requirement'!R28</f>
        <v/>
      </c>
      <c r="U344">
        <f>'Grid_Requirement'!S28</f>
        <v/>
      </c>
      <c r="V344">
        <f>'Grid_Requirement'!T28</f>
        <v/>
      </c>
      <c r="W344">
        <f>'Grid_Requirement'!U28</f>
        <v/>
      </c>
      <c r="X344">
        <f>'Grid_Requirement'!V28</f>
        <v/>
      </c>
      <c r="Y344">
        <f>'Grid_Requirement'!W28</f>
        <v/>
      </c>
      <c r="Z344">
        <f>'Grid_Requirement'!X28</f>
        <v/>
      </c>
      <c r="AA344">
        <f>'Grid_Requirement'!Y28</f>
        <v/>
      </c>
      <c r="AB344">
        <f>'Grid_Requirement'!Z28</f>
        <v/>
      </c>
      <c r="AC344">
        <f>'Grid_Requirement'!AA28</f>
        <v/>
      </c>
      <c r="AD344">
        <f>'Grid_Requirement'!AB28</f>
        <v/>
      </c>
      <c r="AE344">
        <f>'Grid_Requirement'!AC28</f>
        <v/>
      </c>
      <c r="AF344">
        <f>'Grid_Requirement'!AD28</f>
        <v/>
      </c>
      <c r="AG344">
        <f>'Grid_Requirement'!AE28</f>
        <v/>
      </c>
      <c r="AH344">
        <f>'Grid_Requirement'!AF28</f>
        <v/>
      </c>
      <c r="AI344">
        <f>'Grid_Requirement'!AG28</f>
        <v/>
      </c>
      <c r="AJ344">
        <f>'Grid_Requirement'!AH28</f>
        <v/>
      </c>
      <c r="AK344">
        <f>'Grid_Requirement'!AI28</f>
        <v/>
      </c>
      <c r="AL344">
        <f>'Grid_Requirement'!AJ28</f>
        <v/>
      </c>
      <c r="AM344">
        <f>'Grid_Requirement'!AK28</f>
        <v/>
      </c>
      <c r="AN344">
        <f>'Grid_Requirement'!AL28</f>
        <v/>
      </c>
      <c r="AO344">
        <f>'Grid_Requirement'!AM28</f>
        <v/>
      </c>
      <c r="AP344">
        <f>'Grid_Requirement'!AN28</f>
        <v/>
      </c>
      <c r="AQ344">
        <f>'Grid_Requirement'!AO28</f>
        <v/>
      </c>
      <c r="AR344">
        <f>'Grid_Requirement'!AP28</f>
        <v/>
      </c>
      <c r="AS344">
        <f>'Grid_Requirement'!AQ28</f>
        <v/>
      </c>
      <c r="AT344">
        <f>'Grid_Requirement'!AR28</f>
        <v/>
      </c>
      <c r="AU344">
        <f>'Grid_Requirement'!AS28</f>
        <v/>
      </c>
      <c r="AV344">
        <f>'Grid_Requirement'!AT28</f>
        <v/>
      </c>
      <c r="AW344">
        <f>'Grid_Requirement'!AU28</f>
        <v/>
      </c>
      <c r="AX344">
        <f>'Grid_Requirement'!AV28</f>
        <v/>
      </c>
      <c r="AY344">
        <f>'Grid_Requirement'!AW28</f>
        <v/>
      </c>
      <c r="AZ344">
        <f>'Grid_Requirement'!AX28</f>
        <v/>
      </c>
      <c r="BA344">
        <f>'Grid_Requirement'!AY28</f>
        <v/>
      </c>
      <c r="BB344">
        <f>'Grid_Requirement'!AZ28</f>
        <v/>
      </c>
      <c r="BC344">
        <f>'Grid_Requirement'!BA28</f>
        <v/>
      </c>
      <c r="BD344">
        <f>'Grid_Requirement'!BB28</f>
        <v/>
      </c>
      <c r="BE344">
        <f>'Grid_Requirement'!BC28</f>
        <v/>
      </c>
      <c r="BF344">
        <f>'Grid_Requirement'!BD28</f>
        <v/>
      </c>
      <c r="BG344">
        <f>'Grid_Requirement'!BE28</f>
        <v/>
      </c>
      <c r="BH344">
        <f>'Grid_Requirement'!BF28</f>
        <v/>
      </c>
      <c r="BI344">
        <f>'Grid_Requirement'!BG28</f>
        <v/>
      </c>
      <c r="BJ344">
        <f>'Grid_Requirement'!BH28</f>
        <v/>
      </c>
      <c r="BK344">
        <f>'Grid_Requirement'!BI28</f>
        <v/>
      </c>
      <c r="BL344">
        <f>'Grid_Requirement'!BJ28</f>
        <v/>
      </c>
      <c r="BM344">
        <f>'Grid_Requirement'!BK28</f>
        <v/>
      </c>
      <c r="BN344">
        <f>'Grid_Requirement'!BL28</f>
        <v/>
      </c>
      <c r="BO344">
        <f>'Grid_Requirement'!BM28</f>
        <v/>
      </c>
      <c r="BP344">
        <f>'Grid_Requirement'!BN28</f>
        <v/>
      </c>
      <c r="BQ344">
        <f>'Grid_Requirement'!BO28</f>
        <v/>
      </c>
      <c r="BR344">
        <f>'Grid_Requirement'!BP28</f>
        <v/>
      </c>
      <c r="BS344">
        <f>'Grid_Requirement'!BQ28</f>
        <v/>
      </c>
      <c r="BT344">
        <f>'Grid_Requirement'!BR28</f>
        <v/>
      </c>
      <c r="BU344">
        <f>'Grid_Requirement'!BS28</f>
        <v/>
      </c>
      <c r="BV344">
        <f>'Grid_Requirement'!BT28</f>
        <v/>
      </c>
      <c r="BW344">
        <f>'Grid_Requirement'!BU28</f>
        <v/>
      </c>
      <c r="BX344">
        <f>'Grid_Requirement'!BV28</f>
        <v/>
      </c>
      <c r="BY344">
        <f>'Grid_Requirement'!BW28</f>
        <v/>
      </c>
      <c r="BZ344">
        <f>'Grid_Requirement'!BX28</f>
        <v/>
      </c>
      <c r="CA344">
        <f>'Grid_Requirement'!BY28</f>
        <v/>
      </c>
      <c r="CB344">
        <f>'Grid_Requirement'!BZ28</f>
        <v/>
      </c>
      <c r="CC344">
        <f>'Grid_Requirement'!CA28</f>
        <v/>
      </c>
      <c r="CD344">
        <f>'Grid_Requirement'!CB28</f>
        <v/>
      </c>
      <c r="CE344">
        <f>'Grid_Requirement'!CC28</f>
        <v/>
      </c>
      <c r="CF344">
        <f>'Grid_Requirement'!CD28</f>
        <v/>
      </c>
      <c r="CG344">
        <f>'Grid_Requirement'!CE28</f>
        <v/>
      </c>
      <c r="CH344">
        <f>'Grid_Requirement'!CF28</f>
        <v/>
      </c>
      <c r="CI344">
        <f>'Grid_Requirement'!CG28</f>
        <v/>
      </c>
      <c r="CJ344">
        <f>'Grid_Requirement'!CH28</f>
        <v/>
      </c>
      <c r="CK344">
        <f>'Grid_Requirement'!CI28</f>
        <v/>
      </c>
      <c r="CL344">
        <f>'Grid_Requirement'!CJ28</f>
        <v/>
      </c>
      <c r="CM344">
        <f>'Grid_Requirement'!CK28</f>
        <v/>
      </c>
      <c r="CN344">
        <f>'Grid_Requirement'!CL28</f>
        <v/>
      </c>
      <c r="CO344">
        <f>'Grid_Requirement'!CM28</f>
        <v/>
      </c>
      <c r="CP344">
        <f>'Grid_Requirement'!CN28</f>
        <v/>
      </c>
      <c r="CQ344">
        <f>'Grid_Requirement'!CO28</f>
        <v/>
      </c>
      <c r="CR344">
        <f>'Grid_Requirement'!CP28</f>
        <v/>
      </c>
      <c r="CS344">
        <f>'Grid_Requirement'!CQ28</f>
        <v/>
      </c>
      <c r="CT344">
        <f>'Grid_Requirement'!CR28</f>
        <v/>
      </c>
      <c r="CU344">
        <f>'Grid_Requirement'!CS28</f>
        <v/>
      </c>
      <c r="CV344">
        <f>'Grid_Requirement'!CT28</f>
        <v/>
      </c>
      <c r="CW344">
        <f>'Grid_Requirement'!CU28</f>
        <v/>
      </c>
      <c r="CX344">
        <f>'Grid_Requirement'!CV28</f>
        <v/>
      </c>
      <c r="CY344">
        <f>'Grid_Requirement'!CW28</f>
        <v/>
      </c>
      <c r="CZ344">
        <f>'Grid_Requirement'!CX28</f>
        <v/>
      </c>
      <c r="DA344">
        <f>'Grid_Requirement'!CY28</f>
        <v/>
      </c>
      <c r="DB344">
        <f>'Grid_Requirement'!CZ28</f>
        <v/>
      </c>
      <c r="DC344">
        <f>'Grid_Requirement'!DA28</f>
        <v/>
      </c>
    </row>
    <row r="345">
      <c r="B345" t="inlineStr">
        <is>
          <t>TTAF在庫(実績,kg)</t>
        </is>
      </c>
      <c r="D345">
        <f>'T_TTAFStock'!B32</f>
        <v/>
      </c>
      <c r="E345">
        <f>'T_TTAFStock'!C32</f>
        <v/>
      </c>
      <c r="F345">
        <f>'T_TTAFStock'!D32</f>
        <v/>
      </c>
      <c r="G345">
        <f>'T_TTAFStock'!E32</f>
        <v/>
      </c>
      <c r="H345">
        <f>'T_TTAFStock'!F32</f>
        <v/>
      </c>
      <c r="I345">
        <f>'T_TTAFStock'!G32</f>
        <v/>
      </c>
      <c r="J345">
        <f>'T_TTAFStock'!H32</f>
        <v/>
      </c>
      <c r="K345">
        <f>'T_TTAFStock'!I32</f>
        <v/>
      </c>
      <c r="L345">
        <f>'T_TTAFStock'!J32</f>
        <v/>
      </c>
      <c r="M345">
        <f>'T_TTAFStock'!K32</f>
        <v/>
      </c>
      <c r="N345">
        <f>'T_TTAFStock'!L32</f>
        <v/>
      </c>
      <c r="O345">
        <f>'T_TTAFStock'!M32</f>
        <v/>
      </c>
      <c r="P345">
        <f>'T_TTAFStock'!N32</f>
        <v/>
      </c>
      <c r="Q345">
        <f>'T_TTAFStock'!O32</f>
        <v/>
      </c>
      <c r="R345">
        <f>'T_TTAFStock'!P32</f>
        <v/>
      </c>
      <c r="S345">
        <f>'T_TTAFStock'!Q32</f>
        <v/>
      </c>
      <c r="T345">
        <f>'T_TTAFStock'!R32</f>
        <v/>
      </c>
      <c r="U345">
        <f>'T_TTAFStock'!S32</f>
        <v/>
      </c>
      <c r="V345">
        <f>'T_TTAFStock'!T32</f>
        <v/>
      </c>
      <c r="W345">
        <f>'T_TTAFStock'!U32</f>
        <v/>
      </c>
      <c r="X345">
        <f>'T_TTAFStock'!V32</f>
        <v/>
      </c>
      <c r="Y345">
        <f>'T_TTAFStock'!W32</f>
        <v/>
      </c>
      <c r="Z345">
        <f>'T_TTAFStock'!X32</f>
        <v/>
      </c>
      <c r="AA345">
        <f>'T_TTAFStock'!Y32</f>
        <v/>
      </c>
      <c r="AB345">
        <f>'T_TTAFStock'!Z32</f>
        <v/>
      </c>
      <c r="AC345">
        <f>'T_TTAFStock'!AA32</f>
        <v/>
      </c>
      <c r="AD345">
        <f>'T_TTAFStock'!AB32</f>
        <v/>
      </c>
      <c r="AE345">
        <f>'T_TTAFStock'!AC32</f>
        <v/>
      </c>
      <c r="AF345">
        <f>'T_TTAFStock'!AD32</f>
        <v/>
      </c>
      <c r="AG345">
        <f>'T_TTAFStock'!AE32</f>
        <v/>
      </c>
      <c r="AH345">
        <f>'T_TTAFStock'!AF32</f>
        <v/>
      </c>
      <c r="AI345">
        <f>'T_TTAFStock'!AG32</f>
        <v/>
      </c>
      <c r="AJ345">
        <f>'T_TTAFStock'!AH32</f>
        <v/>
      </c>
      <c r="AK345">
        <f>'T_TTAFStock'!AI32</f>
        <v/>
      </c>
      <c r="AL345">
        <f>'T_TTAFStock'!AJ32</f>
        <v/>
      </c>
      <c r="AM345">
        <f>'T_TTAFStock'!AK32</f>
        <v/>
      </c>
      <c r="AN345">
        <f>'T_TTAFStock'!AL32</f>
        <v/>
      </c>
      <c r="AO345">
        <f>'T_TTAFStock'!AM32</f>
        <v/>
      </c>
      <c r="AP345">
        <f>'T_TTAFStock'!AN32</f>
        <v/>
      </c>
      <c r="AQ345">
        <f>'T_TTAFStock'!AO32</f>
        <v/>
      </c>
      <c r="AR345">
        <f>'T_TTAFStock'!AP32</f>
        <v/>
      </c>
      <c r="AS345">
        <f>'T_TTAFStock'!AQ32</f>
        <v/>
      </c>
      <c r="AT345">
        <f>'T_TTAFStock'!AR32</f>
        <v/>
      </c>
      <c r="AU345">
        <f>'T_TTAFStock'!AS32</f>
        <v/>
      </c>
      <c r="AV345">
        <f>'T_TTAFStock'!AT32</f>
        <v/>
      </c>
      <c r="AW345">
        <f>'T_TTAFStock'!AU32</f>
        <v/>
      </c>
      <c r="AX345">
        <f>'T_TTAFStock'!AV32</f>
        <v/>
      </c>
      <c r="AY345">
        <f>'T_TTAFStock'!AW32</f>
        <v/>
      </c>
      <c r="AZ345">
        <f>'T_TTAFStock'!AX32</f>
        <v/>
      </c>
      <c r="BA345">
        <f>'T_TTAFStock'!AY32</f>
        <v/>
      </c>
      <c r="BB345">
        <f>'T_TTAFStock'!AZ32</f>
        <v/>
      </c>
      <c r="BC345">
        <f>'T_TTAFStock'!BA32</f>
        <v/>
      </c>
      <c r="BD345">
        <f>'T_TTAFStock'!BB32</f>
        <v/>
      </c>
      <c r="BE345">
        <f>'T_TTAFStock'!BC32</f>
        <v/>
      </c>
      <c r="BF345">
        <f>'T_TTAFStock'!BD32</f>
        <v/>
      </c>
      <c r="BG345">
        <f>'T_TTAFStock'!BE32</f>
        <v/>
      </c>
      <c r="BH345">
        <f>'T_TTAFStock'!BF32</f>
        <v/>
      </c>
      <c r="BI345">
        <f>'T_TTAFStock'!BG32</f>
        <v/>
      </c>
      <c r="BJ345">
        <f>'T_TTAFStock'!BH32</f>
        <v/>
      </c>
      <c r="BK345">
        <f>'T_TTAFStock'!BI32</f>
        <v/>
      </c>
      <c r="BL345">
        <f>'T_TTAFStock'!BJ32</f>
        <v/>
      </c>
      <c r="BM345">
        <f>'T_TTAFStock'!BK32</f>
        <v/>
      </c>
      <c r="BN345">
        <f>'T_TTAFStock'!BL32</f>
        <v/>
      </c>
      <c r="BO345">
        <f>'T_TTAFStock'!BM32</f>
        <v/>
      </c>
      <c r="BP345">
        <f>'T_TTAFStock'!BN32</f>
        <v/>
      </c>
      <c r="BQ345">
        <f>'T_TTAFStock'!BO32</f>
        <v/>
      </c>
      <c r="BR345">
        <f>'T_TTAFStock'!BP32</f>
        <v/>
      </c>
      <c r="BS345">
        <f>'T_TTAFStock'!BQ32</f>
        <v/>
      </c>
      <c r="BT345">
        <f>'T_TTAFStock'!BR32</f>
        <v/>
      </c>
      <c r="BU345">
        <f>'T_TTAFStock'!BS32</f>
        <v/>
      </c>
      <c r="BV345">
        <f>'T_TTAFStock'!BT32</f>
        <v/>
      </c>
      <c r="BW345">
        <f>'T_TTAFStock'!BU32</f>
        <v/>
      </c>
      <c r="BX345">
        <f>'T_TTAFStock'!BV32</f>
        <v/>
      </c>
      <c r="BY345">
        <f>'T_TTAFStock'!BW32</f>
        <v/>
      </c>
      <c r="BZ345">
        <f>'T_TTAFStock'!BX32</f>
        <v/>
      </c>
      <c r="CA345">
        <f>'T_TTAFStock'!BY32</f>
        <v/>
      </c>
      <c r="CB345">
        <f>'T_TTAFStock'!BZ32</f>
        <v/>
      </c>
      <c r="CC345">
        <f>'T_TTAFStock'!CA32</f>
        <v/>
      </c>
      <c r="CD345">
        <f>'T_TTAFStock'!CB32</f>
        <v/>
      </c>
      <c r="CE345">
        <f>'T_TTAFStock'!CC32</f>
        <v/>
      </c>
      <c r="CF345">
        <f>'T_TTAFStock'!CD32</f>
        <v/>
      </c>
      <c r="CG345">
        <f>'T_TTAFStock'!CE32</f>
        <v/>
      </c>
      <c r="CH345">
        <f>'T_TTAFStock'!CF32</f>
        <v/>
      </c>
      <c r="CI345">
        <f>'T_TTAFStock'!CG32</f>
        <v/>
      </c>
      <c r="CJ345">
        <f>'T_TTAFStock'!CH32</f>
        <v/>
      </c>
      <c r="CK345">
        <f>'T_TTAFStock'!CI32</f>
        <v/>
      </c>
      <c r="CL345">
        <f>'T_TTAFStock'!CJ32</f>
        <v/>
      </c>
      <c r="CM345">
        <f>'T_TTAFStock'!CK32</f>
        <v/>
      </c>
      <c r="CN345">
        <f>'T_TTAFStock'!CL32</f>
        <v/>
      </c>
      <c r="CO345">
        <f>'T_TTAFStock'!CM32</f>
        <v/>
      </c>
      <c r="CP345">
        <f>'T_TTAFStock'!CN32</f>
        <v/>
      </c>
      <c r="CQ345">
        <f>'T_TTAFStock'!CO32</f>
        <v/>
      </c>
      <c r="CR345">
        <f>'T_TTAFStock'!CP32</f>
        <v/>
      </c>
      <c r="CS345">
        <f>'T_TTAFStock'!CQ32</f>
        <v/>
      </c>
      <c r="CT345">
        <f>'T_TTAFStock'!CR32</f>
        <v/>
      </c>
      <c r="CU345">
        <f>'T_TTAFStock'!CS32</f>
        <v/>
      </c>
      <c r="CV345">
        <f>'T_TTAFStock'!CT32</f>
        <v/>
      </c>
      <c r="CW345">
        <f>'T_TTAFStock'!CU32</f>
        <v/>
      </c>
      <c r="CX345">
        <f>'T_TTAFStock'!CV32</f>
        <v/>
      </c>
      <c r="CY345">
        <f>'T_TTAFStock'!CW32</f>
        <v/>
      </c>
      <c r="CZ345">
        <f>'T_TTAFStock'!CX32</f>
        <v/>
      </c>
      <c r="DA345">
        <f>'T_TTAFStock'!CY32</f>
        <v/>
      </c>
      <c r="DB345">
        <f>'T_TTAFStock'!CZ32</f>
        <v/>
      </c>
      <c r="DC345">
        <f>'T_TTAFStock'!DA32</f>
        <v/>
      </c>
    </row>
    <row r="346">
      <c r="B346" t="inlineStr">
        <is>
          <t>自社在庫(実績,kg)</t>
        </is>
      </c>
      <c r="D346">
        <f>'T_SelfStock'!B32</f>
        <v/>
      </c>
      <c r="E346">
        <f>'T_SelfStock'!C32</f>
        <v/>
      </c>
      <c r="F346">
        <f>'T_SelfStock'!D32</f>
        <v/>
      </c>
      <c r="G346">
        <f>'T_SelfStock'!E32</f>
        <v/>
      </c>
      <c r="H346">
        <f>'T_SelfStock'!F32</f>
        <v/>
      </c>
      <c r="I346">
        <f>'T_SelfStock'!G32</f>
        <v/>
      </c>
      <c r="J346">
        <f>'T_SelfStock'!H32</f>
        <v/>
      </c>
      <c r="K346">
        <f>'T_SelfStock'!I32</f>
        <v/>
      </c>
      <c r="L346">
        <f>'T_SelfStock'!J32</f>
        <v/>
      </c>
      <c r="M346">
        <f>'T_SelfStock'!K32</f>
        <v/>
      </c>
      <c r="N346">
        <f>'T_SelfStock'!L32</f>
        <v/>
      </c>
      <c r="O346">
        <f>'T_SelfStock'!M32</f>
        <v/>
      </c>
      <c r="P346">
        <f>'T_SelfStock'!N32</f>
        <v/>
      </c>
      <c r="Q346">
        <f>'T_SelfStock'!O32</f>
        <v/>
      </c>
      <c r="R346">
        <f>'T_SelfStock'!P32</f>
        <v/>
      </c>
      <c r="S346">
        <f>'T_SelfStock'!Q32</f>
        <v/>
      </c>
      <c r="T346">
        <f>'T_SelfStock'!R32</f>
        <v/>
      </c>
      <c r="U346">
        <f>'T_SelfStock'!S32</f>
        <v/>
      </c>
      <c r="V346">
        <f>'T_SelfStock'!T32</f>
        <v/>
      </c>
      <c r="W346">
        <f>'T_SelfStock'!U32</f>
        <v/>
      </c>
      <c r="X346">
        <f>'T_SelfStock'!V32</f>
        <v/>
      </c>
      <c r="Y346">
        <f>'T_SelfStock'!W32</f>
        <v/>
      </c>
      <c r="Z346">
        <f>'T_SelfStock'!X32</f>
        <v/>
      </c>
      <c r="AA346">
        <f>'T_SelfStock'!Y32</f>
        <v/>
      </c>
      <c r="AB346">
        <f>'T_SelfStock'!Z32</f>
        <v/>
      </c>
      <c r="AC346">
        <f>'T_SelfStock'!AA32</f>
        <v/>
      </c>
      <c r="AD346">
        <f>'T_SelfStock'!AB32</f>
        <v/>
      </c>
      <c r="AE346">
        <f>'T_SelfStock'!AC32</f>
        <v/>
      </c>
      <c r="AF346">
        <f>'T_SelfStock'!AD32</f>
        <v/>
      </c>
      <c r="AG346">
        <f>'T_SelfStock'!AE32</f>
        <v/>
      </c>
      <c r="AH346">
        <f>'T_SelfStock'!AF32</f>
        <v/>
      </c>
      <c r="AI346">
        <f>'T_SelfStock'!AG32</f>
        <v/>
      </c>
      <c r="AJ346">
        <f>'T_SelfStock'!AH32</f>
        <v/>
      </c>
      <c r="AK346">
        <f>'T_SelfStock'!AI32</f>
        <v/>
      </c>
      <c r="AL346">
        <f>'T_SelfStock'!AJ32</f>
        <v/>
      </c>
      <c r="AM346">
        <f>'T_SelfStock'!AK32</f>
        <v/>
      </c>
      <c r="AN346">
        <f>'T_SelfStock'!AL32</f>
        <v/>
      </c>
      <c r="AO346">
        <f>'T_SelfStock'!AM32</f>
        <v/>
      </c>
      <c r="AP346">
        <f>'T_SelfStock'!AN32</f>
        <v/>
      </c>
      <c r="AQ346">
        <f>'T_SelfStock'!AO32</f>
        <v/>
      </c>
      <c r="AR346">
        <f>'T_SelfStock'!AP32</f>
        <v/>
      </c>
      <c r="AS346">
        <f>'T_SelfStock'!AQ32</f>
        <v/>
      </c>
      <c r="AT346">
        <f>'T_SelfStock'!AR32</f>
        <v/>
      </c>
      <c r="AU346">
        <f>'T_SelfStock'!AS32</f>
        <v/>
      </c>
      <c r="AV346">
        <f>'T_SelfStock'!AT32</f>
        <v/>
      </c>
      <c r="AW346">
        <f>'T_SelfStock'!AU32</f>
        <v/>
      </c>
      <c r="AX346">
        <f>'T_SelfStock'!AV32</f>
        <v/>
      </c>
      <c r="AY346">
        <f>'T_SelfStock'!AW32</f>
        <v/>
      </c>
      <c r="AZ346">
        <f>'T_SelfStock'!AX32</f>
        <v/>
      </c>
      <c r="BA346">
        <f>'T_SelfStock'!AY32</f>
        <v/>
      </c>
      <c r="BB346">
        <f>'T_SelfStock'!AZ32</f>
        <v/>
      </c>
      <c r="BC346">
        <f>'T_SelfStock'!BA32</f>
        <v/>
      </c>
      <c r="BD346">
        <f>'T_SelfStock'!BB32</f>
        <v/>
      </c>
      <c r="BE346">
        <f>'T_SelfStock'!BC32</f>
        <v/>
      </c>
      <c r="BF346">
        <f>'T_SelfStock'!BD32</f>
        <v/>
      </c>
      <c r="BG346">
        <f>'T_SelfStock'!BE32</f>
        <v/>
      </c>
      <c r="BH346">
        <f>'T_SelfStock'!BF32</f>
        <v/>
      </c>
      <c r="BI346">
        <f>'T_SelfStock'!BG32</f>
        <v/>
      </c>
      <c r="BJ346">
        <f>'T_SelfStock'!BH32</f>
        <v/>
      </c>
      <c r="BK346">
        <f>'T_SelfStock'!BI32</f>
        <v/>
      </c>
      <c r="BL346">
        <f>'T_SelfStock'!BJ32</f>
        <v/>
      </c>
      <c r="BM346">
        <f>'T_SelfStock'!BK32</f>
        <v/>
      </c>
      <c r="BN346">
        <f>'T_SelfStock'!BL32</f>
        <v/>
      </c>
      <c r="BO346">
        <f>'T_SelfStock'!BM32</f>
        <v/>
      </c>
      <c r="BP346">
        <f>'T_SelfStock'!BN32</f>
        <v/>
      </c>
      <c r="BQ346">
        <f>'T_SelfStock'!BO32</f>
        <v/>
      </c>
      <c r="BR346">
        <f>'T_SelfStock'!BP32</f>
        <v/>
      </c>
      <c r="BS346">
        <f>'T_SelfStock'!BQ32</f>
        <v/>
      </c>
      <c r="BT346">
        <f>'T_SelfStock'!BR32</f>
        <v/>
      </c>
      <c r="BU346">
        <f>'T_SelfStock'!BS32</f>
        <v/>
      </c>
      <c r="BV346">
        <f>'T_SelfStock'!BT32</f>
        <v/>
      </c>
      <c r="BW346">
        <f>'T_SelfStock'!BU32</f>
        <v/>
      </c>
      <c r="BX346">
        <f>'T_SelfStock'!BV32</f>
        <v/>
      </c>
      <c r="BY346">
        <f>'T_SelfStock'!BW32</f>
        <v/>
      </c>
      <c r="BZ346">
        <f>'T_SelfStock'!BX32</f>
        <v/>
      </c>
      <c r="CA346">
        <f>'T_SelfStock'!BY32</f>
        <v/>
      </c>
      <c r="CB346">
        <f>'T_SelfStock'!BZ32</f>
        <v/>
      </c>
      <c r="CC346">
        <f>'T_SelfStock'!CA32</f>
        <v/>
      </c>
      <c r="CD346">
        <f>'T_SelfStock'!CB32</f>
        <v/>
      </c>
      <c r="CE346">
        <f>'T_SelfStock'!CC32</f>
        <v/>
      </c>
      <c r="CF346">
        <f>'T_SelfStock'!CD32</f>
        <v/>
      </c>
      <c r="CG346">
        <f>'T_SelfStock'!CE32</f>
        <v/>
      </c>
      <c r="CH346">
        <f>'T_SelfStock'!CF32</f>
        <v/>
      </c>
      <c r="CI346">
        <f>'T_SelfStock'!CG32</f>
        <v/>
      </c>
      <c r="CJ346">
        <f>'T_SelfStock'!CH32</f>
        <v/>
      </c>
      <c r="CK346">
        <f>'T_SelfStock'!CI32</f>
        <v/>
      </c>
      <c r="CL346">
        <f>'T_SelfStock'!CJ32</f>
        <v/>
      </c>
      <c r="CM346">
        <f>'T_SelfStock'!CK32</f>
        <v/>
      </c>
      <c r="CN346">
        <f>'T_SelfStock'!CL32</f>
        <v/>
      </c>
      <c r="CO346">
        <f>'T_SelfStock'!CM32</f>
        <v/>
      </c>
      <c r="CP346">
        <f>'T_SelfStock'!CN32</f>
        <v/>
      </c>
      <c r="CQ346">
        <f>'T_SelfStock'!CO32</f>
        <v/>
      </c>
      <c r="CR346">
        <f>'T_SelfStock'!CP32</f>
        <v/>
      </c>
      <c r="CS346">
        <f>'T_SelfStock'!CQ32</f>
        <v/>
      </c>
      <c r="CT346">
        <f>'T_SelfStock'!CR32</f>
        <v/>
      </c>
      <c r="CU346">
        <f>'T_SelfStock'!CS32</f>
        <v/>
      </c>
      <c r="CV346">
        <f>'T_SelfStock'!CT32</f>
        <v/>
      </c>
      <c r="CW346">
        <f>'T_SelfStock'!CU32</f>
        <v/>
      </c>
      <c r="CX346">
        <f>'T_SelfStock'!CV32</f>
        <v/>
      </c>
      <c r="CY346">
        <f>'T_SelfStock'!CW32</f>
        <v/>
      </c>
      <c r="CZ346">
        <f>'T_SelfStock'!CX32</f>
        <v/>
      </c>
      <c r="DA346">
        <f>'T_SelfStock'!CY32</f>
        <v/>
      </c>
      <c r="DB346">
        <f>'T_SelfStock'!CZ32</f>
        <v/>
      </c>
      <c r="DC346">
        <f>'T_SelfStock'!DA32</f>
        <v/>
      </c>
    </row>
    <row r="347">
      <c r="B347" t="inlineStr">
        <is>
          <t>Order(発注予定,kg)</t>
        </is>
      </c>
      <c r="D347">
        <f>IF(SUMIFS(T_PlannedOrders[EffectiveQty],T_PlannedOrders[Part Name],$A323,T_PlannedOrders[WeekIndex],1)=0,"",SUMIFS(T_PlannedOrders[EffectiveQty],T_PlannedOrders[Part Name],$A323,T_PlannedOrders[WeekIndex],1)&amp;" ("&amp;TEXT(SUMPRODUCT(MAX((T_PlannedOrders[Part Name]=$A323)*(T_PlannedOrders[WeekIndex]=1)*(T_PlannedOrders[EffectiveQty]&gt;0)*T_PlannedOrders[Order_Month])),"m月")&amp;"発注)")</f>
        <v/>
      </c>
      <c r="E347">
        <f>IF(SUMIFS(T_PlannedOrders[EffectiveQty],T_PlannedOrders[Part Name],$A323,T_PlannedOrders[WeekIndex],2)=0,"",SUMIFS(T_PlannedOrders[EffectiveQty],T_PlannedOrders[Part Name],$A323,T_PlannedOrders[WeekIndex],2)&amp;" ("&amp;TEXT(SUMPRODUCT(MAX((T_PlannedOrders[Part Name]=$A323)*(T_PlannedOrders[WeekIndex]=2)*(T_PlannedOrders[EffectiveQty]&gt;0)*T_PlannedOrders[Order_Month])),"m月")&amp;"発注)")</f>
        <v/>
      </c>
      <c r="F347">
        <f>IF(SUMIFS(T_PlannedOrders[EffectiveQty],T_PlannedOrders[Part Name],$A323,T_PlannedOrders[WeekIndex],3)=0,"",SUMIFS(T_PlannedOrders[EffectiveQty],T_PlannedOrders[Part Name],$A323,T_PlannedOrders[WeekIndex],3)&amp;" ("&amp;TEXT(SUMPRODUCT(MAX((T_PlannedOrders[Part Name]=$A323)*(T_PlannedOrders[WeekIndex]=3)*(T_PlannedOrders[EffectiveQty]&gt;0)*T_PlannedOrders[Order_Month])),"m月")&amp;"発注)")</f>
        <v/>
      </c>
      <c r="G347">
        <f>IF(SUMIFS(T_PlannedOrders[EffectiveQty],T_PlannedOrders[Part Name],$A323,T_PlannedOrders[WeekIndex],4)=0,"",SUMIFS(T_PlannedOrders[EffectiveQty],T_PlannedOrders[Part Name],$A323,T_PlannedOrders[WeekIndex],4)&amp;" ("&amp;TEXT(SUMPRODUCT(MAX((T_PlannedOrders[Part Name]=$A323)*(T_PlannedOrders[WeekIndex]=4)*(T_PlannedOrders[EffectiveQty]&gt;0)*T_PlannedOrders[Order_Month])),"m月")&amp;"発注)")</f>
        <v/>
      </c>
      <c r="H347">
        <f>IF(SUMIFS(T_PlannedOrders[EffectiveQty],T_PlannedOrders[Part Name],$A323,T_PlannedOrders[WeekIndex],5)=0,"",SUMIFS(T_PlannedOrders[EffectiveQty],T_PlannedOrders[Part Name],$A323,T_PlannedOrders[WeekIndex],5)&amp;" ("&amp;TEXT(SUMPRODUCT(MAX((T_PlannedOrders[Part Name]=$A323)*(T_PlannedOrders[WeekIndex]=5)*(T_PlannedOrders[EffectiveQty]&gt;0)*T_PlannedOrders[Order_Month])),"m月")&amp;"発注)")</f>
        <v/>
      </c>
      <c r="I347">
        <f>IF(SUMIFS(T_PlannedOrders[EffectiveQty],T_PlannedOrders[Part Name],$A323,T_PlannedOrders[WeekIndex],6)=0,"",SUMIFS(T_PlannedOrders[EffectiveQty],T_PlannedOrders[Part Name],$A323,T_PlannedOrders[WeekIndex],6)&amp;" ("&amp;TEXT(SUMPRODUCT(MAX((T_PlannedOrders[Part Name]=$A323)*(T_PlannedOrders[WeekIndex]=6)*(T_PlannedOrders[EffectiveQty]&gt;0)*T_PlannedOrders[Order_Month])),"m月")&amp;"発注)")</f>
        <v/>
      </c>
      <c r="J347">
        <f>IF(SUMIFS(T_PlannedOrders[EffectiveQty],T_PlannedOrders[Part Name],$A323,T_PlannedOrders[WeekIndex],7)=0,"",SUMIFS(T_PlannedOrders[EffectiveQty],T_PlannedOrders[Part Name],$A323,T_PlannedOrders[WeekIndex],7)&amp;" ("&amp;TEXT(SUMPRODUCT(MAX((T_PlannedOrders[Part Name]=$A323)*(T_PlannedOrders[WeekIndex]=7)*(T_PlannedOrders[EffectiveQty]&gt;0)*T_PlannedOrders[Order_Month])),"m月")&amp;"発注)")</f>
        <v/>
      </c>
      <c r="K347">
        <f>IF(SUMIFS(T_PlannedOrders[EffectiveQty],T_PlannedOrders[Part Name],$A323,T_PlannedOrders[WeekIndex],8)=0,"",SUMIFS(T_PlannedOrders[EffectiveQty],T_PlannedOrders[Part Name],$A323,T_PlannedOrders[WeekIndex],8)&amp;" ("&amp;TEXT(SUMPRODUCT(MAX((T_PlannedOrders[Part Name]=$A323)*(T_PlannedOrders[WeekIndex]=8)*(T_PlannedOrders[EffectiveQty]&gt;0)*T_PlannedOrders[Order_Month])),"m月")&amp;"発注)")</f>
        <v/>
      </c>
      <c r="L347">
        <f>IF(SUMIFS(T_PlannedOrders[EffectiveQty],T_PlannedOrders[Part Name],$A323,T_PlannedOrders[WeekIndex],9)=0,"",SUMIFS(T_PlannedOrders[EffectiveQty],T_PlannedOrders[Part Name],$A323,T_PlannedOrders[WeekIndex],9)&amp;" ("&amp;TEXT(SUMPRODUCT(MAX((T_PlannedOrders[Part Name]=$A323)*(T_PlannedOrders[WeekIndex]=9)*(T_PlannedOrders[EffectiveQty]&gt;0)*T_PlannedOrders[Order_Month])),"m月")&amp;"発注)")</f>
        <v/>
      </c>
      <c r="M347">
        <f>IF(SUMIFS(T_PlannedOrders[EffectiveQty],T_PlannedOrders[Part Name],$A323,T_PlannedOrders[WeekIndex],10)=0,"",SUMIFS(T_PlannedOrders[EffectiveQty],T_PlannedOrders[Part Name],$A323,T_PlannedOrders[WeekIndex],10)&amp;" ("&amp;TEXT(SUMPRODUCT(MAX((T_PlannedOrders[Part Name]=$A323)*(T_PlannedOrders[WeekIndex]=10)*(T_PlannedOrders[EffectiveQty]&gt;0)*T_PlannedOrders[Order_Month])),"m月")&amp;"発注)")</f>
        <v/>
      </c>
      <c r="N347">
        <f>IF(SUMIFS(T_PlannedOrders[EffectiveQty],T_PlannedOrders[Part Name],$A323,T_PlannedOrders[WeekIndex],11)=0,"",SUMIFS(T_PlannedOrders[EffectiveQty],T_PlannedOrders[Part Name],$A323,T_PlannedOrders[WeekIndex],11)&amp;" ("&amp;TEXT(SUMPRODUCT(MAX((T_PlannedOrders[Part Name]=$A323)*(T_PlannedOrders[WeekIndex]=11)*(T_PlannedOrders[EffectiveQty]&gt;0)*T_PlannedOrders[Order_Month])),"m月")&amp;"発注)")</f>
        <v/>
      </c>
      <c r="O347">
        <f>IF(SUMIFS(T_PlannedOrders[EffectiveQty],T_PlannedOrders[Part Name],$A323,T_PlannedOrders[WeekIndex],12)=0,"",SUMIFS(T_PlannedOrders[EffectiveQty],T_PlannedOrders[Part Name],$A323,T_PlannedOrders[WeekIndex],12)&amp;" ("&amp;TEXT(SUMPRODUCT(MAX((T_PlannedOrders[Part Name]=$A323)*(T_PlannedOrders[WeekIndex]=12)*(T_PlannedOrders[EffectiveQty]&gt;0)*T_PlannedOrders[Order_Month])),"m月")&amp;"発注)")</f>
        <v/>
      </c>
      <c r="P347">
        <f>IF(SUMIFS(T_PlannedOrders[EffectiveQty],T_PlannedOrders[Part Name],$A323,T_PlannedOrders[WeekIndex],13)=0,"",SUMIFS(T_PlannedOrders[EffectiveQty],T_PlannedOrders[Part Name],$A323,T_PlannedOrders[WeekIndex],13)&amp;" ("&amp;TEXT(SUMPRODUCT(MAX((T_PlannedOrders[Part Name]=$A323)*(T_PlannedOrders[WeekIndex]=13)*(T_PlannedOrders[EffectiveQty]&gt;0)*T_PlannedOrders[Order_Month])),"m月")&amp;"発注)")</f>
        <v/>
      </c>
      <c r="Q347">
        <f>IF(SUMIFS(T_PlannedOrders[EffectiveQty],T_PlannedOrders[Part Name],$A323,T_PlannedOrders[WeekIndex],14)=0,"",SUMIFS(T_PlannedOrders[EffectiveQty],T_PlannedOrders[Part Name],$A323,T_PlannedOrders[WeekIndex],14)&amp;" ("&amp;TEXT(SUMPRODUCT(MAX((T_PlannedOrders[Part Name]=$A323)*(T_PlannedOrders[WeekIndex]=14)*(T_PlannedOrders[EffectiveQty]&gt;0)*T_PlannedOrders[Order_Month])),"m月")&amp;"発注)")</f>
        <v/>
      </c>
      <c r="R347">
        <f>IF(SUMIFS(T_PlannedOrders[EffectiveQty],T_PlannedOrders[Part Name],$A323,T_PlannedOrders[WeekIndex],15)=0,"",SUMIFS(T_PlannedOrders[EffectiveQty],T_PlannedOrders[Part Name],$A323,T_PlannedOrders[WeekIndex],15)&amp;" ("&amp;TEXT(SUMPRODUCT(MAX((T_PlannedOrders[Part Name]=$A323)*(T_PlannedOrders[WeekIndex]=15)*(T_PlannedOrders[EffectiveQty]&gt;0)*T_PlannedOrders[Order_Month])),"m月")&amp;"発注)")</f>
        <v/>
      </c>
      <c r="S347">
        <f>IF(SUMIFS(T_PlannedOrders[EffectiveQty],T_PlannedOrders[Part Name],$A323,T_PlannedOrders[WeekIndex],16)=0,"",SUMIFS(T_PlannedOrders[EffectiveQty],T_PlannedOrders[Part Name],$A323,T_PlannedOrders[WeekIndex],16)&amp;" ("&amp;TEXT(SUMPRODUCT(MAX((T_PlannedOrders[Part Name]=$A323)*(T_PlannedOrders[WeekIndex]=16)*(T_PlannedOrders[EffectiveQty]&gt;0)*T_PlannedOrders[Order_Month])),"m月")&amp;"発注)")</f>
        <v/>
      </c>
      <c r="T347">
        <f>IF(SUMIFS(T_PlannedOrders[EffectiveQty],T_PlannedOrders[Part Name],$A323,T_PlannedOrders[WeekIndex],17)=0,"",SUMIFS(T_PlannedOrders[EffectiveQty],T_PlannedOrders[Part Name],$A323,T_PlannedOrders[WeekIndex],17)&amp;" ("&amp;TEXT(SUMPRODUCT(MAX((T_PlannedOrders[Part Name]=$A323)*(T_PlannedOrders[WeekIndex]=17)*(T_PlannedOrders[EffectiveQty]&gt;0)*T_PlannedOrders[Order_Month])),"m月")&amp;"発注)")</f>
        <v/>
      </c>
      <c r="U347">
        <f>IF(SUMIFS(T_PlannedOrders[EffectiveQty],T_PlannedOrders[Part Name],$A323,T_PlannedOrders[WeekIndex],18)=0,"",SUMIFS(T_PlannedOrders[EffectiveQty],T_PlannedOrders[Part Name],$A323,T_PlannedOrders[WeekIndex],18)&amp;" ("&amp;TEXT(SUMPRODUCT(MAX((T_PlannedOrders[Part Name]=$A323)*(T_PlannedOrders[WeekIndex]=18)*(T_PlannedOrders[EffectiveQty]&gt;0)*T_PlannedOrders[Order_Month])),"m月")&amp;"発注)")</f>
        <v/>
      </c>
      <c r="V347">
        <f>IF(SUMIFS(T_PlannedOrders[EffectiveQty],T_PlannedOrders[Part Name],$A323,T_PlannedOrders[WeekIndex],19)=0,"",SUMIFS(T_PlannedOrders[EffectiveQty],T_PlannedOrders[Part Name],$A323,T_PlannedOrders[WeekIndex],19)&amp;" ("&amp;TEXT(SUMPRODUCT(MAX((T_PlannedOrders[Part Name]=$A323)*(T_PlannedOrders[WeekIndex]=19)*(T_PlannedOrders[EffectiveQty]&gt;0)*T_PlannedOrders[Order_Month])),"m月")&amp;"発注)")</f>
        <v/>
      </c>
      <c r="W347">
        <f>IF(SUMIFS(T_PlannedOrders[EffectiveQty],T_PlannedOrders[Part Name],$A323,T_PlannedOrders[WeekIndex],20)=0,"",SUMIFS(T_PlannedOrders[EffectiveQty],T_PlannedOrders[Part Name],$A323,T_PlannedOrders[WeekIndex],20)&amp;" ("&amp;TEXT(SUMPRODUCT(MAX((T_PlannedOrders[Part Name]=$A323)*(T_PlannedOrders[WeekIndex]=20)*(T_PlannedOrders[EffectiveQty]&gt;0)*T_PlannedOrders[Order_Month])),"m月")&amp;"発注)")</f>
        <v/>
      </c>
      <c r="X347">
        <f>IF(SUMIFS(T_PlannedOrders[EffectiveQty],T_PlannedOrders[Part Name],$A323,T_PlannedOrders[WeekIndex],21)=0,"",SUMIFS(T_PlannedOrders[EffectiveQty],T_PlannedOrders[Part Name],$A323,T_PlannedOrders[WeekIndex],21)&amp;" ("&amp;TEXT(SUMPRODUCT(MAX((T_PlannedOrders[Part Name]=$A323)*(T_PlannedOrders[WeekIndex]=21)*(T_PlannedOrders[EffectiveQty]&gt;0)*T_PlannedOrders[Order_Month])),"m月")&amp;"発注)")</f>
        <v/>
      </c>
      <c r="Y347">
        <f>IF(SUMIFS(T_PlannedOrders[EffectiveQty],T_PlannedOrders[Part Name],$A323,T_PlannedOrders[WeekIndex],22)=0,"",SUMIFS(T_PlannedOrders[EffectiveQty],T_PlannedOrders[Part Name],$A323,T_PlannedOrders[WeekIndex],22)&amp;" ("&amp;TEXT(SUMPRODUCT(MAX((T_PlannedOrders[Part Name]=$A323)*(T_PlannedOrders[WeekIndex]=22)*(T_PlannedOrders[EffectiveQty]&gt;0)*T_PlannedOrders[Order_Month])),"m月")&amp;"発注)")</f>
        <v/>
      </c>
      <c r="Z347">
        <f>IF(SUMIFS(T_PlannedOrders[EffectiveQty],T_PlannedOrders[Part Name],$A323,T_PlannedOrders[WeekIndex],23)=0,"",SUMIFS(T_PlannedOrders[EffectiveQty],T_PlannedOrders[Part Name],$A323,T_PlannedOrders[WeekIndex],23)&amp;" ("&amp;TEXT(SUMPRODUCT(MAX((T_PlannedOrders[Part Name]=$A323)*(T_PlannedOrders[WeekIndex]=23)*(T_PlannedOrders[EffectiveQty]&gt;0)*T_PlannedOrders[Order_Month])),"m月")&amp;"発注)")</f>
        <v/>
      </c>
      <c r="AA347">
        <f>IF(SUMIFS(T_PlannedOrders[EffectiveQty],T_PlannedOrders[Part Name],$A323,T_PlannedOrders[WeekIndex],24)=0,"",SUMIFS(T_PlannedOrders[EffectiveQty],T_PlannedOrders[Part Name],$A323,T_PlannedOrders[WeekIndex],24)&amp;" ("&amp;TEXT(SUMPRODUCT(MAX((T_PlannedOrders[Part Name]=$A323)*(T_PlannedOrders[WeekIndex]=24)*(T_PlannedOrders[EffectiveQty]&gt;0)*T_PlannedOrders[Order_Month])),"m月")&amp;"発注)")</f>
        <v/>
      </c>
      <c r="AB347">
        <f>IF(SUMIFS(T_PlannedOrders[EffectiveQty],T_PlannedOrders[Part Name],$A323,T_PlannedOrders[WeekIndex],25)=0,"",SUMIFS(T_PlannedOrders[EffectiveQty],T_PlannedOrders[Part Name],$A323,T_PlannedOrders[WeekIndex],25)&amp;" ("&amp;TEXT(SUMPRODUCT(MAX((T_PlannedOrders[Part Name]=$A323)*(T_PlannedOrders[WeekIndex]=25)*(T_PlannedOrders[EffectiveQty]&gt;0)*T_PlannedOrders[Order_Month])),"m月")&amp;"発注)")</f>
        <v/>
      </c>
      <c r="AC347">
        <f>IF(SUMIFS(T_PlannedOrders[EffectiveQty],T_PlannedOrders[Part Name],$A323,T_PlannedOrders[WeekIndex],26)=0,"",SUMIFS(T_PlannedOrders[EffectiveQty],T_PlannedOrders[Part Name],$A323,T_PlannedOrders[WeekIndex],26)&amp;" ("&amp;TEXT(SUMPRODUCT(MAX((T_PlannedOrders[Part Name]=$A323)*(T_PlannedOrders[WeekIndex]=26)*(T_PlannedOrders[EffectiveQty]&gt;0)*T_PlannedOrders[Order_Month])),"m月")&amp;"発注)")</f>
        <v/>
      </c>
      <c r="AD347">
        <f>IF(SUMIFS(T_PlannedOrders[EffectiveQty],T_PlannedOrders[Part Name],$A323,T_PlannedOrders[WeekIndex],27)=0,"",SUMIFS(T_PlannedOrders[EffectiveQty],T_PlannedOrders[Part Name],$A323,T_PlannedOrders[WeekIndex],27)&amp;" ("&amp;TEXT(SUMPRODUCT(MAX((T_PlannedOrders[Part Name]=$A323)*(T_PlannedOrders[WeekIndex]=27)*(T_PlannedOrders[EffectiveQty]&gt;0)*T_PlannedOrders[Order_Month])),"m月")&amp;"発注)")</f>
        <v/>
      </c>
      <c r="AE347">
        <f>IF(SUMIFS(T_PlannedOrders[EffectiveQty],T_PlannedOrders[Part Name],$A323,T_PlannedOrders[WeekIndex],28)=0,"",SUMIFS(T_PlannedOrders[EffectiveQty],T_PlannedOrders[Part Name],$A323,T_PlannedOrders[WeekIndex],28)&amp;" ("&amp;TEXT(SUMPRODUCT(MAX((T_PlannedOrders[Part Name]=$A323)*(T_PlannedOrders[WeekIndex]=28)*(T_PlannedOrders[EffectiveQty]&gt;0)*T_PlannedOrders[Order_Month])),"m月")&amp;"発注)")</f>
        <v/>
      </c>
      <c r="AF347">
        <f>IF(SUMIFS(T_PlannedOrders[EffectiveQty],T_PlannedOrders[Part Name],$A323,T_PlannedOrders[WeekIndex],29)=0,"",SUMIFS(T_PlannedOrders[EffectiveQty],T_PlannedOrders[Part Name],$A323,T_PlannedOrders[WeekIndex],29)&amp;" ("&amp;TEXT(SUMPRODUCT(MAX((T_PlannedOrders[Part Name]=$A323)*(T_PlannedOrders[WeekIndex]=29)*(T_PlannedOrders[EffectiveQty]&gt;0)*T_PlannedOrders[Order_Month])),"m月")&amp;"発注)")</f>
        <v/>
      </c>
      <c r="AG347">
        <f>IF(SUMIFS(T_PlannedOrders[EffectiveQty],T_PlannedOrders[Part Name],$A323,T_PlannedOrders[WeekIndex],30)=0,"",SUMIFS(T_PlannedOrders[EffectiveQty],T_PlannedOrders[Part Name],$A323,T_PlannedOrders[WeekIndex],30)&amp;" ("&amp;TEXT(SUMPRODUCT(MAX((T_PlannedOrders[Part Name]=$A323)*(T_PlannedOrders[WeekIndex]=30)*(T_PlannedOrders[EffectiveQty]&gt;0)*T_PlannedOrders[Order_Month])),"m月")&amp;"発注)")</f>
        <v/>
      </c>
      <c r="AH347">
        <f>IF(SUMIFS(T_PlannedOrders[EffectiveQty],T_PlannedOrders[Part Name],$A323,T_PlannedOrders[WeekIndex],31)=0,"",SUMIFS(T_PlannedOrders[EffectiveQty],T_PlannedOrders[Part Name],$A323,T_PlannedOrders[WeekIndex],31)&amp;" ("&amp;TEXT(SUMPRODUCT(MAX((T_PlannedOrders[Part Name]=$A323)*(T_PlannedOrders[WeekIndex]=31)*(T_PlannedOrders[EffectiveQty]&gt;0)*T_PlannedOrders[Order_Month])),"m月")&amp;"発注)")</f>
        <v/>
      </c>
      <c r="AI347">
        <f>IF(SUMIFS(T_PlannedOrders[EffectiveQty],T_PlannedOrders[Part Name],$A323,T_PlannedOrders[WeekIndex],32)=0,"",SUMIFS(T_PlannedOrders[EffectiveQty],T_PlannedOrders[Part Name],$A323,T_PlannedOrders[WeekIndex],32)&amp;" ("&amp;TEXT(SUMPRODUCT(MAX((T_PlannedOrders[Part Name]=$A323)*(T_PlannedOrders[WeekIndex]=32)*(T_PlannedOrders[EffectiveQty]&gt;0)*T_PlannedOrders[Order_Month])),"m月")&amp;"発注)")</f>
        <v/>
      </c>
      <c r="AJ347">
        <f>IF(SUMIFS(T_PlannedOrders[EffectiveQty],T_PlannedOrders[Part Name],$A323,T_PlannedOrders[WeekIndex],33)=0,"",SUMIFS(T_PlannedOrders[EffectiveQty],T_PlannedOrders[Part Name],$A323,T_PlannedOrders[WeekIndex],33)&amp;" ("&amp;TEXT(SUMPRODUCT(MAX((T_PlannedOrders[Part Name]=$A323)*(T_PlannedOrders[WeekIndex]=33)*(T_PlannedOrders[EffectiveQty]&gt;0)*T_PlannedOrders[Order_Month])),"m月")&amp;"発注)")</f>
        <v/>
      </c>
      <c r="AK347">
        <f>IF(SUMIFS(T_PlannedOrders[EffectiveQty],T_PlannedOrders[Part Name],$A323,T_PlannedOrders[WeekIndex],34)=0,"",SUMIFS(T_PlannedOrders[EffectiveQty],T_PlannedOrders[Part Name],$A323,T_PlannedOrders[WeekIndex],34)&amp;" ("&amp;TEXT(SUMPRODUCT(MAX((T_PlannedOrders[Part Name]=$A323)*(T_PlannedOrders[WeekIndex]=34)*(T_PlannedOrders[EffectiveQty]&gt;0)*T_PlannedOrders[Order_Month])),"m月")&amp;"発注)")</f>
        <v/>
      </c>
      <c r="AL347">
        <f>IF(SUMIFS(T_PlannedOrders[EffectiveQty],T_PlannedOrders[Part Name],$A323,T_PlannedOrders[WeekIndex],35)=0,"",SUMIFS(T_PlannedOrders[EffectiveQty],T_PlannedOrders[Part Name],$A323,T_PlannedOrders[WeekIndex],35)&amp;" ("&amp;TEXT(SUMPRODUCT(MAX((T_PlannedOrders[Part Name]=$A323)*(T_PlannedOrders[WeekIndex]=35)*(T_PlannedOrders[EffectiveQty]&gt;0)*T_PlannedOrders[Order_Month])),"m月")&amp;"発注)")</f>
        <v/>
      </c>
      <c r="AM347">
        <f>IF(SUMIFS(T_PlannedOrders[EffectiveQty],T_PlannedOrders[Part Name],$A323,T_PlannedOrders[WeekIndex],36)=0,"",SUMIFS(T_PlannedOrders[EffectiveQty],T_PlannedOrders[Part Name],$A323,T_PlannedOrders[WeekIndex],36)&amp;" ("&amp;TEXT(SUMPRODUCT(MAX((T_PlannedOrders[Part Name]=$A323)*(T_PlannedOrders[WeekIndex]=36)*(T_PlannedOrders[EffectiveQty]&gt;0)*T_PlannedOrders[Order_Month])),"m月")&amp;"発注)")</f>
        <v/>
      </c>
      <c r="AN347">
        <f>IF(SUMIFS(T_PlannedOrders[EffectiveQty],T_PlannedOrders[Part Name],$A323,T_PlannedOrders[WeekIndex],37)=0,"",SUMIFS(T_PlannedOrders[EffectiveQty],T_PlannedOrders[Part Name],$A323,T_PlannedOrders[WeekIndex],37)&amp;" ("&amp;TEXT(SUMPRODUCT(MAX((T_PlannedOrders[Part Name]=$A323)*(T_PlannedOrders[WeekIndex]=37)*(T_PlannedOrders[EffectiveQty]&gt;0)*T_PlannedOrders[Order_Month])),"m月")&amp;"発注)")</f>
        <v/>
      </c>
      <c r="AO347">
        <f>IF(SUMIFS(T_PlannedOrders[EffectiveQty],T_PlannedOrders[Part Name],$A323,T_PlannedOrders[WeekIndex],38)=0,"",SUMIFS(T_PlannedOrders[EffectiveQty],T_PlannedOrders[Part Name],$A323,T_PlannedOrders[WeekIndex],38)&amp;" ("&amp;TEXT(SUMPRODUCT(MAX((T_PlannedOrders[Part Name]=$A323)*(T_PlannedOrders[WeekIndex]=38)*(T_PlannedOrders[EffectiveQty]&gt;0)*T_PlannedOrders[Order_Month])),"m月")&amp;"発注)")</f>
        <v/>
      </c>
      <c r="AP347">
        <f>IF(SUMIFS(T_PlannedOrders[EffectiveQty],T_PlannedOrders[Part Name],$A323,T_PlannedOrders[WeekIndex],39)=0,"",SUMIFS(T_PlannedOrders[EffectiveQty],T_PlannedOrders[Part Name],$A323,T_PlannedOrders[WeekIndex],39)&amp;" ("&amp;TEXT(SUMPRODUCT(MAX((T_PlannedOrders[Part Name]=$A323)*(T_PlannedOrders[WeekIndex]=39)*(T_PlannedOrders[EffectiveQty]&gt;0)*T_PlannedOrders[Order_Month])),"m月")&amp;"発注)")</f>
        <v/>
      </c>
      <c r="AQ347">
        <f>IF(SUMIFS(T_PlannedOrders[EffectiveQty],T_PlannedOrders[Part Name],$A323,T_PlannedOrders[WeekIndex],40)=0,"",SUMIFS(T_PlannedOrders[EffectiveQty],T_PlannedOrders[Part Name],$A323,T_PlannedOrders[WeekIndex],40)&amp;" ("&amp;TEXT(SUMPRODUCT(MAX((T_PlannedOrders[Part Name]=$A323)*(T_PlannedOrders[WeekIndex]=40)*(T_PlannedOrders[EffectiveQty]&gt;0)*T_PlannedOrders[Order_Month])),"m月")&amp;"発注)")</f>
        <v/>
      </c>
      <c r="AR347">
        <f>IF(SUMIFS(T_PlannedOrders[EffectiveQty],T_PlannedOrders[Part Name],$A323,T_PlannedOrders[WeekIndex],41)=0,"",SUMIFS(T_PlannedOrders[EffectiveQty],T_PlannedOrders[Part Name],$A323,T_PlannedOrders[WeekIndex],41)&amp;" ("&amp;TEXT(SUMPRODUCT(MAX((T_PlannedOrders[Part Name]=$A323)*(T_PlannedOrders[WeekIndex]=41)*(T_PlannedOrders[EffectiveQty]&gt;0)*T_PlannedOrders[Order_Month])),"m月")&amp;"発注)")</f>
        <v/>
      </c>
      <c r="AS347">
        <f>IF(SUMIFS(T_PlannedOrders[EffectiveQty],T_PlannedOrders[Part Name],$A323,T_PlannedOrders[WeekIndex],42)=0,"",SUMIFS(T_PlannedOrders[EffectiveQty],T_PlannedOrders[Part Name],$A323,T_PlannedOrders[WeekIndex],42)&amp;" ("&amp;TEXT(SUMPRODUCT(MAX((T_PlannedOrders[Part Name]=$A323)*(T_PlannedOrders[WeekIndex]=42)*(T_PlannedOrders[EffectiveQty]&gt;0)*T_PlannedOrders[Order_Month])),"m月")&amp;"発注)")</f>
        <v/>
      </c>
      <c r="AT347">
        <f>IF(SUMIFS(T_PlannedOrders[EffectiveQty],T_PlannedOrders[Part Name],$A323,T_PlannedOrders[WeekIndex],43)=0,"",SUMIFS(T_PlannedOrders[EffectiveQty],T_PlannedOrders[Part Name],$A323,T_PlannedOrders[WeekIndex],43)&amp;" ("&amp;TEXT(SUMPRODUCT(MAX((T_PlannedOrders[Part Name]=$A323)*(T_PlannedOrders[WeekIndex]=43)*(T_PlannedOrders[EffectiveQty]&gt;0)*T_PlannedOrders[Order_Month])),"m月")&amp;"発注)")</f>
        <v/>
      </c>
      <c r="AU347">
        <f>IF(SUMIFS(T_PlannedOrders[EffectiveQty],T_PlannedOrders[Part Name],$A323,T_PlannedOrders[WeekIndex],44)=0,"",SUMIFS(T_PlannedOrders[EffectiveQty],T_PlannedOrders[Part Name],$A323,T_PlannedOrders[WeekIndex],44)&amp;" ("&amp;TEXT(SUMPRODUCT(MAX((T_PlannedOrders[Part Name]=$A323)*(T_PlannedOrders[WeekIndex]=44)*(T_PlannedOrders[EffectiveQty]&gt;0)*T_PlannedOrders[Order_Month])),"m月")&amp;"発注)")</f>
        <v/>
      </c>
      <c r="AV347">
        <f>IF(SUMIFS(T_PlannedOrders[EffectiveQty],T_PlannedOrders[Part Name],$A323,T_PlannedOrders[WeekIndex],45)=0,"",SUMIFS(T_PlannedOrders[EffectiveQty],T_PlannedOrders[Part Name],$A323,T_PlannedOrders[WeekIndex],45)&amp;" ("&amp;TEXT(SUMPRODUCT(MAX((T_PlannedOrders[Part Name]=$A323)*(T_PlannedOrders[WeekIndex]=45)*(T_PlannedOrders[EffectiveQty]&gt;0)*T_PlannedOrders[Order_Month])),"m月")&amp;"発注)")</f>
        <v/>
      </c>
      <c r="AW347">
        <f>IF(SUMIFS(T_PlannedOrders[EffectiveQty],T_PlannedOrders[Part Name],$A323,T_PlannedOrders[WeekIndex],46)=0,"",SUMIFS(T_PlannedOrders[EffectiveQty],T_PlannedOrders[Part Name],$A323,T_PlannedOrders[WeekIndex],46)&amp;" ("&amp;TEXT(SUMPRODUCT(MAX((T_PlannedOrders[Part Name]=$A323)*(T_PlannedOrders[WeekIndex]=46)*(T_PlannedOrders[EffectiveQty]&gt;0)*T_PlannedOrders[Order_Month])),"m月")&amp;"発注)")</f>
        <v/>
      </c>
      <c r="AX347">
        <f>IF(SUMIFS(T_PlannedOrders[EffectiveQty],T_PlannedOrders[Part Name],$A323,T_PlannedOrders[WeekIndex],47)=0,"",SUMIFS(T_PlannedOrders[EffectiveQty],T_PlannedOrders[Part Name],$A323,T_PlannedOrders[WeekIndex],47)&amp;" ("&amp;TEXT(SUMPRODUCT(MAX((T_PlannedOrders[Part Name]=$A323)*(T_PlannedOrders[WeekIndex]=47)*(T_PlannedOrders[EffectiveQty]&gt;0)*T_PlannedOrders[Order_Month])),"m月")&amp;"発注)")</f>
        <v/>
      </c>
      <c r="AY347">
        <f>IF(SUMIFS(T_PlannedOrders[EffectiveQty],T_PlannedOrders[Part Name],$A323,T_PlannedOrders[WeekIndex],48)=0,"",SUMIFS(T_PlannedOrders[EffectiveQty],T_PlannedOrders[Part Name],$A323,T_PlannedOrders[WeekIndex],48)&amp;" ("&amp;TEXT(SUMPRODUCT(MAX((T_PlannedOrders[Part Name]=$A323)*(T_PlannedOrders[WeekIndex]=48)*(T_PlannedOrders[EffectiveQty]&gt;0)*T_PlannedOrders[Order_Month])),"m月")&amp;"発注)")</f>
        <v/>
      </c>
      <c r="AZ347">
        <f>IF(SUMIFS(T_PlannedOrders[EffectiveQty],T_PlannedOrders[Part Name],$A323,T_PlannedOrders[WeekIndex],49)=0,"",SUMIFS(T_PlannedOrders[EffectiveQty],T_PlannedOrders[Part Name],$A323,T_PlannedOrders[WeekIndex],49)&amp;" ("&amp;TEXT(SUMPRODUCT(MAX((T_PlannedOrders[Part Name]=$A323)*(T_PlannedOrders[WeekIndex]=49)*(T_PlannedOrders[EffectiveQty]&gt;0)*T_PlannedOrders[Order_Month])),"m月")&amp;"発注)")</f>
        <v/>
      </c>
      <c r="BA347">
        <f>IF(SUMIFS(T_PlannedOrders[EffectiveQty],T_PlannedOrders[Part Name],$A323,T_PlannedOrders[WeekIndex],50)=0,"",SUMIFS(T_PlannedOrders[EffectiveQty],T_PlannedOrders[Part Name],$A323,T_PlannedOrders[WeekIndex],50)&amp;" ("&amp;TEXT(SUMPRODUCT(MAX((T_PlannedOrders[Part Name]=$A323)*(T_PlannedOrders[WeekIndex]=50)*(T_PlannedOrders[EffectiveQty]&gt;0)*T_PlannedOrders[Order_Month])),"m月")&amp;"発注)")</f>
        <v/>
      </c>
      <c r="BB347">
        <f>IF(SUMIFS(T_PlannedOrders[EffectiveQty],T_PlannedOrders[Part Name],$A323,T_PlannedOrders[WeekIndex],51)=0,"",SUMIFS(T_PlannedOrders[EffectiveQty],T_PlannedOrders[Part Name],$A323,T_PlannedOrders[WeekIndex],51)&amp;" ("&amp;TEXT(SUMPRODUCT(MAX((T_PlannedOrders[Part Name]=$A323)*(T_PlannedOrders[WeekIndex]=51)*(T_PlannedOrders[EffectiveQty]&gt;0)*T_PlannedOrders[Order_Month])),"m月")&amp;"発注)")</f>
        <v/>
      </c>
      <c r="BC347">
        <f>IF(SUMIFS(T_PlannedOrders[EffectiveQty],T_PlannedOrders[Part Name],$A323,T_PlannedOrders[WeekIndex],52)=0,"",SUMIFS(T_PlannedOrders[EffectiveQty],T_PlannedOrders[Part Name],$A323,T_PlannedOrders[WeekIndex],52)&amp;" ("&amp;TEXT(SUMPRODUCT(MAX((T_PlannedOrders[Part Name]=$A323)*(T_PlannedOrders[WeekIndex]=52)*(T_PlannedOrders[EffectiveQty]&gt;0)*T_PlannedOrders[Order_Month])),"m月")&amp;"発注)")</f>
        <v/>
      </c>
      <c r="BD347">
        <f>IF(SUMIFS(T_PlannedOrders[EffectiveQty],T_PlannedOrders[Part Name],$A323,T_PlannedOrders[WeekIndex],53)=0,"",SUMIFS(T_PlannedOrders[EffectiveQty],T_PlannedOrders[Part Name],$A323,T_PlannedOrders[WeekIndex],53)&amp;" ("&amp;TEXT(SUMPRODUCT(MAX((T_PlannedOrders[Part Name]=$A323)*(T_PlannedOrders[WeekIndex]=53)*(T_PlannedOrders[EffectiveQty]&gt;0)*T_PlannedOrders[Order_Month])),"m月")&amp;"発注)")</f>
        <v/>
      </c>
      <c r="BE347">
        <f>IF(SUMIFS(T_PlannedOrders[EffectiveQty],T_PlannedOrders[Part Name],$A323,T_PlannedOrders[WeekIndex],54)=0,"",SUMIFS(T_PlannedOrders[EffectiveQty],T_PlannedOrders[Part Name],$A323,T_PlannedOrders[WeekIndex],54)&amp;" ("&amp;TEXT(SUMPRODUCT(MAX((T_PlannedOrders[Part Name]=$A323)*(T_PlannedOrders[WeekIndex]=54)*(T_PlannedOrders[EffectiveQty]&gt;0)*T_PlannedOrders[Order_Month])),"m月")&amp;"発注)")</f>
        <v/>
      </c>
      <c r="BF347">
        <f>IF(SUMIFS(T_PlannedOrders[EffectiveQty],T_PlannedOrders[Part Name],$A323,T_PlannedOrders[WeekIndex],55)=0,"",SUMIFS(T_PlannedOrders[EffectiveQty],T_PlannedOrders[Part Name],$A323,T_PlannedOrders[WeekIndex],55)&amp;" ("&amp;TEXT(SUMPRODUCT(MAX((T_PlannedOrders[Part Name]=$A323)*(T_PlannedOrders[WeekIndex]=55)*(T_PlannedOrders[EffectiveQty]&gt;0)*T_PlannedOrders[Order_Month])),"m月")&amp;"発注)")</f>
        <v/>
      </c>
      <c r="BG347">
        <f>IF(SUMIFS(T_PlannedOrders[EffectiveQty],T_PlannedOrders[Part Name],$A323,T_PlannedOrders[WeekIndex],56)=0,"",SUMIFS(T_PlannedOrders[EffectiveQty],T_PlannedOrders[Part Name],$A323,T_PlannedOrders[WeekIndex],56)&amp;" ("&amp;TEXT(SUMPRODUCT(MAX((T_PlannedOrders[Part Name]=$A323)*(T_PlannedOrders[WeekIndex]=56)*(T_PlannedOrders[EffectiveQty]&gt;0)*T_PlannedOrders[Order_Month])),"m月")&amp;"発注)")</f>
        <v/>
      </c>
      <c r="BH347">
        <f>IF(SUMIFS(T_PlannedOrders[EffectiveQty],T_PlannedOrders[Part Name],$A323,T_PlannedOrders[WeekIndex],57)=0,"",SUMIFS(T_PlannedOrders[EffectiveQty],T_PlannedOrders[Part Name],$A323,T_PlannedOrders[WeekIndex],57)&amp;" ("&amp;TEXT(SUMPRODUCT(MAX((T_PlannedOrders[Part Name]=$A323)*(T_PlannedOrders[WeekIndex]=57)*(T_PlannedOrders[EffectiveQty]&gt;0)*T_PlannedOrders[Order_Month])),"m月")&amp;"発注)")</f>
        <v/>
      </c>
      <c r="BI347">
        <f>IF(SUMIFS(T_PlannedOrders[EffectiveQty],T_PlannedOrders[Part Name],$A323,T_PlannedOrders[WeekIndex],58)=0,"",SUMIFS(T_PlannedOrders[EffectiveQty],T_PlannedOrders[Part Name],$A323,T_PlannedOrders[WeekIndex],58)&amp;" ("&amp;TEXT(SUMPRODUCT(MAX((T_PlannedOrders[Part Name]=$A323)*(T_PlannedOrders[WeekIndex]=58)*(T_PlannedOrders[EffectiveQty]&gt;0)*T_PlannedOrders[Order_Month])),"m月")&amp;"発注)")</f>
        <v/>
      </c>
      <c r="BJ347">
        <f>IF(SUMIFS(T_PlannedOrders[EffectiveQty],T_PlannedOrders[Part Name],$A323,T_PlannedOrders[WeekIndex],59)=0,"",SUMIFS(T_PlannedOrders[EffectiveQty],T_PlannedOrders[Part Name],$A323,T_PlannedOrders[WeekIndex],59)&amp;" ("&amp;TEXT(SUMPRODUCT(MAX((T_PlannedOrders[Part Name]=$A323)*(T_PlannedOrders[WeekIndex]=59)*(T_PlannedOrders[EffectiveQty]&gt;0)*T_PlannedOrders[Order_Month])),"m月")&amp;"発注)")</f>
        <v/>
      </c>
      <c r="BK347">
        <f>IF(SUMIFS(T_PlannedOrders[EffectiveQty],T_PlannedOrders[Part Name],$A323,T_PlannedOrders[WeekIndex],60)=0,"",SUMIFS(T_PlannedOrders[EffectiveQty],T_PlannedOrders[Part Name],$A323,T_PlannedOrders[WeekIndex],60)&amp;" ("&amp;TEXT(SUMPRODUCT(MAX((T_PlannedOrders[Part Name]=$A323)*(T_PlannedOrders[WeekIndex]=60)*(T_PlannedOrders[EffectiveQty]&gt;0)*T_PlannedOrders[Order_Month])),"m月")&amp;"発注)")</f>
        <v/>
      </c>
      <c r="BL347">
        <f>IF(SUMIFS(T_PlannedOrders[EffectiveQty],T_PlannedOrders[Part Name],$A323,T_PlannedOrders[WeekIndex],61)=0,"",SUMIFS(T_PlannedOrders[EffectiveQty],T_PlannedOrders[Part Name],$A323,T_PlannedOrders[WeekIndex],61)&amp;" ("&amp;TEXT(SUMPRODUCT(MAX((T_PlannedOrders[Part Name]=$A323)*(T_PlannedOrders[WeekIndex]=61)*(T_PlannedOrders[EffectiveQty]&gt;0)*T_PlannedOrders[Order_Month])),"m月")&amp;"発注)")</f>
        <v/>
      </c>
      <c r="BM347">
        <f>IF(SUMIFS(T_PlannedOrders[EffectiveQty],T_PlannedOrders[Part Name],$A323,T_PlannedOrders[WeekIndex],62)=0,"",SUMIFS(T_PlannedOrders[EffectiveQty],T_PlannedOrders[Part Name],$A323,T_PlannedOrders[WeekIndex],62)&amp;" ("&amp;TEXT(SUMPRODUCT(MAX((T_PlannedOrders[Part Name]=$A323)*(T_PlannedOrders[WeekIndex]=62)*(T_PlannedOrders[EffectiveQty]&gt;0)*T_PlannedOrders[Order_Month])),"m月")&amp;"発注)")</f>
        <v/>
      </c>
      <c r="BN347">
        <f>IF(SUMIFS(T_PlannedOrders[EffectiveQty],T_PlannedOrders[Part Name],$A323,T_PlannedOrders[WeekIndex],63)=0,"",SUMIFS(T_PlannedOrders[EffectiveQty],T_PlannedOrders[Part Name],$A323,T_PlannedOrders[WeekIndex],63)&amp;" ("&amp;TEXT(SUMPRODUCT(MAX((T_PlannedOrders[Part Name]=$A323)*(T_PlannedOrders[WeekIndex]=63)*(T_PlannedOrders[EffectiveQty]&gt;0)*T_PlannedOrders[Order_Month])),"m月")&amp;"発注)")</f>
        <v/>
      </c>
      <c r="BO347">
        <f>IF(SUMIFS(T_PlannedOrders[EffectiveQty],T_PlannedOrders[Part Name],$A323,T_PlannedOrders[WeekIndex],64)=0,"",SUMIFS(T_PlannedOrders[EffectiveQty],T_PlannedOrders[Part Name],$A323,T_PlannedOrders[WeekIndex],64)&amp;" ("&amp;TEXT(SUMPRODUCT(MAX((T_PlannedOrders[Part Name]=$A323)*(T_PlannedOrders[WeekIndex]=64)*(T_PlannedOrders[EffectiveQty]&gt;0)*T_PlannedOrders[Order_Month])),"m月")&amp;"発注)")</f>
        <v/>
      </c>
      <c r="BP347">
        <f>IF(SUMIFS(T_PlannedOrders[EffectiveQty],T_PlannedOrders[Part Name],$A323,T_PlannedOrders[WeekIndex],65)=0,"",SUMIFS(T_PlannedOrders[EffectiveQty],T_PlannedOrders[Part Name],$A323,T_PlannedOrders[WeekIndex],65)&amp;" ("&amp;TEXT(SUMPRODUCT(MAX((T_PlannedOrders[Part Name]=$A323)*(T_PlannedOrders[WeekIndex]=65)*(T_PlannedOrders[EffectiveQty]&gt;0)*T_PlannedOrders[Order_Month])),"m月")&amp;"発注)")</f>
        <v/>
      </c>
      <c r="BQ347">
        <f>IF(SUMIFS(T_PlannedOrders[EffectiveQty],T_PlannedOrders[Part Name],$A323,T_PlannedOrders[WeekIndex],66)=0,"",SUMIFS(T_PlannedOrders[EffectiveQty],T_PlannedOrders[Part Name],$A323,T_PlannedOrders[WeekIndex],66)&amp;" ("&amp;TEXT(SUMPRODUCT(MAX((T_PlannedOrders[Part Name]=$A323)*(T_PlannedOrders[WeekIndex]=66)*(T_PlannedOrders[EffectiveQty]&gt;0)*T_PlannedOrders[Order_Month])),"m月")&amp;"発注)")</f>
        <v/>
      </c>
      <c r="BR347">
        <f>IF(SUMIFS(T_PlannedOrders[EffectiveQty],T_PlannedOrders[Part Name],$A323,T_PlannedOrders[WeekIndex],67)=0,"",SUMIFS(T_PlannedOrders[EffectiveQty],T_PlannedOrders[Part Name],$A323,T_PlannedOrders[WeekIndex],67)&amp;" ("&amp;TEXT(SUMPRODUCT(MAX((T_PlannedOrders[Part Name]=$A323)*(T_PlannedOrders[WeekIndex]=67)*(T_PlannedOrders[EffectiveQty]&gt;0)*T_PlannedOrders[Order_Month])),"m月")&amp;"発注)")</f>
        <v/>
      </c>
      <c r="BS347">
        <f>IF(SUMIFS(T_PlannedOrders[EffectiveQty],T_PlannedOrders[Part Name],$A323,T_PlannedOrders[WeekIndex],68)=0,"",SUMIFS(T_PlannedOrders[EffectiveQty],T_PlannedOrders[Part Name],$A323,T_PlannedOrders[WeekIndex],68)&amp;" ("&amp;TEXT(SUMPRODUCT(MAX((T_PlannedOrders[Part Name]=$A323)*(T_PlannedOrders[WeekIndex]=68)*(T_PlannedOrders[EffectiveQty]&gt;0)*T_PlannedOrders[Order_Month])),"m月")&amp;"発注)")</f>
        <v/>
      </c>
      <c r="BT347">
        <f>IF(SUMIFS(T_PlannedOrders[EffectiveQty],T_PlannedOrders[Part Name],$A323,T_PlannedOrders[WeekIndex],69)=0,"",SUMIFS(T_PlannedOrders[EffectiveQty],T_PlannedOrders[Part Name],$A323,T_PlannedOrders[WeekIndex],69)&amp;" ("&amp;TEXT(SUMPRODUCT(MAX((T_PlannedOrders[Part Name]=$A323)*(T_PlannedOrders[WeekIndex]=69)*(T_PlannedOrders[EffectiveQty]&gt;0)*T_PlannedOrders[Order_Month])),"m月")&amp;"発注)")</f>
        <v/>
      </c>
      <c r="BU347">
        <f>IF(SUMIFS(T_PlannedOrders[EffectiveQty],T_PlannedOrders[Part Name],$A323,T_PlannedOrders[WeekIndex],70)=0,"",SUMIFS(T_PlannedOrders[EffectiveQty],T_PlannedOrders[Part Name],$A323,T_PlannedOrders[WeekIndex],70)&amp;" ("&amp;TEXT(SUMPRODUCT(MAX((T_PlannedOrders[Part Name]=$A323)*(T_PlannedOrders[WeekIndex]=70)*(T_PlannedOrders[EffectiveQty]&gt;0)*T_PlannedOrders[Order_Month])),"m月")&amp;"発注)")</f>
        <v/>
      </c>
      <c r="BV347">
        <f>IF(SUMIFS(T_PlannedOrders[EffectiveQty],T_PlannedOrders[Part Name],$A323,T_PlannedOrders[WeekIndex],71)=0,"",SUMIFS(T_PlannedOrders[EffectiveQty],T_PlannedOrders[Part Name],$A323,T_PlannedOrders[WeekIndex],71)&amp;" ("&amp;TEXT(SUMPRODUCT(MAX((T_PlannedOrders[Part Name]=$A323)*(T_PlannedOrders[WeekIndex]=71)*(T_PlannedOrders[EffectiveQty]&gt;0)*T_PlannedOrders[Order_Month])),"m月")&amp;"発注)")</f>
        <v/>
      </c>
      <c r="BW347">
        <f>IF(SUMIFS(T_PlannedOrders[EffectiveQty],T_PlannedOrders[Part Name],$A323,T_PlannedOrders[WeekIndex],72)=0,"",SUMIFS(T_PlannedOrders[EffectiveQty],T_PlannedOrders[Part Name],$A323,T_PlannedOrders[WeekIndex],72)&amp;" ("&amp;TEXT(SUMPRODUCT(MAX((T_PlannedOrders[Part Name]=$A323)*(T_PlannedOrders[WeekIndex]=72)*(T_PlannedOrders[EffectiveQty]&gt;0)*T_PlannedOrders[Order_Month])),"m月")&amp;"発注)")</f>
        <v/>
      </c>
      <c r="BX347">
        <f>IF(SUMIFS(T_PlannedOrders[EffectiveQty],T_PlannedOrders[Part Name],$A323,T_PlannedOrders[WeekIndex],73)=0,"",SUMIFS(T_PlannedOrders[EffectiveQty],T_PlannedOrders[Part Name],$A323,T_PlannedOrders[WeekIndex],73)&amp;" ("&amp;TEXT(SUMPRODUCT(MAX((T_PlannedOrders[Part Name]=$A323)*(T_PlannedOrders[WeekIndex]=73)*(T_PlannedOrders[EffectiveQty]&gt;0)*T_PlannedOrders[Order_Month])),"m月")&amp;"発注)")</f>
        <v/>
      </c>
      <c r="BY347">
        <f>IF(SUMIFS(T_PlannedOrders[EffectiveQty],T_PlannedOrders[Part Name],$A323,T_PlannedOrders[WeekIndex],74)=0,"",SUMIFS(T_PlannedOrders[EffectiveQty],T_PlannedOrders[Part Name],$A323,T_PlannedOrders[WeekIndex],74)&amp;" ("&amp;TEXT(SUMPRODUCT(MAX((T_PlannedOrders[Part Name]=$A323)*(T_PlannedOrders[WeekIndex]=74)*(T_PlannedOrders[EffectiveQty]&gt;0)*T_PlannedOrders[Order_Month])),"m月")&amp;"発注)")</f>
        <v/>
      </c>
      <c r="BZ347">
        <f>IF(SUMIFS(T_PlannedOrders[EffectiveQty],T_PlannedOrders[Part Name],$A323,T_PlannedOrders[WeekIndex],75)=0,"",SUMIFS(T_PlannedOrders[EffectiveQty],T_PlannedOrders[Part Name],$A323,T_PlannedOrders[WeekIndex],75)&amp;" ("&amp;TEXT(SUMPRODUCT(MAX((T_PlannedOrders[Part Name]=$A323)*(T_PlannedOrders[WeekIndex]=75)*(T_PlannedOrders[EffectiveQty]&gt;0)*T_PlannedOrders[Order_Month])),"m月")&amp;"発注)")</f>
        <v/>
      </c>
      <c r="CA347">
        <f>IF(SUMIFS(T_PlannedOrders[EffectiveQty],T_PlannedOrders[Part Name],$A323,T_PlannedOrders[WeekIndex],76)=0,"",SUMIFS(T_PlannedOrders[EffectiveQty],T_PlannedOrders[Part Name],$A323,T_PlannedOrders[WeekIndex],76)&amp;" ("&amp;TEXT(SUMPRODUCT(MAX((T_PlannedOrders[Part Name]=$A323)*(T_PlannedOrders[WeekIndex]=76)*(T_PlannedOrders[EffectiveQty]&gt;0)*T_PlannedOrders[Order_Month])),"m月")&amp;"発注)")</f>
        <v/>
      </c>
      <c r="CB347">
        <f>IF(SUMIFS(T_PlannedOrders[EffectiveQty],T_PlannedOrders[Part Name],$A323,T_PlannedOrders[WeekIndex],77)=0,"",SUMIFS(T_PlannedOrders[EffectiveQty],T_PlannedOrders[Part Name],$A323,T_PlannedOrders[WeekIndex],77)&amp;" ("&amp;TEXT(SUMPRODUCT(MAX((T_PlannedOrders[Part Name]=$A323)*(T_PlannedOrders[WeekIndex]=77)*(T_PlannedOrders[EffectiveQty]&gt;0)*T_PlannedOrders[Order_Month])),"m月")&amp;"発注)")</f>
        <v/>
      </c>
      <c r="CC347">
        <f>IF(SUMIFS(T_PlannedOrders[EffectiveQty],T_PlannedOrders[Part Name],$A323,T_PlannedOrders[WeekIndex],78)=0,"",SUMIFS(T_PlannedOrders[EffectiveQty],T_PlannedOrders[Part Name],$A323,T_PlannedOrders[WeekIndex],78)&amp;" ("&amp;TEXT(SUMPRODUCT(MAX((T_PlannedOrders[Part Name]=$A323)*(T_PlannedOrders[WeekIndex]=78)*(T_PlannedOrders[EffectiveQty]&gt;0)*T_PlannedOrders[Order_Month])),"m月")&amp;"発注)")</f>
        <v/>
      </c>
      <c r="CD347">
        <f>IF(SUMIFS(T_PlannedOrders[EffectiveQty],T_PlannedOrders[Part Name],$A323,T_PlannedOrders[WeekIndex],79)=0,"",SUMIFS(T_PlannedOrders[EffectiveQty],T_PlannedOrders[Part Name],$A323,T_PlannedOrders[WeekIndex],79)&amp;" ("&amp;TEXT(SUMPRODUCT(MAX((T_PlannedOrders[Part Name]=$A323)*(T_PlannedOrders[WeekIndex]=79)*(T_PlannedOrders[EffectiveQty]&gt;0)*T_PlannedOrders[Order_Month])),"m月")&amp;"発注)")</f>
        <v/>
      </c>
      <c r="CE347">
        <f>IF(SUMIFS(T_PlannedOrders[EffectiveQty],T_PlannedOrders[Part Name],$A323,T_PlannedOrders[WeekIndex],80)=0,"",SUMIFS(T_PlannedOrders[EffectiveQty],T_PlannedOrders[Part Name],$A323,T_PlannedOrders[WeekIndex],80)&amp;" ("&amp;TEXT(SUMPRODUCT(MAX((T_PlannedOrders[Part Name]=$A323)*(T_PlannedOrders[WeekIndex]=80)*(T_PlannedOrders[EffectiveQty]&gt;0)*T_PlannedOrders[Order_Month])),"m月")&amp;"発注)")</f>
        <v/>
      </c>
      <c r="CF347">
        <f>IF(SUMIFS(T_PlannedOrders[EffectiveQty],T_PlannedOrders[Part Name],$A323,T_PlannedOrders[WeekIndex],81)=0,"",SUMIFS(T_PlannedOrders[EffectiveQty],T_PlannedOrders[Part Name],$A323,T_PlannedOrders[WeekIndex],81)&amp;" ("&amp;TEXT(SUMPRODUCT(MAX((T_PlannedOrders[Part Name]=$A323)*(T_PlannedOrders[WeekIndex]=81)*(T_PlannedOrders[EffectiveQty]&gt;0)*T_PlannedOrders[Order_Month])),"m月")&amp;"発注)")</f>
        <v/>
      </c>
      <c r="CG347">
        <f>IF(SUMIFS(T_PlannedOrders[EffectiveQty],T_PlannedOrders[Part Name],$A323,T_PlannedOrders[WeekIndex],82)=0,"",SUMIFS(T_PlannedOrders[EffectiveQty],T_PlannedOrders[Part Name],$A323,T_PlannedOrders[WeekIndex],82)&amp;" ("&amp;TEXT(SUMPRODUCT(MAX((T_PlannedOrders[Part Name]=$A323)*(T_PlannedOrders[WeekIndex]=82)*(T_PlannedOrders[EffectiveQty]&gt;0)*T_PlannedOrders[Order_Month])),"m月")&amp;"発注)")</f>
        <v/>
      </c>
      <c r="CH347">
        <f>IF(SUMIFS(T_PlannedOrders[EffectiveQty],T_PlannedOrders[Part Name],$A323,T_PlannedOrders[WeekIndex],83)=0,"",SUMIFS(T_PlannedOrders[EffectiveQty],T_PlannedOrders[Part Name],$A323,T_PlannedOrders[WeekIndex],83)&amp;" ("&amp;TEXT(SUMPRODUCT(MAX((T_PlannedOrders[Part Name]=$A323)*(T_PlannedOrders[WeekIndex]=83)*(T_PlannedOrders[EffectiveQty]&gt;0)*T_PlannedOrders[Order_Month])),"m月")&amp;"発注)")</f>
        <v/>
      </c>
      <c r="CI347">
        <f>IF(SUMIFS(T_PlannedOrders[EffectiveQty],T_PlannedOrders[Part Name],$A323,T_PlannedOrders[WeekIndex],84)=0,"",SUMIFS(T_PlannedOrders[EffectiveQty],T_PlannedOrders[Part Name],$A323,T_PlannedOrders[WeekIndex],84)&amp;" ("&amp;TEXT(SUMPRODUCT(MAX((T_PlannedOrders[Part Name]=$A323)*(T_PlannedOrders[WeekIndex]=84)*(T_PlannedOrders[EffectiveQty]&gt;0)*T_PlannedOrders[Order_Month])),"m月")&amp;"発注)")</f>
        <v/>
      </c>
      <c r="CJ347">
        <f>IF(SUMIFS(T_PlannedOrders[EffectiveQty],T_PlannedOrders[Part Name],$A323,T_PlannedOrders[WeekIndex],85)=0,"",SUMIFS(T_PlannedOrders[EffectiveQty],T_PlannedOrders[Part Name],$A323,T_PlannedOrders[WeekIndex],85)&amp;" ("&amp;TEXT(SUMPRODUCT(MAX((T_PlannedOrders[Part Name]=$A323)*(T_PlannedOrders[WeekIndex]=85)*(T_PlannedOrders[EffectiveQty]&gt;0)*T_PlannedOrders[Order_Month])),"m月")&amp;"発注)")</f>
        <v/>
      </c>
      <c r="CK347">
        <f>IF(SUMIFS(T_PlannedOrders[EffectiveQty],T_PlannedOrders[Part Name],$A323,T_PlannedOrders[WeekIndex],86)=0,"",SUMIFS(T_PlannedOrders[EffectiveQty],T_PlannedOrders[Part Name],$A323,T_PlannedOrders[WeekIndex],86)&amp;" ("&amp;TEXT(SUMPRODUCT(MAX((T_PlannedOrders[Part Name]=$A323)*(T_PlannedOrders[WeekIndex]=86)*(T_PlannedOrders[EffectiveQty]&gt;0)*T_PlannedOrders[Order_Month])),"m月")&amp;"発注)")</f>
        <v/>
      </c>
      <c r="CL347">
        <f>IF(SUMIFS(T_PlannedOrders[EffectiveQty],T_PlannedOrders[Part Name],$A323,T_PlannedOrders[WeekIndex],87)=0,"",SUMIFS(T_PlannedOrders[EffectiveQty],T_PlannedOrders[Part Name],$A323,T_PlannedOrders[WeekIndex],87)&amp;" ("&amp;TEXT(SUMPRODUCT(MAX((T_PlannedOrders[Part Name]=$A323)*(T_PlannedOrders[WeekIndex]=87)*(T_PlannedOrders[EffectiveQty]&gt;0)*T_PlannedOrders[Order_Month])),"m月")&amp;"発注)")</f>
        <v/>
      </c>
      <c r="CM347">
        <f>IF(SUMIFS(T_PlannedOrders[EffectiveQty],T_PlannedOrders[Part Name],$A323,T_PlannedOrders[WeekIndex],88)=0,"",SUMIFS(T_PlannedOrders[EffectiveQty],T_PlannedOrders[Part Name],$A323,T_PlannedOrders[WeekIndex],88)&amp;" ("&amp;TEXT(SUMPRODUCT(MAX((T_PlannedOrders[Part Name]=$A323)*(T_PlannedOrders[WeekIndex]=88)*(T_PlannedOrders[EffectiveQty]&gt;0)*T_PlannedOrders[Order_Month])),"m月")&amp;"発注)")</f>
        <v/>
      </c>
      <c r="CN347">
        <f>IF(SUMIFS(T_PlannedOrders[EffectiveQty],T_PlannedOrders[Part Name],$A323,T_PlannedOrders[WeekIndex],89)=0,"",SUMIFS(T_PlannedOrders[EffectiveQty],T_PlannedOrders[Part Name],$A323,T_PlannedOrders[WeekIndex],89)&amp;" ("&amp;TEXT(SUMPRODUCT(MAX((T_PlannedOrders[Part Name]=$A323)*(T_PlannedOrders[WeekIndex]=89)*(T_PlannedOrders[EffectiveQty]&gt;0)*T_PlannedOrders[Order_Month])),"m月")&amp;"発注)")</f>
        <v/>
      </c>
      <c r="CO347">
        <f>IF(SUMIFS(T_PlannedOrders[EffectiveQty],T_PlannedOrders[Part Name],$A323,T_PlannedOrders[WeekIndex],90)=0,"",SUMIFS(T_PlannedOrders[EffectiveQty],T_PlannedOrders[Part Name],$A323,T_PlannedOrders[WeekIndex],90)&amp;" ("&amp;TEXT(SUMPRODUCT(MAX((T_PlannedOrders[Part Name]=$A323)*(T_PlannedOrders[WeekIndex]=90)*(T_PlannedOrders[EffectiveQty]&gt;0)*T_PlannedOrders[Order_Month])),"m月")&amp;"発注)")</f>
        <v/>
      </c>
      <c r="CP347">
        <f>IF(SUMIFS(T_PlannedOrders[EffectiveQty],T_PlannedOrders[Part Name],$A323,T_PlannedOrders[WeekIndex],91)=0,"",SUMIFS(T_PlannedOrders[EffectiveQty],T_PlannedOrders[Part Name],$A323,T_PlannedOrders[WeekIndex],91)&amp;" ("&amp;TEXT(SUMPRODUCT(MAX((T_PlannedOrders[Part Name]=$A323)*(T_PlannedOrders[WeekIndex]=91)*(T_PlannedOrders[EffectiveQty]&gt;0)*T_PlannedOrders[Order_Month])),"m月")&amp;"発注)")</f>
        <v/>
      </c>
      <c r="CQ347">
        <f>IF(SUMIFS(T_PlannedOrders[EffectiveQty],T_PlannedOrders[Part Name],$A323,T_PlannedOrders[WeekIndex],92)=0,"",SUMIFS(T_PlannedOrders[EffectiveQty],T_PlannedOrders[Part Name],$A323,T_PlannedOrders[WeekIndex],92)&amp;" ("&amp;TEXT(SUMPRODUCT(MAX((T_PlannedOrders[Part Name]=$A323)*(T_PlannedOrders[WeekIndex]=92)*(T_PlannedOrders[EffectiveQty]&gt;0)*T_PlannedOrders[Order_Month])),"m月")&amp;"発注)")</f>
        <v/>
      </c>
      <c r="CR347">
        <f>IF(SUMIFS(T_PlannedOrders[EffectiveQty],T_PlannedOrders[Part Name],$A323,T_PlannedOrders[WeekIndex],93)=0,"",SUMIFS(T_PlannedOrders[EffectiveQty],T_PlannedOrders[Part Name],$A323,T_PlannedOrders[WeekIndex],93)&amp;" ("&amp;TEXT(SUMPRODUCT(MAX((T_PlannedOrders[Part Name]=$A323)*(T_PlannedOrders[WeekIndex]=93)*(T_PlannedOrders[EffectiveQty]&gt;0)*T_PlannedOrders[Order_Month])),"m月")&amp;"発注)")</f>
        <v/>
      </c>
      <c r="CS347">
        <f>IF(SUMIFS(T_PlannedOrders[EffectiveQty],T_PlannedOrders[Part Name],$A323,T_PlannedOrders[WeekIndex],94)=0,"",SUMIFS(T_PlannedOrders[EffectiveQty],T_PlannedOrders[Part Name],$A323,T_PlannedOrders[WeekIndex],94)&amp;" ("&amp;TEXT(SUMPRODUCT(MAX((T_PlannedOrders[Part Name]=$A323)*(T_PlannedOrders[WeekIndex]=94)*(T_PlannedOrders[EffectiveQty]&gt;0)*T_PlannedOrders[Order_Month])),"m月")&amp;"発注)")</f>
        <v/>
      </c>
      <c r="CT347">
        <f>IF(SUMIFS(T_PlannedOrders[EffectiveQty],T_PlannedOrders[Part Name],$A323,T_PlannedOrders[WeekIndex],95)=0,"",SUMIFS(T_PlannedOrders[EffectiveQty],T_PlannedOrders[Part Name],$A323,T_PlannedOrders[WeekIndex],95)&amp;" ("&amp;TEXT(SUMPRODUCT(MAX((T_PlannedOrders[Part Name]=$A323)*(T_PlannedOrders[WeekIndex]=95)*(T_PlannedOrders[EffectiveQty]&gt;0)*T_PlannedOrders[Order_Month])),"m月")&amp;"発注)")</f>
        <v/>
      </c>
      <c r="CU347">
        <f>IF(SUMIFS(T_PlannedOrders[EffectiveQty],T_PlannedOrders[Part Name],$A323,T_PlannedOrders[WeekIndex],96)=0,"",SUMIFS(T_PlannedOrders[EffectiveQty],T_PlannedOrders[Part Name],$A323,T_PlannedOrders[WeekIndex],96)&amp;" ("&amp;TEXT(SUMPRODUCT(MAX((T_PlannedOrders[Part Name]=$A323)*(T_PlannedOrders[WeekIndex]=96)*(T_PlannedOrders[EffectiveQty]&gt;0)*T_PlannedOrders[Order_Month])),"m月")&amp;"発注)")</f>
        <v/>
      </c>
      <c r="CV347">
        <f>IF(SUMIFS(T_PlannedOrders[EffectiveQty],T_PlannedOrders[Part Name],$A323,T_PlannedOrders[WeekIndex],97)=0,"",SUMIFS(T_PlannedOrders[EffectiveQty],T_PlannedOrders[Part Name],$A323,T_PlannedOrders[WeekIndex],97)&amp;" ("&amp;TEXT(SUMPRODUCT(MAX((T_PlannedOrders[Part Name]=$A323)*(T_PlannedOrders[WeekIndex]=97)*(T_PlannedOrders[EffectiveQty]&gt;0)*T_PlannedOrders[Order_Month])),"m月")&amp;"発注)")</f>
        <v/>
      </c>
      <c r="CW347">
        <f>IF(SUMIFS(T_PlannedOrders[EffectiveQty],T_PlannedOrders[Part Name],$A323,T_PlannedOrders[WeekIndex],98)=0,"",SUMIFS(T_PlannedOrders[EffectiveQty],T_PlannedOrders[Part Name],$A323,T_PlannedOrders[WeekIndex],98)&amp;" ("&amp;TEXT(SUMPRODUCT(MAX((T_PlannedOrders[Part Name]=$A323)*(T_PlannedOrders[WeekIndex]=98)*(T_PlannedOrders[EffectiveQty]&gt;0)*T_PlannedOrders[Order_Month])),"m月")&amp;"発注)")</f>
        <v/>
      </c>
      <c r="CX347">
        <f>IF(SUMIFS(T_PlannedOrders[EffectiveQty],T_PlannedOrders[Part Name],$A323,T_PlannedOrders[WeekIndex],99)=0,"",SUMIFS(T_PlannedOrders[EffectiveQty],T_PlannedOrders[Part Name],$A323,T_PlannedOrders[WeekIndex],99)&amp;" ("&amp;TEXT(SUMPRODUCT(MAX((T_PlannedOrders[Part Name]=$A323)*(T_PlannedOrders[WeekIndex]=99)*(T_PlannedOrders[EffectiveQty]&gt;0)*T_PlannedOrders[Order_Month])),"m月")&amp;"発注)")</f>
        <v/>
      </c>
      <c r="CY347">
        <f>IF(SUMIFS(T_PlannedOrders[EffectiveQty],T_PlannedOrders[Part Name],$A323,T_PlannedOrders[WeekIndex],100)=0,"",SUMIFS(T_PlannedOrders[EffectiveQty],T_PlannedOrders[Part Name],$A323,T_PlannedOrders[WeekIndex],100)&amp;" ("&amp;TEXT(SUMPRODUCT(MAX((T_PlannedOrders[Part Name]=$A323)*(T_PlannedOrders[WeekIndex]=100)*(T_PlannedOrders[EffectiveQty]&gt;0)*T_PlannedOrders[Order_Month])),"m月")&amp;"発注)")</f>
        <v/>
      </c>
      <c r="CZ347">
        <f>IF(SUMIFS(T_PlannedOrders[EffectiveQty],T_PlannedOrders[Part Name],$A323,T_PlannedOrders[WeekIndex],101)=0,"",SUMIFS(T_PlannedOrders[EffectiveQty],T_PlannedOrders[Part Name],$A323,T_PlannedOrders[WeekIndex],101)&amp;" ("&amp;TEXT(SUMPRODUCT(MAX((T_PlannedOrders[Part Name]=$A323)*(T_PlannedOrders[WeekIndex]=101)*(T_PlannedOrders[EffectiveQty]&gt;0)*T_PlannedOrders[Order_Month])),"m月")&amp;"発注)")</f>
        <v/>
      </c>
      <c r="DA347">
        <f>IF(SUMIFS(T_PlannedOrders[EffectiveQty],T_PlannedOrders[Part Name],$A323,T_PlannedOrders[WeekIndex],102)=0,"",SUMIFS(T_PlannedOrders[EffectiveQty],T_PlannedOrders[Part Name],$A323,T_PlannedOrders[WeekIndex],102)&amp;" ("&amp;TEXT(SUMPRODUCT(MAX((T_PlannedOrders[Part Name]=$A323)*(T_PlannedOrders[WeekIndex]=102)*(T_PlannedOrders[EffectiveQty]&gt;0)*T_PlannedOrders[Order_Month])),"m月")&amp;"発注)")</f>
        <v/>
      </c>
      <c r="DB347">
        <f>IF(SUMIFS(T_PlannedOrders[EffectiveQty],T_PlannedOrders[Part Name],$A323,T_PlannedOrders[WeekIndex],103)=0,"",SUMIFS(T_PlannedOrders[EffectiveQty],T_PlannedOrders[Part Name],$A323,T_PlannedOrders[WeekIndex],103)&amp;" ("&amp;TEXT(SUMPRODUCT(MAX((T_PlannedOrders[Part Name]=$A323)*(T_PlannedOrders[WeekIndex]=103)*(T_PlannedOrders[EffectiveQty]&gt;0)*T_PlannedOrders[Order_Month])),"m月")&amp;"発注)")</f>
        <v/>
      </c>
      <c r="DC347">
        <f>IF(SUMIFS(T_PlannedOrders[EffectiveQty],T_PlannedOrders[Part Name],$A323,T_PlannedOrders[WeekIndex],104)=0,"",SUMIFS(T_PlannedOrders[EffectiveQty],T_PlannedOrders[Part Name],$A323,T_PlannedOrders[WeekIndex],104)&amp;" ("&amp;TEXT(SUMPRODUCT(MAX((T_PlannedOrders[Part Name]=$A323)*(T_PlannedOrders[WeekIndex]=104)*(T_PlannedOrders[EffectiveQty]&gt;0)*T_PlannedOrders[Order_Month])),"m月")&amp;"発注)")</f>
        <v/>
      </c>
    </row>
    <row r="348">
      <c r="B348" s="5" t="inlineStr">
        <is>
          <t>合計在庫(週末時点,kg)</t>
        </is>
      </c>
      <c r="D348">
        <f>'Grid_Stock'!B28</f>
        <v/>
      </c>
      <c r="E348">
        <f>'Grid_Stock'!C28</f>
        <v/>
      </c>
      <c r="F348">
        <f>'Grid_Stock'!D28</f>
        <v/>
      </c>
      <c r="G348">
        <f>'Grid_Stock'!E28</f>
        <v/>
      </c>
      <c r="H348">
        <f>'Grid_Stock'!F28</f>
        <v/>
      </c>
      <c r="I348">
        <f>'Grid_Stock'!G28</f>
        <v/>
      </c>
      <c r="J348">
        <f>'Grid_Stock'!H28</f>
        <v/>
      </c>
      <c r="K348">
        <f>'Grid_Stock'!I28</f>
        <v/>
      </c>
      <c r="L348">
        <f>'Grid_Stock'!J28</f>
        <v/>
      </c>
      <c r="M348">
        <f>'Grid_Stock'!K28</f>
        <v/>
      </c>
      <c r="N348">
        <f>'Grid_Stock'!L28</f>
        <v/>
      </c>
      <c r="O348">
        <f>'Grid_Stock'!M28</f>
        <v/>
      </c>
      <c r="P348">
        <f>'Grid_Stock'!N28</f>
        <v/>
      </c>
      <c r="Q348">
        <f>'Grid_Stock'!O28</f>
        <v/>
      </c>
      <c r="R348">
        <f>'Grid_Stock'!P28</f>
        <v/>
      </c>
      <c r="S348">
        <f>'Grid_Stock'!Q28</f>
        <v/>
      </c>
      <c r="T348">
        <f>'Grid_Stock'!R28</f>
        <v/>
      </c>
      <c r="U348">
        <f>'Grid_Stock'!S28</f>
        <v/>
      </c>
      <c r="V348">
        <f>'Grid_Stock'!T28</f>
        <v/>
      </c>
      <c r="W348">
        <f>'Grid_Stock'!U28</f>
        <v/>
      </c>
      <c r="X348">
        <f>'Grid_Stock'!V28</f>
        <v/>
      </c>
      <c r="Y348">
        <f>'Grid_Stock'!W28</f>
        <v/>
      </c>
      <c r="Z348">
        <f>'Grid_Stock'!X28</f>
        <v/>
      </c>
      <c r="AA348">
        <f>'Grid_Stock'!Y28</f>
        <v/>
      </c>
      <c r="AB348">
        <f>'Grid_Stock'!Z28</f>
        <v/>
      </c>
      <c r="AC348">
        <f>'Grid_Stock'!AA28</f>
        <v/>
      </c>
      <c r="AD348">
        <f>'Grid_Stock'!AB28</f>
        <v/>
      </c>
      <c r="AE348">
        <f>'Grid_Stock'!AC28</f>
        <v/>
      </c>
      <c r="AF348">
        <f>'Grid_Stock'!AD28</f>
        <v/>
      </c>
      <c r="AG348">
        <f>'Grid_Stock'!AE28</f>
        <v/>
      </c>
      <c r="AH348">
        <f>'Grid_Stock'!AF28</f>
        <v/>
      </c>
      <c r="AI348">
        <f>'Grid_Stock'!AG28</f>
        <v/>
      </c>
      <c r="AJ348">
        <f>'Grid_Stock'!AH28</f>
        <v/>
      </c>
      <c r="AK348">
        <f>'Grid_Stock'!AI28</f>
        <v/>
      </c>
      <c r="AL348">
        <f>'Grid_Stock'!AJ28</f>
        <v/>
      </c>
      <c r="AM348">
        <f>'Grid_Stock'!AK28</f>
        <v/>
      </c>
      <c r="AN348">
        <f>'Grid_Stock'!AL28</f>
        <v/>
      </c>
      <c r="AO348">
        <f>'Grid_Stock'!AM28</f>
        <v/>
      </c>
      <c r="AP348">
        <f>'Grid_Stock'!AN28</f>
        <v/>
      </c>
      <c r="AQ348">
        <f>'Grid_Stock'!AO28</f>
        <v/>
      </c>
      <c r="AR348">
        <f>'Grid_Stock'!AP28</f>
        <v/>
      </c>
      <c r="AS348">
        <f>'Grid_Stock'!AQ28</f>
        <v/>
      </c>
      <c r="AT348">
        <f>'Grid_Stock'!AR28</f>
        <v/>
      </c>
      <c r="AU348">
        <f>'Grid_Stock'!AS28</f>
        <v/>
      </c>
      <c r="AV348">
        <f>'Grid_Stock'!AT28</f>
        <v/>
      </c>
      <c r="AW348">
        <f>'Grid_Stock'!AU28</f>
        <v/>
      </c>
      <c r="AX348">
        <f>'Grid_Stock'!AV28</f>
        <v/>
      </c>
      <c r="AY348">
        <f>'Grid_Stock'!AW28</f>
        <v/>
      </c>
      <c r="AZ348">
        <f>'Grid_Stock'!AX28</f>
        <v/>
      </c>
      <c r="BA348">
        <f>'Grid_Stock'!AY28</f>
        <v/>
      </c>
      <c r="BB348">
        <f>'Grid_Stock'!AZ28</f>
        <v/>
      </c>
      <c r="BC348">
        <f>'Grid_Stock'!BA28</f>
        <v/>
      </c>
      <c r="BD348">
        <f>'Grid_Stock'!BB28</f>
        <v/>
      </c>
      <c r="BE348">
        <f>'Grid_Stock'!BC28</f>
        <v/>
      </c>
      <c r="BF348">
        <f>'Grid_Stock'!BD28</f>
        <v/>
      </c>
      <c r="BG348">
        <f>'Grid_Stock'!BE28</f>
        <v/>
      </c>
      <c r="BH348">
        <f>'Grid_Stock'!BF28</f>
        <v/>
      </c>
      <c r="BI348">
        <f>'Grid_Stock'!BG28</f>
        <v/>
      </c>
      <c r="BJ348">
        <f>'Grid_Stock'!BH28</f>
        <v/>
      </c>
      <c r="BK348">
        <f>'Grid_Stock'!BI28</f>
        <v/>
      </c>
      <c r="BL348">
        <f>'Grid_Stock'!BJ28</f>
        <v/>
      </c>
      <c r="BM348">
        <f>'Grid_Stock'!BK28</f>
        <v/>
      </c>
      <c r="BN348">
        <f>'Grid_Stock'!BL28</f>
        <v/>
      </c>
      <c r="BO348">
        <f>'Grid_Stock'!BM28</f>
        <v/>
      </c>
      <c r="BP348">
        <f>'Grid_Stock'!BN28</f>
        <v/>
      </c>
      <c r="BQ348">
        <f>'Grid_Stock'!BO28</f>
        <v/>
      </c>
      <c r="BR348">
        <f>'Grid_Stock'!BP28</f>
        <v/>
      </c>
      <c r="BS348">
        <f>'Grid_Stock'!BQ28</f>
        <v/>
      </c>
      <c r="BT348">
        <f>'Grid_Stock'!BR28</f>
        <v/>
      </c>
      <c r="BU348">
        <f>'Grid_Stock'!BS28</f>
        <v/>
      </c>
      <c r="BV348">
        <f>'Grid_Stock'!BT28</f>
        <v/>
      </c>
      <c r="BW348">
        <f>'Grid_Stock'!BU28</f>
        <v/>
      </c>
      <c r="BX348">
        <f>'Grid_Stock'!BV28</f>
        <v/>
      </c>
      <c r="BY348">
        <f>'Grid_Stock'!BW28</f>
        <v/>
      </c>
      <c r="BZ348">
        <f>'Grid_Stock'!BX28</f>
        <v/>
      </c>
      <c r="CA348">
        <f>'Grid_Stock'!BY28</f>
        <v/>
      </c>
      <c r="CB348">
        <f>'Grid_Stock'!BZ28</f>
        <v/>
      </c>
      <c r="CC348">
        <f>'Grid_Stock'!CA28</f>
        <v/>
      </c>
      <c r="CD348">
        <f>'Grid_Stock'!CB28</f>
        <v/>
      </c>
      <c r="CE348">
        <f>'Grid_Stock'!CC28</f>
        <v/>
      </c>
      <c r="CF348">
        <f>'Grid_Stock'!CD28</f>
        <v/>
      </c>
      <c r="CG348">
        <f>'Grid_Stock'!CE28</f>
        <v/>
      </c>
      <c r="CH348">
        <f>'Grid_Stock'!CF28</f>
        <v/>
      </c>
      <c r="CI348">
        <f>'Grid_Stock'!CG28</f>
        <v/>
      </c>
      <c r="CJ348">
        <f>'Grid_Stock'!CH28</f>
        <v/>
      </c>
      <c r="CK348">
        <f>'Grid_Stock'!CI28</f>
        <v/>
      </c>
      <c r="CL348">
        <f>'Grid_Stock'!CJ28</f>
        <v/>
      </c>
      <c r="CM348">
        <f>'Grid_Stock'!CK28</f>
        <v/>
      </c>
      <c r="CN348">
        <f>'Grid_Stock'!CL28</f>
        <v/>
      </c>
      <c r="CO348">
        <f>'Grid_Stock'!CM28</f>
        <v/>
      </c>
      <c r="CP348">
        <f>'Grid_Stock'!CN28</f>
        <v/>
      </c>
      <c r="CQ348">
        <f>'Grid_Stock'!CO28</f>
        <v/>
      </c>
      <c r="CR348">
        <f>'Grid_Stock'!CP28</f>
        <v/>
      </c>
      <c r="CS348">
        <f>'Grid_Stock'!CQ28</f>
        <v/>
      </c>
      <c r="CT348">
        <f>'Grid_Stock'!CR28</f>
        <v/>
      </c>
      <c r="CU348">
        <f>'Grid_Stock'!CS28</f>
        <v/>
      </c>
      <c r="CV348">
        <f>'Grid_Stock'!CT28</f>
        <v/>
      </c>
      <c r="CW348">
        <f>'Grid_Stock'!CU28</f>
        <v/>
      </c>
      <c r="CX348">
        <f>'Grid_Stock'!CV28</f>
        <v/>
      </c>
      <c r="CY348">
        <f>'Grid_Stock'!CW28</f>
        <v/>
      </c>
      <c r="CZ348">
        <f>'Grid_Stock'!CX28</f>
        <v/>
      </c>
      <c r="DA348">
        <f>'Grid_Stock'!CY28</f>
        <v/>
      </c>
      <c r="DB348">
        <f>'Grid_Stock'!CZ28</f>
        <v/>
      </c>
      <c r="DC348">
        <f>'Grid_Stock'!DA28</f>
        <v/>
      </c>
    </row>
    <row r="349">
      <c r="B349" s="23" t="inlineStr">
        <is>
          <t>（発注の目安はDashboardの基準在庫[下限/上限]と色分けを参照）</t>
        </is>
      </c>
    </row>
    <row r="351">
      <c r="A351" s="21" t="inlineStr">
        <is>
          <t>CHEM-1120</t>
        </is>
      </c>
      <c r="B351" s="21" t="inlineStr">
        <is>
          <t>Catapal D</t>
        </is>
      </c>
      <c r="C351" s="22" t="n"/>
      <c r="D351" s="21" t="n"/>
      <c r="E351" s="21" t="n"/>
      <c r="F351" s="21" t="n"/>
      <c r="G351" s="21" t="n"/>
      <c r="H351" s="2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  <c r="AA351" s="21" t="n"/>
      <c r="AB351" s="21" t="n"/>
      <c r="AC351" s="21" t="n"/>
      <c r="AD351" s="21" t="n"/>
      <c r="AE351" s="21" t="n"/>
      <c r="AF351" s="21" t="n"/>
      <c r="AG351" s="21" t="n"/>
      <c r="AH351" s="21" t="n"/>
      <c r="AI351" s="21" t="n"/>
      <c r="AJ351" s="21" t="n"/>
      <c r="AK351" s="21" t="n"/>
      <c r="AL351" s="21" t="n"/>
      <c r="AM351" s="21" t="n"/>
      <c r="AN351" s="21" t="n"/>
      <c r="AO351" s="21" t="n"/>
      <c r="AP351" s="21" t="n"/>
      <c r="AQ351" s="21" t="n"/>
      <c r="AR351" s="21" t="n"/>
      <c r="AS351" s="21" t="n"/>
      <c r="AT351" s="21" t="n"/>
      <c r="AU351" s="21" t="n"/>
      <c r="AV351" s="21" t="n"/>
      <c r="AW351" s="21" t="n"/>
      <c r="AX351" s="21" t="n"/>
      <c r="AY351" s="21" t="n"/>
      <c r="AZ351" s="21" t="n"/>
      <c r="BA351" s="21" t="n"/>
      <c r="BB351" s="21" t="n"/>
      <c r="BC351" s="21" t="n"/>
      <c r="BD351" s="21" t="n"/>
      <c r="BE351" s="21" t="n"/>
      <c r="BF351" s="21" t="n"/>
      <c r="BG351" s="21" t="n"/>
      <c r="BH351" s="21" t="n"/>
      <c r="BI351" s="21" t="n"/>
      <c r="BJ351" s="21" t="n"/>
      <c r="BK351" s="21" t="n"/>
      <c r="BL351" s="21" t="n"/>
      <c r="BM351" s="21" t="n"/>
      <c r="BN351" s="21" t="n"/>
      <c r="BO351" s="21" t="n"/>
      <c r="BP351" s="21" t="n"/>
      <c r="BQ351" s="21" t="n"/>
      <c r="BR351" s="21" t="n"/>
      <c r="BS351" s="21" t="n"/>
      <c r="BT351" s="21" t="n"/>
      <c r="BU351" s="21" t="n"/>
      <c r="BV351" s="21" t="n"/>
      <c r="BW351" s="21" t="n"/>
      <c r="BX351" s="21" t="n"/>
      <c r="BY351" s="21" t="n"/>
      <c r="BZ351" s="21" t="n"/>
      <c r="CA351" s="21" t="n"/>
      <c r="CB351" s="21" t="n"/>
      <c r="CC351" s="21" t="n"/>
      <c r="CD351" s="21" t="n"/>
      <c r="CE351" s="21" t="n"/>
      <c r="CF351" s="21" t="n"/>
      <c r="CG351" s="21" t="n"/>
      <c r="CH351" s="21" t="n"/>
      <c r="CI351" s="21" t="n"/>
      <c r="CJ351" s="21" t="n"/>
      <c r="CK351" s="21" t="n"/>
      <c r="CL351" s="21" t="n"/>
      <c r="CM351" s="21" t="n"/>
      <c r="CN351" s="21" t="n"/>
      <c r="CO351" s="21" t="n"/>
      <c r="CP351" s="21" t="n"/>
      <c r="CQ351" s="21" t="n"/>
      <c r="CR351" s="21" t="n"/>
      <c r="CS351" s="21" t="n"/>
      <c r="CT351" s="21" t="n"/>
      <c r="CU351" s="21" t="n"/>
      <c r="CV351" s="21" t="n"/>
      <c r="CW351" s="21" t="n"/>
      <c r="CX351" s="21" t="n"/>
      <c r="CY351" s="21" t="n"/>
      <c r="CZ351" s="21" t="n"/>
      <c r="DA351" s="21" t="n"/>
      <c r="DB351" s="21" t="n"/>
      <c r="DC351" s="21" t="n"/>
    </row>
    <row r="352">
      <c r="B352" t="inlineStr">
        <is>
          <t>TSP-049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12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Name],$A351)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TSP-067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12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Name],$A351)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TSP-069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12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Name],$A351)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TSP-104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12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Name],$A351)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s="5" t="inlineStr">
        <is>
          <t>合計使用量(kg)/週</t>
        </is>
      </c>
      <c r="D360">
        <f>'Grid_Requirement'!B29</f>
        <v/>
      </c>
      <c r="E360">
        <f>'Grid_Requirement'!C29</f>
        <v/>
      </c>
      <c r="F360">
        <f>'Grid_Requirement'!D29</f>
        <v/>
      </c>
      <c r="G360">
        <f>'Grid_Requirement'!E29</f>
        <v/>
      </c>
      <c r="H360">
        <f>'Grid_Requirement'!F29</f>
        <v/>
      </c>
      <c r="I360">
        <f>'Grid_Requirement'!G29</f>
        <v/>
      </c>
      <c r="J360">
        <f>'Grid_Requirement'!H29</f>
        <v/>
      </c>
      <c r="K360">
        <f>'Grid_Requirement'!I29</f>
        <v/>
      </c>
      <c r="L360">
        <f>'Grid_Requirement'!J29</f>
        <v/>
      </c>
      <c r="M360">
        <f>'Grid_Requirement'!K29</f>
        <v/>
      </c>
      <c r="N360">
        <f>'Grid_Requirement'!L29</f>
        <v/>
      </c>
      <c r="O360">
        <f>'Grid_Requirement'!M29</f>
        <v/>
      </c>
      <c r="P360">
        <f>'Grid_Requirement'!N29</f>
        <v/>
      </c>
      <c r="Q360">
        <f>'Grid_Requirement'!O29</f>
        <v/>
      </c>
      <c r="R360">
        <f>'Grid_Requirement'!P29</f>
        <v/>
      </c>
      <c r="S360">
        <f>'Grid_Requirement'!Q29</f>
        <v/>
      </c>
      <c r="T360">
        <f>'Grid_Requirement'!R29</f>
        <v/>
      </c>
      <c r="U360">
        <f>'Grid_Requirement'!S29</f>
        <v/>
      </c>
      <c r="V360">
        <f>'Grid_Requirement'!T29</f>
        <v/>
      </c>
      <c r="W360">
        <f>'Grid_Requirement'!U29</f>
        <v/>
      </c>
      <c r="X360">
        <f>'Grid_Requirement'!V29</f>
        <v/>
      </c>
      <c r="Y360">
        <f>'Grid_Requirement'!W29</f>
        <v/>
      </c>
      <c r="Z360">
        <f>'Grid_Requirement'!X29</f>
        <v/>
      </c>
      <c r="AA360">
        <f>'Grid_Requirement'!Y29</f>
        <v/>
      </c>
      <c r="AB360">
        <f>'Grid_Requirement'!Z29</f>
        <v/>
      </c>
      <c r="AC360">
        <f>'Grid_Requirement'!AA29</f>
        <v/>
      </c>
      <c r="AD360">
        <f>'Grid_Requirement'!AB29</f>
        <v/>
      </c>
      <c r="AE360">
        <f>'Grid_Requirement'!AC29</f>
        <v/>
      </c>
      <c r="AF360">
        <f>'Grid_Requirement'!AD29</f>
        <v/>
      </c>
      <c r="AG360">
        <f>'Grid_Requirement'!AE29</f>
        <v/>
      </c>
      <c r="AH360">
        <f>'Grid_Requirement'!AF29</f>
        <v/>
      </c>
      <c r="AI360">
        <f>'Grid_Requirement'!AG29</f>
        <v/>
      </c>
      <c r="AJ360">
        <f>'Grid_Requirement'!AH29</f>
        <v/>
      </c>
      <c r="AK360">
        <f>'Grid_Requirement'!AI29</f>
        <v/>
      </c>
      <c r="AL360">
        <f>'Grid_Requirement'!AJ29</f>
        <v/>
      </c>
      <c r="AM360">
        <f>'Grid_Requirement'!AK29</f>
        <v/>
      </c>
      <c r="AN360">
        <f>'Grid_Requirement'!AL29</f>
        <v/>
      </c>
      <c r="AO360">
        <f>'Grid_Requirement'!AM29</f>
        <v/>
      </c>
      <c r="AP360">
        <f>'Grid_Requirement'!AN29</f>
        <v/>
      </c>
      <c r="AQ360">
        <f>'Grid_Requirement'!AO29</f>
        <v/>
      </c>
      <c r="AR360">
        <f>'Grid_Requirement'!AP29</f>
        <v/>
      </c>
      <c r="AS360">
        <f>'Grid_Requirement'!AQ29</f>
        <v/>
      </c>
      <c r="AT360">
        <f>'Grid_Requirement'!AR29</f>
        <v/>
      </c>
      <c r="AU360">
        <f>'Grid_Requirement'!AS29</f>
        <v/>
      </c>
      <c r="AV360">
        <f>'Grid_Requirement'!AT29</f>
        <v/>
      </c>
      <c r="AW360">
        <f>'Grid_Requirement'!AU29</f>
        <v/>
      </c>
      <c r="AX360">
        <f>'Grid_Requirement'!AV29</f>
        <v/>
      </c>
      <c r="AY360">
        <f>'Grid_Requirement'!AW29</f>
        <v/>
      </c>
      <c r="AZ360">
        <f>'Grid_Requirement'!AX29</f>
        <v/>
      </c>
      <c r="BA360">
        <f>'Grid_Requirement'!AY29</f>
        <v/>
      </c>
      <c r="BB360">
        <f>'Grid_Requirement'!AZ29</f>
        <v/>
      </c>
      <c r="BC360">
        <f>'Grid_Requirement'!BA29</f>
        <v/>
      </c>
      <c r="BD360">
        <f>'Grid_Requirement'!BB29</f>
        <v/>
      </c>
      <c r="BE360">
        <f>'Grid_Requirement'!BC29</f>
        <v/>
      </c>
      <c r="BF360">
        <f>'Grid_Requirement'!BD29</f>
        <v/>
      </c>
      <c r="BG360">
        <f>'Grid_Requirement'!BE29</f>
        <v/>
      </c>
      <c r="BH360">
        <f>'Grid_Requirement'!BF29</f>
        <v/>
      </c>
      <c r="BI360">
        <f>'Grid_Requirement'!BG29</f>
        <v/>
      </c>
      <c r="BJ360">
        <f>'Grid_Requirement'!BH29</f>
        <v/>
      </c>
      <c r="BK360">
        <f>'Grid_Requirement'!BI29</f>
        <v/>
      </c>
      <c r="BL360">
        <f>'Grid_Requirement'!BJ29</f>
        <v/>
      </c>
      <c r="BM360">
        <f>'Grid_Requirement'!BK29</f>
        <v/>
      </c>
      <c r="BN360">
        <f>'Grid_Requirement'!BL29</f>
        <v/>
      </c>
      <c r="BO360">
        <f>'Grid_Requirement'!BM29</f>
        <v/>
      </c>
      <c r="BP360">
        <f>'Grid_Requirement'!BN29</f>
        <v/>
      </c>
      <c r="BQ360">
        <f>'Grid_Requirement'!BO29</f>
        <v/>
      </c>
      <c r="BR360">
        <f>'Grid_Requirement'!BP29</f>
        <v/>
      </c>
      <c r="BS360">
        <f>'Grid_Requirement'!BQ29</f>
        <v/>
      </c>
      <c r="BT360">
        <f>'Grid_Requirement'!BR29</f>
        <v/>
      </c>
      <c r="BU360">
        <f>'Grid_Requirement'!BS29</f>
        <v/>
      </c>
      <c r="BV360">
        <f>'Grid_Requirement'!BT29</f>
        <v/>
      </c>
      <c r="BW360">
        <f>'Grid_Requirement'!BU29</f>
        <v/>
      </c>
      <c r="BX360">
        <f>'Grid_Requirement'!BV29</f>
        <v/>
      </c>
      <c r="BY360">
        <f>'Grid_Requirement'!BW29</f>
        <v/>
      </c>
      <c r="BZ360">
        <f>'Grid_Requirement'!BX29</f>
        <v/>
      </c>
      <c r="CA360">
        <f>'Grid_Requirement'!BY29</f>
        <v/>
      </c>
      <c r="CB360">
        <f>'Grid_Requirement'!BZ29</f>
        <v/>
      </c>
      <c r="CC360">
        <f>'Grid_Requirement'!CA29</f>
        <v/>
      </c>
      <c r="CD360">
        <f>'Grid_Requirement'!CB29</f>
        <v/>
      </c>
      <c r="CE360">
        <f>'Grid_Requirement'!CC29</f>
        <v/>
      </c>
      <c r="CF360">
        <f>'Grid_Requirement'!CD29</f>
        <v/>
      </c>
      <c r="CG360">
        <f>'Grid_Requirement'!CE29</f>
        <v/>
      </c>
      <c r="CH360">
        <f>'Grid_Requirement'!CF29</f>
        <v/>
      </c>
      <c r="CI360">
        <f>'Grid_Requirement'!CG29</f>
        <v/>
      </c>
      <c r="CJ360">
        <f>'Grid_Requirement'!CH29</f>
        <v/>
      </c>
      <c r="CK360">
        <f>'Grid_Requirement'!CI29</f>
        <v/>
      </c>
      <c r="CL360">
        <f>'Grid_Requirement'!CJ29</f>
        <v/>
      </c>
      <c r="CM360">
        <f>'Grid_Requirement'!CK29</f>
        <v/>
      </c>
      <c r="CN360">
        <f>'Grid_Requirement'!CL29</f>
        <v/>
      </c>
      <c r="CO360">
        <f>'Grid_Requirement'!CM29</f>
        <v/>
      </c>
      <c r="CP360">
        <f>'Grid_Requirement'!CN29</f>
        <v/>
      </c>
      <c r="CQ360">
        <f>'Grid_Requirement'!CO29</f>
        <v/>
      </c>
      <c r="CR360">
        <f>'Grid_Requirement'!CP29</f>
        <v/>
      </c>
      <c r="CS360">
        <f>'Grid_Requirement'!CQ29</f>
        <v/>
      </c>
      <c r="CT360">
        <f>'Grid_Requirement'!CR29</f>
        <v/>
      </c>
      <c r="CU360">
        <f>'Grid_Requirement'!CS29</f>
        <v/>
      </c>
      <c r="CV360">
        <f>'Grid_Requirement'!CT29</f>
        <v/>
      </c>
      <c r="CW360">
        <f>'Grid_Requirement'!CU29</f>
        <v/>
      </c>
      <c r="CX360">
        <f>'Grid_Requirement'!CV29</f>
        <v/>
      </c>
      <c r="CY360">
        <f>'Grid_Requirement'!CW29</f>
        <v/>
      </c>
      <c r="CZ360">
        <f>'Grid_Requirement'!CX29</f>
        <v/>
      </c>
      <c r="DA360">
        <f>'Grid_Requirement'!CY29</f>
        <v/>
      </c>
      <c r="DB360">
        <f>'Grid_Requirement'!CZ29</f>
        <v/>
      </c>
      <c r="DC360">
        <f>'Grid_Requirement'!DA29</f>
        <v/>
      </c>
    </row>
    <row r="361">
      <c r="B361" t="inlineStr">
        <is>
          <t>TTAF在庫(実績,kg)</t>
        </is>
      </c>
      <c r="D361">
        <f>'T_TTAFStock'!B33</f>
        <v/>
      </c>
      <c r="E361">
        <f>'T_TTAFStock'!C33</f>
        <v/>
      </c>
      <c r="F361">
        <f>'T_TTAFStock'!D33</f>
        <v/>
      </c>
      <c r="G361">
        <f>'T_TTAFStock'!E33</f>
        <v/>
      </c>
      <c r="H361">
        <f>'T_TTAFStock'!F33</f>
        <v/>
      </c>
      <c r="I361">
        <f>'T_TTAFStock'!G33</f>
        <v/>
      </c>
      <c r="J361">
        <f>'T_TTAFStock'!H33</f>
        <v/>
      </c>
      <c r="K361">
        <f>'T_TTAFStock'!I33</f>
        <v/>
      </c>
      <c r="L361">
        <f>'T_TTAFStock'!J33</f>
        <v/>
      </c>
      <c r="M361">
        <f>'T_TTAFStock'!K33</f>
        <v/>
      </c>
      <c r="N361">
        <f>'T_TTAFStock'!L33</f>
        <v/>
      </c>
      <c r="O361">
        <f>'T_TTAFStock'!M33</f>
        <v/>
      </c>
      <c r="P361">
        <f>'T_TTAFStock'!N33</f>
        <v/>
      </c>
      <c r="Q361">
        <f>'T_TTAFStock'!O33</f>
        <v/>
      </c>
      <c r="R361">
        <f>'T_TTAFStock'!P33</f>
        <v/>
      </c>
      <c r="S361">
        <f>'T_TTAFStock'!Q33</f>
        <v/>
      </c>
      <c r="T361">
        <f>'T_TTAFStock'!R33</f>
        <v/>
      </c>
      <c r="U361">
        <f>'T_TTAFStock'!S33</f>
        <v/>
      </c>
      <c r="V361">
        <f>'T_TTAFStock'!T33</f>
        <v/>
      </c>
      <c r="W361">
        <f>'T_TTAFStock'!U33</f>
        <v/>
      </c>
      <c r="X361">
        <f>'T_TTAFStock'!V33</f>
        <v/>
      </c>
      <c r="Y361">
        <f>'T_TTAFStock'!W33</f>
        <v/>
      </c>
      <c r="Z361">
        <f>'T_TTAFStock'!X33</f>
        <v/>
      </c>
      <c r="AA361">
        <f>'T_TTAFStock'!Y33</f>
        <v/>
      </c>
      <c r="AB361">
        <f>'T_TTAFStock'!Z33</f>
        <v/>
      </c>
      <c r="AC361">
        <f>'T_TTAFStock'!AA33</f>
        <v/>
      </c>
      <c r="AD361">
        <f>'T_TTAFStock'!AB33</f>
        <v/>
      </c>
      <c r="AE361">
        <f>'T_TTAFStock'!AC33</f>
        <v/>
      </c>
      <c r="AF361">
        <f>'T_TTAFStock'!AD33</f>
        <v/>
      </c>
      <c r="AG361">
        <f>'T_TTAFStock'!AE33</f>
        <v/>
      </c>
      <c r="AH361">
        <f>'T_TTAFStock'!AF33</f>
        <v/>
      </c>
      <c r="AI361">
        <f>'T_TTAFStock'!AG33</f>
        <v/>
      </c>
      <c r="AJ361">
        <f>'T_TTAFStock'!AH33</f>
        <v/>
      </c>
      <c r="AK361">
        <f>'T_TTAFStock'!AI33</f>
        <v/>
      </c>
      <c r="AL361">
        <f>'T_TTAFStock'!AJ33</f>
        <v/>
      </c>
      <c r="AM361">
        <f>'T_TTAFStock'!AK33</f>
        <v/>
      </c>
      <c r="AN361">
        <f>'T_TTAFStock'!AL33</f>
        <v/>
      </c>
      <c r="AO361">
        <f>'T_TTAFStock'!AM33</f>
        <v/>
      </c>
      <c r="AP361">
        <f>'T_TTAFStock'!AN33</f>
        <v/>
      </c>
      <c r="AQ361">
        <f>'T_TTAFStock'!AO33</f>
        <v/>
      </c>
      <c r="AR361">
        <f>'T_TTAFStock'!AP33</f>
        <v/>
      </c>
      <c r="AS361">
        <f>'T_TTAFStock'!AQ33</f>
        <v/>
      </c>
      <c r="AT361">
        <f>'T_TTAFStock'!AR33</f>
        <v/>
      </c>
      <c r="AU361">
        <f>'T_TTAFStock'!AS33</f>
        <v/>
      </c>
      <c r="AV361">
        <f>'T_TTAFStock'!AT33</f>
        <v/>
      </c>
      <c r="AW361">
        <f>'T_TTAFStock'!AU33</f>
        <v/>
      </c>
      <c r="AX361">
        <f>'T_TTAFStock'!AV33</f>
        <v/>
      </c>
      <c r="AY361">
        <f>'T_TTAFStock'!AW33</f>
        <v/>
      </c>
      <c r="AZ361">
        <f>'T_TTAFStock'!AX33</f>
        <v/>
      </c>
      <c r="BA361">
        <f>'T_TTAFStock'!AY33</f>
        <v/>
      </c>
      <c r="BB361">
        <f>'T_TTAFStock'!AZ33</f>
        <v/>
      </c>
      <c r="BC361">
        <f>'T_TTAFStock'!BA33</f>
        <v/>
      </c>
      <c r="BD361">
        <f>'T_TTAFStock'!BB33</f>
        <v/>
      </c>
      <c r="BE361">
        <f>'T_TTAFStock'!BC33</f>
        <v/>
      </c>
      <c r="BF361">
        <f>'T_TTAFStock'!BD33</f>
        <v/>
      </c>
      <c r="BG361">
        <f>'T_TTAFStock'!BE33</f>
        <v/>
      </c>
      <c r="BH361">
        <f>'T_TTAFStock'!BF33</f>
        <v/>
      </c>
      <c r="BI361">
        <f>'T_TTAFStock'!BG33</f>
        <v/>
      </c>
      <c r="BJ361">
        <f>'T_TTAFStock'!BH33</f>
        <v/>
      </c>
      <c r="BK361">
        <f>'T_TTAFStock'!BI33</f>
        <v/>
      </c>
      <c r="BL361">
        <f>'T_TTAFStock'!BJ33</f>
        <v/>
      </c>
      <c r="BM361">
        <f>'T_TTAFStock'!BK33</f>
        <v/>
      </c>
      <c r="BN361">
        <f>'T_TTAFStock'!BL33</f>
        <v/>
      </c>
      <c r="BO361">
        <f>'T_TTAFStock'!BM33</f>
        <v/>
      </c>
      <c r="BP361">
        <f>'T_TTAFStock'!BN33</f>
        <v/>
      </c>
      <c r="BQ361">
        <f>'T_TTAFStock'!BO33</f>
        <v/>
      </c>
      <c r="BR361">
        <f>'T_TTAFStock'!BP33</f>
        <v/>
      </c>
      <c r="BS361">
        <f>'T_TTAFStock'!BQ33</f>
        <v/>
      </c>
      <c r="BT361">
        <f>'T_TTAFStock'!BR33</f>
        <v/>
      </c>
      <c r="BU361">
        <f>'T_TTAFStock'!BS33</f>
        <v/>
      </c>
      <c r="BV361">
        <f>'T_TTAFStock'!BT33</f>
        <v/>
      </c>
      <c r="BW361">
        <f>'T_TTAFStock'!BU33</f>
        <v/>
      </c>
      <c r="BX361">
        <f>'T_TTAFStock'!BV33</f>
        <v/>
      </c>
      <c r="BY361">
        <f>'T_TTAFStock'!BW33</f>
        <v/>
      </c>
      <c r="BZ361">
        <f>'T_TTAFStock'!BX33</f>
        <v/>
      </c>
      <c r="CA361">
        <f>'T_TTAFStock'!BY33</f>
        <v/>
      </c>
      <c r="CB361">
        <f>'T_TTAFStock'!BZ33</f>
        <v/>
      </c>
      <c r="CC361">
        <f>'T_TTAFStock'!CA33</f>
        <v/>
      </c>
      <c r="CD361">
        <f>'T_TTAFStock'!CB33</f>
        <v/>
      </c>
      <c r="CE361">
        <f>'T_TTAFStock'!CC33</f>
        <v/>
      </c>
      <c r="CF361">
        <f>'T_TTAFStock'!CD33</f>
        <v/>
      </c>
      <c r="CG361">
        <f>'T_TTAFStock'!CE33</f>
        <v/>
      </c>
      <c r="CH361">
        <f>'T_TTAFStock'!CF33</f>
        <v/>
      </c>
      <c r="CI361">
        <f>'T_TTAFStock'!CG33</f>
        <v/>
      </c>
      <c r="CJ361">
        <f>'T_TTAFStock'!CH33</f>
        <v/>
      </c>
      <c r="CK361">
        <f>'T_TTAFStock'!CI33</f>
        <v/>
      </c>
      <c r="CL361">
        <f>'T_TTAFStock'!CJ33</f>
        <v/>
      </c>
      <c r="CM361">
        <f>'T_TTAFStock'!CK33</f>
        <v/>
      </c>
      <c r="CN361">
        <f>'T_TTAFStock'!CL33</f>
        <v/>
      </c>
      <c r="CO361">
        <f>'T_TTAFStock'!CM33</f>
        <v/>
      </c>
      <c r="CP361">
        <f>'T_TTAFStock'!CN33</f>
        <v/>
      </c>
      <c r="CQ361">
        <f>'T_TTAFStock'!CO33</f>
        <v/>
      </c>
      <c r="CR361">
        <f>'T_TTAFStock'!CP33</f>
        <v/>
      </c>
      <c r="CS361">
        <f>'T_TTAFStock'!CQ33</f>
        <v/>
      </c>
      <c r="CT361">
        <f>'T_TTAFStock'!CR33</f>
        <v/>
      </c>
      <c r="CU361">
        <f>'T_TTAFStock'!CS33</f>
        <v/>
      </c>
      <c r="CV361">
        <f>'T_TTAFStock'!CT33</f>
        <v/>
      </c>
      <c r="CW361">
        <f>'T_TTAFStock'!CU33</f>
        <v/>
      </c>
      <c r="CX361">
        <f>'T_TTAFStock'!CV33</f>
        <v/>
      </c>
      <c r="CY361">
        <f>'T_TTAFStock'!CW33</f>
        <v/>
      </c>
      <c r="CZ361">
        <f>'T_TTAFStock'!CX33</f>
        <v/>
      </c>
      <c r="DA361">
        <f>'T_TTAFStock'!CY33</f>
        <v/>
      </c>
      <c r="DB361">
        <f>'T_TTAFStock'!CZ33</f>
        <v/>
      </c>
      <c r="DC361">
        <f>'T_TTAFStock'!DA33</f>
        <v/>
      </c>
    </row>
    <row r="362">
      <c r="B362" t="inlineStr">
        <is>
          <t>自社在庫(実績,kg)</t>
        </is>
      </c>
      <c r="D362">
        <f>'T_SelfStock'!B33</f>
        <v/>
      </c>
      <c r="E362">
        <f>'T_SelfStock'!C33</f>
        <v/>
      </c>
      <c r="F362">
        <f>'T_SelfStock'!D33</f>
        <v/>
      </c>
      <c r="G362">
        <f>'T_SelfStock'!E33</f>
        <v/>
      </c>
      <c r="H362">
        <f>'T_SelfStock'!F33</f>
        <v/>
      </c>
      <c r="I362">
        <f>'T_SelfStock'!G33</f>
        <v/>
      </c>
      <c r="J362">
        <f>'T_SelfStock'!H33</f>
        <v/>
      </c>
      <c r="K362">
        <f>'T_SelfStock'!I33</f>
        <v/>
      </c>
      <c r="L362">
        <f>'T_SelfStock'!J33</f>
        <v/>
      </c>
      <c r="M362">
        <f>'T_SelfStock'!K33</f>
        <v/>
      </c>
      <c r="N362">
        <f>'T_SelfStock'!L33</f>
        <v/>
      </c>
      <c r="O362">
        <f>'T_SelfStock'!M33</f>
        <v/>
      </c>
      <c r="P362">
        <f>'T_SelfStock'!N33</f>
        <v/>
      </c>
      <c r="Q362">
        <f>'T_SelfStock'!O33</f>
        <v/>
      </c>
      <c r="R362">
        <f>'T_SelfStock'!P33</f>
        <v/>
      </c>
      <c r="S362">
        <f>'T_SelfStock'!Q33</f>
        <v/>
      </c>
      <c r="T362">
        <f>'T_SelfStock'!R33</f>
        <v/>
      </c>
      <c r="U362">
        <f>'T_SelfStock'!S33</f>
        <v/>
      </c>
      <c r="V362">
        <f>'T_SelfStock'!T33</f>
        <v/>
      </c>
      <c r="W362">
        <f>'T_SelfStock'!U33</f>
        <v/>
      </c>
      <c r="X362">
        <f>'T_SelfStock'!V33</f>
        <v/>
      </c>
      <c r="Y362">
        <f>'T_SelfStock'!W33</f>
        <v/>
      </c>
      <c r="Z362">
        <f>'T_SelfStock'!X33</f>
        <v/>
      </c>
      <c r="AA362">
        <f>'T_SelfStock'!Y33</f>
        <v/>
      </c>
      <c r="AB362">
        <f>'T_SelfStock'!Z33</f>
        <v/>
      </c>
      <c r="AC362">
        <f>'T_SelfStock'!AA33</f>
        <v/>
      </c>
      <c r="AD362">
        <f>'T_SelfStock'!AB33</f>
        <v/>
      </c>
      <c r="AE362">
        <f>'T_SelfStock'!AC33</f>
        <v/>
      </c>
      <c r="AF362">
        <f>'T_SelfStock'!AD33</f>
        <v/>
      </c>
      <c r="AG362">
        <f>'T_SelfStock'!AE33</f>
        <v/>
      </c>
      <c r="AH362">
        <f>'T_SelfStock'!AF33</f>
        <v/>
      </c>
      <c r="AI362">
        <f>'T_SelfStock'!AG33</f>
        <v/>
      </c>
      <c r="AJ362">
        <f>'T_SelfStock'!AH33</f>
        <v/>
      </c>
      <c r="AK362">
        <f>'T_SelfStock'!AI33</f>
        <v/>
      </c>
      <c r="AL362">
        <f>'T_SelfStock'!AJ33</f>
        <v/>
      </c>
      <c r="AM362">
        <f>'T_SelfStock'!AK33</f>
        <v/>
      </c>
      <c r="AN362">
        <f>'T_SelfStock'!AL33</f>
        <v/>
      </c>
      <c r="AO362">
        <f>'T_SelfStock'!AM33</f>
        <v/>
      </c>
      <c r="AP362">
        <f>'T_SelfStock'!AN33</f>
        <v/>
      </c>
      <c r="AQ362">
        <f>'T_SelfStock'!AO33</f>
        <v/>
      </c>
      <c r="AR362">
        <f>'T_SelfStock'!AP33</f>
        <v/>
      </c>
      <c r="AS362">
        <f>'T_SelfStock'!AQ33</f>
        <v/>
      </c>
      <c r="AT362">
        <f>'T_SelfStock'!AR33</f>
        <v/>
      </c>
      <c r="AU362">
        <f>'T_SelfStock'!AS33</f>
        <v/>
      </c>
      <c r="AV362">
        <f>'T_SelfStock'!AT33</f>
        <v/>
      </c>
      <c r="AW362">
        <f>'T_SelfStock'!AU33</f>
        <v/>
      </c>
      <c r="AX362">
        <f>'T_SelfStock'!AV33</f>
        <v/>
      </c>
      <c r="AY362">
        <f>'T_SelfStock'!AW33</f>
        <v/>
      </c>
      <c r="AZ362">
        <f>'T_SelfStock'!AX33</f>
        <v/>
      </c>
      <c r="BA362">
        <f>'T_SelfStock'!AY33</f>
        <v/>
      </c>
      <c r="BB362">
        <f>'T_SelfStock'!AZ33</f>
        <v/>
      </c>
      <c r="BC362">
        <f>'T_SelfStock'!BA33</f>
        <v/>
      </c>
      <c r="BD362">
        <f>'T_SelfStock'!BB33</f>
        <v/>
      </c>
      <c r="BE362">
        <f>'T_SelfStock'!BC33</f>
        <v/>
      </c>
      <c r="BF362">
        <f>'T_SelfStock'!BD33</f>
        <v/>
      </c>
      <c r="BG362">
        <f>'T_SelfStock'!BE33</f>
        <v/>
      </c>
      <c r="BH362">
        <f>'T_SelfStock'!BF33</f>
        <v/>
      </c>
      <c r="BI362">
        <f>'T_SelfStock'!BG33</f>
        <v/>
      </c>
      <c r="BJ362">
        <f>'T_SelfStock'!BH33</f>
        <v/>
      </c>
      <c r="BK362">
        <f>'T_SelfStock'!BI33</f>
        <v/>
      </c>
      <c r="BL362">
        <f>'T_SelfStock'!BJ33</f>
        <v/>
      </c>
      <c r="BM362">
        <f>'T_SelfStock'!BK33</f>
        <v/>
      </c>
      <c r="BN362">
        <f>'T_SelfStock'!BL33</f>
        <v/>
      </c>
      <c r="BO362">
        <f>'T_SelfStock'!BM33</f>
        <v/>
      </c>
      <c r="BP362">
        <f>'T_SelfStock'!BN33</f>
        <v/>
      </c>
      <c r="BQ362">
        <f>'T_SelfStock'!BO33</f>
        <v/>
      </c>
      <c r="BR362">
        <f>'T_SelfStock'!BP33</f>
        <v/>
      </c>
      <c r="BS362">
        <f>'T_SelfStock'!BQ33</f>
        <v/>
      </c>
      <c r="BT362">
        <f>'T_SelfStock'!BR33</f>
        <v/>
      </c>
      <c r="BU362">
        <f>'T_SelfStock'!BS33</f>
        <v/>
      </c>
      <c r="BV362">
        <f>'T_SelfStock'!BT33</f>
        <v/>
      </c>
      <c r="BW362">
        <f>'T_SelfStock'!BU33</f>
        <v/>
      </c>
      <c r="BX362">
        <f>'T_SelfStock'!BV33</f>
        <v/>
      </c>
      <c r="BY362">
        <f>'T_SelfStock'!BW33</f>
        <v/>
      </c>
      <c r="BZ362">
        <f>'T_SelfStock'!BX33</f>
        <v/>
      </c>
      <c r="CA362">
        <f>'T_SelfStock'!BY33</f>
        <v/>
      </c>
      <c r="CB362">
        <f>'T_SelfStock'!BZ33</f>
        <v/>
      </c>
      <c r="CC362">
        <f>'T_SelfStock'!CA33</f>
        <v/>
      </c>
      <c r="CD362">
        <f>'T_SelfStock'!CB33</f>
        <v/>
      </c>
      <c r="CE362">
        <f>'T_SelfStock'!CC33</f>
        <v/>
      </c>
      <c r="CF362">
        <f>'T_SelfStock'!CD33</f>
        <v/>
      </c>
      <c r="CG362">
        <f>'T_SelfStock'!CE33</f>
        <v/>
      </c>
      <c r="CH362">
        <f>'T_SelfStock'!CF33</f>
        <v/>
      </c>
      <c r="CI362">
        <f>'T_SelfStock'!CG33</f>
        <v/>
      </c>
      <c r="CJ362">
        <f>'T_SelfStock'!CH33</f>
        <v/>
      </c>
      <c r="CK362">
        <f>'T_SelfStock'!CI33</f>
        <v/>
      </c>
      <c r="CL362">
        <f>'T_SelfStock'!CJ33</f>
        <v/>
      </c>
      <c r="CM362">
        <f>'T_SelfStock'!CK33</f>
        <v/>
      </c>
      <c r="CN362">
        <f>'T_SelfStock'!CL33</f>
        <v/>
      </c>
      <c r="CO362">
        <f>'T_SelfStock'!CM33</f>
        <v/>
      </c>
      <c r="CP362">
        <f>'T_SelfStock'!CN33</f>
        <v/>
      </c>
      <c r="CQ362">
        <f>'T_SelfStock'!CO33</f>
        <v/>
      </c>
      <c r="CR362">
        <f>'T_SelfStock'!CP33</f>
        <v/>
      </c>
      <c r="CS362">
        <f>'T_SelfStock'!CQ33</f>
        <v/>
      </c>
      <c r="CT362">
        <f>'T_SelfStock'!CR33</f>
        <v/>
      </c>
      <c r="CU362">
        <f>'T_SelfStock'!CS33</f>
        <v/>
      </c>
      <c r="CV362">
        <f>'T_SelfStock'!CT33</f>
        <v/>
      </c>
      <c r="CW362">
        <f>'T_SelfStock'!CU33</f>
        <v/>
      </c>
      <c r="CX362">
        <f>'T_SelfStock'!CV33</f>
        <v/>
      </c>
      <c r="CY362">
        <f>'T_SelfStock'!CW33</f>
        <v/>
      </c>
      <c r="CZ362">
        <f>'T_SelfStock'!CX33</f>
        <v/>
      </c>
      <c r="DA362">
        <f>'T_SelfStock'!CY33</f>
        <v/>
      </c>
      <c r="DB362">
        <f>'T_SelfStock'!CZ33</f>
        <v/>
      </c>
      <c r="DC362">
        <f>'T_SelfStock'!DA33</f>
        <v/>
      </c>
    </row>
    <row r="363">
      <c r="B363" t="inlineStr">
        <is>
          <t>Order(発注予定,kg)</t>
        </is>
      </c>
      <c r="D363">
        <f>IF(SUMIFS(T_PlannedOrders[EffectiveQty],T_PlannedOrders[Part Name],$A351,T_PlannedOrders[WeekIndex],1)=0,"",SUMIFS(T_PlannedOrders[EffectiveQty],T_PlannedOrders[Part Name],$A351,T_PlannedOrders[WeekIndex],1)&amp;" ("&amp;TEXT(SUMPRODUCT(MAX((T_PlannedOrders[Part Name]=$A351)*(T_PlannedOrders[WeekIndex]=1)*(T_PlannedOrders[EffectiveQty]&gt;0)*T_PlannedOrders[Order_Month])),"m月")&amp;"発注)")</f>
        <v/>
      </c>
      <c r="E363">
        <f>IF(SUMIFS(T_PlannedOrders[EffectiveQty],T_PlannedOrders[Part Name],$A351,T_PlannedOrders[WeekIndex],2)=0,"",SUMIFS(T_PlannedOrders[EffectiveQty],T_PlannedOrders[Part Name],$A351,T_PlannedOrders[WeekIndex],2)&amp;" ("&amp;TEXT(SUMPRODUCT(MAX((T_PlannedOrders[Part Name]=$A351)*(T_PlannedOrders[WeekIndex]=2)*(T_PlannedOrders[EffectiveQty]&gt;0)*T_PlannedOrders[Order_Month])),"m月")&amp;"発注)")</f>
        <v/>
      </c>
      <c r="F363">
        <f>IF(SUMIFS(T_PlannedOrders[EffectiveQty],T_PlannedOrders[Part Name],$A351,T_PlannedOrders[WeekIndex],3)=0,"",SUMIFS(T_PlannedOrders[EffectiveQty],T_PlannedOrders[Part Name],$A351,T_PlannedOrders[WeekIndex],3)&amp;" ("&amp;TEXT(SUMPRODUCT(MAX((T_PlannedOrders[Part Name]=$A351)*(T_PlannedOrders[WeekIndex]=3)*(T_PlannedOrders[EffectiveQty]&gt;0)*T_PlannedOrders[Order_Month])),"m月")&amp;"発注)")</f>
        <v/>
      </c>
      <c r="G363">
        <f>IF(SUMIFS(T_PlannedOrders[EffectiveQty],T_PlannedOrders[Part Name],$A351,T_PlannedOrders[WeekIndex],4)=0,"",SUMIFS(T_PlannedOrders[EffectiveQty],T_PlannedOrders[Part Name],$A351,T_PlannedOrders[WeekIndex],4)&amp;" ("&amp;TEXT(SUMPRODUCT(MAX((T_PlannedOrders[Part Name]=$A351)*(T_PlannedOrders[WeekIndex]=4)*(T_PlannedOrders[EffectiveQty]&gt;0)*T_PlannedOrders[Order_Month])),"m月")&amp;"発注)")</f>
        <v/>
      </c>
      <c r="H363">
        <f>IF(SUMIFS(T_PlannedOrders[EffectiveQty],T_PlannedOrders[Part Name],$A351,T_PlannedOrders[WeekIndex],5)=0,"",SUMIFS(T_PlannedOrders[EffectiveQty],T_PlannedOrders[Part Name],$A351,T_PlannedOrders[WeekIndex],5)&amp;" ("&amp;TEXT(SUMPRODUCT(MAX((T_PlannedOrders[Part Name]=$A351)*(T_PlannedOrders[WeekIndex]=5)*(T_PlannedOrders[EffectiveQty]&gt;0)*T_PlannedOrders[Order_Month])),"m月")&amp;"発注)")</f>
        <v/>
      </c>
      <c r="I363">
        <f>IF(SUMIFS(T_PlannedOrders[EffectiveQty],T_PlannedOrders[Part Name],$A351,T_PlannedOrders[WeekIndex],6)=0,"",SUMIFS(T_PlannedOrders[EffectiveQty],T_PlannedOrders[Part Name],$A351,T_PlannedOrders[WeekIndex],6)&amp;" ("&amp;TEXT(SUMPRODUCT(MAX((T_PlannedOrders[Part Name]=$A351)*(T_PlannedOrders[WeekIndex]=6)*(T_PlannedOrders[EffectiveQty]&gt;0)*T_PlannedOrders[Order_Month])),"m月")&amp;"発注)")</f>
        <v/>
      </c>
      <c r="J363">
        <f>IF(SUMIFS(T_PlannedOrders[EffectiveQty],T_PlannedOrders[Part Name],$A351,T_PlannedOrders[WeekIndex],7)=0,"",SUMIFS(T_PlannedOrders[EffectiveQty],T_PlannedOrders[Part Name],$A351,T_PlannedOrders[WeekIndex],7)&amp;" ("&amp;TEXT(SUMPRODUCT(MAX((T_PlannedOrders[Part Name]=$A351)*(T_PlannedOrders[WeekIndex]=7)*(T_PlannedOrders[EffectiveQty]&gt;0)*T_PlannedOrders[Order_Month])),"m月")&amp;"発注)")</f>
        <v/>
      </c>
      <c r="K363">
        <f>IF(SUMIFS(T_PlannedOrders[EffectiveQty],T_PlannedOrders[Part Name],$A351,T_PlannedOrders[WeekIndex],8)=0,"",SUMIFS(T_PlannedOrders[EffectiveQty],T_PlannedOrders[Part Name],$A351,T_PlannedOrders[WeekIndex],8)&amp;" ("&amp;TEXT(SUMPRODUCT(MAX((T_PlannedOrders[Part Name]=$A351)*(T_PlannedOrders[WeekIndex]=8)*(T_PlannedOrders[EffectiveQty]&gt;0)*T_PlannedOrders[Order_Month])),"m月")&amp;"発注)")</f>
        <v/>
      </c>
      <c r="L363">
        <f>IF(SUMIFS(T_PlannedOrders[EffectiveQty],T_PlannedOrders[Part Name],$A351,T_PlannedOrders[WeekIndex],9)=0,"",SUMIFS(T_PlannedOrders[EffectiveQty],T_PlannedOrders[Part Name],$A351,T_PlannedOrders[WeekIndex],9)&amp;" ("&amp;TEXT(SUMPRODUCT(MAX((T_PlannedOrders[Part Name]=$A351)*(T_PlannedOrders[WeekIndex]=9)*(T_PlannedOrders[EffectiveQty]&gt;0)*T_PlannedOrders[Order_Month])),"m月")&amp;"発注)")</f>
        <v/>
      </c>
      <c r="M363">
        <f>IF(SUMIFS(T_PlannedOrders[EffectiveQty],T_PlannedOrders[Part Name],$A351,T_PlannedOrders[WeekIndex],10)=0,"",SUMIFS(T_PlannedOrders[EffectiveQty],T_PlannedOrders[Part Name],$A351,T_PlannedOrders[WeekIndex],10)&amp;" ("&amp;TEXT(SUMPRODUCT(MAX((T_PlannedOrders[Part Name]=$A351)*(T_PlannedOrders[WeekIndex]=10)*(T_PlannedOrders[EffectiveQty]&gt;0)*T_PlannedOrders[Order_Month])),"m月")&amp;"発注)")</f>
        <v/>
      </c>
      <c r="N363">
        <f>IF(SUMIFS(T_PlannedOrders[EffectiveQty],T_PlannedOrders[Part Name],$A351,T_PlannedOrders[WeekIndex],11)=0,"",SUMIFS(T_PlannedOrders[EffectiveQty],T_PlannedOrders[Part Name],$A351,T_PlannedOrders[WeekIndex],11)&amp;" ("&amp;TEXT(SUMPRODUCT(MAX((T_PlannedOrders[Part Name]=$A351)*(T_PlannedOrders[WeekIndex]=11)*(T_PlannedOrders[EffectiveQty]&gt;0)*T_PlannedOrders[Order_Month])),"m月")&amp;"発注)")</f>
        <v/>
      </c>
      <c r="O363">
        <f>IF(SUMIFS(T_PlannedOrders[EffectiveQty],T_PlannedOrders[Part Name],$A351,T_PlannedOrders[WeekIndex],12)=0,"",SUMIFS(T_PlannedOrders[EffectiveQty],T_PlannedOrders[Part Name],$A351,T_PlannedOrders[WeekIndex],12)&amp;" ("&amp;TEXT(SUMPRODUCT(MAX((T_PlannedOrders[Part Name]=$A351)*(T_PlannedOrders[WeekIndex]=12)*(T_PlannedOrders[EffectiveQty]&gt;0)*T_PlannedOrders[Order_Month])),"m月")&amp;"発注)")</f>
        <v/>
      </c>
      <c r="P363">
        <f>IF(SUMIFS(T_PlannedOrders[EffectiveQty],T_PlannedOrders[Part Name],$A351,T_PlannedOrders[WeekIndex],13)=0,"",SUMIFS(T_PlannedOrders[EffectiveQty],T_PlannedOrders[Part Name],$A351,T_PlannedOrders[WeekIndex],13)&amp;" ("&amp;TEXT(SUMPRODUCT(MAX((T_PlannedOrders[Part Name]=$A351)*(T_PlannedOrders[WeekIndex]=13)*(T_PlannedOrders[EffectiveQty]&gt;0)*T_PlannedOrders[Order_Month])),"m月")&amp;"発注)")</f>
        <v/>
      </c>
      <c r="Q363">
        <f>IF(SUMIFS(T_PlannedOrders[EffectiveQty],T_PlannedOrders[Part Name],$A351,T_PlannedOrders[WeekIndex],14)=0,"",SUMIFS(T_PlannedOrders[EffectiveQty],T_PlannedOrders[Part Name],$A351,T_PlannedOrders[WeekIndex],14)&amp;" ("&amp;TEXT(SUMPRODUCT(MAX((T_PlannedOrders[Part Name]=$A351)*(T_PlannedOrders[WeekIndex]=14)*(T_PlannedOrders[EffectiveQty]&gt;0)*T_PlannedOrders[Order_Month])),"m月")&amp;"発注)")</f>
        <v/>
      </c>
      <c r="R363">
        <f>IF(SUMIFS(T_PlannedOrders[EffectiveQty],T_PlannedOrders[Part Name],$A351,T_PlannedOrders[WeekIndex],15)=0,"",SUMIFS(T_PlannedOrders[EffectiveQty],T_PlannedOrders[Part Name],$A351,T_PlannedOrders[WeekIndex],15)&amp;" ("&amp;TEXT(SUMPRODUCT(MAX((T_PlannedOrders[Part Name]=$A351)*(T_PlannedOrders[WeekIndex]=15)*(T_PlannedOrders[EffectiveQty]&gt;0)*T_PlannedOrders[Order_Month])),"m月")&amp;"発注)")</f>
        <v/>
      </c>
      <c r="S363">
        <f>IF(SUMIFS(T_PlannedOrders[EffectiveQty],T_PlannedOrders[Part Name],$A351,T_PlannedOrders[WeekIndex],16)=0,"",SUMIFS(T_PlannedOrders[EffectiveQty],T_PlannedOrders[Part Name],$A351,T_PlannedOrders[WeekIndex],16)&amp;" ("&amp;TEXT(SUMPRODUCT(MAX((T_PlannedOrders[Part Name]=$A351)*(T_PlannedOrders[WeekIndex]=16)*(T_PlannedOrders[EffectiveQty]&gt;0)*T_PlannedOrders[Order_Month])),"m月")&amp;"発注)")</f>
        <v/>
      </c>
      <c r="T363">
        <f>IF(SUMIFS(T_PlannedOrders[EffectiveQty],T_PlannedOrders[Part Name],$A351,T_PlannedOrders[WeekIndex],17)=0,"",SUMIFS(T_PlannedOrders[EffectiveQty],T_PlannedOrders[Part Name],$A351,T_PlannedOrders[WeekIndex],17)&amp;" ("&amp;TEXT(SUMPRODUCT(MAX((T_PlannedOrders[Part Name]=$A351)*(T_PlannedOrders[WeekIndex]=17)*(T_PlannedOrders[EffectiveQty]&gt;0)*T_PlannedOrders[Order_Month])),"m月")&amp;"発注)")</f>
        <v/>
      </c>
      <c r="U363">
        <f>IF(SUMIFS(T_PlannedOrders[EffectiveQty],T_PlannedOrders[Part Name],$A351,T_PlannedOrders[WeekIndex],18)=0,"",SUMIFS(T_PlannedOrders[EffectiveQty],T_PlannedOrders[Part Name],$A351,T_PlannedOrders[WeekIndex],18)&amp;" ("&amp;TEXT(SUMPRODUCT(MAX((T_PlannedOrders[Part Name]=$A351)*(T_PlannedOrders[WeekIndex]=18)*(T_PlannedOrders[EffectiveQty]&gt;0)*T_PlannedOrders[Order_Month])),"m月")&amp;"発注)")</f>
        <v/>
      </c>
      <c r="V363">
        <f>IF(SUMIFS(T_PlannedOrders[EffectiveQty],T_PlannedOrders[Part Name],$A351,T_PlannedOrders[WeekIndex],19)=0,"",SUMIFS(T_PlannedOrders[EffectiveQty],T_PlannedOrders[Part Name],$A351,T_PlannedOrders[WeekIndex],19)&amp;" ("&amp;TEXT(SUMPRODUCT(MAX((T_PlannedOrders[Part Name]=$A351)*(T_PlannedOrders[WeekIndex]=19)*(T_PlannedOrders[EffectiveQty]&gt;0)*T_PlannedOrders[Order_Month])),"m月")&amp;"発注)")</f>
        <v/>
      </c>
      <c r="W363">
        <f>IF(SUMIFS(T_PlannedOrders[EffectiveQty],T_PlannedOrders[Part Name],$A351,T_PlannedOrders[WeekIndex],20)=0,"",SUMIFS(T_PlannedOrders[EffectiveQty],T_PlannedOrders[Part Name],$A351,T_PlannedOrders[WeekIndex],20)&amp;" ("&amp;TEXT(SUMPRODUCT(MAX((T_PlannedOrders[Part Name]=$A351)*(T_PlannedOrders[WeekIndex]=20)*(T_PlannedOrders[EffectiveQty]&gt;0)*T_PlannedOrders[Order_Month])),"m月")&amp;"発注)")</f>
        <v/>
      </c>
      <c r="X363">
        <f>IF(SUMIFS(T_PlannedOrders[EffectiveQty],T_PlannedOrders[Part Name],$A351,T_PlannedOrders[WeekIndex],21)=0,"",SUMIFS(T_PlannedOrders[EffectiveQty],T_PlannedOrders[Part Name],$A351,T_PlannedOrders[WeekIndex],21)&amp;" ("&amp;TEXT(SUMPRODUCT(MAX((T_PlannedOrders[Part Name]=$A351)*(T_PlannedOrders[WeekIndex]=21)*(T_PlannedOrders[EffectiveQty]&gt;0)*T_PlannedOrders[Order_Month])),"m月")&amp;"発注)")</f>
        <v/>
      </c>
      <c r="Y363">
        <f>IF(SUMIFS(T_PlannedOrders[EffectiveQty],T_PlannedOrders[Part Name],$A351,T_PlannedOrders[WeekIndex],22)=0,"",SUMIFS(T_PlannedOrders[EffectiveQty],T_PlannedOrders[Part Name],$A351,T_PlannedOrders[WeekIndex],22)&amp;" ("&amp;TEXT(SUMPRODUCT(MAX((T_PlannedOrders[Part Name]=$A351)*(T_PlannedOrders[WeekIndex]=22)*(T_PlannedOrders[EffectiveQty]&gt;0)*T_PlannedOrders[Order_Month])),"m月")&amp;"発注)")</f>
        <v/>
      </c>
      <c r="Z363">
        <f>IF(SUMIFS(T_PlannedOrders[EffectiveQty],T_PlannedOrders[Part Name],$A351,T_PlannedOrders[WeekIndex],23)=0,"",SUMIFS(T_PlannedOrders[EffectiveQty],T_PlannedOrders[Part Name],$A351,T_PlannedOrders[WeekIndex],23)&amp;" ("&amp;TEXT(SUMPRODUCT(MAX((T_PlannedOrders[Part Name]=$A351)*(T_PlannedOrders[WeekIndex]=23)*(T_PlannedOrders[EffectiveQty]&gt;0)*T_PlannedOrders[Order_Month])),"m月")&amp;"発注)")</f>
        <v/>
      </c>
      <c r="AA363">
        <f>IF(SUMIFS(T_PlannedOrders[EffectiveQty],T_PlannedOrders[Part Name],$A351,T_PlannedOrders[WeekIndex],24)=0,"",SUMIFS(T_PlannedOrders[EffectiveQty],T_PlannedOrders[Part Name],$A351,T_PlannedOrders[WeekIndex],24)&amp;" ("&amp;TEXT(SUMPRODUCT(MAX((T_PlannedOrders[Part Name]=$A351)*(T_PlannedOrders[WeekIndex]=24)*(T_PlannedOrders[EffectiveQty]&gt;0)*T_PlannedOrders[Order_Month])),"m月")&amp;"発注)")</f>
        <v/>
      </c>
      <c r="AB363">
        <f>IF(SUMIFS(T_PlannedOrders[EffectiveQty],T_PlannedOrders[Part Name],$A351,T_PlannedOrders[WeekIndex],25)=0,"",SUMIFS(T_PlannedOrders[EffectiveQty],T_PlannedOrders[Part Name],$A351,T_PlannedOrders[WeekIndex],25)&amp;" ("&amp;TEXT(SUMPRODUCT(MAX((T_PlannedOrders[Part Name]=$A351)*(T_PlannedOrders[WeekIndex]=25)*(T_PlannedOrders[EffectiveQty]&gt;0)*T_PlannedOrders[Order_Month])),"m月")&amp;"発注)")</f>
        <v/>
      </c>
      <c r="AC363">
        <f>IF(SUMIFS(T_PlannedOrders[EffectiveQty],T_PlannedOrders[Part Name],$A351,T_PlannedOrders[WeekIndex],26)=0,"",SUMIFS(T_PlannedOrders[EffectiveQty],T_PlannedOrders[Part Name],$A351,T_PlannedOrders[WeekIndex],26)&amp;" ("&amp;TEXT(SUMPRODUCT(MAX((T_PlannedOrders[Part Name]=$A351)*(T_PlannedOrders[WeekIndex]=26)*(T_PlannedOrders[EffectiveQty]&gt;0)*T_PlannedOrders[Order_Month])),"m月")&amp;"発注)")</f>
        <v/>
      </c>
      <c r="AD363">
        <f>IF(SUMIFS(T_PlannedOrders[EffectiveQty],T_PlannedOrders[Part Name],$A351,T_PlannedOrders[WeekIndex],27)=0,"",SUMIFS(T_PlannedOrders[EffectiveQty],T_PlannedOrders[Part Name],$A351,T_PlannedOrders[WeekIndex],27)&amp;" ("&amp;TEXT(SUMPRODUCT(MAX((T_PlannedOrders[Part Name]=$A351)*(T_PlannedOrders[WeekIndex]=27)*(T_PlannedOrders[EffectiveQty]&gt;0)*T_PlannedOrders[Order_Month])),"m月")&amp;"発注)")</f>
        <v/>
      </c>
      <c r="AE363">
        <f>IF(SUMIFS(T_PlannedOrders[EffectiveQty],T_PlannedOrders[Part Name],$A351,T_PlannedOrders[WeekIndex],28)=0,"",SUMIFS(T_PlannedOrders[EffectiveQty],T_PlannedOrders[Part Name],$A351,T_PlannedOrders[WeekIndex],28)&amp;" ("&amp;TEXT(SUMPRODUCT(MAX((T_PlannedOrders[Part Name]=$A351)*(T_PlannedOrders[WeekIndex]=28)*(T_PlannedOrders[EffectiveQty]&gt;0)*T_PlannedOrders[Order_Month])),"m月")&amp;"発注)")</f>
        <v/>
      </c>
      <c r="AF363">
        <f>IF(SUMIFS(T_PlannedOrders[EffectiveQty],T_PlannedOrders[Part Name],$A351,T_PlannedOrders[WeekIndex],29)=0,"",SUMIFS(T_PlannedOrders[EffectiveQty],T_PlannedOrders[Part Name],$A351,T_PlannedOrders[WeekIndex],29)&amp;" ("&amp;TEXT(SUMPRODUCT(MAX((T_PlannedOrders[Part Name]=$A351)*(T_PlannedOrders[WeekIndex]=29)*(T_PlannedOrders[EffectiveQty]&gt;0)*T_PlannedOrders[Order_Month])),"m月")&amp;"発注)")</f>
        <v/>
      </c>
      <c r="AG363">
        <f>IF(SUMIFS(T_PlannedOrders[EffectiveQty],T_PlannedOrders[Part Name],$A351,T_PlannedOrders[WeekIndex],30)=0,"",SUMIFS(T_PlannedOrders[EffectiveQty],T_PlannedOrders[Part Name],$A351,T_PlannedOrders[WeekIndex],30)&amp;" ("&amp;TEXT(SUMPRODUCT(MAX((T_PlannedOrders[Part Name]=$A351)*(T_PlannedOrders[WeekIndex]=30)*(T_PlannedOrders[EffectiveQty]&gt;0)*T_PlannedOrders[Order_Month])),"m月")&amp;"発注)")</f>
        <v/>
      </c>
      <c r="AH363">
        <f>IF(SUMIFS(T_PlannedOrders[EffectiveQty],T_PlannedOrders[Part Name],$A351,T_PlannedOrders[WeekIndex],31)=0,"",SUMIFS(T_PlannedOrders[EffectiveQty],T_PlannedOrders[Part Name],$A351,T_PlannedOrders[WeekIndex],31)&amp;" ("&amp;TEXT(SUMPRODUCT(MAX((T_PlannedOrders[Part Name]=$A351)*(T_PlannedOrders[WeekIndex]=31)*(T_PlannedOrders[EffectiveQty]&gt;0)*T_PlannedOrders[Order_Month])),"m月")&amp;"発注)")</f>
        <v/>
      </c>
      <c r="AI363">
        <f>IF(SUMIFS(T_PlannedOrders[EffectiveQty],T_PlannedOrders[Part Name],$A351,T_PlannedOrders[WeekIndex],32)=0,"",SUMIFS(T_PlannedOrders[EffectiveQty],T_PlannedOrders[Part Name],$A351,T_PlannedOrders[WeekIndex],32)&amp;" ("&amp;TEXT(SUMPRODUCT(MAX((T_PlannedOrders[Part Name]=$A351)*(T_PlannedOrders[WeekIndex]=32)*(T_PlannedOrders[EffectiveQty]&gt;0)*T_PlannedOrders[Order_Month])),"m月")&amp;"発注)")</f>
        <v/>
      </c>
      <c r="AJ363">
        <f>IF(SUMIFS(T_PlannedOrders[EffectiveQty],T_PlannedOrders[Part Name],$A351,T_PlannedOrders[WeekIndex],33)=0,"",SUMIFS(T_PlannedOrders[EffectiveQty],T_PlannedOrders[Part Name],$A351,T_PlannedOrders[WeekIndex],33)&amp;" ("&amp;TEXT(SUMPRODUCT(MAX((T_PlannedOrders[Part Name]=$A351)*(T_PlannedOrders[WeekIndex]=33)*(T_PlannedOrders[EffectiveQty]&gt;0)*T_PlannedOrders[Order_Month])),"m月")&amp;"発注)")</f>
        <v/>
      </c>
      <c r="AK363">
        <f>IF(SUMIFS(T_PlannedOrders[EffectiveQty],T_PlannedOrders[Part Name],$A351,T_PlannedOrders[WeekIndex],34)=0,"",SUMIFS(T_PlannedOrders[EffectiveQty],T_PlannedOrders[Part Name],$A351,T_PlannedOrders[WeekIndex],34)&amp;" ("&amp;TEXT(SUMPRODUCT(MAX((T_PlannedOrders[Part Name]=$A351)*(T_PlannedOrders[WeekIndex]=34)*(T_PlannedOrders[EffectiveQty]&gt;0)*T_PlannedOrders[Order_Month])),"m月")&amp;"発注)")</f>
        <v/>
      </c>
      <c r="AL363">
        <f>IF(SUMIFS(T_PlannedOrders[EffectiveQty],T_PlannedOrders[Part Name],$A351,T_PlannedOrders[WeekIndex],35)=0,"",SUMIFS(T_PlannedOrders[EffectiveQty],T_PlannedOrders[Part Name],$A351,T_PlannedOrders[WeekIndex],35)&amp;" ("&amp;TEXT(SUMPRODUCT(MAX((T_PlannedOrders[Part Name]=$A351)*(T_PlannedOrders[WeekIndex]=35)*(T_PlannedOrders[EffectiveQty]&gt;0)*T_PlannedOrders[Order_Month])),"m月")&amp;"発注)")</f>
        <v/>
      </c>
      <c r="AM363">
        <f>IF(SUMIFS(T_PlannedOrders[EffectiveQty],T_PlannedOrders[Part Name],$A351,T_PlannedOrders[WeekIndex],36)=0,"",SUMIFS(T_PlannedOrders[EffectiveQty],T_PlannedOrders[Part Name],$A351,T_PlannedOrders[WeekIndex],36)&amp;" ("&amp;TEXT(SUMPRODUCT(MAX((T_PlannedOrders[Part Name]=$A351)*(T_PlannedOrders[WeekIndex]=36)*(T_PlannedOrders[EffectiveQty]&gt;0)*T_PlannedOrders[Order_Month])),"m月")&amp;"発注)")</f>
        <v/>
      </c>
      <c r="AN363">
        <f>IF(SUMIFS(T_PlannedOrders[EffectiveQty],T_PlannedOrders[Part Name],$A351,T_PlannedOrders[WeekIndex],37)=0,"",SUMIFS(T_PlannedOrders[EffectiveQty],T_PlannedOrders[Part Name],$A351,T_PlannedOrders[WeekIndex],37)&amp;" ("&amp;TEXT(SUMPRODUCT(MAX((T_PlannedOrders[Part Name]=$A351)*(T_PlannedOrders[WeekIndex]=37)*(T_PlannedOrders[EffectiveQty]&gt;0)*T_PlannedOrders[Order_Month])),"m月")&amp;"発注)")</f>
        <v/>
      </c>
      <c r="AO363">
        <f>IF(SUMIFS(T_PlannedOrders[EffectiveQty],T_PlannedOrders[Part Name],$A351,T_PlannedOrders[WeekIndex],38)=0,"",SUMIFS(T_PlannedOrders[EffectiveQty],T_PlannedOrders[Part Name],$A351,T_PlannedOrders[WeekIndex],38)&amp;" ("&amp;TEXT(SUMPRODUCT(MAX((T_PlannedOrders[Part Name]=$A351)*(T_PlannedOrders[WeekIndex]=38)*(T_PlannedOrders[EffectiveQty]&gt;0)*T_PlannedOrders[Order_Month])),"m月")&amp;"発注)")</f>
        <v/>
      </c>
      <c r="AP363">
        <f>IF(SUMIFS(T_PlannedOrders[EffectiveQty],T_PlannedOrders[Part Name],$A351,T_PlannedOrders[WeekIndex],39)=0,"",SUMIFS(T_PlannedOrders[EffectiveQty],T_PlannedOrders[Part Name],$A351,T_PlannedOrders[WeekIndex],39)&amp;" ("&amp;TEXT(SUMPRODUCT(MAX((T_PlannedOrders[Part Name]=$A351)*(T_PlannedOrders[WeekIndex]=39)*(T_PlannedOrders[EffectiveQty]&gt;0)*T_PlannedOrders[Order_Month])),"m月")&amp;"発注)")</f>
        <v/>
      </c>
      <c r="AQ363">
        <f>IF(SUMIFS(T_PlannedOrders[EffectiveQty],T_PlannedOrders[Part Name],$A351,T_PlannedOrders[WeekIndex],40)=0,"",SUMIFS(T_PlannedOrders[EffectiveQty],T_PlannedOrders[Part Name],$A351,T_PlannedOrders[WeekIndex],40)&amp;" ("&amp;TEXT(SUMPRODUCT(MAX((T_PlannedOrders[Part Name]=$A351)*(T_PlannedOrders[WeekIndex]=40)*(T_PlannedOrders[EffectiveQty]&gt;0)*T_PlannedOrders[Order_Month])),"m月")&amp;"発注)")</f>
        <v/>
      </c>
      <c r="AR363">
        <f>IF(SUMIFS(T_PlannedOrders[EffectiveQty],T_PlannedOrders[Part Name],$A351,T_PlannedOrders[WeekIndex],41)=0,"",SUMIFS(T_PlannedOrders[EffectiveQty],T_PlannedOrders[Part Name],$A351,T_PlannedOrders[WeekIndex],41)&amp;" ("&amp;TEXT(SUMPRODUCT(MAX((T_PlannedOrders[Part Name]=$A351)*(T_PlannedOrders[WeekIndex]=41)*(T_PlannedOrders[EffectiveQty]&gt;0)*T_PlannedOrders[Order_Month])),"m月")&amp;"発注)")</f>
        <v/>
      </c>
      <c r="AS363">
        <f>IF(SUMIFS(T_PlannedOrders[EffectiveQty],T_PlannedOrders[Part Name],$A351,T_PlannedOrders[WeekIndex],42)=0,"",SUMIFS(T_PlannedOrders[EffectiveQty],T_PlannedOrders[Part Name],$A351,T_PlannedOrders[WeekIndex],42)&amp;" ("&amp;TEXT(SUMPRODUCT(MAX((T_PlannedOrders[Part Name]=$A351)*(T_PlannedOrders[WeekIndex]=42)*(T_PlannedOrders[EffectiveQty]&gt;0)*T_PlannedOrders[Order_Month])),"m月")&amp;"発注)")</f>
        <v/>
      </c>
      <c r="AT363">
        <f>IF(SUMIFS(T_PlannedOrders[EffectiveQty],T_PlannedOrders[Part Name],$A351,T_PlannedOrders[WeekIndex],43)=0,"",SUMIFS(T_PlannedOrders[EffectiveQty],T_PlannedOrders[Part Name],$A351,T_PlannedOrders[WeekIndex],43)&amp;" ("&amp;TEXT(SUMPRODUCT(MAX((T_PlannedOrders[Part Name]=$A351)*(T_PlannedOrders[WeekIndex]=43)*(T_PlannedOrders[EffectiveQty]&gt;0)*T_PlannedOrders[Order_Month])),"m月")&amp;"発注)")</f>
        <v/>
      </c>
      <c r="AU363">
        <f>IF(SUMIFS(T_PlannedOrders[EffectiveQty],T_PlannedOrders[Part Name],$A351,T_PlannedOrders[WeekIndex],44)=0,"",SUMIFS(T_PlannedOrders[EffectiveQty],T_PlannedOrders[Part Name],$A351,T_PlannedOrders[WeekIndex],44)&amp;" ("&amp;TEXT(SUMPRODUCT(MAX((T_PlannedOrders[Part Name]=$A351)*(T_PlannedOrders[WeekIndex]=44)*(T_PlannedOrders[EffectiveQty]&gt;0)*T_PlannedOrders[Order_Month])),"m月")&amp;"発注)")</f>
        <v/>
      </c>
      <c r="AV363">
        <f>IF(SUMIFS(T_PlannedOrders[EffectiveQty],T_PlannedOrders[Part Name],$A351,T_PlannedOrders[WeekIndex],45)=0,"",SUMIFS(T_PlannedOrders[EffectiveQty],T_PlannedOrders[Part Name],$A351,T_PlannedOrders[WeekIndex],45)&amp;" ("&amp;TEXT(SUMPRODUCT(MAX((T_PlannedOrders[Part Name]=$A351)*(T_PlannedOrders[WeekIndex]=45)*(T_PlannedOrders[EffectiveQty]&gt;0)*T_PlannedOrders[Order_Month])),"m月")&amp;"発注)")</f>
        <v/>
      </c>
      <c r="AW363">
        <f>IF(SUMIFS(T_PlannedOrders[EffectiveQty],T_PlannedOrders[Part Name],$A351,T_PlannedOrders[WeekIndex],46)=0,"",SUMIFS(T_PlannedOrders[EffectiveQty],T_PlannedOrders[Part Name],$A351,T_PlannedOrders[WeekIndex],46)&amp;" ("&amp;TEXT(SUMPRODUCT(MAX((T_PlannedOrders[Part Name]=$A351)*(T_PlannedOrders[WeekIndex]=46)*(T_PlannedOrders[EffectiveQty]&gt;0)*T_PlannedOrders[Order_Month])),"m月")&amp;"発注)")</f>
        <v/>
      </c>
      <c r="AX363">
        <f>IF(SUMIFS(T_PlannedOrders[EffectiveQty],T_PlannedOrders[Part Name],$A351,T_PlannedOrders[WeekIndex],47)=0,"",SUMIFS(T_PlannedOrders[EffectiveQty],T_PlannedOrders[Part Name],$A351,T_PlannedOrders[WeekIndex],47)&amp;" ("&amp;TEXT(SUMPRODUCT(MAX((T_PlannedOrders[Part Name]=$A351)*(T_PlannedOrders[WeekIndex]=47)*(T_PlannedOrders[EffectiveQty]&gt;0)*T_PlannedOrders[Order_Month])),"m月")&amp;"発注)")</f>
        <v/>
      </c>
      <c r="AY363">
        <f>IF(SUMIFS(T_PlannedOrders[EffectiveQty],T_PlannedOrders[Part Name],$A351,T_PlannedOrders[WeekIndex],48)=0,"",SUMIFS(T_PlannedOrders[EffectiveQty],T_PlannedOrders[Part Name],$A351,T_PlannedOrders[WeekIndex],48)&amp;" ("&amp;TEXT(SUMPRODUCT(MAX((T_PlannedOrders[Part Name]=$A351)*(T_PlannedOrders[WeekIndex]=48)*(T_PlannedOrders[EffectiveQty]&gt;0)*T_PlannedOrders[Order_Month])),"m月")&amp;"発注)")</f>
        <v/>
      </c>
      <c r="AZ363">
        <f>IF(SUMIFS(T_PlannedOrders[EffectiveQty],T_PlannedOrders[Part Name],$A351,T_PlannedOrders[WeekIndex],49)=0,"",SUMIFS(T_PlannedOrders[EffectiveQty],T_PlannedOrders[Part Name],$A351,T_PlannedOrders[WeekIndex],49)&amp;" ("&amp;TEXT(SUMPRODUCT(MAX((T_PlannedOrders[Part Name]=$A351)*(T_PlannedOrders[WeekIndex]=49)*(T_PlannedOrders[EffectiveQty]&gt;0)*T_PlannedOrders[Order_Month])),"m月")&amp;"発注)")</f>
        <v/>
      </c>
      <c r="BA363">
        <f>IF(SUMIFS(T_PlannedOrders[EffectiveQty],T_PlannedOrders[Part Name],$A351,T_PlannedOrders[WeekIndex],50)=0,"",SUMIFS(T_PlannedOrders[EffectiveQty],T_PlannedOrders[Part Name],$A351,T_PlannedOrders[WeekIndex],50)&amp;" ("&amp;TEXT(SUMPRODUCT(MAX((T_PlannedOrders[Part Name]=$A351)*(T_PlannedOrders[WeekIndex]=50)*(T_PlannedOrders[EffectiveQty]&gt;0)*T_PlannedOrders[Order_Month])),"m月")&amp;"発注)")</f>
        <v/>
      </c>
      <c r="BB363">
        <f>IF(SUMIFS(T_PlannedOrders[EffectiveQty],T_PlannedOrders[Part Name],$A351,T_PlannedOrders[WeekIndex],51)=0,"",SUMIFS(T_PlannedOrders[EffectiveQty],T_PlannedOrders[Part Name],$A351,T_PlannedOrders[WeekIndex],51)&amp;" ("&amp;TEXT(SUMPRODUCT(MAX((T_PlannedOrders[Part Name]=$A351)*(T_PlannedOrders[WeekIndex]=51)*(T_PlannedOrders[EffectiveQty]&gt;0)*T_PlannedOrders[Order_Month])),"m月")&amp;"発注)")</f>
        <v/>
      </c>
      <c r="BC363">
        <f>IF(SUMIFS(T_PlannedOrders[EffectiveQty],T_PlannedOrders[Part Name],$A351,T_PlannedOrders[WeekIndex],52)=0,"",SUMIFS(T_PlannedOrders[EffectiveQty],T_PlannedOrders[Part Name],$A351,T_PlannedOrders[WeekIndex],52)&amp;" ("&amp;TEXT(SUMPRODUCT(MAX((T_PlannedOrders[Part Name]=$A351)*(T_PlannedOrders[WeekIndex]=52)*(T_PlannedOrders[EffectiveQty]&gt;0)*T_PlannedOrders[Order_Month])),"m月")&amp;"発注)")</f>
        <v/>
      </c>
      <c r="BD363">
        <f>IF(SUMIFS(T_PlannedOrders[EffectiveQty],T_PlannedOrders[Part Name],$A351,T_PlannedOrders[WeekIndex],53)=0,"",SUMIFS(T_PlannedOrders[EffectiveQty],T_PlannedOrders[Part Name],$A351,T_PlannedOrders[WeekIndex],53)&amp;" ("&amp;TEXT(SUMPRODUCT(MAX((T_PlannedOrders[Part Name]=$A351)*(T_PlannedOrders[WeekIndex]=53)*(T_PlannedOrders[EffectiveQty]&gt;0)*T_PlannedOrders[Order_Month])),"m月")&amp;"発注)")</f>
        <v/>
      </c>
      <c r="BE363">
        <f>IF(SUMIFS(T_PlannedOrders[EffectiveQty],T_PlannedOrders[Part Name],$A351,T_PlannedOrders[WeekIndex],54)=0,"",SUMIFS(T_PlannedOrders[EffectiveQty],T_PlannedOrders[Part Name],$A351,T_PlannedOrders[WeekIndex],54)&amp;" ("&amp;TEXT(SUMPRODUCT(MAX((T_PlannedOrders[Part Name]=$A351)*(T_PlannedOrders[WeekIndex]=54)*(T_PlannedOrders[EffectiveQty]&gt;0)*T_PlannedOrders[Order_Month])),"m月")&amp;"発注)")</f>
        <v/>
      </c>
      <c r="BF363">
        <f>IF(SUMIFS(T_PlannedOrders[EffectiveQty],T_PlannedOrders[Part Name],$A351,T_PlannedOrders[WeekIndex],55)=0,"",SUMIFS(T_PlannedOrders[EffectiveQty],T_PlannedOrders[Part Name],$A351,T_PlannedOrders[WeekIndex],55)&amp;" ("&amp;TEXT(SUMPRODUCT(MAX((T_PlannedOrders[Part Name]=$A351)*(T_PlannedOrders[WeekIndex]=55)*(T_PlannedOrders[EffectiveQty]&gt;0)*T_PlannedOrders[Order_Month])),"m月")&amp;"発注)")</f>
        <v/>
      </c>
      <c r="BG363">
        <f>IF(SUMIFS(T_PlannedOrders[EffectiveQty],T_PlannedOrders[Part Name],$A351,T_PlannedOrders[WeekIndex],56)=0,"",SUMIFS(T_PlannedOrders[EffectiveQty],T_PlannedOrders[Part Name],$A351,T_PlannedOrders[WeekIndex],56)&amp;" ("&amp;TEXT(SUMPRODUCT(MAX((T_PlannedOrders[Part Name]=$A351)*(T_PlannedOrders[WeekIndex]=56)*(T_PlannedOrders[EffectiveQty]&gt;0)*T_PlannedOrders[Order_Month])),"m月")&amp;"発注)")</f>
        <v/>
      </c>
      <c r="BH363">
        <f>IF(SUMIFS(T_PlannedOrders[EffectiveQty],T_PlannedOrders[Part Name],$A351,T_PlannedOrders[WeekIndex],57)=0,"",SUMIFS(T_PlannedOrders[EffectiveQty],T_PlannedOrders[Part Name],$A351,T_PlannedOrders[WeekIndex],57)&amp;" ("&amp;TEXT(SUMPRODUCT(MAX((T_PlannedOrders[Part Name]=$A351)*(T_PlannedOrders[WeekIndex]=57)*(T_PlannedOrders[EffectiveQty]&gt;0)*T_PlannedOrders[Order_Month])),"m月")&amp;"発注)")</f>
        <v/>
      </c>
      <c r="BI363">
        <f>IF(SUMIFS(T_PlannedOrders[EffectiveQty],T_PlannedOrders[Part Name],$A351,T_PlannedOrders[WeekIndex],58)=0,"",SUMIFS(T_PlannedOrders[EffectiveQty],T_PlannedOrders[Part Name],$A351,T_PlannedOrders[WeekIndex],58)&amp;" ("&amp;TEXT(SUMPRODUCT(MAX((T_PlannedOrders[Part Name]=$A351)*(T_PlannedOrders[WeekIndex]=58)*(T_PlannedOrders[EffectiveQty]&gt;0)*T_PlannedOrders[Order_Month])),"m月")&amp;"発注)")</f>
        <v/>
      </c>
      <c r="BJ363">
        <f>IF(SUMIFS(T_PlannedOrders[EffectiveQty],T_PlannedOrders[Part Name],$A351,T_PlannedOrders[WeekIndex],59)=0,"",SUMIFS(T_PlannedOrders[EffectiveQty],T_PlannedOrders[Part Name],$A351,T_PlannedOrders[WeekIndex],59)&amp;" ("&amp;TEXT(SUMPRODUCT(MAX((T_PlannedOrders[Part Name]=$A351)*(T_PlannedOrders[WeekIndex]=59)*(T_PlannedOrders[EffectiveQty]&gt;0)*T_PlannedOrders[Order_Month])),"m月")&amp;"発注)")</f>
        <v/>
      </c>
      <c r="BK363">
        <f>IF(SUMIFS(T_PlannedOrders[EffectiveQty],T_PlannedOrders[Part Name],$A351,T_PlannedOrders[WeekIndex],60)=0,"",SUMIFS(T_PlannedOrders[EffectiveQty],T_PlannedOrders[Part Name],$A351,T_PlannedOrders[WeekIndex],60)&amp;" ("&amp;TEXT(SUMPRODUCT(MAX((T_PlannedOrders[Part Name]=$A351)*(T_PlannedOrders[WeekIndex]=60)*(T_PlannedOrders[EffectiveQty]&gt;0)*T_PlannedOrders[Order_Month])),"m月")&amp;"発注)")</f>
        <v/>
      </c>
      <c r="BL363">
        <f>IF(SUMIFS(T_PlannedOrders[EffectiveQty],T_PlannedOrders[Part Name],$A351,T_PlannedOrders[WeekIndex],61)=0,"",SUMIFS(T_PlannedOrders[EffectiveQty],T_PlannedOrders[Part Name],$A351,T_PlannedOrders[WeekIndex],61)&amp;" ("&amp;TEXT(SUMPRODUCT(MAX((T_PlannedOrders[Part Name]=$A351)*(T_PlannedOrders[WeekIndex]=61)*(T_PlannedOrders[EffectiveQty]&gt;0)*T_PlannedOrders[Order_Month])),"m月")&amp;"発注)")</f>
        <v/>
      </c>
      <c r="BM363">
        <f>IF(SUMIFS(T_PlannedOrders[EffectiveQty],T_PlannedOrders[Part Name],$A351,T_PlannedOrders[WeekIndex],62)=0,"",SUMIFS(T_PlannedOrders[EffectiveQty],T_PlannedOrders[Part Name],$A351,T_PlannedOrders[WeekIndex],62)&amp;" ("&amp;TEXT(SUMPRODUCT(MAX((T_PlannedOrders[Part Name]=$A351)*(T_PlannedOrders[WeekIndex]=62)*(T_PlannedOrders[EffectiveQty]&gt;0)*T_PlannedOrders[Order_Month])),"m月")&amp;"発注)")</f>
        <v/>
      </c>
      <c r="BN363">
        <f>IF(SUMIFS(T_PlannedOrders[EffectiveQty],T_PlannedOrders[Part Name],$A351,T_PlannedOrders[WeekIndex],63)=0,"",SUMIFS(T_PlannedOrders[EffectiveQty],T_PlannedOrders[Part Name],$A351,T_PlannedOrders[WeekIndex],63)&amp;" ("&amp;TEXT(SUMPRODUCT(MAX((T_PlannedOrders[Part Name]=$A351)*(T_PlannedOrders[WeekIndex]=63)*(T_PlannedOrders[EffectiveQty]&gt;0)*T_PlannedOrders[Order_Month])),"m月")&amp;"発注)")</f>
        <v/>
      </c>
      <c r="BO363">
        <f>IF(SUMIFS(T_PlannedOrders[EffectiveQty],T_PlannedOrders[Part Name],$A351,T_PlannedOrders[WeekIndex],64)=0,"",SUMIFS(T_PlannedOrders[EffectiveQty],T_PlannedOrders[Part Name],$A351,T_PlannedOrders[WeekIndex],64)&amp;" ("&amp;TEXT(SUMPRODUCT(MAX((T_PlannedOrders[Part Name]=$A351)*(T_PlannedOrders[WeekIndex]=64)*(T_PlannedOrders[EffectiveQty]&gt;0)*T_PlannedOrders[Order_Month])),"m月")&amp;"発注)")</f>
        <v/>
      </c>
      <c r="BP363">
        <f>IF(SUMIFS(T_PlannedOrders[EffectiveQty],T_PlannedOrders[Part Name],$A351,T_PlannedOrders[WeekIndex],65)=0,"",SUMIFS(T_PlannedOrders[EffectiveQty],T_PlannedOrders[Part Name],$A351,T_PlannedOrders[WeekIndex],65)&amp;" ("&amp;TEXT(SUMPRODUCT(MAX((T_PlannedOrders[Part Name]=$A351)*(T_PlannedOrders[WeekIndex]=65)*(T_PlannedOrders[EffectiveQty]&gt;0)*T_PlannedOrders[Order_Month])),"m月")&amp;"発注)")</f>
        <v/>
      </c>
      <c r="BQ363">
        <f>IF(SUMIFS(T_PlannedOrders[EffectiveQty],T_PlannedOrders[Part Name],$A351,T_PlannedOrders[WeekIndex],66)=0,"",SUMIFS(T_PlannedOrders[EffectiveQty],T_PlannedOrders[Part Name],$A351,T_PlannedOrders[WeekIndex],66)&amp;" ("&amp;TEXT(SUMPRODUCT(MAX((T_PlannedOrders[Part Name]=$A351)*(T_PlannedOrders[WeekIndex]=66)*(T_PlannedOrders[EffectiveQty]&gt;0)*T_PlannedOrders[Order_Month])),"m月")&amp;"発注)")</f>
        <v/>
      </c>
      <c r="BR363">
        <f>IF(SUMIFS(T_PlannedOrders[EffectiveQty],T_PlannedOrders[Part Name],$A351,T_PlannedOrders[WeekIndex],67)=0,"",SUMIFS(T_PlannedOrders[EffectiveQty],T_PlannedOrders[Part Name],$A351,T_PlannedOrders[WeekIndex],67)&amp;" ("&amp;TEXT(SUMPRODUCT(MAX((T_PlannedOrders[Part Name]=$A351)*(T_PlannedOrders[WeekIndex]=67)*(T_PlannedOrders[EffectiveQty]&gt;0)*T_PlannedOrders[Order_Month])),"m月")&amp;"発注)")</f>
        <v/>
      </c>
      <c r="BS363">
        <f>IF(SUMIFS(T_PlannedOrders[EffectiveQty],T_PlannedOrders[Part Name],$A351,T_PlannedOrders[WeekIndex],68)=0,"",SUMIFS(T_PlannedOrders[EffectiveQty],T_PlannedOrders[Part Name],$A351,T_PlannedOrders[WeekIndex],68)&amp;" ("&amp;TEXT(SUMPRODUCT(MAX((T_PlannedOrders[Part Name]=$A351)*(T_PlannedOrders[WeekIndex]=68)*(T_PlannedOrders[EffectiveQty]&gt;0)*T_PlannedOrders[Order_Month])),"m月")&amp;"発注)")</f>
        <v/>
      </c>
      <c r="BT363">
        <f>IF(SUMIFS(T_PlannedOrders[EffectiveQty],T_PlannedOrders[Part Name],$A351,T_PlannedOrders[WeekIndex],69)=0,"",SUMIFS(T_PlannedOrders[EffectiveQty],T_PlannedOrders[Part Name],$A351,T_PlannedOrders[WeekIndex],69)&amp;" ("&amp;TEXT(SUMPRODUCT(MAX((T_PlannedOrders[Part Name]=$A351)*(T_PlannedOrders[WeekIndex]=69)*(T_PlannedOrders[EffectiveQty]&gt;0)*T_PlannedOrders[Order_Month])),"m月")&amp;"発注)")</f>
        <v/>
      </c>
      <c r="BU363">
        <f>IF(SUMIFS(T_PlannedOrders[EffectiveQty],T_PlannedOrders[Part Name],$A351,T_PlannedOrders[WeekIndex],70)=0,"",SUMIFS(T_PlannedOrders[EffectiveQty],T_PlannedOrders[Part Name],$A351,T_PlannedOrders[WeekIndex],70)&amp;" ("&amp;TEXT(SUMPRODUCT(MAX((T_PlannedOrders[Part Name]=$A351)*(T_PlannedOrders[WeekIndex]=70)*(T_PlannedOrders[EffectiveQty]&gt;0)*T_PlannedOrders[Order_Month])),"m月")&amp;"発注)")</f>
        <v/>
      </c>
      <c r="BV363">
        <f>IF(SUMIFS(T_PlannedOrders[EffectiveQty],T_PlannedOrders[Part Name],$A351,T_PlannedOrders[WeekIndex],71)=0,"",SUMIFS(T_PlannedOrders[EffectiveQty],T_PlannedOrders[Part Name],$A351,T_PlannedOrders[WeekIndex],71)&amp;" ("&amp;TEXT(SUMPRODUCT(MAX((T_PlannedOrders[Part Name]=$A351)*(T_PlannedOrders[WeekIndex]=71)*(T_PlannedOrders[EffectiveQty]&gt;0)*T_PlannedOrders[Order_Month])),"m月")&amp;"発注)")</f>
        <v/>
      </c>
      <c r="BW363">
        <f>IF(SUMIFS(T_PlannedOrders[EffectiveQty],T_PlannedOrders[Part Name],$A351,T_PlannedOrders[WeekIndex],72)=0,"",SUMIFS(T_PlannedOrders[EffectiveQty],T_PlannedOrders[Part Name],$A351,T_PlannedOrders[WeekIndex],72)&amp;" ("&amp;TEXT(SUMPRODUCT(MAX((T_PlannedOrders[Part Name]=$A351)*(T_PlannedOrders[WeekIndex]=72)*(T_PlannedOrders[EffectiveQty]&gt;0)*T_PlannedOrders[Order_Month])),"m月")&amp;"発注)")</f>
        <v/>
      </c>
      <c r="BX363">
        <f>IF(SUMIFS(T_PlannedOrders[EffectiveQty],T_PlannedOrders[Part Name],$A351,T_PlannedOrders[WeekIndex],73)=0,"",SUMIFS(T_PlannedOrders[EffectiveQty],T_PlannedOrders[Part Name],$A351,T_PlannedOrders[WeekIndex],73)&amp;" ("&amp;TEXT(SUMPRODUCT(MAX((T_PlannedOrders[Part Name]=$A351)*(T_PlannedOrders[WeekIndex]=73)*(T_PlannedOrders[EffectiveQty]&gt;0)*T_PlannedOrders[Order_Month])),"m月")&amp;"発注)")</f>
        <v/>
      </c>
      <c r="BY363">
        <f>IF(SUMIFS(T_PlannedOrders[EffectiveQty],T_PlannedOrders[Part Name],$A351,T_PlannedOrders[WeekIndex],74)=0,"",SUMIFS(T_PlannedOrders[EffectiveQty],T_PlannedOrders[Part Name],$A351,T_PlannedOrders[WeekIndex],74)&amp;" ("&amp;TEXT(SUMPRODUCT(MAX((T_PlannedOrders[Part Name]=$A351)*(T_PlannedOrders[WeekIndex]=74)*(T_PlannedOrders[EffectiveQty]&gt;0)*T_PlannedOrders[Order_Month])),"m月")&amp;"発注)")</f>
        <v/>
      </c>
      <c r="BZ363">
        <f>IF(SUMIFS(T_PlannedOrders[EffectiveQty],T_PlannedOrders[Part Name],$A351,T_PlannedOrders[WeekIndex],75)=0,"",SUMIFS(T_PlannedOrders[EffectiveQty],T_PlannedOrders[Part Name],$A351,T_PlannedOrders[WeekIndex],75)&amp;" ("&amp;TEXT(SUMPRODUCT(MAX((T_PlannedOrders[Part Name]=$A351)*(T_PlannedOrders[WeekIndex]=75)*(T_PlannedOrders[EffectiveQty]&gt;0)*T_PlannedOrders[Order_Month])),"m月")&amp;"発注)")</f>
        <v/>
      </c>
      <c r="CA363">
        <f>IF(SUMIFS(T_PlannedOrders[EffectiveQty],T_PlannedOrders[Part Name],$A351,T_PlannedOrders[WeekIndex],76)=0,"",SUMIFS(T_PlannedOrders[EffectiveQty],T_PlannedOrders[Part Name],$A351,T_PlannedOrders[WeekIndex],76)&amp;" ("&amp;TEXT(SUMPRODUCT(MAX((T_PlannedOrders[Part Name]=$A351)*(T_PlannedOrders[WeekIndex]=76)*(T_PlannedOrders[EffectiveQty]&gt;0)*T_PlannedOrders[Order_Month])),"m月")&amp;"発注)")</f>
        <v/>
      </c>
      <c r="CB363">
        <f>IF(SUMIFS(T_PlannedOrders[EffectiveQty],T_PlannedOrders[Part Name],$A351,T_PlannedOrders[WeekIndex],77)=0,"",SUMIFS(T_PlannedOrders[EffectiveQty],T_PlannedOrders[Part Name],$A351,T_PlannedOrders[WeekIndex],77)&amp;" ("&amp;TEXT(SUMPRODUCT(MAX((T_PlannedOrders[Part Name]=$A351)*(T_PlannedOrders[WeekIndex]=77)*(T_PlannedOrders[EffectiveQty]&gt;0)*T_PlannedOrders[Order_Month])),"m月")&amp;"発注)")</f>
        <v/>
      </c>
      <c r="CC363">
        <f>IF(SUMIFS(T_PlannedOrders[EffectiveQty],T_PlannedOrders[Part Name],$A351,T_PlannedOrders[WeekIndex],78)=0,"",SUMIFS(T_PlannedOrders[EffectiveQty],T_PlannedOrders[Part Name],$A351,T_PlannedOrders[WeekIndex],78)&amp;" ("&amp;TEXT(SUMPRODUCT(MAX((T_PlannedOrders[Part Name]=$A351)*(T_PlannedOrders[WeekIndex]=78)*(T_PlannedOrders[EffectiveQty]&gt;0)*T_PlannedOrders[Order_Month])),"m月")&amp;"発注)")</f>
        <v/>
      </c>
      <c r="CD363">
        <f>IF(SUMIFS(T_PlannedOrders[EffectiveQty],T_PlannedOrders[Part Name],$A351,T_PlannedOrders[WeekIndex],79)=0,"",SUMIFS(T_PlannedOrders[EffectiveQty],T_PlannedOrders[Part Name],$A351,T_PlannedOrders[WeekIndex],79)&amp;" ("&amp;TEXT(SUMPRODUCT(MAX((T_PlannedOrders[Part Name]=$A351)*(T_PlannedOrders[WeekIndex]=79)*(T_PlannedOrders[EffectiveQty]&gt;0)*T_PlannedOrders[Order_Month])),"m月")&amp;"発注)")</f>
        <v/>
      </c>
      <c r="CE363">
        <f>IF(SUMIFS(T_PlannedOrders[EffectiveQty],T_PlannedOrders[Part Name],$A351,T_PlannedOrders[WeekIndex],80)=0,"",SUMIFS(T_PlannedOrders[EffectiveQty],T_PlannedOrders[Part Name],$A351,T_PlannedOrders[WeekIndex],80)&amp;" ("&amp;TEXT(SUMPRODUCT(MAX((T_PlannedOrders[Part Name]=$A351)*(T_PlannedOrders[WeekIndex]=80)*(T_PlannedOrders[EffectiveQty]&gt;0)*T_PlannedOrders[Order_Month])),"m月")&amp;"発注)")</f>
        <v/>
      </c>
      <c r="CF363">
        <f>IF(SUMIFS(T_PlannedOrders[EffectiveQty],T_PlannedOrders[Part Name],$A351,T_PlannedOrders[WeekIndex],81)=0,"",SUMIFS(T_PlannedOrders[EffectiveQty],T_PlannedOrders[Part Name],$A351,T_PlannedOrders[WeekIndex],81)&amp;" ("&amp;TEXT(SUMPRODUCT(MAX((T_PlannedOrders[Part Name]=$A351)*(T_PlannedOrders[WeekIndex]=81)*(T_PlannedOrders[EffectiveQty]&gt;0)*T_PlannedOrders[Order_Month])),"m月")&amp;"発注)")</f>
        <v/>
      </c>
      <c r="CG363">
        <f>IF(SUMIFS(T_PlannedOrders[EffectiveQty],T_PlannedOrders[Part Name],$A351,T_PlannedOrders[WeekIndex],82)=0,"",SUMIFS(T_PlannedOrders[EffectiveQty],T_PlannedOrders[Part Name],$A351,T_PlannedOrders[WeekIndex],82)&amp;" ("&amp;TEXT(SUMPRODUCT(MAX((T_PlannedOrders[Part Name]=$A351)*(T_PlannedOrders[WeekIndex]=82)*(T_PlannedOrders[EffectiveQty]&gt;0)*T_PlannedOrders[Order_Month])),"m月")&amp;"発注)")</f>
        <v/>
      </c>
      <c r="CH363">
        <f>IF(SUMIFS(T_PlannedOrders[EffectiveQty],T_PlannedOrders[Part Name],$A351,T_PlannedOrders[WeekIndex],83)=0,"",SUMIFS(T_PlannedOrders[EffectiveQty],T_PlannedOrders[Part Name],$A351,T_PlannedOrders[WeekIndex],83)&amp;" ("&amp;TEXT(SUMPRODUCT(MAX((T_PlannedOrders[Part Name]=$A351)*(T_PlannedOrders[WeekIndex]=83)*(T_PlannedOrders[EffectiveQty]&gt;0)*T_PlannedOrders[Order_Month])),"m月")&amp;"発注)")</f>
        <v/>
      </c>
      <c r="CI363">
        <f>IF(SUMIFS(T_PlannedOrders[EffectiveQty],T_PlannedOrders[Part Name],$A351,T_PlannedOrders[WeekIndex],84)=0,"",SUMIFS(T_PlannedOrders[EffectiveQty],T_PlannedOrders[Part Name],$A351,T_PlannedOrders[WeekIndex],84)&amp;" ("&amp;TEXT(SUMPRODUCT(MAX((T_PlannedOrders[Part Name]=$A351)*(T_PlannedOrders[WeekIndex]=84)*(T_PlannedOrders[EffectiveQty]&gt;0)*T_PlannedOrders[Order_Month])),"m月")&amp;"発注)")</f>
        <v/>
      </c>
      <c r="CJ363">
        <f>IF(SUMIFS(T_PlannedOrders[EffectiveQty],T_PlannedOrders[Part Name],$A351,T_PlannedOrders[WeekIndex],85)=0,"",SUMIFS(T_PlannedOrders[EffectiveQty],T_PlannedOrders[Part Name],$A351,T_PlannedOrders[WeekIndex],85)&amp;" ("&amp;TEXT(SUMPRODUCT(MAX((T_PlannedOrders[Part Name]=$A351)*(T_PlannedOrders[WeekIndex]=85)*(T_PlannedOrders[EffectiveQty]&gt;0)*T_PlannedOrders[Order_Month])),"m月")&amp;"発注)")</f>
        <v/>
      </c>
      <c r="CK363">
        <f>IF(SUMIFS(T_PlannedOrders[EffectiveQty],T_PlannedOrders[Part Name],$A351,T_PlannedOrders[WeekIndex],86)=0,"",SUMIFS(T_PlannedOrders[EffectiveQty],T_PlannedOrders[Part Name],$A351,T_PlannedOrders[WeekIndex],86)&amp;" ("&amp;TEXT(SUMPRODUCT(MAX((T_PlannedOrders[Part Name]=$A351)*(T_PlannedOrders[WeekIndex]=86)*(T_PlannedOrders[EffectiveQty]&gt;0)*T_PlannedOrders[Order_Month])),"m月")&amp;"発注)")</f>
        <v/>
      </c>
      <c r="CL363">
        <f>IF(SUMIFS(T_PlannedOrders[EffectiveQty],T_PlannedOrders[Part Name],$A351,T_PlannedOrders[WeekIndex],87)=0,"",SUMIFS(T_PlannedOrders[EffectiveQty],T_PlannedOrders[Part Name],$A351,T_PlannedOrders[WeekIndex],87)&amp;" ("&amp;TEXT(SUMPRODUCT(MAX((T_PlannedOrders[Part Name]=$A351)*(T_PlannedOrders[WeekIndex]=87)*(T_PlannedOrders[EffectiveQty]&gt;0)*T_PlannedOrders[Order_Month])),"m月")&amp;"発注)")</f>
        <v/>
      </c>
      <c r="CM363">
        <f>IF(SUMIFS(T_PlannedOrders[EffectiveQty],T_PlannedOrders[Part Name],$A351,T_PlannedOrders[WeekIndex],88)=0,"",SUMIFS(T_PlannedOrders[EffectiveQty],T_PlannedOrders[Part Name],$A351,T_PlannedOrders[WeekIndex],88)&amp;" ("&amp;TEXT(SUMPRODUCT(MAX((T_PlannedOrders[Part Name]=$A351)*(T_PlannedOrders[WeekIndex]=88)*(T_PlannedOrders[EffectiveQty]&gt;0)*T_PlannedOrders[Order_Month])),"m月")&amp;"発注)")</f>
        <v/>
      </c>
      <c r="CN363">
        <f>IF(SUMIFS(T_PlannedOrders[EffectiveQty],T_PlannedOrders[Part Name],$A351,T_PlannedOrders[WeekIndex],89)=0,"",SUMIFS(T_PlannedOrders[EffectiveQty],T_PlannedOrders[Part Name],$A351,T_PlannedOrders[WeekIndex],89)&amp;" ("&amp;TEXT(SUMPRODUCT(MAX((T_PlannedOrders[Part Name]=$A351)*(T_PlannedOrders[WeekIndex]=89)*(T_PlannedOrders[EffectiveQty]&gt;0)*T_PlannedOrders[Order_Month])),"m月")&amp;"発注)")</f>
        <v/>
      </c>
      <c r="CO363">
        <f>IF(SUMIFS(T_PlannedOrders[EffectiveQty],T_PlannedOrders[Part Name],$A351,T_PlannedOrders[WeekIndex],90)=0,"",SUMIFS(T_PlannedOrders[EffectiveQty],T_PlannedOrders[Part Name],$A351,T_PlannedOrders[WeekIndex],90)&amp;" ("&amp;TEXT(SUMPRODUCT(MAX((T_PlannedOrders[Part Name]=$A351)*(T_PlannedOrders[WeekIndex]=90)*(T_PlannedOrders[EffectiveQty]&gt;0)*T_PlannedOrders[Order_Month])),"m月")&amp;"発注)")</f>
        <v/>
      </c>
      <c r="CP363">
        <f>IF(SUMIFS(T_PlannedOrders[EffectiveQty],T_PlannedOrders[Part Name],$A351,T_PlannedOrders[WeekIndex],91)=0,"",SUMIFS(T_PlannedOrders[EffectiveQty],T_PlannedOrders[Part Name],$A351,T_PlannedOrders[WeekIndex],91)&amp;" ("&amp;TEXT(SUMPRODUCT(MAX((T_PlannedOrders[Part Name]=$A351)*(T_PlannedOrders[WeekIndex]=91)*(T_PlannedOrders[EffectiveQty]&gt;0)*T_PlannedOrders[Order_Month])),"m月")&amp;"発注)")</f>
        <v/>
      </c>
      <c r="CQ363">
        <f>IF(SUMIFS(T_PlannedOrders[EffectiveQty],T_PlannedOrders[Part Name],$A351,T_PlannedOrders[WeekIndex],92)=0,"",SUMIFS(T_PlannedOrders[EffectiveQty],T_PlannedOrders[Part Name],$A351,T_PlannedOrders[WeekIndex],92)&amp;" ("&amp;TEXT(SUMPRODUCT(MAX((T_PlannedOrders[Part Name]=$A351)*(T_PlannedOrders[WeekIndex]=92)*(T_PlannedOrders[EffectiveQty]&gt;0)*T_PlannedOrders[Order_Month])),"m月")&amp;"発注)")</f>
        <v/>
      </c>
      <c r="CR363">
        <f>IF(SUMIFS(T_PlannedOrders[EffectiveQty],T_PlannedOrders[Part Name],$A351,T_PlannedOrders[WeekIndex],93)=0,"",SUMIFS(T_PlannedOrders[EffectiveQty],T_PlannedOrders[Part Name],$A351,T_PlannedOrders[WeekIndex],93)&amp;" ("&amp;TEXT(SUMPRODUCT(MAX((T_PlannedOrders[Part Name]=$A351)*(T_PlannedOrders[WeekIndex]=93)*(T_PlannedOrders[EffectiveQty]&gt;0)*T_PlannedOrders[Order_Month])),"m月")&amp;"発注)")</f>
        <v/>
      </c>
      <c r="CS363">
        <f>IF(SUMIFS(T_PlannedOrders[EffectiveQty],T_PlannedOrders[Part Name],$A351,T_PlannedOrders[WeekIndex],94)=0,"",SUMIFS(T_PlannedOrders[EffectiveQty],T_PlannedOrders[Part Name],$A351,T_PlannedOrders[WeekIndex],94)&amp;" ("&amp;TEXT(SUMPRODUCT(MAX((T_PlannedOrders[Part Name]=$A351)*(T_PlannedOrders[WeekIndex]=94)*(T_PlannedOrders[EffectiveQty]&gt;0)*T_PlannedOrders[Order_Month])),"m月")&amp;"発注)")</f>
        <v/>
      </c>
      <c r="CT363">
        <f>IF(SUMIFS(T_PlannedOrders[EffectiveQty],T_PlannedOrders[Part Name],$A351,T_PlannedOrders[WeekIndex],95)=0,"",SUMIFS(T_PlannedOrders[EffectiveQty],T_PlannedOrders[Part Name],$A351,T_PlannedOrders[WeekIndex],95)&amp;" ("&amp;TEXT(SUMPRODUCT(MAX((T_PlannedOrders[Part Name]=$A351)*(T_PlannedOrders[WeekIndex]=95)*(T_PlannedOrders[EffectiveQty]&gt;0)*T_PlannedOrders[Order_Month])),"m月")&amp;"発注)")</f>
        <v/>
      </c>
      <c r="CU363">
        <f>IF(SUMIFS(T_PlannedOrders[EffectiveQty],T_PlannedOrders[Part Name],$A351,T_PlannedOrders[WeekIndex],96)=0,"",SUMIFS(T_PlannedOrders[EffectiveQty],T_PlannedOrders[Part Name],$A351,T_PlannedOrders[WeekIndex],96)&amp;" ("&amp;TEXT(SUMPRODUCT(MAX((T_PlannedOrders[Part Name]=$A351)*(T_PlannedOrders[WeekIndex]=96)*(T_PlannedOrders[EffectiveQty]&gt;0)*T_PlannedOrders[Order_Month])),"m月")&amp;"発注)")</f>
        <v/>
      </c>
      <c r="CV363">
        <f>IF(SUMIFS(T_PlannedOrders[EffectiveQty],T_PlannedOrders[Part Name],$A351,T_PlannedOrders[WeekIndex],97)=0,"",SUMIFS(T_PlannedOrders[EffectiveQty],T_PlannedOrders[Part Name],$A351,T_PlannedOrders[WeekIndex],97)&amp;" ("&amp;TEXT(SUMPRODUCT(MAX((T_PlannedOrders[Part Name]=$A351)*(T_PlannedOrders[WeekIndex]=97)*(T_PlannedOrders[EffectiveQty]&gt;0)*T_PlannedOrders[Order_Month])),"m月")&amp;"発注)")</f>
        <v/>
      </c>
      <c r="CW363">
        <f>IF(SUMIFS(T_PlannedOrders[EffectiveQty],T_PlannedOrders[Part Name],$A351,T_PlannedOrders[WeekIndex],98)=0,"",SUMIFS(T_PlannedOrders[EffectiveQty],T_PlannedOrders[Part Name],$A351,T_PlannedOrders[WeekIndex],98)&amp;" ("&amp;TEXT(SUMPRODUCT(MAX((T_PlannedOrders[Part Name]=$A351)*(T_PlannedOrders[WeekIndex]=98)*(T_PlannedOrders[EffectiveQty]&gt;0)*T_PlannedOrders[Order_Month])),"m月")&amp;"発注)")</f>
        <v/>
      </c>
      <c r="CX363">
        <f>IF(SUMIFS(T_PlannedOrders[EffectiveQty],T_PlannedOrders[Part Name],$A351,T_PlannedOrders[WeekIndex],99)=0,"",SUMIFS(T_PlannedOrders[EffectiveQty],T_PlannedOrders[Part Name],$A351,T_PlannedOrders[WeekIndex],99)&amp;" ("&amp;TEXT(SUMPRODUCT(MAX((T_PlannedOrders[Part Name]=$A351)*(T_PlannedOrders[WeekIndex]=99)*(T_PlannedOrders[EffectiveQty]&gt;0)*T_PlannedOrders[Order_Month])),"m月")&amp;"発注)")</f>
        <v/>
      </c>
      <c r="CY363">
        <f>IF(SUMIFS(T_PlannedOrders[EffectiveQty],T_PlannedOrders[Part Name],$A351,T_PlannedOrders[WeekIndex],100)=0,"",SUMIFS(T_PlannedOrders[EffectiveQty],T_PlannedOrders[Part Name],$A351,T_PlannedOrders[WeekIndex],100)&amp;" ("&amp;TEXT(SUMPRODUCT(MAX((T_PlannedOrders[Part Name]=$A351)*(T_PlannedOrders[WeekIndex]=100)*(T_PlannedOrders[EffectiveQty]&gt;0)*T_PlannedOrders[Order_Month])),"m月")&amp;"発注)")</f>
        <v/>
      </c>
      <c r="CZ363">
        <f>IF(SUMIFS(T_PlannedOrders[EffectiveQty],T_PlannedOrders[Part Name],$A351,T_PlannedOrders[WeekIndex],101)=0,"",SUMIFS(T_PlannedOrders[EffectiveQty],T_PlannedOrders[Part Name],$A351,T_PlannedOrders[WeekIndex],101)&amp;" ("&amp;TEXT(SUMPRODUCT(MAX((T_PlannedOrders[Part Name]=$A351)*(T_PlannedOrders[WeekIndex]=101)*(T_PlannedOrders[EffectiveQty]&gt;0)*T_PlannedOrders[Order_Month])),"m月")&amp;"発注)")</f>
        <v/>
      </c>
      <c r="DA363">
        <f>IF(SUMIFS(T_PlannedOrders[EffectiveQty],T_PlannedOrders[Part Name],$A351,T_PlannedOrders[WeekIndex],102)=0,"",SUMIFS(T_PlannedOrders[EffectiveQty],T_PlannedOrders[Part Name],$A351,T_PlannedOrders[WeekIndex],102)&amp;" ("&amp;TEXT(SUMPRODUCT(MAX((T_PlannedOrders[Part Name]=$A351)*(T_PlannedOrders[WeekIndex]=102)*(T_PlannedOrders[EffectiveQty]&gt;0)*T_PlannedOrders[Order_Month])),"m月")&amp;"発注)")</f>
        <v/>
      </c>
      <c r="DB363">
        <f>IF(SUMIFS(T_PlannedOrders[EffectiveQty],T_PlannedOrders[Part Name],$A351,T_PlannedOrders[WeekIndex],103)=0,"",SUMIFS(T_PlannedOrders[EffectiveQty],T_PlannedOrders[Part Name],$A351,T_PlannedOrders[WeekIndex],103)&amp;" ("&amp;TEXT(SUMPRODUCT(MAX((T_PlannedOrders[Part Name]=$A351)*(T_PlannedOrders[WeekIndex]=103)*(T_PlannedOrders[EffectiveQty]&gt;0)*T_PlannedOrders[Order_Month])),"m月")&amp;"発注)")</f>
        <v/>
      </c>
      <c r="DC363">
        <f>IF(SUMIFS(T_PlannedOrders[EffectiveQty],T_PlannedOrders[Part Name],$A351,T_PlannedOrders[WeekIndex],104)=0,"",SUMIFS(T_PlannedOrders[EffectiveQty],T_PlannedOrders[Part Name],$A351,T_PlannedOrders[WeekIndex],104)&amp;" ("&amp;TEXT(SUMPRODUCT(MAX((T_PlannedOrders[Part Name]=$A351)*(T_PlannedOrders[WeekIndex]=104)*(T_PlannedOrders[EffectiveQty]&gt;0)*T_PlannedOrders[Order_Month])),"m月")&amp;"発注)")</f>
        <v/>
      </c>
    </row>
    <row r="364">
      <c r="B364" s="5" t="inlineStr">
        <is>
          <t>合計在庫(週末時点,kg)</t>
        </is>
      </c>
      <c r="D364">
        <f>'Grid_Stock'!B29</f>
        <v/>
      </c>
      <c r="E364">
        <f>'Grid_Stock'!C29</f>
        <v/>
      </c>
      <c r="F364">
        <f>'Grid_Stock'!D29</f>
        <v/>
      </c>
      <c r="G364">
        <f>'Grid_Stock'!E29</f>
        <v/>
      </c>
      <c r="H364">
        <f>'Grid_Stock'!F29</f>
        <v/>
      </c>
      <c r="I364">
        <f>'Grid_Stock'!G29</f>
        <v/>
      </c>
      <c r="J364">
        <f>'Grid_Stock'!H29</f>
        <v/>
      </c>
      <c r="K364">
        <f>'Grid_Stock'!I29</f>
        <v/>
      </c>
      <c r="L364">
        <f>'Grid_Stock'!J29</f>
        <v/>
      </c>
      <c r="M364">
        <f>'Grid_Stock'!K29</f>
        <v/>
      </c>
      <c r="N364">
        <f>'Grid_Stock'!L29</f>
        <v/>
      </c>
      <c r="O364">
        <f>'Grid_Stock'!M29</f>
        <v/>
      </c>
      <c r="P364">
        <f>'Grid_Stock'!N29</f>
        <v/>
      </c>
      <c r="Q364">
        <f>'Grid_Stock'!O29</f>
        <v/>
      </c>
      <c r="R364">
        <f>'Grid_Stock'!P29</f>
        <v/>
      </c>
      <c r="S364">
        <f>'Grid_Stock'!Q29</f>
        <v/>
      </c>
      <c r="T364">
        <f>'Grid_Stock'!R29</f>
        <v/>
      </c>
      <c r="U364">
        <f>'Grid_Stock'!S29</f>
        <v/>
      </c>
      <c r="V364">
        <f>'Grid_Stock'!T29</f>
        <v/>
      </c>
      <c r="W364">
        <f>'Grid_Stock'!U29</f>
        <v/>
      </c>
      <c r="X364">
        <f>'Grid_Stock'!V29</f>
        <v/>
      </c>
      <c r="Y364">
        <f>'Grid_Stock'!W29</f>
        <v/>
      </c>
      <c r="Z364">
        <f>'Grid_Stock'!X29</f>
        <v/>
      </c>
      <c r="AA364">
        <f>'Grid_Stock'!Y29</f>
        <v/>
      </c>
      <c r="AB364">
        <f>'Grid_Stock'!Z29</f>
        <v/>
      </c>
      <c r="AC364">
        <f>'Grid_Stock'!AA29</f>
        <v/>
      </c>
      <c r="AD364">
        <f>'Grid_Stock'!AB29</f>
        <v/>
      </c>
      <c r="AE364">
        <f>'Grid_Stock'!AC29</f>
        <v/>
      </c>
      <c r="AF364">
        <f>'Grid_Stock'!AD29</f>
        <v/>
      </c>
      <c r="AG364">
        <f>'Grid_Stock'!AE29</f>
        <v/>
      </c>
      <c r="AH364">
        <f>'Grid_Stock'!AF29</f>
        <v/>
      </c>
      <c r="AI364">
        <f>'Grid_Stock'!AG29</f>
        <v/>
      </c>
      <c r="AJ364">
        <f>'Grid_Stock'!AH29</f>
        <v/>
      </c>
      <c r="AK364">
        <f>'Grid_Stock'!AI29</f>
        <v/>
      </c>
      <c r="AL364">
        <f>'Grid_Stock'!AJ29</f>
        <v/>
      </c>
      <c r="AM364">
        <f>'Grid_Stock'!AK29</f>
        <v/>
      </c>
      <c r="AN364">
        <f>'Grid_Stock'!AL29</f>
        <v/>
      </c>
      <c r="AO364">
        <f>'Grid_Stock'!AM29</f>
        <v/>
      </c>
      <c r="AP364">
        <f>'Grid_Stock'!AN29</f>
        <v/>
      </c>
      <c r="AQ364">
        <f>'Grid_Stock'!AO29</f>
        <v/>
      </c>
      <c r="AR364">
        <f>'Grid_Stock'!AP29</f>
        <v/>
      </c>
      <c r="AS364">
        <f>'Grid_Stock'!AQ29</f>
        <v/>
      </c>
      <c r="AT364">
        <f>'Grid_Stock'!AR29</f>
        <v/>
      </c>
      <c r="AU364">
        <f>'Grid_Stock'!AS29</f>
        <v/>
      </c>
      <c r="AV364">
        <f>'Grid_Stock'!AT29</f>
        <v/>
      </c>
      <c r="AW364">
        <f>'Grid_Stock'!AU29</f>
        <v/>
      </c>
      <c r="AX364">
        <f>'Grid_Stock'!AV29</f>
        <v/>
      </c>
      <c r="AY364">
        <f>'Grid_Stock'!AW29</f>
        <v/>
      </c>
      <c r="AZ364">
        <f>'Grid_Stock'!AX29</f>
        <v/>
      </c>
      <c r="BA364">
        <f>'Grid_Stock'!AY29</f>
        <v/>
      </c>
      <c r="BB364">
        <f>'Grid_Stock'!AZ29</f>
        <v/>
      </c>
      <c r="BC364">
        <f>'Grid_Stock'!BA29</f>
        <v/>
      </c>
      <c r="BD364">
        <f>'Grid_Stock'!BB29</f>
        <v/>
      </c>
      <c r="BE364">
        <f>'Grid_Stock'!BC29</f>
        <v/>
      </c>
      <c r="BF364">
        <f>'Grid_Stock'!BD29</f>
        <v/>
      </c>
      <c r="BG364">
        <f>'Grid_Stock'!BE29</f>
        <v/>
      </c>
      <c r="BH364">
        <f>'Grid_Stock'!BF29</f>
        <v/>
      </c>
      <c r="BI364">
        <f>'Grid_Stock'!BG29</f>
        <v/>
      </c>
      <c r="BJ364">
        <f>'Grid_Stock'!BH29</f>
        <v/>
      </c>
      <c r="BK364">
        <f>'Grid_Stock'!BI29</f>
        <v/>
      </c>
      <c r="BL364">
        <f>'Grid_Stock'!BJ29</f>
        <v/>
      </c>
      <c r="BM364">
        <f>'Grid_Stock'!BK29</f>
        <v/>
      </c>
      <c r="BN364">
        <f>'Grid_Stock'!BL29</f>
        <v/>
      </c>
      <c r="BO364">
        <f>'Grid_Stock'!BM29</f>
        <v/>
      </c>
      <c r="BP364">
        <f>'Grid_Stock'!BN29</f>
        <v/>
      </c>
      <c r="BQ364">
        <f>'Grid_Stock'!BO29</f>
        <v/>
      </c>
      <c r="BR364">
        <f>'Grid_Stock'!BP29</f>
        <v/>
      </c>
      <c r="BS364">
        <f>'Grid_Stock'!BQ29</f>
        <v/>
      </c>
      <c r="BT364">
        <f>'Grid_Stock'!BR29</f>
        <v/>
      </c>
      <c r="BU364">
        <f>'Grid_Stock'!BS29</f>
        <v/>
      </c>
      <c r="BV364">
        <f>'Grid_Stock'!BT29</f>
        <v/>
      </c>
      <c r="BW364">
        <f>'Grid_Stock'!BU29</f>
        <v/>
      </c>
      <c r="BX364">
        <f>'Grid_Stock'!BV29</f>
        <v/>
      </c>
      <c r="BY364">
        <f>'Grid_Stock'!BW29</f>
        <v/>
      </c>
      <c r="BZ364">
        <f>'Grid_Stock'!BX29</f>
        <v/>
      </c>
      <c r="CA364">
        <f>'Grid_Stock'!BY29</f>
        <v/>
      </c>
      <c r="CB364">
        <f>'Grid_Stock'!BZ29</f>
        <v/>
      </c>
      <c r="CC364">
        <f>'Grid_Stock'!CA29</f>
        <v/>
      </c>
      <c r="CD364">
        <f>'Grid_Stock'!CB29</f>
        <v/>
      </c>
      <c r="CE364">
        <f>'Grid_Stock'!CC29</f>
        <v/>
      </c>
      <c r="CF364">
        <f>'Grid_Stock'!CD29</f>
        <v/>
      </c>
      <c r="CG364">
        <f>'Grid_Stock'!CE29</f>
        <v/>
      </c>
      <c r="CH364">
        <f>'Grid_Stock'!CF29</f>
        <v/>
      </c>
      <c r="CI364">
        <f>'Grid_Stock'!CG29</f>
        <v/>
      </c>
      <c r="CJ364">
        <f>'Grid_Stock'!CH29</f>
        <v/>
      </c>
      <c r="CK364">
        <f>'Grid_Stock'!CI29</f>
        <v/>
      </c>
      <c r="CL364">
        <f>'Grid_Stock'!CJ29</f>
        <v/>
      </c>
      <c r="CM364">
        <f>'Grid_Stock'!CK29</f>
        <v/>
      </c>
      <c r="CN364">
        <f>'Grid_Stock'!CL29</f>
        <v/>
      </c>
      <c r="CO364">
        <f>'Grid_Stock'!CM29</f>
        <v/>
      </c>
      <c r="CP364">
        <f>'Grid_Stock'!CN29</f>
        <v/>
      </c>
      <c r="CQ364">
        <f>'Grid_Stock'!CO29</f>
        <v/>
      </c>
      <c r="CR364">
        <f>'Grid_Stock'!CP29</f>
        <v/>
      </c>
      <c r="CS364">
        <f>'Grid_Stock'!CQ29</f>
        <v/>
      </c>
      <c r="CT364">
        <f>'Grid_Stock'!CR29</f>
        <v/>
      </c>
      <c r="CU364">
        <f>'Grid_Stock'!CS29</f>
        <v/>
      </c>
      <c r="CV364">
        <f>'Grid_Stock'!CT29</f>
        <v/>
      </c>
      <c r="CW364">
        <f>'Grid_Stock'!CU29</f>
        <v/>
      </c>
      <c r="CX364">
        <f>'Grid_Stock'!CV29</f>
        <v/>
      </c>
      <c r="CY364">
        <f>'Grid_Stock'!CW29</f>
        <v/>
      </c>
      <c r="CZ364">
        <f>'Grid_Stock'!CX29</f>
        <v/>
      </c>
      <c r="DA364">
        <f>'Grid_Stock'!CY29</f>
        <v/>
      </c>
      <c r="DB364">
        <f>'Grid_Stock'!CZ29</f>
        <v/>
      </c>
      <c r="DC364">
        <f>'Grid_Stock'!DA29</f>
        <v/>
      </c>
    </row>
    <row r="365">
      <c r="B365" s="23" t="inlineStr">
        <is>
          <t>（発注の目安はDashboardの基準在庫[下限/上限]と色分けを参照）</t>
        </is>
      </c>
    </row>
    <row r="367">
      <c r="A367" s="21" t="inlineStr">
        <is>
          <t>CHEM-1550</t>
        </is>
      </c>
      <c r="B367" s="21" t="inlineStr">
        <is>
          <t>CHUPOL CC-6</t>
        </is>
      </c>
      <c r="C367" s="22" t="n"/>
      <c r="D367" s="21" t="n"/>
      <c r="E367" s="21" t="n"/>
      <c r="F367" s="21" t="n"/>
      <c r="G367" s="21" t="n"/>
      <c r="H367" s="2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  <c r="AA367" s="21" t="n"/>
      <c r="AB367" s="21" t="n"/>
      <c r="AC367" s="21" t="n"/>
      <c r="AD367" s="21" t="n"/>
      <c r="AE367" s="21" t="n"/>
      <c r="AF367" s="21" t="n"/>
      <c r="AG367" s="21" t="n"/>
      <c r="AH367" s="21" t="n"/>
      <c r="AI367" s="21" t="n"/>
      <c r="AJ367" s="21" t="n"/>
      <c r="AK367" s="21" t="n"/>
      <c r="AL367" s="21" t="n"/>
      <c r="AM367" s="21" t="n"/>
      <c r="AN367" s="21" t="n"/>
      <c r="AO367" s="21" t="n"/>
      <c r="AP367" s="21" t="n"/>
      <c r="AQ367" s="21" t="n"/>
      <c r="AR367" s="21" t="n"/>
      <c r="AS367" s="21" t="n"/>
      <c r="AT367" s="21" t="n"/>
      <c r="AU367" s="21" t="n"/>
      <c r="AV367" s="21" t="n"/>
      <c r="AW367" s="21" t="n"/>
      <c r="AX367" s="21" t="n"/>
      <c r="AY367" s="21" t="n"/>
      <c r="AZ367" s="21" t="n"/>
      <c r="BA367" s="21" t="n"/>
      <c r="BB367" s="21" t="n"/>
      <c r="BC367" s="21" t="n"/>
      <c r="BD367" s="21" t="n"/>
      <c r="BE367" s="21" t="n"/>
      <c r="BF367" s="21" t="n"/>
      <c r="BG367" s="21" t="n"/>
      <c r="BH367" s="21" t="n"/>
      <c r="BI367" s="21" t="n"/>
      <c r="BJ367" s="21" t="n"/>
      <c r="BK367" s="21" t="n"/>
      <c r="BL367" s="21" t="n"/>
      <c r="BM367" s="21" t="n"/>
      <c r="BN367" s="21" t="n"/>
      <c r="BO367" s="21" t="n"/>
      <c r="BP367" s="21" t="n"/>
      <c r="BQ367" s="21" t="n"/>
      <c r="BR367" s="21" t="n"/>
      <c r="BS367" s="21" t="n"/>
      <c r="BT367" s="21" t="n"/>
      <c r="BU367" s="21" t="n"/>
      <c r="BV367" s="21" t="n"/>
      <c r="BW367" s="21" t="n"/>
      <c r="BX367" s="21" t="n"/>
      <c r="BY367" s="21" t="n"/>
      <c r="BZ367" s="21" t="n"/>
      <c r="CA367" s="21" t="n"/>
      <c r="CB367" s="21" t="n"/>
      <c r="CC367" s="21" t="n"/>
      <c r="CD367" s="21" t="n"/>
      <c r="CE367" s="21" t="n"/>
      <c r="CF367" s="21" t="n"/>
      <c r="CG367" s="21" t="n"/>
      <c r="CH367" s="21" t="n"/>
      <c r="CI367" s="21" t="n"/>
      <c r="CJ367" s="21" t="n"/>
      <c r="CK367" s="21" t="n"/>
      <c r="CL367" s="21" t="n"/>
      <c r="CM367" s="21" t="n"/>
      <c r="CN367" s="21" t="n"/>
      <c r="CO367" s="21" t="n"/>
      <c r="CP367" s="21" t="n"/>
      <c r="CQ367" s="21" t="n"/>
      <c r="CR367" s="21" t="n"/>
      <c r="CS367" s="21" t="n"/>
      <c r="CT367" s="21" t="n"/>
      <c r="CU367" s="21" t="n"/>
      <c r="CV367" s="21" t="n"/>
      <c r="CW367" s="21" t="n"/>
      <c r="CX367" s="21" t="n"/>
      <c r="CY367" s="21" t="n"/>
      <c r="CZ367" s="21" t="n"/>
      <c r="DA367" s="21" t="n"/>
      <c r="DB367" s="21" t="n"/>
      <c r="DC367" s="21" t="n"/>
    </row>
    <row r="368">
      <c r="B368" t="inlineStr">
        <is>
          <t>TSP-402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12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Name],$A367)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t="inlineStr">
        <is>
          <t>TSP-403</t>
        </is>
      </c>
      <c r="C370" t="inlineStr">
        <is>
          <t>No. of batches</t>
        </is>
      </c>
      <c r="D370">
        <f>IFERROR(INDEX(PP_Grid[#Data],$DD370,2),0)</f>
        <v/>
      </c>
      <c r="E370">
        <f>IFERROR(INDEX(PP_Grid[#Data],$DD370,3),0)</f>
        <v/>
      </c>
      <c r="F370">
        <f>IFERROR(INDEX(PP_Grid[#Data],$DD370,4),0)</f>
        <v/>
      </c>
      <c r="G370">
        <f>IFERROR(INDEX(PP_Grid[#Data],$DD370,5),0)</f>
        <v/>
      </c>
      <c r="H370">
        <f>IFERROR(INDEX(PP_Grid[#Data],$DD370,6),0)</f>
        <v/>
      </c>
      <c r="I370">
        <f>IFERROR(INDEX(PP_Grid[#Data],$DD370,7),0)</f>
        <v/>
      </c>
      <c r="J370">
        <f>IFERROR(INDEX(PP_Grid[#Data],$DD370,8),0)</f>
        <v/>
      </c>
      <c r="K370">
        <f>IFERROR(INDEX(PP_Grid[#Data],$DD370,9),0)</f>
        <v/>
      </c>
      <c r="L370">
        <f>IFERROR(INDEX(PP_Grid[#Data],$DD370,10),0)</f>
        <v/>
      </c>
      <c r="M370">
        <f>IFERROR(INDEX(PP_Grid[#Data],$DD370,11),0)</f>
        <v/>
      </c>
      <c r="N370">
        <f>IFERROR(INDEX(PP_Grid[#Data],$DD370,12),0)</f>
        <v/>
      </c>
      <c r="O370">
        <f>IFERROR(INDEX(PP_Grid[#Data],$DD370,13),0)</f>
        <v/>
      </c>
      <c r="P370">
        <f>IFERROR(INDEX(PP_Grid[#Data],$DD370,14),0)</f>
        <v/>
      </c>
      <c r="Q370">
        <f>IFERROR(INDEX(PP_Grid[#Data],$DD370,15),0)</f>
        <v/>
      </c>
      <c r="R370">
        <f>IFERROR(INDEX(PP_Grid[#Data],$DD370,16),0)</f>
        <v/>
      </c>
      <c r="S370">
        <f>IFERROR(INDEX(PP_Grid[#Data],$DD370,17),0)</f>
        <v/>
      </c>
      <c r="T370">
        <f>IFERROR(INDEX(PP_Grid[#Data],$DD370,18),0)</f>
        <v/>
      </c>
      <c r="U370">
        <f>IFERROR(INDEX(PP_Grid[#Data],$DD370,19),0)</f>
        <v/>
      </c>
      <c r="V370">
        <f>IFERROR(INDEX(PP_Grid[#Data],$DD370,20),0)</f>
        <v/>
      </c>
      <c r="W370">
        <f>IFERROR(INDEX(PP_Grid[#Data],$DD370,21),0)</f>
        <v/>
      </c>
      <c r="X370">
        <f>IFERROR(INDEX(PP_Grid[#Data],$DD370,22),0)</f>
        <v/>
      </c>
      <c r="Y370">
        <f>IFERROR(INDEX(PP_Grid[#Data],$DD370,23),0)</f>
        <v/>
      </c>
      <c r="Z370">
        <f>IFERROR(INDEX(PP_Grid[#Data],$DD370,24),0)</f>
        <v/>
      </c>
      <c r="AA370">
        <f>IFERROR(INDEX(PP_Grid[#Data],$DD370,25),0)</f>
        <v/>
      </c>
      <c r="AB370">
        <f>IFERROR(INDEX(PP_Grid[#Data],$DD370,26),0)</f>
        <v/>
      </c>
      <c r="AC370">
        <f>IFERROR(INDEX(PP_Grid[#Data],$DD370,27),0)</f>
        <v/>
      </c>
      <c r="AD370">
        <f>IFERROR(INDEX(PP_Grid[#Data],$DD370,28),0)</f>
        <v/>
      </c>
      <c r="AE370">
        <f>IFERROR(INDEX(PP_Grid[#Data],$DD370,29),0)</f>
        <v/>
      </c>
      <c r="AF370">
        <f>IFERROR(INDEX(PP_Grid[#Data],$DD370,30),0)</f>
        <v/>
      </c>
      <c r="AG370">
        <f>IFERROR(INDEX(PP_Grid[#Data],$DD370,31),0)</f>
        <v/>
      </c>
      <c r="AH370">
        <f>IFERROR(INDEX(PP_Grid[#Data],$DD370,32),0)</f>
        <v/>
      </c>
      <c r="AI370">
        <f>IFERROR(INDEX(PP_Grid[#Data],$DD370,33),0)</f>
        <v/>
      </c>
      <c r="AJ370">
        <f>IFERROR(INDEX(PP_Grid[#Data],$DD370,34),0)</f>
        <v/>
      </c>
      <c r="AK370">
        <f>IFERROR(INDEX(PP_Grid[#Data],$DD370,35),0)</f>
        <v/>
      </c>
      <c r="AL370">
        <f>IFERROR(INDEX(PP_Grid[#Data],$DD370,36),0)</f>
        <v/>
      </c>
      <c r="AM370">
        <f>IFERROR(INDEX(PP_Grid[#Data],$DD370,37),0)</f>
        <v/>
      </c>
      <c r="AN370">
        <f>IFERROR(INDEX(PP_Grid[#Data],$DD370,38),0)</f>
        <v/>
      </c>
      <c r="AO370">
        <f>IFERROR(INDEX(PP_Grid[#Data],$DD370,39),0)</f>
        <v/>
      </c>
      <c r="AP370">
        <f>IFERROR(INDEX(PP_Grid[#Data],$DD370,40),0)</f>
        <v/>
      </c>
      <c r="AQ370">
        <f>IFERROR(INDEX(PP_Grid[#Data],$DD370,41),0)</f>
        <v/>
      </c>
      <c r="AR370">
        <f>IFERROR(INDEX(PP_Grid[#Data],$DD370,42),0)</f>
        <v/>
      </c>
      <c r="AS370">
        <f>IFERROR(INDEX(PP_Grid[#Data],$DD370,43),0)</f>
        <v/>
      </c>
      <c r="AT370">
        <f>IFERROR(INDEX(PP_Grid[#Data],$DD370,44),0)</f>
        <v/>
      </c>
      <c r="AU370">
        <f>IFERROR(INDEX(PP_Grid[#Data],$DD370,45),0)</f>
        <v/>
      </c>
      <c r="AV370">
        <f>IFERROR(INDEX(PP_Grid[#Data],$DD370,46),0)</f>
        <v/>
      </c>
      <c r="AW370">
        <f>IFERROR(INDEX(PP_Grid[#Data],$DD370,47),0)</f>
        <v/>
      </c>
      <c r="AX370">
        <f>IFERROR(INDEX(PP_Grid[#Data],$DD370,48),0)</f>
        <v/>
      </c>
      <c r="AY370">
        <f>IFERROR(INDEX(PP_Grid[#Data],$DD370,49),0)</f>
        <v/>
      </c>
      <c r="AZ370">
        <f>IFERROR(INDEX(PP_Grid[#Data],$DD370,50),0)</f>
        <v/>
      </c>
      <c r="BA370">
        <f>IFERROR(INDEX(PP_Grid[#Data],$DD370,51),0)</f>
        <v/>
      </c>
      <c r="BB370">
        <f>IFERROR(INDEX(PP_Grid[#Data],$DD370,52),0)</f>
        <v/>
      </c>
      <c r="BC370">
        <f>IFERROR(INDEX(PP_Grid[#Data],$DD370,53),0)</f>
        <v/>
      </c>
      <c r="BD370">
        <f>IFERROR(INDEX(PP_Grid[#Data],$DD370,54),0)</f>
        <v/>
      </c>
      <c r="BE370">
        <f>IFERROR(INDEX(PP_Grid[#Data],$DD370,55),0)</f>
        <v/>
      </c>
      <c r="BF370">
        <f>IFERROR(INDEX(PP_Grid[#Data],$DD370,56),0)</f>
        <v/>
      </c>
      <c r="BG370">
        <f>IFERROR(INDEX(PP_Grid[#Data],$DD370,57),0)</f>
        <v/>
      </c>
      <c r="BH370">
        <f>IFERROR(INDEX(PP_Grid[#Data],$DD370,58),0)</f>
        <v/>
      </c>
      <c r="BI370">
        <f>IFERROR(INDEX(PP_Grid[#Data],$DD370,59),0)</f>
        <v/>
      </c>
      <c r="BJ370">
        <f>IFERROR(INDEX(PP_Grid[#Data],$DD370,60),0)</f>
        <v/>
      </c>
      <c r="BK370">
        <f>IFERROR(INDEX(PP_Grid[#Data],$DD370,61),0)</f>
        <v/>
      </c>
      <c r="BL370">
        <f>IFERROR(INDEX(PP_Grid[#Data],$DD370,62),0)</f>
        <v/>
      </c>
      <c r="BM370">
        <f>IFERROR(INDEX(PP_Grid[#Data],$DD370,63),0)</f>
        <v/>
      </c>
      <c r="BN370">
        <f>IFERROR(INDEX(PP_Grid[#Data],$DD370,64),0)</f>
        <v/>
      </c>
      <c r="BO370">
        <f>IFERROR(INDEX(PP_Grid[#Data],$DD370,65),0)</f>
        <v/>
      </c>
      <c r="BP370">
        <f>IFERROR(INDEX(PP_Grid[#Data],$DD370,66),0)</f>
        <v/>
      </c>
      <c r="BQ370">
        <f>IFERROR(INDEX(PP_Grid[#Data],$DD370,67),0)</f>
        <v/>
      </c>
      <c r="BR370">
        <f>IFERROR(INDEX(PP_Grid[#Data],$DD370,68),0)</f>
        <v/>
      </c>
      <c r="BS370">
        <f>IFERROR(INDEX(PP_Grid[#Data],$DD370,69),0)</f>
        <v/>
      </c>
      <c r="BT370">
        <f>IFERROR(INDEX(PP_Grid[#Data],$DD370,70),0)</f>
        <v/>
      </c>
      <c r="BU370">
        <f>IFERROR(INDEX(PP_Grid[#Data],$DD370,71),0)</f>
        <v/>
      </c>
      <c r="BV370">
        <f>IFERROR(INDEX(PP_Grid[#Data],$DD370,72),0)</f>
        <v/>
      </c>
      <c r="BW370">
        <f>IFERROR(INDEX(PP_Grid[#Data],$DD370,73),0)</f>
        <v/>
      </c>
      <c r="BX370">
        <f>IFERROR(INDEX(PP_Grid[#Data],$DD370,74),0)</f>
        <v/>
      </c>
      <c r="BY370">
        <f>IFERROR(INDEX(PP_Grid[#Data],$DD370,75),0)</f>
        <v/>
      </c>
      <c r="BZ370">
        <f>IFERROR(INDEX(PP_Grid[#Data],$DD370,76),0)</f>
        <v/>
      </c>
      <c r="CA370">
        <f>IFERROR(INDEX(PP_Grid[#Data],$DD370,77),0)</f>
        <v/>
      </c>
      <c r="CB370">
        <f>IFERROR(INDEX(PP_Grid[#Data],$DD370,78),0)</f>
        <v/>
      </c>
      <c r="CC370">
        <f>IFERROR(INDEX(PP_Grid[#Data],$DD370,79),0)</f>
        <v/>
      </c>
      <c r="CD370">
        <f>IFERROR(INDEX(PP_Grid[#Data],$DD370,80),0)</f>
        <v/>
      </c>
      <c r="CE370">
        <f>IFERROR(INDEX(PP_Grid[#Data],$DD370,81),0)</f>
        <v/>
      </c>
      <c r="CF370">
        <f>IFERROR(INDEX(PP_Grid[#Data],$DD370,82),0)</f>
        <v/>
      </c>
      <c r="CG370">
        <f>IFERROR(INDEX(PP_Grid[#Data],$DD370,83),0)</f>
        <v/>
      </c>
      <c r="CH370">
        <f>IFERROR(INDEX(PP_Grid[#Data],$DD370,84),0)</f>
        <v/>
      </c>
      <c r="CI370">
        <f>IFERROR(INDEX(PP_Grid[#Data],$DD370,85),0)</f>
        <v/>
      </c>
      <c r="CJ370">
        <f>IFERROR(INDEX(PP_Grid[#Data],$DD370,86),0)</f>
        <v/>
      </c>
      <c r="CK370">
        <f>IFERROR(INDEX(PP_Grid[#Data],$DD370,87),0)</f>
        <v/>
      </c>
      <c r="CL370">
        <f>IFERROR(INDEX(PP_Grid[#Data],$DD370,88),0)</f>
        <v/>
      </c>
      <c r="CM370">
        <f>IFERROR(INDEX(PP_Grid[#Data],$DD370,89),0)</f>
        <v/>
      </c>
      <c r="CN370">
        <f>IFERROR(INDEX(PP_Grid[#Data],$DD370,90),0)</f>
        <v/>
      </c>
      <c r="CO370">
        <f>IFERROR(INDEX(PP_Grid[#Data],$DD370,91),0)</f>
        <v/>
      </c>
      <c r="CP370">
        <f>IFERROR(INDEX(PP_Grid[#Data],$DD370,92),0)</f>
        <v/>
      </c>
      <c r="CQ370">
        <f>IFERROR(INDEX(PP_Grid[#Data],$DD370,93),0)</f>
        <v/>
      </c>
      <c r="CR370">
        <f>IFERROR(INDEX(PP_Grid[#Data],$DD370,94),0)</f>
        <v/>
      </c>
      <c r="CS370">
        <f>IFERROR(INDEX(PP_Grid[#Data],$DD370,95),0)</f>
        <v/>
      </c>
      <c r="CT370">
        <f>IFERROR(INDEX(PP_Grid[#Data],$DD370,96),0)</f>
        <v/>
      </c>
      <c r="CU370">
        <f>IFERROR(INDEX(PP_Grid[#Data],$DD370,97),0)</f>
        <v/>
      </c>
      <c r="CV370">
        <f>IFERROR(INDEX(PP_Grid[#Data],$DD370,98),0)</f>
        <v/>
      </c>
      <c r="CW370">
        <f>IFERROR(INDEX(PP_Grid[#Data],$DD370,99),0)</f>
        <v/>
      </c>
      <c r="CX370">
        <f>IFERROR(INDEX(PP_Grid[#Data],$DD370,100),0)</f>
        <v/>
      </c>
      <c r="CY370">
        <f>IFERROR(INDEX(PP_Grid[#Data],$DD370,101),0)</f>
        <v/>
      </c>
      <c r="CZ370">
        <f>IFERROR(INDEX(PP_Grid[#Data],$DD370,102),0)</f>
        <v/>
      </c>
      <c r="DA370">
        <f>IFERROR(INDEX(PP_Grid[#Data],$DD370,103),0)</f>
        <v/>
      </c>
      <c r="DB370">
        <f>IFERROR(INDEX(PP_Grid[#Data],$DD370,104),0)</f>
        <v/>
      </c>
      <c r="DC370">
        <f>IFERROR(INDEX(PP_Grid[#Data],$DD370,105),0)</f>
        <v/>
      </c>
      <c r="DD370" s="12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SUMIFS(M_BOM[RM_Qty_Per_Batch],M_BOM[Intermediate],$B370,M_BOM[Part Name],$A367)</f>
        <v/>
      </c>
      <c r="D371">
        <f>$C371*D370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</row>
    <row r="372">
      <c r="B372" t="inlineStr">
        <is>
          <t>TSP-404</t>
        </is>
      </c>
      <c r="C372" t="inlineStr">
        <is>
          <t>No. of batches</t>
        </is>
      </c>
      <c r="D372">
        <f>IFERROR(INDEX(PP_Grid[#Data],$DD372,2),0)</f>
        <v/>
      </c>
      <c r="E372">
        <f>IFERROR(INDEX(PP_Grid[#Data],$DD372,3),0)</f>
        <v/>
      </c>
      <c r="F372">
        <f>IFERROR(INDEX(PP_Grid[#Data],$DD372,4),0)</f>
        <v/>
      </c>
      <c r="G372">
        <f>IFERROR(INDEX(PP_Grid[#Data],$DD372,5),0)</f>
        <v/>
      </c>
      <c r="H372">
        <f>IFERROR(INDEX(PP_Grid[#Data],$DD372,6),0)</f>
        <v/>
      </c>
      <c r="I372">
        <f>IFERROR(INDEX(PP_Grid[#Data],$DD372,7),0)</f>
        <v/>
      </c>
      <c r="J372">
        <f>IFERROR(INDEX(PP_Grid[#Data],$DD372,8),0)</f>
        <v/>
      </c>
      <c r="K372">
        <f>IFERROR(INDEX(PP_Grid[#Data],$DD372,9),0)</f>
        <v/>
      </c>
      <c r="L372">
        <f>IFERROR(INDEX(PP_Grid[#Data],$DD372,10),0)</f>
        <v/>
      </c>
      <c r="M372">
        <f>IFERROR(INDEX(PP_Grid[#Data],$DD372,11),0)</f>
        <v/>
      </c>
      <c r="N372">
        <f>IFERROR(INDEX(PP_Grid[#Data],$DD372,12),0)</f>
        <v/>
      </c>
      <c r="O372">
        <f>IFERROR(INDEX(PP_Grid[#Data],$DD372,13),0)</f>
        <v/>
      </c>
      <c r="P372">
        <f>IFERROR(INDEX(PP_Grid[#Data],$DD372,14),0)</f>
        <v/>
      </c>
      <c r="Q372">
        <f>IFERROR(INDEX(PP_Grid[#Data],$DD372,15),0)</f>
        <v/>
      </c>
      <c r="R372">
        <f>IFERROR(INDEX(PP_Grid[#Data],$DD372,16),0)</f>
        <v/>
      </c>
      <c r="S372">
        <f>IFERROR(INDEX(PP_Grid[#Data],$DD372,17),0)</f>
        <v/>
      </c>
      <c r="T372">
        <f>IFERROR(INDEX(PP_Grid[#Data],$DD372,18),0)</f>
        <v/>
      </c>
      <c r="U372">
        <f>IFERROR(INDEX(PP_Grid[#Data],$DD372,19),0)</f>
        <v/>
      </c>
      <c r="V372">
        <f>IFERROR(INDEX(PP_Grid[#Data],$DD372,20),0)</f>
        <v/>
      </c>
      <c r="W372">
        <f>IFERROR(INDEX(PP_Grid[#Data],$DD372,21),0)</f>
        <v/>
      </c>
      <c r="X372">
        <f>IFERROR(INDEX(PP_Grid[#Data],$DD372,22),0)</f>
        <v/>
      </c>
      <c r="Y372">
        <f>IFERROR(INDEX(PP_Grid[#Data],$DD372,23),0)</f>
        <v/>
      </c>
      <c r="Z372">
        <f>IFERROR(INDEX(PP_Grid[#Data],$DD372,24),0)</f>
        <v/>
      </c>
      <c r="AA372">
        <f>IFERROR(INDEX(PP_Grid[#Data],$DD372,25),0)</f>
        <v/>
      </c>
      <c r="AB372">
        <f>IFERROR(INDEX(PP_Grid[#Data],$DD372,26),0)</f>
        <v/>
      </c>
      <c r="AC372">
        <f>IFERROR(INDEX(PP_Grid[#Data],$DD372,27),0)</f>
        <v/>
      </c>
      <c r="AD372">
        <f>IFERROR(INDEX(PP_Grid[#Data],$DD372,28),0)</f>
        <v/>
      </c>
      <c r="AE372">
        <f>IFERROR(INDEX(PP_Grid[#Data],$DD372,29),0)</f>
        <v/>
      </c>
      <c r="AF372">
        <f>IFERROR(INDEX(PP_Grid[#Data],$DD372,30),0)</f>
        <v/>
      </c>
      <c r="AG372">
        <f>IFERROR(INDEX(PP_Grid[#Data],$DD372,31),0)</f>
        <v/>
      </c>
      <c r="AH372">
        <f>IFERROR(INDEX(PP_Grid[#Data],$DD372,32),0)</f>
        <v/>
      </c>
      <c r="AI372">
        <f>IFERROR(INDEX(PP_Grid[#Data],$DD372,33),0)</f>
        <v/>
      </c>
      <c r="AJ372">
        <f>IFERROR(INDEX(PP_Grid[#Data],$DD372,34),0)</f>
        <v/>
      </c>
      <c r="AK372">
        <f>IFERROR(INDEX(PP_Grid[#Data],$DD372,35),0)</f>
        <v/>
      </c>
      <c r="AL372">
        <f>IFERROR(INDEX(PP_Grid[#Data],$DD372,36),0)</f>
        <v/>
      </c>
      <c r="AM372">
        <f>IFERROR(INDEX(PP_Grid[#Data],$DD372,37),0)</f>
        <v/>
      </c>
      <c r="AN372">
        <f>IFERROR(INDEX(PP_Grid[#Data],$DD372,38),0)</f>
        <v/>
      </c>
      <c r="AO372">
        <f>IFERROR(INDEX(PP_Grid[#Data],$DD372,39),0)</f>
        <v/>
      </c>
      <c r="AP372">
        <f>IFERROR(INDEX(PP_Grid[#Data],$DD372,40),0)</f>
        <v/>
      </c>
      <c r="AQ372">
        <f>IFERROR(INDEX(PP_Grid[#Data],$DD372,41),0)</f>
        <v/>
      </c>
      <c r="AR372">
        <f>IFERROR(INDEX(PP_Grid[#Data],$DD372,42),0)</f>
        <v/>
      </c>
      <c r="AS372">
        <f>IFERROR(INDEX(PP_Grid[#Data],$DD372,43),0)</f>
        <v/>
      </c>
      <c r="AT372">
        <f>IFERROR(INDEX(PP_Grid[#Data],$DD372,44),0)</f>
        <v/>
      </c>
      <c r="AU372">
        <f>IFERROR(INDEX(PP_Grid[#Data],$DD372,45),0)</f>
        <v/>
      </c>
      <c r="AV372">
        <f>IFERROR(INDEX(PP_Grid[#Data],$DD372,46),0)</f>
        <v/>
      </c>
      <c r="AW372">
        <f>IFERROR(INDEX(PP_Grid[#Data],$DD372,47),0)</f>
        <v/>
      </c>
      <c r="AX372">
        <f>IFERROR(INDEX(PP_Grid[#Data],$DD372,48),0)</f>
        <v/>
      </c>
      <c r="AY372">
        <f>IFERROR(INDEX(PP_Grid[#Data],$DD372,49),0)</f>
        <v/>
      </c>
      <c r="AZ372">
        <f>IFERROR(INDEX(PP_Grid[#Data],$DD372,50),0)</f>
        <v/>
      </c>
      <c r="BA372">
        <f>IFERROR(INDEX(PP_Grid[#Data],$DD372,51),0)</f>
        <v/>
      </c>
      <c r="BB372">
        <f>IFERROR(INDEX(PP_Grid[#Data],$DD372,52),0)</f>
        <v/>
      </c>
      <c r="BC372">
        <f>IFERROR(INDEX(PP_Grid[#Data],$DD372,53),0)</f>
        <v/>
      </c>
      <c r="BD372">
        <f>IFERROR(INDEX(PP_Grid[#Data],$DD372,54),0)</f>
        <v/>
      </c>
      <c r="BE372">
        <f>IFERROR(INDEX(PP_Grid[#Data],$DD372,55),0)</f>
        <v/>
      </c>
      <c r="BF372">
        <f>IFERROR(INDEX(PP_Grid[#Data],$DD372,56),0)</f>
        <v/>
      </c>
      <c r="BG372">
        <f>IFERROR(INDEX(PP_Grid[#Data],$DD372,57),0)</f>
        <v/>
      </c>
      <c r="BH372">
        <f>IFERROR(INDEX(PP_Grid[#Data],$DD372,58),0)</f>
        <v/>
      </c>
      <c r="BI372">
        <f>IFERROR(INDEX(PP_Grid[#Data],$DD372,59),0)</f>
        <v/>
      </c>
      <c r="BJ372">
        <f>IFERROR(INDEX(PP_Grid[#Data],$DD372,60),0)</f>
        <v/>
      </c>
      <c r="BK372">
        <f>IFERROR(INDEX(PP_Grid[#Data],$DD372,61),0)</f>
        <v/>
      </c>
      <c r="BL372">
        <f>IFERROR(INDEX(PP_Grid[#Data],$DD372,62),0)</f>
        <v/>
      </c>
      <c r="BM372">
        <f>IFERROR(INDEX(PP_Grid[#Data],$DD372,63),0)</f>
        <v/>
      </c>
      <c r="BN372">
        <f>IFERROR(INDEX(PP_Grid[#Data],$DD372,64),0)</f>
        <v/>
      </c>
      <c r="BO372">
        <f>IFERROR(INDEX(PP_Grid[#Data],$DD372,65),0)</f>
        <v/>
      </c>
      <c r="BP372">
        <f>IFERROR(INDEX(PP_Grid[#Data],$DD372,66),0)</f>
        <v/>
      </c>
      <c r="BQ372">
        <f>IFERROR(INDEX(PP_Grid[#Data],$DD372,67),0)</f>
        <v/>
      </c>
      <c r="BR372">
        <f>IFERROR(INDEX(PP_Grid[#Data],$DD372,68),0)</f>
        <v/>
      </c>
      <c r="BS372">
        <f>IFERROR(INDEX(PP_Grid[#Data],$DD372,69),0)</f>
        <v/>
      </c>
      <c r="BT372">
        <f>IFERROR(INDEX(PP_Grid[#Data],$DD372,70),0)</f>
        <v/>
      </c>
      <c r="BU372">
        <f>IFERROR(INDEX(PP_Grid[#Data],$DD372,71),0)</f>
        <v/>
      </c>
      <c r="BV372">
        <f>IFERROR(INDEX(PP_Grid[#Data],$DD372,72),0)</f>
        <v/>
      </c>
      <c r="BW372">
        <f>IFERROR(INDEX(PP_Grid[#Data],$DD372,73),0)</f>
        <v/>
      </c>
      <c r="BX372">
        <f>IFERROR(INDEX(PP_Grid[#Data],$DD372,74),0)</f>
        <v/>
      </c>
      <c r="BY372">
        <f>IFERROR(INDEX(PP_Grid[#Data],$DD372,75),0)</f>
        <v/>
      </c>
      <c r="BZ372">
        <f>IFERROR(INDEX(PP_Grid[#Data],$DD372,76),0)</f>
        <v/>
      </c>
      <c r="CA372">
        <f>IFERROR(INDEX(PP_Grid[#Data],$DD372,77),0)</f>
        <v/>
      </c>
      <c r="CB372">
        <f>IFERROR(INDEX(PP_Grid[#Data],$DD372,78),0)</f>
        <v/>
      </c>
      <c r="CC372">
        <f>IFERROR(INDEX(PP_Grid[#Data],$DD372,79),0)</f>
        <v/>
      </c>
      <c r="CD372">
        <f>IFERROR(INDEX(PP_Grid[#Data],$DD372,80),0)</f>
        <v/>
      </c>
      <c r="CE372">
        <f>IFERROR(INDEX(PP_Grid[#Data],$DD372,81),0)</f>
        <v/>
      </c>
      <c r="CF372">
        <f>IFERROR(INDEX(PP_Grid[#Data],$DD372,82),0)</f>
        <v/>
      </c>
      <c r="CG372">
        <f>IFERROR(INDEX(PP_Grid[#Data],$DD372,83),0)</f>
        <v/>
      </c>
      <c r="CH372">
        <f>IFERROR(INDEX(PP_Grid[#Data],$DD372,84),0)</f>
        <v/>
      </c>
      <c r="CI372">
        <f>IFERROR(INDEX(PP_Grid[#Data],$DD372,85),0)</f>
        <v/>
      </c>
      <c r="CJ372">
        <f>IFERROR(INDEX(PP_Grid[#Data],$DD372,86),0)</f>
        <v/>
      </c>
      <c r="CK372">
        <f>IFERROR(INDEX(PP_Grid[#Data],$DD372,87),0)</f>
        <v/>
      </c>
      <c r="CL372">
        <f>IFERROR(INDEX(PP_Grid[#Data],$DD372,88),0)</f>
        <v/>
      </c>
      <c r="CM372">
        <f>IFERROR(INDEX(PP_Grid[#Data],$DD372,89),0)</f>
        <v/>
      </c>
      <c r="CN372">
        <f>IFERROR(INDEX(PP_Grid[#Data],$DD372,90),0)</f>
        <v/>
      </c>
      <c r="CO372">
        <f>IFERROR(INDEX(PP_Grid[#Data],$DD372,91),0)</f>
        <v/>
      </c>
      <c r="CP372">
        <f>IFERROR(INDEX(PP_Grid[#Data],$DD372,92),0)</f>
        <v/>
      </c>
      <c r="CQ372">
        <f>IFERROR(INDEX(PP_Grid[#Data],$DD372,93),0)</f>
        <v/>
      </c>
      <c r="CR372">
        <f>IFERROR(INDEX(PP_Grid[#Data],$DD372,94),0)</f>
        <v/>
      </c>
      <c r="CS372">
        <f>IFERROR(INDEX(PP_Grid[#Data],$DD372,95),0)</f>
        <v/>
      </c>
      <c r="CT372">
        <f>IFERROR(INDEX(PP_Grid[#Data],$DD372,96),0)</f>
        <v/>
      </c>
      <c r="CU372">
        <f>IFERROR(INDEX(PP_Grid[#Data],$DD372,97),0)</f>
        <v/>
      </c>
      <c r="CV372">
        <f>IFERROR(INDEX(PP_Grid[#Data],$DD372,98),0)</f>
        <v/>
      </c>
      <c r="CW372">
        <f>IFERROR(INDEX(PP_Grid[#Data],$DD372,99),0)</f>
        <v/>
      </c>
      <c r="CX372">
        <f>IFERROR(INDEX(PP_Grid[#Data],$DD372,100),0)</f>
        <v/>
      </c>
      <c r="CY372">
        <f>IFERROR(INDEX(PP_Grid[#Data],$DD372,101),0)</f>
        <v/>
      </c>
      <c r="CZ372">
        <f>IFERROR(INDEX(PP_Grid[#Data],$DD372,102),0)</f>
        <v/>
      </c>
      <c r="DA372">
        <f>IFERROR(INDEX(PP_Grid[#Data],$DD372,103),0)</f>
        <v/>
      </c>
      <c r="DB372">
        <f>IFERROR(INDEX(PP_Grid[#Data],$DD372,104),0)</f>
        <v/>
      </c>
      <c r="DC372">
        <f>IFERROR(INDEX(PP_Grid[#Data],$DD372,105),0)</f>
        <v/>
      </c>
      <c r="DD372" s="12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SUMIFS(M_BOM[RM_Qty_Per_Batch],M_BOM[Intermediate],$B372,M_BOM[Part Name],$A367)</f>
        <v/>
      </c>
      <c r="D373">
        <f>$C373*D372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</row>
    <row r="374">
      <c r="B374" t="inlineStr">
        <is>
          <t>TSP-405</t>
        </is>
      </c>
      <c r="C374" t="inlineStr">
        <is>
          <t>No. of batches</t>
        </is>
      </c>
      <c r="D374">
        <f>IFERROR(INDEX(PP_Grid[#Data],$DD374,2),0)</f>
        <v/>
      </c>
      <c r="E374">
        <f>IFERROR(INDEX(PP_Grid[#Data],$DD374,3),0)</f>
        <v/>
      </c>
      <c r="F374">
        <f>IFERROR(INDEX(PP_Grid[#Data],$DD374,4),0)</f>
        <v/>
      </c>
      <c r="G374">
        <f>IFERROR(INDEX(PP_Grid[#Data],$DD374,5),0)</f>
        <v/>
      </c>
      <c r="H374">
        <f>IFERROR(INDEX(PP_Grid[#Data],$DD374,6),0)</f>
        <v/>
      </c>
      <c r="I374">
        <f>IFERROR(INDEX(PP_Grid[#Data],$DD374,7),0)</f>
        <v/>
      </c>
      <c r="J374">
        <f>IFERROR(INDEX(PP_Grid[#Data],$DD374,8),0)</f>
        <v/>
      </c>
      <c r="K374">
        <f>IFERROR(INDEX(PP_Grid[#Data],$DD374,9),0)</f>
        <v/>
      </c>
      <c r="L374">
        <f>IFERROR(INDEX(PP_Grid[#Data],$DD374,10),0)</f>
        <v/>
      </c>
      <c r="M374">
        <f>IFERROR(INDEX(PP_Grid[#Data],$DD374,11),0)</f>
        <v/>
      </c>
      <c r="N374">
        <f>IFERROR(INDEX(PP_Grid[#Data],$DD374,12),0)</f>
        <v/>
      </c>
      <c r="O374">
        <f>IFERROR(INDEX(PP_Grid[#Data],$DD374,13),0)</f>
        <v/>
      </c>
      <c r="P374">
        <f>IFERROR(INDEX(PP_Grid[#Data],$DD374,14),0)</f>
        <v/>
      </c>
      <c r="Q374">
        <f>IFERROR(INDEX(PP_Grid[#Data],$DD374,15),0)</f>
        <v/>
      </c>
      <c r="R374">
        <f>IFERROR(INDEX(PP_Grid[#Data],$DD374,16),0)</f>
        <v/>
      </c>
      <c r="S374">
        <f>IFERROR(INDEX(PP_Grid[#Data],$DD374,17),0)</f>
        <v/>
      </c>
      <c r="T374">
        <f>IFERROR(INDEX(PP_Grid[#Data],$DD374,18),0)</f>
        <v/>
      </c>
      <c r="U374">
        <f>IFERROR(INDEX(PP_Grid[#Data],$DD374,19),0)</f>
        <v/>
      </c>
      <c r="V374">
        <f>IFERROR(INDEX(PP_Grid[#Data],$DD374,20),0)</f>
        <v/>
      </c>
      <c r="W374">
        <f>IFERROR(INDEX(PP_Grid[#Data],$DD374,21),0)</f>
        <v/>
      </c>
      <c r="X374">
        <f>IFERROR(INDEX(PP_Grid[#Data],$DD374,22),0)</f>
        <v/>
      </c>
      <c r="Y374">
        <f>IFERROR(INDEX(PP_Grid[#Data],$DD374,23),0)</f>
        <v/>
      </c>
      <c r="Z374">
        <f>IFERROR(INDEX(PP_Grid[#Data],$DD374,24),0)</f>
        <v/>
      </c>
      <c r="AA374">
        <f>IFERROR(INDEX(PP_Grid[#Data],$DD374,25),0)</f>
        <v/>
      </c>
      <c r="AB374">
        <f>IFERROR(INDEX(PP_Grid[#Data],$DD374,26),0)</f>
        <v/>
      </c>
      <c r="AC374">
        <f>IFERROR(INDEX(PP_Grid[#Data],$DD374,27),0)</f>
        <v/>
      </c>
      <c r="AD374">
        <f>IFERROR(INDEX(PP_Grid[#Data],$DD374,28),0)</f>
        <v/>
      </c>
      <c r="AE374">
        <f>IFERROR(INDEX(PP_Grid[#Data],$DD374,29),0)</f>
        <v/>
      </c>
      <c r="AF374">
        <f>IFERROR(INDEX(PP_Grid[#Data],$DD374,30),0)</f>
        <v/>
      </c>
      <c r="AG374">
        <f>IFERROR(INDEX(PP_Grid[#Data],$DD374,31),0)</f>
        <v/>
      </c>
      <c r="AH374">
        <f>IFERROR(INDEX(PP_Grid[#Data],$DD374,32),0)</f>
        <v/>
      </c>
      <c r="AI374">
        <f>IFERROR(INDEX(PP_Grid[#Data],$DD374,33),0)</f>
        <v/>
      </c>
      <c r="AJ374">
        <f>IFERROR(INDEX(PP_Grid[#Data],$DD374,34),0)</f>
        <v/>
      </c>
      <c r="AK374">
        <f>IFERROR(INDEX(PP_Grid[#Data],$DD374,35),0)</f>
        <v/>
      </c>
      <c r="AL374">
        <f>IFERROR(INDEX(PP_Grid[#Data],$DD374,36),0)</f>
        <v/>
      </c>
      <c r="AM374">
        <f>IFERROR(INDEX(PP_Grid[#Data],$DD374,37),0)</f>
        <v/>
      </c>
      <c r="AN374">
        <f>IFERROR(INDEX(PP_Grid[#Data],$DD374,38),0)</f>
        <v/>
      </c>
      <c r="AO374">
        <f>IFERROR(INDEX(PP_Grid[#Data],$DD374,39),0)</f>
        <v/>
      </c>
      <c r="AP374">
        <f>IFERROR(INDEX(PP_Grid[#Data],$DD374,40),0)</f>
        <v/>
      </c>
      <c r="AQ374">
        <f>IFERROR(INDEX(PP_Grid[#Data],$DD374,41),0)</f>
        <v/>
      </c>
      <c r="AR374">
        <f>IFERROR(INDEX(PP_Grid[#Data],$DD374,42),0)</f>
        <v/>
      </c>
      <c r="AS374">
        <f>IFERROR(INDEX(PP_Grid[#Data],$DD374,43),0)</f>
        <v/>
      </c>
      <c r="AT374">
        <f>IFERROR(INDEX(PP_Grid[#Data],$DD374,44),0)</f>
        <v/>
      </c>
      <c r="AU374">
        <f>IFERROR(INDEX(PP_Grid[#Data],$DD374,45),0)</f>
        <v/>
      </c>
      <c r="AV374">
        <f>IFERROR(INDEX(PP_Grid[#Data],$DD374,46),0)</f>
        <v/>
      </c>
      <c r="AW374">
        <f>IFERROR(INDEX(PP_Grid[#Data],$DD374,47),0)</f>
        <v/>
      </c>
      <c r="AX374">
        <f>IFERROR(INDEX(PP_Grid[#Data],$DD374,48),0)</f>
        <v/>
      </c>
      <c r="AY374">
        <f>IFERROR(INDEX(PP_Grid[#Data],$DD374,49),0)</f>
        <v/>
      </c>
      <c r="AZ374">
        <f>IFERROR(INDEX(PP_Grid[#Data],$DD374,50),0)</f>
        <v/>
      </c>
      <c r="BA374">
        <f>IFERROR(INDEX(PP_Grid[#Data],$DD374,51),0)</f>
        <v/>
      </c>
      <c r="BB374">
        <f>IFERROR(INDEX(PP_Grid[#Data],$DD374,52),0)</f>
        <v/>
      </c>
      <c r="BC374">
        <f>IFERROR(INDEX(PP_Grid[#Data],$DD374,53),0)</f>
        <v/>
      </c>
      <c r="BD374">
        <f>IFERROR(INDEX(PP_Grid[#Data],$DD374,54),0)</f>
        <v/>
      </c>
      <c r="BE374">
        <f>IFERROR(INDEX(PP_Grid[#Data],$DD374,55),0)</f>
        <v/>
      </c>
      <c r="BF374">
        <f>IFERROR(INDEX(PP_Grid[#Data],$DD374,56),0)</f>
        <v/>
      </c>
      <c r="BG374">
        <f>IFERROR(INDEX(PP_Grid[#Data],$DD374,57),0)</f>
        <v/>
      </c>
      <c r="BH374">
        <f>IFERROR(INDEX(PP_Grid[#Data],$DD374,58),0)</f>
        <v/>
      </c>
      <c r="BI374">
        <f>IFERROR(INDEX(PP_Grid[#Data],$DD374,59),0)</f>
        <v/>
      </c>
      <c r="BJ374">
        <f>IFERROR(INDEX(PP_Grid[#Data],$DD374,60),0)</f>
        <v/>
      </c>
      <c r="BK374">
        <f>IFERROR(INDEX(PP_Grid[#Data],$DD374,61),0)</f>
        <v/>
      </c>
      <c r="BL374">
        <f>IFERROR(INDEX(PP_Grid[#Data],$DD374,62),0)</f>
        <v/>
      </c>
      <c r="BM374">
        <f>IFERROR(INDEX(PP_Grid[#Data],$DD374,63),0)</f>
        <v/>
      </c>
      <c r="BN374">
        <f>IFERROR(INDEX(PP_Grid[#Data],$DD374,64),0)</f>
        <v/>
      </c>
      <c r="BO374">
        <f>IFERROR(INDEX(PP_Grid[#Data],$DD374,65),0)</f>
        <v/>
      </c>
      <c r="BP374">
        <f>IFERROR(INDEX(PP_Grid[#Data],$DD374,66),0)</f>
        <v/>
      </c>
      <c r="BQ374">
        <f>IFERROR(INDEX(PP_Grid[#Data],$DD374,67),0)</f>
        <v/>
      </c>
      <c r="BR374">
        <f>IFERROR(INDEX(PP_Grid[#Data],$DD374,68),0)</f>
        <v/>
      </c>
      <c r="BS374">
        <f>IFERROR(INDEX(PP_Grid[#Data],$DD374,69),0)</f>
        <v/>
      </c>
      <c r="BT374">
        <f>IFERROR(INDEX(PP_Grid[#Data],$DD374,70),0)</f>
        <v/>
      </c>
      <c r="BU374">
        <f>IFERROR(INDEX(PP_Grid[#Data],$DD374,71),0)</f>
        <v/>
      </c>
      <c r="BV374">
        <f>IFERROR(INDEX(PP_Grid[#Data],$DD374,72),0)</f>
        <v/>
      </c>
      <c r="BW374">
        <f>IFERROR(INDEX(PP_Grid[#Data],$DD374,73),0)</f>
        <v/>
      </c>
      <c r="BX374">
        <f>IFERROR(INDEX(PP_Grid[#Data],$DD374,74),0)</f>
        <v/>
      </c>
      <c r="BY374">
        <f>IFERROR(INDEX(PP_Grid[#Data],$DD374,75),0)</f>
        <v/>
      </c>
      <c r="BZ374">
        <f>IFERROR(INDEX(PP_Grid[#Data],$DD374,76),0)</f>
        <v/>
      </c>
      <c r="CA374">
        <f>IFERROR(INDEX(PP_Grid[#Data],$DD374,77),0)</f>
        <v/>
      </c>
      <c r="CB374">
        <f>IFERROR(INDEX(PP_Grid[#Data],$DD374,78),0)</f>
        <v/>
      </c>
      <c r="CC374">
        <f>IFERROR(INDEX(PP_Grid[#Data],$DD374,79),0)</f>
        <v/>
      </c>
      <c r="CD374">
        <f>IFERROR(INDEX(PP_Grid[#Data],$DD374,80),0)</f>
        <v/>
      </c>
      <c r="CE374">
        <f>IFERROR(INDEX(PP_Grid[#Data],$DD374,81),0)</f>
        <v/>
      </c>
      <c r="CF374">
        <f>IFERROR(INDEX(PP_Grid[#Data],$DD374,82),0)</f>
        <v/>
      </c>
      <c r="CG374">
        <f>IFERROR(INDEX(PP_Grid[#Data],$DD374,83),0)</f>
        <v/>
      </c>
      <c r="CH374">
        <f>IFERROR(INDEX(PP_Grid[#Data],$DD374,84),0)</f>
        <v/>
      </c>
      <c r="CI374">
        <f>IFERROR(INDEX(PP_Grid[#Data],$DD374,85),0)</f>
        <v/>
      </c>
      <c r="CJ374">
        <f>IFERROR(INDEX(PP_Grid[#Data],$DD374,86),0)</f>
        <v/>
      </c>
      <c r="CK374">
        <f>IFERROR(INDEX(PP_Grid[#Data],$DD374,87),0)</f>
        <v/>
      </c>
      <c r="CL374">
        <f>IFERROR(INDEX(PP_Grid[#Data],$DD374,88),0)</f>
        <v/>
      </c>
      <c r="CM374">
        <f>IFERROR(INDEX(PP_Grid[#Data],$DD374,89),0)</f>
        <v/>
      </c>
      <c r="CN374">
        <f>IFERROR(INDEX(PP_Grid[#Data],$DD374,90),0)</f>
        <v/>
      </c>
      <c r="CO374">
        <f>IFERROR(INDEX(PP_Grid[#Data],$DD374,91),0)</f>
        <v/>
      </c>
      <c r="CP374">
        <f>IFERROR(INDEX(PP_Grid[#Data],$DD374,92),0)</f>
        <v/>
      </c>
      <c r="CQ374">
        <f>IFERROR(INDEX(PP_Grid[#Data],$DD374,93),0)</f>
        <v/>
      </c>
      <c r="CR374">
        <f>IFERROR(INDEX(PP_Grid[#Data],$DD374,94),0)</f>
        <v/>
      </c>
      <c r="CS374">
        <f>IFERROR(INDEX(PP_Grid[#Data],$DD374,95),0)</f>
        <v/>
      </c>
      <c r="CT374">
        <f>IFERROR(INDEX(PP_Grid[#Data],$DD374,96),0)</f>
        <v/>
      </c>
      <c r="CU374">
        <f>IFERROR(INDEX(PP_Grid[#Data],$DD374,97),0)</f>
        <v/>
      </c>
      <c r="CV374">
        <f>IFERROR(INDEX(PP_Grid[#Data],$DD374,98),0)</f>
        <v/>
      </c>
      <c r="CW374">
        <f>IFERROR(INDEX(PP_Grid[#Data],$DD374,99),0)</f>
        <v/>
      </c>
      <c r="CX374">
        <f>IFERROR(INDEX(PP_Grid[#Data],$DD374,100),0)</f>
        <v/>
      </c>
      <c r="CY374">
        <f>IFERROR(INDEX(PP_Grid[#Data],$DD374,101),0)</f>
        <v/>
      </c>
      <c r="CZ374">
        <f>IFERROR(INDEX(PP_Grid[#Data],$DD374,102),0)</f>
        <v/>
      </c>
      <c r="DA374">
        <f>IFERROR(INDEX(PP_Grid[#Data],$DD374,103),0)</f>
        <v/>
      </c>
      <c r="DB374">
        <f>IFERROR(INDEX(PP_Grid[#Data],$DD374,104),0)</f>
        <v/>
      </c>
      <c r="DC374">
        <f>IFERROR(INDEX(PP_Grid[#Data],$DD374,105),0)</f>
        <v/>
      </c>
      <c r="DD374" s="12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SUMIFS(M_BOM[RM_Qty_Per_Batch],M_BOM[Intermediate],$B374,M_BOM[Part Name],$A367)</f>
        <v/>
      </c>
      <c r="D375">
        <f>$C375*D374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</row>
    <row r="376">
      <c r="B376" s="5" t="inlineStr">
        <is>
          <t>合計使用量(kg)/週</t>
        </is>
      </c>
      <c r="D376">
        <f>'Grid_Requirement'!B30</f>
        <v/>
      </c>
      <c r="E376">
        <f>'Grid_Requirement'!C30</f>
        <v/>
      </c>
      <c r="F376">
        <f>'Grid_Requirement'!D30</f>
        <v/>
      </c>
      <c r="G376">
        <f>'Grid_Requirement'!E30</f>
        <v/>
      </c>
      <c r="H376">
        <f>'Grid_Requirement'!F30</f>
        <v/>
      </c>
      <c r="I376">
        <f>'Grid_Requirement'!G30</f>
        <v/>
      </c>
      <c r="J376">
        <f>'Grid_Requirement'!H30</f>
        <v/>
      </c>
      <c r="K376">
        <f>'Grid_Requirement'!I30</f>
        <v/>
      </c>
      <c r="L376">
        <f>'Grid_Requirement'!J30</f>
        <v/>
      </c>
      <c r="M376">
        <f>'Grid_Requirement'!K30</f>
        <v/>
      </c>
      <c r="N376">
        <f>'Grid_Requirement'!L30</f>
        <v/>
      </c>
      <c r="O376">
        <f>'Grid_Requirement'!M30</f>
        <v/>
      </c>
      <c r="P376">
        <f>'Grid_Requirement'!N30</f>
        <v/>
      </c>
      <c r="Q376">
        <f>'Grid_Requirement'!O30</f>
        <v/>
      </c>
      <c r="R376">
        <f>'Grid_Requirement'!P30</f>
        <v/>
      </c>
      <c r="S376">
        <f>'Grid_Requirement'!Q30</f>
        <v/>
      </c>
      <c r="T376">
        <f>'Grid_Requirement'!R30</f>
        <v/>
      </c>
      <c r="U376">
        <f>'Grid_Requirement'!S30</f>
        <v/>
      </c>
      <c r="V376">
        <f>'Grid_Requirement'!T30</f>
        <v/>
      </c>
      <c r="W376">
        <f>'Grid_Requirement'!U30</f>
        <v/>
      </c>
      <c r="X376">
        <f>'Grid_Requirement'!V30</f>
        <v/>
      </c>
      <c r="Y376">
        <f>'Grid_Requirement'!W30</f>
        <v/>
      </c>
      <c r="Z376">
        <f>'Grid_Requirement'!X30</f>
        <v/>
      </c>
      <c r="AA376">
        <f>'Grid_Requirement'!Y30</f>
        <v/>
      </c>
      <c r="AB376">
        <f>'Grid_Requirement'!Z30</f>
        <v/>
      </c>
      <c r="AC376">
        <f>'Grid_Requirement'!AA30</f>
        <v/>
      </c>
      <c r="AD376">
        <f>'Grid_Requirement'!AB30</f>
        <v/>
      </c>
      <c r="AE376">
        <f>'Grid_Requirement'!AC30</f>
        <v/>
      </c>
      <c r="AF376">
        <f>'Grid_Requirement'!AD30</f>
        <v/>
      </c>
      <c r="AG376">
        <f>'Grid_Requirement'!AE30</f>
        <v/>
      </c>
      <c r="AH376">
        <f>'Grid_Requirement'!AF30</f>
        <v/>
      </c>
      <c r="AI376">
        <f>'Grid_Requirement'!AG30</f>
        <v/>
      </c>
      <c r="AJ376">
        <f>'Grid_Requirement'!AH30</f>
        <v/>
      </c>
      <c r="AK376">
        <f>'Grid_Requirement'!AI30</f>
        <v/>
      </c>
      <c r="AL376">
        <f>'Grid_Requirement'!AJ30</f>
        <v/>
      </c>
      <c r="AM376">
        <f>'Grid_Requirement'!AK30</f>
        <v/>
      </c>
      <c r="AN376">
        <f>'Grid_Requirement'!AL30</f>
        <v/>
      </c>
      <c r="AO376">
        <f>'Grid_Requirement'!AM30</f>
        <v/>
      </c>
      <c r="AP376">
        <f>'Grid_Requirement'!AN30</f>
        <v/>
      </c>
      <c r="AQ376">
        <f>'Grid_Requirement'!AO30</f>
        <v/>
      </c>
      <c r="AR376">
        <f>'Grid_Requirement'!AP30</f>
        <v/>
      </c>
      <c r="AS376">
        <f>'Grid_Requirement'!AQ30</f>
        <v/>
      </c>
      <c r="AT376">
        <f>'Grid_Requirement'!AR30</f>
        <v/>
      </c>
      <c r="AU376">
        <f>'Grid_Requirement'!AS30</f>
        <v/>
      </c>
      <c r="AV376">
        <f>'Grid_Requirement'!AT30</f>
        <v/>
      </c>
      <c r="AW376">
        <f>'Grid_Requirement'!AU30</f>
        <v/>
      </c>
      <c r="AX376">
        <f>'Grid_Requirement'!AV30</f>
        <v/>
      </c>
      <c r="AY376">
        <f>'Grid_Requirement'!AW30</f>
        <v/>
      </c>
      <c r="AZ376">
        <f>'Grid_Requirement'!AX30</f>
        <v/>
      </c>
      <c r="BA376">
        <f>'Grid_Requirement'!AY30</f>
        <v/>
      </c>
      <c r="BB376">
        <f>'Grid_Requirement'!AZ30</f>
        <v/>
      </c>
      <c r="BC376">
        <f>'Grid_Requirement'!BA30</f>
        <v/>
      </c>
      <c r="BD376">
        <f>'Grid_Requirement'!BB30</f>
        <v/>
      </c>
      <c r="BE376">
        <f>'Grid_Requirement'!BC30</f>
        <v/>
      </c>
      <c r="BF376">
        <f>'Grid_Requirement'!BD30</f>
        <v/>
      </c>
      <c r="BG376">
        <f>'Grid_Requirement'!BE30</f>
        <v/>
      </c>
      <c r="BH376">
        <f>'Grid_Requirement'!BF30</f>
        <v/>
      </c>
      <c r="BI376">
        <f>'Grid_Requirement'!BG30</f>
        <v/>
      </c>
      <c r="BJ376">
        <f>'Grid_Requirement'!BH30</f>
        <v/>
      </c>
      <c r="BK376">
        <f>'Grid_Requirement'!BI30</f>
        <v/>
      </c>
      <c r="BL376">
        <f>'Grid_Requirement'!BJ30</f>
        <v/>
      </c>
      <c r="BM376">
        <f>'Grid_Requirement'!BK30</f>
        <v/>
      </c>
      <c r="BN376">
        <f>'Grid_Requirement'!BL30</f>
        <v/>
      </c>
      <c r="BO376">
        <f>'Grid_Requirement'!BM30</f>
        <v/>
      </c>
      <c r="BP376">
        <f>'Grid_Requirement'!BN30</f>
        <v/>
      </c>
      <c r="BQ376">
        <f>'Grid_Requirement'!BO30</f>
        <v/>
      </c>
      <c r="BR376">
        <f>'Grid_Requirement'!BP30</f>
        <v/>
      </c>
      <c r="BS376">
        <f>'Grid_Requirement'!BQ30</f>
        <v/>
      </c>
      <c r="BT376">
        <f>'Grid_Requirement'!BR30</f>
        <v/>
      </c>
      <c r="BU376">
        <f>'Grid_Requirement'!BS30</f>
        <v/>
      </c>
      <c r="BV376">
        <f>'Grid_Requirement'!BT30</f>
        <v/>
      </c>
      <c r="BW376">
        <f>'Grid_Requirement'!BU30</f>
        <v/>
      </c>
      <c r="BX376">
        <f>'Grid_Requirement'!BV30</f>
        <v/>
      </c>
      <c r="BY376">
        <f>'Grid_Requirement'!BW30</f>
        <v/>
      </c>
      <c r="BZ376">
        <f>'Grid_Requirement'!BX30</f>
        <v/>
      </c>
      <c r="CA376">
        <f>'Grid_Requirement'!BY30</f>
        <v/>
      </c>
      <c r="CB376">
        <f>'Grid_Requirement'!BZ30</f>
        <v/>
      </c>
      <c r="CC376">
        <f>'Grid_Requirement'!CA30</f>
        <v/>
      </c>
      <c r="CD376">
        <f>'Grid_Requirement'!CB30</f>
        <v/>
      </c>
      <c r="CE376">
        <f>'Grid_Requirement'!CC30</f>
        <v/>
      </c>
      <c r="CF376">
        <f>'Grid_Requirement'!CD30</f>
        <v/>
      </c>
      <c r="CG376">
        <f>'Grid_Requirement'!CE30</f>
        <v/>
      </c>
      <c r="CH376">
        <f>'Grid_Requirement'!CF30</f>
        <v/>
      </c>
      <c r="CI376">
        <f>'Grid_Requirement'!CG30</f>
        <v/>
      </c>
      <c r="CJ376">
        <f>'Grid_Requirement'!CH30</f>
        <v/>
      </c>
      <c r="CK376">
        <f>'Grid_Requirement'!CI30</f>
        <v/>
      </c>
      <c r="CL376">
        <f>'Grid_Requirement'!CJ30</f>
        <v/>
      </c>
      <c r="CM376">
        <f>'Grid_Requirement'!CK30</f>
        <v/>
      </c>
      <c r="CN376">
        <f>'Grid_Requirement'!CL30</f>
        <v/>
      </c>
      <c r="CO376">
        <f>'Grid_Requirement'!CM30</f>
        <v/>
      </c>
      <c r="CP376">
        <f>'Grid_Requirement'!CN30</f>
        <v/>
      </c>
      <c r="CQ376">
        <f>'Grid_Requirement'!CO30</f>
        <v/>
      </c>
      <c r="CR376">
        <f>'Grid_Requirement'!CP30</f>
        <v/>
      </c>
      <c r="CS376">
        <f>'Grid_Requirement'!CQ30</f>
        <v/>
      </c>
      <c r="CT376">
        <f>'Grid_Requirement'!CR30</f>
        <v/>
      </c>
      <c r="CU376">
        <f>'Grid_Requirement'!CS30</f>
        <v/>
      </c>
      <c r="CV376">
        <f>'Grid_Requirement'!CT30</f>
        <v/>
      </c>
      <c r="CW376">
        <f>'Grid_Requirement'!CU30</f>
        <v/>
      </c>
      <c r="CX376">
        <f>'Grid_Requirement'!CV30</f>
        <v/>
      </c>
      <c r="CY376">
        <f>'Grid_Requirement'!CW30</f>
        <v/>
      </c>
      <c r="CZ376">
        <f>'Grid_Requirement'!CX30</f>
        <v/>
      </c>
      <c r="DA376">
        <f>'Grid_Requirement'!CY30</f>
        <v/>
      </c>
      <c r="DB376">
        <f>'Grid_Requirement'!CZ30</f>
        <v/>
      </c>
      <c r="DC376">
        <f>'Grid_Requirement'!DA30</f>
        <v/>
      </c>
    </row>
    <row r="377">
      <c r="B377" t="inlineStr">
        <is>
          <t>TTAF在庫(実績,kg)</t>
        </is>
      </c>
      <c r="D377">
        <f>'T_TTAFStock'!B34</f>
        <v/>
      </c>
      <c r="E377">
        <f>'T_TTAFStock'!C34</f>
        <v/>
      </c>
      <c r="F377">
        <f>'T_TTAFStock'!D34</f>
        <v/>
      </c>
      <c r="G377">
        <f>'T_TTAFStock'!E34</f>
        <v/>
      </c>
      <c r="H377">
        <f>'T_TTAFStock'!F34</f>
        <v/>
      </c>
      <c r="I377">
        <f>'T_TTAFStock'!G34</f>
        <v/>
      </c>
      <c r="J377">
        <f>'T_TTAFStock'!H34</f>
        <v/>
      </c>
      <c r="K377">
        <f>'T_TTAFStock'!I34</f>
        <v/>
      </c>
      <c r="L377">
        <f>'T_TTAFStock'!J34</f>
        <v/>
      </c>
      <c r="M377">
        <f>'T_TTAFStock'!K34</f>
        <v/>
      </c>
      <c r="N377">
        <f>'T_TTAFStock'!L34</f>
        <v/>
      </c>
      <c r="O377">
        <f>'T_TTAFStock'!M34</f>
        <v/>
      </c>
      <c r="P377">
        <f>'T_TTAFStock'!N34</f>
        <v/>
      </c>
      <c r="Q377">
        <f>'T_TTAFStock'!O34</f>
        <v/>
      </c>
      <c r="R377">
        <f>'T_TTAFStock'!P34</f>
        <v/>
      </c>
      <c r="S377">
        <f>'T_TTAFStock'!Q34</f>
        <v/>
      </c>
      <c r="T377">
        <f>'T_TTAFStock'!R34</f>
        <v/>
      </c>
      <c r="U377">
        <f>'T_TTAFStock'!S34</f>
        <v/>
      </c>
      <c r="V377">
        <f>'T_TTAFStock'!T34</f>
        <v/>
      </c>
      <c r="W377">
        <f>'T_TTAFStock'!U34</f>
        <v/>
      </c>
      <c r="X377">
        <f>'T_TTAFStock'!V34</f>
        <v/>
      </c>
      <c r="Y377">
        <f>'T_TTAFStock'!W34</f>
        <v/>
      </c>
      <c r="Z377">
        <f>'T_TTAFStock'!X34</f>
        <v/>
      </c>
      <c r="AA377">
        <f>'T_TTAFStock'!Y34</f>
        <v/>
      </c>
      <c r="AB377">
        <f>'T_TTAFStock'!Z34</f>
        <v/>
      </c>
      <c r="AC377">
        <f>'T_TTAFStock'!AA34</f>
        <v/>
      </c>
      <c r="AD377">
        <f>'T_TTAFStock'!AB34</f>
        <v/>
      </c>
      <c r="AE377">
        <f>'T_TTAFStock'!AC34</f>
        <v/>
      </c>
      <c r="AF377">
        <f>'T_TTAFStock'!AD34</f>
        <v/>
      </c>
      <c r="AG377">
        <f>'T_TTAFStock'!AE34</f>
        <v/>
      </c>
      <c r="AH377">
        <f>'T_TTAFStock'!AF34</f>
        <v/>
      </c>
      <c r="AI377">
        <f>'T_TTAFStock'!AG34</f>
        <v/>
      </c>
      <c r="AJ377">
        <f>'T_TTAFStock'!AH34</f>
        <v/>
      </c>
      <c r="AK377">
        <f>'T_TTAFStock'!AI34</f>
        <v/>
      </c>
      <c r="AL377">
        <f>'T_TTAFStock'!AJ34</f>
        <v/>
      </c>
      <c r="AM377">
        <f>'T_TTAFStock'!AK34</f>
        <v/>
      </c>
      <c r="AN377">
        <f>'T_TTAFStock'!AL34</f>
        <v/>
      </c>
      <c r="AO377">
        <f>'T_TTAFStock'!AM34</f>
        <v/>
      </c>
      <c r="AP377">
        <f>'T_TTAFStock'!AN34</f>
        <v/>
      </c>
      <c r="AQ377">
        <f>'T_TTAFStock'!AO34</f>
        <v/>
      </c>
      <c r="AR377">
        <f>'T_TTAFStock'!AP34</f>
        <v/>
      </c>
      <c r="AS377">
        <f>'T_TTAFStock'!AQ34</f>
        <v/>
      </c>
      <c r="AT377">
        <f>'T_TTAFStock'!AR34</f>
        <v/>
      </c>
      <c r="AU377">
        <f>'T_TTAFStock'!AS34</f>
        <v/>
      </c>
      <c r="AV377">
        <f>'T_TTAFStock'!AT34</f>
        <v/>
      </c>
      <c r="AW377">
        <f>'T_TTAFStock'!AU34</f>
        <v/>
      </c>
      <c r="AX377">
        <f>'T_TTAFStock'!AV34</f>
        <v/>
      </c>
      <c r="AY377">
        <f>'T_TTAFStock'!AW34</f>
        <v/>
      </c>
      <c r="AZ377">
        <f>'T_TTAFStock'!AX34</f>
        <v/>
      </c>
      <c r="BA377">
        <f>'T_TTAFStock'!AY34</f>
        <v/>
      </c>
      <c r="BB377">
        <f>'T_TTAFStock'!AZ34</f>
        <v/>
      </c>
      <c r="BC377">
        <f>'T_TTAFStock'!BA34</f>
        <v/>
      </c>
      <c r="BD377">
        <f>'T_TTAFStock'!BB34</f>
        <v/>
      </c>
      <c r="BE377">
        <f>'T_TTAFStock'!BC34</f>
        <v/>
      </c>
      <c r="BF377">
        <f>'T_TTAFStock'!BD34</f>
        <v/>
      </c>
      <c r="BG377">
        <f>'T_TTAFStock'!BE34</f>
        <v/>
      </c>
      <c r="BH377">
        <f>'T_TTAFStock'!BF34</f>
        <v/>
      </c>
      <c r="BI377">
        <f>'T_TTAFStock'!BG34</f>
        <v/>
      </c>
      <c r="BJ377">
        <f>'T_TTAFStock'!BH34</f>
        <v/>
      </c>
      <c r="BK377">
        <f>'T_TTAFStock'!BI34</f>
        <v/>
      </c>
      <c r="BL377">
        <f>'T_TTAFStock'!BJ34</f>
        <v/>
      </c>
      <c r="BM377">
        <f>'T_TTAFStock'!BK34</f>
        <v/>
      </c>
      <c r="BN377">
        <f>'T_TTAFStock'!BL34</f>
        <v/>
      </c>
      <c r="BO377">
        <f>'T_TTAFStock'!BM34</f>
        <v/>
      </c>
      <c r="BP377">
        <f>'T_TTAFStock'!BN34</f>
        <v/>
      </c>
      <c r="BQ377">
        <f>'T_TTAFStock'!BO34</f>
        <v/>
      </c>
      <c r="BR377">
        <f>'T_TTAFStock'!BP34</f>
        <v/>
      </c>
      <c r="BS377">
        <f>'T_TTAFStock'!BQ34</f>
        <v/>
      </c>
      <c r="BT377">
        <f>'T_TTAFStock'!BR34</f>
        <v/>
      </c>
      <c r="BU377">
        <f>'T_TTAFStock'!BS34</f>
        <v/>
      </c>
      <c r="BV377">
        <f>'T_TTAFStock'!BT34</f>
        <v/>
      </c>
      <c r="BW377">
        <f>'T_TTAFStock'!BU34</f>
        <v/>
      </c>
      <c r="BX377">
        <f>'T_TTAFStock'!BV34</f>
        <v/>
      </c>
      <c r="BY377">
        <f>'T_TTAFStock'!BW34</f>
        <v/>
      </c>
      <c r="BZ377">
        <f>'T_TTAFStock'!BX34</f>
        <v/>
      </c>
      <c r="CA377">
        <f>'T_TTAFStock'!BY34</f>
        <v/>
      </c>
      <c r="CB377">
        <f>'T_TTAFStock'!BZ34</f>
        <v/>
      </c>
      <c r="CC377">
        <f>'T_TTAFStock'!CA34</f>
        <v/>
      </c>
      <c r="CD377">
        <f>'T_TTAFStock'!CB34</f>
        <v/>
      </c>
      <c r="CE377">
        <f>'T_TTAFStock'!CC34</f>
        <v/>
      </c>
      <c r="CF377">
        <f>'T_TTAFStock'!CD34</f>
        <v/>
      </c>
      <c r="CG377">
        <f>'T_TTAFStock'!CE34</f>
        <v/>
      </c>
      <c r="CH377">
        <f>'T_TTAFStock'!CF34</f>
        <v/>
      </c>
      <c r="CI377">
        <f>'T_TTAFStock'!CG34</f>
        <v/>
      </c>
      <c r="CJ377">
        <f>'T_TTAFStock'!CH34</f>
        <v/>
      </c>
      <c r="CK377">
        <f>'T_TTAFStock'!CI34</f>
        <v/>
      </c>
      <c r="CL377">
        <f>'T_TTAFStock'!CJ34</f>
        <v/>
      </c>
      <c r="CM377">
        <f>'T_TTAFStock'!CK34</f>
        <v/>
      </c>
      <c r="CN377">
        <f>'T_TTAFStock'!CL34</f>
        <v/>
      </c>
      <c r="CO377">
        <f>'T_TTAFStock'!CM34</f>
        <v/>
      </c>
      <c r="CP377">
        <f>'T_TTAFStock'!CN34</f>
        <v/>
      </c>
      <c r="CQ377">
        <f>'T_TTAFStock'!CO34</f>
        <v/>
      </c>
      <c r="CR377">
        <f>'T_TTAFStock'!CP34</f>
        <v/>
      </c>
      <c r="CS377">
        <f>'T_TTAFStock'!CQ34</f>
        <v/>
      </c>
      <c r="CT377">
        <f>'T_TTAFStock'!CR34</f>
        <v/>
      </c>
      <c r="CU377">
        <f>'T_TTAFStock'!CS34</f>
        <v/>
      </c>
      <c r="CV377">
        <f>'T_TTAFStock'!CT34</f>
        <v/>
      </c>
      <c r="CW377">
        <f>'T_TTAFStock'!CU34</f>
        <v/>
      </c>
      <c r="CX377">
        <f>'T_TTAFStock'!CV34</f>
        <v/>
      </c>
      <c r="CY377">
        <f>'T_TTAFStock'!CW34</f>
        <v/>
      </c>
      <c r="CZ377">
        <f>'T_TTAFStock'!CX34</f>
        <v/>
      </c>
      <c r="DA377">
        <f>'T_TTAFStock'!CY34</f>
        <v/>
      </c>
      <c r="DB377">
        <f>'T_TTAFStock'!CZ34</f>
        <v/>
      </c>
      <c r="DC377">
        <f>'T_TTAFStock'!DA34</f>
        <v/>
      </c>
    </row>
    <row r="378">
      <c r="B378" t="inlineStr">
        <is>
          <t>自社在庫(実績,kg)</t>
        </is>
      </c>
      <c r="D378">
        <f>'T_SelfStock'!B34</f>
        <v/>
      </c>
      <c r="E378">
        <f>'T_SelfStock'!C34</f>
        <v/>
      </c>
      <c r="F378">
        <f>'T_SelfStock'!D34</f>
        <v/>
      </c>
      <c r="G378">
        <f>'T_SelfStock'!E34</f>
        <v/>
      </c>
      <c r="H378">
        <f>'T_SelfStock'!F34</f>
        <v/>
      </c>
      <c r="I378">
        <f>'T_SelfStock'!G34</f>
        <v/>
      </c>
      <c r="J378">
        <f>'T_SelfStock'!H34</f>
        <v/>
      </c>
      <c r="K378">
        <f>'T_SelfStock'!I34</f>
        <v/>
      </c>
      <c r="L378">
        <f>'T_SelfStock'!J34</f>
        <v/>
      </c>
      <c r="M378">
        <f>'T_SelfStock'!K34</f>
        <v/>
      </c>
      <c r="N378">
        <f>'T_SelfStock'!L34</f>
        <v/>
      </c>
      <c r="O378">
        <f>'T_SelfStock'!M34</f>
        <v/>
      </c>
      <c r="P378">
        <f>'T_SelfStock'!N34</f>
        <v/>
      </c>
      <c r="Q378">
        <f>'T_SelfStock'!O34</f>
        <v/>
      </c>
      <c r="R378">
        <f>'T_SelfStock'!P34</f>
        <v/>
      </c>
      <c r="S378">
        <f>'T_SelfStock'!Q34</f>
        <v/>
      </c>
      <c r="T378">
        <f>'T_SelfStock'!R34</f>
        <v/>
      </c>
      <c r="U378">
        <f>'T_SelfStock'!S34</f>
        <v/>
      </c>
      <c r="V378">
        <f>'T_SelfStock'!T34</f>
        <v/>
      </c>
      <c r="W378">
        <f>'T_SelfStock'!U34</f>
        <v/>
      </c>
      <c r="X378">
        <f>'T_SelfStock'!V34</f>
        <v/>
      </c>
      <c r="Y378">
        <f>'T_SelfStock'!W34</f>
        <v/>
      </c>
      <c r="Z378">
        <f>'T_SelfStock'!X34</f>
        <v/>
      </c>
      <c r="AA378">
        <f>'T_SelfStock'!Y34</f>
        <v/>
      </c>
      <c r="AB378">
        <f>'T_SelfStock'!Z34</f>
        <v/>
      </c>
      <c r="AC378">
        <f>'T_SelfStock'!AA34</f>
        <v/>
      </c>
      <c r="AD378">
        <f>'T_SelfStock'!AB34</f>
        <v/>
      </c>
      <c r="AE378">
        <f>'T_SelfStock'!AC34</f>
        <v/>
      </c>
      <c r="AF378">
        <f>'T_SelfStock'!AD34</f>
        <v/>
      </c>
      <c r="AG378">
        <f>'T_SelfStock'!AE34</f>
        <v/>
      </c>
      <c r="AH378">
        <f>'T_SelfStock'!AF34</f>
        <v/>
      </c>
      <c r="AI378">
        <f>'T_SelfStock'!AG34</f>
        <v/>
      </c>
      <c r="AJ378">
        <f>'T_SelfStock'!AH34</f>
        <v/>
      </c>
      <c r="AK378">
        <f>'T_SelfStock'!AI34</f>
        <v/>
      </c>
      <c r="AL378">
        <f>'T_SelfStock'!AJ34</f>
        <v/>
      </c>
      <c r="AM378">
        <f>'T_SelfStock'!AK34</f>
        <v/>
      </c>
      <c r="AN378">
        <f>'T_SelfStock'!AL34</f>
        <v/>
      </c>
      <c r="AO378">
        <f>'T_SelfStock'!AM34</f>
        <v/>
      </c>
      <c r="AP378">
        <f>'T_SelfStock'!AN34</f>
        <v/>
      </c>
      <c r="AQ378">
        <f>'T_SelfStock'!AO34</f>
        <v/>
      </c>
      <c r="AR378">
        <f>'T_SelfStock'!AP34</f>
        <v/>
      </c>
      <c r="AS378">
        <f>'T_SelfStock'!AQ34</f>
        <v/>
      </c>
      <c r="AT378">
        <f>'T_SelfStock'!AR34</f>
        <v/>
      </c>
      <c r="AU378">
        <f>'T_SelfStock'!AS34</f>
        <v/>
      </c>
      <c r="AV378">
        <f>'T_SelfStock'!AT34</f>
        <v/>
      </c>
      <c r="AW378">
        <f>'T_SelfStock'!AU34</f>
        <v/>
      </c>
      <c r="AX378">
        <f>'T_SelfStock'!AV34</f>
        <v/>
      </c>
      <c r="AY378">
        <f>'T_SelfStock'!AW34</f>
        <v/>
      </c>
      <c r="AZ378">
        <f>'T_SelfStock'!AX34</f>
        <v/>
      </c>
      <c r="BA378">
        <f>'T_SelfStock'!AY34</f>
        <v/>
      </c>
      <c r="BB378">
        <f>'T_SelfStock'!AZ34</f>
        <v/>
      </c>
      <c r="BC378">
        <f>'T_SelfStock'!BA34</f>
        <v/>
      </c>
      <c r="BD378">
        <f>'T_SelfStock'!BB34</f>
        <v/>
      </c>
      <c r="BE378">
        <f>'T_SelfStock'!BC34</f>
        <v/>
      </c>
      <c r="BF378">
        <f>'T_SelfStock'!BD34</f>
        <v/>
      </c>
      <c r="BG378">
        <f>'T_SelfStock'!BE34</f>
        <v/>
      </c>
      <c r="BH378">
        <f>'T_SelfStock'!BF34</f>
        <v/>
      </c>
      <c r="BI378">
        <f>'T_SelfStock'!BG34</f>
        <v/>
      </c>
      <c r="BJ378">
        <f>'T_SelfStock'!BH34</f>
        <v/>
      </c>
      <c r="BK378">
        <f>'T_SelfStock'!BI34</f>
        <v/>
      </c>
      <c r="BL378">
        <f>'T_SelfStock'!BJ34</f>
        <v/>
      </c>
      <c r="BM378">
        <f>'T_SelfStock'!BK34</f>
        <v/>
      </c>
      <c r="BN378">
        <f>'T_SelfStock'!BL34</f>
        <v/>
      </c>
      <c r="BO378">
        <f>'T_SelfStock'!BM34</f>
        <v/>
      </c>
      <c r="BP378">
        <f>'T_SelfStock'!BN34</f>
        <v/>
      </c>
      <c r="BQ378">
        <f>'T_SelfStock'!BO34</f>
        <v/>
      </c>
      <c r="BR378">
        <f>'T_SelfStock'!BP34</f>
        <v/>
      </c>
      <c r="BS378">
        <f>'T_SelfStock'!BQ34</f>
        <v/>
      </c>
      <c r="BT378">
        <f>'T_SelfStock'!BR34</f>
        <v/>
      </c>
      <c r="BU378">
        <f>'T_SelfStock'!BS34</f>
        <v/>
      </c>
      <c r="BV378">
        <f>'T_SelfStock'!BT34</f>
        <v/>
      </c>
      <c r="BW378">
        <f>'T_SelfStock'!BU34</f>
        <v/>
      </c>
      <c r="BX378">
        <f>'T_SelfStock'!BV34</f>
        <v/>
      </c>
      <c r="BY378">
        <f>'T_SelfStock'!BW34</f>
        <v/>
      </c>
      <c r="BZ378">
        <f>'T_SelfStock'!BX34</f>
        <v/>
      </c>
      <c r="CA378">
        <f>'T_SelfStock'!BY34</f>
        <v/>
      </c>
      <c r="CB378">
        <f>'T_SelfStock'!BZ34</f>
        <v/>
      </c>
      <c r="CC378">
        <f>'T_SelfStock'!CA34</f>
        <v/>
      </c>
      <c r="CD378">
        <f>'T_SelfStock'!CB34</f>
        <v/>
      </c>
      <c r="CE378">
        <f>'T_SelfStock'!CC34</f>
        <v/>
      </c>
      <c r="CF378">
        <f>'T_SelfStock'!CD34</f>
        <v/>
      </c>
      <c r="CG378">
        <f>'T_SelfStock'!CE34</f>
        <v/>
      </c>
      <c r="CH378">
        <f>'T_SelfStock'!CF34</f>
        <v/>
      </c>
      <c r="CI378">
        <f>'T_SelfStock'!CG34</f>
        <v/>
      </c>
      <c r="CJ378">
        <f>'T_SelfStock'!CH34</f>
        <v/>
      </c>
      <c r="CK378">
        <f>'T_SelfStock'!CI34</f>
        <v/>
      </c>
      <c r="CL378">
        <f>'T_SelfStock'!CJ34</f>
        <v/>
      </c>
      <c r="CM378">
        <f>'T_SelfStock'!CK34</f>
        <v/>
      </c>
      <c r="CN378">
        <f>'T_SelfStock'!CL34</f>
        <v/>
      </c>
      <c r="CO378">
        <f>'T_SelfStock'!CM34</f>
        <v/>
      </c>
      <c r="CP378">
        <f>'T_SelfStock'!CN34</f>
        <v/>
      </c>
      <c r="CQ378">
        <f>'T_SelfStock'!CO34</f>
        <v/>
      </c>
      <c r="CR378">
        <f>'T_SelfStock'!CP34</f>
        <v/>
      </c>
      <c r="CS378">
        <f>'T_SelfStock'!CQ34</f>
        <v/>
      </c>
      <c r="CT378">
        <f>'T_SelfStock'!CR34</f>
        <v/>
      </c>
      <c r="CU378">
        <f>'T_SelfStock'!CS34</f>
        <v/>
      </c>
      <c r="CV378">
        <f>'T_SelfStock'!CT34</f>
        <v/>
      </c>
      <c r="CW378">
        <f>'T_SelfStock'!CU34</f>
        <v/>
      </c>
      <c r="CX378">
        <f>'T_SelfStock'!CV34</f>
        <v/>
      </c>
      <c r="CY378">
        <f>'T_SelfStock'!CW34</f>
        <v/>
      </c>
      <c r="CZ378">
        <f>'T_SelfStock'!CX34</f>
        <v/>
      </c>
      <c r="DA378">
        <f>'T_SelfStock'!CY34</f>
        <v/>
      </c>
      <c r="DB378">
        <f>'T_SelfStock'!CZ34</f>
        <v/>
      </c>
      <c r="DC378">
        <f>'T_SelfStock'!DA34</f>
        <v/>
      </c>
    </row>
    <row r="379">
      <c r="B379" t="inlineStr">
        <is>
          <t>Order(発注予定,kg)</t>
        </is>
      </c>
      <c r="D379">
        <f>IF(SUMIFS(T_PlannedOrders[EffectiveQty],T_PlannedOrders[Part Name],$A367,T_PlannedOrders[WeekIndex],1)=0,"",SUMIFS(T_PlannedOrders[EffectiveQty],T_PlannedOrders[Part Name],$A367,T_PlannedOrders[WeekIndex],1)&amp;" ("&amp;TEXT(SUMPRODUCT(MAX((T_PlannedOrders[Part Name]=$A367)*(T_PlannedOrders[WeekIndex]=1)*(T_PlannedOrders[EffectiveQty]&gt;0)*T_PlannedOrders[Order_Month])),"m月")&amp;"発注)")</f>
        <v/>
      </c>
      <c r="E379">
        <f>IF(SUMIFS(T_PlannedOrders[EffectiveQty],T_PlannedOrders[Part Name],$A367,T_PlannedOrders[WeekIndex],2)=0,"",SUMIFS(T_PlannedOrders[EffectiveQty],T_PlannedOrders[Part Name],$A367,T_PlannedOrders[WeekIndex],2)&amp;" ("&amp;TEXT(SUMPRODUCT(MAX((T_PlannedOrders[Part Name]=$A367)*(T_PlannedOrders[WeekIndex]=2)*(T_PlannedOrders[EffectiveQty]&gt;0)*T_PlannedOrders[Order_Month])),"m月")&amp;"発注)")</f>
        <v/>
      </c>
      <c r="F379">
        <f>IF(SUMIFS(T_PlannedOrders[EffectiveQty],T_PlannedOrders[Part Name],$A367,T_PlannedOrders[WeekIndex],3)=0,"",SUMIFS(T_PlannedOrders[EffectiveQty],T_PlannedOrders[Part Name],$A367,T_PlannedOrders[WeekIndex],3)&amp;" ("&amp;TEXT(SUMPRODUCT(MAX((T_PlannedOrders[Part Name]=$A367)*(T_PlannedOrders[WeekIndex]=3)*(T_PlannedOrders[EffectiveQty]&gt;0)*T_PlannedOrders[Order_Month])),"m月")&amp;"発注)")</f>
        <v/>
      </c>
      <c r="G379">
        <f>IF(SUMIFS(T_PlannedOrders[EffectiveQty],T_PlannedOrders[Part Name],$A367,T_PlannedOrders[WeekIndex],4)=0,"",SUMIFS(T_PlannedOrders[EffectiveQty],T_PlannedOrders[Part Name],$A367,T_PlannedOrders[WeekIndex],4)&amp;" ("&amp;TEXT(SUMPRODUCT(MAX((T_PlannedOrders[Part Name]=$A367)*(T_PlannedOrders[WeekIndex]=4)*(T_PlannedOrders[EffectiveQty]&gt;0)*T_PlannedOrders[Order_Month])),"m月")&amp;"発注)")</f>
        <v/>
      </c>
      <c r="H379">
        <f>IF(SUMIFS(T_PlannedOrders[EffectiveQty],T_PlannedOrders[Part Name],$A367,T_PlannedOrders[WeekIndex],5)=0,"",SUMIFS(T_PlannedOrders[EffectiveQty],T_PlannedOrders[Part Name],$A367,T_PlannedOrders[WeekIndex],5)&amp;" ("&amp;TEXT(SUMPRODUCT(MAX((T_PlannedOrders[Part Name]=$A367)*(T_PlannedOrders[WeekIndex]=5)*(T_PlannedOrders[EffectiveQty]&gt;0)*T_PlannedOrders[Order_Month])),"m月")&amp;"発注)")</f>
        <v/>
      </c>
      <c r="I379">
        <f>IF(SUMIFS(T_PlannedOrders[EffectiveQty],T_PlannedOrders[Part Name],$A367,T_PlannedOrders[WeekIndex],6)=0,"",SUMIFS(T_PlannedOrders[EffectiveQty],T_PlannedOrders[Part Name],$A367,T_PlannedOrders[WeekIndex],6)&amp;" ("&amp;TEXT(SUMPRODUCT(MAX((T_PlannedOrders[Part Name]=$A367)*(T_PlannedOrders[WeekIndex]=6)*(T_PlannedOrders[EffectiveQty]&gt;0)*T_PlannedOrders[Order_Month])),"m月")&amp;"発注)")</f>
        <v/>
      </c>
      <c r="J379">
        <f>IF(SUMIFS(T_PlannedOrders[EffectiveQty],T_PlannedOrders[Part Name],$A367,T_PlannedOrders[WeekIndex],7)=0,"",SUMIFS(T_PlannedOrders[EffectiveQty],T_PlannedOrders[Part Name],$A367,T_PlannedOrders[WeekIndex],7)&amp;" ("&amp;TEXT(SUMPRODUCT(MAX((T_PlannedOrders[Part Name]=$A367)*(T_PlannedOrders[WeekIndex]=7)*(T_PlannedOrders[EffectiveQty]&gt;0)*T_PlannedOrders[Order_Month])),"m月")&amp;"発注)")</f>
        <v/>
      </c>
      <c r="K379">
        <f>IF(SUMIFS(T_PlannedOrders[EffectiveQty],T_PlannedOrders[Part Name],$A367,T_PlannedOrders[WeekIndex],8)=0,"",SUMIFS(T_PlannedOrders[EffectiveQty],T_PlannedOrders[Part Name],$A367,T_PlannedOrders[WeekIndex],8)&amp;" ("&amp;TEXT(SUMPRODUCT(MAX((T_PlannedOrders[Part Name]=$A367)*(T_PlannedOrders[WeekIndex]=8)*(T_PlannedOrders[EffectiveQty]&gt;0)*T_PlannedOrders[Order_Month])),"m月")&amp;"発注)")</f>
        <v/>
      </c>
      <c r="L379">
        <f>IF(SUMIFS(T_PlannedOrders[EffectiveQty],T_PlannedOrders[Part Name],$A367,T_PlannedOrders[WeekIndex],9)=0,"",SUMIFS(T_PlannedOrders[EffectiveQty],T_PlannedOrders[Part Name],$A367,T_PlannedOrders[WeekIndex],9)&amp;" ("&amp;TEXT(SUMPRODUCT(MAX((T_PlannedOrders[Part Name]=$A367)*(T_PlannedOrders[WeekIndex]=9)*(T_PlannedOrders[EffectiveQty]&gt;0)*T_PlannedOrders[Order_Month])),"m月")&amp;"発注)")</f>
        <v/>
      </c>
      <c r="M379">
        <f>IF(SUMIFS(T_PlannedOrders[EffectiveQty],T_PlannedOrders[Part Name],$A367,T_PlannedOrders[WeekIndex],10)=0,"",SUMIFS(T_PlannedOrders[EffectiveQty],T_PlannedOrders[Part Name],$A367,T_PlannedOrders[WeekIndex],10)&amp;" ("&amp;TEXT(SUMPRODUCT(MAX((T_PlannedOrders[Part Name]=$A367)*(T_PlannedOrders[WeekIndex]=10)*(T_PlannedOrders[EffectiveQty]&gt;0)*T_PlannedOrders[Order_Month])),"m月")&amp;"発注)")</f>
        <v/>
      </c>
      <c r="N379">
        <f>IF(SUMIFS(T_PlannedOrders[EffectiveQty],T_PlannedOrders[Part Name],$A367,T_PlannedOrders[WeekIndex],11)=0,"",SUMIFS(T_PlannedOrders[EffectiveQty],T_PlannedOrders[Part Name],$A367,T_PlannedOrders[WeekIndex],11)&amp;" ("&amp;TEXT(SUMPRODUCT(MAX((T_PlannedOrders[Part Name]=$A367)*(T_PlannedOrders[WeekIndex]=11)*(T_PlannedOrders[EffectiveQty]&gt;0)*T_PlannedOrders[Order_Month])),"m月")&amp;"発注)")</f>
        <v/>
      </c>
      <c r="O379">
        <f>IF(SUMIFS(T_PlannedOrders[EffectiveQty],T_PlannedOrders[Part Name],$A367,T_PlannedOrders[WeekIndex],12)=0,"",SUMIFS(T_PlannedOrders[EffectiveQty],T_PlannedOrders[Part Name],$A367,T_PlannedOrders[WeekIndex],12)&amp;" ("&amp;TEXT(SUMPRODUCT(MAX((T_PlannedOrders[Part Name]=$A367)*(T_PlannedOrders[WeekIndex]=12)*(T_PlannedOrders[EffectiveQty]&gt;0)*T_PlannedOrders[Order_Month])),"m月")&amp;"発注)")</f>
        <v/>
      </c>
      <c r="P379">
        <f>IF(SUMIFS(T_PlannedOrders[EffectiveQty],T_PlannedOrders[Part Name],$A367,T_PlannedOrders[WeekIndex],13)=0,"",SUMIFS(T_PlannedOrders[EffectiveQty],T_PlannedOrders[Part Name],$A367,T_PlannedOrders[WeekIndex],13)&amp;" ("&amp;TEXT(SUMPRODUCT(MAX((T_PlannedOrders[Part Name]=$A367)*(T_PlannedOrders[WeekIndex]=13)*(T_PlannedOrders[EffectiveQty]&gt;0)*T_PlannedOrders[Order_Month])),"m月")&amp;"発注)")</f>
        <v/>
      </c>
      <c r="Q379">
        <f>IF(SUMIFS(T_PlannedOrders[EffectiveQty],T_PlannedOrders[Part Name],$A367,T_PlannedOrders[WeekIndex],14)=0,"",SUMIFS(T_PlannedOrders[EffectiveQty],T_PlannedOrders[Part Name],$A367,T_PlannedOrders[WeekIndex],14)&amp;" ("&amp;TEXT(SUMPRODUCT(MAX((T_PlannedOrders[Part Name]=$A367)*(T_PlannedOrders[WeekIndex]=14)*(T_PlannedOrders[EffectiveQty]&gt;0)*T_PlannedOrders[Order_Month])),"m月")&amp;"発注)")</f>
        <v/>
      </c>
      <c r="R379">
        <f>IF(SUMIFS(T_PlannedOrders[EffectiveQty],T_PlannedOrders[Part Name],$A367,T_PlannedOrders[WeekIndex],15)=0,"",SUMIFS(T_PlannedOrders[EffectiveQty],T_PlannedOrders[Part Name],$A367,T_PlannedOrders[WeekIndex],15)&amp;" ("&amp;TEXT(SUMPRODUCT(MAX((T_PlannedOrders[Part Name]=$A367)*(T_PlannedOrders[WeekIndex]=15)*(T_PlannedOrders[EffectiveQty]&gt;0)*T_PlannedOrders[Order_Month])),"m月")&amp;"発注)")</f>
        <v/>
      </c>
      <c r="S379">
        <f>IF(SUMIFS(T_PlannedOrders[EffectiveQty],T_PlannedOrders[Part Name],$A367,T_PlannedOrders[WeekIndex],16)=0,"",SUMIFS(T_PlannedOrders[EffectiveQty],T_PlannedOrders[Part Name],$A367,T_PlannedOrders[WeekIndex],16)&amp;" ("&amp;TEXT(SUMPRODUCT(MAX((T_PlannedOrders[Part Name]=$A367)*(T_PlannedOrders[WeekIndex]=16)*(T_PlannedOrders[EffectiveQty]&gt;0)*T_PlannedOrders[Order_Month])),"m月")&amp;"発注)")</f>
        <v/>
      </c>
      <c r="T379">
        <f>IF(SUMIFS(T_PlannedOrders[EffectiveQty],T_PlannedOrders[Part Name],$A367,T_PlannedOrders[WeekIndex],17)=0,"",SUMIFS(T_PlannedOrders[EffectiveQty],T_PlannedOrders[Part Name],$A367,T_PlannedOrders[WeekIndex],17)&amp;" ("&amp;TEXT(SUMPRODUCT(MAX((T_PlannedOrders[Part Name]=$A367)*(T_PlannedOrders[WeekIndex]=17)*(T_PlannedOrders[EffectiveQty]&gt;0)*T_PlannedOrders[Order_Month])),"m月")&amp;"発注)")</f>
        <v/>
      </c>
      <c r="U379">
        <f>IF(SUMIFS(T_PlannedOrders[EffectiveQty],T_PlannedOrders[Part Name],$A367,T_PlannedOrders[WeekIndex],18)=0,"",SUMIFS(T_PlannedOrders[EffectiveQty],T_PlannedOrders[Part Name],$A367,T_PlannedOrders[WeekIndex],18)&amp;" ("&amp;TEXT(SUMPRODUCT(MAX((T_PlannedOrders[Part Name]=$A367)*(T_PlannedOrders[WeekIndex]=18)*(T_PlannedOrders[EffectiveQty]&gt;0)*T_PlannedOrders[Order_Month])),"m月")&amp;"発注)")</f>
        <v/>
      </c>
      <c r="V379">
        <f>IF(SUMIFS(T_PlannedOrders[EffectiveQty],T_PlannedOrders[Part Name],$A367,T_PlannedOrders[WeekIndex],19)=0,"",SUMIFS(T_PlannedOrders[EffectiveQty],T_PlannedOrders[Part Name],$A367,T_PlannedOrders[WeekIndex],19)&amp;" ("&amp;TEXT(SUMPRODUCT(MAX((T_PlannedOrders[Part Name]=$A367)*(T_PlannedOrders[WeekIndex]=19)*(T_PlannedOrders[EffectiveQty]&gt;0)*T_PlannedOrders[Order_Month])),"m月")&amp;"発注)")</f>
        <v/>
      </c>
      <c r="W379">
        <f>IF(SUMIFS(T_PlannedOrders[EffectiveQty],T_PlannedOrders[Part Name],$A367,T_PlannedOrders[WeekIndex],20)=0,"",SUMIFS(T_PlannedOrders[EffectiveQty],T_PlannedOrders[Part Name],$A367,T_PlannedOrders[WeekIndex],20)&amp;" ("&amp;TEXT(SUMPRODUCT(MAX((T_PlannedOrders[Part Name]=$A367)*(T_PlannedOrders[WeekIndex]=20)*(T_PlannedOrders[EffectiveQty]&gt;0)*T_PlannedOrders[Order_Month])),"m月")&amp;"発注)")</f>
        <v/>
      </c>
      <c r="X379">
        <f>IF(SUMIFS(T_PlannedOrders[EffectiveQty],T_PlannedOrders[Part Name],$A367,T_PlannedOrders[WeekIndex],21)=0,"",SUMIFS(T_PlannedOrders[EffectiveQty],T_PlannedOrders[Part Name],$A367,T_PlannedOrders[WeekIndex],21)&amp;" ("&amp;TEXT(SUMPRODUCT(MAX((T_PlannedOrders[Part Name]=$A367)*(T_PlannedOrders[WeekIndex]=21)*(T_PlannedOrders[EffectiveQty]&gt;0)*T_PlannedOrders[Order_Month])),"m月")&amp;"発注)")</f>
        <v/>
      </c>
      <c r="Y379">
        <f>IF(SUMIFS(T_PlannedOrders[EffectiveQty],T_PlannedOrders[Part Name],$A367,T_PlannedOrders[WeekIndex],22)=0,"",SUMIFS(T_PlannedOrders[EffectiveQty],T_PlannedOrders[Part Name],$A367,T_PlannedOrders[WeekIndex],22)&amp;" ("&amp;TEXT(SUMPRODUCT(MAX((T_PlannedOrders[Part Name]=$A367)*(T_PlannedOrders[WeekIndex]=22)*(T_PlannedOrders[EffectiveQty]&gt;0)*T_PlannedOrders[Order_Month])),"m月")&amp;"発注)")</f>
        <v/>
      </c>
      <c r="Z379">
        <f>IF(SUMIFS(T_PlannedOrders[EffectiveQty],T_PlannedOrders[Part Name],$A367,T_PlannedOrders[WeekIndex],23)=0,"",SUMIFS(T_PlannedOrders[EffectiveQty],T_PlannedOrders[Part Name],$A367,T_PlannedOrders[WeekIndex],23)&amp;" ("&amp;TEXT(SUMPRODUCT(MAX((T_PlannedOrders[Part Name]=$A367)*(T_PlannedOrders[WeekIndex]=23)*(T_PlannedOrders[EffectiveQty]&gt;0)*T_PlannedOrders[Order_Month])),"m月")&amp;"発注)")</f>
        <v/>
      </c>
      <c r="AA379">
        <f>IF(SUMIFS(T_PlannedOrders[EffectiveQty],T_PlannedOrders[Part Name],$A367,T_PlannedOrders[WeekIndex],24)=0,"",SUMIFS(T_PlannedOrders[EffectiveQty],T_PlannedOrders[Part Name],$A367,T_PlannedOrders[WeekIndex],24)&amp;" ("&amp;TEXT(SUMPRODUCT(MAX((T_PlannedOrders[Part Name]=$A367)*(T_PlannedOrders[WeekIndex]=24)*(T_PlannedOrders[EffectiveQty]&gt;0)*T_PlannedOrders[Order_Month])),"m月")&amp;"発注)")</f>
        <v/>
      </c>
      <c r="AB379">
        <f>IF(SUMIFS(T_PlannedOrders[EffectiveQty],T_PlannedOrders[Part Name],$A367,T_PlannedOrders[WeekIndex],25)=0,"",SUMIFS(T_PlannedOrders[EffectiveQty],T_PlannedOrders[Part Name],$A367,T_PlannedOrders[WeekIndex],25)&amp;" ("&amp;TEXT(SUMPRODUCT(MAX((T_PlannedOrders[Part Name]=$A367)*(T_PlannedOrders[WeekIndex]=25)*(T_PlannedOrders[EffectiveQty]&gt;0)*T_PlannedOrders[Order_Month])),"m月")&amp;"発注)")</f>
        <v/>
      </c>
      <c r="AC379">
        <f>IF(SUMIFS(T_PlannedOrders[EffectiveQty],T_PlannedOrders[Part Name],$A367,T_PlannedOrders[WeekIndex],26)=0,"",SUMIFS(T_PlannedOrders[EffectiveQty],T_PlannedOrders[Part Name],$A367,T_PlannedOrders[WeekIndex],26)&amp;" ("&amp;TEXT(SUMPRODUCT(MAX((T_PlannedOrders[Part Name]=$A367)*(T_PlannedOrders[WeekIndex]=26)*(T_PlannedOrders[EffectiveQty]&gt;0)*T_PlannedOrders[Order_Month])),"m月")&amp;"発注)")</f>
        <v/>
      </c>
      <c r="AD379">
        <f>IF(SUMIFS(T_PlannedOrders[EffectiveQty],T_PlannedOrders[Part Name],$A367,T_PlannedOrders[WeekIndex],27)=0,"",SUMIFS(T_PlannedOrders[EffectiveQty],T_PlannedOrders[Part Name],$A367,T_PlannedOrders[WeekIndex],27)&amp;" ("&amp;TEXT(SUMPRODUCT(MAX((T_PlannedOrders[Part Name]=$A367)*(T_PlannedOrders[WeekIndex]=27)*(T_PlannedOrders[EffectiveQty]&gt;0)*T_PlannedOrders[Order_Month])),"m月")&amp;"発注)")</f>
        <v/>
      </c>
      <c r="AE379">
        <f>IF(SUMIFS(T_PlannedOrders[EffectiveQty],T_PlannedOrders[Part Name],$A367,T_PlannedOrders[WeekIndex],28)=0,"",SUMIFS(T_PlannedOrders[EffectiveQty],T_PlannedOrders[Part Name],$A367,T_PlannedOrders[WeekIndex],28)&amp;" ("&amp;TEXT(SUMPRODUCT(MAX((T_PlannedOrders[Part Name]=$A367)*(T_PlannedOrders[WeekIndex]=28)*(T_PlannedOrders[EffectiveQty]&gt;0)*T_PlannedOrders[Order_Month])),"m月")&amp;"発注)")</f>
        <v/>
      </c>
      <c r="AF379">
        <f>IF(SUMIFS(T_PlannedOrders[EffectiveQty],T_PlannedOrders[Part Name],$A367,T_PlannedOrders[WeekIndex],29)=0,"",SUMIFS(T_PlannedOrders[EffectiveQty],T_PlannedOrders[Part Name],$A367,T_PlannedOrders[WeekIndex],29)&amp;" ("&amp;TEXT(SUMPRODUCT(MAX((T_PlannedOrders[Part Name]=$A367)*(T_PlannedOrders[WeekIndex]=29)*(T_PlannedOrders[EffectiveQty]&gt;0)*T_PlannedOrders[Order_Month])),"m月")&amp;"発注)")</f>
        <v/>
      </c>
      <c r="AG379">
        <f>IF(SUMIFS(T_PlannedOrders[EffectiveQty],T_PlannedOrders[Part Name],$A367,T_PlannedOrders[WeekIndex],30)=0,"",SUMIFS(T_PlannedOrders[EffectiveQty],T_PlannedOrders[Part Name],$A367,T_PlannedOrders[WeekIndex],30)&amp;" ("&amp;TEXT(SUMPRODUCT(MAX((T_PlannedOrders[Part Name]=$A367)*(T_PlannedOrders[WeekIndex]=30)*(T_PlannedOrders[EffectiveQty]&gt;0)*T_PlannedOrders[Order_Month])),"m月")&amp;"発注)")</f>
        <v/>
      </c>
      <c r="AH379">
        <f>IF(SUMIFS(T_PlannedOrders[EffectiveQty],T_PlannedOrders[Part Name],$A367,T_PlannedOrders[WeekIndex],31)=0,"",SUMIFS(T_PlannedOrders[EffectiveQty],T_PlannedOrders[Part Name],$A367,T_PlannedOrders[WeekIndex],31)&amp;" ("&amp;TEXT(SUMPRODUCT(MAX((T_PlannedOrders[Part Name]=$A367)*(T_PlannedOrders[WeekIndex]=31)*(T_PlannedOrders[EffectiveQty]&gt;0)*T_PlannedOrders[Order_Month])),"m月")&amp;"発注)")</f>
        <v/>
      </c>
      <c r="AI379">
        <f>IF(SUMIFS(T_PlannedOrders[EffectiveQty],T_PlannedOrders[Part Name],$A367,T_PlannedOrders[WeekIndex],32)=0,"",SUMIFS(T_PlannedOrders[EffectiveQty],T_PlannedOrders[Part Name],$A367,T_PlannedOrders[WeekIndex],32)&amp;" ("&amp;TEXT(SUMPRODUCT(MAX((T_PlannedOrders[Part Name]=$A367)*(T_PlannedOrders[WeekIndex]=32)*(T_PlannedOrders[EffectiveQty]&gt;0)*T_PlannedOrders[Order_Month])),"m月")&amp;"発注)")</f>
        <v/>
      </c>
      <c r="AJ379">
        <f>IF(SUMIFS(T_PlannedOrders[EffectiveQty],T_PlannedOrders[Part Name],$A367,T_PlannedOrders[WeekIndex],33)=0,"",SUMIFS(T_PlannedOrders[EffectiveQty],T_PlannedOrders[Part Name],$A367,T_PlannedOrders[WeekIndex],33)&amp;" ("&amp;TEXT(SUMPRODUCT(MAX((T_PlannedOrders[Part Name]=$A367)*(T_PlannedOrders[WeekIndex]=33)*(T_PlannedOrders[EffectiveQty]&gt;0)*T_PlannedOrders[Order_Month])),"m月")&amp;"発注)")</f>
        <v/>
      </c>
      <c r="AK379">
        <f>IF(SUMIFS(T_PlannedOrders[EffectiveQty],T_PlannedOrders[Part Name],$A367,T_PlannedOrders[WeekIndex],34)=0,"",SUMIFS(T_PlannedOrders[EffectiveQty],T_PlannedOrders[Part Name],$A367,T_PlannedOrders[WeekIndex],34)&amp;" ("&amp;TEXT(SUMPRODUCT(MAX((T_PlannedOrders[Part Name]=$A367)*(T_PlannedOrders[WeekIndex]=34)*(T_PlannedOrders[EffectiveQty]&gt;0)*T_PlannedOrders[Order_Month])),"m月")&amp;"発注)")</f>
        <v/>
      </c>
      <c r="AL379">
        <f>IF(SUMIFS(T_PlannedOrders[EffectiveQty],T_PlannedOrders[Part Name],$A367,T_PlannedOrders[WeekIndex],35)=0,"",SUMIFS(T_PlannedOrders[EffectiveQty],T_PlannedOrders[Part Name],$A367,T_PlannedOrders[WeekIndex],35)&amp;" ("&amp;TEXT(SUMPRODUCT(MAX((T_PlannedOrders[Part Name]=$A367)*(T_PlannedOrders[WeekIndex]=35)*(T_PlannedOrders[EffectiveQty]&gt;0)*T_PlannedOrders[Order_Month])),"m月")&amp;"発注)")</f>
        <v/>
      </c>
      <c r="AM379">
        <f>IF(SUMIFS(T_PlannedOrders[EffectiveQty],T_PlannedOrders[Part Name],$A367,T_PlannedOrders[WeekIndex],36)=0,"",SUMIFS(T_PlannedOrders[EffectiveQty],T_PlannedOrders[Part Name],$A367,T_PlannedOrders[WeekIndex],36)&amp;" ("&amp;TEXT(SUMPRODUCT(MAX((T_PlannedOrders[Part Name]=$A367)*(T_PlannedOrders[WeekIndex]=36)*(T_PlannedOrders[EffectiveQty]&gt;0)*T_PlannedOrders[Order_Month])),"m月")&amp;"発注)")</f>
        <v/>
      </c>
      <c r="AN379">
        <f>IF(SUMIFS(T_PlannedOrders[EffectiveQty],T_PlannedOrders[Part Name],$A367,T_PlannedOrders[WeekIndex],37)=0,"",SUMIFS(T_PlannedOrders[EffectiveQty],T_PlannedOrders[Part Name],$A367,T_PlannedOrders[WeekIndex],37)&amp;" ("&amp;TEXT(SUMPRODUCT(MAX((T_PlannedOrders[Part Name]=$A367)*(T_PlannedOrders[WeekIndex]=37)*(T_PlannedOrders[EffectiveQty]&gt;0)*T_PlannedOrders[Order_Month])),"m月")&amp;"発注)")</f>
        <v/>
      </c>
      <c r="AO379">
        <f>IF(SUMIFS(T_PlannedOrders[EffectiveQty],T_PlannedOrders[Part Name],$A367,T_PlannedOrders[WeekIndex],38)=0,"",SUMIFS(T_PlannedOrders[EffectiveQty],T_PlannedOrders[Part Name],$A367,T_PlannedOrders[WeekIndex],38)&amp;" ("&amp;TEXT(SUMPRODUCT(MAX((T_PlannedOrders[Part Name]=$A367)*(T_PlannedOrders[WeekIndex]=38)*(T_PlannedOrders[EffectiveQty]&gt;0)*T_PlannedOrders[Order_Month])),"m月")&amp;"発注)")</f>
        <v/>
      </c>
      <c r="AP379">
        <f>IF(SUMIFS(T_PlannedOrders[EffectiveQty],T_PlannedOrders[Part Name],$A367,T_PlannedOrders[WeekIndex],39)=0,"",SUMIFS(T_PlannedOrders[EffectiveQty],T_PlannedOrders[Part Name],$A367,T_PlannedOrders[WeekIndex],39)&amp;" ("&amp;TEXT(SUMPRODUCT(MAX((T_PlannedOrders[Part Name]=$A367)*(T_PlannedOrders[WeekIndex]=39)*(T_PlannedOrders[EffectiveQty]&gt;0)*T_PlannedOrders[Order_Month])),"m月")&amp;"発注)")</f>
        <v/>
      </c>
      <c r="AQ379">
        <f>IF(SUMIFS(T_PlannedOrders[EffectiveQty],T_PlannedOrders[Part Name],$A367,T_PlannedOrders[WeekIndex],40)=0,"",SUMIFS(T_PlannedOrders[EffectiveQty],T_PlannedOrders[Part Name],$A367,T_PlannedOrders[WeekIndex],40)&amp;" ("&amp;TEXT(SUMPRODUCT(MAX((T_PlannedOrders[Part Name]=$A367)*(T_PlannedOrders[WeekIndex]=40)*(T_PlannedOrders[EffectiveQty]&gt;0)*T_PlannedOrders[Order_Month])),"m月")&amp;"発注)")</f>
        <v/>
      </c>
      <c r="AR379">
        <f>IF(SUMIFS(T_PlannedOrders[EffectiveQty],T_PlannedOrders[Part Name],$A367,T_PlannedOrders[WeekIndex],41)=0,"",SUMIFS(T_PlannedOrders[EffectiveQty],T_PlannedOrders[Part Name],$A367,T_PlannedOrders[WeekIndex],41)&amp;" ("&amp;TEXT(SUMPRODUCT(MAX((T_PlannedOrders[Part Name]=$A367)*(T_PlannedOrders[WeekIndex]=41)*(T_PlannedOrders[EffectiveQty]&gt;0)*T_PlannedOrders[Order_Month])),"m月")&amp;"発注)")</f>
        <v/>
      </c>
      <c r="AS379">
        <f>IF(SUMIFS(T_PlannedOrders[EffectiveQty],T_PlannedOrders[Part Name],$A367,T_PlannedOrders[WeekIndex],42)=0,"",SUMIFS(T_PlannedOrders[EffectiveQty],T_PlannedOrders[Part Name],$A367,T_PlannedOrders[WeekIndex],42)&amp;" ("&amp;TEXT(SUMPRODUCT(MAX((T_PlannedOrders[Part Name]=$A367)*(T_PlannedOrders[WeekIndex]=42)*(T_PlannedOrders[EffectiveQty]&gt;0)*T_PlannedOrders[Order_Month])),"m月")&amp;"発注)")</f>
        <v/>
      </c>
      <c r="AT379">
        <f>IF(SUMIFS(T_PlannedOrders[EffectiveQty],T_PlannedOrders[Part Name],$A367,T_PlannedOrders[WeekIndex],43)=0,"",SUMIFS(T_PlannedOrders[EffectiveQty],T_PlannedOrders[Part Name],$A367,T_PlannedOrders[WeekIndex],43)&amp;" ("&amp;TEXT(SUMPRODUCT(MAX((T_PlannedOrders[Part Name]=$A367)*(T_PlannedOrders[WeekIndex]=43)*(T_PlannedOrders[EffectiveQty]&gt;0)*T_PlannedOrders[Order_Month])),"m月")&amp;"発注)")</f>
        <v/>
      </c>
      <c r="AU379">
        <f>IF(SUMIFS(T_PlannedOrders[EffectiveQty],T_PlannedOrders[Part Name],$A367,T_PlannedOrders[WeekIndex],44)=0,"",SUMIFS(T_PlannedOrders[EffectiveQty],T_PlannedOrders[Part Name],$A367,T_PlannedOrders[WeekIndex],44)&amp;" ("&amp;TEXT(SUMPRODUCT(MAX((T_PlannedOrders[Part Name]=$A367)*(T_PlannedOrders[WeekIndex]=44)*(T_PlannedOrders[EffectiveQty]&gt;0)*T_PlannedOrders[Order_Month])),"m月")&amp;"発注)")</f>
        <v/>
      </c>
      <c r="AV379">
        <f>IF(SUMIFS(T_PlannedOrders[EffectiveQty],T_PlannedOrders[Part Name],$A367,T_PlannedOrders[WeekIndex],45)=0,"",SUMIFS(T_PlannedOrders[EffectiveQty],T_PlannedOrders[Part Name],$A367,T_PlannedOrders[WeekIndex],45)&amp;" ("&amp;TEXT(SUMPRODUCT(MAX((T_PlannedOrders[Part Name]=$A367)*(T_PlannedOrders[WeekIndex]=45)*(T_PlannedOrders[EffectiveQty]&gt;0)*T_PlannedOrders[Order_Month])),"m月")&amp;"発注)")</f>
        <v/>
      </c>
      <c r="AW379">
        <f>IF(SUMIFS(T_PlannedOrders[EffectiveQty],T_PlannedOrders[Part Name],$A367,T_PlannedOrders[WeekIndex],46)=0,"",SUMIFS(T_PlannedOrders[EffectiveQty],T_PlannedOrders[Part Name],$A367,T_PlannedOrders[WeekIndex],46)&amp;" ("&amp;TEXT(SUMPRODUCT(MAX((T_PlannedOrders[Part Name]=$A367)*(T_PlannedOrders[WeekIndex]=46)*(T_PlannedOrders[EffectiveQty]&gt;0)*T_PlannedOrders[Order_Month])),"m月")&amp;"発注)")</f>
        <v/>
      </c>
      <c r="AX379">
        <f>IF(SUMIFS(T_PlannedOrders[EffectiveQty],T_PlannedOrders[Part Name],$A367,T_PlannedOrders[WeekIndex],47)=0,"",SUMIFS(T_PlannedOrders[EffectiveQty],T_PlannedOrders[Part Name],$A367,T_PlannedOrders[WeekIndex],47)&amp;" ("&amp;TEXT(SUMPRODUCT(MAX((T_PlannedOrders[Part Name]=$A367)*(T_PlannedOrders[WeekIndex]=47)*(T_PlannedOrders[EffectiveQty]&gt;0)*T_PlannedOrders[Order_Month])),"m月")&amp;"発注)")</f>
        <v/>
      </c>
      <c r="AY379">
        <f>IF(SUMIFS(T_PlannedOrders[EffectiveQty],T_PlannedOrders[Part Name],$A367,T_PlannedOrders[WeekIndex],48)=0,"",SUMIFS(T_PlannedOrders[EffectiveQty],T_PlannedOrders[Part Name],$A367,T_PlannedOrders[WeekIndex],48)&amp;" ("&amp;TEXT(SUMPRODUCT(MAX((T_PlannedOrders[Part Name]=$A367)*(T_PlannedOrders[WeekIndex]=48)*(T_PlannedOrders[EffectiveQty]&gt;0)*T_PlannedOrders[Order_Month])),"m月")&amp;"発注)")</f>
        <v/>
      </c>
      <c r="AZ379">
        <f>IF(SUMIFS(T_PlannedOrders[EffectiveQty],T_PlannedOrders[Part Name],$A367,T_PlannedOrders[WeekIndex],49)=0,"",SUMIFS(T_PlannedOrders[EffectiveQty],T_PlannedOrders[Part Name],$A367,T_PlannedOrders[WeekIndex],49)&amp;" ("&amp;TEXT(SUMPRODUCT(MAX((T_PlannedOrders[Part Name]=$A367)*(T_PlannedOrders[WeekIndex]=49)*(T_PlannedOrders[EffectiveQty]&gt;0)*T_PlannedOrders[Order_Month])),"m月")&amp;"発注)")</f>
        <v/>
      </c>
      <c r="BA379">
        <f>IF(SUMIFS(T_PlannedOrders[EffectiveQty],T_PlannedOrders[Part Name],$A367,T_PlannedOrders[WeekIndex],50)=0,"",SUMIFS(T_PlannedOrders[EffectiveQty],T_PlannedOrders[Part Name],$A367,T_PlannedOrders[WeekIndex],50)&amp;" ("&amp;TEXT(SUMPRODUCT(MAX((T_PlannedOrders[Part Name]=$A367)*(T_PlannedOrders[WeekIndex]=50)*(T_PlannedOrders[EffectiveQty]&gt;0)*T_PlannedOrders[Order_Month])),"m月")&amp;"発注)")</f>
        <v/>
      </c>
      <c r="BB379">
        <f>IF(SUMIFS(T_PlannedOrders[EffectiveQty],T_PlannedOrders[Part Name],$A367,T_PlannedOrders[WeekIndex],51)=0,"",SUMIFS(T_PlannedOrders[EffectiveQty],T_PlannedOrders[Part Name],$A367,T_PlannedOrders[WeekIndex],51)&amp;" ("&amp;TEXT(SUMPRODUCT(MAX((T_PlannedOrders[Part Name]=$A367)*(T_PlannedOrders[WeekIndex]=51)*(T_PlannedOrders[EffectiveQty]&gt;0)*T_PlannedOrders[Order_Month])),"m月")&amp;"発注)")</f>
        <v/>
      </c>
      <c r="BC379">
        <f>IF(SUMIFS(T_PlannedOrders[EffectiveQty],T_PlannedOrders[Part Name],$A367,T_PlannedOrders[WeekIndex],52)=0,"",SUMIFS(T_PlannedOrders[EffectiveQty],T_PlannedOrders[Part Name],$A367,T_PlannedOrders[WeekIndex],52)&amp;" ("&amp;TEXT(SUMPRODUCT(MAX((T_PlannedOrders[Part Name]=$A367)*(T_PlannedOrders[WeekIndex]=52)*(T_PlannedOrders[EffectiveQty]&gt;0)*T_PlannedOrders[Order_Month])),"m月")&amp;"発注)")</f>
        <v/>
      </c>
      <c r="BD379">
        <f>IF(SUMIFS(T_PlannedOrders[EffectiveQty],T_PlannedOrders[Part Name],$A367,T_PlannedOrders[WeekIndex],53)=0,"",SUMIFS(T_PlannedOrders[EffectiveQty],T_PlannedOrders[Part Name],$A367,T_PlannedOrders[WeekIndex],53)&amp;" ("&amp;TEXT(SUMPRODUCT(MAX((T_PlannedOrders[Part Name]=$A367)*(T_PlannedOrders[WeekIndex]=53)*(T_PlannedOrders[EffectiveQty]&gt;0)*T_PlannedOrders[Order_Month])),"m月")&amp;"発注)")</f>
        <v/>
      </c>
      <c r="BE379">
        <f>IF(SUMIFS(T_PlannedOrders[EffectiveQty],T_PlannedOrders[Part Name],$A367,T_PlannedOrders[WeekIndex],54)=0,"",SUMIFS(T_PlannedOrders[EffectiveQty],T_PlannedOrders[Part Name],$A367,T_PlannedOrders[WeekIndex],54)&amp;" ("&amp;TEXT(SUMPRODUCT(MAX((T_PlannedOrders[Part Name]=$A367)*(T_PlannedOrders[WeekIndex]=54)*(T_PlannedOrders[EffectiveQty]&gt;0)*T_PlannedOrders[Order_Month])),"m月")&amp;"発注)")</f>
        <v/>
      </c>
      <c r="BF379">
        <f>IF(SUMIFS(T_PlannedOrders[EffectiveQty],T_PlannedOrders[Part Name],$A367,T_PlannedOrders[WeekIndex],55)=0,"",SUMIFS(T_PlannedOrders[EffectiveQty],T_PlannedOrders[Part Name],$A367,T_PlannedOrders[WeekIndex],55)&amp;" ("&amp;TEXT(SUMPRODUCT(MAX((T_PlannedOrders[Part Name]=$A367)*(T_PlannedOrders[WeekIndex]=55)*(T_PlannedOrders[EffectiveQty]&gt;0)*T_PlannedOrders[Order_Month])),"m月")&amp;"発注)")</f>
        <v/>
      </c>
      <c r="BG379">
        <f>IF(SUMIFS(T_PlannedOrders[EffectiveQty],T_PlannedOrders[Part Name],$A367,T_PlannedOrders[WeekIndex],56)=0,"",SUMIFS(T_PlannedOrders[EffectiveQty],T_PlannedOrders[Part Name],$A367,T_PlannedOrders[WeekIndex],56)&amp;" ("&amp;TEXT(SUMPRODUCT(MAX((T_PlannedOrders[Part Name]=$A367)*(T_PlannedOrders[WeekIndex]=56)*(T_PlannedOrders[EffectiveQty]&gt;0)*T_PlannedOrders[Order_Month])),"m月")&amp;"発注)")</f>
        <v/>
      </c>
      <c r="BH379">
        <f>IF(SUMIFS(T_PlannedOrders[EffectiveQty],T_PlannedOrders[Part Name],$A367,T_PlannedOrders[WeekIndex],57)=0,"",SUMIFS(T_PlannedOrders[EffectiveQty],T_PlannedOrders[Part Name],$A367,T_PlannedOrders[WeekIndex],57)&amp;" ("&amp;TEXT(SUMPRODUCT(MAX((T_PlannedOrders[Part Name]=$A367)*(T_PlannedOrders[WeekIndex]=57)*(T_PlannedOrders[EffectiveQty]&gt;0)*T_PlannedOrders[Order_Month])),"m月")&amp;"発注)")</f>
        <v/>
      </c>
      <c r="BI379">
        <f>IF(SUMIFS(T_PlannedOrders[EffectiveQty],T_PlannedOrders[Part Name],$A367,T_PlannedOrders[WeekIndex],58)=0,"",SUMIFS(T_PlannedOrders[EffectiveQty],T_PlannedOrders[Part Name],$A367,T_PlannedOrders[WeekIndex],58)&amp;" ("&amp;TEXT(SUMPRODUCT(MAX((T_PlannedOrders[Part Name]=$A367)*(T_PlannedOrders[WeekIndex]=58)*(T_PlannedOrders[EffectiveQty]&gt;0)*T_PlannedOrders[Order_Month])),"m月")&amp;"発注)")</f>
        <v/>
      </c>
      <c r="BJ379">
        <f>IF(SUMIFS(T_PlannedOrders[EffectiveQty],T_PlannedOrders[Part Name],$A367,T_PlannedOrders[WeekIndex],59)=0,"",SUMIFS(T_PlannedOrders[EffectiveQty],T_PlannedOrders[Part Name],$A367,T_PlannedOrders[WeekIndex],59)&amp;" ("&amp;TEXT(SUMPRODUCT(MAX((T_PlannedOrders[Part Name]=$A367)*(T_PlannedOrders[WeekIndex]=59)*(T_PlannedOrders[EffectiveQty]&gt;0)*T_PlannedOrders[Order_Month])),"m月")&amp;"発注)")</f>
        <v/>
      </c>
      <c r="BK379">
        <f>IF(SUMIFS(T_PlannedOrders[EffectiveQty],T_PlannedOrders[Part Name],$A367,T_PlannedOrders[WeekIndex],60)=0,"",SUMIFS(T_PlannedOrders[EffectiveQty],T_PlannedOrders[Part Name],$A367,T_PlannedOrders[WeekIndex],60)&amp;" ("&amp;TEXT(SUMPRODUCT(MAX((T_PlannedOrders[Part Name]=$A367)*(T_PlannedOrders[WeekIndex]=60)*(T_PlannedOrders[EffectiveQty]&gt;0)*T_PlannedOrders[Order_Month])),"m月")&amp;"発注)")</f>
        <v/>
      </c>
      <c r="BL379">
        <f>IF(SUMIFS(T_PlannedOrders[EffectiveQty],T_PlannedOrders[Part Name],$A367,T_PlannedOrders[WeekIndex],61)=0,"",SUMIFS(T_PlannedOrders[EffectiveQty],T_PlannedOrders[Part Name],$A367,T_PlannedOrders[WeekIndex],61)&amp;" ("&amp;TEXT(SUMPRODUCT(MAX((T_PlannedOrders[Part Name]=$A367)*(T_PlannedOrders[WeekIndex]=61)*(T_PlannedOrders[EffectiveQty]&gt;0)*T_PlannedOrders[Order_Month])),"m月")&amp;"発注)")</f>
        <v/>
      </c>
      <c r="BM379">
        <f>IF(SUMIFS(T_PlannedOrders[EffectiveQty],T_PlannedOrders[Part Name],$A367,T_PlannedOrders[WeekIndex],62)=0,"",SUMIFS(T_PlannedOrders[EffectiveQty],T_PlannedOrders[Part Name],$A367,T_PlannedOrders[WeekIndex],62)&amp;" ("&amp;TEXT(SUMPRODUCT(MAX((T_PlannedOrders[Part Name]=$A367)*(T_PlannedOrders[WeekIndex]=62)*(T_PlannedOrders[EffectiveQty]&gt;0)*T_PlannedOrders[Order_Month])),"m月")&amp;"発注)")</f>
        <v/>
      </c>
      <c r="BN379">
        <f>IF(SUMIFS(T_PlannedOrders[EffectiveQty],T_PlannedOrders[Part Name],$A367,T_PlannedOrders[WeekIndex],63)=0,"",SUMIFS(T_PlannedOrders[EffectiveQty],T_PlannedOrders[Part Name],$A367,T_PlannedOrders[WeekIndex],63)&amp;" ("&amp;TEXT(SUMPRODUCT(MAX((T_PlannedOrders[Part Name]=$A367)*(T_PlannedOrders[WeekIndex]=63)*(T_PlannedOrders[EffectiveQty]&gt;0)*T_PlannedOrders[Order_Month])),"m月")&amp;"発注)")</f>
        <v/>
      </c>
      <c r="BO379">
        <f>IF(SUMIFS(T_PlannedOrders[EffectiveQty],T_PlannedOrders[Part Name],$A367,T_PlannedOrders[WeekIndex],64)=0,"",SUMIFS(T_PlannedOrders[EffectiveQty],T_PlannedOrders[Part Name],$A367,T_PlannedOrders[WeekIndex],64)&amp;" ("&amp;TEXT(SUMPRODUCT(MAX((T_PlannedOrders[Part Name]=$A367)*(T_PlannedOrders[WeekIndex]=64)*(T_PlannedOrders[EffectiveQty]&gt;0)*T_PlannedOrders[Order_Month])),"m月")&amp;"発注)")</f>
        <v/>
      </c>
      <c r="BP379">
        <f>IF(SUMIFS(T_PlannedOrders[EffectiveQty],T_PlannedOrders[Part Name],$A367,T_PlannedOrders[WeekIndex],65)=0,"",SUMIFS(T_PlannedOrders[EffectiveQty],T_PlannedOrders[Part Name],$A367,T_PlannedOrders[WeekIndex],65)&amp;" ("&amp;TEXT(SUMPRODUCT(MAX((T_PlannedOrders[Part Name]=$A367)*(T_PlannedOrders[WeekIndex]=65)*(T_PlannedOrders[EffectiveQty]&gt;0)*T_PlannedOrders[Order_Month])),"m月")&amp;"発注)")</f>
        <v/>
      </c>
      <c r="BQ379">
        <f>IF(SUMIFS(T_PlannedOrders[EffectiveQty],T_PlannedOrders[Part Name],$A367,T_PlannedOrders[WeekIndex],66)=0,"",SUMIFS(T_PlannedOrders[EffectiveQty],T_PlannedOrders[Part Name],$A367,T_PlannedOrders[WeekIndex],66)&amp;" ("&amp;TEXT(SUMPRODUCT(MAX((T_PlannedOrders[Part Name]=$A367)*(T_PlannedOrders[WeekIndex]=66)*(T_PlannedOrders[EffectiveQty]&gt;0)*T_PlannedOrders[Order_Month])),"m月")&amp;"発注)")</f>
        <v/>
      </c>
      <c r="BR379">
        <f>IF(SUMIFS(T_PlannedOrders[EffectiveQty],T_PlannedOrders[Part Name],$A367,T_PlannedOrders[WeekIndex],67)=0,"",SUMIFS(T_PlannedOrders[EffectiveQty],T_PlannedOrders[Part Name],$A367,T_PlannedOrders[WeekIndex],67)&amp;" ("&amp;TEXT(SUMPRODUCT(MAX((T_PlannedOrders[Part Name]=$A367)*(T_PlannedOrders[WeekIndex]=67)*(T_PlannedOrders[EffectiveQty]&gt;0)*T_PlannedOrders[Order_Month])),"m月")&amp;"発注)")</f>
        <v/>
      </c>
      <c r="BS379">
        <f>IF(SUMIFS(T_PlannedOrders[EffectiveQty],T_PlannedOrders[Part Name],$A367,T_PlannedOrders[WeekIndex],68)=0,"",SUMIFS(T_PlannedOrders[EffectiveQty],T_PlannedOrders[Part Name],$A367,T_PlannedOrders[WeekIndex],68)&amp;" ("&amp;TEXT(SUMPRODUCT(MAX((T_PlannedOrders[Part Name]=$A367)*(T_PlannedOrders[WeekIndex]=68)*(T_PlannedOrders[EffectiveQty]&gt;0)*T_PlannedOrders[Order_Month])),"m月")&amp;"発注)")</f>
        <v/>
      </c>
      <c r="BT379">
        <f>IF(SUMIFS(T_PlannedOrders[EffectiveQty],T_PlannedOrders[Part Name],$A367,T_PlannedOrders[WeekIndex],69)=0,"",SUMIFS(T_PlannedOrders[EffectiveQty],T_PlannedOrders[Part Name],$A367,T_PlannedOrders[WeekIndex],69)&amp;" ("&amp;TEXT(SUMPRODUCT(MAX((T_PlannedOrders[Part Name]=$A367)*(T_PlannedOrders[WeekIndex]=69)*(T_PlannedOrders[EffectiveQty]&gt;0)*T_PlannedOrders[Order_Month])),"m月")&amp;"発注)")</f>
        <v/>
      </c>
      <c r="BU379">
        <f>IF(SUMIFS(T_PlannedOrders[EffectiveQty],T_PlannedOrders[Part Name],$A367,T_PlannedOrders[WeekIndex],70)=0,"",SUMIFS(T_PlannedOrders[EffectiveQty],T_PlannedOrders[Part Name],$A367,T_PlannedOrders[WeekIndex],70)&amp;" ("&amp;TEXT(SUMPRODUCT(MAX((T_PlannedOrders[Part Name]=$A367)*(T_PlannedOrders[WeekIndex]=70)*(T_PlannedOrders[EffectiveQty]&gt;0)*T_PlannedOrders[Order_Month])),"m月")&amp;"発注)")</f>
        <v/>
      </c>
      <c r="BV379">
        <f>IF(SUMIFS(T_PlannedOrders[EffectiveQty],T_PlannedOrders[Part Name],$A367,T_PlannedOrders[WeekIndex],71)=0,"",SUMIFS(T_PlannedOrders[EffectiveQty],T_PlannedOrders[Part Name],$A367,T_PlannedOrders[WeekIndex],71)&amp;" ("&amp;TEXT(SUMPRODUCT(MAX((T_PlannedOrders[Part Name]=$A367)*(T_PlannedOrders[WeekIndex]=71)*(T_PlannedOrders[EffectiveQty]&gt;0)*T_PlannedOrders[Order_Month])),"m月")&amp;"発注)")</f>
        <v/>
      </c>
      <c r="BW379">
        <f>IF(SUMIFS(T_PlannedOrders[EffectiveQty],T_PlannedOrders[Part Name],$A367,T_PlannedOrders[WeekIndex],72)=0,"",SUMIFS(T_PlannedOrders[EffectiveQty],T_PlannedOrders[Part Name],$A367,T_PlannedOrders[WeekIndex],72)&amp;" ("&amp;TEXT(SUMPRODUCT(MAX((T_PlannedOrders[Part Name]=$A367)*(T_PlannedOrders[WeekIndex]=72)*(T_PlannedOrders[EffectiveQty]&gt;0)*T_PlannedOrders[Order_Month])),"m月")&amp;"発注)")</f>
        <v/>
      </c>
      <c r="BX379">
        <f>IF(SUMIFS(T_PlannedOrders[EffectiveQty],T_PlannedOrders[Part Name],$A367,T_PlannedOrders[WeekIndex],73)=0,"",SUMIFS(T_PlannedOrders[EffectiveQty],T_PlannedOrders[Part Name],$A367,T_PlannedOrders[WeekIndex],73)&amp;" ("&amp;TEXT(SUMPRODUCT(MAX((T_PlannedOrders[Part Name]=$A367)*(T_PlannedOrders[WeekIndex]=73)*(T_PlannedOrders[EffectiveQty]&gt;0)*T_PlannedOrders[Order_Month])),"m月")&amp;"発注)")</f>
        <v/>
      </c>
      <c r="BY379">
        <f>IF(SUMIFS(T_PlannedOrders[EffectiveQty],T_PlannedOrders[Part Name],$A367,T_PlannedOrders[WeekIndex],74)=0,"",SUMIFS(T_PlannedOrders[EffectiveQty],T_PlannedOrders[Part Name],$A367,T_PlannedOrders[WeekIndex],74)&amp;" ("&amp;TEXT(SUMPRODUCT(MAX((T_PlannedOrders[Part Name]=$A367)*(T_PlannedOrders[WeekIndex]=74)*(T_PlannedOrders[EffectiveQty]&gt;0)*T_PlannedOrders[Order_Month])),"m月")&amp;"発注)")</f>
        <v/>
      </c>
      <c r="BZ379">
        <f>IF(SUMIFS(T_PlannedOrders[EffectiveQty],T_PlannedOrders[Part Name],$A367,T_PlannedOrders[WeekIndex],75)=0,"",SUMIFS(T_PlannedOrders[EffectiveQty],T_PlannedOrders[Part Name],$A367,T_PlannedOrders[WeekIndex],75)&amp;" ("&amp;TEXT(SUMPRODUCT(MAX((T_PlannedOrders[Part Name]=$A367)*(T_PlannedOrders[WeekIndex]=75)*(T_PlannedOrders[EffectiveQty]&gt;0)*T_PlannedOrders[Order_Month])),"m月")&amp;"発注)")</f>
        <v/>
      </c>
      <c r="CA379">
        <f>IF(SUMIFS(T_PlannedOrders[EffectiveQty],T_PlannedOrders[Part Name],$A367,T_PlannedOrders[WeekIndex],76)=0,"",SUMIFS(T_PlannedOrders[EffectiveQty],T_PlannedOrders[Part Name],$A367,T_PlannedOrders[WeekIndex],76)&amp;" ("&amp;TEXT(SUMPRODUCT(MAX((T_PlannedOrders[Part Name]=$A367)*(T_PlannedOrders[WeekIndex]=76)*(T_PlannedOrders[EffectiveQty]&gt;0)*T_PlannedOrders[Order_Month])),"m月")&amp;"発注)")</f>
        <v/>
      </c>
      <c r="CB379">
        <f>IF(SUMIFS(T_PlannedOrders[EffectiveQty],T_PlannedOrders[Part Name],$A367,T_PlannedOrders[WeekIndex],77)=0,"",SUMIFS(T_PlannedOrders[EffectiveQty],T_PlannedOrders[Part Name],$A367,T_PlannedOrders[WeekIndex],77)&amp;" ("&amp;TEXT(SUMPRODUCT(MAX((T_PlannedOrders[Part Name]=$A367)*(T_PlannedOrders[WeekIndex]=77)*(T_PlannedOrders[EffectiveQty]&gt;0)*T_PlannedOrders[Order_Month])),"m月")&amp;"発注)")</f>
        <v/>
      </c>
      <c r="CC379">
        <f>IF(SUMIFS(T_PlannedOrders[EffectiveQty],T_PlannedOrders[Part Name],$A367,T_PlannedOrders[WeekIndex],78)=0,"",SUMIFS(T_PlannedOrders[EffectiveQty],T_PlannedOrders[Part Name],$A367,T_PlannedOrders[WeekIndex],78)&amp;" ("&amp;TEXT(SUMPRODUCT(MAX((T_PlannedOrders[Part Name]=$A367)*(T_PlannedOrders[WeekIndex]=78)*(T_PlannedOrders[EffectiveQty]&gt;0)*T_PlannedOrders[Order_Month])),"m月")&amp;"発注)")</f>
        <v/>
      </c>
      <c r="CD379">
        <f>IF(SUMIFS(T_PlannedOrders[EffectiveQty],T_PlannedOrders[Part Name],$A367,T_PlannedOrders[WeekIndex],79)=0,"",SUMIFS(T_PlannedOrders[EffectiveQty],T_PlannedOrders[Part Name],$A367,T_PlannedOrders[WeekIndex],79)&amp;" ("&amp;TEXT(SUMPRODUCT(MAX((T_PlannedOrders[Part Name]=$A367)*(T_PlannedOrders[WeekIndex]=79)*(T_PlannedOrders[EffectiveQty]&gt;0)*T_PlannedOrders[Order_Month])),"m月")&amp;"発注)")</f>
        <v/>
      </c>
      <c r="CE379">
        <f>IF(SUMIFS(T_PlannedOrders[EffectiveQty],T_PlannedOrders[Part Name],$A367,T_PlannedOrders[WeekIndex],80)=0,"",SUMIFS(T_PlannedOrders[EffectiveQty],T_PlannedOrders[Part Name],$A367,T_PlannedOrders[WeekIndex],80)&amp;" ("&amp;TEXT(SUMPRODUCT(MAX((T_PlannedOrders[Part Name]=$A367)*(T_PlannedOrders[WeekIndex]=80)*(T_PlannedOrders[EffectiveQty]&gt;0)*T_PlannedOrders[Order_Month])),"m月")&amp;"発注)")</f>
        <v/>
      </c>
      <c r="CF379">
        <f>IF(SUMIFS(T_PlannedOrders[EffectiveQty],T_PlannedOrders[Part Name],$A367,T_PlannedOrders[WeekIndex],81)=0,"",SUMIFS(T_PlannedOrders[EffectiveQty],T_PlannedOrders[Part Name],$A367,T_PlannedOrders[WeekIndex],81)&amp;" ("&amp;TEXT(SUMPRODUCT(MAX((T_PlannedOrders[Part Name]=$A367)*(T_PlannedOrders[WeekIndex]=81)*(T_PlannedOrders[EffectiveQty]&gt;0)*T_PlannedOrders[Order_Month])),"m月")&amp;"発注)")</f>
        <v/>
      </c>
      <c r="CG379">
        <f>IF(SUMIFS(T_PlannedOrders[EffectiveQty],T_PlannedOrders[Part Name],$A367,T_PlannedOrders[WeekIndex],82)=0,"",SUMIFS(T_PlannedOrders[EffectiveQty],T_PlannedOrders[Part Name],$A367,T_PlannedOrders[WeekIndex],82)&amp;" ("&amp;TEXT(SUMPRODUCT(MAX((T_PlannedOrders[Part Name]=$A367)*(T_PlannedOrders[WeekIndex]=82)*(T_PlannedOrders[EffectiveQty]&gt;0)*T_PlannedOrders[Order_Month])),"m月")&amp;"発注)")</f>
        <v/>
      </c>
      <c r="CH379">
        <f>IF(SUMIFS(T_PlannedOrders[EffectiveQty],T_PlannedOrders[Part Name],$A367,T_PlannedOrders[WeekIndex],83)=0,"",SUMIFS(T_PlannedOrders[EffectiveQty],T_PlannedOrders[Part Name],$A367,T_PlannedOrders[WeekIndex],83)&amp;" ("&amp;TEXT(SUMPRODUCT(MAX((T_PlannedOrders[Part Name]=$A367)*(T_PlannedOrders[WeekIndex]=83)*(T_PlannedOrders[EffectiveQty]&gt;0)*T_PlannedOrders[Order_Month])),"m月")&amp;"発注)")</f>
        <v/>
      </c>
      <c r="CI379">
        <f>IF(SUMIFS(T_PlannedOrders[EffectiveQty],T_PlannedOrders[Part Name],$A367,T_PlannedOrders[WeekIndex],84)=0,"",SUMIFS(T_PlannedOrders[EffectiveQty],T_PlannedOrders[Part Name],$A367,T_PlannedOrders[WeekIndex],84)&amp;" ("&amp;TEXT(SUMPRODUCT(MAX((T_PlannedOrders[Part Name]=$A367)*(T_PlannedOrders[WeekIndex]=84)*(T_PlannedOrders[EffectiveQty]&gt;0)*T_PlannedOrders[Order_Month])),"m月")&amp;"発注)")</f>
        <v/>
      </c>
      <c r="CJ379">
        <f>IF(SUMIFS(T_PlannedOrders[EffectiveQty],T_PlannedOrders[Part Name],$A367,T_PlannedOrders[WeekIndex],85)=0,"",SUMIFS(T_PlannedOrders[EffectiveQty],T_PlannedOrders[Part Name],$A367,T_PlannedOrders[WeekIndex],85)&amp;" ("&amp;TEXT(SUMPRODUCT(MAX((T_PlannedOrders[Part Name]=$A367)*(T_PlannedOrders[WeekIndex]=85)*(T_PlannedOrders[EffectiveQty]&gt;0)*T_PlannedOrders[Order_Month])),"m月")&amp;"発注)")</f>
        <v/>
      </c>
      <c r="CK379">
        <f>IF(SUMIFS(T_PlannedOrders[EffectiveQty],T_PlannedOrders[Part Name],$A367,T_PlannedOrders[WeekIndex],86)=0,"",SUMIFS(T_PlannedOrders[EffectiveQty],T_PlannedOrders[Part Name],$A367,T_PlannedOrders[WeekIndex],86)&amp;" ("&amp;TEXT(SUMPRODUCT(MAX((T_PlannedOrders[Part Name]=$A367)*(T_PlannedOrders[WeekIndex]=86)*(T_PlannedOrders[EffectiveQty]&gt;0)*T_PlannedOrders[Order_Month])),"m月")&amp;"発注)")</f>
        <v/>
      </c>
      <c r="CL379">
        <f>IF(SUMIFS(T_PlannedOrders[EffectiveQty],T_PlannedOrders[Part Name],$A367,T_PlannedOrders[WeekIndex],87)=0,"",SUMIFS(T_PlannedOrders[EffectiveQty],T_PlannedOrders[Part Name],$A367,T_PlannedOrders[WeekIndex],87)&amp;" ("&amp;TEXT(SUMPRODUCT(MAX((T_PlannedOrders[Part Name]=$A367)*(T_PlannedOrders[WeekIndex]=87)*(T_PlannedOrders[EffectiveQty]&gt;0)*T_PlannedOrders[Order_Month])),"m月")&amp;"発注)")</f>
        <v/>
      </c>
      <c r="CM379">
        <f>IF(SUMIFS(T_PlannedOrders[EffectiveQty],T_PlannedOrders[Part Name],$A367,T_PlannedOrders[WeekIndex],88)=0,"",SUMIFS(T_PlannedOrders[EffectiveQty],T_PlannedOrders[Part Name],$A367,T_PlannedOrders[WeekIndex],88)&amp;" ("&amp;TEXT(SUMPRODUCT(MAX((T_PlannedOrders[Part Name]=$A367)*(T_PlannedOrders[WeekIndex]=88)*(T_PlannedOrders[EffectiveQty]&gt;0)*T_PlannedOrders[Order_Month])),"m月")&amp;"発注)")</f>
        <v/>
      </c>
      <c r="CN379">
        <f>IF(SUMIFS(T_PlannedOrders[EffectiveQty],T_PlannedOrders[Part Name],$A367,T_PlannedOrders[WeekIndex],89)=0,"",SUMIFS(T_PlannedOrders[EffectiveQty],T_PlannedOrders[Part Name],$A367,T_PlannedOrders[WeekIndex],89)&amp;" ("&amp;TEXT(SUMPRODUCT(MAX((T_PlannedOrders[Part Name]=$A367)*(T_PlannedOrders[WeekIndex]=89)*(T_PlannedOrders[EffectiveQty]&gt;0)*T_PlannedOrders[Order_Month])),"m月")&amp;"発注)")</f>
        <v/>
      </c>
      <c r="CO379">
        <f>IF(SUMIFS(T_PlannedOrders[EffectiveQty],T_PlannedOrders[Part Name],$A367,T_PlannedOrders[WeekIndex],90)=0,"",SUMIFS(T_PlannedOrders[EffectiveQty],T_PlannedOrders[Part Name],$A367,T_PlannedOrders[WeekIndex],90)&amp;" ("&amp;TEXT(SUMPRODUCT(MAX((T_PlannedOrders[Part Name]=$A367)*(T_PlannedOrders[WeekIndex]=90)*(T_PlannedOrders[EffectiveQty]&gt;0)*T_PlannedOrders[Order_Month])),"m月")&amp;"発注)")</f>
        <v/>
      </c>
      <c r="CP379">
        <f>IF(SUMIFS(T_PlannedOrders[EffectiveQty],T_PlannedOrders[Part Name],$A367,T_PlannedOrders[WeekIndex],91)=0,"",SUMIFS(T_PlannedOrders[EffectiveQty],T_PlannedOrders[Part Name],$A367,T_PlannedOrders[WeekIndex],91)&amp;" ("&amp;TEXT(SUMPRODUCT(MAX((T_PlannedOrders[Part Name]=$A367)*(T_PlannedOrders[WeekIndex]=91)*(T_PlannedOrders[EffectiveQty]&gt;0)*T_PlannedOrders[Order_Month])),"m月")&amp;"発注)")</f>
        <v/>
      </c>
      <c r="CQ379">
        <f>IF(SUMIFS(T_PlannedOrders[EffectiveQty],T_PlannedOrders[Part Name],$A367,T_PlannedOrders[WeekIndex],92)=0,"",SUMIFS(T_PlannedOrders[EffectiveQty],T_PlannedOrders[Part Name],$A367,T_PlannedOrders[WeekIndex],92)&amp;" ("&amp;TEXT(SUMPRODUCT(MAX((T_PlannedOrders[Part Name]=$A367)*(T_PlannedOrders[WeekIndex]=92)*(T_PlannedOrders[EffectiveQty]&gt;0)*T_PlannedOrders[Order_Month])),"m月")&amp;"発注)")</f>
        <v/>
      </c>
      <c r="CR379">
        <f>IF(SUMIFS(T_PlannedOrders[EffectiveQty],T_PlannedOrders[Part Name],$A367,T_PlannedOrders[WeekIndex],93)=0,"",SUMIFS(T_PlannedOrders[EffectiveQty],T_PlannedOrders[Part Name],$A367,T_PlannedOrders[WeekIndex],93)&amp;" ("&amp;TEXT(SUMPRODUCT(MAX((T_PlannedOrders[Part Name]=$A367)*(T_PlannedOrders[WeekIndex]=93)*(T_PlannedOrders[EffectiveQty]&gt;0)*T_PlannedOrders[Order_Month])),"m月")&amp;"発注)")</f>
        <v/>
      </c>
      <c r="CS379">
        <f>IF(SUMIFS(T_PlannedOrders[EffectiveQty],T_PlannedOrders[Part Name],$A367,T_PlannedOrders[WeekIndex],94)=0,"",SUMIFS(T_PlannedOrders[EffectiveQty],T_PlannedOrders[Part Name],$A367,T_PlannedOrders[WeekIndex],94)&amp;" ("&amp;TEXT(SUMPRODUCT(MAX((T_PlannedOrders[Part Name]=$A367)*(T_PlannedOrders[WeekIndex]=94)*(T_PlannedOrders[EffectiveQty]&gt;0)*T_PlannedOrders[Order_Month])),"m月")&amp;"発注)")</f>
        <v/>
      </c>
      <c r="CT379">
        <f>IF(SUMIFS(T_PlannedOrders[EffectiveQty],T_PlannedOrders[Part Name],$A367,T_PlannedOrders[WeekIndex],95)=0,"",SUMIFS(T_PlannedOrders[EffectiveQty],T_PlannedOrders[Part Name],$A367,T_PlannedOrders[WeekIndex],95)&amp;" ("&amp;TEXT(SUMPRODUCT(MAX((T_PlannedOrders[Part Name]=$A367)*(T_PlannedOrders[WeekIndex]=95)*(T_PlannedOrders[EffectiveQty]&gt;0)*T_PlannedOrders[Order_Month])),"m月")&amp;"発注)")</f>
        <v/>
      </c>
      <c r="CU379">
        <f>IF(SUMIFS(T_PlannedOrders[EffectiveQty],T_PlannedOrders[Part Name],$A367,T_PlannedOrders[WeekIndex],96)=0,"",SUMIFS(T_PlannedOrders[EffectiveQty],T_PlannedOrders[Part Name],$A367,T_PlannedOrders[WeekIndex],96)&amp;" ("&amp;TEXT(SUMPRODUCT(MAX((T_PlannedOrders[Part Name]=$A367)*(T_PlannedOrders[WeekIndex]=96)*(T_PlannedOrders[EffectiveQty]&gt;0)*T_PlannedOrders[Order_Month])),"m月")&amp;"発注)")</f>
        <v/>
      </c>
      <c r="CV379">
        <f>IF(SUMIFS(T_PlannedOrders[EffectiveQty],T_PlannedOrders[Part Name],$A367,T_PlannedOrders[WeekIndex],97)=0,"",SUMIFS(T_PlannedOrders[EffectiveQty],T_PlannedOrders[Part Name],$A367,T_PlannedOrders[WeekIndex],97)&amp;" ("&amp;TEXT(SUMPRODUCT(MAX((T_PlannedOrders[Part Name]=$A367)*(T_PlannedOrders[WeekIndex]=97)*(T_PlannedOrders[EffectiveQty]&gt;0)*T_PlannedOrders[Order_Month])),"m月")&amp;"発注)")</f>
        <v/>
      </c>
      <c r="CW379">
        <f>IF(SUMIFS(T_PlannedOrders[EffectiveQty],T_PlannedOrders[Part Name],$A367,T_PlannedOrders[WeekIndex],98)=0,"",SUMIFS(T_PlannedOrders[EffectiveQty],T_PlannedOrders[Part Name],$A367,T_PlannedOrders[WeekIndex],98)&amp;" ("&amp;TEXT(SUMPRODUCT(MAX((T_PlannedOrders[Part Name]=$A367)*(T_PlannedOrders[WeekIndex]=98)*(T_PlannedOrders[EffectiveQty]&gt;0)*T_PlannedOrders[Order_Month])),"m月")&amp;"発注)")</f>
        <v/>
      </c>
      <c r="CX379">
        <f>IF(SUMIFS(T_PlannedOrders[EffectiveQty],T_PlannedOrders[Part Name],$A367,T_PlannedOrders[WeekIndex],99)=0,"",SUMIFS(T_PlannedOrders[EffectiveQty],T_PlannedOrders[Part Name],$A367,T_PlannedOrders[WeekIndex],99)&amp;" ("&amp;TEXT(SUMPRODUCT(MAX((T_PlannedOrders[Part Name]=$A367)*(T_PlannedOrders[WeekIndex]=99)*(T_PlannedOrders[EffectiveQty]&gt;0)*T_PlannedOrders[Order_Month])),"m月")&amp;"発注)")</f>
        <v/>
      </c>
      <c r="CY379">
        <f>IF(SUMIFS(T_PlannedOrders[EffectiveQty],T_PlannedOrders[Part Name],$A367,T_PlannedOrders[WeekIndex],100)=0,"",SUMIFS(T_PlannedOrders[EffectiveQty],T_PlannedOrders[Part Name],$A367,T_PlannedOrders[WeekIndex],100)&amp;" ("&amp;TEXT(SUMPRODUCT(MAX((T_PlannedOrders[Part Name]=$A367)*(T_PlannedOrders[WeekIndex]=100)*(T_PlannedOrders[EffectiveQty]&gt;0)*T_PlannedOrders[Order_Month])),"m月")&amp;"発注)")</f>
        <v/>
      </c>
      <c r="CZ379">
        <f>IF(SUMIFS(T_PlannedOrders[EffectiveQty],T_PlannedOrders[Part Name],$A367,T_PlannedOrders[WeekIndex],101)=0,"",SUMIFS(T_PlannedOrders[EffectiveQty],T_PlannedOrders[Part Name],$A367,T_PlannedOrders[WeekIndex],101)&amp;" ("&amp;TEXT(SUMPRODUCT(MAX((T_PlannedOrders[Part Name]=$A367)*(T_PlannedOrders[WeekIndex]=101)*(T_PlannedOrders[EffectiveQty]&gt;0)*T_PlannedOrders[Order_Month])),"m月")&amp;"発注)")</f>
        <v/>
      </c>
      <c r="DA379">
        <f>IF(SUMIFS(T_PlannedOrders[EffectiveQty],T_PlannedOrders[Part Name],$A367,T_PlannedOrders[WeekIndex],102)=0,"",SUMIFS(T_PlannedOrders[EffectiveQty],T_PlannedOrders[Part Name],$A367,T_PlannedOrders[WeekIndex],102)&amp;" ("&amp;TEXT(SUMPRODUCT(MAX((T_PlannedOrders[Part Name]=$A367)*(T_PlannedOrders[WeekIndex]=102)*(T_PlannedOrders[EffectiveQty]&gt;0)*T_PlannedOrders[Order_Month])),"m月")&amp;"発注)")</f>
        <v/>
      </c>
      <c r="DB379">
        <f>IF(SUMIFS(T_PlannedOrders[EffectiveQty],T_PlannedOrders[Part Name],$A367,T_PlannedOrders[WeekIndex],103)=0,"",SUMIFS(T_PlannedOrders[EffectiveQty],T_PlannedOrders[Part Name],$A367,T_PlannedOrders[WeekIndex],103)&amp;" ("&amp;TEXT(SUMPRODUCT(MAX((T_PlannedOrders[Part Name]=$A367)*(T_PlannedOrders[WeekIndex]=103)*(T_PlannedOrders[EffectiveQty]&gt;0)*T_PlannedOrders[Order_Month])),"m月")&amp;"発注)")</f>
        <v/>
      </c>
      <c r="DC379">
        <f>IF(SUMIFS(T_PlannedOrders[EffectiveQty],T_PlannedOrders[Part Name],$A367,T_PlannedOrders[WeekIndex],104)=0,"",SUMIFS(T_PlannedOrders[EffectiveQty],T_PlannedOrders[Part Name],$A367,T_PlannedOrders[WeekIndex],104)&amp;" ("&amp;TEXT(SUMPRODUCT(MAX((T_PlannedOrders[Part Name]=$A367)*(T_PlannedOrders[WeekIndex]=104)*(T_PlannedOrders[EffectiveQty]&gt;0)*T_PlannedOrders[Order_Month])),"m月")&amp;"発注)")</f>
        <v/>
      </c>
    </row>
    <row r="380">
      <c r="B380" s="5" t="inlineStr">
        <is>
          <t>合計在庫(週末時点,kg)</t>
        </is>
      </c>
      <c r="D380">
        <f>'Grid_Stock'!B30</f>
        <v/>
      </c>
      <c r="E380">
        <f>'Grid_Stock'!C30</f>
        <v/>
      </c>
      <c r="F380">
        <f>'Grid_Stock'!D30</f>
        <v/>
      </c>
      <c r="G380">
        <f>'Grid_Stock'!E30</f>
        <v/>
      </c>
      <c r="H380">
        <f>'Grid_Stock'!F30</f>
        <v/>
      </c>
      <c r="I380">
        <f>'Grid_Stock'!G30</f>
        <v/>
      </c>
      <c r="J380">
        <f>'Grid_Stock'!H30</f>
        <v/>
      </c>
      <c r="K380">
        <f>'Grid_Stock'!I30</f>
        <v/>
      </c>
      <c r="L380">
        <f>'Grid_Stock'!J30</f>
        <v/>
      </c>
      <c r="M380">
        <f>'Grid_Stock'!K30</f>
        <v/>
      </c>
      <c r="N380">
        <f>'Grid_Stock'!L30</f>
        <v/>
      </c>
      <c r="O380">
        <f>'Grid_Stock'!M30</f>
        <v/>
      </c>
      <c r="P380">
        <f>'Grid_Stock'!N30</f>
        <v/>
      </c>
      <c r="Q380">
        <f>'Grid_Stock'!O30</f>
        <v/>
      </c>
      <c r="R380">
        <f>'Grid_Stock'!P30</f>
        <v/>
      </c>
      <c r="S380">
        <f>'Grid_Stock'!Q30</f>
        <v/>
      </c>
      <c r="T380">
        <f>'Grid_Stock'!R30</f>
        <v/>
      </c>
      <c r="U380">
        <f>'Grid_Stock'!S30</f>
        <v/>
      </c>
      <c r="V380">
        <f>'Grid_Stock'!T30</f>
        <v/>
      </c>
      <c r="W380">
        <f>'Grid_Stock'!U30</f>
        <v/>
      </c>
      <c r="X380">
        <f>'Grid_Stock'!V30</f>
        <v/>
      </c>
      <c r="Y380">
        <f>'Grid_Stock'!W30</f>
        <v/>
      </c>
      <c r="Z380">
        <f>'Grid_Stock'!X30</f>
        <v/>
      </c>
      <c r="AA380">
        <f>'Grid_Stock'!Y30</f>
        <v/>
      </c>
      <c r="AB380">
        <f>'Grid_Stock'!Z30</f>
        <v/>
      </c>
      <c r="AC380">
        <f>'Grid_Stock'!AA30</f>
        <v/>
      </c>
      <c r="AD380">
        <f>'Grid_Stock'!AB30</f>
        <v/>
      </c>
      <c r="AE380">
        <f>'Grid_Stock'!AC30</f>
        <v/>
      </c>
      <c r="AF380">
        <f>'Grid_Stock'!AD30</f>
        <v/>
      </c>
      <c r="AG380">
        <f>'Grid_Stock'!AE30</f>
        <v/>
      </c>
      <c r="AH380">
        <f>'Grid_Stock'!AF30</f>
        <v/>
      </c>
      <c r="AI380">
        <f>'Grid_Stock'!AG30</f>
        <v/>
      </c>
      <c r="AJ380">
        <f>'Grid_Stock'!AH30</f>
        <v/>
      </c>
      <c r="AK380">
        <f>'Grid_Stock'!AI30</f>
        <v/>
      </c>
      <c r="AL380">
        <f>'Grid_Stock'!AJ30</f>
        <v/>
      </c>
      <c r="AM380">
        <f>'Grid_Stock'!AK30</f>
        <v/>
      </c>
      <c r="AN380">
        <f>'Grid_Stock'!AL30</f>
        <v/>
      </c>
      <c r="AO380">
        <f>'Grid_Stock'!AM30</f>
        <v/>
      </c>
      <c r="AP380">
        <f>'Grid_Stock'!AN30</f>
        <v/>
      </c>
      <c r="AQ380">
        <f>'Grid_Stock'!AO30</f>
        <v/>
      </c>
      <c r="AR380">
        <f>'Grid_Stock'!AP30</f>
        <v/>
      </c>
      <c r="AS380">
        <f>'Grid_Stock'!AQ30</f>
        <v/>
      </c>
      <c r="AT380">
        <f>'Grid_Stock'!AR30</f>
        <v/>
      </c>
      <c r="AU380">
        <f>'Grid_Stock'!AS30</f>
        <v/>
      </c>
      <c r="AV380">
        <f>'Grid_Stock'!AT30</f>
        <v/>
      </c>
      <c r="AW380">
        <f>'Grid_Stock'!AU30</f>
        <v/>
      </c>
      <c r="AX380">
        <f>'Grid_Stock'!AV30</f>
        <v/>
      </c>
      <c r="AY380">
        <f>'Grid_Stock'!AW30</f>
        <v/>
      </c>
      <c r="AZ380">
        <f>'Grid_Stock'!AX30</f>
        <v/>
      </c>
      <c r="BA380">
        <f>'Grid_Stock'!AY30</f>
        <v/>
      </c>
      <c r="BB380">
        <f>'Grid_Stock'!AZ30</f>
        <v/>
      </c>
      <c r="BC380">
        <f>'Grid_Stock'!BA30</f>
        <v/>
      </c>
      <c r="BD380">
        <f>'Grid_Stock'!BB30</f>
        <v/>
      </c>
      <c r="BE380">
        <f>'Grid_Stock'!BC30</f>
        <v/>
      </c>
      <c r="BF380">
        <f>'Grid_Stock'!BD30</f>
        <v/>
      </c>
      <c r="BG380">
        <f>'Grid_Stock'!BE30</f>
        <v/>
      </c>
      <c r="BH380">
        <f>'Grid_Stock'!BF30</f>
        <v/>
      </c>
      <c r="BI380">
        <f>'Grid_Stock'!BG30</f>
        <v/>
      </c>
      <c r="BJ380">
        <f>'Grid_Stock'!BH30</f>
        <v/>
      </c>
      <c r="BK380">
        <f>'Grid_Stock'!BI30</f>
        <v/>
      </c>
      <c r="BL380">
        <f>'Grid_Stock'!BJ30</f>
        <v/>
      </c>
      <c r="BM380">
        <f>'Grid_Stock'!BK30</f>
        <v/>
      </c>
      <c r="BN380">
        <f>'Grid_Stock'!BL30</f>
        <v/>
      </c>
      <c r="BO380">
        <f>'Grid_Stock'!BM30</f>
        <v/>
      </c>
      <c r="BP380">
        <f>'Grid_Stock'!BN30</f>
        <v/>
      </c>
      <c r="BQ380">
        <f>'Grid_Stock'!BO30</f>
        <v/>
      </c>
      <c r="BR380">
        <f>'Grid_Stock'!BP30</f>
        <v/>
      </c>
      <c r="BS380">
        <f>'Grid_Stock'!BQ30</f>
        <v/>
      </c>
      <c r="BT380">
        <f>'Grid_Stock'!BR30</f>
        <v/>
      </c>
      <c r="BU380">
        <f>'Grid_Stock'!BS30</f>
        <v/>
      </c>
      <c r="BV380">
        <f>'Grid_Stock'!BT30</f>
        <v/>
      </c>
      <c r="BW380">
        <f>'Grid_Stock'!BU30</f>
        <v/>
      </c>
      <c r="BX380">
        <f>'Grid_Stock'!BV30</f>
        <v/>
      </c>
      <c r="BY380">
        <f>'Grid_Stock'!BW30</f>
        <v/>
      </c>
      <c r="BZ380">
        <f>'Grid_Stock'!BX30</f>
        <v/>
      </c>
      <c r="CA380">
        <f>'Grid_Stock'!BY30</f>
        <v/>
      </c>
      <c r="CB380">
        <f>'Grid_Stock'!BZ30</f>
        <v/>
      </c>
      <c r="CC380">
        <f>'Grid_Stock'!CA30</f>
        <v/>
      </c>
      <c r="CD380">
        <f>'Grid_Stock'!CB30</f>
        <v/>
      </c>
      <c r="CE380">
        <f>'Grid_Stock'!CC30</f>
        <v/>
      </c>
      <c r="CF380">
        <f>'Grid_Stock'!CD30</f>
        <v/>
      </c>
      <c r="CG380">
        <f>'Grid_Stock'!CE30</f>
        <v/>
      </c>
      <c r="CH380">
        <f>'Grid_Stock'!CF30</f>
        <v/>
      </c>
      <c r="CI380">
        <f>'Grid_Stock'!CG30</f>
        <v/>
      </c>
      <c r="CJ380">
        <f>'Grid_Stock'!CH30</f>
        <v/>
      </c>
      <c r="CK380">
        <f>'Grid_Stock'!CI30</f>
        <v/>
      </c>
      <c r="CL380">
        <f>'Grid_Stock'!CJ30</f>
        <v/>
      </c>
      <c r="CM380">
        <f>'Grid_Stock'!CK30</f>
        <v/>
      </c>
      <c r="CN380">
        <f>'Grid_Stock'!CL30</f>
        <v/>
      </c>
      <c r="CO380">
        <f>'Grid_Stock'!CM30</f>
        <v/>
      </c>
      <c r="CP380">
        <f>'Grid_Stock'!CN30</f>
        <v/>
      </c>
      <c r="CQ380">
        <f>'Grid_Stock'!CO30</f>
        <v/>
      </c>
      <c r="CR380">
        <f>'Grid_Stock'!CP30</f>
        <v/>
      </c>
      <c r="CS380">
        <f>'Grid_Stock'!CQ30</f>
        <v/>
      </c>
      <c r="CT380">
        <f>'Grid_Stock'!CR30</f>
        <v/>
      </c>
      <c r="CU380">
        <f>'Grid_Stock'!CS30</f>
        <v/>
      </c>
      <c r="CV380">
        <f>'Grid_Stock'!CT30</f>
        <v/>
      </c>
      <c r="CW380">
        <f>'Grid_Stock'!CU30</f>
        <v/>
      </c>
      <c r="CX380">
        <f>'Grid_Stock'!CV30</f>
        <v/>
      </c>
      <c r="CY380">
        <f>'Grid_Stock'!CW30</f>
        <v/>
      </c>
      <c r="CZ380">
        <f>'Grid_Stock'!CX30</f>
        <v/>
      </c>
      <c r="DA380">
        <f>'Grid_Stock'!CY30</f>
        <v/>
      </c>
      <c r="DB380">
        <f>'Grid_Stock'!CZ30</f>
        <v/>
      </c>
      <c r="DC380">
        <f>'Grid_Stock'!DA30</f>
        <v/>
      </c>
    </row>
    <row r="381">
      <c r="B381" s="23" t="inlineStr">
        <is>
          <t>（発注の目安はDashboardの基準在庫[下限/上限]と色分けを参照）</t>
        </is>
      </c>
    </row>
    <row r="383">
      <c r="A383" s="21" t="inlineStr">
        <is>
          <t>CHEM-1440</t>
        </is>
      </c>
      <c r="B383" s="21" t="inlineStr">
        <is>
          <t>Citric Acid</t>
        </is>
      </c>
      <c r="C383" s="22" t="n"/>
      <c r="D383" s="21" t="n"/>
      <c r="E383" s="21" t="n"/>
      <c r="F383" s="21" t="n"/>
      <c r="G383" s="21" t="n"/>
      <c r="H383" s="2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  <c r="AA383" s="21" t="n"/>
      <c r="AB383" s="21" t="n"/>
      <c r="AC383" s="21" t="n"/>
      <c r="AD383" s="21" t="n"/>
      <c r="AE383" s="21" t="n"/>
      <c r="AF383" s="21" t="n"/>
      <c r="AG383" s="21" t="n"/>
      <c r="AH383" s="21" t="n"/>
      <c r="AI383" s="21" t="n"/>
      <c r="AJ383" s="21" t="n"/>
      <c r="AK383" s="21" t="n"/>
      <c r="AL383" s="21" t="n"/>
      <c r="AM383" s="21" t="n"/>
      <c r="AN383" s="21" t="n"/>
      <c r="AO383" s="21" t="n"/>
      <c r="AP383" s="21" t="n"/>
      <c r="AQ383" s="21" t="n"/>
      <c r="AR383" s="21" t="n"/>
      <c r="AS383" s="21" t="n"/>
      <c r="AT383" s="21" t="n"/>
      <c r="AU383" s="21" t="n"/>
      <c r="AV383" s="21" t="n"/>
      <c r="AW383" s="21" t="n"/>
      <c r="AX383" s="21" t="n"/>
      <c r="AY383" s="21" t="n"/>
      <c r="AZ383" s="21" t="n"/>
      <c r="BA383" s="21" t="n"/>
      <c r="BB383" s="21" t="n"/>
      <c r="BC383" s="21" t="n"/>
      <c r="BD383" s="21" t="n"/>
      <c r="BE383" s="21" t="n"/>
      <c r="BF383" s="21" t="n"/>
      <c r="BG383" s="21" t="n"/>
      <c r="BH383" s="21" t="n"/>
      <c r="BI383" s="21" t="n"/>
      <c r="BJ383" s="21" t="n"/>
      <c r="BK383" s="21" t="n"/>
      <c r="BL383" s="21" t="n"/>
      <c r="BM383" s="21" t="n"/>
      <c r="BN383" s="21" t="n"/>
      <c r="BO383" s="21" t="n"/>
      <c r="BP383" s="21" t="n"/>
      <c r="BQ383" s="21" t="n"/>
      <c r="BR383" s="21" t="n"/>
      <c r="BS383" s="21" t="n"/>
      <c r="BT383" s="21" t="n"/>
      <c r="BU383" s="21" t="n"/>
      <c r="BV383" s="21" t="n"/>
      <c r="BW383" s="21" t="n"/>
      <c r="BX383" s="21" t="n"/>
      <c r="BY383" s="21" t="n"/>
      <c r="BZ383" s="21" t="n"/>
      <c r="CA383" s="21" t="n"/>
      <c r="CB383" s="21" t="n"/>
      <c r="CC383" s="21" t="n"/>
      <c r="CD383" s="21" t="n"/>
      <c r="CE383" s="21" t="n"/>
      <c r="CF383" s="21" t="n"/>
      <c r="CG383" s="21" t="n"/>
      <c r="CH383" s="21" t="n"/>
      <c r="CI383" s="21" t="n"/>
      <c r="CJ383" s="21" t="n"/>
      <c r="CK383" s="21" t="n"/>
      <c r="CL383" s="21" t="n"/>
      <c r="CM383" s="21" t="n"/>
      <c r="CN383" s="21" t="n"/>
      <c r="CO383" s="21" t="n"/>
      <c r="CP383" s="21" t="n"/>
      <c r="CQ383" s="21" t="n"/>
      <c r="CR383" s="21" t="n"/>
      <c r="CS383" s="21" t="n"/>
      <c r="CT383" s="21" t="n"/>
      <c r="CU383" s="21" t="n"/>
      <c r="CV383" s="21" t="n"/>
      <c r="CW383" s="21" t="n"/>
      <c r="CX383" s="21" t="n"/>
      <c r="CY383" s="21" t="n"/>
      <c r="CZ383" s="21" t="n"/>
      <c r="DA383" s="21" t="n"/>
      <c r="DB383" s="21" t="n"/>
      <c r="DC383" s="21" t="n"/>
    </row>
    <row r="384">
      <c r="B384" t="inlineStr">
        <is>
          <t>TSP-049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12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Name],$A383)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t="inlineStr">
        <is>
          <t>TSP-067</t>
        </is>
      </c>
      <c r="C386" t="inlineStr">
        <is>
          <t>No. of batches</t>
        </is>
      </c>
      <c r="D386">
        <f>IFERROR(INDEX(PP_Grid[#Data],$DD386,2),0)</f>
        <v/>
      </c>
      <c r="E386">
        <f>IFERROR(INDEX(PP_Grid[#Data],$DD386,3),0)</f>
        <v/>
      </c>
      <c r="F386">
        <f>IFERROR(INDEX(PP_Grid[#Data],$DD386,4),0)</f>
        <v/>
      </c>
      <c r="G386">
        <f>IFERROR(INDEX(PP_Grid[#Data],$DD386,5),0)</f>
        <v/>
      </c>
      <c r="H386">
        <f>IFERROR(INDEX(PP_Grid[#Data],$DD386,6),0)</f>
        <v/>
      </c>
      <c r="I386">
        <f>IFERROR(INDEX(PP_Grid[#Data],$DD386,7),0)</f>
        <v/>
      </c>
      <c r="J386">
        <f>IFERROR(INDEX(PP_Grid[#Data],$DD386,8),0)</f>
        <v/>
      </c>
      <c r="K386">
        <f>IFERROR(INDEX(PP_Grid[#Data],$DD386,9),0)</f>
        <v/>
      </c>
      <c r="L386">
        <f>IFERROR(INDEX(PP_Grid[#Data],$DD386,10),0)</f>
        <v/>
      </c>
      <c r="M386">
        <f>IFERROR(INDEX(PP_Grid[#Data],$DD386,11),0)</f>
        <v/>
      </c>
      <c r="N386">
        <f>IFERROR(INDEX(PP_Grid[#Data],$DD386,12),0)</f>
        <v/>
      </c>
      <c r="O386">
        <f>IFERROR(INDEX(PP_Grid[#Data],$DD386,13),0)</f>
        <v/>
      </c>
      <c r="P386">
        <f>IFERROR(INDEX(PP_Grid[#Data],$DD386,14),0)</f>
        <v/>
      </c>
      <c r="Q386">
        <f>IFERROR(INDEX(PP_Grid[#Data],$DD386,15),0)</f>
        <v/>
      </c>
      <c r="R386">
        <f>IFERROR(INDEX(PP_Grid[#Data],$DD386,16),0)</f>
        <v/>
      </c>
      <c r="S386">
        <f>IFERROR(INDEX(PP_Grid[#Data],$DD386,17),0)</f>
        <v/>
      </c>
      <c r="T386">
        <f>IFERROR(INDEX(PP_Grid[#Data],$DD386,18),0)</f>
        <v/>
      </c>
      <c r="U386">
        <f>IFERROR(INDEX(PP_Grid[#Data],$DD386,19),0)</f>
        <v/>
      </c>
      <c r="V386">
        <f>IFERROR(INDEX(PP_Grid[#Data],$DD386,20),0)</f>
        <v/>
      </c>
      <c r="W386">
        <f>IFERROR(INDEX(PP_Grid[#Data],$DD386,21),0)</f>
        <v/>
      </c>
      <c r="X386">
        <f>IFERROR(INDEX(PP_Grid[#Data],$DD386,22),0)</f>
        <v/>
      </c>
      <c r="Y386">
        <f>IFERROR(INDEX(PP_Grid[#Data],$DD386,23),0)</f>
        <v/>
      </c>
      <c r="Z386">
        <f>IFERROR(INDEX(PP_Grid[#Data],$DD386,24),0)</f>
        <v/>
      </c>
      <c r="AA386">
        <f>IFERROR(INDEX(PP_Grid[#Data],$DD386,25),0)</f>
        <v/>
      </c>
      <c r="AB386">
        <f>IFERROR(INDEX(PP_Grid[#Data],$DD386,26),0)</f>
        <v/>
      </c>
      <c r="AC386">
        <f>IFERROR(INDEX(PP_Grid[#Data],$DD386,27),0)</f>
        <v/>
      </c>
      <c r="AD386">
        <f>IFERROR(INDEX(PP_Grid[#Data],$DD386,28),0)</f>
        <v/>
      </c>
      <c r="AE386">
        <f>IFERROR(INDEX(PP_Grid[#Data],$DD386,29),0)</f>
        <v/>
      </c>
      <c r="AF386">
        <f>IFERROR(INDEX(PP_Grid[#Data],$DD386,30),0)</f>
        <v/>
      </c>
      <c r="AG386">
        <f>IFERROR(INDEX(PP_Grid[#Data],$DD386,31),0)</f>
        <v/>
      </c>
      <c r="AH386">
        <f>IFERROR(INDEX(PP_Grid[#Data],$DD386,32),0)</f>
        <v/>
      </c>
      <c r="AI386">
        <f>IFERROR(INDEX(PP_Grid[#Data],$DD386,33),0)</f>
        <v/>
      </c>
      <c r="AJ386">
        <f>IFERROR(INDEX(PP_Grid[#Data],$DD386,34),0)</f>
        <v/>
      </c>
      <c r="AK386">
        <f>IFERROR(INDEX(PP_Grid[#Data],$DD386,35),0)</f>
        <v/>
      </c>
      <c r="AL386">
        <f>IFERROR(INDEX(PP_Grid[#Data],$DD386,36),0)</f>
        <v/>
      </c>
      <c r="AM386">
        <f>IFERROR(INDEX(PP_Grid[#Data],$DD386,37),0)</f>
        <v/>
      </c>
      <c r="AN386">
        <f>IFERROR(INDEX(PP_Grid[#Data],$DD386,38),0)</f>
        <v/>
      </c>
      <c r="AO386">
        <f>IFERROR(INDEX(PP_Grid[#Data],$DD386,39),0)</f>
        <v/>
      </c>
      <c r="AP386">
        <f>IFERROR(INDEX(PP_Grid[#Data],$DD386,40),0)</f>
        <v/>
      </c>
      <c r="AQ386">
        <f>IFERROR(INDEX(PP_Grid[#Data],$DD386,41),0)</f>
        <v/>
      </c>
      <c r="AR386">
        <f>IFERROR(INDEX(PP_Grid[#Data],$DD386,42),0)</f>
        <v/>
      </c>
      <c r="AS386">
        <f>IFERROR(INDEX(PP_Grid[#Data],$DD386,43),0)</f>
        <v/>
      </c>
      <c r="AT386">
        <f>IFERROR(INDEX(PP_Grid[#Data],$DD386,44),0)</f>
        <v/>
      </c>
      <c r="AU386">
        <f>IFERROR(INDEX(PP_Grid[#Data],$DD386,45),0)</f>
        <v/>
      </c>
      <c r="AV386">
        <f>IFERROR(INDEX(PP_Grid[#Data],$DD386,46),0)</f>
        <v/>
      </c>
      <c r="AW386">
        <f>IFERROR(INDEX(PP_Grid[#Data],$DD386,47),0)</f>
        <v/>
      </c>
      <c r="AX386">
        <f>IFERROR(INDEX(PP_Grid[#Data],$DD386,48),0)</f>
        <v/>
      </c>
      <c r="AY386">
        <f>IFERROR(INDEX(PP_Grid[#Data],$DD386,49),0)</f>
        <v/>
      </c>
      <c r="AZ386">
        <f>IFERROR(INDEX(PP_Grid[#Data],$DD386,50),0)</f>
        <v/>
      </c>
      <c r="BA386">
        <f>IFERROR(INDEX(PP_Grid[#Data],$DD386,51),0)</f>
        <v/>
      </c>
      <c r="BB386">
        <f>IFERROR(INDEX(PP_Grid[#Data],$DD386,52),0)</f>
        <v/>
      </c>
      <c r="BC386">
        <f>IFERROR(INDEX(PP_Grid[#Data],$DD386,53),0)</f>
        <v/>
      </c>
      <c r="BD386">
        <f>IFERROR(INDEX(PP_Grid[#Data],$DD386,54),0)</f>
        <v/>
      </c>
      <c r="BE386">
        <f>IFERROR(INDEX(PP_Grid[#Data],$DD386,55),0)</f>
        <v/>
      </c>
      <c r="BF386">
        <f>IFERROR(INDEX(PP_Grid[#Data],$DD386,56),0)</f>
        <v/>
      </c>
      <c r="BG386">
        <f>IFERROR(INDEX(PP_Grid[#Data],$DD386,57),0)</f>
        <v/>
      </c>
      <c r="BH386">
        <f>IFERROR(INDEX(PP_Grid[#Data],$DD386,58),0)</f>
        <v/>
      </c>
      <c r="BI386">
        <f>IFERROR(INDEX(PP_Grid[#Data],$DD386,59),0)</f>
        <v/>
      </c>
      <c r="BJ386">
        <f>IFERROR(INDEX(PP_Grid[#Data],$DD386,60),0)</f>
        <v/>
      </c>
      <c r="BK386">
        <f>IFERROR(INDEX(PP_Grid[#Data],$DD386,61),0)</f>
        <v/>
      </c>
      <c r="BL386">
        <f>IFERROR(INDEX(PP_Grid[#Data],$DD386,62),0)</f>
        <v/>
      </c>
      <c r="BM386">
        <f>IFERROR(INDEX(PP_Grid[#Data],$DD386,63),0)</f>
        <v/>
      </c>
      <c r="BN386">
        <f>IFERROR(INDEX(PP_Grid[#Data],$DD386,64),0)</f>
        <v/>
      </c>
      <c r="BO386">
        <f>IFERROR(INDEX(PP_Grid[#Data],$DD386,65),0)</f>
        <v/>
      </c>
      <c r="BP386">
        <f>IFERROR(INDEX(PP_Grid[#Data],$DD386,66),0)</f>
        <v/>
      </c>
      <c r="BQ386">
        <f>IFERROR(INDEX(PP_Grid[#Data],$DD386,67),0)</f>
        <v/>
      </c>
      <c r="BR386">
        <f>IFERROR(INDEX(PP_Grid[#Data],$DD386,68),0)</f>
        <v/>
      </c>
      <c r="BS386">
        <f>IFERROR(INDEX(PP_Grid[#Data],$DD386,69),0)</f>
        <v/>
      </c>
      <c r="BT386">
        <f>IFERROR(INDEX(PP_Grid[#Data],$DD386,70),0)</f>
        <v/>
      </c>
      <c r="BU386">
        <f>IFERROR(INDEX(PP_Grid[#Data],$DD386,71),0)</f>
        <v/>
      </c>
      <c r="BV386">
        <f>IFERROR(INDEX(PP_Grid[#Data],$DD386,72),0)</f>
        <v/>
      </c>
      <c r="BW386">
        <f>IFERROR(INDEX(PP_Grid[#Data],$DD386,73),0)</f>
        <v/>
      </c>
      <c r="BX386">
        <f>IFERROR(INDEX(PP_Grid[#Data],$DD386,74),0)</f>
        <v/>
      </c>
      <c r="BY386">
        <f>IFERROR(INDEX(PP_Grid[#Data],$DD386,75),0)</f>
        <v/>
      </c>
      <c r="BZ386">
        <f>IFERROR(INDEX(PP_Grid[#Data],$DD386,76),0)</f>
        <v/>
      </c>
      <c r="CA386">
        <f>IFERROR(INDEX(PP_Grid[#Data],$DD386,77),0)</f>
        <v/>
      </c>
      <c r="CB386">
        <f>IFERROR(INDEX(PP_Grid[#Data],$DD386,78),0)</f>
        <v/>
      </c>
      <c r="CC386">
        <f>IFERROR(INDEX(PP_Grid[#Data],$DD386,79),0)</f>
        <v/>
      </c>
      <c r="CD386">
        <f>IFERROR(INDEX(PP_Grid[#Data],$DD386,80),0)</f>
        <v/>
      </c>
      <c r="CE386">
        <f>IFERROR(INDEX(PP_Grid[#Data],$DD386,81),0)</f>
        <v/>
      </c>
      <c r="CF386">
        <f>IFERROR(INDEX(PP_Grid[#Data],$DD386,82),0)</f>
        <v/>
      </c>
      <c r="CG386">
        <f>IFERROR(INDEX(PP_Grid[#Data],$DD386,83),0)</f>
        <v/>
      </c>
      <c r="CH386">
        <f>IFERROR(INDEX(PP_Grid[#Data],$DD386,84),0)</f>
        <v/>
      </c>
      <c r="CI386">
        <f>IFERROR(INDEX(PP_Grid[#Data],$DD386,85),0)</f>
        <v/>
      </c>
      <c r="CJ386">
        <f>IFERROR(INDEX(PP_Grid[#Data],$DD386,86),0)</f>
        <v/>
      </c>
      <c r="CK386">
        <f>IFERROR(INDEX(PP_Grid[#Data],$DD386,87),0)</f>
        <v/>
      </c>
      <c r="CL386">
        <f>IFERROR(INDEX(PP_Grid[#Data],$DD386,88),0)</f>
        <v/>
      </c>
      <c r="CM386">
        <f>IFERROR(INDEX(PP_Grid[#Data],$DD386,89),0)</f>
        <v/>
      </c>
      <c r="CN386">
        <f>IFERROR(INDEX(PP_Grid[#Data],$DD386,90),0)</f>
        <v/>
      </c>
      <c r="CO386">
        <f>IFERROR(INDEX(PP_Grid[#Data],$DD386,91),0)</f>
        <v/>
      </c>
      <c r="CP386">
        <f>IFERROR(INDEX(PP_Grid[#Data],$DD386,92),0)</f>
        <v/>
      </c>
      <c r="CQ386">
        <f>IFERROR(INDEX(PP_Grid[#Data],$DD386,93),0)</f>
        <v/>
      </c>
      <c r="CR386">
        <f>IFERROR(INDEX(PP_Grid[#Data],$DD386,94),0)</f>
        <v/>
      </c>
      <c r="CS386">
        <f>IFERROR(INDEX(PP_Grid[#Data],$DD386,95),0)</f>
        <v/>
      </c>
      <c r="CT386">
        <f>IFERROR(INDEX(PP_Grid[#Data],$DD386,96),0)</f>
        <v/>
      </c>
      <c r="CU386">
        <f>IFERROR(INDEX(PP_Grid[#Data],$DD386,97),0)</f>
        <v/>
      </c>
      <c r="CV386">
        <f>IFERROR(INDEX(PP_Grid[#Data],$DD386,98),0)</f>
        <v/>
      </c>
      <c r="CW386">
        <f>IFERROR(INDEX(PP_Grid[#Data],$DD386,99),0)</f>
        <v/>
      </c>
      <c r="CX386">
        <f>IFERROR(INDEX(PP_Grid[#Data],$DD386,100),0)</f>
        <v/>
      </c>
      <c r="CY386">
        <f>IFERROR(INDEX(PP_Grid[#Data],$DD386,101),0)</f>
        <v/>
      </c>
      <c r="CZ386">
        <f>IFERROR(INDEX(PP_Grid[#Data],$DD386,102),0)</f>
        <v/>
      </c>
      <c r="DA386">
        <f>IFERROR(INDEX(PP_Grid[#Data],$DD386,103),0)</f>
        <v/>
      </c>
      <c r="DB386">
        <f>IFERROR(INDEX(PP_Grid[#Data],$DD386,104),0)</f>
        <v/>
      </c>
      <c r="DC386">
        <f>IFERROR(INDEX(PP_Grid[#Data],$DD386,105),0)</f>
        <v/>
      </c>
      <c r="DD386" s="12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SUMIFS(M_BOM[RM_Qty_Per_Batch],M_BOM[Intermediate],$B386,M_BOM[Part Name],$A383)</f>
        <v/>
      </c>
      <c r="D387">
        <f>$C387*D386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</row>
    <row r="388">
      <c r="B388" t="inlineStr">
        <is>
          <t>TSP-069</t>
        </is>
      </c>
      <c r="C388" t="inlineStr">
        <is>
          <t>No. of batches</t>
        </is>
      </c>
      <c r="D388">
        <f>IFERROR(INDEX(PP_Grid[#Data],$DD388,2),0)</f>
        <v/>
      </c>
      <c r="E388">
        <f>IFERROR(INDEX(PP_Grid[#Data],$DD388,3),0)</f>
        <v/>
      </c>
      <c r="F388">
        <f>IFERROR(INDEX(PP_Grid[#Data],$DD388,4),0)</f>
        <v/>
      </c>
      <c r="G388">
        <f>IFERROR(INDEX(PP_Grid[#Data],$DD388,5),0)</f>
        <v/>
      </c>
      <c r="H388">
        <f>IFERROR(INDEX(PP_Grid[#Data],$DD388,6),0)</f>
        <v/>
      </c>
      <c r="I388">
        <f>IFERROR(INDEX(PP_Grid[#Data],$DD388,7),0)</f>
        <v/>
      </c>
      <c r="J388">
        <f>IFERROR(INDEX(PP_Grid[#Data],$DD388,8),0)</f>
        <v/>
      </c>
      <c r="K388">
        <f>IFERROR(INDEX(PP_Grid[#Data],$DD388,9),0)</f>
        <v/>
      </c>
      <c r="L388">
        <f>IFERROR(INDEX(PP_Grid[#Data],$DD388,10),0)</f>
        <v/>
      </c>
      <c r="M388">
        <f>IFERROR(INDEX(PP_Grid[#Data],$DD388,11),0)</f>
        <v/>
      </c>
      <c r="N388">
        <f>IFERROR(INDEX(PP_Grid[#Data],$DD388,12),0)</f>
        <v/>
      </c>
      <c r="O388">
        <f>IFERROR(INDEX(PP_Grid[#Data],$DD388,13),0)</f>
        <v/>
      </c>
      <c r="P388">
        <f>IFERROR(INDEX(PP_Grid[#Data],$DD388,14),0)</f>
        <v/>
      </c>
      <c r="Q388">
        <f>IFERROR(INDEX(PP_Grid[#Data],$DD388,15),0)</f>
        <v/>
      </c>
      <c r="R388">
        <f>IFERROR(INDEX(PP_Grid[#Data],$DD388,16),0)</f>
        <v/>
      </c>
      <c r="S388">
        <f>IFERROR(INDEX(PP_Grid[#Data],$DD388,17),0)</f>
        <v/>
      </c>
      <c r="T388">
        <f>IFERROR(INDEX(PP_Grid[#Data],$DD388,18),0)</f>
        <v/>
      </c>
      <c r="U388">
        <f>IFERROR(INDEX(PP_Grid[#Data],$DD388,19),0)</f>
        <v/>
      </c>
      <c r="V388">
        <f>IFERROR(INDEX(PP_Grid[#Data],$DD388,20),0)</f>
        <v/>
      </c>
      <c r="W388">
        <f>IFERROR(INDEX(PP_Grid[#Data],$DD388,21),0)</f>
        <v/>
      </c>
      <c r="X388">
        <f>IFERROR(INDEX(PP_Grid[#Data],$DD388,22),0)</f>
        <v/>
      </c>
      <c r="Y388">
        <f>IFERROR(INDEX(PP_Grid[#Data],$DD388,23),0)</f>
        <v/>
      </c>
      <c r="Z388">
        <f>IFERROR(INDEX(PP_Grid[#Data],$DD388,24),0)</f>
        <v/>
      </c>
      <c r="AA388">
        <f>IFERROR(INDEX(PP_Grid[#Data],$DD388,25),0)</f>
        <v/>
      </c>
      <c r="AB388">
        <f>IFERROR(INDEX(PP_Grid[#Data],$DD388,26),0)</f>
        <v/>
      </c>
      <c r="AC388">
        <f>IFERROR(INDEX(PP_Grid[#Data],$DD388,27),0)</f>
        <v/>
      </c>
      <c r="AD388">
        <f>IFERROR(INDEX(PP_Grid[#Data],$DD388,28),0)</f>
        <v/>
      </c>
      <c r="AE388">
        <f>IFERROR(INDEX(PP_Grid[#Data],$DD388,29),0)</f>
        <v/>
      </c>
      <c r="AF388">
        <f>IFERROR(INDEX(PP_Grid[#Data],$DD388,30),0)</f>
        <v/>
      </c>
      <c r="AG388">
        <f>IFERROR(INDEX(PP_Grid[#Data],$DD388,31),0)</f>
        <v/>
      </c>
      <c r="AH388">
        <f>IFERROR(INDEX(PP_Grid[#Data],$DD388,32),0)</f>
        <v/>
      </c>
      <c r="AI388">
        <f>IFERROR(INDEX(PP_Grid[#Data],$DD388,33),0)</f>
        <v/>
      </c>
      <c r="AJ388">
        <f>IFERROR(INDEX(PP_Grid[#Data],$DD388,34),0)</f>
        <v/>
      </c>
      <c r="AK388">
        <f>IFERROR(INDEX(PP_Grid[#Data],$DD388,35),0)</f>
        <v/>
      </c>
      <c r="AL388">
        <f>IFERROR(INDEX(PP_Grid[#Data],$DD388,36),0)</f>
        <v/>
      </c>
      <c r="AM388">
        <f>IFERROR(INDEX(PP_Grid[#Data],$DD388,37),0)</f>
        <v/>
      </c>
      <c r="AN388">
        <f>IFERROR(INDEX(PP_Grid[#Data],$DD388,38),0)</f>
        <v/>
      </c>
      <c r="AO388">
        <f>IFERROR(INDEX(PP_Grid[#Data],$DD388,39),0)</f>
        <v/>
      </c>
      <c r="AP388">
        <f>IFERROR(INDEX(PP_Grid[#Data],$DD388,40),0)</f>
        <v/>
      </c>
      <c r="AQ388">
        <f>IFERROR(INDEX(PP_Grid[#Data],$DD388,41),0)</f>
        <v/>
      </c>
      <c r="AR388">
        <f>IFERROR(INDEX(PP_Grid[#Data],$DD388,42),0)</f>
        <v/>
      </c>
      <c r="AS388">
        <f>IFERROR(INDEX(PP_Grid[#Data],$DD388,43),0)</f>
        <v/>
      </c>
      <c r="AT388">
        <f>IFERROR(INDEX(PP_Grid[#Data],$DD388,44),0)</f>
        <v/>
      </c>
      <c r="AU388">
        <f>IFERROR(INDEX(PP_Grid[#Data],$DD388,45),0)</f>
        <v/>
      </c>
      <c r="AV388">
        <f>IFERROR(INDEX(PP_Grid[#Data],$DD388,46),0)</f>
        <v/>
      </c>
      <c r="AW388">
        <f>IFERROR(INDEX(PP_Grid[#Data],$DD388,47),0)</f>
        <v/>
      </c>
      <c r="AX388">
        <f>IFERROR(INDEX(PP_Grid[#Data],$DD388,48),0)</f>
        <v/>
      </c>
      <c r="AY388">
        <f>IFERROR(INDEX(PP_Grid[#Data],$DD388,49),0)</f>
        <v/>
      </c>
      <c r="AZ388">
        <f>IFERROR(INDEX(PP_Grid[#Data],$DD388,50),0)</f>
        <v/>
      </c>
      <c r="BA388">
        <f>IFERROR(INDEX(PP_Grid[#Data],$DD388,51),0)</f>
        <v/>
      </c>
      <c r="BB388">
        <f>IFERROR(INDEX(PP_Grid[#Data],$DD388,52),0)</f>
        <v/>
      </c>
      <c r="BC388">
        <f>IFERROR(INDEX(PP_Grid[#Data],$DD388,53),0)</f>
        <v/>
      </c>
      <c r="BD388">
        <f>IFERROR(INDEX(PP_Grid[#Data],$DD388,54),0)</f>
        <v/>
      </c>
      <c r="BE388">
        <f>IFERROR(INDEX(PP_Grid[#Data],$DD388,55),0)</f>
        <v/>
      </c>
      <c r="BF388">
        <f>IFERROR(INDEX(PP_Grid[#Data],$DD388,56),0)</f>
        <v/>
      </c>
      <c r="BG388">
        <f>IFERROR(INDEX(PP_Grid[#Data],$DD388,57),0)</f>
        <v/>
      </c>
      <c r="BH388">
        <f>IFERROR(INDEX(PP_Grid[#Data],$DD388,58),0)</f>
        <v/>
      </c>
      <c r="BI388">
        <f>IFERROR(INDEX(PP_Grid[#Data],$DD388,59),0)</f>
        <v/>
      </c>
      <c r="BJ388">
        <f>IFERROR(INDEX(PP_Grid[#Data],$DD388,60),0)</f>
        <v/>
      </c>
      <c r="BK388">
        <f>IFERROR(INDEX(PP_Grid[#Data],$DD388,61),0)</f>
        <v/>
      </c>
      <c r="BL388">
        <f>IFERROR(INDEX(PP_Grid[#Data],$DD388,62),0)</f>
        <v/>
      </c>
      <c r="BM388">
        <f>IFERROR(INDEX(PP_Grid[#Data],$DD388,63),0)</f>
        <v/>
      </c>
      <c r="BN388">
        <f>IFERROR(INDEX(PP_Grid[#Data],$DD388,64),0)</f>
        <v/>
      </c>
      <c r="BO388">
        <f>IFERROR(INDEX(PP_Grid[#Data],$DD388,65),0)</f>
        <v/>
      </c>
      <c r="BP388">
        <f>IFERROR(INDEX(PP_Grid[#Data],$DD388,66),0)</f>
        <v/>
      </c>
      <c r="BQ388">
        <f>IFERROR(INDEX(PP_Grid[#Data],$DD388,67),0)</f>
        <v/>
      </c>
      <c r="BR388">
        <f>IFERROR(INDEX(PP_Grid[#Data],$DD388,68),0)</f>
        <v/>
      </c>
      <c r="BS388">
        <f>IFERROR(INDEX(PP_Grid[#Data],$DD388,69),0)</f>
        <v/>
      </c>
      <c r="BT388">
        <f>IFERROR(INDEX(PP_Grid[#Data],$DD388,70),0)</f>
        <v/>
      </c>
      <c r="BU388">
        <f>IFERROR(INDEX(PP_Grid[#Data],$DD388,71),0)</f>
        <v/>
      </c>
      <c r="BV388">
        <f>IFERROR(INDEX(PP_Grid[#Data],$DD388,72),0)</f>
        <v/>
      </c>
      <c r="BW388">
        <f>IFERROR(INDEX(PP_Grid[#Data],$DD388,73),0)</f>
        <v/>
      </c>
      <c r="BX388">
        <f>IFERROR(INDEX(PP_Grid[#Data],$DD388,74),0)</f>
        <v/>
      </c>
      <c r="BY388">
        <f>IFERROR(INDEX(PP_Grid[#Data],$DD388,75),0)</f>
        <v/>
      </c>
      <c r="BZ388">
        <f>IFERROR(INDEX(PP_Grid[#Data],$DD388,76),0)</f>
        <v/>
      </c>
      <c r="CA388">
        <f>IFERROR(INDEX(PP_Grid[#Data],$DD388,77),0)</f>
        <v/>
      </c>
      <c r="CB388">
        <f>IFERROR(INDEX(PP_Grid[#Data],$DD388,78),0)</f>
        <v/>
      </c>
      <c r="CC388">
        <f>IFERROR(INDEX(PP_Grid[#Data],$DD388,79),0)</f>
        <v/>
      </c>
      <c r="CD388">
        <f>IFERROR(INDEX(PP_Grid[#Data],$DD388,80),0)</f>
        <v/>
      </c>
      <c r="CE388">
        <f>IFERROR(INDEX(PP_Grid[#Data],$DD388,81),0)</f>
        <v/>
      </c>
      <c r="CF388">
        <f>IFERROR(INDEX(PP_Grid[#Data],$DD388,82),0)</f>
        <v/>
      </c>
      <c r="CG388">
        <f>IFERROR(INDEX(PP_Grid[#Data],$DD388,83),0)</f>
        <v/>
      </c>
      <c r="CH388">
        <f>IFERROR(INDEX(PP_Grid[#Data],$DD388,84),0)</f>
        <v/>
      </c>
      <c r="CI388">
        <f>IFERROR(INDEX(PP_Grid[#Data],$DD388,85),0)</f>
        <v/>
      </c>
      <c r="CJ388">
        <f>IFERROR(INDEX(PP_Grid[#Data],$DD388,86),0)</f>
        <v/>
      </c>
      <c r="CK388">
        <f>IFERROR(INDEX(PP_Grid[#Data],$DD388,87),0)</f>
        <v/>
      </c>
      <c r="CL388">
        <f>IFERROR(INDEX(PP_Grid[#Data],$DD388,88),0)</f>
        <v/>
      </c>
      <c r="CM388">
        <f>IFERROR(INDEX(PP_Grid[#Data],$DD388,89),0)</f>
        <v/>
      </c>
      <c r="CN388">
        <f>IFERROR(INDEX(PP_Grid[#Data],$DD388,90),0)</f>
        <v/>
      </c>
      <c r="CO388">
        <f>IFERROR(INDEX(PP_Grid[#Data],$DD388,91),0)</f>
        <v/>
      </c>
      <c r="CP388">
        <f>IFERROR(INDEX(PP_Grid[#Data],$DD388,92),0)</f>
        <v/>
      </c>
      <c r="CQ388">
        <f>IFERROR(INDEX(PP_Grid[#Data],$DD388,93),0)</f>
        <v/>
      </c>
      <c r="CR388">
        <f>IFERROR(INDEX(PP_Grid[#Data],$DD388,94),0)</f>
        <v/>
      </c>
      <c r="CS388">
        <f>IFERROR(INDEX(PP_Grid[#Data],$DD388,95),0)</f>
        <v/>
      </c>
      <c r="CT388">
        <f>IFERROR(INDEX(PP_Grid[#Data],$DD388,96),0)</f>
        <v/>
      </c>
      <c r="CU388">
        <f>IFERROR(INDEX(PP_Grid[#Data],$DD388,97),0)</f>
        <v/>
      </c>
      <c r="CV388">
        <f>IFERROR(INDEX(PP_Grid[#Data],$DD388,98),0)</f>
        <v/>
      </c>
      <c r="CW388">
        <f>IFERROR(INDEX(PP_Grid[#Data],$DD388,99),0)</f>
        <v/>
      </c>
      <c r="CX388">
        <f>IFERROR(INDEX(PP_Grid[#Data],$DD388,100),0)</f>
        <v/>
      </c>
      <c r="CY388">
        <f>IFERROR(INDEX(PP_Grid[#Data],$DD388,101),0)</f>
        <v/>
      </c>
      <c r="CZ388">
        <f>IFERROR(INDEX(PP_Grid[#Data],$DD388,102),0)</f>
        <v/>
      </c>
      <c r="DA388">
        <f>IFERROR(INDEX(PP_Grid[#Data],$DD388,103),0)</f>
        <v/>
      </c>
      <c r="DB388">
        <f>IFERROR(INDEX(PP_Grid[#Data],$DD388,104),0)</f>
        <v/>
      </c>
      <c r="DC388">
        <f>IFERROR(INDEX(PP_Grid[#Data],$DD388,105),0)</f>
        <v/>
      </c>
      <c r="DD388" s="12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SUMIFS(M_BOM[RM_Qty_Per_Batch],M_BOM[Intermediate],$B388,M_BOM[Part Name],$A383)</f>
        <v/>
      </c>
      <c r="D389">
        <f>$C389*D388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</row>
    <row r="390">
      <c r="B390" t="inlineStr">
        <is>
          <t>TSP-104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12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Name],$A383)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TSP-1388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12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Name],$A383)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TSP-1444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12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Name],$A383)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TSP-1445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12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Name],$A383)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TSP-1446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12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Name],$A383)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TSP-1448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12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Name],$A383)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t="inlineStr">
        <is>
          <t>TSP-1449</t>
        </is>
      </c>
      <c r="C402" t="inlineStr">
        <is>
          <t>No. of batches</t>
        </is>
      </c>
      <c r="D402">
        <f>IFERROR(INDEX(PP_Grid[#Data],$DD402,2),0)</f>
        <v/>
      </c>
      <c r="E402">
        <f>IFERROR(INDEX(PP_Grid[#Data],$DD402,3),0)</f>
        <v/>
      </c>
      <c r="F402">
        <f>IFERROR(INDEX(PP_Grid[#Data],$DD402,4),0)</f>
        <v/>
      </c>
      <c r="G402">
        <f>IFERROR(INDEX(PP_Grid[#Data],$DD402,5),0)</f>
        <v/>
      </c>
      <c r="H402">
        <f>IFERROR(INDEX(PP_Grid[#Data],$DD402,6),0)</f>
        <v/>
      </c>
      <c r="I402">
        <f>IFERROR(INDEX(PP_Grid[#Data],$DD402,7),0)</f>
        <v/>
      </c>
      <c r="J402">
        <f>IFERROR(INDEX(PP_Grid[#Data],$DD402,8),0)</f>
        <v/>
      </c>
      <c r="K402">
        <f>IFERROR(INDEX(PP_Grid[#Data],$DD402,9),0)</f>
        <v/>
      </c>
      <c r="L402">
        <f>IFERROR(INDEX(PP_Grid[#Data],$DD402,10),0)</f>
        <v/>
      </c>
      <c r="M402">
        <f>IFERROR(INDEX(PP_Grid[#Data],$DD402,11),0)</f>
        <v/>
      </c>
      <c r="N402">
        <f>IFERROR(INDEX(PP_Grid[#Data],$DD402,12),0)</f>
        <v/>
      </c>
      <c r="O402">
        <f>IFERROR(INDEX(PP_Grid[#Data],$DD402,13),0)</f>
        <v/>
      </c>
      <c r="P402">
        <f>IFERROR(INDEX(PP_Grid[#Data],$DD402,14),0)</f>
        <v/>
      </c>
      <c r="Q402">
        <f>IFERROR(INDEX(PP_Grid[#Data],$DD402,15),0)</f>
        <v/>
      </c>
      <c r="R402">
        <f>IFERROR(INDEX(PP_Grid[#Data],$DD402,16),0)</f>
        <v/>
      </c>
      <c r="S402">
        <f>IFERROR(INDEX(PP_Grid[#Data],$DD402,17),0)</f>
        <v/>
      </c>
      <c r="T402">
        <f>IFERROR(INDEX(PP_Grid[#Data],$DD402,18),0)</f>
        <v/>
      </c>
      <c r="U402">
        <f>IFERROR(INDEX(PP_Grid[#Data],$DD402,19),0)</f>
        <v/>
      </c>
      <c r="V402">
        <f>IFERROR(INDEX(PP_Grid[#Data],$DD402,20),0)</f>
        <v/>
      </c>
      <c r="W402">
        <f>IFERROR(INDEX(PP_Grid[#Data],$DD402,21),0)</f>
        <v/>
      </c>
      <c r="X402">
        <f>IFERROR(INDEX(PP_Grid[#Data],$DD402,22),0)</f>
        <v/>
      </c>
      <c r="Y402">
        <f>IFERROR(INDEX(PP_Grid[#Data],$DD402,23),0)</f>
        <v/>
      </c>
      <c r="Z402">
        <f>IFERROR(INDEX(PP_Grid[#Data],$DD402,24),0)</f>
        <v/>
      </c>
      <c r="AA402">
        <f>IFERROR(INDEX(PP_Grid[#Data],$DD402,25),0)</f>
        <v/>
      </c>
      <c r="AB402">
        <f>IFERROR(INDEX(PP_Grid[#Data],$DD402,26),0)</f>
        <v/>
      </c>
      <c r="AC402">
        <f>IFERROR(INDEX(PP_Grid[#Data],$DD402,27),0)</f>
        <v/>
      </c>
      <c r="AD402">
        <f>IFERROR(INDEX(PP_Grid[#Data],$DD402,28),0)</f>
        <v/>
      </c>
      <c r="AE402">
        <f>IFERROR(INDEX(PP_Grid[#Data],$DD402,29),0)</f>
        <v/>
      </c>
      <c r="AF402">
        <f>IFERROR(INDEX(PP_Grid[#Data],$DD402,30),0)</f>
        <v/>
      </c>
      <c r="AG402">
        <f>IFERROR(INDEX(PP_Grid[#Data],$DD402,31),0)</f>
        <v/>
      </c>
      <c r="AH402">
        <f>IFERROR(INDEX(PP_Grid[#Data],$DD402,32),0)</f>
        <v/>
      </c>
      <c r="AI402">
        <f>IFERROR(INDEX(PP_Grid[#Data],$DD402,33),0)</f>
        <v/>
      </c>
      <c r="AJ402">
        <f>IFERROR(INDEX(PP_Grid[#Data],$DD402,34),0)</f>
        <v/>
      </c>
      <c r="AK402">
        <f>IFERROR(INDEX(PP_Grid[#Data],$DD402,35),0)</f>
        <v/>
      </c>
      <c r="AL402">
        <f>IFERROR(INDEX(PP_Grid[#Data],$DD402,36),0)</f>
        <v/>
      </c>
      <c r="AM402">
        <f>IFERROR(INDEX(PP_Grid[#Data],$DD402,37),0)</f>
        <v/>
      </c>
      <c r="AN402">
        <f>IFERROR(INDEX(PP_Grid[#Data],$DD402,38),0)</f>
        <v/>
      </c>
      <c r="AO402">
        <f>IFERROR(INDEX(PP_Grid[#Data],$DD402,39),0)</f>
        <v/>
      </c>
      <c r="AP402">
        <f>IFERROR(INDEX(PP_Grid[#Data],$DD402,40),0)</f>
        <v/>
      </c>
      <c r="AQ402">
        <f>IFERROR(INDEX(PP_Grid[#Data],$DD402,41),0)</f>
        <v/>
      </c>
      <c r="AR402">
        <f>IFERROR(INDEX(PP_Grid[#Data],$DD402,42),0)</f>
        <v/>
      </c>
      <c r="AS402">
        <f>IFERROR(INDEX(PP_Grid[#Data],$DD402,43),0)</f>
        <v/>
      </c>
      <c r="AT402">
        <f>IFERROR(INDEX(PP_Grid[#Data],$DD402,44),0)</f>
        <v/>
      </c>
      <c r="AU402">
        <f>IFERROR(INDEX(PP_Grid[#Data],$DD402,45),0)</f>
        <v/>
      </c>
      <c r="AV402">
        <f>IFERROR(INDEX(PP_Grid[#Data],$DD402,46),0)</f>
        <v/>
      </c>
      <c r="AW402">
        <f>IFERROR(INDEX(PP_Grid[#Data],$DD402,47),0)</f>
        <v/>
      </c>
      <c r="AX402">
        <f>IFERROR(INDEX(PP_Grid[#Data],$DD402,48),0)</f>
        <v/>
      </c>
      <c r="AY402">
        <f>IFERROR(INDEX(PP_Grid[#Data],$DD402,49),0)</f>
        <v/>
      </c>
      <c r="AZ402">
        <f>IFERROR(INDEX(PP_Grid[#Data],$DD402,50),0)</f>
        <v/>
      </c>
      <c r="BA402">
        <f>IFERROR(INDEX(PP_Grid[#Data],$DD402,51),0)</f>
        <v/>
      </c>
      <c r="BB402">
        <f>IFERROR(INDEX(PP_Grid[#Data],$DD402,52),0)</f>
        <v/>
      </c>
      <c r="BC402">
        <f>IFERROR(INDEX(PP_Grid[#Data],$DD402,53),0)</f>
        <v/>
      </c>
      <c r="BD402">
        <f>IFERROR(INDEX(PP_Grid[#Data],$DD402,54),0)</f>
        <v/>
      </c>
      <c r="BE402">
        <f>IFERROR(INDEX(PP_Grid[#Data],$DD402,55),0)</f>
        <v/>
      </c>
      <c r="BF402">
        <f>IFERROR(INDEX(PP_Grid[#Data],$DD402,56),0)</f>
        <v/>
      </c>
      <c r="BG402">
        <f>IFERROR(INDEX(PP_Grid[#Data],$DD402,57),0)</f>
        <v/>
      </c>
      <c r="BH402">
        <f>IFERROR(INDEX(PP_Grid[#Data],$DD402,58),0)</f>
        <v/>
      </c>
      <c r="BI402">
        <f>IFERROR(INDEX(PP_Grid[#Data],$DD402,59),0)</f>
        <v/>
      </c>
      <c r="BJ402">
        <f>IFERROR(INDEX(PP_Grid[#Data],$DD402,60),0)</f>
        <v/>
      </c>
      <c r="BK402">
        <f>IFERROR(INDEX(PP_Grid[#Data],$DD402,61),0)</f>
        <v/>
      </c>
      <c r="BL402">
        <f>IFERROR(INDEX(PP_Grid[#Data],$DD402,62),0)</f>
        <v/>
      </c>
      <c r="BM402">
        <f>IFERROR(INDEX(PP_Grid[#Data],$DD402,63),0)</f>
        <v/>
      </c>
      <c r="BN402">
        <f>IFERROR(INDEX(PP_Grid[#Data],$DD402,64),0)</f>
        <v/>
      </c>
      <c r="BO402">
        <f>IFERROR(INDEX(PP_Grid[#Data],$DD402,65),0)</f>
        <v/>
      </c>
      <c r="BP402">
        <f>IFERROR(INDEX(PP_Grid[#Data],$DD402,66),0)</f>
        <v/>
      </c>
      <c r="BQ402">
        <f>IFERROR(INDEX(PP_Grid[#Data],$DD402,67),0)</f>
        <v/>
      </c>
      <c r="BR402">
        <f>IFERROR(INDEX(PP_Grid[#Data],$DD402,68),0)</f>
        <v/>
      </c>
      <c r="BS402">
        <f>IFERROR(INDEX(PP_Grid[#Data],$DD402,69),0)</f>
        <v/>
      </c>
      <c r="BT402">
        <f>IFERROR(INDEX(PP_Grid[#Data],$DD402,70),0)</f>
        <v/>
      </c>
      <c r="BU402">
        <f>IFERROR(INDEX(PP_Grid[#Data],$DD402,71),0)</f>
        <v/>
      </c>
      <c r="BV402">
        <f>IFERROR(INDEX(PP_Grid[#Data],$DD402,72),0)</f>
        <v/>
      </c>
      <c r="BW402">
        <f>IFERROR(INDEX(PP_Grid[#Data],$DD402,73),0)</f>
        <v/>
      </c>
      <c r="BX402">
        <f>IFERROR(INDEX(PP_Grid[#Data],$DD402,74),0)</f>
        <v/>
      </c>
      <c r="BY402">
        <f>IFERROR(INDEX(PP_Grid[#Data],$DD402,75),0)</f>
        <v/>
      </c>
      <c r="BZ402">
        <f>IFERROR(INDEX(PP_Grid[#Data],$DD402,76),0)</f>
        <v/>
      </c>
      <c r="CA402">
        <f>IFERROR(INDEX(PP_Grid[#Data],$DD402,77),0)</f>
        <v/>
      </c>
      <c r="CB402">
        <f>IFERROR(INDEX(PP_Grid[#Data],$DD402,78),0)</f>
        <v/>
      </c>
      <c r="CC402">
        <f>IFERROR(INDEX(PP_Grid[#Data],$DD402,79),0)</f>
        <v/>
      </c>
      <c r="CD402">
        <f>IFERROR(INDEX(PP_Grid[#Data],$DD402,80),0)</f>
        <v/>
      </c>
      <c r="CE402">
        <f>IFERROR(INDEX(PP_Grid[#Data],$DD402,81),0)</f>
        <v/>
      </c>
      <c r="CF402">
        <f>IFERROR(INDEX(PP_Grid[#Data],$DD402,82),0)</f>
        <v/>
      </c>
      <c r="CG402">
        <f>IFERROR(INDEX(PP_Grid[#Data],$DD402,83),0)</f>
        <v/>
      </c>
      <c r="CH402">
        <f>IFERROR(INDEX(PP_Grid[#Data],$DD402,84),0)</f>
        <v/>
      </c>
      <c r="CI402">
        <f>IFERROR(INDEX(PP_Grid[#Data],$DD402,85),0)</f>
        <v/>
      </c>
      <c r="CJ402">
        <f>IFERROR(INDEX(PP_Grid[#Data],$DD402,86),0)</f>
        <v/>
      </c>
      <c r="CK402">
        <f>IFERROR(INDEX(PP_Grid[#Data],$DD402,87),0)</f>
        <v/>
      </c>
      <c r="CL402">
        <f>IFERROR(INDEX(PP_Grid[#Data],$DD402,88),0)</f>
        <v/>
      </c>
      <c r="CM402">
        <f>IFERROR(INDEX(PP_Grid[#Data],$DD402,89),0)</f>
        <v/>
      </c>
      <c r="CN402">
        <f>IFERROR(INDEX(PP_Grid[#Data],$DD402,90),0)</f>
        <v/>
      </c>
      <c r="CO402">
        <f>IFERROR(INDEX(PP_Grid[#Data],$DD402,91),0)</f>
        <v/>
      </c>
      <c r="CP402">
        <f>IFERROR(INDEX(PP_Grid[#Data],$DD402,92),0)</f>
        <v/>
      </c>
      <c r="CQ402">
        <f>IFERROR(INDEX(PP_Grid[#Data],$DD402,93),0)</f>
        <v/>
      </c>
      <c r="CR402">
        <f>IFERROR(INDEX(PP_Grid[#Data],$DD402,94),0)</f>
        <v/>
      </c>
      <c r="CS402">
        <f>IFERROR(INDEX(PP_Grid[#Data],$DD402,95),0)</f>
        <v/>
      </c>
      <c r="CT402">
        <f>IFERROR(INDEX(PP_Grid[#Data],$DD402,96),0)</f>
        <v/>
      </c>
      <c r="CU402">
        <f>IFERROR(INDEX(PP_Grid[#Data],$DD402,97),0)</f>
        <v/>
      </c>
      <c r="CV402">
        <f>IFERROR(INDEX(PP_Grid[#Data],$DD402,98),0)</f>
        <v/>
      </c>
      <c r="CW402">
        <f>IFERROR(INDEX(PP_Grid[#Data],$DD402,99),0)</f>
        <v/>
      </c>
      <c r="CX402">
        <f>IFERROR(INDEX(PP_Grid[#Data],$DD402,100),0)</f>
        <v/>
      </c>
      <c r="CY402">
        <f>IFERROR(INDEX(PP_Grid[#Data],$DD402,101),0)</f>
        <v/>
      </c>
      <c r="CZ402">
        <f>IFERROR(INDEX(PP_Grid[#Data],$DD402,102),0)</f>
        <v/>
      </c>
      <c r="DA402">
        <f>IFERROR(INDEX(PP_Grid[#Data],$DD402,103),0)</f>
        <v/>
      </c>
      <c r="DB402">
        <f>IFERROR(INDEX(PP_Grid[#Data],$DD402,104),0)</f>
        <v/>
      </c>
      <c r="DC402">
        <f>IFERROR(INDEX(PP_Grid[#Data],$DD402,105),0)</f>
        <v/>
      </c>
      <c r="DD402" s="12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SUMIFS(M_BOM[RM_Qty_Per_Batch],M_BOM[Intermediate],$B402,M_BOM[Part Name],$A383)</f>
        <v/>
      </c>
      <c r="D403">
        <f>$C403*D402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</row>
    <row r="404">
      <c r="B404" t="inlineStr">
        <is>
          <t>TSP-1558</t>
        </is>
      </c>
      <c r="C404" t="inlineStr">
        <is>
          <t>No. of batches</t>
        </is>
      </c>
      <c r="D404">
        <f>IFERROR(INDEX(PP_Grid[#Data],$DD404,2),0)</f>
        <v/>
      </c>
      <c r="E404">
        <f>IFERROR(INDEX(PP_Grid[#Data],$DD404,3),0)</f>
        <v/>
      </c>
      <c r="F404">
        <f>IFERROR(INDEX(PP_Grid[#Data],$DD404,4),0)</f>
        <v/>
      </c>
      <c r="G404">
        <f>IFERROR(INDEX(PP_Grid[#Data],$DD404,5),0)</f>
        <v/>
      </c>
      <c r="H404">
        <f>IFERROR(INDEX(PP_Grid[#Data],$DD404,6),0)</f>
        <v/>
      </c>
      <c r="I404">
        <f>IFERROR(INDEX(PP_Grid[#Data],$DD404,7),0)</f>
        <v/>
      </c>
      <c r="J404">
        <f>IFERROR(INDEX(PP_Grid[#Data],$DD404,8),0)</f>
        <v/>
      </c>
      <c r="K404">
        <f>IFERROR(INDEX(PP_Grid[#Data],$DD404,9),0)</f>
        <v/>
      </c>
      <c r="L404">
        <f>IFERROR(INDEX(PP_Grid[#Data],$DD404,10),0)</f>
        <v/>
      </c>
      <c r="M404">
        <f>IFERROR(INDEX(PP_Grid[#Data],$DD404,11),0)</f>
        <v/>
      </c>
      <c r="N404">
        <f>IFERROR(INDEX(PP_Grid[#Data],$DD404,12),0)</f>
        <v/>
      </c>
      <c r="O404">
        <f>IFERROR(INDEX(PP_Grid[#Data],$DD404,13),0)</f>
        <v/>
      </c>
      <c r="P404">
        <f>IFERROR(INDEX(PP_Grid[#Data],$DD404,14),0)</f>
        <v/>
      </c>
      <c r="Q404">
        <f>IFERROR(INDEX(PP_Grid[#Data],$DD404,15),0)</f>
        <v/>
      </c>
      <c r="R404">
        <f>IFERROR(INDEX(PP_Grid[#Data],$DD404,16),0)</f>
        <v/>
      </c>
      <c r="S404">
        <f>IFERROR(INDEX(PP_Grid[#Data],$DD404,17),0)</f>
        <v/>
      </c>
      <c r="T404">
        <f>IFERROR(INDEX(PP_Grid[#Data],$DD404,18),0)</f>
        <v/>
      </c>
      <c r="U404">
        <f>IFERROR(INDEX(PP_Grid[#Data],$DD404,19),0)</f>
        <v/>
      </c>
      <c r="V404">
        <f>IFERROR(INDEX(PP_Grid[#Data],$DD404,20),0)</f>
        <v/>
      </c>
      <c r="W404">
        <f>IFERROR(INDEX(PP_Grid[#Data],$DD404,21),0)</f>
        <v/>
      </c>
      <c r="X404">
        <f>IFERROR(INDEX(PP_Grid[#Data],$DD404,22),0)</f>
        <v/>
      </c>
      <c r="Y404">
        <f>IFERROR(INDEX(PP_Grid[#Data],$DD404,23),0)</f>
        <v/>
      </c>
      <c r="Z404">
        <f>IFERROR(INDEX(PP_Grid[#Data],$DD404,24),0)</f>
        <v/>
      </c>
      <c r="AA404">
        <f>IFERROR(INDEX(PP_Grid[#Data],$DD404,25),0)</f>
        <v/>
      </c>
      <c r="AB404">
        <f>IFERROR(INDEX(PP_Grid[#Data],$DD404,26),0)</f>
        <v/>
      </c>
      <c r="AC404">
        <f>IFERROR(INDEX(PP_Grid[#Data],$DD404,27),0)</f>
        <v/>
      </c>
      <c r="AD404">
        <f>IFERROR(INDEX(PP_Grid[#Data],$DD404,28),0)</f>
        <v/>
      </c>
      <c r="AE404">
        <f>IFERROR(INDEX(PP_Grid[#Data],$DD404,29),0)</f>
        <v/>
      </c>
      <c r="AF404">
        <f>IFERROR(INDEX(PP_Grid[#Data],$DD404,30),0)</f>
        <v/>
      </c>
      <c r="AG404">
        <f>IFERROR(INDEX(PP_Grid[#Data],$DD404,31),0)</f>
        <v/>
      </c>
      <c r="AH404">
        <f>IFERROR(INDEX(PP_Grid[#Data],$DD404,32),0)</f>
        <v/>
      </c>
      <c r="AI404">
        <f>IFERROR(INDEX(PP_Grid[#Data],$DD404,33),0)</f>
        <v/>
      </c>
      <c r="AJ404">
        <f>IFERROR(INDEX(PP_Grid[#Data],$DD404,34),0)</f>
        <v/>
      </c>
      <c r="AK404">
        <f>IFERROR(INDEX(PP_Grid[#Data],$DD404,35),0)</f>
        <v/>
      </c>
      <c r="AL404">
        <f>IFERROR(INDEX(PP_Grid[#Data],$DD404,36),0)</f>
        <v/>
      </c>
      <c r="AM404">
        <f>IFERROR(INDEX(PP_Grid[#Data],$DD404,37),0)</f>
        <v/>
      </c>
      <c r="AN404">
        <f>IFERROR(INDEX(PP_Grid[#Data],$DD404,38),0)</f>
        <v/>
      </c>
      <c r="AO404">
        <f>IFERROR(INDEX(PP_Grid[#Data],$DD404,39),0)</f>
        <v/>
      </c>
      <c r="AP404">
        <f>IFERROR(INDEX(PP_Grid[#Data],$DD404,40),0)</f>
        <v/>
      </c>
      <c r="AQ404">
        <f>IFERROR(INDEX(PP_Grid[#Data],$DD404,41),0)</f>
        <v/>
      </c>
      <c r="AR404">
        <f>IFERROR(INDEX(PP_Grid[#Data],$DD404,42),0)</f>
        <v/>
      </c>
      <c r="AS404">
        <f>IFERROR(INDEX(PP_Grid[#Data],$DD404,43),0)</f>
        <v/>
      </c>
      <c r="AT404">
        <f>IFERROR(INDEX(PP_Grid[#Data],$DD404,44),0)</f>
        <v/>
      </c>
      <c r="AU404">
        <f>IFERROR(INDEX(PP_Grid[#Data],$DD404,45),0)</f>
        <v/>
      </c>
      <c r="AV404">
        <f>IFERROR(INDEX(PP_Grid[#Data],$DD404,46),0)</f>
        <v/>
      </c>
      <c r="AW404">
        <f>IFERROR(INDEX(PP_Grid[#Data],$DD404,47),0)</f>
        <v/>
      </c>
      <c r="AX404">
        <f>IFERROR(INDEX(PP_Grid[#Data],$DD404,48),0)</f>
        <v/>
      </c>
      <c r="AY404">
        <f>IFERROR(INDEX(PP_Grid[#Data],$DD404,49),0)</f>
        <v/>
      </c>
      <c r="AZ404">
        <f>IFERROR(INDEX(PP_Grid[#Data],$DD404,50),0)</f>
        <v/>
      </c>
      <c r="BA404">
        <f>IFERROR(INDEX(PP_Grid[#Data],$DD404,51),0)</f>
        <v/>
      </c>
      <c r="BB404">
        <f>IFERROR(INDEX(PP_Grid[#Data],$DD404,52),0)</f>
        <v/>
      </c>
      <c r="BC404">
        <f>IFERROR(INDEX(PP_Grid[#Data],$DD404,53),0)</f>
        <v/>
      </c>
      <c r="BD404">
        <f>IFERROR(INDEX(PP_Grid[#Data],$DD404,54),0)</f>
        <v/>
      </c>
      <c r="BE404">
        <f>IFERROR(INDEX(PP_Grid[#Data],$DD404,55),0)</f>
        <v/>
      </c>
      <c r="BF404">
        <f>IFERROR(INDEX(PP_Grid[#Data],$DD404,56),0)</f>
        <v/>
      </c>
      <c r="BG404">
        <f>IFERROR(INDEX(PP_Grid[#Data],$DD404,57),0)</f>
        <v/>
      </c>
      <c r="BH404">
        <f>IFERROR(INDEX(PP_Grid[#Data],$DD404,58),0)</f>
        <v/>
      </c>
      <c r="BI404">
        <f>IFERROR(INDEX(PP_Grid[#Data],$DD404,59),0)</f>
        <v/>
      </c>
      <c r="BJ404">
        <f>IFERROR(INDEX(PP_Grid[#Data],$DD404,60),0)</f>
        <v/>
      </c>
      <c r="BK404">
        <f>IFERROR(INDEX(PP_Grid[#Data],$DD404,61),0)</f>
        <v/>
      </c>
      <c r="BL404">
        <f>IFERROR(INDEX(PP_Grid[#Data],$DD404,62),0)</f>
        <v/>
      </c>
      <c r="BM404">
        <f>IFERROR(INDEX(PP_Grid[#Data],$DD404,63),0)</f>
        <v/>
      </c>
      <c r="BN404">
        <f>IFERROR(INDEX(PP_Grid[#Data],$DD404,64),0)</f>
        <v/>
      </c>
      <c r="BO404">
        <f>IFERROR(INDEX(PP_Grid[#Data],$DD404,65),0)</f>
        <v/>
      </c>
      <c r="BP404">
        <f>IFERROR(INDEX(PP_Grid[#Data],$DD404,66),0)</f>
        <v/>
      </c>
      <c r="BQ404">
        <f>IFERROR(INDEX(PP_Grid[#Data],$DD404,67),0)</f>
        <v/>
      </c>
      <c r="BR404">
        <f>IFERROR(INDEX(PP_Grid[#Data],$DD404,68),0)</f>
        <v/>
      </c>
      <c r="BS404">
        <f>IFERROR(INDEX(PP_Grid[#Data],$DD404,69),0)</f>
        <v/>
      </c>
      <c r="BT404">
        <f>IFERROR(INDEX(PP_Grid[#Data],$DD404,70),0)</f>
        <v/>
      </c>
      <c r="BU404">
        <f>IFERROR(INDEX(PP_Grid[#Data],$DD404,71),0)</f>
        <v/>
      </c>
      <c r="BV404">
        <f>IFERROR(INDEX(PP_Grid[#Data],$DD404,72),0)</f>
        <v/>
      </c>
      <c r="BW404">
        <f>IFERROR(INDEX(PP_Grid[#Data],$DD404,73),0)</f>
        <v/>
      </c>
      <c r="BX404">
        <f>IFERROR(INDEX(PP_Grid[#Data],$DD404,74),0)</f>
        <v/>
      </c>
      <c r="BY404">
        <f>IFERROR(INDEX(PP_Grid[#Data],$DD404,75),0)</f>
        <v/>
      </c>
      <c r="BZ404">
        <f>IFERROR(INDEX(PP_Grid[#Data],$DD404,76),0)</f>
        <v/>
      </c>
      <c r="CA404">
        <f>IFERROR(INDEX(PP_Grid[#Data],$DD404,77),0)</f>
        <v/>
      </c>
      <c r="CB404">
        <f>IFERROR(INDEX(PP_Grid[#Data],$DD404,78),0)</f>
        <v/>
      </c>
      <c r="CC404">
        <f>IFERROR(INDEX(PP_Grid[#Data],$DD404,79),0)</f>
        <v/>
      </c>
      <c r="CD404">
        <f>IFERROR(INDEX(PP_Grid[#Data],$DD404,80),0)</f>
        <v/>
      </c>
      <c r="CE404">
        <f>IFERROR(INDEX(PP_Grid[#Data],$DD404,81),0)</f>
        <v/>
      </c>
      <c r="CF404">
        <f>IFERROR(INDEX(PP_Grid[#Data],$DD404,82),0)</f>
        <v/>
      </c>
      <c r="CG404">
        <f>IFERROR(INDEX(PP_Grid[#Data],$DD404,83),0)</f>
        <v/>
      </c>
      <c r="CH404">
        <f>IFERROR(INDEX(PP_Grid[#Data],$DD404,84),0)</f>
        <v/>
      </c>
      <c r="CI404">
        <f>IFERROR(INDEX(PP_Grid[#Data],$DD404,85),0)</f>
        <v/>
      </c>
      <c r="CJ404">
        <f>IFERROR(INDEX(PP_Grid[#Data],$DD404,86),0)</f>
        <v/>
      </c>
      <c r="CK404">
        <f>IFERROR(INDEX(PP_Grid[#Data],$DD404,87),0)</f>
        <v/>
      </c>
      <c r="CL404">
        <f>IFERROR(INDEX(PP_Grid[#Data],$DD404,88),0)</f>
        <v/>
      </c>
      <c r="CM404">
        <f>IFERROR(INDEX(PP_Grid[#Data],$DD404,89),0)</f>
        <v/>
      </c>
      <c r="CN404">
        <f>IFERROR(INDEX(PP_Grid[#Data],$DD404,90),0)</f>
        <v/>
      </c>
      <c r="CO404">
        <f>IFERROR(INDEX(PP_Grid[#Data],$DD404,91),0)</f>
        <v/>
      </c>
      <c r="CP404">
        <f>IFERROR(INDEX(PP_Grid[#Data],$DD404,92),0)</f>
        <v/>
      </c>
      <c r="CQ404">
        <f>IFERROR(INDEX(PP_Grid[#Data],$DD404,93),0)</f>
        <v/>
      </c>
      <c r="CR404">
        <f>IFERROR(INDEX(PP_Grid[#Data],$DD404,94),0)</f>
        <v/>
      </c>
      <c r="CS404">
        <f>IFERROR(INDEX(PP_Grid[#Data],$DD404,95),0)</f>
        <v/>
      </c>
      <c r="CT404">
        <f>IFERROR(INDEX(PP_Grid[#Data],$DD404,96),0)</f>
        <v/>
      </c>
      <c r="CU404">
        <f>IFERROR(INDEX(PP_Grid[#Data],$DD404,97),0)</f>
        <v/>
      </c>
      <c r="CV404">
        <f>IFERROR(INDEX(PP_Grid[#Data],$DD404,98),0)</f>
        <v/>
      </c>
      <c r="CW404">
        <f>IFERROR(INDEX(PP_Grid[#Data],$DD404,99),0)</f>
        <v/>
      </c>
      <c r="CX404">
        <f>IFERROR(INDEX(PP_Grid[#Data],$DD404,100),0)</f>
        <v/>
      </c>
      <c r="CY404">
        <f>IFERROR(INDEX(PP_Grid[#Data],$DD404,101),0)</f>
        <v/>
      </c>
      <c r="CZ404">
        <f>IFERROR(INDEX(PP_Grid[#Data],$DD404,102),0)</f>
        <v/>
      </c>
      <c r="DA404">
        <f>IFERROR(INDEX(PP_Grid[#Data],$DD404,103),0)</f>
        <v/>
      </c>
      <c r="DB404">
        <f>IFERROR(INDEX(PP_Grid[#Data],$DD404,104),0)</f>
        <v/>
      </c>
      <c r="DC404">
        <f>IFERROR(INDEX(PP_Grid[#Data],$DD404,105),0)</f>
        <v/>
      </c>
      <c r="DD404" s="12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SUMIFS(M_BOM[RM_Qty_Per_Batch],M_BOM[Intermediate],$B404,M_BOM[Part Name],$A383)</f>
        <v/>
      </c>
      <c r="D405">
        <f>$C405*D404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</row>
    <row r="406">
      <c r="B406" t="inlineStr">
        <is>
          <t>TSP-1559</t>
        </is>
      </c>
      <c r="C406" t="inlineStr">
        <is>
          <t>No. of batches</t>
        </is>
      </c>
      <c r="D406">
        <f>IFERROR(INDEX(PP_Grid[#Data],$DD406,2),0)</f>
        <v/>
      </c>
      <c r="E406">
        <f>IFERROR(INDEX(PP_Grid[#Data],$DD406,3),0)</f>
        <v/>
      </c>
      <c r="F406">
        <f>IFERROR(INDEX(PP_Grid[#Data],$DD406,4),0)</f>
        <v/>
      </c>
      <c r="G406">
        <f>IFERROR(INDEX(PP_Grid[#Data],$DD406,5),0)</f>
        <v/>
      </c>
      <c r="H406">
        <f>IFERROR(INDEX(PP_Grid[#Data],$DD406,6),0)</f>
        <v/>
      </c>
      <c r="I406">
        <f>IFERROR(INDEX(PP_Grid[#Data],$DD406,7),0)</f>
        <v/>
      </c>
      <c r="J406">
        <f>IFERROR(INDEX(PP_Grid[#Data],$DD406,8),0)</f>
        <v/>
      </c>
      <c r="K406">
        <f>IFERROR(INDEX(PP_Grid[#Data],$DD406,9),0)</f>
        <v/>
      </c>
      <c r="L406">
        <f>IFERROR(INDEX(PP_Grid[#Data],$DD406,10),0)</f>
        <v/>
      </c>
      <c r="M406">
        <f>IFERROR(INDEX(PP_Grid[#Data],$DD406,11),0)</f>
        <v/>
      </c>
      <c r="N406">
        <f>IFERROR(INDEX(PP_Grid[#Data],$DD406,12),0)</f>
        <v/>
      </c>
      <c r="O406">
        <f>IFERROR(INDEX(PP_Grid[#Data],$DD406,13),0)</f>
        <v/>
      </c>
      <c r="P406">
        <f>IFERROR(INDEX(PP_Grid[#Data],$DD406,14),0)</f>
        <v/>
      </c>
      <c r="Q406">
        <f>IFERROR(INDEX(PP_Grid[#Data],$DD406,15),0)</f>
        <v/>
      </c>
      <c r="R406">
        <f>IFERROR(INDEX(PP_Grid[#Data],$DD406,16),0)</f>
        <v/>
      </c>
      <c r="S406">
        <f>IFERROR(INDEX(PP_Grid[#Data],$DD406,17),0)</f>
        <v/>
      </c>
      <c r="T406">
        <f>IFERROR(INDEX(PP_Grid[#Data],$DD406,18),0)</f>
        <v/>
      </c>
      <c r="U406">
        <f>IFERROR(INDEX(PP_Grid[#Data],$DD406,19),0)</f>
        <v/>
      </c>
      <c r="V406">
        <f>IFERROR(INDEX(PP_Grid[#Data],$DD406,20),0)</f>
        <v/>
      </c>
      <c r="W406">
        <f>IFERROR(INDEX(PP_Grid[#Data],$DD406,21),0)</f>
        <v/>
      </c>
      <c r="X406">
        <f>IFERROR(INDEX(PP_Grid[#Data],$DD406,22),0)</f>
        <v/>
      </c>
      <c r="Y406">
        <f>IFERROR(INDEX(PP_Grid[#Data],$DD406,23),0)</f>
        <v/>
      </c>
      <c r="Z406">
        <f>IFERROR(INDEX(PP_Grid[#Data],$DD406,24),0)</f>
        <v/>
      </c>
      <c r="AA406">
        <f>IFERROR(INDEX(PP_Grid[#Data],$DD406,25),0)</f>
        <v/>
      </c>
      <c r="AB406">
        <f>IFERROR(INDEX(PP_Grid[#Data],$DD406,26),0)</f>
        <v/>
      </c>
      <c r="AC406">
        <f>IFERROR(INDEX(PP_Grid[#Data],$DD406,27),0)</f>
        <v/>
      </c>
      <c r="AD406">
        <f>IFERROR(INDEX(PP_Grid[#Data],$DD406,28),0)</f>
        <v/>
      </c>
      <c r="AE406">
        <f>IFERROR(INDEX(PP_Grid[#Data],$DD406,29),0)</f>
        <v/>
      </c>
      <c r="AF406">
        <f>IFERROR(INDEX(PP_Grid[#Data],$DD406,30),0)</f>
        <v/>
      </c>
      <c r="AG406">
        <f>IFERROR(INDEX(PP_Grid[#Data],$DD406,31),0)</f>
        <v/>
      </c>
      <c r="AH406">
        <f>IFERROR(INDEX(PP_Grid[#Data],$DD406,32),0)</f>
        <v/>
      </c>
      <c r="AI406">
        <f>IFERROR(INDEX(PP_Grid[#Data],$DD406,33),0)</f>
        <v/>
      </c>
      <c r="AJ406">
        <f>IFERROR(INDEX(PP_Grid[#Data],$DD406,34),0)</f>
        <v/>
      </c>
      <c r="AK406">
        <f>IFERROR(INDEX(PP_Grid[#Data],$DD406,35),0)</f>
        <v/>
      </c>
      <c r="AL406">
        <f>IFERROR(INDEX(PP_Grid[#Data],$DD406,36),0)</f>
        <v/>
      </c>
      <c r="AM406">
        <f>IFERROR(INDEX(PP_Grid[#Data],$DD406,37),0)</f>
        <v/>
      </c>
      <c r="AN406">
        <f>IFERROR(INDEX(PP_Grid[#Data],$DD406,38),0)</f>
        <v/>
      </c>
      <c r="AO406">
        <f>IFERROR(INDEX(PP_Grid[#Data],$DD406,39),0)</f>
        <v/>
      </c>
      <c r="AP406">
        <f>IFERROR(INDEX(PP_Grid[#Data],$DD406,40),0)</f>
        <v/>
      </c>
      <c r="AQ406">
        <f>IFERROR(INDEX(PP_Grid[#Data],$DD406,41),0)</f>
        <v/>
      </c>
      <c r="AR406">
        <f>IFERROR(INDEX(PP_Grid[#Data],$DD406,42),0)</f>
        <v/>
      </c>
      <c r="AS406">
        <f>IFERROR(INDEX(PP_Grid[#Data],$DD406,43),0)</f>
        <v/>
      </c>
      <c r="AT406">
        <f>IFERROR(INDEX(PP_Grid[#Data],$DD406,44),0)</f>
        <v/>
      </c>
      <c r="AU406">
        <f>IFERROR(INDEX(PP_Grid[#Data],$DD406,45),0)</f>
        <v/>
      </c>
      <c r="AV406">
        <f>IFERROR(INDEX(PP_Grid[#Data],$DD406,46),0)</f>
        <v/>
      </c>
      <c r="AW406">
        <f>IFERROR(INDEX(PP_Grid[#Data],$DD406,47),0)</f>
        <v/>
      </c>
      <c r="AX406">
        <f>IFERROR(INDEX(PP_Grid[#Data],$DD406,48),0)</f>
        <v/>
      </c>
      <c r="AY406">
        <f>IFERROR(INDEX(PP_Grid[#Data],$DD406,49),0)</f>
        <v/>
      </c>
      <c r="AZ406">
        <f>IFERROR(INDEX(PP_Grid[#Data],$DD406,50),0)</f>
        <v/>
      </c>
      <c r="BA406">
        <f>IFERROR(INDEX(PP_Grid[#Data],$DD406,51),0)</f>
        <v/>
      </c>
      <c r="BB406">
        <f>IFERROR(INDEX(PP_Grid[#Data],$DD406,52),0)</f>
        <v/>
      </c>
      <c r="BC406">
        <f>IFERROR(INDEX(PP_Grid[#Data],$DD406,53),0)</f>
        <v/>
      </c>
      <c r="BD406">
        <f>IFERROR(INDEX(PP_Grid[#Data],$DD406,54),0)</f>
        <v/>
      </c>
      <c r="BE406">
        <f>IFERROR(INDEX(PP_Grid[#Data],$DD406,55),0)</f>
        <v/>
      </c>
      <c r="BF406">
        <f>IFERROR(INDEX(PP_Grid[#Data],$DD406,56),0)</f>
        <v/>
      </c>
      <c r="BG406">
        <f>IFERROR(INDEX(PP_Grid[#Data],$DD406,57),0)</f>
        <v/>
      </c>
      <c r="BH406">
        <f>IFERROR(INDEX(PP_Grid[#Data],$DD406,58),0)</f>
        <v/>
      </c>
      <c r="BI406">
        <f>IFERROR(INDEX(PP_Grid[#Data],$DD406,59),0)</f>
        <v/>
      </c>
      <c r="BJ406">
        <f>IFERROR(INDEX(PP_Grid[#Data],$DD406,60),0)</f>
        <v/>
      </c>
      <c r="BK406">
        <f>IFERROR(INDEX(PP_Grid[#Data],$DD406,61),0)</f>
        <v/>
      </c>
      <c r="BL406">
        <f>IFERROR(INDEX(PP_Grid[#Data],$DD406,62),0)</f>
        <v/>
      </c>
      <c r="BM406">
        <f>IFERROR(INDEX(PP_Grid[#Data],$DD406,63),0)</f>
        <v/>
      </c>
      <c r="BN406">
        <f>IFERROR(INDEX(PP_Grid[#Data],$DD406,64),0)</f>
        <v/>
      </c>
      <c r="BO406">
        <f>IFERROR(INDEX(PP_Grid[#Data],$DD406,65),0)</f>
        <v/>
      </c>
      <c r="BP406">
        <f>IFERROR(INDEX(PP_Grid[#Data],$DD406,66),0)</f>
        <v/>
      </c>
      <c r="BQ406">
        <f>IFERROR(INDEX(PP_Grid[#Data],$DD406,67),0)</f>
        <v/>
      </c>
      <c r="BR406">
        <f>IFERROR(INDEX(PP_Grid[#Data],$DD406,68),0)</f>
        <v/>
      </c>
      <c r="BS406">
        <f>IFERROR(INDEX(PP_Grid[#Data],$DD406,69),0)</f>
        <v/>
      </c>
      <c r="BT406">
        <f>IFERROR(INDEX(PP_Grid[#Data],$DD406,70),0)</f>
        <v/>
      </c>
      <c r="BU406">
        <f>IFERROR(INDEX(PP_Grid[#Data],$DD406,71),0)</f>
        <v/>
      </c>
      <c r="BV406">
        <f>IFERROR(INDEX(PP_Grid[#Data],$DD406,72),0)</f>
        <v/>
      </c>
      <c r="BW406">
        <f>IFERROR(INDEX(PP_Grid[#Data],$DD406,73),0)</f>
        <v/>
      </c>
      <c r="BX406">
        <f>IFERROR(INDEX(PP_Grid[#Data],$DD406,74),0)</f>
        <v/>
      </c>
      <c r="BY406">
        <f>IFERROR(INDEX(PP_Grid[#Data],$DD406,75),0)</f>
        <v/>
      </c>
      <c r="BZ406">
        <f>IFERROR(INDEX(PP_Grid[#Data],$DD406,76),0)</f>
        <v/>
      </c>
      <c r="CA406">
        <f>IFERROR(INDEX(PP_Grid[#Data],$DD406,77),0)</f>
        <v/>
      </c>
      <c r="CB406">
        <f>IFERROR(INDEX(PP_Grid[#Data],$DD406,78),0)</f>
        <v/>
      </c>
      <c r="CC406">
        <f>IFERROR(INDEX(PP_Grid[#Data],$DD406,79),0)</f>
        <v/>
      </c>
      <c r="CD406">
        <f>IFERROR(INDEX(PP_Grid[#Data],$DD406,80),0)</f>
        <v/>
      </c>
      <c r="CE406">
        <f>IFERROR(INDEX(PP_Grid[#Data],$DD406,81),0)</f>
        <v/>
      </c>
      <c r="CF406">
        <f>IFERROR(INDEX(PP_Grid[#Data],$DD406,82),0)</f>
        <v/>
      </c>
      <c r="CG406">
        <f>IFERROR(INDEX(PP_Grid[#Data],$DD406,83),0)</f>
        <v/>
      </c>
      <c r="CH406">
        <f>IFERROR(INDEX(PP_Grid[#Data],$DD406,84),0)</f>
        <v/>
      </c>
      <c r="CI406">
        <f>IFERROR(INDEX(PP_Grid[#Data],$DD406,85),0)</f>
        <v/>
      </c>
      <c r="CJ406">
        <f>IFERROR(INDEX(PP_Grid[#Data],$DD406,86),0)</f>
        <v/>
      </c>
      <c r="CK406">
        <f>IFERROR(INDEX(PP_Grid[#Data],$DD406,87),0)</f>
        <v/>
      </c>
      <c r="CL406">
        <f>IFERROR(INDEX(PP_Grid[#Data],$DD406,88),0)</f>
        <v/>
      </c>
      <c r="CM406">
        <f>IFERROR(INDEX(PP_Grid[#Data],$DD406,89),0)</f>
        <v/>
      </c>
      <c r="CN406">
        <f>IFERROR(INDEX(PP_Grid[#Data],$DD406,90),0)</f>
        <v/>
      </c>
      <c r="CO406">
        <f>IFERROR(INDEX(PP_Grid[#Data],$DD406,91),0)</f>
        <v/>
      </c>
      <c r="CP406">
        <f>IFERROR(INDEX(PP_Grid[#Data],$DD406,92),0)</f>
        <v/>
      </c>
      <c r="CQ406">
        <f>IFERROR(INDEX(PP_Grid[#Data],$DD406,93),0)</f>
        <v/>
      </c>
      <c r="CR406">
        <f>IFERROR(INDEX(PP_Grid[#Data],$DD406,94),0)</f>
        <v/>
      </c>
      <c r="CS406">
        <f>IFERROR(INDEX(PP_Grid[#Data],$DD406,95),0)</f>
        <v/>
      </c>
      <c r="CT406">
        <f>IFERROR(INDEX(PP_Grid[#Data],$DD406,96),0)</f>
        <v/>
      </c>
      <c r="CU406">
        <f>IFERROR(INDEX(PP_Grid[#Data],$DD406,97),0)</f>
        <v/>
      </c>
      <c r="CV406">
        <f>IFERROR(INDEX(PP_Grid[#Data],$DD406,98),0)</f>
        <v/>
      </c>
      <c r="CW406">
        <f>IFERROR(INDEX(PP_Grid[#Data],$DD406,99),0)</f>
        <v/>
      </c>
      <c r="CX406">
        <f>IFERROR(INDEX(PP_Grid[#Data],$DD406,100),0)</f>
        <v/>
      </c>
      <c r="CY406">
        <f>IFERROR(INDEX(PP_Grid[#Data],$DD406,101),0)</f>
        <v/>
      </c>
      <c r="CZ406">
        <f>IFERROR(INDEX(PP_Grid[#Data],$DD406,102),0)</f>
        <v/>
      </c>
      <c r="DA406">
        <f>IFERROR(INDEX(PP_Grid[#Data],$DD406,103),0)</f>
        <v/>
      </c>
      <c r="DB406">
        <f>IFERROR(INDEX(PP_Grid[#Data],$DD406,104),0)</f>
        <v/>
      </c>
      <c r="DC406">
        <f>IFERROR(INDEX(PP_Grid[#Data],$DD406,105),0)</f>
        <v/>
      </c>
      <c r="DD406" s="12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SUMIFS(M_BOM[RM_Qty_Per_Batch],M_BOM[Intermediate],$B406,M_BOM[Part Name],$A383)</f>
        <v/>
      </c>
      <c r="D407">
        <f>$C407*D406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</row>
    <row r="408">
      <c r="B408" t="inlineStr">
        <is>
          <t>TSP-199</t>
        </is>
      </c>
      <c r="C408" t="inlineStr">
        <is>
          <t>No. of batches</t>
        </is>
      </c>
      <c r="D408">
        <f>IFERROR(INDEX(PP_Grid[#Data],$DD408,2),0)</f>
        <v/>
      </c>
      <c r="E408">
        <f>IFERROR(INDEX(PP_Grid[#Data],$DD408,3),0)</f>
        <v/>
      </c>
      <c r="F408">
        <f>IFERROR(INDEX(PP_Grid[#Data],$DD408,4),0)</f>
        <v/>
      </c>
      <c r="G408">
        <f>IFERROR(INDEX(PP_Grid[#Data],$DD408,5),0)</f>
        <v/>
      </c>
      <c r="H408">
        <f>IFERROR(INDEX(PP_Grid[#Data],$DD408,6),0)</f>
        <v/>
      </c>
      <c r="I408">
        <f>IFERROR(INDEX(PP_Grid[#Data],$DD408,7),0)</f>
        <v/>
      </c>
      <c r="J408">
        <f>IFERROR(INDEX(PP_Grid[#Data],$DD408,8),0)</f>
        <v/>
      </c>
      <c r="K408">
        <f>IFERROR(INDEX(PP_Grid[#Data],$DD408,9),0)</f>
        <v/>
      </c>
      <c r="L408">
        <f>IFERROR(INDEX(PP_Grid[#Data],$DD408,10),0)</f>
        <v/>
      </c>
      <c r="M408">
        <f>IFERROR(INDEX(PP_Grid[#Data],$DD408,11),0)</f>
        <v/>
      </c>
      <c r="N408">
        <f>IFERROR(INDEX(PP_Grid[#Data],$DD408,12),0)</f>
        <v/>
      </c>
      <c r="O408">
        <f>IFERROR(INDEX(PP_Grid[#Data],$DD408,13),0)</f>
        <v/>
      </c>
      <c r="P408">
        <f>IFERROR(INDEX(PP_Grid[#Data],$DD408,14),0)</f>
        <v/>
      </c>
      <c r="Q408">
        <f>IFERROR(INDEX(PP_Grid[#Data],$DD408,15),0)</f>
        <v/>
      </c>
      <c r="R408">
        <f>IFERROR(INDEX(PP_Grid[#Data],$DD408,16),0)</f>
        <v/>
      </c>
      <c r="S408">
        <f>IFERROR(INDEX(PP_Grid[#Data],$DD408,17),0)</f>
        <v/>
      </c>
      <c r="T408">
        <f>IFERROR(INDEX(PP_Grid[#Data],$DD408,18),0)</f>
        <v/>
      </c>
      <c r="U408">
        <f>IFERROR(INDEX(PP_Grid[#Data],$DD408,19),0)</f>
        <v/>
      </c>
      <c r="V408">
        <f>IFERROR(INDEX(PP_Grid[#Data],$DD408,20),0)</f>
        <v/>
      </c>
      <c r="W408">
        <f>IFERROR(INDEX(PP_Grid[#Data],$DD408,21),0)</f>
        <v/>
      </c>
      <c r="X408">
        <f>IFERROR(INDEX(PP_Grid[#Data],$DD408,22),0)</f>
        <v/>
      </c>
      <c r="Y408">
        <f>IFERROR(INDEX(PP_Grid[#Data],$DD408,23),0)</f>
        <v/>
      </c>
      <c r="Z408">
        <f>IFERROR(INDEX(PP_Grid[#Data],$DD408,24),0)</f>
        <v/>
      </c>
      <c r="AA408">
        <f>IFERROR(INDEX(PP_Grid[#Data],$DD408,25),0)</f>
        <v/>
      </c>
      <c r="AB408">
        <f>IFERROR(INDEX(PP_Grid[#Data],$DD408,26),0)</f>
        <v/>
      </c>
      <c r="AC408">
        <f>IFERROR(INDEX(PP_Grid[#Data],$DD408,27),0)</f>
        <v/>
      </c>
      <c r="AD408">
        <f>IFERROR(INDEX(PP_Grid[#Data],$DD408,28),0)</f>
        <v/>
      </c>
      <c r="AE408">
        <f>IFERROR(INDEX(PP_Grid[#Data],$DD408,29),0)</f>
        <v/>
      </c>
      <c r="AF408">
        <f>IFERROR(INDEX(PP_Grid[#Data],$DD408,30),0)</f>
        <v/>
      </c>
      <c r="AG408">
        <f>IFERROR(INDEX(PP_Grid[#Data],$DD408,31),0)</f>
        <v/>
      </c>
      <c r="AH408">
        <f>IFERROR(INDEX(PP_Grid[#Data],$DD408,32),0)</f>
        <v/>
      </c>
      <c r="AI408">
        <f>IFERROR(INDEX(PP_Grid[#Data],$DD408,33),0)</f>
        <v/>
      </c>
      <c r="AJ408">
        <f>IFERROR(INDEX(PP_Grid[#Data],$DD408,34),0)</f>
        <v/>
      </c>
      <c r="AK408">
        <f>IFERROR(INDEX(PP_Grid[#Data],$DD408,35),0)</f>
        <v/>
      </c>
      <c r="AL408">
        <f>IFERROR(INDEX(PP_Grid[#Data],$DD408,36),0)</f>
        <v/>
      </c>
      <c r="AM408">
        <f>IFERROR(INDEX(PP_Grid[#Data],$DD408,37),0)</f>
        <v/>
      </c>
      <c r="AN408">
        <f>IFERROR(INDEX(PP_Grid[#Data],$DD408,38),0)</f>
        <v/>
      </c>
      <c r="AO408">
        <f>IFERROR(INDEX(PP_Grid[#Data],$DD408,39),0)</f>
        <v/>
      </c>
      <c r="AP408">
        <f>IFERROR(INDEX(PP_Grid[#Data],$DD408,40),0)</f>
        <v/>
      </c>
      <c r="AQ408">
        <f>IFERROR(INDEX(PP_Grid[#Data],$DD408,41),0)</f>
        <v/>
      </c>
      <c r="AR408">
        <f>IFERROR(INDEX(PP_Grid[#Data],$DD408,42),0)</f>
        <v/>
      </c>
      <c r="AS408">
        <f>IFERROR(INDEX(PP_Grid[#Data],$DD408,43),0)</f>
        <v/>
      </c>
      <c r="AT408">
        <f>IFERROR(INDEX(PP_Grid[#Data],$DD408,44),0)</f>
        <v/>
      </c>
      <c r="AU408">
        <f>IFERROR(INDEX(PP_Grid[#Data],$DD408,45),0)</f>
        <v/>
      </c>
      <c r="AV408">
        <f>IFERROR(INDEX(PP_Grid[#Data],$DD408,46),0)</f>
        <v/>
      </c>
      <c r="AW408">
        <f>IFERROR(INDEX(PP_Grid[#Data],$DD408,47),0)</f>
        <v/>
      </c>
      <c r="AX408">
        <f>IFERROR(INDEX(PP_Grid[#Data],$DD408,48),0)</f>
        <v/>
      </c>
      <c r="AY408">
        <f>IFERROR(INDEX(PP_Grid[#Data],$DD408,49),0)</f>
        <v/>
      </c>
      <c r="AZ408">
        <f>IFERROR(INDEX(PP_Grid[#Data],$DD408,50),0)</f>
        <v/>
      </c>
      <c r="BA408">
        <f>IFERROR(INDEX(PP_Grid[#Data],$DD408,51),0)</f>
        <v/>
      </c>
      <c r="BB408">
        <f>IFERROR(INDEX(PP_Grid[#Data],$DD408,52),0)</f>
        <v/>
      </c>
      <c r="BC408">
        <f>IFERROR(INDEX(PP_Grid[#Data],$DD408,53),0)</f>
        <v/>
      </c>
      <c r="BD408">
        <f>IFERROR(INDEX(PP_Grid[#Data],$DD408,54),0)</f>
        <v/>
      </c>
      <c r="BE408">
        <f>IFERROR(INDEX(PP_Grid[#Data],$DD408,55),0)</f>
        <v/>
      </c>
      <c r="BF408">
        <f>IFERROR(INDEX(PP_Grid[#Data],$DD408,56),0)</f>
        <v/>
      </c>
      <c r="BG408">
        <f>IFERROR(INDEX(PP_Grid[#Data],$DD408,57),0)</f>
        <v/>
      </c>
      <c r="BH408">
        <f>IFERROR(INDEX(PP_Grid[#Data],$DD408,58),0)</f>
        <v/>
      </c>
      <c r="BI408">
        <f>IFERROR(INDEX(PP_Grid[#Data],$DD408,59),0)</f>
        <v/>
      </c>
      <c r="BJ408">
        <f>IFERROR(INDEX(PP_Grid[#Data],$DD408,60),0)</f>
        <v/>
      </c>
      <c r="BK408">
        <f>IFERROR(INDEX(PP_Grid[#Data],$DD408,61),0)</f>
        <v/>
      </c>
      <c r="BL408">
        <f>IFERROR(INDEX(PP_Grid[#Data],$DD408,62),0)</f>
        <v/>
      </c>
      <c r="BM408">
        <f>IFERROR(INDEX(PP_Grid[#Data],$DD408,63),0)</f>
        <v/>
      </c>
      <c r="BN408">
        <f>IFERROR(INDEX(PP_Grid[#Data],$DD408,64),0)</f>
        <v/>
      </c>
      <c r="BO408">
        <f>IFERROR(INDEX(PP_Grid[#Data],$DD408,65),0)</f>
        <v/>
      </c>
      <c r="BP408">
        <f>IFERROR(INDEX(PP_Grid[#Data],$DD408,66),0)</f>
        <v/>
      </c>
      <c r="BQ408">
        <f>IFERROR(INDEX(PP_Grid[#Data],$DD408,67),0)</f>
        <v/>
      </c>
      <c r="BR408">
        <f>IFERROR(INDEX(PP_Grid[#Data],$DD408,68),0)</f>
        <v/>
      </c>
      <c r="BS408">
        <f>IFERROR(INDEX(PP_Grid[#Data],$DD408,69),0)</f>
        <v/>
      </c>
      <c r="BT408">
        <f>IFERROR(INDEX(PP_Grid[#Data],$DD408,70),0)</f>
        <v/>
      </c>
      <c r="BU408">
        <f>IFERROR(INDEX(PP_Grid[#Data],$DD408,71),0)</f>
        <v/>
      </c>
      <c r="BV408">
        <f>IFERROR(INDEX(PP_Grid[#Data],$DD408,72),0)</f>
        <v/>
      </c>
      <c r="BW408">
        <f>IFERROR(INDEX(PP_Grid[#Data],$DD408,73),0)</f>
        <v/>
      </c>
      <c r="BX408">
        <f>IFERROR(INDEX(PP_Grid[#Data],$DD408,74),0)</f>
        <v/>
      </c>
      <c r="BY408">
        <f>IFERROR(INDEX(PP_Grid[#Data],$DD408,75),0)</f>
        <v/>
      </c>
      <c r="BZ408">
        <f>IFERROR(INDEX(PP_Grid[#Data],$DD408,76),0)</f>
        <v/>
      </c>
      <c r="CA408">
        <f>IFERROR(INDEX(PP_Grid[#Data],$DD408,77),0)</f>
        <v/>
      </c>
      <c r="CB408">
        <f>IFERROR(INDEX(PP_Grid[#Data],$DD408,78),0)</f>
        <v/>
      </c>
      <c r="CC408">
        <f>IFERROR(INDEX(PP_Grid[#Data],$DD408,79),0)</f>
        <v/>
      </c>
      <c r="CD408">
        <f>IFERROR(INDEX(PP_Grid[#Data],$DD408,80),0)</f>
        <v/>
      </c>
      <c r="CE408">
        <f>IFERROR(INDEX(PP_Grid[#Data],$DD408,81),0)</f>
        <v/>
      </c>
      <c r="CF408">
        <f>IFERROR(INDEX(PP_Grid[#Data],$DD408,82),0)</f>
        <v/>
      </c>
      <c r="CG408">
        <f>IFERROR(INDEX(PP_Grid[#Data],$DD408,83),0)</f>
        <v/>
      </c>
      <c r="CH408">
        <f>IFERROR(INDEX(PP_Grid[#Data],$DD408,84),0)</f>
        <v/>
      </c>
      <c r="CI408">
        <f>IFERROR(INDEX(PP_Grid[#Data],$DD408,85),0)</f>
        <v/>
      </c>
      <c r="CJ408">
        <f>IFERROR(INDEX(PP_Grid[#Data],$DD408,86),0)</f>
        <v/>
      </c>
      <c r="CK408">
        <f>IFERROR(INDEX(PP_Grid[#Data],$DD408,87),0)</f>
        <v/>
      </c>
      <c r="CL408">
        <f>IFERROR(INDEX(PP_Grid[#Data],$DD408,88),0)</f>
        <v/>
      </c>
      <c r="CM408">
        <f>IFERROR(INDEX(PP_Grid[#Data],$DD408,89),0)</f>
        <v/>
      </c>
      <c r="CN408">
        <f>IFERROR(INDEX(PP_Grid[#Data],$DD408,90),0)</f>
        <v/>
      </c>
      <c r="CO408">
        <f>IFERROR(INDEX(PP_Grid[#Data],$DD408,91),0)</f>
        <v/>
      </c>
      <c r="CP408">
        <f>IFERROR(INDEX(PP_Grid[#Data],$DD408,92),0)</f>
        <v/>
      </c>
      <c r="CQ408">
        <f>IFERROR(INDEX(PP_Grid[#Data],$DD408,93),0)</f>
        <v/>
      </c>
      <c r="CR408">
        <f>IFERROR(INDEX(PP_Grid[#Data],$DD408,94),0)</f>
        <v/>
      </c>
      <c r="CS408">
        <f>IFERROR(INDEX(PP_Grid[#Data],$DD408,95),0)</f>
        <v/>
      </c>
      <c r="CT408">
        <f>IFERROR(INDEX(PP_Grid[#Data],$DD408,96),0)</f>
        <v/>
      </c>
      <c r="CU408">
        <f>IFERROR(INDEX(PP_Grid[#Data],$DD408,97),0)</f>
        <v/>
      </c>
      <c r="CV408">
        <f>IFERROR(INDEX(PP_Grid[#Data],$DD408,98),0)</f>
        <v/>
      </c>
      <c r="CW408">
        <f>IFERROR(INDEX(PP_Grid[#Data],$DD408,99),0)</f>
        <v/>
      </c>
      <c r="CX408">
        <f>IFERROR(INDEX(PP_Grid[#Data],$DD408,100),0)</f>
        <v/>
      </c>
      <c r="CY408">
        <f>IFERROR(INDEX(PP_Grid[#Data],$DD408,101),0)</f>
        <v/>
      </c>
      <c r="CZ408">
        <f>IFERROR(INDEX(PP_Grid[#Data],$DD408,102),0)</f>
        <v/>
      </c>
      <c r="DA408">
        <f>IFERROR(INDEX(PP_Grid[#Data],$DD408,103),0)</f>
        <v/>
      </c>
      <c r="DB408">
        <f>IFERROR(INDEX(PP_Grid[#Data],$DD408,104),0)</f>
        <v/>
      </c>
      <c r="DC408">
        <f>IFERROR(INDEX(PP_Grid[#Data],$DD408,105),0)</f>
        <v/>
      </c>
      <c r="DD408" s="12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SUMIFS(M_BOM[RM_Qty_Per_Batch],M_BOM[Intermediate],$B408,M_BOM[Part Name],$A383)</f>
        <v/>
      </c>
      <c r="D409">
        <f>$C409*D408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</row>
    <row r="410">
      <c r="B410" t="inlineStr">
        <is>
          <t>TSP-205</t>
        </is>
      </c>
      <c r="C410" t="inlineStr">
        <is>
          <t>No. of batches</t>
        </is>
      </c>
      <c r="D410">
        <f>IFERROR(INDEX(PP_Grid[#Data],$DD410,2),0)</f>
        <v/>
      </c>
      <c r="E410">
        <f>IFERROR(INDEX(PP_Grid[#Data],$DD410,3),0)</f>
        <v/>
      </c>
      <c r="F410">
        <f>IFERROR(INDEX(PP_Grid[#Data],$DD410,4),0)</f>
        <v/>
      </c>
      <c r="G410">
        <f>IFERROR(INDEX(PP_Grid[#Data],$DD410,5),0)</f>
        <v/>
      </c>
      <c r="H410">
        <f>IFERROR(INDEX(PP_Grid[#Data],$DD410,6),0)</f>
        <v/>
      </c>
      <c r="I410">
        <f>IFERROR(INDEX(PP_Grid[#Data],$DD410,7),0)</f>
        <v/>
      </c>
      <c r="J410">
        <f>IFERROR(INDEX(PP_Grid[#Data],$DD410,8),0)</f>
        <v/>
      </c>
      <c r="K410">
        <f>IFERROR(INDEX(PP_Grid[#Data],$DD410,9),0)</f>
        <v/>
      </c>
      <c r="L410">
        <f>IFERROR(INDEX(PP_Grid[#Data],$DD410,10),0)</f>
        <v/>
      </c>
      <c r="M410">
        <f>IFERROR(INDEX(PP_Grid[#Data],$DD410,11),0)</f>
        <v/>
      </c>
      <c r="N410">
        <f>IFERROR(INDEX(PP_Grid[#Data],$DD410,12),0)</f>
        <v/>
      </c>
      <c r="O410">
        <f>IFERROR(INDEX(PP_Grid[#Data],$DD410,13),0)</f>
        <v/>
      </c>
      <c r="P410">
        <f>IFERROR(INDEX(PP_Grid[#Data],$DD410,14),0)</f>
        <v/>
      </c>
      <c r="Q410">
        <f>IFERROR(INDEX(PP_Grid[#Data],$DD410,15),0)</f>
        <v/>
      </c>
      <c r="R410">
        <f>IFERROR(INDEX(PP_Grid[#Data],$DD410,16),0)</f>
        <v/>
      </c>
      <c r="S410">
        <f>IFERROR(INDEX(PP_Grid[#Data],$DD410,17),0)</f>
        <v/>
      </c>
      <c r="T410">
        <f>IFERROR(INDEX(PP_Grid[#Data],$DD410,18),0)</f>
        <v/>
      </c>
      <c r="U410">
        <f>IFERROR(INDEX(PP_Grid[#Data],$DD410,19),0)</f>
        <v/>
      </c>
      <c r="V410">
        <f>IFERROR(INDEX(PP_Grid[#Data],$DD410,20),0)</f>
        <v/>
      </c>
      <c r="W410">
        <f>IFERROR(INDEX(PP_Grid[#Data],$DD410,21),0)</f>
        <v/>
      </c>
      <c r="X410">
        <f>IFERROR(INDEX(PP_Grid[#Data],$DD410,22),0)</f>
        <v/>
      </c>
      <c r="Y410">
        <f>IFERROR(INDEX(PP_Grid[#Data],$DD410,23),0)</f>
        <v/>
      </c>
      <c r="Z410">
        <f>IFERROR(INDEX(PP_Grid[#Data],$DD410,24),0)</f>
        <v/>
      </c>
      <c r="AA410">
        <f>IFERROR(INDEX(PP_Grid[#Data],$DD410,25),0)</f>
        <v/>
      </c>
      <c r="AB410">
        <f>IFERROR(INDEX(PP_Grid[#Data],$DD410,26),0)</f>
        <v/>
      </c>
      <c r="AC410">
        <f>IFERROR(INDEX(PP_Grid[#Data],$DD410,27),0)</f>
        <v/>
      </c>
      <c r="AD410">
        <f>IFERROR(INDEX(PP_Grid[#Data],$DD410,28),0)</f>
        <v/>
      </c>
      <c r="AE410">
        <f>IFERROR(INDEX(PP_Grid[#Data],$DD410,29),0)</f>
        <v/>
      </c>
      <c r="AF410">
        <f>IFERROR(INDEX(PP_Grid[#Data],$DD410,30),0)</f>
        <v/>
      </c>
      <c r="AG410">
        <f>IFERROR(INDEX(PP_Grid[#Data],$DD410,31),0)</f>
        <v/>
      </c>
      <c r="AH410">
        <f>IFERROR(INDEX(PP_Grid[#Data],$DD410,32),0)</f>
        <v/>
      </c>
      <c r="AI410">
        <f>IFERROR(INDEX(PP_Grid[#Data],$DD410,33),0)</f>
        <v/>
      </c>
      <c r="AJ410">
        <f>IFERROR(INDEX(PP_Grid[#Data],$DD410,34),0)</f>
        <v/>
      </c>
      <c r="AK410">
        <f>IFERROR(INDEX(PP_Grid[#Data],$DD410,35),0)</f>
        <v/>
      </c>
      <c r="AL410">
        <f>IFERROR(INDEX(PP_Grid[#Data],$DD410,36),0)</f>
        <v/>
      </c>
      <c r="AM410">
        <f>IFERROR(INDEX(PP_Grid[#Data],$DD410,37),0)</f>
        <v/>
      </c>
      <c r="AN410">
        <f>IFERROR(INDEX(PP_Grid[#Data],$DD410,38),0)</f>
        <v/>
      </c>
      <c r="AO410">
        <f>IFERROR(INDEX(PP_Grid[#Data],$DD410,39),0)</f>
        <v/>
      </c>
      <c r="AP410">
        <f>IFERROR(INDEX(PP_Grid[#Data],$DD410,40),0)</f>
        <v/>
      </c>
      <c r="AQ410">
        <f>IFERROR(INDEX(PP_Grid[#Data],$DD410,41),0)</f>
        <v/>
      </c>
      <c r="AR410">
        <f>IFERROR(INDEX(PP_Grid[#Data],$DD410,42),0)</f>
        <v/>
      </c>
      <c r="AS410">
        <f>IFERROR(INDEX(PP_Grid[#Data],$DD410,43),0)</f>
        <v/>
      </c>
      <c r="AT410">
        <f>IFERROR(INDEX(PP_Grid[#Data],$DD410,44),0)</f>
        <v/>
      </c>
      <c r="AU410">
        <f>IFERROR(INDEX(PP_Grid[#Data],$DD410,45),0)</f>
        <v/>
      </c>
      <c r="AV410">
        <f>IFERROR(INDEX(PP_Grid[#Data],$DD410,46),0)</f>
        <v/>
      </c>
      <c r="AW410">
        <f>IFERROR(INDEX(PP_Grid[#Data],$DD410,47),0)</f>
        <v/>
      </c>
      <c r="AX410">
        <f>IFERROR(INDEX(PP_Grid[#Data],$DD410,48),0)</f>
        <v/>
      </c>
      <c r="AY410">
        <f>IFERROR(INDEX(PP_Grid[#Data],$DD410,49),0)</f>
        <v/>
      </c>
      <c r="AZ410">
        <f>IFERROR(INDEX(PP_Grid[#Data],$DD410,50),0)</f>
        <v/>
      </c>
      <c r="BA410">
        <f>IFERROR(INDEX(PP_Grid[#Data],$DD410,51),0)</f>
        <v/>
      </c>
      <c r="BB410">
        <f>IFERROR(INDEX(PP_Grid[#Data],$DD410,52),0)</f>
        <v/>
      </c>
      <c r="BC410">
        <f>IFERROR(INDEX(PP_Grid[#Data],$DD410,53),0)</f>
        <v/>
      </c>
      <c r="BD410">
        <f>IFERROR(INDEX(PP_Grid[#Data],$DD410,54),0)</f>
        <v/>
      </c>
      <c r="BE410">
        <f>IFERROR(INDEX(PP_Grid[#Data],$DD410,55),0)</f>
        <v/>
      </c>
      <c r="BF410">
        <f>IFERROR(INDEX(PP_Grid[#Data],$DD410,56),0)</f>
        <v/>
      </c>
      <c r="BG410">
        <f>IFERROR(INDEX(PP_Grid[#Data],$DD410,57),0)</f>
        <v/>
      </c>
      <c r="BH410">
        <f>IFERROR(INDEX(PP_Grid[#Data],$DD410,58),0)</f>
        <v/>
      </c>
      <c r="BI410">
        <f>IFERROR(INDEX(PP_Grid[#Data],$DD410,59),0)</f>
        <v/>
      </c>
      <c r="BJ410">
        <f>IFERROR(INDEX(PP_Grid[#Data],$DD410,60),0)</f>
        <v/>
      </c>
      <c r="BK410">
        <f>IFERROR(INDEX(PP_Grid[#Data],$DD410,61),0)</f>
        <v/>
      </c>
      <c r="BL410">
        <f>IFERROR(INDEX(PP_Grid[#Data],$DD410,62),0)</f>
        <v/>
      </c>
      <c r="BM410">
        <f>IFERROR(INDEX(PP_Grid[#Data],$DD410,63),0)</f>
        <v/>
      </c>
      <c r="BN410">
        <f>IFERROR(INDEX(PP_Grid[#Data],$DD410,64),0)</f>
        <v/>
      </c>
      <c r="BO410">
        <f>IFERROR(INDEX(PP_Grid[#Data],$DD410,65),0)</f>
        <v/>
      </c>
      <c r="BP410">
        <f>IFERROR(INDEX(PP_Grid[#Data],$DD410,66),0)</f>
        <v/>
      </c>
      <c r="BQ410">
        <f>IFERROR(INDEX(PP_Grid[#Data],$DD410,67),0)</f>
        <v/>
      </c>
      <c r="BR410">
        <f>IFERROR(INDEX(PP_Grid[#Data],$DD410,68),0)</f>
        <v/>
      </c>
      <c r="BS410">
        <f>IFERROR(INDEX(PP_Grid[#Data],$DD410,69),0)</f>
        <v/>
      </c>
      <c r="BT410">
        <f>IFERROR(INDEX(PP_Grid[#Data],$DD410,70),0)</f>
        <v/>
      </c>
      <c r="BU410">
        <f>IFERROR(INDEX(PP_Grid[#Data],$DD410,71),0)</f>
        <v/>
      </c>
      <c r="BV410">
        <f>IFERROR(INDEX(PP_Grid[#Data],$DD410,72),0)</f>
        <v/>
      </c>
      <c r="BW410">
        <f>IFERROR(INDEX(PP_Grid[#Data],$DD410,73),0)</f>
        <v/>
      </c>
      <c r="BX410">
        <f>IFERROR(INDEX(PP_Grid[#Data],$DD410,74),0)</f>
        <v/>
      </c>
      <c r="BY410">
        <f>IFERROR(INDEX(PP_Grid[#Data],$DD410,75),0)</f>
        <v/>
      </c>
      <c r="BZ410">
        <f>IFERROR(INDEX(PP_Grid[#Data],$DD410,76),0)</f>
        <v/>
      </c>
      <c r="CA410">
        <f>IFERROR(INDEX(PP_Grid[#Data],$DD410,77),0)</f>
        <v/>
      </c>
      <c r="CB410">
        <f>IFERROR(INDEX(PP_Grid[#Data],$DD410,78),0)</f>
        <v/>
      </c>
      <c r="CC410">
        <f>IFERROR(INDEX(PP_Grid[#Data],$DD410,79),0)</f>
        <v/>
      </c>
      <c r="CD410">
        <f>IFERROR(INDEX(PP_Grid[#Data],$DD410,80),0)</f>
        <v/>
      </c>
      <c r="CE410">
        <f>IFERROR(INDEX(PP_Grid[#Data],$DD410,81),0)</f>
        <v/>
      </c>
      <c r="CF410">
        <f>IFERROR(INDEX(PP_Grid[#Data],$DD410,82),0)</f>
        <v/>
      </c>
      <c r="CG410">
        <f>IFERROR(INDEX(PP_Grid[#Data],$DD410,83),0)</f>
        <v/>
      </c>
      <c r="CH410">
        <f>IFERROR(INDEX(PP_Grid[#Data],$DD410,84),0)</f>
        <v/>
      </c>
      <c r="CI410">
        <f>IFERROR(INDEX(PP_Grid[#Data],$DD410,85),0)</f>
        <v/>
      </c>
      <c r="CJ410">
        <f>IFERROR(INDEX(PP_Grid[#Data],$DD410,86),0)</f>
        <v/>
      </c>
      <c r="CK410">
        <f>IFERROR(INDEX(PP_Grid[#Data],$DD410,87),0)</f>
        <v/>
      </c>
      <c r="CL410">
        <f>IFERROR(INDEX(PP_Grid[#Data],$DD410,88),0)</f>
        <v/>
      </c>
      <c r="CM410">
        <f>IFERROR(INDEX(PP_Grid[#Data],$DD410,89),0)</f>
        <v/>
      </c>
      <c r="CN410">
        <f>IFERROR(INDEX(PP_Grid[#Data],$DD410,90),0)</f>
        <v/>
      </c>
      <c r="CO410">
        <f>IFERROR(INDEX(PP_Grid[#Data],$DD410,91),0)</f>
        <v/>
      </c>
      <c r="CP410">
        <f>IFERROR(INDEX(PP_Grid[#Data],$DD410,92),0)</f>
        <v/>
      </c>
      <c r="CQ410">
        <f>IFERROR(INDEX(PP_Grid[#Data],$DD410,93),0)</f>
        <v/>
      </c>
      <c r="CR410">
        <f>IFERROR(INDEX(PP_Grid[#Data],$DD410,94),0)</f>
        <v/>
      </c>
      <c r="CS410">
        <f>IFERROR(INDEX(PP_Grid[#Data],$DD410,95),0)</f>
        <v/>
      </c>
      <c r="CT410">
        <f>IFERROR(INDEX(PP_Grid[#Data],$DD410,96),0)</f>
        <v/>
      </c>
      <c r="CU410">
        <f>IFERROR(INDEX(PP_Grid[#Data],$DD410,97),0)</f>
        <v/>
      </c>
      <c r="CV410">
        <f>IFERROR(INDEX(PP_Grid[#Data],$DD410,98),0)</f>
        <v/>
      </c>
      <c r="CW410">
        <f>IFERROR(INDEX(PP_Grid[#Data],$DD410,99),0)</f>
        <v/>
      </c>
      <c r="CX410">
        <f>IFERROR(INDEX(PP_Grid[#Data],$DD410,100),0)</f>
        <v/>
      </c>
      <c r="CY410">
        <f>IFERROR(INDEX(PP_Grid[#Data],$DD410,101),0)</f>
        <v/>
      </c>
      <c r="CZ410">
        <f>IFERROR(INDEX(PP_Grid[#Data],$DD410,102),0)</f>
        <v/>
      </c>
      <c r="DA410">
        <f>IFERROR(INDEX(PP_Grid[#Data],$DD410,103),0)</f>
        <v/>
      </c>
      <c r="DB410">
        <f>IFERROR(INDEX(PP_Grid[#Data],$DD410,104),0)</f>
        <v/>
      </c>
      <c r="DC410">
        <f>IFERROR(INDEX(PP_Grid[#Data],$DD410,105),0)</f>
        <v/>
      </c>
      <c r="DD410" s="12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SUMIFS(M_BOM[RM_Qty_Per_Batch],M_BOM[Intermediate],$B410,M_BOM[Part Name],$A383)</f>
        <v/>
      </c>
      <c r="D411">
        <f>$C411*D410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</row>
    <row r="412">
      <c r="B412" t="inlineStr">
        <is>
          <t>TSP-206</t>
        </is>
      </c>
      <c r="C412" t="inlineStr">
        <is>
          <t>No. of batches</t>
        </is>
      </c>
      <c r="D412">
        <f>IFERROR(INDEX(PP_Grid[#Data],$DD412,2),0)</f>
        <v/>
      </c>
      <c r="E412">
        <f>IFERROR(INDEX(PP_Grid[#Data],$DD412,3),0)</f>
        <v/>
      </c>
      <c r="F412">
        <f>IFERROR(INDEX(PP_Grid[#Data],$DD412,4),0)</f>
        <v/>
      </c>
      <c r="G412">
        <f>IFERROR(INDEX(PP_Grid[#Data],$DD412,5),0)</f>
        <v/>
      </c>
      <c r="H412">
        <f>IFERROR(INDEX(PP_Grid[#Data],$DD412,6),0)</f>
        <v/>
      </c>
      <c r="I412">
        <f>IFERROR(INDEX(PP_Grid[#Data],$DD412,7),0)</f>
        <v/>
      </c>
      <c r="J412">
        <f>IFERROR(INDEX(PP_Grid[#Data],$DD412,8),0)</f>
        <v/>
      </c>
      <c r="K412">
        <f>IFERROR(INDEX(PP_Grid[#Data],$DD412,9),0)</f>
        <v/>
      </c>
      <c r="L412">
        <f>IFERROR(INDEX(PP_Grid[#Data],$DD412,10),0)</f>
        <v/>
      </c>
      <c r="M412">
        <f>IFERROR(INDEX(PP_Grid[#Data],$DD412,11),0)</f>
        <v/>
      </c>
      <c r="N412">
        <f>IFERROR(INDEX(PP_Grid[#Data],$DD412,12),0)</f>
        <v/>
      </c>
      <c r="O412">
        <f>IFERROR(INDEX(PP_Grid[#Data],$DD412,13),0)</f>
        <v/>
      </c>
      <c r="P412">
        <f>IFERROR(INDEX(PP_Grid[#Data],$DD412,14),0)</f>
        <v/>
      </c>
      <c r="Q412">
        <f>IFERROR(INDEX(PP_Grid[#Data],$DD412,15),0)</f>
        <v/>
      </c>
      <c r="R412">
        <f>IFERROR(INDEX(PP_Grid[#Data],$DD412,16),0)</f>
        <v/>
      </c>
      <c r="S412">
        <f>IFERROR(INDEX(PP_Grid[#Data],$DD412,17),0)</f>
        <v/>
      </c>
      <c r="T412">
        <f>IFERROR(INDEX(PP_Grid[#Data],$DD412,18),0)</f>
        <v/>
      </c>
      <c r="U412">
        <f>IFERROR(INDEX(PP_Grid[#Data],$DD412,19),0)</f>
        <v/>
      </c>
      <c r="V412">
        <f>IFERROR(INDEX(PP_Grid[#Data],$DD412,20),0)</f>
        <v/>
      </c>
      <c r="W412">
        <f>IFERROR(INDEX(PP_Grid[#Data],$DD412,21),0)</f>
        <v/>
      </c>
      <c r="X412">
        <f>IFERROR(INDEX(PP_Grid[#Data],$DD412,22),0)</f>
        <v/>
      </c>
      <c r="Y412">
        <f>IFERROR(INDEX(PP_Grid[#Data],$DD412,23),0)</f>
        <v/>
      </c>
      <c r="Z412">
        <f>IFERROR(INDEX(PP_Grid[#Data],$DD412,24),0)</f>
        <v/>
      </c>
      <c r="AA412">
        <f>IFERROR(INDEX(PP_Grid[#Data],$DD412,25),0)</f>
        <v/>
      </c>
      <c r="AB412">
        <f>IFERROR(INDEX(PP_Grid[#Data],$DD412,26),0)</f>
        <v/>
      </c>
      <c r="AC412">
        <f>IFERROR(INDEX(PP_Grid[#Data],$DD412,27),0)</f>
        <v/>
      </c>
      <c r="AD412">
        <f>IFERROR(INDEX(PP_Grid[#Data],$DD412,28),0)</f>
        <v/>
      </c>
      <c r="AE412">
        <f>IFERROR(INDEX(PP_Grid[#Data],$DD412,29),0)</f>
        <v/>
      </c>
      <c r="AF412">
        <f>IFERROR(INDEX(PP_Grid[#Data],$DD412,30),0)</f>
        <v/>
      </c>
      <c r="AG412">
        <f>IFERROR(INDEX(PP_Grid[#Data],$DD412,31),0)</f>
        <v/>
      </c>
      <c r="AH412">
        <f>IFERROR(INDEX(PP_Grid[#Data],$DD412,32),0)</f>
        <v/>
      </c>
      <c r="AI412">
        <f>IFERROR(INDEX(PP_Grid[#Data],$DD412,33),0)</f>
        <v/>
      </c>
      <c r="AJ412">
        <f>IFERROR(INDEX(PP_Grid[#Data],$DD412,34),0)</f>
        <v/>
      </c>
      <c r="AK412">
        <f>IFERROR(INDEX(PP_Grid[#Data],$DD412,35),0)</f>
        <v/>
      </c>
      <c r="AL412">
        <f>IFERROR(INDEX(PP_Grid[#Data],$DD412,36),0)</f>
        <v/>
      </c>
      <c r="AM412">
        <f>IFERROR(INDEX(PP_Grid[#Data],$DD412,37),0)</f>
        <v/>
      </c>
      <c r="AN412">
        <f>IFERROR(INDEX(PP_Grid[#Data],$DD412,38),0)</f>
        <v/>
      </c>
      <c r="AO412">
        <f>IFERROR(INDEX(PP_Grid[#Data],$DD412,39),0)</f>
        <v/>
      </c>
      <c r="AP412">
        <f>IFERROR(INDEX(PP_Grid[#Data],$DD412,40),0)</f>
        <v/>
      </c>
      <c r="AQ412">
        <f>IFERROR(INDEX(PP_Grid[#Data],$DD412,41),0)</f>
        <v/>
      </c>
      <c r="AR412">
        <f>IFERROR(INDEX(PP_Grid[#Data],$DD412,42),0)</f>
        <v/>
      </c>
      <c r="AS412">
        <f>IFERROR(INDEX(PP_Grid[#Data],$DD412,43),0)</f>
        <v/>
      </c>
      <c r="AT412">
        <f>IFERROR(INDEX(PP_Grid[#Data],$DD412,44),0)</f>
        <v/>
      </c>
      <c r="AU412">
        <f>IFERROR(INDEX(PP_Grid[#Data],$DD412,45),0)</f>
        <v/>
      </c>
      <c r="AV412">
        <f>IFERROR(INDEX(PP_Grid[#Data],$DD412,46),0)</f>
        <v/>
      </c>
      <c r="AW412">
        <f>IFERROR(INDEX(PP_Grid[#Data],$DD412,47),0)</f>
        <v/>
      </c>
      <c r="AX412">
        <f>IFERROR(INDEX(PP_Grid[#Data],$DD412,48),0)</f>
        <v/>
      </c>
      <c r="AY412">
        <f>IFERROR(INDEX(PP_Grid[#Data],$DD412,49),0)</f>
        <v/>
      </c>
      <c r="AZ412">
        <f>IFERROR(INDEX(PP_Grid[#Data],$DD412,50),0)</f>
        <v/>
      </c>
      <c r="BA412">
        <f>IFERROR(INDEX(PP_Grid[#Data],$DD412,51),0)</f>
        <v/>
      </c>
      <c r="BB412">
        <f>IFERROR(INDEX(PP_Grid[#Data],$DD412,52),0)</f>
        <v/>
      </c>
      <c r="BC412">
        <f>IFERROR(INDEX(PP_Grid[#Data],$DD412,53),0)</f>
        <v/>
      </c>
      <c r="BD412">
        <f>IFERROR(INDEX(PP_Grid[#Data],$DD412,54),0)</f>
        <v/>
      </c>
      <c r="BE412">
        <f>IFERROR(INDEX(PP_Grid[#Data],$DD412,55),0)</f>
        <v/>
      </c>
      <c r="BF412">
        <f>IFERROR(INDEX(PP_Grid[#Data],$DD412,56),0)</f>
        <v/>
      </c>
      <c r="BG412">
        <f>IFERROR(INDEX(PP_Grid[#Data],$DD412,57),0)</f>
        <v/>
      </c>
      <c r="BH412">
        <f>IFERROR(INDEX(PP_Grid[#Data],$DD412,58),0)</f>
        <v/>
      </c>
      <c r="BI412">
        <f>IFERROR(INDEX(PP_Grid[#Data],$DD412,59),0)</f>
        <v/>
      </c>
      <c r="BJ412">
        <f>IFERROR(INDEX(PP_Grid[#Data],$DD412,60),0)</f>
        <v/>
      </c>
      <c r="BK412">
        <f>IFERROR(INDEX(PP_Grid[#Data],$DD412,61),0)</f>
        <v/>
      </c>
      <c r="BL412">
        <f>IFERROR(INDEX(PP_Grid[#Data],$DD412,62),0)</f>
        <v/>
      </c>
      <c r="BM412">
        <f>IFERROR(INDEX(PP_Grid[#Data],$DD412,63),0)</f>
        <v/>
      </c>
      <c r="BN412">
        <f>IFERROR(INDEX(PP_Grid[#Data],$DD412,64),0)</f>
        <v/>
      </c>
      <c r="BO412">
        <f>IFERROR(INDEX(PP_Grid[#Data],$DD412,65),0)</f>
        <v/>
      </c>
      <c r="BP412">
        <f>IFERROR(INDEX(PP_Grid[#Data],$DD412,66),0)</f>
        <v/>
      </c>
      <c r="BQ412">
        <f>IFERROR(INDEX(PP_Grid[#Data],$DD412,67),0)</f>
        <v/>
      </c>
      <c r="BR412">
        <f>IFERROR(INDEX(PP_Grid[#Data],$DD412,68),0)</f>
        <v/>
      </c>
      <c r="BS412">
        <f>IFERROR(INDEX(PP_Grid[#Data],$DD412,69),0)</f>
        <v/>
      </c>
      <c r="BT412">
        <f>IFERROR(INDEX(PP_Grid[#Data],$DD412,70),0)</f>
        <v/>
      </c>
      <c r="BU412">
        <f>IFERROR(INDEX(PP_Grid[#Data],$DD412,71),0)</f>
        <v/>
      </c>
      <c r="BV412">
        <f>IFERROR(INDEX(PP_Grid[#Data],$DD412,72),0)</f>
        <v/>
      </c>
      <c r="BW412">
        <f>IFERROR(INDEX(PP_Grid[#Data],$DD412,73),0)</f>
        <v/>
      </c>
      <c r="BX412">
        <f>IFERROR(INDEX(PP_Grid[#Data],$DD412,74),0)</f>
        <v/>
      </c>
      <c r="BY412">
        <f>IFERROR(INDEX(PP_Grid[#Data],$DD412,75),0)</f>
        <v/>
      </c>
      <c r="BZ412">
        <f>IFERROR(INDEX(PP_Grid[#Data],$DD412,76),0)</f>
        <v/>
      </c>
      <c r="CA412">
        <f>IFERROR(INDEX(PP_Grid[#Data],$DD412,77),0)</f>
        <v/>
      </c>
      <c r="CB412">
        <f>IFERROR(INDEX(PP_Grid[#Data],$DD412,78),0)</f>
        <v/>
      </c>
      <c r="CC412">
        <f>IFERROR(INDEX(PP_Grid[#Data],$DD412,79),0)</f>
        <v/>
      </c>
      <c r="CD412">
        <f>IFERROR(INDEX(PP_Grid[#Data],$DD412,80),0)</f>
        <v/>
      </c>
      <c r="CE412">
        <f>IFERROR(INDEX(PP_Grid[#Data],$DD412,81),0)</f>
        <v/>
      </c>
      <c r="CF412">
        <f>IFERROR(INDEX(PP_Grid[#Data],$DD412,82),0)</f>
        <v/>
      </c>
      <c r="CG412">
        <f>IFERROR(INDEX(PP_Grid[#Data],$DD412,83),0)</f>
        <v/>
      </c>
      <c r="CH412">
        <f>IFERROR(INDEX(PP_Grid[#Data],$DD412,84),0)</f>
        <v/>
      </c>
      <c r="CI412">
        <f>IFERROR(INDEX(PP_Grid[#Data],$DD412,85),0)</f>
        <v/>
      </c>
      <c r="CJ412">
        <f>IFERROR(INDEX(PP_Grid[#Data],$DD412,86),0)</f>
        <v/>
      </c>
      <c r="CK412">
        <f>IFERROR(INDEX(PP_Grid[#Data],$DD412,87),0)</f>
        <v/>
      </c>
      <c r="CL412">
        <f>IFERROR(INDEX(PP_Grid[#Data],$DD412,88),0)</f>
        <v/>
      </c>
      <c r="CM412">
        <f>IFERROR(INDEX(PP_Grid[#Data],$DD412,89),0)</f>
        <v/>
      </c>
      <c r="CN412">
        <f>IFERROR(INDEX(PP_Grid[#Data],$DD412,90),0)</f>
        <v/>
      </c>
      <c r="CO412">
        <f>IFERROR(INDEX(PP_Grid[#Data],$DD412,91),0)</f>
        <v/>
      </c>
      <c r="CP412">
        <f>IFERROR(INDEX(PP_Grid[#Data],$DD412,92),0)</f>
        <v/>
      </c>
      <c r="CQ412">
        <f>IFERROR(INDEX(PP_Grid[#Data],$DD412,93),0)</f>
        <v/>
      </c>
      <c r="CR412">
        <f>IFERROR(INDEX(PP_Grid[#Data],$DD412,94),0)</f>
        <v/>
      </c>
      <c r="CS412">
        <f>IFERROR(INDEX(PP_Grid[#Data],$DD412,95),0)</f>
        <v/>
      </c>
      <c r="CT412">
        <f>IFERROR(INDEX(PP_Grid[#Data],$DD412,96),0)</f>
        <v/>
      </c>
      <c r="CU412">
        <f>IFERROR(INDEX(PP_Grid[#Data],$DD412,97),0)</f>
        <v/>
      </c>
      <c r="CV412">
        <f>IFERROR(INDEX(PP_Grid[#Data],$DD412,98),0)</f>
        <v/>
      </c>
      <c r="CW412">
        <f>IFERROR(INDEX(PP_Grid[#Data],$DD412,99),0)</f>
        <v/>
      </c>
      <c r="CX412">
        <f>IFERROR(INDEX(PP_Grid[#Data],$DD412,100),0)</f>
        <v/>
      </c>
      <c r="CY412">
        <f>IFERROR(INDEX(PP_Grid[#Data],$DD412,101),0)</f>
        <v/>
      </c>
      <c r="CZ412">
        <f>IFERROR(INDEX(PP_Grid[#Data],$DD412,102),0)</f>
        <v/>
      </c>
      <c r="DA412">
        <f>IFERROR(INDEX(PP_Grid[#Data],$DD412,103),0)</f>
        <v/>
      </c>
      <c r="DB412">
        <f>IFERROR(INDEX(PP_Grid[#Data],$DD412,104),0)</f>
        <v/>
      </c>
      <c r="DC412">
        <f>IFERROR(INDEX(PP_Grid[#Data],$DD412,105),0)</f>
        <v/>
      </c>
      <c r="DD412" s="12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SUMIFS(M_BOM[RM_Qty_Per_Batch],M_BOM[Intermediate],$B412,M_BOM[Part Name],$A383)</f>
        <v/>
      </c>
      <c r="D413">
        <f>$C413*D412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</row>
    <row r="414">
      <c r="B414" t="inlineStr">
        <is>
          <t>TSP-224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12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Name],$A383)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TSP-367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12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Name],$A383)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TSP-369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12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Name],$A383)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TSP-544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12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Name],$A383)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TSP-618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12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Name],$A383)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TSP-620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12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Name],$A383)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TSP-623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12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Name],$A383)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TSP-668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12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Name],$A383)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TSP-669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12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Name],$A383)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t="inlineStr">
        <is>
          <t>TSP-670</t>
        </is>
      </c>
      <c r="C432" t="inlineStr">
        <is>
          <t>No. of batches</t>
        </is>
      </c>
      <c r="D432">
        <f>IFERROR(INDEX(PP_Grid[#Data],$DD432,2),0)</f>
        <v/>
      </c>
      <c r="E432">
        <f>IFERROR(INDEX(PP_Grid[#Data],$DD432,3),0)</f>
        <v/>
      </c>
      <c r="F432">
        <f>IFERROR(INDEX(PP_Grid[#Data],$DD432,4),0)</f>
        <v/>
      </c>
      <c r="G432">
        <f>IFERROR(INDEX(PP_Grid[#Data],$DD432,5),0)</f>
        <v/>
      </c>
      <c r="H432">
        <f>IFERROR(INDEX(PP_Grid[#Data],$DD432,6),0)</f>
        <v/>
      </c>
      <c r="I432">
        <f>IFERROR(INDEX(PP_Grid[#Data],$DD432,7),0)</f>
        <v/>
      </c>
      <c r="J432">
        <f>IFERROR(INDEX(PP_Grid[#Data],$DD432,8),0)</f>
        <v/>
      </c>
      <c r="K432">
        <f>IFERROR(INDEX(PP_Grid[#Data],$DD432,9),0)</f>
        <v/>
      </c>
      <c r="L432">
        <f>IFERROR(INDEX(PP_Grid[#Data],$DD432,10),0)</f>
        <v/>
      </c>
      <c r="M432">
        <f>IFERROR(INDEX(PP_Grid[#Data],$DD432,11),0)</f>
        <v/>
      </c>
      <c r="N432">
        <f>IFERROR(INDEX(PP_Grid[#Data],$DD432,12),0)</f>
        <v/>
      </c>
      <c r="O432">
        <f>IFERROR(INDEX(PP_Grid[#Data],$DD432,13),0)</f>
        <v/>
      </c>
      <c r="P432">
        <f>IFERROR(INDEX(PP_Grid[#Data],$DD432,14),0)</f>
        <v/>
      </c>
      <c r="Q432">
        <f>IFERROR(INDEX(PP_Grid[#Data],$DD432,15),0)</f>
        <v/>
      </c>
      <c r="R432">
        <f>IFERROR(INDEX(PP_Grid[#Data],$DD432,16),0)</f>
        <v/>
      </c>
      <c r="S432">
        <f>IFERROR(INDEX(PP_Grid[#Data],$DD432,17),0)</f>
        <v/>
      </c>
      <c r="T432">
        <f>IFERROR(INDEX(PP_Grid[#Data],$DD432,18),0)</f>
        <v/>
      </c>
      <c r="U432">
        <f>IFERROR(INDEX(PP_Grid[#Data],$DD432,19),0)</f>
        <v/>
      </c>
      <c r="V432">
        <f>IFERROR(INDEX(PP_Grid[#Data],$DD432,20),0)</f>
        <v/>
      </c>
      <c r="W432">
        <f>IFERROR(INDEX(PP_Grid[#Data],$DD432,21),0)</f>
        <v/>
      </c>
      <c r="X432">
        <f>IFERROR(INDEX(PP_Grid[#Data],$DD432,22),0)</f>
        <v/>
      </c>
      <c r="Y432">
        <f>IFERROR(INDEX(PP_Grid[#Data],$DD432,23),0)</f>
        <v/>
      </c>
      <c r="Z432">
        <f>IFERROR(INDEX(PP_Grid[#Data],$DD432,24),0)</f>
        <v/>
      </c>
      <c r="AA432">
        <f>IFERROR(INDEX(PP_Grid[#Data],$DD432,25),0)</f>
        <v/>
      </c>
      <c r="AB432">
        <f>IFERROR(INDEX(PP_Grid[#Data],$DD432,26),0)</f>
        <v/>
      </c>
      <c r="AC432">
        <f>IFERROR(INDEX(PP_Grid[#Data],$DD432,27),0)</f>
        <v/>
      </c>
      <c r="AD432">
        <f>IFERROR(INDEX(PP_Grid[#Data],$DD432,28),0)</f>
        <v/>
      </c>
      <c r="AE432">
        <f>IFERROR(INDEX(PP_Grid[#Data],$DD432,29),0)</f>
        <v/>
      </c>
      <c r="AF432">
        <f>IFERROR(INDEX(PP_Grid[#Data],$DD432,30),0)</f>
        <v/>
      </c>
      <c r="AG432">
        <f>IFERROR(INDEX(PP_Grid[#Data],$DD432,31),0)</f>
        <v/>
      </c>
      <c r="AH432">
        <f>IFERROR(INDEX(PP_Grid[#Data],$DD432,32),0)</f>
        <v/>
      </c>
      <c r="AI432">
        <f>IFERROR(INDEX(PP_Grid[#Data],$DD432,33),0)</f>
        <v/>
      </c>
      <c r="AJ432">
        <f>IFERROR(INDEX(PP_Grid[#Data],$DD432,34),0)</f>
        <v/>
      </c>
      <c r="AK432">
        <f>IFERROR(INDEX(PP_Grid[#Data],$DD432,35),0)</f>
        <v/>
      </c>
      <c r="AL432">
        <f>IFERROR(INDEX(PP_Grid[#Data],$DD432,36),0)</f>
        <v/>
      </c>
      <c r="AM432">
        <f>IFERROR(INDEX(PP_Grid[#Data],$DD432,37),0)</f>
        <v/>
      </c>
      <c r="AN432">
        <f>IFERROR(INDEX(PP_Grid[#Data],$DD432,38),0)</f>
        <v/>
      </c>
      <c r="AO432">
        <f>IFERROR(INDEX(PP_Grid[#Data],$DD432,39),0)</f>
        <v/>
      </c>
      <c r="AP432">
        <f>IFERROR(INDEX(PP_Grid[#Data],$DD432,40),0)</f>
        <v/>
      </c>
      <c r="AQ432">
        <f>IFERROR(INDEX(PP_Grid[#Data],$DD432,41),0)</f>
        <v/>
      </c>
      <c r="AR432">
        <f>IFERROR(INDEX(PP_Grid[#Data],$DD432,42),0)</f>
        <v/>
      </c>
      <c r="AS432">
        <f>IFERROR(INDEX(PP_Grid[#Data],$DD432,43),0)</f>
        <v/>
      </c>
      <c r="AT432">
        <f>IFERROR(INDEX(PP_Grid[#Data],$DD432,44),0)</f>
        <v/>
      </c>
      <c r="AU432">
        <f>IFERROR(INDEX(PP_Grid[#Data],$DD432,45),0)</f>
        <v/>
      </c>
      <c r="AV432">
        <f>IFERROR(INDEX(PP_Grid[#Data],$DD432,46),0)</f>
        <v/>
      </c>
      <c r="AW432">
        <f>IFERROR(INDEX(PP_Grid[#Data],$DD432,47),0)</f>
        <v/>
      </c>
      <c r="AX432">
        <f>IFERROR(INDEX(PP_Grid[#Data],$DD432,48),0)</f>
        <v/>
      </c>
      <c r="AY432">
        <f>IFERROR(INDEX(PP_Grid[#Data],$DD432,49),0)</f>
        <v/>
      </c>
      <c r="AZ432">
        <f>IFERROR(INDEX(PP_Grid[#Data],$DD432,50),0)</f>
        <v/>
      </c>
      <c r="BA432">
        <f>IFERROR(INDEX(PP_Grid[#Data],$DD432,51),0)</f>
        <v/>
      </c>
      <c r="BB432">
        <f>IFERROR(INDEX(PP_Grid[#Data],$DD432,52),0)</f>
        <v/>
      </c>
      <c r="BC432">
        <f>IFERROR(INDEX(PP_Grid[#Data],$DD432,53),0)</f>
        <v/>
      </c>
      <c r="BD432">
        <f>IFERROR(INDEX(PP_Grid[#Data],$DD432,54),0)</f>
        <v/>
      </c>
      <c r="BE432">
        <f>IFERROR(INDEX(PP_Grid[#Data],$DD432,55),0)</f>
        <v/>
      </c>
      <c r="BF432">
        <f>IFERROR(INDEX(PP_Grid[#Data],$DD432,56),0)</f>
        <v/>
      </c>
      <c r="BG432">
        <f>IFERROR(INDEX(PP_Grid[#Data],$DD432,57),0)</f>
        <v/>
      </c>
      <c r="BH432">
        <f>IFERROR(INDEX(PP_Grid[#Data],$DD432,58),0)</f>
        <v/>
      </c>
      <c r="BI432">
        <f>IFERROR(INDEX(PP_Grid[#Data],$DD432,59),0)</f>
        <v/>
      </c>
      <c r="BJ432">
        <f>IFERROR(INDEX(PP_Grid[#Data],$DD432,60),0)</f>
        <v/>
      </c>
      <c r="BK432">
        <f>IFERROR(INDEX(PP_Grid[#Data],$DD432,61),0)</f>
        <v/>
      </c>
      <c r="BL432">
        <f>IFERROR(INDEX(PP_Grid[#Data],$DD432,62),0)</f>
        <v/>
      </c>
      <c r="BM432">
        <f>IFERROR(INDEX(PP_Grid[#Data],$DD432,63),0)</f>
        <v/>
      </c>
      <c r="BN432">
        <f>IFERROR(INDEX(PP_Grid[#Data],$DD432,64),0)</f>
        <v/>
      </c>
      <c r="BO432">
        <f>IFERROR(INDEX(PP_Grid[#Data],$DD432,65),0)</f>
        <v/>
      </c>
      <c r="BP432">
        <f>IFERROR(INDEX(PP_Grid[#Data],$DD432,66),0)</f>
        <v/>
      </c>
      <c r="BQ432">
        <f>IFERROR(INDEX(PP_Grid[#Data],$DD432,67),0)</f>
        <v/>
      </c>
      <c r="BR432">
        <f>IFERROR(INDEX(PP_Grid[#Data],$DD432,68),0)</f>
        <v/>
      </c>
      <c r="BS432">
        <f>IFERROR(INDEX(PP_Grid[#Data],$DD432,69),0)</f>
        <v/>
      </c>
      <c r="BT432">
        <f>IFERROR(INDEX(PP_Grid[#Data],$DD432,70),0)</f>
        <v/>
      </c>
      <c r="BU432">
        <f>IFERROR(INDEX(PP_Grid[#Data],$DD432,71),0)</f>
        <v/>
      </c>
      <c r="BV432">
        <f>IFERROR(INDEX(PP_Grid[#Data],$DD432,72),0)</f>
        <v/>
      </c>
      <c r="BW432">
        <f>IFERROR(INDEX(PP_Grid[#Data],$DD432,73),0)</f>
        <v/>
      </c>
      <c r="BX432">
        <f>IFERROR(INDEX(PP_Grid[#Data],$DD432,74),0)</f>
        <v/>
      </c>
      <c r="BY432">
        <f>IFERROR(INDEX(PP_Grid[#Data],$DD432,75),0)</f>
        <v/>
      </c>
      <c r="BZ432">
        <f>IFERROR(INDEX(PP_Grid[#Data],$DD432,76),0)</f>
        <v/>
      </c>
      <c r="CA432">
        <f>IFERROR(INDEX(PP_Grid[#Data],$DD432,77),0)</f>
        <v/>
      </c>
      <c r="CB432">
        <f>IFERROR(INDEX(PP_Grid[#Data],$DD432,78),0)</f>
        <v/>
      </c>
      <c r="CC432">
        <f>IFERROR(INDEX(PP_Grid[#Data],$DD432,79),0)</f>
        <v/>
      </c>
      <c r="CD432">
        <f>IFERROR(INDEX(PP_Grid[#Data],$DD432,80),0)</f>
        <v/>
      </c>
      <c r="CE432">
        <f>IFERROR(INDEX(PP_Grid[#Data],$DD432,81),0)</f>
        <v/>
      </c>
      <c r="CF432">
        <f>IFERROR(INDEX(PP_Grid[#Data],$DD432,82),0)</f>
        <v/>
      </c>
      <c r="CG432">
        <f>IFERROR(INDEX(PP_Grid[#Data],$DD432,83),0)</f>
        <v/>
      </c>
      <c r="CH432">
        <f>IFERROR(INDEX(PP_Grid[#Data],$DD432,84),0)</f>
        <v/>
      </c>
      <c r="CI432">
        <f>IFERROR(INDEX(PP_Grid[#Data],$DD432,85),0)</f>
        <v/>
      </c>
      <c r="CJ432">
        <f>IFERROR(INDEX(PP_Grid[#Data],$DD432,86),0)</f>
        <v/>
      </c>
      <c r="CK432">
        <f>IFERROR(INDEX(PP_Grid[#Data],$DD432,87),0)</f>
        <v/>
      </c>
      <c r="CL432">
        <f>IFERROR(INDEX(PP_Grid[#Data],$DD432,88),0)</f>
        <v/>
      </c>
      <c r="CM432">
        <f>IFERROR(INDEX(PP_Grid[#Data],$DD432,89),0)</f>
        <v/>
      </c>
      <c r="CN432">
        <f>IFERROR(INDEX(PP_Grid[#Data],$DD432,90),0)</f>
        <v/>
      </c>
      <c r="CO432">
        <f>IFERROR(INDEX(PP_Grid[#Data],$DD432,91),0)</f>
        <v/>
      </c>
      <c r="CP432">
        <f>IFERROR(INDEX(PP_Grid[#Data],$DD432,92),0)</f>
        <v/>
      </c>
      <c r="CQ432">
        <f>IFERROR(INDEX(PP_Grid[#Data],$DD432,93),0)</f>
        <v/>
      </c>
      <c r="CR432">
        <f>IFERROR(INDEX(PP_Grid[#Data],$DD432,94),0)</f>
        <v/>
      </c>
      <c r="CS432">
        <f>IFERROR(INDEX(PP_Grid[#Data],$DD432,95),0)</f>
        <v/>
      </c>
      <c r="CT432">
        <f>IFERROR(INDEX(PP_Grid[#Data],$DD432,96),0)</f>
        <v/>
      </c>
      <c r="CU432">
        <f>IFERROR(INDEX(PP_Grid[#Data],$DD432,97),0)</f>
        <v/>
      </c>
      <c r="CV432">
        <f>IFERROR(INDEX(PP_Grid[#Data],$DD432,98),0)</f>
        <v/>
      </c>
      <c r="CW432">
        <f>IFERROR(INDEX(PP_Grid[#Data],$DD432,99),0)</f>
        <v/>
      </c>
      <c r="CX432">
        <f>IFERROR(INDEX(PP_Grid[#Data],$DD432,100),0)</f>
        <v/>
      </c>
      <c r="CY432">
        <f>IFERROR(INDEX(PP_Grid[#Data],$DD432,101),0)</f>
        <v/>
      </c>
      <c r="CZ432">
        <f>IFERROR(INDEX(PP_Grid[#Data],$DD432,102),0)</f>
        <v/>
      </c>
      <c r="DA432">
        <f>IFERROR(INDEX(PP_Grid[#Data],$DD432,103),0)</f>
        <v/>
      </c>
      <c r="DB432">
        <f>IFERROR(INDEX(PP_Grid[#Data],$DD432,104),0)</f>
        <v/>
      </c>
      <c r="DC432">
        <f>IFERROR(INDEX(PP_Grid[#Data],$DD432,105),0)</f>
        <v/>
      </c>
      <c r="DD432" s="12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SUMIFS(M_BOM[RM_Qty_Per_Batch],M_BOM[Intermediate],$B432,M_BOM[Part Name],$A383)</f>
        <v/>
      </c>
      <c r="D433">
        <f>$C433*D432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</row>
    <row r="434">
      <c r="B434" t="inlineStr">
        <is>
          <t>TSP-710</t>
        </is>
      </c>
      <c r="C434" t="inlineStr">
        <is>
          <t>No. of batches</t>
        </is>
      </c>
      <c r="D434">
        <f>IFERROR(INDEX(PP_Grid[#Data],$DD434,2),0)</f>
        <v/>
      </c>
      <c r="E434">
        <f>IFERROR(INDEX(PP_Grid[#Data],$DD434,3),0)</f>
        <v/>
      </c>
      <c r="F434">
        <f>IFERROR(INDEX(PP_Grid[#Data],$DD434,4),0)</f>
        <v/>
      </c>
      <c r="G434">
        <f>IFERROR(INDEX(PP_Grid[#Data],$DD434,5),0)</f>
        <v/>
      </c>
      <c r="H434">
        <f>IFERROR(INDEX(PP_Grid[#Data],$DD434,6),0)</f>
        <v/>
      </c>
      <c r="I434">
        <f>IFERROR(INDEX(PP_Grid[#Data],$DD434,7),0)</f>
        <v/>
      </c>
      <c r="J434">
        <f>IFERROR(INDEX(PP_Grid[#Data],$DD434,8),0)</f>
        <v/>
      </c>
      <c r="K434">
        <f>IFERROR(INDEX(PP_Grid[#Data],$DD434,9),0)</f>
        <v/>
      </c>
      <c r="L434">
        <f>IFERROR(INDEX(PP_Grid[#Data],$DD434,10),0)</f>
        <v/>
      </c>
      <c r="M434">
        <f>IFERROR(INDEX(PP_Grid[#Data],$DD434,11),0)</f>
        <v/>
      </c>
      <c r="N434">
        <f>IFERROR(INDEX(PP_Grid[#Data],$DD434,12),0)</f>
        <v/>
      </c>
      <c r="O434">
        <f>IFERROR(INDEX(PP_Grid[#Data],$DD434,13),0)</f>
        <v/>
      </c>
      <c r="P434">
        <f>IFERROR(INDEX(PP_Grid[#Data],$DD434,14),0)</f>
        <v/>
      </c>
      <c r="Q434">
        <f>IFERROR(INDEX(PP_Grid[#Data],$DD434,15),0)</f>
        <v/>
      </c>
      <c r="R434">
        <f>IFERROR(INDEX(PP_Grid[#Data],$DD434,16),0)</f>
        <v/>
      </c>
      <c r="S434">
        <f>IFERROR(INDEX(PP_Grid[#Data],$DD434,17),0)</f>
        <v/>
      </c>
      <c r="T434">
        <f>IFERROR(INDEX(PP_Grid[#Data],$DD434,18),0)</f>
        <v/>
      </c>
      <c r="U434">
        <f>IFERROR(INDEX(PP_Grid[#Data],$DD434,19),0)</f>
        <v/>
      </c>
      <c r="V434">
        <f>IFERROR(INDEX(PP_Grid[#Data],$DD434,20),0)</f>
        <v/>
      </c>
      <c r="W434">
        <f>IFERROR(INDEX(PP_Grid[#Data],$DD434,21),0)</f>
        <v/>
      </c>
      <c r="X434">
        <f>IFERROR(INDEX(PP_Grid[#Data],$DD434,22),0)</f>
        <v/>
      </c>
      <c r="Y434">
        <f>IFERROR(INDEX(PP_Grid[#Data],$DD434,23),0)</f>
        <v/>
      </c>
      <c r="Z434">
        <f>IFERROR(INDEX(PP_Grid[#Data],$DD434,24),0)</f>
        <v/>
      </c>
      <c r="AA434">
        <f>IFERROR(INDEX(PP_Grid[#Data],$DD434,25),0)</f>
        <v/>
      </c>
      <c r="AB434">
        <f>IFERROR(INDEX(PP_Grid[#Data],$DD434,26),0)</f>
        <v/>
      </c>
      <c r="AC434">
        <f>IFERROR(INDEX(PP_Grid[#Data],$DD434,27),0)</f>
        <v/>
      </c>
      <c r="AD434">
        <f>IFERROR(INDEX(PP_Grid[#Data],$DD434,28),0)</f>
        <v/>
      </c>
      <c r="AE434">
        <f>IFERROR(INDEX(PP_Grid[#Data],$DD434,29),0)</f>
        <v/>
      </c>
      <c r="AF434">
        <f>IFERROR(INDEX(PP_Grid[#Data],$DD434,30),0)</f>
        <v/>
      </c>
      <c r="AG434">
        <f>IFERROR(INDEX(PP_Grid[#Data],$DD434,31),0)</f>
        <v/>
      </c>
      <c r="AH434">
        <f>IFERROR(INDEX(PP_Grid[#Data],$DD434,32),0)</f>
        <v/>
      </c>
      <c r="AI434">
        <f>IFERROR(INDEX(PP_Grid[#Data],$DD434,33),0)</f>
        <v/>
      </c>
      <c r="AJ434">
        <f>IFERROR(INDEX(PP_Grid[#Data],$DD434,34),0)</f>
        <v/>
      </c>
      <c r="AK434">
        <f>IFERROR(INDEX(PP_Grid[#Data],$DD434,35),0)</f>
        <v/>
      </c>
      <c r="AL434">
        <f>IFERROR(INDEX(PP_Grid[#Data],$DD434,36),0)</f>
        <v/>
      </c>
      <c r="AM434">
        <f>IFERROR(INDEX(PP_Grid[#Data],$DD434,37),0)</f>
        <v/>
      </c>
      <c r="AN434">
        <f>IFERROR(INDEX(PP_Grid[#Data],$DD434,38),0)</f>
        <v/>
      </c>
      <c r="AO434">
        <f>IFERROR(INDEX(PP_Grid[#Data],$DD434,39),0)</f>
        <v/>
      </c>
      <c r="AP434">
        <f>IFERROR(INDEX(PP_Grid[#Data],$DD434,40),0)</f>
        <v/>
      </c>
      <c r="AQ434">
        <f>IFERROR(INDEX(PP_Grid[#Data],$DD434,41),0)</f>
        <v/>
      </c>
      <c r="AR434">
        <f>IFERROR(INDEX(PP_Grid[#Data],$DD434,42),0)</f>
        <v/>
      </c>
      <c r="AS434">
        <f>IFERROR(INDEX(PP_Grid[#Data],$DD434,43),0)</f>
        <v/>
      </c>
      <c r="AT434">
        <f>IFERROR(INDEX(PP_Grid[#Data],$DD434,44),0)</f>
        <v/>
      </c>
      <c r="AU434">
        <f>IFERROR(INDEX(PP_Grid[#Data],$DD434,45),0)</f>
        <v/>
      </c>
      <c r="AV434">
        <f>IFERROR(INDEX(PP_Grid[#Data],$DD434,46),0)</f>
        <v/>
      </c>
      <c r="AW434">
        <f>IFERROR(INDEX(PP_Grid[#Data],$DD434,47),0)</f>
        <v/>
      </c>
      <c r="AX434">
        <f>IFERROR(INDEX(PP_Grid[#Data],$DD434,48),0)</f>
        <v/>
      </c>
      <c r="AY434">
        <f>IFERROR(INDEX(PP_Grid[#Data],$DD434,49),0)</f>
        <v/>
      </c>
      <c r="AZ434">
        <f>IFERROR(INDEX(PP_Grid[#Data],$DD434,50),0)</f>
        <v/>
      </c>
      <c r="BA434">
        <f>IFERROR(INDEX(PP_Grid[#Data],$DD434,51),0)</f>
        <v/>
      </c>
      <c r="BB434">
        <f>IFERROR(INDEX(PP_Grid[#Data],$DD434,52),0)</f>
        <v/>
      </c>
      <c r="BC434">
        <f>IFERROR(INDEX(PP_Grid[#Data],$DD434,53),0)</f>
        <v/>
      </c>
      <c r="BD434">
        <f>IFERROR(INDEX(PP_Grid[#Data],$DD434,54),0)</f>
        <v/>
      </c>
      <c r="BE434">
        <f>IFERROR(INDEX(PP_Grid[#Data],$DD434,55),0)</f>
        <v/>
      </c>
      <c r="BF434">
        <f>IFERROR(INDEX(PP_Grid[#Data],$DD434,56),0)</f>
        <v/>
      </c>
      <c r="BG434">
        <f>IFERROR(INDEX(PP_Grid[#Data],$DD434,57),0)</f>
        <v/>
      </c>
      <c r="BH434">
        <f>IFERROR(INDEX(PP_Grid[#Data],$DD434,58),0)</f>
        <v/>
      </c>
      <c r="BI434">
        <f>IFERROR(INDEX(PP_Grid[#Data],$DD434,59),0)</f>
        <v/>
      </c>
      <c r="BJ434">
        <f>IFERROR(INDEX(PP_Grid[#Data],$DD434,60),0)</f>
        <v/>
      </c>
      <c r="BK434">
        <f>IFERROR(INDEX(PP_Grid[#Data],$DD434,61),0)</f>
        <v/>
      </c>
      <c r="BL434">
        <f>IFERROR(INDEX(PP_Grid[#Data],$DD434,62),0)</f>
        <v/>
      </c>
      <c r="BM434">
        <f>IFERROR(INDEX(PP_Grid[#Data],$DD434,63),0)</f>
        <v/>
      </c>
      <c r="BN434">
        <f>IFERROR(INDEX(PP_Grid[#Data],$DD434,64),0)</f>
        <v/>
      </c>
      <c r="BO434">
        <f>IFERROR(INDEX(PP_Grid[#Data],$DD434,65),0)</f>
        <v/>
      </c>
      <c r="BP434">
        <f>IFERROR(INDEX(PP_Grid[#Data],$DD434,66),0)</f>
        <v/>
      </c>
      <c r="BQ434">
        <f>IFERROR(INDEX(PP_Grid[#Data],$DD434,67),0)</f>
        <v/>
      </c>
      <c r="BR434">
        <f>IFERROR(INDEX(PP_Grid[#Data],$DD434,68),0)</f>
        <v/>
      </c>
      <c r="BS434">
        <f>IFERROR(INDEX(PP_Grid[#Data],$DD434,69),0)</f>
        <v/>
      </c>
      <c r="BT434">
        <f>IFERROR(INDEX(PP_Grid[#Data],$DD434,70),0)</f>
        <v/>
      </c>
      <c r="BU434">
        <f>IFERROR(INDEX(PP_Grid[#Data],$DD434,71),0)</f>
        <v/>
      </c>
      <c r="BV434">
        <f>IFERROR(INDEX(PP_Grid[#Data],$DD434,72),0)</f>
        <v/>
      </c>
      <c r="BW434">
        <f>IFERROR(INDEX(PP_Grid[#Data],$DD434,73),0)</f>
        <v/>
      </c>
      <c r="BX434">
        <f>IFERROR(INDEX(PP_Grid[#Data],$DD434,74),0)</f>
        <v/>
      </c>
      <c r="BY434">
        <f>IFERROR(INDEX(PP_Grid[#Data],$DD434,75),0)</f>
        <v/>
      </c>
      <c r="BZ434">
        <f>IFERROR(INDEX(PP_Grid[#Data],$DD434,76),0)</f>
        <v/>
      </c>
      <c r="CA434">
        <f>IFERROR(INDEX(PP_Grid[#Data],$DD434,77),0)</f>
        <v/>
      </c>
      <c r="CB434">
        <f>IFERROR(INDEX(PP_Grid[#Data],$DD434,78),0)</f>
        <v/>
      </c>
      <c r="CC434">
        <f>IFERROR(INDEX(PP_Grid[#Data],$DD434,79),0)</f>
        <v/>
      </c>
      <c r="CD434">
        <f>IFERROR(INDEX(PP_Grid[#Data],$DD434,80),0)</f>
        <v/>
      </c>
      <c r="CE434">
        <f>IFERROR(INDEX(PP_Grid[#Data],$DD434,81),0)</f>
        <v/>
      </c>
      <c r="CF434">
        <f>IFERROR(INDEX(PP_Grid[#Data],$DD434,82),0)</f>
        <v/>
      </c>
      <c r="CG434">
        <f>IFERROR(INDEX(PP_Grid[#Data],$DD434,83),0)</f>
        <v/>
      </c>
      <c r="CH434">
        <f>IFERROR(INDEX(PP_Grid[#Data],$DD434,84),0)</f>
        <v/>
      </c>
      <c r="CI434">
        <f>IFERROR(INDEX(PP_Grid[#Data],$DD434,85),0)</f>
        <v/>
      </c>
      <c r="CJ434">
        <f>IFERROR(INDEX(PP_Grid[#Data],$DD434,86),0)</f>
        <v/>
      </c>
      <c r="CK434">
        <f>IFERROR(INDEX(PP_Grid[#Data],$DD434,87),0)</f>
        <v/>
      </c>
      <c r="CL434">
        <f>IFERROR(INDEX(PP_Grid[#Data],$DD434,88),0)</f>
        <v/>
      </c>
      <c r="CM434">
        <f>IFERROR(INDEX(PP_Grid[#Data],$DD434,89),0)</f>
        <v/>
      </c>
      <c r="CN434">
        <f>IFERROR(INDEX(PP_Grid[#Data],$DD434,90),0)</f>
        <v/>
      </c>
      <c r="CO434">
        <f>IFERROR(INDEX(PP_Grid[#Data],$DD434,91),0)</f>
        <v/>
      </c>
      <c r="CP434">
        <f>IFERROR(INDEX(PP_Grid[#Data],$DD434,92),0)</f>
        <v/>
      </c>
      <c r="CQ434">
        <f>IFERROR(INDEX(PP_Grid[#Data],$DD434,93),0)</f>
        <v/>
      </c>
      <c r="CR434">
        <f>IFERROR(INDEX(PP_Grid[#Data],$DD434,94),0)</f>
        <v/>
      </c>
      <c r="CS434">
        <f>IFERROR(INDEX(PP_Grid[#Data],$DD434,95),0)</f>
        <v/>
      </c>
      <c r="CT434">
        <f>IFERROR(INDEX(PP_Grid[#Data],$DD434,96),0)</f>
        <v/>
      </c>
      <c r="CU434">
        <f>IFERROR(INDEX(PP_Grid[#Data],$DD434,97),0)</f>
        <v/>
      </c>
      <c r="CV434">
        <f>IFERROR(INDEX(PP_Grid[#Data],$DD434,98),0)</f>
        <v/>
      </c>
      <c r="CW434">
        <f>IFERROR(INDEX(PP_Grid[#Data],$DD434,99),0)</f>
        <v/>
      </c>
      <c r="CX434">
        <f>IFERROR(INDEX(PP_Grid[#Data],$DD434,100),0)</f>
        <v/>
      </c>
      <c r="CY434">
        <f>IFERROR(INDEX(PP_Grid[#Data],$DD434,101),0)</f>
        <v/>
      </c>
      <c r="CZ434">
        <f>IFERROR(INDEX(PP_Grid[#Data],$DD434,102),0)</f>
        <v/>
      </c>
      <c r="DA434">
        <f>IFERROR(INDEX(PP_Grid[#Data],$DD434,103),0)</f>
        <v/>
      </c>
      <c r="DB434">
        <f>IFERROR(INDEX(PP_Grid[#Data],$DD434,104),0)</f>
        <v/>
      </c>
      <c r="DC434">
        <f>IFERROR(INDEX(PP_Grid[#Data],$DD434,105),0)</f>
        <v/>
      </c>
      <c r="DD434" s="12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SUMIFS(M_BOM[RM_Qty_Per_Batch],M_BOM[Intermediate],$B434,M_BOM[Part Name],$A383)</f>
        <v/>
      </c>
      <c r="D435">
        <f>$C435*D434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</row>
    <row r="436">
      <c r="B436" t="inlineStr">
        <is>
          <t>TSP-828</t>
        </is>
      </c>
      <c r="C436" t="inlineStr">
        <is>
          <t>No. of batches</t>
        </is>
      </c>
      <c r="D436">
        <f>IFERROR(INDEX(PP_Grid[#Data],$DD436,2),0)</f>
        <v/>
      </c>
      <c r="E436">
        <f>IFERROR(INDEX(PP_Grid[#Data],$DD436,3),0)</f>
        <v/>
      </c>
      <c r="F436">
        <f>IFERROR(INDEX(PP_Grid[#Data],$DD436,4),0)</f>
        <v/>
      </c>
      <c r="G436">
        <f>IFERROR(INDEX(PP_Grid[#Data],$DD436,5),0)</f>
        <v/>
      </c>
      <c r="H436">
        <f>IFERROR(INDEX(PP_Grid[#Data],$DD436,6),0)</f>
        <v/>
      </c>
      <c r="I436">
        <f>IFERROR(INDEX(PP_Grid[#Data],$DD436,7),0)</f>
        <v/>
      </c>
      <c r="J436">
        <f>IFERROR(INDEX(PP_Grid[#Data],$DD436,8),0)</f>
        <v/>
      </c>
      <c r="K436">
        <f>IFERROR(INDEX(PP_Grid[#Data],$DD436,9),0)</f>
        <v/>
      </c>
      <c r="L436">
        <f>IFERROR(INDEX(PP_Grid[#Data],$DD436,10),0)</f>
        <v/>
      </c>
      <c r="M436">
        <f>IFERROR(INDEX(PP_Grid[#Data],$DD436,11),0)</f>
        <v/>
      </c>
      <c r="N436">
        <f>IFERROR(INDEX(PP_Grid[#Data],$DD436,12),0)</f>
        <v/>
      </c>
      <c r="O436">
        <f>IFERROR(INDEX(PP_Grid[#Data],$DD436,13),0)</f>
        <v/>
      </c>
      <c r="P436">
        <f>IFERROR(INDEX(PP_Grid[#Data],$DD436,14),0)</f>
        <v/>
      </c>
      <c r="Q436">
        <f>IFERROR(INDEX(PP_Grid[#Data],$DD436,15),0)</f>
        <v/>
      </c>
      <c r="R436">
        <f>IFERROR(INDEX(PP_Grid[#Data],$DD436,16),0)</f>
        <v/>
      </c>
      <c r="S436">
        <f>IFERROR(INDEX(PP_Grid[#Data],$DD436,17),0)</f>
        <v/>
      </c>
      <c r="T436">
        <f>IFERROR(INDEX(PP_Grid[#Data],$DD436,18),0)</f>
        <v/>
      </c>
      <c r="U436">
        <f>IFERROR(INDEX(PP_Grid[#Data],$DD436,19),0)</f>
        <v/>
      </c>
      <c r="V436">
        <f>IFERROR(INDEX(PP_Grid[#Data],$DD436,20),0)</f>
        <v/>
      </c>
      <c r="W436">
        <f>IFERROR(INDEX(PP_Grid[#Data],$DD436,21),0)</f>
        <v/>
      </c>
      <c r="X436">
        <f>IFERROR(INDEX(PP_Grid[#Data],$DD436,22),0)</f>
        <v/>
      </c>
      <c r="Y436">
        <f>IFERROR(INDEX(PP_Grid[#Data],$DD436,23),0)</f>
        <v/>
      </c>
      <c r="Z436">
        <f>IFERROR(INDEX(PP_Grid[#Data],$DD436,24),0)</f>
        <v/>
      </c>
      <c r="AA436">
        <f>IFERROR(INDEX(PP_Grid[#Data],$DD436,25),0)</f>
        <v/>
      </c>
      <c r="AB436">
        <f>IFERROR(INDEX(PP_Grid[#Data],$DD436,26),0)</f>
        <v/>
      </c>
      <c r="AC436">
        <f>IFERROR(INDEX(PP_Grid[#Data],$DD436,27),0)</f>
        <v/>
      </c>
      <c r="AD436">
        <f>IFERROR(INDEX(PP_Grid[#Data],$DD436,28),0)</f>
        <v/>
      </c>
      <c r="AE436">
        <f>IFERROR(INDEX(PP_Grid[#Data],$DD436,29),0)</f>
        <v/>
      </c>
      <c r="AF436">
        <f>IFERROR(INDEX(PP_Grid[#Data],$DD436,30),0)</f>
        <v/>
      </c>
      <c r="AG436">
        <f>IFERROR(INDEX(PP_Grid[#Data],$DD436,31),0)</f>
        <v/>
      </c>
      <c r="AH436">
        <f>IFERROR(INDEX(PP_Grid[#Data],$DD436,32),0)</f>
        <v/>
      </c>
      <c r="AI436">
        <f>IFERROR(INDEX(PP_Grid[#Data],$DD436,33),0)</f>
        <v/>
      </c>
      <c r="AJ436">
        <f>IFERROR(INDEX(PP_Grid[#Data],$DD436,34),0)</f>
        <v/>
      </c>
      <c r="AK436">
        <f>IFERROR(INDEX(PP_Grid[#Data],$DD436,35),0)</f>
        <v/>
      </c>
      <c r="AL436">
        <f>IFERROR(INDEX(PP_Grid[#Data],$DD436,36),0)</f>
        <v/>
      </c>
      <c r="AM436">
        <f>IFERROR(INDEX(PP_Grid[#Data],$DD436,37),0)</f>
        <v/>
      </c>
      <c r="AN436">
        <f>IFERROR(INDEX(PP_Grid[#Data],$DD436,38),0)</f>
        <v/>
      </c>
      <c r="AO436">
        <f>IFERROR(INDEX(PP_Grid[#Data],$DD436,39),0)</f>
        <v/>
      </c>
      <c r="AP436">
        <f>IFERROR(INDEX(PP_Grid[#Data],$DD436,40),0)</f>
        <v/>
      </c>
      <c r="AQ436">
        <f>IFERROR(INDEX(PP_Grid[#Data],$DD436,41),0)</f>
        <v/>
      </c>
      <c r="AR436">
        <f>IFERROR(INDEX(PP_Grid[#Data],$DD436,42),0)</f>
        <v/>
      </c>
      <c r="AS436">
        <f>IFERROR(INDEX(PP_Grid[#Data],$DD436,43),0)</f>
        <v/>
      </c>
      <c r="AT436">
        <f>IFERROR(INDEX(PP_Grid[#Data],$DD436,44),0)</f>
        <v/>
      </c>
      <c r="AU436">
        <f>IFERROR(INDEX(PP_Grid[#Data],$DD436,45),0)</f>
        <v/>
      </c>
      <c r="AV436">
        <f>IFERROR(INDEX(PP_Grid[#Data],$DD436,46),0)</f>
        <v/>
      </c>
      <c r="AW436">
        <f>IFERROR(INDEX(PP_Grid[#Data],$DD436,47),0)</f>
        <v/>
      </c>
      <c r="AX436">
        <f>IFERROR(INDEX(PP_Grid[#Data],$DD436,48),0)</f>
        <v/>
      </c>
      <c r="AY436">
        <f>IFERROR(INDEX(PP_Grid[#Data],$DD436,49),0)</f>
        <v/>
      </c>
      <c r="AZ436">
        <f>IFERROR(INDEX(PP_Grid[#Data],$DD436,50),0)</f>
        <v/>
      </c>
      <c r="BA436">
        <f>IFERROR(INDEX(PP_Grid[#Data],$DD436,51),0)</f>
        <v/>
      </c>
      <c r="BB436">
        <f>IFERROR(INDEX(PP_Grid[#Data],$DD436,52),0)</f>
        <v/>
      </c>
      <c r="BC436">
        <f>IFERROR(INDEX(PP_Grid[#Data],$DD436,53),0)</f>
        <v/>
      </c>
      <c r="BD436">
        <f>IFERROR(INDEX(PP_Grid[#Data],$DD436,54),0)</f>
        <v/>
      </c>
      <c r="BE436">
        <f>IFERROR(INDEX(PP_Grid[#Data],$DD436,55),0)</f>
        <v/>
      </c>
      <c r="BF436">
        <f>IFERROR(INDEX(PP_Grid[#Data],$DD436,56),0)</f>
        <v/>
      </c>
      <c r="BG436">
        <f>IFERROR(INDEX(PP_Grid[#Data],$DD436,57),0)</f>
        <v/>
      </c>
      <c r="BH436">
        <f>IFERROR(INDEX(PP_Grid[#Data],$DD436,58),0)</f>
        <v/>
      </c>
      <c r="BI436">
        <f>IFERROR(INDEX(PP_Grid[#Data],$DD436,59),0)</f>
        <v/>
      </c>
      <c r="BJ436">
        <f>IFERROR(INDEX(PP_Grid[#Data],$DD436,60),0)</f>
        <v/>
      </c>
      <c r="BK436">
        <f>IFERROR(INDEX(PP_Grid[#Data],$DD436,61),0)</f>
        <v/>
      </c>
      <c r="BL436">
        <f>IFERROR(INDEX(PP_Grid[#Data],$DD436,62),0)</f>
        <v/>
      </c>
      <c r="BM436">
        <f>IFERROR(INDEX(PP_Grid[#Data],$DD436,63),0)</f>
        <v/>
      </c>
      <c r="BN436">
        <f>IFERROR(INDEX(PP_Grid[#Data],$DD436,64),0)</f>
        <v/>
      </c>
      <c r="BO436">
        <f>IFERROR(INDEX(PP_Grid[#Data],$DD436,65),0)</f>
        <v/>
      </c>
      <c r="BP436">
        <f>IFERROR(INDEX(PP_Grid[#Data],$DD436,66),0)</f>
        <v/>
      </c>
      <c r="BQ436">
        <f>IFERROR(INDEX(PP_Grid[#Data],$DD436,67),0)</f>
        <v/>
      </c>
      <c r="BR436">
        <f>IFERROR(INDEX(PP_Grid[#Data],$DD436,68),0)</f>
        <v/>
      </c>
      <c r="BS436">
        <f>IFERROR(INDEX(PP_Grid[#Data],$DD436,69),0)</f>
        <v/>
      </c>
      <c r="BT436">
        <f>IFERROR(INDEX(PP_Grid[#Data],$DD436,70),0)</f>
        <v/>
      </c>
      <c r="BU436">
        <f>IFERROR(INDEX(PP_Grid[#Data],$DD436,71),0)</f>
        <v/>
      </c>
      <c r="BV436">
        <f>IFERROR(INDEX(PP_Grid[#Data],$DD436,72),0)</f>
        <v/>
      </c>
      <c r="BW436">
        <f>IFERROR(INDEX(PP_Grid[#Data],$DD436,73),0)</f>
        <v/>
      </c>
      <c r="BX436">
        <f>IFERROR(INDEX(PP_Grid[#Data],$DD436,74),0)</f>
        <v/>
      </c>
      <c r="BY436">
        <f>IFERROR(INDEX(PP_Grid[#Data],$DD436,75),0)</f>
        <v/>
      </c>
      <c r="BZ436">
        <f>IFERROR(INDEX(PP_Grid[#Data],$DD436,76),0)</f>
        <v/>
      </c>
      <c r="CA436">
        <f>IFERROR(INDEX(PP_Grid[#Data],$DD436,77),0)</f>
        <v/>
      </c>
      <c r="CB436">
        <f>IFERROR(INDEX(PP_Grid[#Data],$DD436,78),0)</f>
        <v/>
      </c>
      <c r="CC436">
        <f>IFERROR(INDEX(PP_Grid[#Data],$DD436,79),0)</f>
        <v/>
      </c>
      <c r="CD436">
        <f>IFERROR(INDEX(PP_Grid[#Data],$DD436,80),0)</f>
        <v/>
      </c>
      <c r="CE436">
        <f>IFERROR(INDEX(PP_Grid[#Data],$DD436,81),0)</f>
        <v/>
      </c>
      <c r="CF436">
        <f>IFERROR(INDEX(PP_Grid[#Data],$DD436,82),0)</f>
        <v/>
      </c>
      <c r="CG436">
        <f>IFERROR(INDEX(PP_Grid[#Data],$DD436,83),0)</f>
        <v/>
      </c>
      <c r="CH436">
        <f>IFERROR(INDEX(PP_Grid[#Data],$DD436,84),0)</f>
        <v/>
      </c>
      <c r="CI436">
        <f>IFERROR(INDEX(PP_Grid[#Data],$DD436,85),0)</f>
        <v/>
      </c>
      <c r="CJ436">
        <f>IFERROR(INDEX(PP_Grid[#Data],$DD436,86),0)</f>
        <v/>
      </c>
      <c r="CK436">
        <f>IFERROR(INDEX(PP_Grid[#Data],$DD436,87),0)</f>
        <v/>
      </c>
      <c r="CL436">
        <f>IFERROR(INDEX(PP_Grid[#Data],$DD436,88),0)</f>
        <v/>
      </c>
      <c r="CM436">
        <f>IFERROR(INDEX(PP_Grid[#Data],$DD436,89),0)</f>
        <v/>
      </c>
      <c r="CN436">
        <f>IFERROR(INDEX(PP_Grid[#Data],$DD436,90),0)</f>
        <v/>
      </c>
      <c r="CO436">
        <f>IFERROR(INDEX(PP_Grid[#Data],$DD436,91),0)</f>
        <v/>
      </c>
      <c r="CP436">
        <f>IFERROR(INDEX(PP_Grid[#Data],$DD436,92),0)</f>
        <v/>
      </c>
      <c r="CQ436">
        <f>IFERROR(INDEX(PP_Grid[#Data],$DD436,93),0)</f>
        <v/>
      </c>
      <c r="CR436">
        <f>IFERROR(INDEX(PP_Grid[#Data],$DD436,94),0)</f>
        <v/>
      </c>
      <c r="CS436">
        <f>IFERROR(INDEX(PP_Grid[#Data],$DD436,95),0)</f>
        <v/>
      </c>
      <c r="CT436">
        <f>IFERROR(INDEX(PP_Grid[#Data],$DD436,96),0)</f>
        <v/>
      </c>
      <c r="CU436">
        <f>IFERROR(INDEX(PP_Grid[#Data],$DD436,97),0)</f>
        <v/>
      </c>
      <c r="CV436">
        <f>IFERROR(INDEX(PP_Grid[#Data],$DD436,98),0)</f>
        <v/>
      </c>
      <c r="CW436">
        <f>IFERROR(INDEX(PP_Grid[#Data],$DD436,99),0)</f>
        <v/>
      </c>
      <c r="CX436">
        <f>IFERROR(INDEX(PP_Grid[#Data],$DD436,100),0)</f>
        <v/>
      </c>
      <c r="CY436">
        <f>IFERROR(INDEX(PP_Grid[#Data],$DD436,101),0)</f>
        <v/>
      </c>
      <c r="CZ436">
        <f>IFERROR(INDEX(PP_Grid[#Data],$DD436,102),0)</f>
        <v/>
      </c>
      <c r="DA436">
        <f>IFERROR(INDEX(PP_Grid[#Data],$DD436,103),0)</f>
        <v/>
      </c>
      <c r="DB436">
        <f>IFERROR(INDEX(PP_Grid[#Data],$DD436,104),0)</f>
        <v/>
      </c>
      <c r="DC436">
        <f>IFERROR(INDEX(PP_Grid[#Data],$DD436,105),0)</f>
        <v/>
      </c>
      <c r="DD436" s="12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SUMIFS(M_BOM[RM_Qty_Per_Batch],M_BOM[Intermediate],$B436,M_BOM[Part Name],$A383)</f>
        <v/>
      </c>
      <c r="D437">
        <f>$C437*D436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</row>
    <row r="438">
      <c r="B438" t="inlineStr">
        <is>
          <t>TSP-903</t>
        </is>
      </c>
      <c r="C438" t="inlineStr">
        <is>
          <t>No. of batches</t>
        </is>
      </c>
      <c r="D438">
        <f>IFERROR(INDEX(PP_Grid[#Data],$DD438,2),0)</f>
        <v/>
      </c>
      <c r="E438">
        <f>IFERROR(INDEX(PP_Grid[#Data],$DD438,3),0)</f>
        <v/>
      </c>
      <c r="F438">
        <f>IFERROR(INDEX(PP_Grid[#Data],$DD438,4),0)</f>
        <v/>
      </c>
      <c r="G438">
        <f>IFERROR(INDEX(PP_Grid[#Data],$DD438,5),0)</f>
        <v/>
      </c>
      <c r="H438">
        <f>IFERROR(INDEX(PP_Grid[#Data],$DD438,6),0)</f>
        <v/>
      </c>
      <c r="I438">
        <f>IFERROR(INDEX(PP_Grid[#Data],$DD438,7),0)</f>
        <v/>
      </c>
      <c r="J438">
        <f>IFERROR(INDEX(PP_Grid[#Data],$DD438,8),0)</f>
        <v/>
      </c>
      <c r="K438">
        <f>IFERROR(INDEX(PP_Grid[#Data],$DD438,9),0)</f>
        <v/>
      </c>
      <c r="L438">
        <f>IFERROR(INDEX(PP_Grid[#Data],$DD438,10),0)</f>
        <v/>
      </c>
      <c r="M438">
        <f>IFERROR(INDEX(PP_Grid[#Data],$DD438,11),0)</f>
        <v/>
      </c>
      <c r="N438">
        <f>IFERROR(INDEX(PP_Grid[#Data],$DD438,12),0)</f>
        <v/>
      </c>
      <c r="O438">
        <f>IFERROR(INDEX(PP_Grid[#Data],$DD438,13),0)</f>
        <v/>
      </c>
      <c r="P438">
        <f>IFERROR(INDEX(PP_Grid[#Data],$DD438,14),0)</f>
        <v/>
      </c>
      <c r="Q438">
        <f>IFERROR(INDEX(PP_Grid[#Data],$DD438,15),0)</f>
        <v/>
      </c>
      <c r="R438">
        <f>IFERROR(INDEX(PP_Grid[#Data],$DD438,16),0)</f>
        <v/>
      </c>
      <c r="S438">
        <f>IFERROR(INDEX(PP_Grid[#Data],$DD438,17),0)</f>
        <v/>
      </c>
      <c r="T438">
        <f>IFERROR(INDEX(PP_Grid[#Data],$DD438,18),0)</f>
        <v/>
      </c>
      <c r="U438">
        <f>IFERROR(INDEX(PP_Grid[#Data],$DD438,19),0)</f>
        <v/>
      </c>
      <c r="V438">
        <f>IFERROR(INDEX(PP_Grid[#Data],$DD438,20),0)</f>
        <v/>
      </c>
      <c r="W438">
        <f>IFERROR(INDEX(PP_Grid[#Data],$DD438,21),0)</f>
        <v/>
      </c>
      <c r="X438">
        <f>IFERROR(INDEX(PP_Grid[#Data],$DD438,22),0)</f>
        <v/>
      </c>
      <c r="Y438">
        <f>IFERROR(INDEX(PP_Grid[#Data],$DD438,23),0)</f>
        <v/>
      </c>
      <c r="Z438">
        <f>IFERROR(INDEX(PP_Grid[#Data],$DD438,24),0)</f>
        <v/>
      </c>
      <c r="AA438">
        <f>IFERROR(INDEX(PP_Grid[#Data],$DD438,25),0)</f>
        <v/>
      </c>
      <c r="AB438">
        <f>IFERROR(INDEX(PP_Grid[#Data],$DD438,26),0)</f>
        <v/>
      </c>
      <c r="AC438">
        <f>IFERROR(INDEX(PP_Grid[#Data],$DD438,27),0)</f>
        <v/>
      </c>
      <c r="AD438">
        <f>IFERROR(INDEX(PP_Grid[#Data],$DD438,28),0)</f>
        <v/>
      </c>
      <c r="AE438">
        <f>IFERROR(INDEX(PP_Grid[#Data],$DD438,29),0)</f>
        <v/>
      </c>
      <c r="AF438">
        <f>IFERROR(INDEX(PP_Grid[#Data],$DD438,30),0)</f>
        <v/>
      </c>
      <c r="AG438">
        <f>IFERROR(INDEX(PP_Grid[#Data],$DD438,31),0)</f>
        <v/>
      </c>
      <c r="AH438">
        <f>IFERROR(INDEX(PP_Grid[#Data],$DD438,32),0)</f>
        <v/>
      </c>
      <c r="AI438">
        <f>IFERROR(INDEX(PP_Grid[#Data],$DD438,33),0)</f>
        <v/>
      </c>
      <c r="AJ438">
        <f>IFERROR(INDEX(PP_Grid[#Data],$DD438,34),0)</f>
        <v/>
      </c>
      <c r="AK438">
        <f>IFERROR(INDEX(PP_Grid[#Data],$DD438,35),0)</f>
        <v/>
      </c>
      <c r="AL438">
        <f>IFERROR(INDEX(PP_Grid[#Data],$DD438,36),0)</f>
        <v/>
      </c>
      <c r="AM438">
        <f>IFERROR(INDEX(PP_Grid[#Data],$DD438,37),0)</f>
        <v/>
      </c>
      <c r="AN438">
        <f>IFERROR(INDEX(PP_Grid[#Data],$DD438,38),0)</f>
        <v/>
      </c>
      <c r="AO438">
        <f>IFERROR(INDEX(PP_Grid[#Data],$DD438,39),0)</f>
        <v/>
      </c>
      <c r="AP438">
        <f>IFERROR(INDEX(PP_Grid[#Data],$DD438,40),0)</f>
        <v/>
      </c>
      <c r="AQ438">
        <f>IFERROR(INDEX(PP_Grid[#Data],$DD438,41),0)</f>
        <v/>
      </c>
      <c r="AR438">
        <f>IFERROR(INDEX(PP_Grid[#Data],$DD438,42),0)</f>
        <v/>
      </c>
      <c r="AS438">
        <f>IFERROR(INDEX(PP_Grid[#Data],$DD438,43),0)</f>
        <v/>
      </c>
      <c r="AT438">
        <f>IFERROR(INDEX(PP_Grid[#Data],$DD438,44),0)</f>
        <v/>
      </c>
      <c r="AU438">
        <f>IFERROR(INDEX(PP_Grid[#Data],$DD438,45),0)</f>
        <v/>
      </c>
      <c r="AV438">
        <f>IFERROR(INDEX(PP_Grid[#Data],$DD438,46),0)</f>
        <v/>
      </c>
      <c r="AW438">
        <f>IFERROR(INDEX(PP_Grid[#Data],$DD438,47),0)</f>
        <v/>
      </c>
      <c r="AX438">
        <f>IFERROR(INDEX(PP_Grid[#Data],$DD438,48),0)</f>
        <v/>
      </c>
      <c r="AY438">
        <f>IFERROR(INDEX(PP_Grid[#Data],$DD438,49),0)</f>
        <v/>
      </c>
      <c r="AZ438">
        <f>IFERROR(INDEX(PP_Grid[#Data],$DD438,50),0)</f>
        <v/>
      </c>
      <c r="BA438">
        <f>IFERROR(INDEX(PP_Grid[#Data],$DD438,51),0)</f>
        <v/>
      </c>
      <c r="BB438">
        <f>IFERROR(INDEX(PP_Grid[#Data],$DD438,52),0)</f>
        <v/>
      </c>
      <c r="BC438">
        <f>IFERROR(INDEX(PP_Grid[#Data],$DD438,53),0)</f>
        <v/>
      </c>
      <c r="BD438">
        <f>IFERROR(INDEX(PP_Grid[#Data],$DD438,54),0)</f>
        <v/>
      </c>
      <c r="BE438">
        <f>IFERROR(INDEX(PP_Grid[#Data],$DD438,55),0)</f>
        <v/>
      </c>
      <c r="BF438">
        <f>IFERROR(INDEX(PP_Grid[#Data],$DD438,56),0)</f>
        <v/>
      </c>
      <c r="BG438">
        <f>IFERROR(INDEX(PP_Grid[#Data],$DD438,57),0)</f>
        <v/>
      </c>
      <c r="BH438">
        <f>IFERROR(INDEX(PP_Grid[#Data],$DD438,58),0)</f>
        <v/>
      </c>
      <c r="BI438">
        <f>IFERROR(INDEX(PP_Grid[#Data],$DD438,59),0)</f>
        <v/>
      </c>
      <c r="BJ438">
        <f>IFERROR(INDEX(PP_Grid[#Data],$DD438,60),0)</f>
        <v/>
      </c>
      <c r="BK438">
        <f>IFERROR(INDEX(PP_Grid[#Data],$DD438,61),0)</f>
        <v/>
      </c>
      <c r="BL438">
        <f>IFERROR(INDEX(PP_Grid[#Data],$DD438,62),0)</f>
        <v/>
      </c>
      <c r="BM438">
        <f>IFERROR(INDEX(PP_Grid[#Data],$DD438,63),0)</f>
        <v/>
      </c>
      <c r="BN438">
        <f>IFERROR(INDEX(PP_Grid[#Data],$DD438,64),0)</f>
        <v/>
      </c>
      <c r="BO438">
        <f>IFERROR(INDEX(PP_Grid[#Data],$DD438,65),0)</f>
        <v/>
      </c>
      <c r="BP438">
        <f>IFERROR(INDEX(PP_Grid[#Data],$DD438,66),0)</f>
        <v/>
      </c>
      <c r="BQ438">
        <f>IFERROR(INDEX(PP_Grid[#Data],$DD438,67),0)</f>
        <v/>
      </c>
      <c r="BR438">
        <f>IFERROR(INDEX(PP_Grid[#Data],$DD438,68),0)</f>
        <v/>
      </c>
      <c r="BS438">
        <f>IFERROR(INDEX(PP_Grid[#Data],$DD438,69),0)</f>
        <v/>
      </c>
      <c r="BT438">
        <f>IFERROR(INDEX(PP_Grid[#Data],$DD438,70),0)</f>
        <v/>
      </c>
      <c r="BU438">
        <f>IFERROR(INDEX(PP_Grid[#Data],$DD438,71),0)</f>
        <v/>
      </c>
      <c r="BV438">
        <f>IFERROR(INDEX(PP_Grid[#Data],$DD438,72),0)</f>
        <v/>
      </c>
      <c r="BW438">
        <f>IFERROR(INDEX(PP_Grid[#Data],$DD438,73),0)</f>
        <v/>
      </c>
      <c r="BX438">
        <f>IFERROR(INDEX(PP_Grid[#Data],$DD438,74),0)</f>
        <v/>
      </c>
      <c r="BY438">
        <f>IFERROR(INDEX(PP_Grid[#Data],$DD438,75),0)</f>
        <v/>
      </c>
      <c r="BZ438">
        <f>IFERROR(INDEX(PP_Grid[#Data],$DD438,76),0)</f>
        <v/>
      </c>
      <c r="CA438">
        <f>IFERROR(INDEX(PP_Grid[#Data],$DD438,77),0)</f>
        <v/>
      </c>
      <c r="CB438">
        <f>IFERROR(INDEX(PP_Grid[#Data],$DD438,78),0)</f>
        <v/>
      </c>
      <c r="CC438">
        <f>IFERROR(INDEX(PP_Grid[#Data],$DD438,79),0)</f>
        <v/>
      </c>
      <c r="CD438">
        <f>IFERROR(INDEX(PP_Grid[#Data],$DD438,80),0)</f>
        <v/>
      </c>
      <c r="CE438">
        <f>IFERROR(INDEX(PP_Grid[#Data],$DD438,81),0)</f>
        <v/>
      </c>
      <c r="CF438">
        <f>IFERROR(INDEX(PP_Grid[#Data],$DD438,82),0)</f>
        <v/>
      </c>
      <c r="CG438">
        <f>IFERROR(INDEX(PP_Grid[#Data],$DD438,83),0)</f>
        <v/>
      </c>
      <c r="CH438">
        <f>IFERROR(INDEX(PP_Grid[#Data],$DD438,84),0)</f>
        <v/>
      </c>
      <c r="CI438">
        <f>IFERROR(INDEX(PP_Grid[#Data],$DD438,85),0)</f>
        <v/>
      </c>
      <c r="CJ438">
        <f>IFERROR(INDEX(PP_Grid[#Data],$DD438,86),0)</f>
        <v/>
      </c>
      <c r="CK438">
        <f>IFERROR(INDEX(PP_Grid[#Data],$DD438,87),0)</f>
        <v/>
      </c>
      <c r="CL438">
        <f>IFERROR(INDEX(PP_Grid[#Data],$DD438,88),0)</f>
        <v/>
      </c>
      <c r="CM438">
        <f>IFERROR(INDEX(PP_Grid[#Data],$DD438,89),0)</f>
        <v/>
      </c>
      <c r="CN438">
        <f>IFERROR(INDEX(PP_Grid[#Data],$DD438,90),0)</f>
        <v/>
      </c>
      <c r="CO438">
        <f>IFERROR(INDEX(PP_Grid[#Data],$DD438,91),0)</f>
        <v/>
      </c>
      <c r="CP438">
        <f>IFERROR(INDEX(PP_Grid[#Data],$DD438,92),0)</f>
        <v/>
      </c>
      <c r="CQ438">
        <f>IFERROR(INDEX(PP_Grid[#Data],$DD438,93),0)</f>
        <v/>
      </c>
      <c r="CR438">
        <f>IFERROR(INDEX(PP_Grid[#Data],$DD438,94),0)</f>
        <v/>
      </c>
      <c r="CS438">
        <f>IFERROR(INDEX(PP_Grid[#Data],$DD438,95),0)</f>
        <v/>
      </c>
      <c r="CT438">
        <f>IFERROR(INDEX(PP_Grid[#Data],$DD438,96),0)</f>
        <v/>
      </c>
      <c r="CU438">
        <f>IFERROR(INDEX(PP_Grid[#Data],$DD438,97),0)</f>
        <v/>
      </c>
      <c r="CV438">
        <f>IFERROR(INDEX(PP_Grid[#Data],$DD438,98),0)</f>
        <v/>
      </c>
      <c r="CW438">
        <f>IFERROR(INDEX(PP_Grid[#Data],$DD438,99),0)</f>
        <v/>
      </c>
      <c r="CX438">
        <f>IFERROR(INDEX(PP_Grid[#Data],$DD438,100),0)</f>
        <v/>
      </c>
      <c r="CY438">
        <f>IFERROR(INDEX(PP_Grid[#Data],$DD438,101),0)</f>
        <v/>
      </c>
      <c r="CZ438">
        <f>IFERROR(INDEX(PP_Grid[#Data],$DD438,102),0)</f>
        <v/>
      </c>
      <c r="DA438">
        <f>IFERROR(INDEX(PP_Grid[#Data],$DD438,103),0)</f>
        <v/>
      </c>
      <c r="DB438">
        <f>IFERROR(INDEX(PP_Grid[#Data],$DD438,104),0)</f>
        <v/>
      </c>
      <c r="DC438">
        <f>IFERROR(INDEX(PP_Grid[#Data],$DD438,105),0)</f>
        <v/>
      </c>
      <c r="DD438" s="12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SUMIFS(M_BOM[RM_Qty_Per_Batch],M_BOM[Intermediate],$B438,M_BOM[Part Name],$A383)</f>
        <v/>
      </c>
      <c r="D439">
        <f>$C439*D438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</row>
    <row r="440">
      <c r="B440" t="inlineStr">
        <is>
          <t>TSP-924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12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Name],$A383)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TSP-925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12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Name],$A383)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TSP-927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12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Name],$A383)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t="inlineStr">
        <is>
          <t>TSP-928</t>
        </is>
      </c>
      <c r="C446" t="inlineStr">
        <is>
          <t>No. of batches</t>
        </is>
      </c>
      <c r="D446">
        <f>IFERROR(INDEX(PP_Grid[#Data],$DD446,2),0)</f>
        <v/>
      </c>
      <c r="E446">
        <f>IFERROR(INDEX(PP_Grid[#Data],$DD446,3),0)</f>
        <v/>
      </c>
      <c r="F446">
        <f>IFERROR(INDEX(PP_Grid[#Data],$DD446,4),0)</f>
        <v/>
      </c>
      <c r="G446">
        <f>IFERROR(INDEX(PP_Grid[#Data],$DD446,5),0)</f>
        <v/>
      </c>
      <c r="H446">
        <f>IFERROR(INDEX(PP_Grid[#Data],$DD446,6),0)</f>
        <v/>
      </c>
      <c r="I446">
        <f>IFERROR(INDEX(PP_Grid[#Data],$DD446,7),0)</f>
        <v/>
      </c>
      <c r="J446">
        <f>IFERROR(INDEX(PP_Grid[#Data],$DD446,8),0)</f>
        <v/>
      </c>
      <c r="K446">
        <f>IFERROR(INDEX(PP_Grid[#Data],$DD446,9),0)</f>
        <v/>
      </c>
      <c r="L446">
        <f>IFERROR(INDEX(PP_Grid[#Data],$DD446,10),0)</f>
        <v/>
      </c>
      <c r="M446">
        <f>IFERROR(INDEX(PP_Grid[#Data],$DD446,11),0)</f>
        <v/>
      </c>
      <c r="N446">
        <f>IFERROR(INDEX(PP_Grid[#Data],$DD446,12),0)</f>
        <v/>
      </c>
      <c r="O446">
        <f>IFERROR(INDEX(PP_Grid[#Data],$DD446,13),0)</f>
        <v/>
      </c>
      <c r="P446">
        <f>IFERROR(INDEX(PP_Grid[#Data],$DD446,14),0)</f>
        <v/>
      </c>
      <c r="Q446">
        <f>IFERROR(INDEX(PP_Grid[#Data],$DD446,15),0)</f>
        <v/>
      </c>
      <c r="R446">
        <f>IFERROR(INDEX(PP_Grid[#Data],$DD446,16),0)</f>
        <v/>
      </c>
      <c r="S446">
        <f>IFERROR(INDEX(PP_Grid[#Data],$DD446,17),0)</f>
        <v/>
      </c>
      <c r="T446">
        <f>IFERROR(INDEX(PP_Grid[#Data],$DD446,18),0)</f>
        <v/>
      </c>
      <c r="U446">
        <f>IFERROR(INDEX(PP_Grid[#Data],$DD446,19),0)</f>
        <v/>
      </c>
      <c r="V446">
        <f>IFERROR(INDEX(PP_Grid[#Data],$DD446,20),0)</f>
        <v/>
      </c>
      <c r="W446">
        <f>IFERROR(INDEX(PP_Grid[#Data],$DD446,21),0)</f>
        <v/>
      </c>
      <c r="X446">
        <f>IFERROR(INDEX(PP_Grid[#Data],$DD446,22),0)</f>
        <v/>
      </c>
      <c r="Y446">
        <f>IFERROR(INDEX(PP_Grid[#Data],$DD446,23),0)</f>
        <v/>
      </c>
      <c r="Z446">
        <f>IFERROR(INDEX(PP_Grid[#Data],$DD446,24),0)</f>
        <v/>
      </c>
      <c r="AA446">
        <f>IFERROR(INDEX(PP_Grid[#Data],$DD446,25),0)</f>
        <v/>
      </c>
      <c r="AB446">
        <f>IFERROR(INDEX(PP_Grid[#Data],$DD446,26),0)</f>
        <v/>
      </c>
      <c r="AC446">
        <f>IFERROR(INDEX(PP_Grid[#Data],$DD446,27),0)</f>
        <v/>
      </c>
      <c r="AD446">
        <f>IFERROR(INDEX(PP_Grid[#Data],$DD446,28),0)</f>
        <v/>
      </c>
      <c r="AE446">
        <f>IFERROR(INDEX(PP_Grid[#Data],$DD446,29),0)</f>
        <v/>
      </c>
      <c r="AF446">
        <f>IFERROR(INDEX(PP_Grid[#Data],$DD446,30),0)</f>
        <v/>
      </c>
      <c r="AG446">
        <f>IFERROR(INDEX(PP_Grid[#Data],$DD446,31),0)</f>
        <v/>
      </c>
      <c r="AH446">
        <f>IFERROR(INDEX(PP_Grid[#Data],$DD446,32),0)</f>
        <v/>
      </c>
      <c r="AI446">
        <f>IFERROR(INDEX(PP_Grid[#Data],$DD446,33),0)</f>
        <v/>
      </c>
      <c r="AJ446">
        <f>IFERROR(INDEX(PP_Grid[#Data],$DD446,34),0)</f>
        <v/>
      </c>
      <c r="AK446">
        <f>IFERROR(INDEX(PP_Grid[#Data],$DD446,35),0)</f>
        <v/>
      </c>
      <c r="AL446">
        <f>IFERROR(INDEX(PP_Grid[#Data],$DD446,36),0)</f>
        <v/>
      </c>
      <c r="AM446">
        <f>IFERROR(INDEX(PP_Grid[#Data],$DD446,37),0)</f>
        <v/>
      </c>
      <c r="AN446">
        <f>IFERROR(INDEX(PP_Grid[#Data],$DD446,38),0)</f>
        <v/>
      </c>
      <c r="AO446">
        <f>IFERROR(INDEX(PP_Grid[#Data],$DD446,39),0)</f>
        <v/>
      </c>
      <c r="AP446">
        <f>IFERROR(INDEX(PP_Grid[#Data],$DD446,40),0)</f>
        <v/>
      </c>
      <c r="AQ446">
        <f>IFERROR(INDEX(PP_Grid[#Data],$DD446,41),0)</f>
        <v/>
      </c>
      <c r="AR446">
        <f>IFERROR(INDEX(PP_Grid[#Data],$DD446,42),0)</f>
        <v/>
      </c>
      <c r="AS446">
        <f>IFERROR(INDEX(PP_Grid[#Data],$DD446,43),0)</f>
        <v/>
      </c>
      <c r="AT446">
        <f>IFERROR(INDEX(PP_Grid[#Data],$DD446,44),0)</f>
        <v/>
      </c>
      <c r="AU446">
        <f>IFERROR(INDEX(PP_Grid[#Data],$DD446,45),0)</f>
        <v/>
      </c>
      <c r="AV446">
        <f>IFERROR(INDEX(PP_Grid[#Data],$DD446,46),0)</f>
        <v/>
      </c>
      <c r="AW446">
        <f>IFERROR(INDEX(PP_Grid[#Data],$DD446,47),0)</f>
        <v/>
      </c>
      <c r="AX446">
        <f>IFERROR(INDEX(PP_Grid[#Data],$DD446,48),0)</f>
        <v/>
      </c>
      <c r="AY446">
        <f>IFERROR(INDEX(PP_Grid[#Data],$DD446,49),0)</f>
        <v/>
      </c>
      <c r="AZ446">
        <f>IFERROR(INDEX(PP_Grid[#Data],$DD446,50),0)</f>
        <v/>
      </c>
      <c r="BA446">
        <f>IFERROR(INDEX(PP_Grid[#Data],$DD446,51),0)</f>
        <v/>
      </c>
      <c r="BB446">
        <f>IFERROR(INDEX(PP_Grid[#Data],$DD446,52),0)</f>
        <v/>
      </c>
      <c r="BC446">
        <f>IFERROR(INDEX(PP_Grid[#Data],$DD446,53),0)</f>
        <v/>
      </c>
      <c r="BD446">
        <f>IFERROR(INDEX(PP_Grid[#Data],$DD446,54),0)</f>
        <v/>
      </c>
      <c r="BE446">
        <f>IFERROR(INDEX(PP_Grid[#Data],$DD446,55),0)</f>
        <v/>
      </c>
      <c r="BF446">
        <f>IFERROR(INDEX(PP_Grid[#Data],$DD446,56),0)</f>
        <v/>
      </c>
      <c r="BG446">
        <f>IFERROR(INDEX(PP_Grid[#Data],$DD446,57),0)</f>
        <v/>
      </c>
      <c r="BH446">
        <f>IFERROR(INDEX(PP_Grid[#Data],$DD446,58),0)</f>
        <v/>
      </c>
      <c r="BI446">
        <f>IFERROR(INDEX(PP_Grid[#Data],$DD446,59),0)</f>
        <v/>
      </c>
      <c r="BJ446">
        <f>IFERROR(INDEX(PP_Grid[#Data],$DD446,60),0)</f>
        <v/>
      </c>
      <c r="BK446">
        <f>IFERROR(INDEX(PP_Grid[#Data],$DD446,61),0)</f>
        <v/>
      </c>
      <c r="BL446">
        <f>IFERROR(INDEX(PP_Grid[#Data],$DD446,62),0)</f>
        <v/>
      </c>
      <c r="BM446">
        <f>IFERROR(INDEX(PP_Grid[#Data],$DD446,63),0)</f>
        <v/>
      </c>
      <c r="BN446">
        <f>IFERROR(INDEX(PP_Grid[#Data],$DD446,64),0)</f>
        <v/>
      </c>
      <c r="BO446">
        <f>IFERROR(INDEX(PP_Grid[#Data],$DD446,65),0)</f>
        <v/>
      </c>
      <c r="BP446">
        <f>IFERROR(INDEX(PP_Grid[#Data],$DD446,66),0)</f>
        <v/>
      </c>
      <c r="BQ446">
        <f>IFERROR(INDEX(PP_Grid[#Data],$DD446,67),0)</f>
        <v/>
      </c>
      <c r="BR446">
        <f>IFERROR(INDEX(PP_Grid[#Data],$DD446,68),0)</f>
        <v/>
      </c>
      <c r="BS446">
        <f>IFERROR(INDEX(PP_Grid[#Data],$DD446,69),0)</f>
        <v/>
      </c>
      <c r="BT446">
        <f>IFERROR(INDEX(PP_Grid[#Data],$DD446,70),0)</f>
        <v/>
      </c>
      <c r="BU446">
        <f>IFERROR(INDEX(PP_Grid[#Data],$DD446,71),0)</f>
        <v/>
      </c>
      <c r="BV446">
        <f>IFERROR(INDEX(PP_Grid[#Data],$DD446,72),0)</f>
        <v/>
      </c>
      <c r="BW446">
        <f>IFERROR(INDEX(PP_Grid[#Data],$DD446,73),0)</f>
        <v/>
      </c>
      <c r="BX446">
        <f>IFERROR(INDEX(PP_Grid[#Data],$DD446,74),0)</f>
        <v/>
      </c>
      <c r="BY446">
        <f>IFERROR(INDEX(PP_Grid[#Data],$DD446,75),0)</f>
        <v/>
      </c>
      <c r="BZ446">
        <f>IFERROR(INDEX(PP_Grid[#Data],$DD446,76),0)</f>
        <v/>
      </c>
      <c r="CA446">
        <f>IFERROR(INDEX(PP_Grid[#Data],$DD446,77),0)</f>
        <v/>
      </c>
      <c r="CB446">
        <f>IFERROR(INDEX(PP_Grid[#Data],$DD446,78),0)</f>
        <v/>
      </c>
      <c r="CC446">
        <f>IFERROR(INDEX(PP_Grid[#Data],$DD446,79),0)</f>
        <v/>
      </c>
      <c r="CD446">
        <f>IFERROR(INDEX(PP_Grid[#Data],$DD446,80),0)</f>
        <v/>
      </c>
      <c r="CE446">
        <f>IFERROR(INDEX(PP_Grid[#Data],$DD446,81),0)</f>
        <v/>
      </c>
      <c r="CF446">
        <f>IFERROR(INDEX(PP_Grid[#Data],$DD446,82),0)</f>
        <v/>
      </c>
      <c r="CG446">
        <f>IFERROR(INDEX(PP_Grid[#Data],$DD446,83),0)</f>
        <v/>
      </c>
      <c r="CH446">
        <f>IFERROR(INDEX(PP_Grid[#Data],$DD446,84),0)</f>
        <v/>
      </c>
      <c r="CI446">
        <f>IFERROR(INDEX(PP_Grid[#Data],$DD446,85),0)</f>
        <v/>
      </c>
      <c r="CJ446">
        <f>IFERROR(INDEX(PP_Grid[#Data],$DD446,86),0)</f>
        <v/>
      </c>
      <c r="CK446">
        <f>IFERROR(INDEX(PP_Grid[#Data],$DD446,87),0)</f>
        <v/>
      </c>
      <c r="CL446">
        <f>IFERROR(INDEX(PP_Grid[#Data],$DD446,88),0)</f>
        <v/>
      </c>
      <c r="CM446">
        <f>IFERROR(INDEX(PP_Grid[#Data],$DD446,89),0)</f>
        <v/>
      </c>
      <c r="CN446">
        <f>IFERROR(INDEX(PP_Grid[#Data],$DD446,90),0)</f>
        <v/>
      </c>
      <c r="CO446">
        <f>IFERROR(INDEX(PP_Grid[#Data],$DD446,91),0)</f>
        <v/>
      </c>
      <c r="CP446">
        <f>IFERROR(INDEX(PP_Grid[#Data],$DD446,92),0)</f>
        <v/>
      </c>
      <c r="CQ446">
        <f>IFERROR(INDEX(PP_Grid[#Data],$DD446,93),0)</f>
        <v/>
      </c>
      <c r="CR446">
        <f>IFERROR(INDEX(PP_Grid[#Data],$DD446,94),0)</f>
        <v/>
      </c>
      <c r="CS446">
        <f>IFERROR(INDEX(PP_Grid[#Data],$DD446,95),0)</f>
        <v/>
      </c>
      <c r="CT446">
        <f>IFERROR(INDEX(PP_Grid[#Data],$DD446,96),0)</f>
        <v/>
      </c>
      <c r="CU446">
        <f>IFERROR(INDEX(PP_Grid[#Data],$DD446,97),0)</f>
        <v/>
      </c>
      <c r="CV446">
        <f>IFERROR(INDEX(PP_Grid[#Data],$DD446,98),0)</f>
        <v/>
      </c>
      <c r="CW446">
        <f>IFERROR(INDEX(PP_Grid[#Data],$DD446,99),0)</f>
        <v/>
      </c>
      <c r="CX446">
        <f>IFERROR(INDEX(PP_Grid[#Data],$DD446,100),0)</f>
        <v/>
      </c>
      <c r="CY446">
        <f>IFERROR(INDEX(PP_Grid[#Data],$DD446,101),0)</f>
        <v/>
      </c>
      <c r="CZ446">
        <f>IFERROR(INDEX(PP_Grid[#Data],$DD446,102),0)</f>
        <v/>
      </c>
      <c r="DA446">
        <f>IFERROR(INDEX(PP_Grid[#Data],$DD446,103),0)</f>
        <v/>
      </c>
      <c r="DB446">
        <f>IFERROR(INDEX(PP_Grid[#Data],$DD446,104),0)</f>
        <v/>
      </c>
      <c r="DC446">
        <f>IFERROR(INDEX(PP_Grid[#Data],$DD446,105),0)</f>
        <v/>
      </c>
      <c r="DD446" s="12">
        <f>IFERROR(MATCH($B446,PP_Grid[Intermediate],0),99999)</f>
        <v/>
      </c>
    </row>
    <row r="447">
      <c r="B447" t="inlineStr">
        <is>
          <t>使用量(kg)</t>
        </is>
      </c>
      <c r="C447">
        <f>SUMIFS(M_BOM[RM_Qty_Per_Batch],M_BOM[Intermediate],$B446,M_BOM[Part Name],$A383)</f>
        <v/>
      </c>
      <c r="D447">
        <f>$C447*D446</f>
        <v/>
      </c>
      <c r="E447">
        <f>$C447*E446</f>
        <v/>
      </c>
      <c r="F447">
        <f>$C447*F446</f>
        <v/>
      </c>
      <c r="G447">
        <f>$C447*G446</f>
        <v/>
      </c>
      <c r="H447">
        <f>$C447*H446</f>
        <v/>
      </c>
      <c r="I447">
        <f>$C447*I446</f>
        <v/>
      </c>
      <c r="J447">
        <f>$C447*J446</f>
        <v/>
      </c>
      <c r="K447">
        <f>$C447*K446</f>
        <v/>
      </c>
      <c r="L447">
        <f>$C447*L446</f>
        <v/>
      </c>
      <c r="M447">
        <f>$C447*M446</f>
        <v/>
      </c>
      <c r="N447">
        <f>$C447*N446</f>
        <v/>
      </c>
      <c r="O447">
        <f>$C447*O446</f>
        <v/>
      </c>
      <c r="P447">
        <f>$C447*P446</f>
        <v/>
      </c>
      <c r="Q447">
        <f>$C447*Q446</f>
        <v/>
      </c>
      <c r="R447">
        <f>$C447*R446</f>
        <v/>
      </c>
      <c r="S447">
        <f>$C447*S446</f>
        <v/>
      </c>
      <c r="T447">
        <f>$C447*T446</f>
        <v/>
      </c>
      <c r="U447">
        <f>$C447*U446</f>
        <v/>
      </c>
      <c r="V447">
        <f>$C447*V446</f>
        <v/>
      </c>
      <c r="W447">
        <f>$C447*W446</f>
        <v/>
      </c>
      <c r="X447">
        <f>$C447*X446</f>
        <v/>
      </c>
      <c r="Y447">
        <f>$C447*Y446</f>
        <v/>
      </c>
      <c r="Z447">
        <f>$C447*Z446</f>
        <v/>
      </c>
      <c r="AA447">
        <f>$C447*AA446</f>
        <v/>
      </c>
      <c r="AB447">
        <f>$C447*AB446</f>
        <v/>
      </c>
      <c r="AC447">
        <f>$C447*AC446</f>
        <v/>
      </c>
      <c r="AD447">
        <f>$C447*AD446</f>
        <v/>
      </c>
      <c r="AE447">
        <f>$C447*AE446</f>
        <v/>
      </c>
      <c r="AF447">
        <f>$C447*AF446</f>
        <v/>
      </c>
      <c r="AG447">
        <f>$C447*AG446</f>
        <v/>
      </c>
      <c r="AH447">
        <f>$C447*AH446</f>
        <v/>
      </c>
      <c r="AI447">
        <f>$C447*AI446</f>
        <v/>
      </c>
      <c r="AJ447">
        <f>$C447*AJ446</f>
        <v/>
      </c>
      <c r="AK447">
        <f>$C447*AK446</f>
        <v/>
      </c>
      <c r="AL447">
        <f>$C447*AL446</f>
        <v/>
      </c>
      <c r="AM447">
        <f>$C447*AM446</f>
        <v/>
      </c>
      <c r="AN447">
        <f>$C447*AN446</f>
        <v/>
      </c>
      <c r="AO447">
        <f>$C447*AO446</f>
        <v/>
      </c>
      <c r="AP447">
        <f>$C447*AP446</f>
        <v/>
      </c>
      <c r="AQ447">
        <f>$C447*AQ446</f>
        <v/>
      </c>
      <c r="AR447">
        <f>$C447*AR446</f>
        <v/>
      </c>
      <c r="AS447">
        <f>$C447*AS446</f>
        <v/>
      </c>
      <c r="AT447">
        <f>$C447*AT446</f>
        <v/>
      </c>
      <c r="AU447">
        <f>$C447*AU446</f>
        <v/>
      </c>
      <c r="AV447">
        <f>$C447*AV446</f>
        <v/>
      </c>
      <c r="AW447">
        <f>$C447*AW446</f>
        <v/>
      </c>
      <c r="AX447">
        <f>$C447*AX446</f>
        <v/>
      </c>
      <c r="AY447">
        <f>$C447*AY446</f>
        <v/>
      </c>
      <c r="AZ447">
        <f>$C447*AZ446</f>
        <v/>
      </c>
      <c r="BA447">
        <f>$C447*BA446</f>
        <v/>
      </c>
      <c r="BB447">
        <f>$C447*BB446</f>
        <v/>
      </c>
      <c r="BC447">
        <f>$C447*BC446</f>
        <v/>
      </c>
      <c r="BD447">
        <f>$C447*BD446</f>
        <v/>
      </c>
      <c r="BE447">
        <f>$C447*BE446</f>
        <v/>
      </c>
      <c r="BF447">
        <f>$C447*BF446</f>
        <v/>
      </c>
      <c r="BG447">
        <f>$C447*BG446</f>
        <v/>
      </c>
      <c r="BH447">
        <f>$C447*BH446</f>
        <v/>
      </c>
      <c r="BI447">
        <f>$C447*BI446</f>
        <v/>
      </c>
      <c r="BJ447">
        <f>$C447*BJ446</f>
        <v/>
      </c>
      <c r="BK447">
        <f>$C447*BK446</f>
        <v/>
      </c>
      <c r="BL447">
        <f>$C447*BL446</f>
        <v/>
      </c>
      <c r="BM447">
        <f>$C447*BM446</f>
        <v/>
      </c>
      <c r="BN447">
        <f>$C447*BN446</f>
        <v/>
      </c>
      <c r="BO447">
        <f>$C447*BO446</f>
        <v/>
      </c>
      <c r="BP447">
        <f>$C447*BP446</f>
        <v/>
      </c>
      <c r="BQ447">
        <f>$C447*BQ446</f>
        <v/>
      </c>
      <c r="BR447">
        <f>$C447*BR446</f>
        <v/>
      </c>
      <c r="BS447">
        <f>$C447*BS446</f>
        <v/>
      </c>
      <c r="BT447">
        <f>$C447*BT446</f>
        <v/>
      </c>
      <c r="BU447">
        <f>$C447*BU446</f>
        <v/>
      </c>
      <c r="BV447">
        <f>$C447*BV446</f>
        <v/>
      </c>
      <c r="BW447">
        <f>$C447*BW446</f>
        <v/>
      </c>
      <c r="BX447">
        <f>$C447*BX446</f>
        <v/>
      </c>
      <c r="BY447">
        <f>$C447*BY446</f>
        <v/>
      </c>
      <c r="BZ447">
        <f>$C447*BZ446</f>
        <v/>
      </c>
      <c r="CA447">
        <f>$C447*CA446</f>
        <v/>
      </c>
      <c r="CB447">
        <f>$C447*CB446</f>
        <v/>
      </c>
      <c r="CC447">
        <f>$C447*CC446</f>
        <v/>
      </c>
      <c r="CD447">
        <f>$C447*CD446</f>
        <v/>
      </c>
      <c r="CE447">
        <f>$C447*CE446</f>
        <v/>
      </c>
      <c r="CF447">
        <f>$C447*CF446</f>
        <v/>
      </c>
      <c r="CG447">
        <f>$C447*CG446</f>
        <v/>
      </c>
      <c r="CH447">
        <f>$C447*CH446</f>
        <v/>
      </c>
      <c r="CI447">
        <f>$C447*CI446</f>
        <v/>
      </c>
      <c r="CJ447">
        <f>$C447*CJ446</f>
        <v/>
      </c>
      <c r="CK447">
        <f>$C447*CK446</f>
        <v/>
      </c>
      <c r="CL447">
        <f>$C447*CL446</f>
        <v/>
      </c>
      <c r="CM447">
        <f>$C447*CM446</f>
        <v/>
      </c>
      <c r="CN447">
        <f>$C447*CN446</f>
        <v/>
      </c>
      <c r="CO447">
        <f>$C447*CO446</f>
        <v/>
      </c>
      <c r="CP447">
        <f>$C447*CP446</f>
        <v/>
      </c>
      <c r="CQ447">
        <f>$C447*CQ446</f>
        <v/>
      </c>
      <c r="CR447">
        <f>$C447*CR446</f>
        <v/>
      </c>
      <c r="CS447">
        <f>$C447*CS446</f>
        <v/>
      </c>
      <c r="CT447">
        <f>$C447*CT446</f>
        <v/>
      </c>
      <c r="CU447">
        <f>$C447*CU446</f>
        <v/>
      </c>
      <c r="CV447">
        <f>$C447*CV446</f>
        <v/>
      </c>
      <c r="CW447">
        <f>$C447*CW446</f>
        <v/>
      </c>
      <c r="CX447">
        <f>$C447*CX446</f>
        <v/>
      </c>
      <c r="CY447">
        <f>$C447*CY446</f>
        <v/>
      </c>
      <c r="CZ447">
        <f>$C447*CZ446</f>
        <v/>
      </c>
      <c r="DA447">
        <f>$C447*DA446</f>
        <v/>
      </c>
      <c r="DB447">
        <f>$C447*DB446</f>
        <v/>
      </c>
      <c r="DC447">
        <f>$C447*DC446</f>
        <v/>
      </c>
    </row>
    <row r="448">
      <c r="B448" t="inlineStr">
        <is>
          <t>TSP-929</t>
        </is>
      </c>
      <c r="C448" t="inlineStr">
        <is>
          <t>No. of batches</t>
        </is>
      </c>
      <c r="D448">
        <f>IFERROR(INDEX(PP_Grid[#Data],$DD448,2),0)</f>
        <v/>
      </c>
      <c r="E448">
        <f>IFERROR(INDEX(PP_Grid[#Data],$DD448,3),0)</f>
        <v/>
      </c>
      <c r="F448">
        <f>IFERROR(INDEX(PP_Grid[#Data],$DD448,4),0)</f>
        <v/>
      </c>
      <c r="G448">
        <f>IFERROR(INDEX(PP_Grid[#Data],$DD448,5),0)</f>
        <v/>
      </c>
      <c r="H448">
        <f>IFERROR(INDEX(PP_Grid[#Data],$DD448,6),0)</f>
        <v/>
      </c>
      <c r="I448">
        <f>IFERROR(INDEX(PP_Grid[#Data],$DD448,7),0)</f>
        <v/>
      </c>
      <c r="J448">
        <f>IFERROR(INDEX(PP_Grid[#Data],$DD448,8),0)</f>
        <v/>
      </c>
      <c r="K448">
        <f>IFERROR(INDEX(PP_Grid[#Data],$DD448,9),0)</f>
        <v/>
      </c>
      <c r="L448">
        <f>IFERROR(INDEX(PP_Grid[#Data],$DD448,10),0)</f>
        <v/>
      </c>
      <c r="M448">
        <f>IFERROR(INDEX(PP_Grid[#Data],$DD448,11),0)</f>
        <v/>
      </c>
      <c r="N448">
        <f>IFERROR(INDEX(PP_Grid[#Data],$DD448,12),0)</f>
        <v/>
      </c>
      <c r="O448">
        <f>IFERROR(INDEX(PP_Grid[#Data],$DD448,13),0)</f>
        <v/>
      </c>
      <c r="P448">
        <f>IFERROR(INDEX(PP_Grid[#Data],$DD448,14),0)</f>
        <v/>
      </c>
      <c r="Q448">
        <f>IFERROR(INDEX(PP_Grid[#Data],$DD448,15),0)</f>
        <v/>
      </c>
      <c r="R448">
        <f>IFERROR(INDEX(PP_Grid[#Data],$DD448,16),0)</f>
        <v/>
      </c>
      <c r="S448">
        <f>IFERROR(INDEX(PP_Grid[#Data],$DD448,17),0)</f>
        <v/>
      </c>
      <c r="T448">
        <f>IFERROR(INDEX(PP_Grid[#Data],$DD448,18),0)</f>
        <v/>
      </c>
      <c r="U448">
        <f>IFERROR(INDEX(PP_Grid[#Data],$DD448,19),0)</f>
        <v/>
      </c>
      <c r="V448">
        <f>IFERROR(INDEX(PP_Grid[#Data],$DD448,20),0)</f>
        <v/>
      </c>
      <c r="W448">
        <f>IFERROR(INDEX(PP_Grid[#Data],$DD448,21),0)</f>
        <v/>
      </c>
      <c r="X448">
        <f>IFERROR(INDEX(PP_Grid[#Data],$DD448,22),0)</f>
        <v/>
      </c>
      <c r="Y448">
        <f>IFERROR(INDEX(PP_Grid[#Data],$DD448,23),0)</f>
        <v/>
      </c>
      <c r="Z448">
        <f>IFERROR(INDEX(PP_Grid[#Data],$DD448,24),0)</f>
        <v/>
      </c>
      <c r="AA448">
        <f>IFERROR(INDEX(PP_Grid[#Data],$DD448,25),0)</f>
        <v/>
      </c>
      <c r="AB448">
        <f>IFERROR(INDEX(PP_Grid[#Data],$DD448,26),0)</f>
        <v/>
      </c>
      <c r="AC448">
        <f>IFERROR(INDEX(PP_Grid[#Data],$DD448,27),0)</f>
        <v/>
      </c>
      <c r="AD448">
        <f>IFERROR(INDEX(PP_Grid[#Data],$DD448,28),0)</f>
        <v/>
      </c>
      <c r="AE448">
        <f>IFERROR(INDEX(PP_Grid[#Data],$DD448,29),0)</f>
        <v/>
      </c>
      <c r="AF448">
        <f>IFERROR(INDEX(PP_Grid[#Data],$DD448,30),0)</f>
        <v/>
      </c>
      <c r="AG448">
        <f>IFERROR(INDEX(PP_Grid[#Data],$DD448,31),0)</f>
        <v/>
      </c>
      <c r="AH448">
        <f>IFERROR(INDEX(PP_Grid[#Data],$DD448,32),0)</f>
        <v/>
      </c>
      <c r="AI448">
        <f>IFERROR(INDEX(PP_Grid[#Data],$DD448,33),0)</f>
        <v/>
      </c>
      <c r="AJ448">
        <f>IFERROR(INDEX(PP_Grid[#Data],$DD448,34),0)</f>
        <v/>
      </c>
      <c r="AK448">
        <f>IFERROR(INDEX(PP_Grid[#Data],$DD448,35),0)</f>
        <v/>
      </c>
      <c r="AL448">
        <f>IFERROR(INDEX(PP_Grid[#Data],$DD448,36),0)</f>
        <v/>
      </c>
      <c r="AM448">
        <f>IFERROR(INDEX(PP_Grid[#Data],$DD448,37),0)</f>
        <v/>
      </c>
      <c r="AN448">
        <f>IFERROR(INDEX(PP_Grid[#Data],$DD448,38),0)</f>
        <v/>
      </c>
      <c r="AO448">
        <f>IFERROR(INDEX(PP_Grid[#Data],$DD448,39),0)</f>
        <v/>
      </c>
      <c r="AP448">
        <f>IFERROR(INDEX(PP_Grid[#Data],$DD448,40),0)</f>
        <v/>
      </c>
      <c r="AQ448">
        <f>IFERROR(INDEX(PP_Grid[#Data],$DD448,41),0)</f>
        <v/>
      </c>
      <c r="AR448">
        <f>IFERROR(INDEX(PP_Grid[#Data],$DD448,42),0)</f>
        <v/>
      </c>
      <c r="AS448">
        <f>IFERROR(INDEX(PP_Grid[#Data],$DD448,43),0)</f>
        <v/>
      </c>
      <c r="AT448">
        <f>IFERROR(INDEX(PP_Grid[#Data],$DD448,44),0)</f>
        <v/>
      </c>
      <c r="AU448">
        <f>IFERROR(INDEX(PP_Grid[#Data],$DD448,45),0)</f>
        <v/>
      </c>
      <c r="AV448">
        <f>IFERROR(INDEX(PP_Grid[#Data],$DD448,46),0)</f>
        <v/>
      </c>
      <c r="AW448">
        <f>IFERROR(INDEX(PP_Grid[#Data],$DD448,47),0)</f>
        <v/>
      </c>
      <c r="AX448">
        <f>IFERROR(INDEX(PP_Grid[#Data],$DD448,48),0)</f>
        <v/>
      </c>
      <c r="AY448">
        <f>IFERROR(INDEX(PP_Grid[#Data],$DD448,49),0)</f>
        <v/>
      </c>
      <c r="AZ448">
        <f>IFERROR(INDEX(PP_Grid[#Data],$DD448,50),0)</f>
        <v/>
      </c>
      <c r="BA448">
        <f>IFERROR(INDEX(PP_Grid[#Data],$DD448,51),0)</f>
        <v/>
      </c>
      <c r="BB448">
        <f>IFERROR(INDEX(PP_Grid[#Data],$DD448,52),0)</f>
        <v/>
      </c>
      <c r="BC448">
        <f>IFERROR(INDEX(PP_Grid[#Data],$DD448,53),0)</f>
        <v/>
      </c>
      <c r="BD448">
        <f>IFERROR(INDEX(PP_Grid[#Data],$DD448,54),0)</f>
        <v/>
      </c>
      <c r="BE448">
        <f>IFERROR(INDEX(PP_Grid[#Data],$DD448,55),0)</f>
        <v/>
      </c>
      <c r="BF448">
        <f>IFERROR(INDEX(PP_Grid[#Data],$DD448,56),0)</f>
        <v/>
      </c>
      <c r="BG448">
        <f>IFERROR(INDEX(PP_Grid[#Data],$DD448,57),0)</f>
        <v/>
      </c>
      <c r="BH448">
        <f>IFERROR(INDEX(PP_Grid[#Data],$DD448,58),0)</f>
        <v/>
      </c>
      <c r="BI448">
        <f>IFERROR(INDEX(PP_Grid[#Data],$DD448,59),0)</f>
        <v/>
      </c>
      <c r="BJ448">
        <f>IFERROR(INDEX(PP_Grid[#Data],$DD448,60),0)</f>
        <v/>
      </c>
      <c r="BK448">
        <f>IFERROR(INDEX(PP_Grid[#Data],$DD448,61),0)</f>
        <v/>
      </c>
      <c r="BL448">
        <f>IFERROR(INDEX(PP_Grid[#Data],$DD448,62),0)</f>
        <v/>
      </c>
      <c r="BM448">
        <f>IFERROR(INDEX(PP_Grid[#Data],$DD448,63),0)</f>
        <v/>
      </c>
      <c r="BN448">
        <f>IFERROR(INDEX(PP_Grid[#Data],$DD448,64),0)</f>
        <v/>
      </c>
      <c r="BO448">
        <f>IFERROR(INDEX(PP_Grid[#Data],$DD448,65),0)</f>
        <v/>
      </c>
      <c r="BP448">
        <f>IFERROR(INDEX(PP_Grid[#Data],$DD448,66),0)</f>
        <v/>
      </c>
      <c r="BQ448">
        <f>IFERROR(INDEX(PP_Grid[#Data],$DD448,67),0)</f>
        <v/>
      </c>
      <c r="BR448">
        <f>IFERROR(INDEX(PP_Grid[#Data],$DD448,68),0)</f>
        <v/>
      </c>
      <c r="BS448">
        <f>IFERROR(INDEX(PP_Grid[#Data],$DD448,69),0)</f>
        <v/>
      </c>
      <c r="BT448">
        <f>IFERROR(INDEX(PP_Grid[#Data],$DD448,70),0)</f>
        <v/>
      </c>
      <c r="BU448">
        <f>IFERROR(INDEX(PP_Grid[#Data],$DD448,71),0)</f>
        <v/>
      </c>
      <c r="BV448">
        <f>IFERROR(INDEX(PP_Grid[#Data],$DD448,72),0)</f>
        <v/>
      </c>
      <c r="BW448">
        <f>IFERROR(INDEX(PP_Grid[#Data],$DD448,73),0)</f>
        <v/>
      </c>
      <c r="BX448">
        <f>IFERROR(INDEX(PP_Grid[#Data],$DD448,74),0)</f>
        <v/>
      </c>
      <c r="BY448">
        <f>IFERROR(INDEX(PP_Grid[#Data],$DD448,75),0)</f>
        <v/>
      </c>
      <c r="BZ448">
        <f>IFERROR(INDEX(PP_Grid[#Data],$DD448,76),0)</f>
        <v/>
      </c>
      <c r="CA448">
        <f>IFERROR(INDEX(PP_Grid[#Data],$DD448,77),0)</f>
        <v/>
      </c>
      <c r="CB448">
        <f>IFERROR(INDEX(PP_Grid[#Data],$DD448,78),0)</f>
        <v/>
      </c>
      <c r="CC448">
        <f>IFERROR(INDEX(PP_Grid[#Data],$DD448,79),0)</f>
        <v/>
      </c>
      <c r="CD448">
        <f>IFERROR(INDEX(PP_Grid[#Data],$DD448,80),0)</f>
        <v/>
      </c>
      <c r="CE448">
        <f>IFERROR(INDEX(PP_Grid[#Data],$DD448,81),0)</f>
        <v/>
      </c>
      <c r="CF448">
        <f>IFERROR(INDEX(PP_Grid[#Data],$DD448,82),0)</f>
        <v/>
      </c>
      <c r="CG448">
        <f>IFERROR(INDEX(PP_Grid[#Data],$DD448,83),0)</f>
        <v/>
      </c>
      <c r="CH448">
        <f>IFERROR(INDEX(PP_Grid[#Data],$DD448,84),0)</f>
        <v/>
      </c>
      <c r="CI448">
        <f>IFERROR(INDEX(PP_Grid[#Data],$DD448,85),0)</f>
        <v/>
      </c>
      <c r="CJ448">
        <f>IFERROR(INDEX(PP_Grid[#Data],$DD448,86),0)</f>
        <v/>
      </c>
      <c r="CK448">
        <f>IFERROR(INDEX(PP_Grid[#Data],$DD448,87),0)</f>
        <v/>
      </c>
      <c r="CL448">
        <f>IFERROR(INDEX(PP_Grid[#Data],$DD448,88),0)</f>
        <v/>
      </c>
      <c r="CM448">
        <f>IFERROR(INDEX(PP_Grid[#Data],$DD448,89),0)</f>
        <v/>
      </c>
      <c r="CN448">
        <f>IFERROR(INDEX(PP_Grid[#Data],$DD448,90),0)</f>
        <v/>
      </c>
      <c r="CO448">
        <f>IFERROR(INDEX(PP_Grid[#Data],$DD448,91),0)</f>
        <v/>
      </c>
      <c r="CP448">
        <f>IFERROR(INDEX(PP_Grid[#Data],$DD448,92),0)</f>
        <v/>
      </c>
      <c r="CQ448">
        <f>IFERROR(INDEX(PP_Grid[#Data],$DD448,93),0)</f>
        <v/>
      </c>
      <c r="CR448">
        <f>IFERROR(INDEX(PP_Grid[#Data],$DD448,94),0)</f>
        <v/>
      </c>
      <c r="CS448">
        <f>IFERROR(INDEX(PP_Grid[#Data],$DD448,95),0)</f>
        <v/>
      </c>
      <c r="CT448">
        <f>IFERROR(INDEX(PP_Grid[#Data],$DD448,96),0)</f>
        <v/>
      </c>
      <c r="CU448">
        <f>IFERROR(INDEX(PP_Grid[#Data],$DD448,97),0)</f>
        <v/>
      </c>
      <c r="CV448">
        <f>IFERROR(INDEX(PP_Grid[#Data],$DD448,98),0)</f>
        <v/>
      </c>
      <c r="CW448">
        <f>IFERROR(INDEX(PP_Grid[#Data],$DD448,99),0)</f>
        <v/>
      </c>
      <c r="CX448">
        <f>IFERROR(INDEX(PP_Grid[#Data],$DD448,100),0)</f>
        <v/>
      </c>
      <c r="CY448">
        <f>IFERROR(INDEX(PP_Grid[#Data],$DD448,101),0)</f>
        <v/>
      </c>
      <c r="CZ448">
        <f>IFERROR(INDEX(PP_Grid[#Data],$DD448,102),0)</f>
        <v/>
      </c>
      <c r="DA448">
        <f>IFERROR(INDEX(PP_Grid[#Data],$DD448,103),0)</f>
        <v/>
      </c>
      <c r="DB448">
        <f>IFERROR(INDEX(PP_Grid[#Data],$DD448,104),0)</f>
        <v/>
      </c>
      <c r="DC448">
        <f>IFERROR(INDEX(PP_Grid[#Data],$DD448,105),0)</f>
        <v/>
      </c>
      <c r="DD448" s="12">
        <f>IFERROR(MATCH($B448,PP_Grid[Intermediate],0),99999)</f>
        <v/>
      </c>
    </row>
    <row r="449">
      <c r="B449" t="inlineStr">
        <is>
          <t>使用量(kg)</t>
        </is>
      </c>
      <c r="C449">
        <f>SUMIFS(M_BOM[RM_Qty_Per_Batch],M_BOM[Intermediate],$B448,M_BOM[Part Name],$A383)</f>
        <v/>
      </c>
      <c r="D449">
        <f>$C449*D448</f>
        <v/>
      </c>
      <c r="E449">
        <f>$C449*E448</f>
        <v/>
      </c>
      <c r="F449">
        <f>$C449*F448</f>
        <v/>
      </c>
      <c r="G449">
        <f>$C449*G448</f>
        <v/>
      </c>
      <c r="H449">
        <f>$C449*H448</f>
        <v/>
      </c>
      <c r="I449">
        <f>$C449*I448</f>
        <v/>
      </c>
      <c r="J449">
        <f>$C449*J448</f>
        <v/>
      </c>
      <c r="K449">
        <f>$C449*K448</f>
        <v/>
      </c>
      <c r="L449">
        <f>$C449*L448</f>
        <v/>
      </c>
      <c r="M449">
        <f>$C449*M448</f>
        <v/>
      </c>
      <c r="N449">
        <f>$C449*N448</f>
        <v/>
      </c>
      <c r="O449">
        <f>$C449*O448</f>
        <v/>
      </c>
      <c r="P449">
        <f>$C449*P448</f>
        <v/>
      </c>
      <c r="Q449">
        <f>$C449*Q448</f>
        <v/>
      </c>
      <c r="R449">
        <f>$C449*R448</f>
        <v/>
      </c>
      <c r="S449">
        <f>$C449*S448</f>
        <v/>
      </c>
      <c r="T449">
        <f>$C449*T448</f>
        <v/>
      </c>
      <c r="U449">
        <f>$C449*U448</f>
        <v/>
      </c>
      <c r="V449">
        <f>$C449*V448</f>
        <v/>
      </c>
      <c r="W449">
        <f>$C449*W448</f>
        <v/>
      </c>
      <c r="X449">
        <f>$C449*X448</f>
        <v/>
      </c>
      <c r="Y449">
        <f>$C449*Y448</f>
        <v/>
      </c>
      <c r="Z449">
        <f>$C449*Z448</f>
        <v/>
      </c>
      <c r="AA449">
        <f>$C449*AA448</f>
        <v/>
      </c>
      <c r="AB449">
        <f>$C449*AB448</f>
        <v/>
      </c>
      <c r="AC449">
        <f>$C449*AC448</f>
        <v/>
      </c>
      <c r="AD449">
        <f>$C449*AD448</f>
        <v/>
      </c>
      <c r="AE449">
        <f>$C449*AE448</f>
        <v/>
      </c>
      <c r="AF449">
        <f>$C449*AF448</f>
        <v/>
      </c>
      <c r="AG449">
        <f>$C449*AG448</f>
        <v/>
      </c>
      <c r="AH449">
        <f>$C449*AH448</f>
        <v/>
      </c>
      <c r="AI449">
        <f>$C449*AI448</f>
        <v/>
      </c>
      <c r="AJ449">
        <f>$C449*AJ448</f>
        <v/>
      </c>
      <c r="AK449">
        <f>$C449*AK448</f>
        <v/>
      </c>
      <c r="AL449">
        <f>$C449*AL448</f>
        <v/>
      </c>
      <c r="AM449">
        <f>$C449*AM448</f>
        <v/>
      </c>
      <c r="AN449">
        <f>$C449*AN448</f>
        <v/>
      </c>
      <c r="AO449">
        <f>$C449*AO448</f>
        <v/>
      </c>
      <c r="AP449">
        <f>$C449*AP448</f>
        <v/>
      </c>
      <c r="AQ449">
        <f>$C449*AQ448</f>
        <v/>
      </c>
      <c r="AR449">
        <f>$C449*AR448</f>
        <v/>
      </c>
      <c r="AS449">
        <f>$C449*AS448</f>
        <v/>
      </c>
      <c r="AT449">
        <f>$C449*AT448</f>
        <v/>
      </c>
      <c r="AU449">
        <f>$C449*AU448</f>
        <v/>
      </c>
      <c r="AV449">
        <f>$C449*AV448</f>
        <v/>
      </c>
      <c r="AW449">
        <f>$C449*AW448</f>
        <v/>
      </c>
      <c r="AX449">
        <f>$C449*AX448</f>
        <v/>
      </c>
      <c r="AY449">
        <f>$C449*AY448</f>
        <v/>
      </c>
      <c r="AZ449">
        <f>$C449*AZ448</f>
        <v/>
      </c>
      <c r="BA449">
        <f>$C449*BA448</f>
        <v/>
      </c>
      <c r="BB449">
        <f>$C449*BB448</f>
        <v/>
      </c>
      <c r="BC449">
        <f>$C449*BC448</f>
        <v/>
      </c>
      <c r="BD449">
        <f>$C449*BD448</f>
        <v/>
      </c>
      <c r="BE449">
        <f>$C449*BE448</f>
        <v/>
      </c>
      <c r="BF449">
        <f>$C449*BF448</f>
        <v/>
      </c>
      <c r="BG449">
        <f>$C449*BG448</f>
        <v/>
      </c>
      <c r="BH449">
        <f>$C449*BH448</f>
        <v/>
      </c>
      <c r="BI449">
        <f>$C449*BI448</f>
        <v/>
      </c>
      <c r="BJ449">
        <f>$C449*BJ448</f>
        <v/>
      </c>
      <c r="BK449">
        <f>$C449*BK448</f>
        <v/>
      </c>
      <c r="BL449">
        <f>$C449*BL448</f>
        <v/>
      </c>
      <c r="BM449">
        <f>$C449*BM448</f>
        <v/>
      </c>
      <c r="BN449">
        <f>$C449*BN448</f>
        <v/>
      </c>
      <c r="BO449">
        <f>$C449*BO448</f>
        <v/>
      </c>
      <c r="BP449">
        <f>$C449*BP448</f>
        <v/>
      </c>
      <c r="BQ449">
        <f>$C449*BQ448</f>
        <v/>
      </c>
      <c r="BR449">
        <f>$C449*BR448</f>
        <v/>
      </c>
      <c r="BS449">
        <f>$C449*BS448</f>
        <v/>
      </c>
      <c r="BT449">
        <f>$C449*BT448</f>
        <v/>
      </c>
      <c r="BU449">
        <f>$C449*BU448</f>
        <v/>
      </c>
      <c r="BV449">
        <f>$C449*BV448</f>
        <v/>
      </c>
      <c r="BW449">
        <f>$C449*BW448</f>
        <v/>
      </c>
      <c r="BX449">
        <f>$C449*BX448</f>
        <v/>
      </c>
      <c r="BY449">
        <f>$C449*BY448</f>
        <v/>
      </c>
      <c r="BZ449">
        <f>$C449*BZ448</f>
        <v/>
      </c>
      <c r="CA449">
        <f>$C449*CA448</f>
        <v/>
      </c>
      <c r="CB449">
        <f>$C449*CB448</f>
        <v/>
      </c>
      <c r="CC449">
        <f>$C449*CC448</f>
        <v/>
      </c>
      <c r="CD449">
        <f>$C449*CD448</f>
        <v/>
      </c>
      <c r="CE449">
        <f>$C449*CE448</f>
        <v/>
      </c>
      <c r="CF449">
        <f>$C449*CF448</f>
        <v/>
      </c>
      <c r="CG449">
        <f>$C449*CG448</f>
        <v/>
      </c>
      <c r="CH449">
        <f>$C449*CH448</f>
        <v/>
      </c>
      <c r="CI449">
        <f>$C449*CI448</f>
        <v/>
      </c>
      <c r="CJ449">
        <f>$C449*CJ448</f>
        <v/>
      </c>
      <c r="CK449">
        <f>$C449*CK448</f>
        <v/>
      </c>
      <c r="CL449">
        <f>$C449*CL448</f>
        <v/>
      </c>
      <c r="CM449">
        <f>$C449*CM448</f>
        <v/>
      </c>
      <c r="CN449">
        <f>$C449*CN448</f>
        <v/>
      </c>
      <c r="CO449">
        <f>$C449*CO448</f>
        <v/>
      </c>
      <c r="CP449">
        <f>$C449*CP448</f>
        <v/>
      </c>
      <c r="CQ449">
        <f>$C449*CQ448</f>
        <v/>
      </c>
      <c r="CR449">
        <f>$C449*CR448</f>
        <v/>
      </c>
      <c r="CS449">
        <f>$C449*CS448</f>
        <v/>
      </c>
      <c r="CT449">
        <f>$C449*CT448</f>
        <v/>
      </c>
      <c r="CU449">
        <f>$C449*CU448</f>
        <v/>
      </c>
      <c r="CV449">
        <f>$C449*CV448</f>
        <v/>
      </c>
      <c r="CW449">
        <f>$C449*CW448</f>
        <v/>
      </c>
      <c r="CX449">
        <f>$C449*CX448</f>
        <v/>
      </c>
      <c r="CY449">
        <f>$C449*CY448</f>
        <v/>
      </c>
      <c r="CZ449">
        <f>$C449*CZ448</f>
        <v/>
      </c>
      <c r="DA449">
        <f>$C449*DA448</f>
        <v/>
      </c>
      <c r="DB449">
        <f>$C449*DB448</f>
        <v/>
      </c>
      <c r="DC449">
        <f>$C449*DC448</f>
        <v/>
      </c>
    </row>
    <row r="450">
      <c r="B450" t="inlineStr">
        <is>
          <t>TSP-930</t>
        </is>
      </c>
      <c r="C450" t="inlineStr">
        <is>
          <t>No. of batches</t>
        </is>
      </c>
      <c r="D450">
        <f>IFERROR(INDEX(PP_Grid[#Data],$DD450,2),0)</f>
        <v/>
      </c>
      <c r="E450">
        <f>IFERROR(INDEX(PP_Grid[#Data],$DD450,3),0)</f>
        <v/>
      </c>
      <c r="F450">
        <f>IFERROR(INDEX(PP_Grid[#Data],$DD450,4),0)</f>
        <v/>
      </c>
      <c r="G450">
        <f>IFERROR(INDEX(PP_Grid[#Data],$DD450,5),0)</f>
        <v/>
      </c>
      <c r="H450">
        <f>IFERROR(INDEX(PP_Grid[#Data],$DD450,6),0)</f>
        <v/>
      </c>
      <c r="I450">
        <f>IFERROR(INDEX(PP_Grid[#Data],$DD450,7),0)</f>
        <v/>
      </c>
      <c r="J450">
        <f>IFERROR(INDEX(PP_Grid[#Data],$DD450,8),0)</f>
        <v/>
      </c>
      <c r="K450">
        <f>IFERROR(INDEX(PP_Grid[#Data],$DD450,9),0)</f>
        <v/>
      </c>
      <c r="L450">
        <f>IFERROR(INDEX(PP_Grid[#Data],$DD450,10),0)</f>
        <v/>
      </c>
      <c r="M450">
        <f>IFERROR(INDEX(PP_Grid[#Data],$DD450,11),0)</f>
        <v/>
      </c>
      <c r="N450">
        <f>IFERROR(INDEX(PP_Grid[#Data],$DD450,12),0)</f>
        <v/>
      </c>
      <c r="O450">
        <f>IFERROR(INDEX(PP_Grid[#Data],$DD450,13),0)</f>
        <v/>
      </c>
      <c r="P450">
        <f>IFERROR(INDEX(PP_Grid[#Data],$DD450,14),0)</f>
        <v/>
      </c>
      <c r="Q450">
        <f>IFERROR(INDEX(PP_Grid[#Data],$DD450,15),0)</f>
        <v/>
      </c>
      <c r="R450">
        <f>IFERROR(INDEX(PP_Grid[#Data],$DD450,16),0)</f>
        <v/>
      </c>
      <c r="S450">
        <f>IFERROR(INDEX(PP_Grid[#Data],$DD450,17),0)</f>
        <v/>
      </c>
      <c r="T450">
        <f>IFERROR(INDEX(PP_Grid[#Data],$DD450,18),0)</f>
        <v/>
      </c>
      <c r="U450">
        <f>IFERROR(INDEX(PP_Grid[#Data],$DD450,19),0)</f>
        <v/>
      </c>
      <c r="V450">
        <f>IFERROR(INDEX(PP_Grid[#Data],$DD450,20),0)</f>
        <v/>
      </c>
      <c r="W450">
        <f>IFERROR(INDEX(PP_Grid[#Data],$DD450,21),0)</f>
        <v/>
      </c>
      <c r="X450">
        <f>IFERROR(INDEX(PP_Grid[#Data],$DD450,22),0)</f>
        <v/>
      </c>
      <c r="Y450">
        <f>IFERROR(INDEX(PP_Grid[#Data],$DD450,23),0)</f>
        <v/>
      </c>
      <c r="Z450">
        <f>IFERROR(INDEX(PP_Grid[#Data],$DD450,24),0)</f>
        <v/>
      </c>
      <c r="AA450">
        <f>IFERROR(INDEX(PP_Grid[#Data],$DD450,25),0)</f>
        <v/>
      </c>
      <c r="AB450">
        <f>IFERROR(INDEX(PP_Grid[#Data],$DD450,26),0)</f>
        <v/>
      </c>
      <c r="AC450">
        <f>IFERROR(INDEX(PP_Grid[#Data],$DD450,27),0)</f>
        <v/>
      </c>
      <c r="AD450">
        <f>IFERROR(INDEX(PP_Grid[#Data],$DD450,28),0)</f>
        <v/>
      </c>
      <c r="AE450">
        <f>IFERROR(INDEX(PP_Grid[#Data],$DD450,29),0)</f>
        <v/>
      </c>
      <c r="AF450">
        <f>IFERROR(INDEX(PP_Grid[#Data],$DD450,30),0)</f>
        <v/>
      </c>
      <c r="AG450">
        <f>IFERROR(INDEX(PP_Grid[#Data],$DD450,31),0)</f>
        <v/>
      </c>
      <c r="AH450">
        <f>IFERROR(INDEX(PP_Grid[#Data],$DD450,32),0)</f>
        <v/>
      </c>
      <c r="AI450">
        <f>IFERROR(INDEX(PP_Grid[#Data],$DD450,33),0)</f>
        <v/>
      </c>
      <c r="AJ450">
        <f>IFERROR(INDEX(PP_Grid[#Data],$DD450,34),0)</f>
        <v/>
      </c>
      <c r="AK450">
        <f>IFERROR(INDEX(PP_Grid[#Data],$DD450,35),0)</f>
        <v/>
      </c>
      <c r="AL450">
        <f>IFERROR(INDEX(PP_Grid[#Data],$DD450,36),0)</f>
        <v/>
      </c>
      <c r="AM450">
        <f>IFERROR(INDEX(PP_Grid[#Data],$DD450,37),0)</f>
        <v/>
      </c>
      <c r="AN450">
        <f>IFERROR(INDEX(PP_Grid[#Data],$DD450,38),0)</f>
        <v/>
      </c>
      <c r="AO450">
        <f>IFERROR(INDEX(PP_Grid[#Data],$DD450,39),0)</f>
        <v/>
      </c>
      <c r="AP450">
        <f>IFERROR(INDEX(PP_Grid[#Data],$DD450,40),0)</f>
        <v/>
      </c>
      <c r="AQ450">
        <f>IFERROR(INDEX(PP_Grid[#Data],$DD450,41),0)</f>
        <v/>
      </c>
      <c r="AR450">
        <f>IFERROR(INDEX(PP_Grid[#Data],$DD450,42),0)</f>
        <v/>
      </c>
      <c r="AS450">
        <f>IFERROR(INDEX(PP_Grid[#Data],$DD450,43),0)</f>
        <v/>
      </c>
      <c r="AT450">
        <f>IFERROR(INDEX(PP_Grid[#Data],$DD450,44),0)</f>
        <v/>
      </c>
      <c r="AU450">
        <f>IFERROR(INDEX(PP_Grid[#Data],$DD450,45),0)</f>
        <v/>
      </c>
      <c r="AV450">
        <f>IFERROR(INDEX(PP_Grid[#Data],$DD450,46),0)</f>
        <v/>
      </c>
      <c r="AW450">
        <f>IFERROR(INDEX(PP_Grid[#Data],$DD450,47),0)</f>
        <v/>
      </c>
      <c r="AX450">
        <f>IFERROR(INDEX(PP_Grid[#Data],$DD450,48),0)</f>
        <v/>
      </c>
      <c r="AY450">
        <f>IFERROR(INDEX(PP_Grid[#Data],$DD450,49),0)</f>
        <v/>
      </c>
      <c r="AZ450">
        <f>IFERROR(INDEX(PP_Grid[#Data],$DD450,50),0)</f>
        <v/>
      </c>
      <c r="BA450">
        <f>IFERROR(INDEX(PP_Grid[#Data],$DD450,51),0)</f>
        <v/>
      </c>
      <c r="BB450">
        <f>IFERROR(INDEX(PP_Grid[#Data],$DD450,52),0)</f>
        <v/>
      </c>
      <c r="BC450">
        <f>IFERROR(INDEX(PP_Grid[#Data],$DD450,53),0)</f>
        <v/>
      </c>
      <c r="BD450">
        <f>IFERROR(INDEX(PP_Grid[#Data],$DD450,54),0)</f>
        <v/>
      </c>
      <c r="BE450">
        <f>IFERROR(INDEX(PP_Grid[#Data],$DD450,55),0)</f>
        <v/>
      </c>
      <c r="BF450">
        <f>IFERROR(INDEX(PP_Grid[#Data],$DD450,56),0)</f>
        <v/>
      </c>
      <c r="BG450">
        <f>IFERROR(INDEX(PP_Grid[#Data],$DD450,57),0)</f>
        <v/>
      </c>
      <c r="BH450">
        <f>IFERROR(INDEX(PP_Grid[#Data],$DD450,58),0)</f>
        <v/>
      </c>
      <c r="BI450">
        <f>IFERROR(INDEX(PP_Grid[#Data],$DD450,59),0)</f>
        <v/>
      </c>
      <c r="BJ450">
        <f>IFERROR(INDEX(PP_Grid[#Data],$DD450,60),0)</f>
        <v/>
      </c>
      <c r="BK450">
        <f>IFERROR(INDEX(PP_Grid[#Data],$DD450,61),0)</f>
        <v/>
      </c>
      <c r="BL450">
        <f>IFERROR(INDEX(PP_Grid[#Data],$DD450,62),0)</f>
        <v/>
      </c>
      <c r="BM450">
        <f>IFERROR(INDEX(PP_Grid[#Data],$DD450,63),0)</f>
        <v/>
      </c>
      <c r="BN450">
        <f>IFERROR(INDEX(PP_Grid[#Data],$DD450,64),0)</f>
        <v/>
      </c>
      <c r="BO450">
        <f>IFERROR(INDEX(PP_Grid[#Data],$DD450,65),0)</f>
        <v/>
      </c>
      <c r="BP450">
        <f>IFERROR(INDEX(PP_Grid[#Data],$DD450,66),0)</f>
        <v/>
      </c>
      <c r="BQ450">
        <f>IFERROR(INDEX(PP_Grid[#Data],$DD450,67),0)</f>
        <v/>
      </c>
      <c r="BR450">
        <f>IFERROR(INDEX(PP_Grid[#Data],$DD450,68),0)</f>
        <v/>
      </c>
      <c r="BS450">
        <f>IFERROR(INDEX(PP_Grid[#Data],$DD450,69),0)</f>
        <v/>
      </c>
      <c r="BT450">
        <f>IFERROR(INDEX(PP_Grid[#Data],$DD450,70),0)</f>
        <v/>
      </c>
      <c r="BU450">
        <f>IFERROR(INDEX(PP_Grid[#Data],$DD450,71),0)</f>
        <v/>
      </c>
      <c r="BV450">
        <f>IFERROR(INDEX(PP_Grid[#Data],$DD450,72),0)</f>
        <v/>
      </c>
      <c r="BW450">
        <f>IFERROR(INDEX(PP_Grid[#Data],$DD450,73),0)</f>
        <v/>
      </c>
      <c r="BX450">
        <f>IFERROR(INDEX(PP_Grid[#Data],$DD450,74),0)</f>
        <v/>
      </c>
      <c r="BY450">
        <f>IFERROR(INDEX(PP_Grid[#Data],$DD450,75),0)</f>
        <v/>
      </c>
      <c r="BZ450">
        <f>IFERROR(INDEX(PP_Grid[#Data],$DD450,76),0)</f>
        <v/>
      </c>
      <c r="CA450">
        <f>IFERROR(INDEX(PP_Grid[#Data],$DD450,77),0)</f>
        <v/>
      </c>
      <c r="CB450">
        <f>IFERROR(INDEX(PP_Grid[#Data],$DD450,78),0)</f>
        <v/>
      </c>
      <c r="CC450">
        <f>IFERROR(INDEX(PP_Grid[#Data],$DD450,79),0)</f>
        <v/>
      </c>
      <c r="CD450">
        <f>IFERROR(INDEX(PP_Grid[#Data],$DD450,80),0)</f>
        <v/>
      </c>
      <c r="CE450">
        <f>IFERROR(INDEX(PP_Grid[#Data],$DD450,81),0)</f>
        <v/>
      </c>
      <c r="CF450">
        <f>IFERROR(INDEX(PP_Grid[#Data],$DD450,82),0)</f>
        <v/>
      </c>
      <c r="CG450">
        <f>IFERROR(INDEX(PP_Grid[#Data],$DD450,83),0)</f>
        <v/>
      </c>
      <c r="CH450">
        <f>IFERROR(INDEX(PP_Grid[#Data],$DD450,84),0)</f>
        <v/>
      </c>
      <c r="CI450">
        <f>IFERROR(INDEX(PP_Grid[#Data],$DD450,85),0)</f>
        <v/>
      </c>
      <c r="CJ450">
        <f>IFERROR(INDEX(PP_Grid[#Data],$DD450,86),0)</f>
        <v/>
      </c>
      <c r="CK450">
        <f>IFERROR(INDEX(PP_Grid[#Data],$DD450,87),0)</f>
        <v/>
      </c>
      <c r="CL450">
        <f>IFERROR(INDEX(PP_Grid[#Data],$DD450,88),0)</f>
        <v/>
      </c>
      <c r="CM450">
        <f>IFERROR(INDEX(PP_Grid[#Data],$DD450,89),0)</f>
        <v/>
      </c>
      <c r="CN450">
        <f>IFERROR(INDEX(PP_Grid[#Data],$DD450,90),0)</f>
        <v/>
      </c>
      <c r="CO450">
        <f>IFERROR(INDEX(PP_Grid[#Data],$DD450,91),0)</f>
        <v/>
      </c>
      <c r="CP450">
        <f>IFERROR(INDEX(PP_Grid[#Data],$DD450,92),0)</f>
        <v/>
      </c>
      <c r="CQ450">
        <f>IFERROR(INDEX(PP_Grid[#Data],$DD450,93),0)</f>
        <v/>
      </c>
      <c r="CR450">
        <f>IFERROR(INDEX(PP_Grid[#Data],$DD450,94),0)</f>
        <v/>
      </c>
      <c r="CS450">
        <f>IFERROR(INDEX(PP_Grid[#Data],$DD450,95),0)</f>
        <v/>
      </c>
      <c r="CT450">
        <f>IFERROR(INDEX(PP_Grid[#Data],$DD450,96),0)</f>
        <v/>
      </c>
      <c r="CU450">
        <f>IFERROR(INDEX(PP_Grid[#Data],$DD450,97),0)</f>
        <v/>
      </c>
      <c r="CV450">
        <f>IFERROR(INDEX(PP_Grid[#Data],$DD450,98),0)</f>
        <v/>
      </c>
      <c r="CW450">
        <f>IFERROR(INDEX(PP_Grid[#Data],$DD450,99),0)</f>
        <v/>
      </c>
      <c r="CX450">
        <f>IFERROR(INDEX(PP_Grid[#Data],$DD450,100),0)</f>
        <v/>
      </c>
      <c r="CY450">
        <f>IFERROR(INDEX(PP_Grid[#Data],$DD450,101),0)</f>
        <v/>
      </c>
      <c r="CZ450">
        <f>IFERROR(INDEX(PP_Grid[#Data],$DD450,102),0)</f>
        <v/>
      </c>
      <c r="DA450">
        <f>IFERROR(INDEX(PP_Grid[#Data],$DD450,103),0)</f>
        <v/>
      </c>
      <c r="DB450">
        <f>IFERROR(INDEX(PP_Grid[#Data],$DD450,104),0)</f>
        <v/>
      </c>
      <c r="DC450">
        <f>IFERROR(INDEX(PP_Grid[#Data],$DD450,105),0)</f>
        <v/>
      </c>
      <c r="DD450" s="12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SUMIFS(M_BOM[RM_Qty_Per_Batch],M_BOM[Intermediate],$B450,M_BOM[Part Name],$A383)</f>
        <v/>
      </c>
      <c r="D451">
        <f>$C451*D450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</row>
    <row r="452">
      <c r="B452" t="inlineStr">
        <is>
          <t>TSP-934</t>
        </is>
      </c>
      <c r="C452" t="inlineStr">
        <is>
          <t>No. of batches</t>
        </is>
      </c>
      <c r="D452">
        <f>IFERROR(INDEX(PP_Grid[#Data],$DD452,2),0)</f>
        <v/>
      </c>
      <c r="E452">
        <f>IFERROR(INDEX(PP_Grid[#Data],$DD452,3),0)</f>
        <v/>
      </c>
      <c r="F452">
        <f>IFERROR(INDEX(PP_Grid[#Data],$DD452,4),0)</f>
        <v/>
      </c>
      <c r="G452">
        <f>IFERROR(INDEX(PP_Grid[#Data],$DD452,5),0)</f>
        <v/>
      </c>
      <c r="H452">
        <f>IFERROR(INDEX(PP_Grid[#Data],$DD452,6),0)</f>
        <v/>
      </c>
      <c r="I452">
        <f>IFERROR(INDEX(PP_Grid[#Data],$DD452,7),0)</f>
        <v/>
      </c>
      <c r="J452">
        <f>IFERROR(INDEX(PP_Grid[#Data],$DD452,8),0)</f>
        <v/>
      </c>
      <c r="K452">
        <f>IFERROR(INDEX(PP_Grid[#Data],$DD452,9),0)</f>
        <v/>
      </c>
      <c r="L452">
        <f>IFERROR(INDEX(PP_Grid[#Data],$DD452,10),0)</f>
        <v/>
      </c>
      <c r="M452">
        <f>IFERROR(INDEX(PP_Grid[#Data],$DD452,11),0)</f>
        <v/>
      </c>
      <c r="N452">
        <f>IFERROR(INDEX(PP_Grid[#Data],$DD452,12),0)</f>
        <v/>
      </c>
      <c r="O452">
        <f>IFERROR(INDEX(PP_Grid[#Data],$DD452,13),0)</f>
        <v/>
      </c>
      <c r="P452">
        <f>IFERROR(INDEX(PP_Grid[#Data],$DD452,14),0)</f>
        <v/>
      </c>
      <c r="Q452">
        <f>IFERROR(INDEX(PP_Grid[#Data],$DD452,15),0)</f>
        <v/>
      </c>
      <c r="R452">
        <f>IFERROR(INDEX(PP_Grid[#Data],$DD452,16),0)</f>
        <v/>
      </c>
      <c r="S452">
        <f>IFERROR(INDEX(PP_Grid[#Data],$DD452,17),0)</f>
        <v/>
      </c>
      <c r="T452">
        <f>IFERROR(INDEX(PP_Grid[#Data],$DD452,18),0)</f>
        <v/>
      </c>
      <c r="U452">
        <f>IFERROR(INDEX(PP_Grid[#Data],$DD452,19),0)</f>
        <v/>
      </c>
      <c r="V452">
        <f>IFERROR(INDEX(PP_Grid[#Data],$DD452,20),0)</f>
        <v/>
      </c>
      <c r="W452">
        <f>IFERROR(INDEX(PP_Grid[#Data],$DD452,21),0)</f>
        <v/>
      </c>
      <c r="X452">
        <f>IFERROR(INDEX(PP_Grid[#Data],$DD452,22),0)</f>
        <v/>
      </c>
      <c r="Y452">
        <f>IFERROR(INDEX(PP_Grid[#Data],$DD452,23),0)</f>
        <v/>
      </c>
      <c r="Z452">
        <f>IFERROR(INDEX(PP_Grid[#Data],$DD452,24),0)</f>
        <v/>
      </c>
      <c r="AA452">
        <f>IFERROR(INDEX(PP_Grid[#Data],$DD452,25),0)</f>
        <v/>
      </c>
      <c r="AB452">
        <f>IFERROR(INDEX(PP_Grid[#Data],$DD452,26),0)</f>
        <v/>
      </c>
      <c r="AC452">
        <f>IFERROR(INDEX(PP_Grid[#Data],$DD452,27),0)</f>
        <v/>
      </c>
      <c r="AD452">
        <f>IFERROR(INDEX(PP_Grid[#Data],$DD452,28),0)</f>
        <v/>
      </c>
      <c r="AE452">
        <f>IFERROR(INDEX(PP_Grid[#Data],$DD452,29),0)</f>
        <v/>
      </c>
      <c r="AF452">
        <f>IFERROR(INDEX(PP_Grid[#Data],$DD452,30),0)</f>
        <v/>
      </c>
      <c r="AG452">
        <f>IFERROR(INDEX(PP_Grid[#Data],$DD452,31),0)</f>
        <v/>
      </c>
      <c r="AH452">
        <f>IFERROR(INDEX(PP_Grid[#Data],$DD452,32),0)</f>
        <v/>
      </c>
      <c r="AI452">
        <f>IFERROR(INDEX(PP_Grid[#Data],$DD452,33),0)</f>
        <v/>
      </c>
      <c r="AJ452">
        <f>IFERROR(INDEX(PP_Grid[#Data],$DD452,34),0)</f>
        <v/>
      </c>
      <c r="AK452">
        <f>IFERROR(INDEX(PP_Grid[#Data],$DD452,35),0)</f>
        <v/>
      </c>
      <c r="AL452">
        <f>IFERROR(INDEX(PP_Grid[#Data],$DD452,36),0)</f>
        <v/>
      </c>
      <c r="AM452">
        <f>IFERROR(INDEX(PP_Grid[#Data],$DD452,37),0)</f>
        <v/>
      </c>
      <c r="AN452">
        <f>IFERROR(INDEX(PP_Grid[#Data],$DD452,38),0)</f>
        <v/>
      </c>
      <c r="AO452">
        <f>IFERROR(INDEX(PP_Grid[#Data],$DD452,39),0)</f>
        <v/>
      </c>
      <c r="AP452">
        <f>IFERROR(INDEX(PP_Grid[#Data],$DD452,40),0)</f>
        <v/>
      </c>
      <c r="AQ452">
        <f>IFERROR(INDEX(PP_Grid[#Data],$DD452,41),0)</f>
        <v/>
      </c>
      <c r="AR452">
        <f>IFERROR(INDEX(PP_Grid[#Data],$DD452,42),0)</f>
        <v/>
      </c>
      <c r="AS452">
        <f>IFERROR(INDEX(PP_Grid[#Data],$DD452,43),0)</f>
        <v/>
      </c>
      <c r="AT452">
        <f>IFERROR(INDEX(PP_Grid[#Data],$DD452,44),0)</f>
        <v/>
      </c>
      <c r="AU452">
        <f>IFERROR(INDEX(PP_Grid[#Data],$DD452,45),0)</f>
        <v/>
      </c>
      <c r="AV452">
        <f>IFERROR(INDEX(PP_Grid[#Data],$DD452,46),0)</f>
        <v/>
      </c>
      <c r="AW452">
        <f>IFERROR(INDEX(PP_Grid[#Data],$DD452,47),0)</f>
        <v/>
      </c>
      <c r="AX452">
        <f>IFERROR(INDEX(PP_Grid[#Data],$DD452,48),0)</f>
        <v/>
      </c>
      <c r="AY452">
        <f>IFERROR(INDEX(PP_Grid[#Data],$DD452,49),0)</f>
        <v/>
      </c>
      <c r="AZ452">
        <f>IFERROR(INDEX(PP_Grid[#Data],$DD452,50),0)</f>
        <v/>
      </c>
      <c r="BA452">
        <f>IFERROR(INDEX(PP_Grid[#Data],$DD452,51),0)</f>
        <v/>
      </c>
      <c r="BB452">
        <f>IFERROR(INDEX(PP_Grid[#Data],$DD452,52),0)</f>
        <v/>
      </c>
      <c r="BC452">
        <f>IFERROR(INDEX(PP_Grid[#Data],$DD452,53),0)</f>
        <v/>
      </c>
      <c r="BD452">
        <f>IFERROR(INDEX(PP_Grid[#Data],$DD452,54),0)</f>
        <v/>
      </c>
      <c r="BE452">
        <f>IFERROR(INDEX(PP_Grid[#Data],$DD452,55),0)</f>
        <v/>
      </c>
      <c r="BF452">
        <f>IFERROR(INDEX(PP_Grid[#Data],$DD452,56),0)</f>
        <v/>
      </c>
      <c r="BG452">
        <f>IFERROR(INDEX(PP_Grid[#Data],$DD452,57),0)</f>
        <v/>
      </c>
      <c r="BH452">
        <f>IFERROR(INDEX(PP_Grid[#Data],$DD452,58),0)</f>
        <v/>
      </c>
      <c r="BI452">
        <f>IFERROR(INDEX(PP_Grid[#Data],$DD452,59),0)</f>
        <v/>
      </c>
      <c r="BJ452">
        <f>IFERROR(INDEX(PP_Grid[#Data],$DD452,60),0)</f>
        <v/>
      </c>
      <c r="BK452">
        <f>IFERROR(INDEX(PP_Grid[#Data],$DD452,61),0)</f>
        <v/>
      </c>
      <c r="BL452">
        <f>IFERROR(INDEX(PP_Grid[#Data],$DD452,62),0)</f>
        <v/>
      </c>
      <c r="BM452">
        <f>IFERROR(INDEX(PP_Grid[#Data],$DD452,63),0)</f>
        <v/>
      </c>
      <c r="BN452">
        <f>IFERROR(INDEX(PP_Grid[#Data],$DD452,64),0)</f>
        <v/>
      </c>
      <c r="BO452">
        <f>IFERROR(INDEX(PP_Grid[#Data],$DD452,65),0)</f>
        <v/>
      </c>
      <c r="BP452">
        <f>IFERROR(INDEX(PP_Grid[#Data],$DD452,66),0)</f>
        <v/>
      </c>
      <c r="BQ452">
        <f>IFERROR(INDEX(PP_Grid[#Data],$DD452,67),0)</f>
        <v/>
      </c>
      <c r="BR452">
        <f>IFERROR(INDEX(PP_Grid[#Data],$DD452,68),0)</f>
        <v/>
      </c>
      <c r="BS452">
        <f>IFERROR(INDEX(PP_Grid[#Data],$DD452,69),0)</f>
        <v/>
      </c>
      <c r="BT452">
        <f>IFERROR(INDEX(PP_Grid[#Data],$DD452,70),0)</f>
        <v/>
      </c>
      <c r="BU452">
        <f>IFERROR(INDEX(PP_Grid[#Data],$DD452,71),0)</f>
        <v/>
      </c>
      <c r="BV452">
        <f>IFERROR(INDEX(PP_Grid[#Data],$DD452,72),0)</f>
        <v/>
      </c>
      <c r="BW452">
        <f>IFERROR(INDEX(PP_Grid[#Data],$DD452,73),0)</f>
        <v/>
      </c>
      <c r="BX452">
        <f>IFERROR(INDEX(PP_Grid[#Data],$DD452,74),0)</f>
        <v/>
      </c>
      <c r="BY452">
        <f>IFERROR(INDEX(PP_Grid[#Data],$DD452,75),0)</f>
        <v/>
      </c>
      <c r="BZ452">
        <f>IFERROR(INDEX(PP_Grid[#Data],$DD452,76),0)</f>
        <v/>
      </c>
      <c r="CA452">
        <f>IFERROR(INDEX(PP_Grid[#Data],$DD452,77),0)</f>
        <v/>
      </c>
      <c r="CB452">
        <f>IFERROR(INDEX(PP_Grid[#Data],$DD452,78),0)</f>
        <v/>
      </c>
      <c r="CC452">
        <f>IFERROR(INDEX(PP_Grid[#Data],$DD452,79),0)</f>
        <v/>
      </c>
      <c r="CD452">
        <f>IFERROR(INDEX(PP_Grid[#Data],$DD452,80),0)</f>
        <v/>
      </c>
      <c r="CE452">
        <f>IFERROR(INDEX(PP_Grid[#Data],$DD452,81),0)</f>
        <v/>
      </c>
      <c r="CF452">
        <f>IFERROR(INDEX(PP_Grid[#Data],$DD452,82),0)</f>
        <v/>
      </c>
      <c r="CG452">
        <f>IFERROR(INDEX(PP_Grid[#Data],$DD452,83),0)</f>
        <v/>
      </c>
      <c r="CH452">
        <f>IFERROR(INDEX(PP_Grid[#Data],$DD452,84),0)</f>
        <v/>
      </c>
      <c r="CI452">
        <f>IFERROR(INDEX(PP_Grid[#Data],$DD452,85),0)</f>
        <v/>
      </c>
      <c r="CJ452">
        <f>IFERROR(INDEX(PP_Grid[#Data],$DD452,86),0)</f>
        <v/>
      </c>
      <c r="CK452">
        <f>IFERROR(INDEX(PP_Grid[#Data],$DD452,87),0)</f>
        <v/>
      </c>
      <c r="CL452">
        <f>IFERROR(INDEX(PP_Grid[#Data],$DD452,88),0)</f>
        <v/>
      </c>
      <c r="CM452">
        <f>IFERROR(INDEX(PP_Grid[#Data],$DD452,89),0)</f>
        <v/>
      </c>
      <c r="CN452">
        <f>IFERROR(INDEX(PP_Grid[#Data],$DD452,90),0)</f>
        <v/>
      </c>
      <c r="CO452">
        <f>IFERROR(INDEX(PP_Grid[#Data],$DD452,91),0)</f>
        <v/>
      </c>
      <c r="CP452">
        <f>IFERROR(INDEX(PP_Grid[#Data],$DD452,92),0)</f>
        <v/>
      </c>
      <c r="CQ452">
        <f>IFERROR(INDEX(PP_Grid[#Data],$DD452,93),0)</f>
        <v/>
      </c>
      <c r="CR452">
        <f>IFERROR(INDEX(PP_Grid[#Data],$DD452,94),0)</f>
        <v/>
      </c>
      <c r="CS452">
        <f>IFERROR(INDEX(PP_Grid[#Data],$DD452,95),0)</f>
        <v/>
      </c>
      <c r="CT452">
        <f>IFERROR(INDEX(PP_Grid[#Data],$DD452,96),0)</f>
        <v/>
      </c>
      <c r="CU452">
        <f>IFERROR(INDEX(PP_Grid[#Data],$DD452,97),0)</f>
        <v/>
      </c>
      <c r="CV452">
        <f>IFERROR(INDEX(PP_Grid[#Data],$DD452,98),0)</f>
        <v/>
      </c>
      <c r="CW452">
        <f>IFERROR(INDEX(PP_Grid[#Data],$DD452,99),0)</f>
        <v/>
      </c>
      <c r="CX452">
        <f>IFERROR(INDEX(PP_Grid[#Data],$DD452,100),0)</f>
        <v/>
      </c>
      <c r="CY452">
        <f>IFERROR(INDEX(PP_Grid[#Data],$DD452,101),0)</f>
        <v/>
      </c>
      <c r="CZ452">
        <f>IFERROR(INDEX(PP_Grid[#Data],$DD452,102),0)</f>
        <v/>
      </c>
      <c r="DA452">
        <f>IFERROR(INDEX(PP_Grid[#Data],$DD452,103),0)</f>
        <v/>
      </c>
      <c r="DB452">
        <f>IFERROR(INDEX(PP_Grid[#Data],$DD452,104),0)</f>
        <v/>
      </c>
      <c r="DC452">
        <f>IFERROR(INDEX(PP_Grid[#Data],$DD452,105),0)</f>
        <v/>
      </c>
      <c r="DD452" s="12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SUMIFS(M_BOM[RM_Qty_Per_Batch],M_BOM[Intermediate],$B452,M_BOM[Part Name],$A383)</f>
        <v/>
      </c>
      <c r="D453">
        <f>$C453*D452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</row>
    <row r="454">
      <c r="B454" t="inlineStr">
        <is>
          <t>TSP-935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12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Name],$A383)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TSP-936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12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Name],$A383)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TSP-937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12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Name],$A383)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VSP-600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12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Name],$A383)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VSP-602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12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Name],$A383)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VSP-822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12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Name],$A383)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VSP-910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12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Name],$A383)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t="inlineStr">
        <is>
          <t>VSP-989</t>
        </is>
      </c>
      <c r="C468" t="inlineStr">
        <is>
          <t>No. of batches</t>
        </is>
      </c>
      <c r="D468">
        <f>IFERROR(INDEX(PP_Grid[#Data],$DD468,2),0)</f>
        <v/>
      </c>
      <c r="E468">
        <f>IFERROR(INDEX(PP_Grid[#Data],$DD468,3),0)</f>
        <v/>
      </c>
      <c r="F468">
        <f>IFERROR(INDEX(PP_Grid[#Data],$DD468,4),0)</f>
        <v/>
      </c>
      <c r="G468">
        <f>IFERROR(INDEX(PP_Grid[#Data],$DD468,5),0)</f>
        <v/>
      </c>
      <c r="H468">
        <f>IFERROR(INDEX(PP_Grid[#Data],$DD468,6),0)</f>
        <v/>
      </c>
      <c r="I468">
        <f>IFERROR(INDEX(PP_Grid[#Data],$DD468,7),0)</f>
        <v/>
      </c>
      <c r="J468">
        <f>IFERROR(INDEX(PP_Grid[#Data],$DD468,8),0)</f>
        <v/>
      </c>
      <c r="K468">
        <f>IFERROR(INDEX(PP_Grid[#Data],$DD468,9),0)</f>
        <v/>
      </c>
      <c r="L468">
        <f>IFERROR(INDEX(PP_Grid[#Data],$DD468,10),0)</f>
        <v/>
      </c>
      <c r="M468">
        <f>IFERROR(INDEX(PP_Grid[#Data],$DD468,11),0)</f>
        <v/>
      </c>
      <c r="N468">
        <f>IFERROR(INDEX(PP_Grid[#Data],$DD468,12),0)</f>
        <v/>
      </c>
      <c r="O468">
        <f>IFERROR(INDEX(PP_Grid[#Data],$DD468,13),0)</f>
        <v/>
      </c>
      <c r="P468">
        <f>IFERROR(INDEX(PP_Grid[#Data],$DD468,14),0)</f>
        <v/>
      </c>
      <c r="Q468">
        <f>IFERROR(INDEX(PP_Grid[#Data],$DD468,15),0)</f>
        <v/>
      </c>
      <c r="R468">
        <f>IFERROR(INDEX(PP_Grid[#Data],$DD468,16),0)</f>
        <v/>
      </c>
      <c r="S468">
        <f>IFERROR(INDEX(PP_Grid[#Data],$DD468,17),0)</f>
        <v/>
      </c>
      <c r="T468">
        <f>IFERROR(INDEX(PP_Grid[#Data],$DD468,18),0)</f>
        <v/>
      </c>
      <c r="U468">
        <f>IFERROR(INDEX(PP_Grid[#Data],$DD468,19),0)</f>
        <v/>
      </c>
      <c r="V468">
        <f>IFERROR(INDEX(PP_Grid[#Data],$DD468,20),0)</f>
        <v/>
      </c>
      <c r="W468">
        <f>IFERROR(INDEX(PP_Grid[#Data],$DD468,21),0)</f>
        <v/>
      </c>
      <c r="X468">
        <f>IFERROR(INDEX(PP_Grid[#Data],$DD468,22),0)</f>
        <v/>
      </c>
      <c r="Y468">
        <f>IFERROR(INDEX(PP_Grid[#Data],$DD468,23),0)</f>
        <v/>
      </c>
      <c r="Z468">
        <f>IFERROR(INDEX(PP_Grid[#Data],$DD468,24),0)</f>
        <v/>
      </c>
      <c r="AA468">
        <f>IFERROR(INDEX(PP_Grid[#Data],$DD468,25),0)</f>
        <v/>
      </c>
      <c r="AB468">
        <f>IFERROR(INDEX(PP_Grid[#Data],$DD468,26),0)</f>
        <v/>
      </c>
      <c r="AC468">
        <f>IFERROR(INDEX(PP_Grid[#Data],$DD468,27),0)</f>
        <v/>
      </c>
      <c r="AD468">
        <f>IFERROR(INDEX(PP_Grid[#Data],$DD468,28),0)</f>
        <v/>
      </c>
      <c r="AE468">
        <f>IFERROR(INDEX(PP_Grid[#Data],$DD468,29),0)</f>
        <v/>
      </c>
      <c r="AF468">
        <f>IFERROR(INDEX(PP_Grid[#Data],$DD468,30),0)</f>
        <v/>
      </c>
      <c r="AG468">
        <f>IFERROR(INDEX(PP_Grid[#Data],$DD468,31),0)</f>
        <v/>
      </c>
      <c r="AH468">
        <f>IFERROR(INDEX(PP_Grid[#Data],$DD468,32),0)</f>
        <v/>
      </c>
      <c r="AI468">
        <f>IFERROR(INDEX(PP_Grid[#Data],$DD468,33),0)</f>
        <v/>
      </c>
      <c r="AJ468">
        <f>IFERROR(INDEX(PP_Grid[#Data],$DD468,34),0)</f>
        <v/>
      </c>
      <c r="AK468">
        <f>IFERROR(INDEX(PP_Grid[#Data],$DD468,35),0)</f>
        <v/>
      </c>
      <c r="AL468">
        <f>IFERROR(INDEX(PP_Grid[#Data],$DD468,36),0)</f>
        <v/>
      </c>
      <c r="AM468">
        <f>IFERROR(INDEX(PP_Grid[#Data],$DD468,37),0)</f>
        <v/>
      </c>
      <c r="AN468">
        <f>IFERROR(INDEX(PP_Grid[#Data],$DD468,38),0)</f>
        <v/>
      </c>
      <c r="AO468">
        <f>IFERROR(INDEX(PP_Grid[#Data],$DD468,39),0)</f>
        <v/>
      </c>
      <c r="AP468">
        <f>IFERROR(INDEX(PP_Grid[#Data],$DD468,40),0)</f>
        <v/>
      </c>
      <c r="AQ468">
        <f>IFERROR(INDEX(PP_Grid[#Data],$DD468,41),0)</f>
        <v/>
      </c>
      <c r="AR468">
        <f>IFERROR(INDEX(PP_Grid[#Data],$DD468,42),0)</f>
        <v/>
      </c>
      <c r="AS468">
        <f>IFERROR(INDEX(PP_Grid[#Data],$DD468,43),0)</f>
        <v/>
      </c>
      <c r="AT468">
        <f>IFERROR(INDEX(PP_Grid[#Data],$DD468,44),0)</f>
        <v/>
      </c>
      <c r="AU468">
        <f>IFERROR(INDEX(PP_Grid[#Data],$DD468,45),0)</f>
        <v/>
      </c>
      <c r="AV468">
        <f>IFERROR(INDEX(PP_Grid[#Data],$DD468,46),0)</f>
        <v/>
      </c>
      <c r="AW468">
        <f>IFERROR(INDEX(PP_Grid[#Data],$DD468,47),0)</f>
        <v/>
      </c>
      <c r="AX468">
        <f>IFERROR(INDEX(PP_Grid[#Data],$DD468,48),0)</f>
        <v/>
      </c>
      <c r="AY468">
        <f>IFERROR(INDEX(PP_Grid[#Data],$DD468,49),0)</f>
        <v/>
      </c>
      <c r="AZ468">
        <f>IFERROR(INDEX(PP_Grid[#Data],$DD468,50),0)</f>
        <v/>
      </c>
      <c r="BA468">
        <f>IFERROR(INDEX(PP_Grid[#Data],$DD468,51),0)</f>
        <v/>
      </c>
      <c r="BB468">
        <f>IFERROR(INDEX(PP_Grid[#Data],$DD468,52),0)</f>
        <v/>
      </c>
      <c r="BC468">
        <f>IFERROR(INDEX(PP_Grid[#Data],$DD468,53),0)</f>
        <v/>
      </c>
      <c r="BD468">
        <f>IFERROR(INDEX(PP_Grid[#Data],$DD468,54),0)</f>
        <v/>
      </c>
      <c r="BE468">
        <f>IFERROR(INDEX(PP_Grid[#Data],$DD468,55),0)</f>
        <v/>
      </c>
      <c r="BF468">
        <f>IFERROR(INDEX(PP_Grid[#Data],$DD468,56),0)</f>
        <v/>
      </c>
      <c r="BG468">
        <f>IFERROR(INDEX(PP_Grid[#Data],$DD468,57),0)</f>
        <v/>
      </c>
      <c r="BH468">
        <f>IFERROR(INDEX(PP_Grid[#Data],$DD468,58),0)</f>
        <v/>
      </c>
      <c r="BI468">
        <f>IFERROR(INDEX(PP_Grid[#Data],$DD468,59),0)</f>
        <v/>
      </c>
      <c r="BJ468">
        <f>IFERROR(INDEX(PP_Grid[#Data],$DD468,60),0)</f>
        <v/>
      </c>
      <c r="BK468">
        <f>IFERROR(INDEX(PP_Grid[#Data],$DD468,61),0)</f>
        <v/>
      </c>
      <c r="BL468">
        <f>IFERROR(INDEX(PP_Grid[#Data],$DD468,62),0)</f>
        <v/>
      </c>
      <c r="BM468">
        <f>IFERROR(INDEX(PP_Grid[#Data],$DD468,63),0)</f>
        <v/>
      </c>
      <c r="BN468">
        <f>IFERROR(INDEX(PP_Grid[#Data],$DD468,64),0)</f>
        <v/>
      </c>
      <c r="BO468">
        <f>IFERROR(INDEX(PP_Grid[#Data],$DD468,65),0)</f>
        <v/>
      </c>
      <c r="BP468">
        <f>IFERROR(INDEX(PP_Grid[#Data],$DD468,66),0)</f>
        <v/>
      </c>
      <c r="BQ468">
        <f>IFERROR(INDEX(PP_Grid[#Data],$DD468,67),0)</f>
        <v/>
      </c>
      <c r="BR468">
        <f>IFERROR(INDEX(PP_Grid[#Data],$DD468,68),0)</f>
        <v/>
      </c>
      <c r="BS468">
        <f>IFERROR(INDEX(PP_Grid[#Data],$DD468,69),0)</f>
        <v/>
      </c>
      <c r="BT468">
        <f>IFERROR(INDEX(PP_Grid[#Data],$DD468,70),0)</f>
        <v/>
      </c>
      <c r="BU468">
        <f>IFERROR(INDEX(PP_Grid[#Data],$DD468,71),0)</f>
        <v/>
      </c>
      <c r="BV468">
        <f>IFERROR(INDEX(PP_Grid[#Data],$DD468,72),0)</f>
        <v/>
      </c>
      <c r="BW468">
        <f>IFERROR(INDEX(PP_Grid[#Data],$DD468,73),0)</f>
        <v/>
      </c>
      <c r="BX468">
        <f>IFERROR(INDEX(PP_Grid[#Data],$DD468,74),0)</f>
        <v/>
      </c>
      <c r="BY468">
        <f>IFERROR(INDEX(PP_Grid[#Data],$DD468,75),0)</f>
        <v/>
      </c>
      <c r="BZ468">
        <f>IFERROR(INDEX(PP_Grid[#Data],$DD468,76),0)</f>
        <v/>
      </c>
      <c r="CA468">
        <f>IFERROR(INDEX(PP_Grid[#Data],$DD468,77),0)</f>
        <v/>
      </c>
      <c r="CB468">
        <f>IFERROR(INDEX(PP_Grid[#Data],$DD468,78),0)</f>
        <v/>
      </c>
      <c r="CC468">
        <f>IFERROR(INDEX(PP_Grid[#Data],$DD468,79),0)</f>
        <v/>
      </c>
      <c r="CD468">
        <f>IFERROR(INDEX(PP_Grid[#Data],$DD468,80),0)</f>
        <v/>
      </c>
      <c r="CE468">
        <f>IFERROR(INDEX(PP_Grid[#Data],$DD468,81),0)</f>
        <v/>
      </c>
      <c r="CF468">
        <f>IFERROR(INDEX(PP_Grid[#Data],$DD468,82),0)</f>
        <v/>
      </c>
      <c r="CG468">
        <f>IFERROR(INDEX(PP_Grid[#Data],$DD468,83),0)</f>
        <v/>
      </c>
      <c r="CH468">
        <f>IFERROR(INDEX(PP_Grid[#Data],$DD468,84),0)</f>
        <v/>
      </c>
      <c r="CI468">
        <f>IFERROR(INDEX(PP_Grid[#Data],$DD468,85),0)</f>
        <v/>
      </c>
      <c r="CJ468">
        <f>IFERROR(INDEX(PP_Grid[#Data],$DD468,86),0)</f>
        <v/>
      </c>
      <c r="CK468">
        <f>IFERROR(INDEX(PP_Grid[#Data],$DD468,87),0)</f>
        <v/>
      </c>
      <c r="CL468">
        <f>IFERROR(INDEX(PP_Grid[#Data],$DD468,88),0)</f>
        <v/>
      </c>
      <c r="CM468">
        <f>IFERROR(INDEX(PP_Grid[#Data],$DD468,89),0)</f>
        <v/>
      </c>
      <c r="CN468">
        <f>IFERROR(INDEX(PP_Grid[#Data],$DD468,90),0)</f>
        <v/>
      </c>
      <c r="CO468">
        <f>IFERROR(INDEX(PP_Grid[#Data],$DD468,91),0)</f>
        <v/>
      </c>
      <c r="CP468">
        <f>IFERROR(INDEX(PP_Grid[#Data],$DD468,92),0)</f>
        <v/>
      </c>
      <c r="CQ468">
        <f>IFERROR(INDEX(PP_Grid[#Data],$DD468,93),0)</f>
        <v/>
      </c>
      <c r="CR468">
        <f>IFERROR(INDEX(PP_Grid[#Data],$DD468,94),0)</f>
        <v/>
      </c>
      <c r="CS468">
        <f>IFERROR(INDEX(PP_Grid[#Data],$DD468,95),0)</f>
        <v/>
      </c>
      <c r="CT468">
        <f>IFERROR(INDEX(PP_Grid[#Data],$DD468,96),0)</f>
        <v/>
      </c>
      <c r="CU468">
        <f>IFERROR(INDEX(PP_Grid[#Data],$DD468,97),0)</f>
        <v/>
      </c>
      <c r="CV468">
        <f>IFERROR(INDEX(PP_Grid[#Data],$DD468,98),0)</f>
        <v/>
      </c>
      <c r="CW468">
        <f>IFERROR(INDEX(PP_Grid[#Data],$DD468,99),0)</f>
        <v/>
      </c>
      <c r="CX468">
        <f>IFERROR(INDEX(PP_Grid[#Data],$DD468,100),0)</f>
        <v/>
      </c>
      <c r="CY468">
        <f>IFERROR(INDEX(PP_Grid[#Data],$DD468,101),0)</f>
        <v/>
      </c>
      <c r="CZ468">
        <f>IFERROR(INDEX(PP_Grid[#Data],$DD468,102),0)</f>
        <v/>
      </c>
      <c r="DA468">
        <f>IFERROR(INDEX(PP_Grid[#Data],$DD468,103),0)</f>
        <v/>
      </c>
      <c r="DB468">
        <f>IFERROR(INDEX(PP_Grid[#Data],$DD468,104),0)</f>
        <v/>
      </c>
      <c r="DC468">
        <f>IFERROR(INDEX(PP_Grid[#Data],$DD468,105),0)</f>
        <v/>
      </c>
      <c r="DD468" s="12">
        <f>IFERROR(MATCH($B468,PP_Grid[Intermediate],0),99999)</f>
        <v/>
      </c>
    </row>
    <row r="469">
      <c r="B469" t="inlineStr">
        <is>
          <t>使用量(kg)</t>
        </is>
      </c>
      <c r="C469">
        <f>SUMIFS(M_BOM[RM_Qty_Per_Batch],M_BOM[Intermediate],$B468,M_BOM[Part Name],$A383)</f>
        <v/>
      </c>
      <c r="D469">
        <f>$C469*D468</f>
        <v/>
      </c>
      <c r="E469">
        <f>$C469*E468</f>
        <v/>
      </c>
      <c r="F469">
        <f>$C469*F468</f>
        <v/>
      </c>
      <c r="G469">
        <f>$C469*G468</f>
        <v/>
      </c>
      <c r="H469">
        <f>$C469*H468</f>
        <v/>
      </c>
      <c r="I469">
        <f>$C469*I468</f>
        <v/>
      </c>
      <c r="J469">
        <f>$C469*J468</f>
        <v/>
      </c>
      <c r="K469">
        <f>$C469*K468</f>
        <v/>
      </c>
      <c r="L469">
        <f>$C469*L468</f>
        <v/>
      </c>
      <c r="M469">
        <f>$C469*M468</f>
        <v/>
      </c>
      <c r="N469">
        <f>$C469*N468</f>
        <v/>
      </c>
      <c r="O469">
        <f>$C469*O468</f>
        <v/>
      </c>
      <c r="P469">
        <f>$C469*P468</f>
        <v/>
      </c>
      <c r="Q469">
        <f>$C469*Q468</f>
        <v/>
      </c>
      <c r="R469">
        <f>$C469*R468</f>
        <v/>
      </c>
      <c r="S469">
        <f>$C469*S468</f>
        <v/>
      </c>
      <c r="T469">
        <f>$C469*T468</f>
        <v/>
      </c>
      <c r="U469">
        <f>$C469*U468</f>
        <v/>
      </c>
      <c r="V469">
        <f>$C469*V468</f>
        <v/>
      </c>
      <c r="W469">
        <f>$C469*W468</f>
        <v/>
      </c>
      <c r="X469">
        <f>$C469*X468</f>
        <v/>
      </c>
      <c r="Y469">
        <f>$C469*Y468</f>
        <v/>
      </c>
      <c r="Z469">
        <f>$C469*Z468</f>
        <v/>
      </c>
      <c r="AA469">
        <f>$C469*AA468</f>
        <v/>
      </c>
      <c r="AB469">
        <f>$C469*AB468</f>
        <v/>
      </c>
      <c r="AC469">
        <f>$C469*AC468</f>
        <v/>
      </c>
      <c r="AD469">
        <f>$C469*AD468</f>
        <v/>
      </c>
      <c r="AE469">
        <f>$C469*AE468</f>
        <v/>
      </c>
      <c r="AF469">
        <f>$C469*AF468</f>
        <v/>
      </c>
      <c r="AG469">
        <f>$C469*AG468</f>
        <v/>
      </c>
      <c r="AH469">
        <f>$C469*AH468</f>
        <v/>
      </c>
      <c r="AI469">
        <f>$C469*AI468</f>
        <v/>
      </c>
      <c r="AJ469">
        <f>$C469*AJ468</f>
        <v/>
      </c>
      <c r="AK469">
        <f>$C469*AK468</f>
        <v/>
      </c>
      <c r="AL469">
        <f>$C469*AL468</f>
        <v/>
      </c>
      <c r="AM469">
        <f>$C469*AM468</f>
        <v/>
      </c>
      <c r="AN469">
        <f>$C469*AN468</f>
        <v/>
      </c>
      <c r="AO469">
        <f>$C469*AO468</f>
        <v/>
      </c>
      <c r="AP469">
        <f>$C469*AP468</f>
        <v/>
      </c>
      <c r="AQ469">
        <f>$C469*AQ468</f>
        <v/>
      </c>
      <c r="AR469">
        <f>$C469*AR468</f>
        <v/>
      </c>
      <c r="AS469">
        <f>$C469*AS468</f>
        <v/>
      </c>
      <c r="AT469">
        <f>$C469*AT468</f>
        <v/>
      </c>
      <c r="AU469">
        <f>$C469*AU468</f>
        <v/>
      </c>
      <c r="AV469">
        <f>$C469*AV468</f>
        <v/>
      </c>
      <c r="AW469">
        <f>$C469*AW468</f>
        <v/>
      </c>
      <c r="AX469">
        <f>$C469*AX468</f>
        <v/>
      </c>
      <c r="AY469">
        <f>$C469*AY468</f>
        <v/>
      </c>
      <c r="AZ469">
        <f>$C469*AZ468</f>
        <v/>
      </c>
      <c r="BA469">
        <f>$C469*BA468</f>
        <v/>
      </c>
      <c r="BB469">
        <f>$C469*BB468</f>
        <v/>
      </c>
      <c r="BC469">
        <f>$C469*BC468</f>
        <v/>
      </c>
      <c r="BD469">
        <f>$C469*BD468</f>
        <v/>
      </c>
      <c r="BE469">
        <f>$C469*BE468</f>
        <v/>
      </c>
      <c r="BF469">
        <f>$C469*BF468</f>
        <v/>
      </c>
      <c r="BG469">
        <f>$C469*BG468</f>
        <v/>
      </c>
      <c r="BH469">
        <f>$C469*BH468</f>
        <v/>
      </c>
      <c r="BI469">
        <f>$C469*BI468</f>
        <v/>
      </c>
      <c r="BJ469">
        <f>$C469*BJ468</f>
        <v/>
      </c>
      <c r="BK469">
        <f>$C469*BK468</f>
        <v/>
      </c>
      <c r="BL469">
        <f>$C469*BL468</f>
        <v/>
      </c>
      <c r="BM469">
        <f>$C469*BM468</f>
        <v/>
      </c>
      <c r="BN469">
        <f>$C469*BN468</f>
        <v/>
      </c>
      <c r="BO469">
        <f>$C469*BO468</f>
        <v/>
      </c>
      <c r="BP469">
        <f>$C469*BP468</f>
        <v/>
      </c>
      <c r="BQ469">
        <f>$C469*BQ468</f>
        <v/>
      </c>
      <c r="BR469">
        <f>$C469*BR468</f>
        <v/>
      </c>
      <c r="BS469">
        <f>$C469*BS468</f>
        <v/>
      </c>
      <c r="BT469">
        <f>$C469*BT468</f>
        <v/>
      </c>
      <c r="BU469">
        <f>$C469*BU468</f>
        <v/>
      </c>
      <c r="BV469">
        <f>$C469*BV468</f>
        <v/>
      </c>
      <c r="BW469">
        <f>$C469*BW468</f>
        <v/>
      </c>
      <c r="BX469">
        <f>$C469*BX468</f>
        <v/>
      </c>
      <c r="BY469">
        <f>$C469*BY468</f>
        <v/>
      </c>
      <c r="BZ469">
        <f>$C469*BZ468</f>
        <v/>
      </c>
      <c r="CA469">
        <f>$C469*CA468</f>
        <v/>
      </c>
      <c r="CB469">
        <f>$C469*CB468</f>
        <v/>
      </c>
      <c r="CC469">
        <f>$C469*CC468</f>
        <v/>
      </c>
      <c r="CD469">
        <f>$C469*CD468</f>
        <v/>
      </c>
      <c r="CE469">
        <f>$C469*CE468</f>
        <v/>
      </c>
      <c r="CF469">
        <f>$C469*CF468</f>
        <v/>
      </c>
      <c r="CG469">
        <f>$C469*CG468</f>
        <v/>
      </c>
      <c r="CH469">
        <f>$C469*CH468</f>
        <v/>
      </c>
      <c r="CI469">
        <f>$C469*CI468</f>
        <v/>
      </c>
      <c r="CJ469">
        <f>$C469*CJ468</f>
        <v/>
      </c>
      <c r="CK469">
        <f>$C469*CK468</f>
        <v/>
      </c>
      <c r="CL469">
        <f>$C469*CL468</f>
        <v/>
      </c>
      <c r="CM469">
        <f>$C469*CM468</f>
        <v/>
      </c>
      <c r="CN469">
        <f>$C469*CN468</f>
        <v/>
      </c>
      <c r="CO469">
        <f>$C469*CO468</f>
        <v/>
      </c>
      <c r="CP469">
        <f>$C469*CP468</f>
        <v/>
      </c>
      <c r="CQ469">
        <f>$C469*CQ468</f>
        <v/>
      </c>
      <c r="CR469">
        <f>$C469*CR468</f>
        <v/>
      </c>
      <c r="CS469">
        <f>$C469*CS468</f>
        <v/>
      </c>
      <c r="CT469">
        <f>$C469*CT468</f>
        <v/>
      </c>
      <c r="CU469">
        <f>$C469*CU468</f>
        <v/>
      </c>
      <c r="CV469">
        <f>$C469*CV468</f>
        <v/>
      </c>
      <c r="CW469">
        <f>$C469*CW468</f>
        <v/>
      </c>
      <c r="CX469">
        <f>$C469*CX468</f>
        <v/>
      </c>
      <c r="CY469">
        <f>$C469*CY468</f>
        <v/>
      </c>
      <c r="CZ469">
        <f>$C469*CZ468</f>
        <v/>
      </c>
      <c r="DA469">
        <f>$C469*DA468</f>
        <v/>
      </c>
      <c r="DB469">
        <f>$C469*DB468</f>
        <v/>
      </c>
      <c r="DC469">
        <f>$C469*DC468</f>
        <v/>
      </c>
    </row>
    <row r="470">
      <c r="B470" t="inlineStr">
        <is>
          <t>VSP-990</t>
        </is>
      </c>
      <c r="C470" t="inlineStr">
        <is>
          <t>No. of batches</t>
        </is>
      </c>
      <c r="D470">
        <f>IFERROR(INDEX(PP_Grid[#Data],$DD470,2),0)</f>
        <v/>
      </c>
      <c r="E470">
        <f>IFERROR(INDEX(PP_Grid[#Data],$DD470,3),0)</f>
        <v/>
      </c>
      <c r="F470">
        <f>IFERROR(INDEX(PP_Grid[#Data],$DD470,4),0)</f>
        <v/>
      </c>
      <c r="G470">
        <f>IFERROR(INDEX(PP_Grid[#Data],$DD470,5),0)</f>
        <v/>
      </c>
      <c r="H470">
        <f>IFERROR(INDEX(PP_Grid[#Data],$DD470,6),0)</f>
        <v/>
      </c>
      <c r="I470">
        <f>IFERROR(INDEX(PP_Grid[#Data],$DD470,7),0)</f>
        <v/>
      </c>
      <c r="J470">
        <f>IFERROR(INDEX(PP_Grid[#Data],$DD470,8),0)</f>
        <v/>
      </c>
      <c r="K470">
        <f>IFERROR(INDEX(PP_Grid[#Data],$DD470,9),0)</f>
        <v/>
      </c>
      <c r="L470">
        <f>IFERROR(INDEX(PP_Grid[#Data],$DD470,10),0)</f>
        <v/>
      </c>
      <c r="M470">
        <f>IFERROR(INDEX(PP_Grid[#Data],$DD470,11),0)</f>
        <v/>
      </c>
      <c r="N470">
        <f>IFERROR(INDEX(PP_Grid[#Data],$DD470,12),0)</f>
        <v/>
      </c>
      <c r="O470">
        <f>IFERROR(INDEX(PP_Grid[#Data],$DD470,13),0)</f>
        <v/>
      </c>
      <c r="P470">
        <f>IFERROR(INDEX(PP_Grid[#Data],$DD470,14),0)</f>
        <v/>
      </c>
      <c r="Q470">
        <f>IFERROR(INDEX(PP_Grid[#Data],$DD470,15),0)</f>
        <v/>
      </c>
      <c r="R470">
        <f>IFERROR(INDEX(PP_Grid[#Data],$DD470,16),0)</f>
        <v/>
      </c>
      <c r="S470">
        <f>IFERROR(INDEX(PP_Grid[#Data],$DD470,17),0)</f>
        <v/>
      </c>
      <c r="T470">
        <f>IFERROR(INDEX(PP_Grid[#Data],$DD470,18),0)</f>
        <v/>
      </c>
      <c r="U470">
        <f>IFERROR(INDEX(PP_Grid[#Data],$DD470,19),0)</f>
        <v/>
      </c>
      <c r="V470">
        <f>IFERROR(INDEX(PP_Grid[#Data],$DD470,20),0)</f>
        <v/>
      </c>
      <c r="W470">
        <f>IFERROR(INDEX(PP_Grid[#Data],$DD470,21),0)</f>
        <v/>
      </c>
      <c r="X470">
        <f>IFERROR(INDEX(PP_Grid[#Data],$DD470,22),0)</f>
        <v/>
      </c>
      <c r="Y470">
        <f>IFERROR(INDEX(PP_Grid[#Data],$DD470,23),0)</f>
        <v/>
      </c>
      <c r="Z470">
        <f>IFERROR(INDEX(PP_Grid[#Data],$DD470,24),0)</f>
        <v/>
      </c>
      <c r="AA470">
        <f>IFERROR(INDEX(PP_Grid[#Data],$DD470,25),0)</f>
        <v/>
      </c>
      <c r="AB470">
        <f>IFERROR(INDEX(PP_Grid[#Data],$DD470,26),0)</f>
        <v/>
      </c>
      <c r="AC470">
        <f>IFERROR(INDEX(PP_Grid[#Data],$DD470,27),0)</f>
        <v/>
      </c>
      <c r="AD470">
        <f>IFERROR(INDEX(PP_Grid[#Data],$DD470,28),0)</f>
        <v/>
      </c>
      <c r="AE470">
        <f>IFERROR(INDEX(PP_Grid[#Data],$DD470,29),0)</f>
        <v/>
      </c>
      <c r="AF470">
        <f>IFERROR(INDEX(PP_Grid[#Data],$DD470,30),0)</f>
        <v/>
      </c>
      <c r="AG470">
        <f>IFERROR(INDEX(PP_Grid[#Data],$DD470,31),0)</f>
        <v/>
      </c>
      <c r="AH470">
        <f>IFERROR(INDEX(PP_Grid[#Data],$DD470,32),0)</f>
        <v/>
      </c>
      <c r="AI470">
        <f>IFERROR(INDEX(PP_Grid[#Data],$DD470,33),0)</f>
        <v/>
      </c>
      <c r="AJ470">
        <f>IFERROR(INDEX(PP_Grid[#Data],$DD470,34),0)</f>
        <v/>
      </c>
      <c r="AK470">
        <f>IFERROR(INDEX(PP_Grid[#Data],$DD470,35),0)</f>
        <v/>
      </c>
      <c r="AL470">
        <f>IFERROR(INDEX(PP_Grid[#Data],$DD470,36),0)</f>
        <v/>
      </c>
      <c r="AM470">
        <f>IFERROR(INDEX(PP_Grid[#Data],$DD470,37),0)</f>
        <v/>
      </c>
      <c r="AN470">
        <f>IFERROR(INDEX(PP_Grid[#Data],$DD470,38),0)</f>
        <v/>
      </c>
      <c r="AO470">
        <f>IFERROR(INDEX(PP_Grid[#Data],$DD470,39),0)</f>
        <v/>
      </c>
      <c r="AP470">
        <f>IFERROR(INDEX(PP_Grid[#Data],$DD470,40),0)</f>
        <v/>
      </c>
      <c r="AQ470">
        <f>IFERROR(INDEX(PP_Grid[#Data],$DD470,41),0)</f>
        <v/>
      </c>
      <c r="AR470">
        <f>IFERROR(INDEX(PP_Grid[#Data],$DD470,42),0)</f>
        <v/>
      </c>
      <c r="AS470">
        <f>IFERROR(INDEX(PP_Grid[#Data],$DD470,43),0)</f>
        <v/>
      </c>
      <c r="AT470">
        <f>IFERROR(INDEX(PP_Grid[#Data],$DD470,44),0)</f>
        <v/>
      </c>
      <c r="AU470">
        <f>IFERROR(INDEX(PP_Grid[#Data],$DD470,45),0)</f>
        <v/>
      </c>
      <c r="AV470">
        <f>IFERROR(INDEX(PP_Grid[#Data],$DD470,46),0)</f>
        <v/>
      </c>
      <c r="AW470">
        <f>IFERROR(INDEX(PP_Grid[#Data],$DD470,47),0)</f>
        <v/>
      </c>
      <c r="AX470">
        <f>IFERROR(INDEX(PP_Grid[#Data],$DD470,48),0)</f>
        <v/>
      </c>
      <c r="AY470">
        <f>IFERROR(INDEX(PP_Grid[#Data],$DD470,49),0)</f>
        <v/>
      </c>
      <c r="AZ470">
        <f>IFERROR(INDEX(PP_Grid[#Data],$DD470,50),0)</f>
        <v/>
      </c>
      <c r="BA470">
        <f>IFERROR(INDEX(PP_Grid[#Data],$DD470,51),0)</f>
        <v/>
      </c>
      <c r="BB470">
        <f>IFERROR(INDEX(PP_Grid[#Data],$DD470,52),0)</f>
        <v/>
      </c>
      <c r="BC470">
        <f>IFERROR(INDEX(PP_Grid[#Data],$DD470,53),0)</f>
        <v/>
      </c>
      <c r="BD470">
        <f>IFERROR(INDEX(PP_Grid[#Data],$DD470,54),0)</f>
        <v/>
      </c>
      <c r="BE470">
        <f>IFERROR(INDEX(PP_Grid[#Data],$DD470,55),0)</f>
        <v/>
      </c>
      <c r="BF470">
        <f>IFERROR(INDEX(PP_Grid[#Data],$DD470,56),0)</f>
        <v/>
      </c>
      <c r="BG470">
        <f>IFERROR(INDEX(PP_Grid[#Data],$DD470,57),0)</f>
        <v/>
      </c>
      <c r="BH470">
        <f>IFERROR(INDEX(PP_Grid[#Data],$DD470,58),0)</f>
        <v/>
      </c>
      <c r="BI470">
        <f>IFERROR(INDEX(PP_Grid[#Data],$DD470,59),0)</f>
        <v/>
      </c>
      <c r="BJ470">
        <f>IFERROR(INDEX(PP_Grid[#Data],$DD470,60),0)</f>
        <v/>
      </c>
      <c r="BK470">
        <f>IFERROR(INDEX(PP_Grid[#Data],$DD470,61),0)</f>
        <v/>
      </c>
      <c r="BL470">
        <f>IFERROR(INDEX(PP_Grid[#Data],$DD470,62),0)</f>
        <v/>
      </c>
      <c r="BM470">
        <f>IFERROR(INDEX(PP_Grid[#Data],$DD470,63),0)</f>
        <v/>
      </c>
      <c r="BN470">
        <f>IFERROR(INDEX(PP_Grid[#Data],$DD470,64),0)</f>
        <v/>
      </c>
      <c r="BO470">
        <f>IFERROR(INDEX(PP_Grid[#Data],$DD470,65),0)</f>
        <v/>
      </c>
      <c r="BP470">
        <f>IFERROR(INDEX(PP_Grid[#Data],$DD470,66),0)</f>
        <v/>
      </c>
      <c r="BQ470">
        <f>IFERROR(INDEX(PP_Grid[#Data],$DD470,67),0)</f>
        <v/>
      </c>
      <c r="BR470">
        <f>IFERROR(INDEX(PP_Grid[#Data],$DD470,68),0)</f>
        <v/>
      </c>
      <c r="BS470">
        <f>IFERROR(INDEX(PP_Grid[#Data],$DD470,69),0)</f>
        <v/>
      </c>
      <c r="BT470">
        <f>IFERROR(INDEX(PP_Grid[#Data],$DD470,70),0)</f>
        <v/>
      </c>
      <c r="BU470">
        <f>IFERROR(INDEX(PP_Grid[#Data],$DD470,71),0)</f>
        <v/>
      </c>
      <c r="BV470">
        <f>IFERROR(INDEX(PP_Grid[#Data],$DD470,72),0)</f>
        <v/>
      </c>
      <c r="BW470">
        <f>IFERROR(INDEX(PP_Grid[#Data],$DD470,73),0)</f>
        <v/>
      </c>
      <c r="BX470">
        <f>IFERROR(INDEX(PP_Grid[#Data],$DD470,74),0)</f>
        <v/>
      </c>
      <c r="BY470">
        <f>IFERROR(INDEX(PP_Grid[#Data],$DD470,75),0)</f>
        <v/>
      </c>
      <c r="BZ470">
        <f>IFERROR(INDEX(PP_Grid[#Data],$DD470,76),0)</f>
        <v/>
      </c>
      <c r="CA470">
        <f>IFERROR(INDEX(PP_Grid[#Data],$DD470,77),0)</f>
        <v/>
      </c>
      <c r="CB470">
        <f>IFERROR(INDEX(PP_Grid[#Data],$DD470,78),0)</f>
        <v/>
      </c>
      <c r="CC470">
        <f>IFERROR(INDEX(PP_Grid[#Data],$DD470,79),0)</f>
        <v/>
      </c>
      <c r="CD470">
        <f>IFERROR(INDEX(PP_Grid[#Data],$DD470,80),0)</f>
        <v/>
      </c>
      <c r="CE470">
        <f>IFERROR(INDEX(PP_Grid[#Data],$DD470,81),0)</f>
        <v/>
      </c>
      <c r="CF470">
        <f>IFERROR(INDEX(PP_Grid[#Data],$DD470,82),0)</f>
        <v/>
      </c>
      <c r="CG470">
        <f>IFERROR(INDEX(PP_Grid[#Data],$DD470,83),0)</f>
        <v/>
      </c>
      <c r="CH470">
        <f>IFERROR(INDEX(PP_Grid[#Data],$DD470,84),0)</f>
        <v/>
      </c>
      <c r="CI470">
        <f>IFERROR(INDEX(PP_Grid[#Data],$DD470,85),0)</f>
        <v/>
      </c>
      <c r="CJ470">
        <f>IFERROR(INDEX(PP_Grid[#Data],$DD470,86),0)</f>
        <v/>
      </c>
      <c r="CK470">
        <f>IFERROR(INDEX(PP_Grid[#Data],$DD470,87),0)</f>
        <v/>
      </c>
      <c r="CL470">
        <f>IFERROR(INDEX(PP_Grid[#Data],$DD470,88),0)</f>
        <v/>
      </c>
      <c r="CM470">
        <f>IFERROR(INDEX(PP_Grid[#Data],$DD470,89),0)</f>
        <v/>
      </c>
      <c r="CN470">
        <f>IFERROR(INDEX(PP_Grid[#Data],$DD470,90),0)</f>
        <v/>
      </c>
      <c r="CO470">
        <f>IFERROR(INDEX(PP_Grid[#Data],$DD470,91),0)</f>
        <v/>
      </c>
      <c r="CP470">
        <f>IFERROR(INDEX(PP_Grid[#Data],$DD470,92),0)</f>
        <v/>
      </c>
      <c r="CQ470">
        <f>IFERROR(INDEX(PP_Grid[#Data],$DD470,93),0)</f>
        <v/>
      </c>
      <c r="CR470">
        <f>IFERROR(INDEX(PP_Grid[#Data],$DD470,94),0)</f>
        <v/>
      </c>
      <c r="CS470">
        <f>IFERROR(INDEX(PP_Grid[#Data],$DD470,95),0)</f>
        <v/>
      </c>
      <c r="CT470">
        <f>IFERROR(INDEX(PP_Grid[#Data],$DD470,96),0)</f>
        <v/>
      </c>
      <c r="CU470">
        <f>IFERROR(INDEX(PP_Grid[#Data],$DD470,97),0)</f>
        <v/>
      </c>
      <c r="CV470">
        <f>IFERROR(INDEX(PP_Grid[#Data],$DD470,98),0)</f>
        <v/>
      </c>
      <c r="CW470">
        <f>IFERROR(INDEX(PP_Grid[#Data],$DD470,99),0)</f>
        <v/>
      </c>
      <c r="CX470">
        <f>IFERROR(INDEX(PP_Grid[#Data],$DD470,100),0)</f>
        <v/>
      </c>
      <c r="CY470">
        <f>IFERROR(INDEX(PP_Grid[#Data],$DD470,101),0)</f>
        <v/>
      </c>
      <c r="CZ470">
        <f>IFERROR(INDEX(PP_Grid[#Data],$DD470,102),0)</f>
        <v/>
      </c>
      <c r="DA470">
        <f>IFERROR(INDEX(PP_Grid[#Data],$DD470,103),0)</f>
        <v/>
      </c>
      <c r="DB470">
        <f>IFERROR(INDEX(PP_Grid[#Data],$DD470,104),0)</f>
        <v/>
      </c>
      <c r="DC470">
        <f>IFERROR(INDEX(PP_Grid[#Data],$DD470,105),0)</f>
        <v/>
      </c>
      <c r="DD470" s="12">
        <f>IFERROR(MATCH($B470,PP_Grid[Intermediate],0),99999)</f>
        <v/>
      </c>
    </row>
    <row r="471">
      <c r="B471" t="inlineStr">
        <is>
          <t>使用量(kg)</t>
        </is>
      </c>
      <c r="C471">
        <f>SUMIFS(M_BOM[RM_Qty_Per_Batch],M_BOM[Intermediate],$B470,M_BOM[Part Name],$A383)</f>
        <v/>
      </c>
      <c r="D471">
        <f>$C471*D470</f>
        <v/>
      </c>
      <c r="E471">
        <f>$C471*E470</f>
        <v/>
      </c>
      <c r="F471">
        <f>$C471*F470</f>
        <v/>
      </c>
      <c r="G471">
        <f>$C471*G470</f>
        <v/>
      </c>
      <c r="H471">
        <f>$C471*H470</f>
        <v/>
      </c>
      <c r="I471">
        <f>$C471*I470</f>
        <v/>
      </c>
      <c r="J471">
        <f>$C471*J470</f>
        <v/>
      </c>
      <c r="K471">
        <f>$C471*K470</f>
        <v/>
      </c>
      <c r="L471">
        <f>$C471*L470</f>
        <v/>
      </c>
      <c r="M471">
        <f>$C471*M470</f>
        <v/>
      </c>
      <c r="N471">
        <f>$C471*N470</f>
        <v/>
      </c>
      <c r="O471">
        <f>$C471*O470</f>
        <v/>
      </c>
      <c r="P471">
        <f>$C471*P470</f>
        <v/>
      </c>
      <c r="Q471">
        <f>$C471*Q470</f>
        <v/>
      </c>
      <c r="R471">
        <f>$C471*R470</f>
        <v/>
      </c>
      <c r="S471">
        <f>$C471*S470</f>
        <v/>
      </c>
      <c r="T471">
        <f>$C471*T470</f>
        <v/>
      </c>
      <c r="U471">
        <f>$C471*U470</f>
        <v/>
      </c>
      <c r="V471">
        <f>$C471*V470</f>
        <v/>
      </c>
      <c r="W471">
        <f>$C471*W470</f>
        <v/>
      </c>
      <c r="X471">
        <f>$C471*X470</f>
        <v/>
      </c>
      <c r="Y471">
        <f>$C471*Y470</f>
        <v/>
      </c>
      <c r="Z471">
        <f>$C471*Z470</f>
        <v/>
      </c>
      <c r="AA471">
        <f>$C471*AA470</f>
        <v/>
      </c>
      <c r="AB471">
        <f>$C471*AB470</f>
        <v/>
      </c>
      <c r="AC471">
        <f>$C471*AC470</f>
        <v/>
      </c>
      <c r="AD471">
        <f>$C471*AD470</f>
        <v/>
      </c>
      <c r="AE471">
        <f>$C471*AE470</f>
        <v/>
      </c>
      <c r="AF471">
        <f>$C471*AF470</f>
        <v/>
      </c>
      <c r="AG471">
        <f>$C471*AG470</f>
        <v/>
      </c>
      <c r="AH471">
        <f>$C471*AH470</f>
        <v/>
      </c>
      <c r="AI471">
        <f>$C471*AI470</f>
        <v/>
      </c>
      <c r="AJ471">
        <f>$C471*AJ470</f>
        <v/>
      </c>
      <c r="AK471">
        <f>$C471*AK470</f>
        <v/>
      </c>
      <c r="AL471">
        <f>$C471*AL470</f>
        <v/>
      </c>
      <c r="AM471">
        <f>$C471*AM470</f>
        <v/>
      </c>
      <c r="AN471">
        <f>$C471*AN470</f>
        <v/>
      </c>
      <c r="AO471">
        <f>$C471*AO470</f>
        <v/>
      </c>
      <c r="AP471">
        <f>$C471*AP470</f>
        <v/>
      </c>
      <c r="AQ471">
        <f>$C471*AQ470</f>
        <v/>
      </c>
      <c r="AR471">
        <f>$C471*AR470</f>
        <v/>
      </c>
      <c r="AS471">
        <f>$C471*AS470</f>
        <v/>
      </c>
      <c r="AT471">
        <f>$C471*AT470</f>
        <v/>
      </c>
      <c r="AU471">
        <f>$C471*AU470</f>
        <v/>
      </c>
      <c r="AV471">
        <f>$C471*AV470</f>
        <v/>
      </c>
      <c r="AW471">
        <f>$C471*AW470</f>
        <v/>
      </c>
      <c r="AX471">
        <f>$C471*AX470</f>
        <v/>
      </c>
      <c r="AY471">
        <f>$C471*AY470</f>
        <v/>
      </c>
      <c r="AZ471">
        <f>$C471*AZ470</f>
        <v/>
      </c>
      <c r="BA471">
        <f>$C471*BA470</f>
        <v/>
      </c>
      <c r="BB471">
        <f>$C471*BB470</f>
        <v/>
      </c>
      <c r="BC471">
        <f>$C471*BC470</f>
        <v/>
      </c>
      <c r="BD471">
        <f>$C471*BD470</f>
        <v/>
      </c>
      <c r="BE471">
        <f>$C471*BE470</f>
        <v/>
      </c>
      <c r="BF471">
        <f>$C471*BF470</f>
        <v/>
      </c>
      <c r="BG471">
        <f>$C471*BG470</f>
        <v/>
      </c>
      <c r="BH471">
        <f>$C471*BH470</f>
        <v/>
      </c>
      <c r="BI471">
        <f>$C471*BI470</f>
        <v/>
      </c>
      <c r="BJ471">
        <f>$C471*BJ470</f>
        <v/>
      </c>
      <c r="BK471">
        <f>$C471*BK470</f>
        <v/>
      </c>
      <c r="BL471">
        <f>$C471*BL470</f>
        <v/>
      </c>
      <c r="BM471">
        <f>$C471*BM470</f>
        <v/>
      </c>
      <c r="BN471">
        <f>$C471*BN470</f>
        <v/>
      </c>
      <c r="BO471">
        <f>$C471*BO470</f>
        <v/>
      </c>
      <c r="BP471">
        <f>$C471*BP470</f>
        <v/>
      </c>
      <c r="BQ471">
        <f>$C471*BQ470</f>
        <v/>
      </c>
      <c r="BR471">
        <f>$C471*BR470</f>
        <v/>
      </c>
      <c r="BS471">
        <f>$C471*BS470</f>
        <v/>
      </c>
      <c r="BT471">
        <f>$C471*BT470</f>
        <v/>
      </c>
      <c r="BU471">
        <f>$C471*BU470</f>
        <v/>
      </c>
      <c r="BV471">
        <f>$C471*BV470</f>
        <v/>
      </c>
      <c r="BW471">
        <f>$C471*BW470</f>
        <v/>
      </c>
      <c r="BX471">
        <f>$C471*BX470</f>
        <v/>
      </c>
      <c r="BY471">
        <f>$C471*BY470</f>
        <v/>
      </c>
      <c r="BZ471">
        <f>$C471*BZ470</f>
        <v/>
      </c>
      <c r="CA471">
        <f>$C471*CA470</f>
        <v/>
      </c>
      <c r="CB471">
        <f>$C471*CB470</f>
        <v/>
      </c>
      <c r="CC471">
        <f>$C471*CC470</f>
        <v/>
      </c>
      <c r="CD471">
        <f>$C471*CD470</f>
        <v/>
      </c>
      <c r="CE471">
        <f>$C471*CE470</f>
        <v/>
      </c>
      <c r="CF471">
        <f>$C471*CF470</f>
        <v/>
      </c>
      <c r="CG471">
        <f>$C471*CG470</f>
        <v/>
      </c>
      <c r="CH471">
        <f>$C471*CH470</f>
        <v/>
      </c>
      <c r="CI471">
        <f>$C471*CI470</f>
        <v/>
      </c>
      <c r="CJ471">
        <f>$C471*CJ470</f>
        <v/>
      </c>
      <c r="CK471">
        <f>$C471*CK470</f>
        <v/>
      </c>
      <c r="CL471">
        <f>$C471*CL470</f>
        <v/>
      </c>
      <c r="CM471">
        <f>$C471*CM470</f>
        <v/>
      </c>
      <c r="CN471">
        <f>$C471*CN470</f>
        <v/>
      </c>
      <c r="CO471">
        <f>$C471*CO470</f>
        <v/>
      </c>
      <c r="CP471">
        <f>$C471*CP470</f>
        <v/>
      </c>
      <c r="CQ471">
        <f>$C471*CQ470</f>
        <v/>
      </c>
      <c r="CR471">
        <f>$C471*CR470</f>
        <v/>
      </c>
      <c r="CS471">
        <f>$C471*CS470</f>
        <v/>
      </c>
      <c r="CT471">
        <f>$C471*CT470</f>
        <v/>
      </c>
      <c r="CU471">
        <f>$C471*CU470</f>
        <v/>
      </c>
      <c r="CV471">
        <f>$C471*CV470</f>
        <v/>
      </c>
      <c r="CW471">
        <f>$C471*CW470</f>
        <v/>
      </c>
      <c r="CX471">
        <f>$C471*CX470</f>
        <v/>
      </c>
      <c r="CY471">
        <f>$C471*CY470</f>
        <v/>
      </c>
      <c r="CZ471">
        <f>$C471*CZ470</f>
        <v/>
      </c>
      <c r="DA471">
        <f>$C471*DA470</f>
        <v/>
      </c>
      <c r="DB471">
        <f>$C471*DB470</f>
        <v/>
      </c>
      <c r="DC471">
        <f>$C471*DC470</f>
        <v/>
      </c>
    </row>
    <row r="472">
      <c r="B472" s="5" t="inlineStr">
        <is>
          <t>合計使用量(kg)/週</t>
        </is>
      </c>
      <c r="D472">
        <f>'Grid_Requirement'!B31</f>
        <v/>
      </c>
      <c r="E472">
        <f>'Grid_Requirement'!C31</f>
        <v/>
      </c>
      <c r="F472">
        <f>'Grid_Requirement'!D31</f>
        <v/>
      </c>
      <c r="G472">
        <f>'Grid_Requirement'!E31</f>
        <v/>
      </c>
      <c r="H472">
        <f>'Grid_Requirement'!F31</f>
        <v/>
      </c>
      <c r="I472">
        <f>'Grid_Requirement'!G31</f>
        <v/>
      </c>
      <c r="J472">
        <f>'Grid_Requirement'!H31</f>
        <v/>
      </c>
      <c r="K472">
        <f>'Grid_Requirement'!I31</f>
        <v/>
      </c>
      <c r="L472">
        <f>'Grid_Requirement'!J31</f>
        <v/>
      </c>
      <c r="M472">
        <f>'Grid_Requirement'!K31</f>
        <v/>
      </c>
      <c r="N472">
        <f>'Grid_Requirement'!L31</f>
        <v/>
      </c>
      <c r="O472">
        <f>'Grid_Requirement'!M31</f>
        <v/>
      </c>
      <c r="P472">
        <f>'Grid_Requirement'!N31</f>
        <v/>
      </c>
      <c r="Q472">
        <f>'Grid_Requirement'!O31</f>
        <v/>
      </c>
      <c r="R472">
        <f>'Grid_Requirement'!P31</f>
        <v/>
      </c>
      <c r="S472">
        <f>'Grid_Requirement'!Q31</f>
        <v/>
      </c>
      <c r="T472">
        <f>'Grid_Requirement'!R31</f>
        <v/>
      </c>
      <c r="U472">
        <f>'Grid_Requirement'!S31</f>
        <v/>
      </c>
      <c r="V472">
        <f>'Grid_Requirement'!T31</f>
        <v/>
      </c>
      <c r="W472">
        <f>'Grid_Requirement'!U31</f>
        <v/>
      </c>
      <c r="X472">
        <f>'Grid_Requirement'!V31</f>
        <v/>
      </c>
      <c r="Y472">
        <f>'Grid_Requirement'!W31</f>
        <v/>
      </c>
      <c r="Z472">
        <f>'Grid_Requirement'!X31</f>
        <v/>
      </c>
      <c r="AA472">
        <f>'Grid_Requirement'!Y31</f>
        <v/>
      </c>
      <c r="AB472">
        <f>'Grid_Requirement'!Z31</f>
        <v/>
      </c>
      <c r="AC472">
        <f>'Grid_Requirement'!AA31</f>
        <v/>
      </c>
      <c r="AD472">
        <f>'Grid_Requirement'!AB31</f>
        <v/>
      </c>
      <c r="AE472">
        <f>'Grid_Requirement'!AC31</f>
        <v/>
      </c>
      <c r="AF472">
        <f>'Grid_Requirement'!AD31</f>
        <v/>
      </c>
      <c r="AG472">
        <f>'Grid_Requirement'!AE31</f>
        <v/>
      </c>
      <c r="AH472">
        <f>'Grid_Requirement'!AF31</f>
        <v/>
      </c>
      <c r="AI472">
        <f>'Grid_Requirement'!AG31</f>
        <v/>
      </c>
      <c r="AJ472">
        <f>'Grid_Requirement'!AH31</f>
        <v/>
      </c>
      <c r="AK472">
        <f>'Grid_Requirement'!AI31</f>
        <v/>
      </c>
      <c r="AL472">
        <f>'Grid_Requirement'!AJ31</f>
        <v/>
      </c>
      <c r="AM472">
        <f>'Grid_Requirement'!AK31</f>
        <v/>
      </c>
      <c r="AN472">
        <f>'Grid_Requirement'!AL31</f>
        <v/>
      </c>
      <c r="AO472">
        <f>'Grid_Requirement'!AM31</f>
        <v/>
      </c>
      <c r="AP472">
        <f>'Grid_Requirement'!AN31</f>
        <v/>
      </c>
      <c r="AQ472">
        <f>'Grid_Requirement'!AO31</f>
        <v/>
      </c>
      <c r="AR472">
        <f>'Grid_Requirement'!AP31</f>
        <v/>
      </c>
      <c r="AS472">
        <f>'Grid_Requirement'!AQ31</f>
        <v/>
      </c>
      <c r="AT472">
        <f>'Grid_Requirement'!AR31</f>
        <v/>
      </c>
      <c r="AU472">
        <f>'Grid_Requirement'!AS31</f>
        <v/>
      </c>
      <c r="AV472">
        <f>'Grid_Requirement'!AT31</f>
        <v/>
      </c>
      <c r="AW472">
        <f>'Grid_Requirement'!AU31</f>
        <v/>
      </c>
      <c r="AX472">
        <f>'Grid_Requirement'!AV31</f>
        <v/>
      </c>
      <c r="AY472">
        <f>'Grid_Requirement'!AW31</f>
        <v/>
      </c>
      <c r="AZ472">
        <f>'Grid_Requirement'!AX31</f>
        <v/>
      </c>
      <c r="BA472">
        <f>'Grid_Requirement'!AY31</f>
        <v/>
      </c>
      <c r="BB472">
        <f>'Grid_Requirement'!AZ31</f>
        <v/>
      </c>
      <c r="BC472">
        <f>'Grid_Requirement'!BA31</f>
        <v/>
      </c>
      <c r="BD472">
        <f>'Grid_Requirement'!BB31</f>
        <v/>
      </c>
      <c r="BE472">
        <f>'Grid_Requirement'!BC31</f>
        <v/>
      </c>
      <c r="BF472">
        <f>'Grid_Requirement'!BD31</f>
        <v/>
      </c>
      <c r="BG472">
        <f>'Grid_Requirement'!BE31</f>
        <v/>
      </c>
      <c r="BH472">
        <f>'Grid_Requirement'!BF31</f>
        <v/>
      </c>
      <c r="BI472">
        <f>'Grid_Requirement'!BG31</f>
        <v/>
      </c>
      <c r="BJ472">
        <f>'Grid_Requirement'!BH31</f>
        <v/>
      </c>
      <c r="BK472">
        <f>'Grid_Requirement'!BI31</f>
        <v/>
      </c>
      <c r="BL472">
        <f>'Grid_Requirement'!BJ31</f>
        <v/>
      </c>
      <c r="BM472">
        <f>'Grid_Requirement'!BK31</f>
        <v/>
      </c>
      <c r="BN472">
        <f>'Grid_Requirement'!BL31</f>
        <v/>
      </c>
      <c r="BO472">
        <f>'Grid_Requirement'!BM31</f>
        <v/>
      </c>
      <c r="BP472">
        <f>'Grid_Requirement'!BN31</f>
        <v/>
      </c>
      <c r="BQ472">
        <f>'Grid_Requirement'!BO31</f>
        <v/>
      </c>
      <c r="BR472">
        <f>'Grid_Requirement'!BP31</f>
        <v/>
      </c>
      <c r="BS472">
        <f>'Grid_Requirement'!BQ31</f>
        <v/>
      </c>
      <c r="BT472">
        <f>'Grid_Requirement'!BR31</f>
        <v/>
      </c>
      <c r="BU472">
        <f>'Grid_Requirement'!BS31</f>
        <v/>
      </c>
      <c r="BV472">
        <f>'Grid_Requirement'!BT31</f>
        <v/>
      </c>
      <c r="BW472">
        <f>'Grid_Requirement'!BU31</f>
        <v/>
      </c>
      <c r="BX472">
        <f>'Grid_Requirement'!BV31</f>
        <v/>
      </c>
      <c r="BY472">
        <f>'Grid_Requirement'!BW31</f>
        <v/>
      </c>
      <c r="BZ472">
        <f>'Grid_Requirement'!BX31</f>
        <v/>
      </c>
      <c r="CA472">
        <f>'Grid_Requirement'!BY31</f>
        <v/>
      </c>
      <c r="CB472">
        <f>'Grid_Requirement'!BZ31</f>
        <v/>
      </c>
      <c r="CC472">
        <f>'Grid_Requirement'!CA31</f>
        <v/>
      </c>
      <c r="CD472">
        <f>'Grid_Requirement'!CB31</f>
        <v/>
      </c>
      <c r="CE472">
        <f>'Grid_Requirement'!CC31</f>
        <v/>
      </c>
      <c r="CF472">
        <f>'Grid_Requirement'!CD31</f>
        <v/>
      </c>
      <c r="CG472">
        <f>'Grid_Requirement'!CE31</f>
        <v/>
      </c>
      <c r="CH472">
        <f>'Grid_Requirement'!CF31</f>
        <v/>
      </c>
      <c r="CI472">
        <f>'Grid_Requirement'!CG31</f>
        <v/>
      </c>
      <c r="CJ472">
        <f>'Grid_Requirement'!CH31</f>
        <v/>
      </c>
      <c r="CK472">
        <f>'Grid_Requirement'!CI31</f>
        <v/>
      </c>
      <c r="CL472">
        <f>'Grid_Requirement'!CJ31</f>
        <v/>
      </c>
      <c r="CM472">
        <f>'Grid_Requirement'!CK31</f>
        <v/>
      </c>
      <c r="CN472">
        <f>'Grid_Requirement'!CL31</f>
        <v/>
      </c>
      <c r="CO472">
        <f>'Grid_Requirement'!CM31</f>
        <v/>
      </c>
      <c r="CP472">
        <f>'Grid_Requirement'!CN31</f>
        <v/>
      </c>
      <c r="CQ472">
        <f>'Grid_Requirement'!CO31</f>
        <v/>
      </c>
      <c r="CR472">
        <f>'Grid_Requirement'!CP31</f>
        <v/>
      </c>
      <c r="CS472">
        <f>'Grid_Requirement'!CQ31</f>
        <v/>
      </c>
      <c r="CT472">
        <f>'Grid_Requirement'!CR31</f>
        <v/>
      </c>
      <c r="CU472">
        <f>'Grid_Requirement'!CS31</f>
        <v/>
      </c>
      <c r="CV472">
        <f>'Grid_Requirement'!CT31</f>
        <v/>
      </c>
      <c r="CW472">
        <f>'Grid_Requirement'!CU31</f>
        <v/>
      </c>
      <c r="CX472">
        <f>'Grid_Requirement'!CV31</f>
        <v/>
      </c>
      <c r="CY472">
        <f>'Grid_Requirement'!CW31</f>
        <v/>
      </c>
      <c r="CZ472">
        <f>'Grid_Requirement'!CX31</f>
        <v/>
      </c>
      <c r="DA472">
        <f>'Grid_Requirement'!CY31</f>
        <v/>
      </c>
      <c r="DB472">
        <f>'Grid_Requirement'!CZ31</f>
        <v/>
      </c>
      <c r="DC472">
        <f>'Grid_Requirement'!DA31</f>
        <v/>
      </c>
    </row>
    <row r="473">
      <c r="B473" t="inlineStr">
        <is>
          <t>TTAF在庫(実績,kg)</t>
        </is>
      </c>
      <c r="D473">
        <f>'T_TTAFStock'!B35</f>
        <v/>
      </c>
      <c r="E473">
        <f>'T_TTAFStock'!C35</f>
        <v/>
      </c>
      <c r="F473">
        <f>'T_TTAFStock'!D35</f>
        <v/>
      </c>
      <c r="G473">
        <f>'T_TTAFStock'!E35</f>
        <v/>
      </c>
      <c r="H473">
        <f>'T_TTAFStock'!F35</f>
        <v/>
      </c>
      <c r="I473">
        <f>'T_TTAFStock'!G35</f>
        <v/>
      </c>
      <c r="J473">
        <f>'T_TTAFStock'!H35</f>
        <v/>
      </c>
      <c r="K473">
        <f>'T_TTAFStock'!I35</f>
        <v/>
      </c>
      <c r="L473">
        <f>'T_TTAFStock'!J35</f>
        <v/>
      </c>
      <c r="M473">
        <f>'T_TTAFStock'!K35</f>
        <v/>
      </c>
      <c r="N473">
        <f>'T_TTAFStock'!L35</f>
        <v/>
      </c>
      <c r="O473">
        <f>'T_TTAFStock'!M35</f>
        <v/>
      </c>
      <c r="P473">
        <f>'T_TTAFStock'!N35</f>
        <v/>
      </c>
      <c r="Q473">
        <f>'T_TTAFStock'!O35</f>
        <v/>
      </c>
      <c r="R473">
        <f>'T_TTAFStock'!P35</f>
        <v/>
      </c>
      <c r="S473">
        <f>'T_TTAFStock'!Q35</f>
        <v/>
      </c>
      <c r="T473">
        <f>'T_TTAFStock'!R35</f>
        <v/>
      </c>
      <c r="U473">
        <f>'T_TTAFStock'!S35</f>
        <v/>
      </c>
      <c r="V473">
        <f>'T_TTAFStock'!T35</f>
        <v/>
      </c>
      <c r="W473">
        <f>'T_TTAFStock'!U35</f>
        <v/>
      </c>
      <c r="X473">
        <f>'T_TTAFStock'!V35</f>
        <v/>
      </c>
      <c r="Y473">
        <f>'T_TTAFStock'!W35</f>
        <v/>
      </c>
      <c r="Z473">
        <f>'T_TTAFStock'!X35</f>
        <v/>
      </c>
      <c r="AA473">
        <f>'T_TTAFStock'!Y35</f>
        <v/>
      </c>
      <c r="AB473">
        <f>'T_TTAFStock'!Z35</f>
        <v/>
      </c>
      <c r="AC473">
        <f>'T_TTAFStock'!AA35</f>
        <v/>
      </c>
      <c r="AD473">
        <f>'T_TTAFStock'!AB35</f>
        <v/>
      </c>
      <c r="AE473">
        <f>'T_TTAFStock'!AC35</f>
        <v/>
      </c>
      <c r="AF473">
        <f>'T_TTAFStock'!AD35</f>
        <v/>
      </c>
      <c r="AG473">
        <f>'T_TTAFStock'!AE35</f>
        <v/>
      </c>
      <c r="AH473">
        <f>'T_TTAFStock'!AF35</f>
        <v/>
      </c>
      <c r="AI473">
        <f>'T_TTAFStock'!AG35</f>
        <v/>
      </c>
      <c r="AJ473">
        <f>'T_TTAFStock'!AH35</f>
        <v/>
      </c>
      <c r="AK473">
        <f>'T_TTAFStock'!AI35</f>
        <v/>
      </c>
      <c r="AL473">
        <f>'T_TTAFStock'!AJ35</f>
        <v/>
      </c>
      <c r="AM473">
        <f>'T_TTAFStock'!AK35</f>
        <v/>
      </c>
      <c r="AN473">
        <f>'T_TTAFStock'!AL35</f>
        <v/>
      </c>
      <c r="AO473">
        <f>'T_TTAFStock'!AM35</f>
        <v/>
      </c>
      <c r="AP473">
        <f>'T_TTAFStock'!AN35</f>
        <v/>
      </c>
      <c r="AQ473">
        <f>'T_TTAFStock'!AO35</f>
        <v/>
      </c>
      <c r="AR473">
        <f>'T_TTAFStock'!AP35</f>
        <v/>
      </c>
      <c r="AS473">
        <f>'T_TTAFStock'!AQ35</f>
        <v/>
      </c>
      <c r="AT473">
        <f>'T_TTAFStock'!AR35</f>
        <v/>
      </c>
      <c r="AU473">
        <f>'T_TTAFStock'!AS35</f>
        <v/>
      </c>
      <c r="AV473">
        <f>'T_TTAFStock'!AT35</f>
        <v/>
      </c>
      <c r="AW473">
        <f>'T_TTAFStock'!AU35</f>
        <v/>
      </c>
      <c r="AX473">
        <f>'T_TTAFStock'!AV35</f>
        <v/>
      </c>
      <c r="AY473">
        <f>'T_TTAFStock'!AW35</f>
        <v/>
      </c>
      <c r="AZ473">
        <f>'T_TTAFStock'!AX35</f>
        <v/>
      </c>
      <c r="BA473">
        <f>'T_TTAFStock'!AY35</f>
        <v/>
      </c>
      <c r="BB473">
        <f>'T_TTAFStock'!AZ35</f>
        <v/>
      </c>
      <c r="BC473">
        <f>'T_TTAFStock'!BA35</f>
        <v/>
      </c>
      <c r="BD473">
        <f>'T_TTAFStock'!BB35</f>
        <v/>
      </c>
      <c r="BE473">
        <f>'T_TTAFStock'!BC35</f>
        <v/>
      </c>
      <c r="BF473">
        <f>'T_TTAFStock'!BD35</f>
        <v/>
      </c>
      <c r="BG473">
        <f>'T_TTAFStock'!BE35</f>
        <v/>
      </c>
      <c r="BH473">
        <f>'T_TTAFStock'!BF35</f>
        <v/>
      </c>
      <c r="BI473">
        <f>'T_TTAFStock'!BG35</f>
        <v/>
      </c>
      <c r="BJ473">
        <f>'T_TTAFStock'!BH35</f>
        <v/>
      </c>
      <c r="BK473">
        <f>'T_TTAFStock'!BI35</f>
        <v/>
      </c>
      <c r="BL473">
        <f>'T_TTAFStock'!BJ35</f>
        <v/>
      </c>
      <c r="BM473">
        <f>'T_TTAFStock'!BK35</f>
        <v/>
      </c>
      <c r="BN473">
        <f>'T_TTAFStock'!BL35</f>
        <v/>
      </c>
      <c r="BO473">
        <f>'T_TTAFStock'!BM35</f>
        <v/>
      </c>
      <c r="BP473">
        <f>'T_TTAFStock'!BN35</f>
        <v/>
      </c>
      <c r="BQ473">
        <f>'T_TTAFStock'!BO35</f>
        <v/>
      </c>
      <c r="BR473">
        <f>'T_TTAFStock'!BP35</f>
        <v/>
      </c>
      <c r="BS473">
        <f>'T_TTAFStock'!BQ35</f>
        <v/>
      </c>
      <c r="BT473">
        <f>'T_TTAFStock'!BR35</f>
        <v/>
      </c>
      <c r="BU473">
        <f>'T_TTAFStock'!BS35</f>
        <v/>
      </c>
      <c r="BV473">
        <f>'T_TTAFStock'!BT35</f>
        <v/>
      </c>
      <c r="BW473">
        <f>'T_TTAFStock'!BU35</f>
        <v/>
      </c>
      <c r="BX473">
        <f>'T_TTAFStock'!BV35</f>
        <v/>
      </c>
      <c r="BY473">
        <f>'T_TTAFStock'!BW35</f>
        <v/>
      </c>
      <c r="BZ473">
        <f>'T_TTAFStock'!BX35</f>
        <v/>
      </c>
      <c r="CA473">
        <f>'T_TTAFStock'!BY35</f>
        <v/>
      </c>
      <c r="CB473">
        <f>'T_TTAFStock'!BZ35</f>
        <v/>
      </c>
      <c r="CC473">
        <f>'T_TTAFStock'!CA35</f>
        <v/>
      </c>
      <c r="CD473">
        <f>'T_TTAFStock'!CB35</f>
        <v/>
      </c>
      <c r="CE473">
        <f>'T_TTAFStock'!CC35</f>
        <v/>
      </c>
      <c r="CF473">
        <f>'T_TTAFStock'!CD35</f>
        <v/>
      </c>
      <c r="CG473">
        <f>'T_TTAFStock'!CE35</f>
        <v/>
      </c>
      <c r="CH473">
        <f>'T_TTAFStock'!CF35</f>
        <v/>
      </c>
      <c r="CI473">
        <f>'T_TTAFStock'!CG35</f>
        <v/>
      </c>
      <c r="CJ473">
        <f>'T_TTAFStock'!CH35</f>
        <v/>
      </c>
      <c r="CK473">
        <f>'T_TTAFStock'!CI35</f>
        <v/>
      </c>
      <c r="CL473">
        <f>'T_TTAFStock'!CJ35</f>
        <v/>
      </c>
      <c r="CM473">
        <f>'T_TTAFStock'!CK35</f>
        <v/>
      </c>
      <c r="CN473">
        <f>'T_TTAFStock'!CL35</f>
        <v/>
      </c>
      <c r="CO473">
        <f>'T_TTAFStock'!CM35</f>
        <v/>
      </c>
      <c r="CP473">
        <f>'T_TTAFStock'!CN35</f>
        <v/>
      </c>
      <c r="CQ473">
        <f>'T_TTAFStock'!CO35</f>
        <v/>
      </c>
      <c r="CR473">
        <f>'T_TTAFStock'!CP35</f>
        <v/>
      </c>
      <c r="CS473">
        <f>'T_TTAFStock'!CQ35</f>
        <v/>
      </c>
      <c r="CT473">
        <f>'T_TTAFStock'!CR35</f>
        <v/>
      </c>
      <c r="CU473">
        <f>'T_TTAFStock'!CS35</f>
        <v/>
      </c>
      <c r="CV473">
        <f>'T_TTAFStock'!CT35</f>
        <v/>
      </c>
      <c r="CW473">
        <f>'T_TTAFStock'!CU35</f>
        <v/>
      </c>
      <c r="CX473">
        <f>'T_TTAFStock'!CV35</f>
        <v/>
      </c>
      <c r="CY473">
        <f>'T_TTAFStock'!CW35</f>
        <v/>
      </c>
      <c r="CZ473">
        <f>'T_TTAFStock'!CX35</f>
        <v/>
      </c>
      <c r="DA473">
        <f>'T_TTAFStock'!CY35</f>
        <v/>
      </c>
      <c r="DB473">
        <f>'T_TTAFStock'!CZ35</f>
        <v/>
      </c>
      <c r="DC473">
        <f>'T_TTAFStock'!DA35</f>
        <v/>
      </c>
    </row>
    <row r="474">
      <c r="B474" t="inlineStr">
        <is>
          <t>自社在庫(実績,kg)</t>
        </is>
      </c>
      <c r="D474">
        <f>'T_SelfStock'!B35</f>
        <v/>
      </c>
      <c r="E474">
        <f>'T_SelfStock'!C35</f>
        <v/>
      </c>
      <c r="F474">
        <f>'T_SelfStock'!D35</f>
        <v/>
      </c>
      <c r="G474">
        <f>'T_SelfStock'!E35</f>
        <v/>
      </c>
      <c r="H474">
        <f>'T_SelfStock'!F35</f>
        <v/>
      </c>
      <c r="I474">
        <f>'T_SelfStock'!G35</f>
        <v/>
      </c>
      <c r="J474">
        <f>'T_SelfStock'!H35</f>
        <v/>
      </c>
      <c r="K474">
        <f>'T_SelfStock'!I35</f>
        <v/>
      </c>
      <c r="L474">
        <f>'T_SelfStock'!J35</f>
        <v/>
      </c>
      <c r="M474">
        <f>'T_SelfStock'!K35</f>
        <v/>
      </c>
      <c r="N474">
        <f>'T_SelfStock'!L35</f>
        <v/>
      </c>
      <c r="O474">
        <f>'T_SelfStock'!M35</f>
        <v/>
      </c>
      <c r="P474">
        <f>'T_SelfStock'!N35</f>
        <v/>
      </c>
      <c r="Q474">
        <f>'T_SelfStock'!O35</f>
        <v/>
      </c>
      <c r="R474">
        <f>'T_SelfStock'!P35</f>
        <v/>
      </c>
      <c r="S474">
        <f>'T_SelfStock'!Q35</f>
        <v/>
      </c>
      <c r="T474">
        <f>'T_SelfStock'!R35</f>
        <v/>
      </c>
      <c r="U474">
        <f>'T_SelfStock'!S35</f>
        <v/>
      </c>
      <c r="V474">
        <f>'T_SelfStock'!T35</f>
        <v/>
      </c>
      <c r="W474">
        <f>'T_SelfStock'!U35</f>
        <v/>
      </c>
      <c r="X474">
        <f>'T_SelfStock'!V35</f>
        <v/>
      </c>
      <c r="Y474">
        <f>'T_SelfStock'!W35</f>
        <v/>
      </c>
      <c r="Z474">
        <f>'T_SelfStock'!X35</f>
        <v/>
      </c>
      <c r="AA474">
        <f>'T_SelfStock'!Y35</f>
        <v/>
      </c>
      <c r="AB474">
        <f>'T_SelfStock'!Z35</f>
        <v/>
      </c>
      <c r="AC474">
        <f>'T_SelfStock'!AA35</f>
        <v/>
      </c>
      <c r="AD474">
        <f>'T_SelfStock'!AB35</f>
        <v/>
      </c>
      <c r="AE474">
        <f>'T_SelfStock'!AC35</f>
        <v/>
      </c>
      <c r="AF474">
        <f>'T_SelfStock'!AD35</f>
        <v/>
      </c>
      <c r="AG474">
        <f>'T_SelfStock'!AE35</f>
        <v/>
      </c>
      <c r="AH474">
        <f>'T_SelfStock'!AF35</f>
        <v/>
      </c>
      <c r="AI474">
        <f>'T_SelfStock'!AG35</f>
        <v/>
      </c>
      <c r="AJ474">
        <f>'T_SelfStock'!AH35</f>
        <v/>
      </c>
      <c r="AK474">
        <f>'T_SelfStock'!AI35</f>
        <v/>
      </c>
      <c r="AL474">
        <f>'T_SelfStock'!AJ35</f>
        <v/>
      </c>
      <c r="AM474">
        <f>'T_SelfStock'!AK35</f>
        <v/>
      </c>
      <c r="AN474">
        <f>'T_SelfStock'!AL35</f>
        <v/>
      </c>
      <c r="AO474">
        <f>'T_SelfStock'!AM35</f>
        <v/>
      </c>
      <c r="AP474">
        <f>'T_SelfStock'!AN35</f>
        <v/>
      </c>
      <c r="AQ474">
        <f>'T_SelfStock'!AO35</f>
        <v/>
      </c>
      <c r="AR474">
        <f>'T_SelfStock'!AP35</f>
        <v/>
      </c>
      <c r="AS474">
        <f>'T_SelfStock'!AQ35</f>
        <v/>
      </c>
      <c r="AT474">
        <f>'T_SelfStock'!AR35</f>
        <v/>
      </c>
      <c r="AU474">
        <f>'T_SelfStock'!AS35</f>
        <v/>
      </c>
      <c r="AV474">
        <f>'T_SelfStock'!AT35</f>
        <v/>
      </c>
      <c r="AW474">
        <f>'T_SelfStock'!AU35</f>
        <v/>
      </c>
      <c r="AX474">
        <f>'T_SelfStock'!AV35</f>
        <v/>
      </c>
      <c r="AY474">
        <f>'T_SelfStock'!AW35</f>
        <v/>
      </c>
      <c r="AZ474">
        <f>'T_SelfStock'!AX35</f>
        <v/>
      </c>
      <c r="BA474">
        <f>'T_SelfStock'!AY35</f>
        <v/>
      </c>
      <c r="BB474">
        <f>'T_SelfStock'!AZ35</f>
        <v/>
      </c>
      <c r="BC474">
        <f>'T_SelfStock'!BA35</f>
        <v/>
      </c>
      <c r="BD474">
        <f>'T_SelfStock'!BB35</f>
        <v/>
      </c>
      <c r="BE474">
        <f>'T_SelfStock'!BC35</f>
        <v/>
      </c>
      <c r="BF474">
        <f>'T_SelfStock'!BD35</f>
        <v/>
      </c>
      <c r="BG474">
        <f>'T_SelfStock'!BE35</f>
        <v/>
      </c>
      <c r="BH474">
        <f>'T_SelfStock'!BF35</f>
        <v/>
      </c>
      <c r="BI474">
        <f>'T_SelfStock'!BG35</f>
        <v/>
      </c>
      <c r="BJ474">
        <f>'T_SelfStock'!BH35</f>
        <v/>
      </c>
      <c r="BK474">
        <f>'T_SelfStock'!BI35</f>
        <v/>
      </c>
      <c r="BL474">
        <f>'T_SelfStock'!BJ35</f>
        <v/>
      </c>
      <c r="BM474">
        <f>'T_SelfStock'!BK35</f>
        <v/>
      </c>
      <c r="BN474">
        <f>'T_SelfStock'!BL35</f>
        <v/>
      </c>
      <c r="BO474">
        <f>'T_SelfStock'!BM35</f>
        <v/>
      </c>
      <c r="BP474">
        <f>'T_SelfStock'!BN35</f>
        <v/>
      </c>
      <c r="BQ474">
        <f>'T_SelfStock'!BO35</f>
        <v/>
      </c>
      <c r="BR474">
        <f>'T_SelfStock'!BP35</f>
        <v/>
      </c>
      <c r="BS474">
        <f>'T_SelfStock'!BQ35</f>
        <v/>
      </c>
      <c r="BT474">
        <f>'T_SelfStock'!BR35</f>
        <v/>
      </c>
      <c r="BU474">
        <f>'T_SelfStock'!BS35</f>
        <v/>
      </c>
      <c r="BV474">
        <f>'T_SelfStock'!BT35</f>
        <v/>
      </c>
      <c r="BW474">
        <f>'T_SelfStock'!BU35</f>
        <v/>
      </c>
      <c r="BX474">
        <f>'T_SelfStock'!BV35</f>
        <v/>
      </c>
      <c r="BY474">
        <f>'T_SelfStock'!BW35</f>
        <v/>
      </c>
      <c r="BZ474">
        <f>'T_SelfStock'!BX35</f>
        <v/>
      </c>
      <c r="CA474">
        <f>'T_SelfStock'!BY35</f>
        <v/>
      </c>
      <c r="CB474">
        <f>'T_SelfStock'!BZ35</f>
        <v/>
      </c>
      <c r="CC474">
        <f>'T_SelfStock'!CA35</f>
        <v/>
      </c>
      <c r="CD474">
        <f>'T_SelfStock'!CB35</f>
        <v/>
      </c>
      <c r="CE474">
        <f>'T_SelfStock'!CC35</f>
        <v/>
      </c>
      <c r="CF474">
        <f>'T_SelfStock'!CD35</f>
        <v/>
      </c>
      <c r="CG474">
        <f>'T_SelfStock'!CE35</f>
        <v/>
      </c>
      <c r="CH474">
        <f>'T_SelfStock'!CF35</f>
        <v/>
      </c>
      <c r="CI474">
        <f>'T_SelfStock'!CG35</f>
        <v/>
      </c>
      <c r="CJ474">
        <f>'T_SelfStock'!CH35</f>
        <v/>
      </c>
      <c r="CK474">
        <f>'T_SelfStock'!CI35</f>
        <v/>
      </c>
      <c r="CL474">
        <f>'T_SelfStock'!CJ35</f>
        <v/>
      </c>
      <c r="CM474">
        <f>'T_SelfStock'!CK35</f>
        <v/>
      </c>
      <c r="CN474">
        <f>'T_SelfStock'!CL35</f>
        <v/>
      </c>
      <c r="CO474">
        <f>'T_SelfStock'!CM35</f>
        <v/>
      </c>
      <c r="CP474">
        <f>'T_SelfStock'!CN35</f>
        <v/>
      </c>
      <c r="CQ474">
        <f>'T_SelfStock'!CO35</f>
        <v/>
      </c>
      <c r="CR474">
        <f>'T_SelfStock'!CP35</f>
        <v/>
      </c>
      <c r="CS474">
        <f>'T_SelfStock'!CQ35</f>
        <v/>
      </c>
      <c r="CT474">
        <f>'T_SelfStock'!CR35</f>
        <v/>
      </c>
      <c r="CU474">
        <f>'T_SelfStock'!CS35</f>
        <v/>
      </c>
      <c r="CV474">
        <f>'T_SelfStock'!CT35</f>
        <v/>
      </c>
      <c r="CW474">
        <f>'T_SelfStock'!CU35</f>
        <v/>
      </c>
      <c r="CX474">
        <f>'T_SelfStock'!CV35</f>
        <v/>
      </c>
      <c r="CY474">
        <f>'T_SelfStock'!CW35</f>
        <v/>
      </c>
      <c r="CZ474">
        <f>'T_SelfStock'!CX35</f>
        <v/>
      </c>
      <c r="DA474">
        <f>'T_SelfStock'!CY35</f>
        <v/>
      </c>
      <c r="DB474">
        <f>'T_SelfStock'!CZ35</f>
        <v/>
      </c>
      <c r="DC474">
        <f>'T_SelfStock'!DA35</f>
        <v/>
      </c>
    </row>
    <row r="475">
      <c r="B475" t="inlineStr">
        <is>
          <t>Order(発注予定,kg)</t>
        </is>
      </c>
      <c r="D475">
        <f>IF(SUMIFS(T_PlannedOrders[EffectiveQty],T_PlannedOrders[Part Name],$A383,T_PlannedOrders[WeekIndex],1)=0,"",SUMIFS(T_PlannedOrders[EffectiveQty],T_PlannedOrders[Part Name],$A383,T_PlannedOrders[WeekIndex],1)&amp;" ("&amp;TEXT(SUMPRODUCT(MAX((T_PlannedOrders[Part Name]=$A383)*(T_PlannedOrders[WeekIndex]=1)*(T_PlannedOrders[EffectiveQty]&gt;0)*T_PlannedOrders[Order_Month])),"m月")&amp;"発注)")</f>
        <v/>
      </c>
      <c r="E475">
        <f>IF(SUMIFS(T_PlannedOrders[EffectiveQty],T_PlannedOrders[Part Name],$A383,T_PlannedOrders[WeekIndex],2)=0,"",SUMIFS(T_PlannedOrders[EffectiveQty],T_PlannedOrders[Part Name],$A383,T_PlannedOrders[WeekIndex],2)&amp;" ("&amp;TEXT(SUMPRODUCT(MAX((T_PlannedOrders[Part Name]=$A383)*(T_PlannedOrders[WeekIndex]=2)*(T_PlannedOrders[EffectiveQty]&gt;0)*T_PlannedOrders[Order_Month])),"m月")&amp;"発注)")</f>
        <v/>
      </c>
      <c r="F475">
        <f>IF(SUMIFS(T_PlannedOrders[EffectiveQty],T_PlannedOrders[Part Name],$A383,T_PlannedOrders[WeekIndex],3)=0,"",SUMIFS(T_PlannedOrders[EffectiveQty],T_PlannedOrders[Part Name],$A383,T_PlannedOrders[WeekIndex],3)&amp;" ("&amp;TEXT(SUMPRODUCT(MAX((T_PlannedOrders[Part Name]=$A383)*(T_PlannedOrders[WeekIndex]=3)*(T_PlannedOrders[EffectiveQty]&gt;0)*T_PlannedOrders[Order_Month])),"m月")&amp;"発注)")</f>
        <v/>
      </c>
      <c r="G475">
        <f>IF(SUMIFS(T_PlannedOrders[EffectiveQty],T_PlannedOrders[Part Name],$A383,T_PlannedOrders[WeekIndex],4)=0,"",SUMIFS(T_PlannedOrders[EffectiveQty],T_PlannedOrders[Part Name],$A383,T_PlannedOrders[WeekIndex],4)&amp;" ("&amp;TEXT(SUMPRODUCT(MAX((T_PlannedOrders[Part Name]=$A383)*(T_PlannedOrders[WeekIndex]=4)*(T_PlannedOrders[EffectiveQty]&gt;0)*T_PlannedOrders[Order_Month])),"m月")&amp;"発注)")</f>
        <v/>
      </c>
      <c r="H475">
        <f>IF(SUMIFS(T_PlannedOrders[EffectiveQty],T_PlannedOrders[Part Name],$A383,T_PlannedOrders[WeekIndex],5)=0,"",SUMIFS(T_PlannedOrders[EffectiveQty],T_PlannedOrders[Part Name],$A383,T_PlannedOrders[WeekIndex],5)&amp;" ("&amp;TEXT(SUMPRODUCT(MAX((T_PlannedOrders[Part Name]=$A383)*(T_PlannedOrders[WeekIndex]=5)*(T_PlannedOrders[EffectiveQty]&gt;0)*T_PlannedOrders[Order_Month])),"m月")&amp;"発注)")</f>
        <v/>
      </c>
      <c r="I475">
        <f>IF(SUMIFS(T_PlannedOrders[EffectiveQty],T_PlannedOrders[Part Name],$A383,T_PlannedOrders[WeekIndex],6)=0,"",SUMIFS(T_PlannedOrders[EffectiveQty],T_PlannedOrders[Part Name],$A383,T_PlannedOrders[WeekIndex],6)&amp;" ("&amp;TEXT(SUMPRODUCT(MAX((T_PlannedOrders[Part Name]=$A383)*(T_PlannedOrders[WeekIndex]=6)*(T_PlannedOrders[EffectiveQty]&gt;0)*T_PlannedOrders[Order_Month])),"m月")&amp;"発注)")</f>
        <v/>
      </c>
      <c r="J475">
        <f>IF(SUMIFS(T_PlannedOrders[EffectiveQty],T_PlannedOrders[Part Name],$A383,T_PlannedOrders[WeekIndex],7)=0,"",SUMIFS(T_PlannedOrders[EffectiveQty],T_PlannedOrders[Part Name],$A383,T_PlannedOrders[WeekIndex],7)&amp;" ("&amp;TEXT(SUMPRODUCT(MAX((T_PlannedOrders[Part Name]=$A383)*(T_PlannedOrders[WeekIndex]=7)*(T_PlannedOrders[EffectiveQty]&gt;0)*T_PlannedOrders[Order_Month])),"m月")&amp;"発注)")</f>
        <v/>
      </c>
      <c r="K475">
        <f>IF(SUMIFS(T_PlannedOrders[EffectiveQty],T_PlannedOrders[Part Name],$A383,T_PlannedOrders[WeekIndex],8)=0,"",SUMIFS(T_PlannedOrders[EffectiveQty],T_PlannedOrders[Part Name],$A383,T_PlannedOrders[WeekIndex],8)&amp;" ("&amp;TEXT(SUMPRODUCT(MAX((T_PlannedOrders[Part Name]=$A383)*(T_PlannedOrders[WeekIndex]=8)*(T_PlannedOrders[EffectiveQty]&gt;0)*T_PlannedOrders[Order_Month])),"m月")&amp;"発注)")</f>
        <v/>
      </c>
      <c r="L475">
        <f>IF(SUMIFS(T_PlannedOrders[EffectiveQty],T_PlannedOrders[Part Name],$A383,T_PlannedOrders[WeekIndex],9)=0,"",SUMIFS(T_PlannedOrders[EffectiveQty],T_PlannedOrders[Part Name],$A383,T_PlannedOrders[WeekIndex],9)&amp;" ("&amp;TEXT(SUMPRODUCT(MAX((T_PlannedOrders[Part Name]=$A383)*(T_PlannedOrders[WeekIndex]=9)*(T_PlannedOrders[EffectiveQty]&gt;0)*T_PlannedOrders[Order_Month])),"m月")&amp;"発注)")</f>
        <v/>
      </c>
      <c r="M475">
        <f>IF(SUMIFS(T_PlannedOrders[EffectiveQty],T_PlannedOrders[Part Name],$A383,T_PlannedOrders[WeekIndex],10)=0,"",SUMIFS(T_PlannedOrders[EffectiveQty],T_PlannedOrders[Part Name],$A383,T_PlannedOrders[WeekIndex],10)&amp;" ("&amp;TEXT(SUMPRODUCT(MAX((T_PlannedOrders[Part Name]=$A383)*(T_PlannedOrders[WeekIndex]=10)*(T_PlannedOrders[EffectiveQty]&gt;0)*T_PlannedOrders[Order_Month])),"m月")&amp;"発注)")</f>
        <v/>
      </c>
      <c r="N475">
        <f>IF(SUMIFS(T_PlannedOrders[EffectiveQty],T_PlannedOrders[Part Name],$A383,T_PlannedOrders[WeekIndex],11)=0,"",SUMIFS(T_PlannedOrders[EffectiveQty],T_PlannedOrders[Part Name],$A383,T_PlannedOrders[WeekIndex],11)&amp;" ("&amp;TEXT(SUMPRODUCT(MAX((T_PlannedOrders[Part Name]=$A383)*(T_PlannedOrders[WeekIndex]=11)*(T_PlannedOrders[EffectiveQty]&gt;0)*T_PlannedOrders[Order_Month])),"m月")&amp;"発注)")</f>
        <v/>
      </c>
      <c r="O475">
        <f>IF(SUMIFS(T_PlannedOrders[EffectiveQty],T_PlannedOrders[Part Name],$A383,T_PlannedOrders[WeekIndex],12)=0,"",SUMIFS(T_PlannedOrders[EffectiveQty],T_PlannedOrders[Part Name],$A383,T_PlannedOrders[WeekIndex],12)&amp;" ("&amp;TEXT(SUMPRODUCT(MAX((T_PlannedOrders[Part Name]=$A383)*(T_PlannedOrders[WeekIndex]=12)*(T_PlannedOrders[EffectiveQty]&gt;0)*T_PlannedOrders[Order_Month])),"m月")&amp;"発注)")</f>
        <v/>
      </c>
      <c r="P475">
        <f>IF(SUMIFS(T_PlannedOrders[EffectiveQty],T_PlannedOrders[Part Name],$A383,T_PlannedOrders[WeekIndex],13)=0,"",SUMIFS(T_PlannedOrders[EffectiveQty],T_PlannedOrders[Part Name],$A383,T_PlannedOrders[WeekIndex],13)&amp;" ("&amp;TEXT(SUMPRODUCT(MAX((T_PlannedOrders[Part Name]=$A383)*(T_PlannedOrders[WeekIndex]=13)*(T_PlannedOrders[EffectiveQty]&gt;0)*T_PlannedOrders[Order_Month])),"m月")&amp;"発注)")</f>
        <v/>
      </c>
      <c r="Q475">
        <f>IF(SUMIFS(T_PlannedOrders[EffectiveQty],T_PlannedOrders[Part Name],$A383,T_PlannedOrders[WeekIndex],14)=0,"",SUMIFS(T_PlannedOrders[EffectiveQty],T_PlannedOrders[Part Name],$A383,T_PlannedOrders[WeekIndex],14)&amp;" ("&amp;TEXT(SUMPRODUCT(MAX((T_PlannedOrders[Part Name]=$A383)*(T_PlannedOrders[WeekIndex]=14)*(T_PlannedOrders[EffectiveQty]&gt;0)*T_PlannedOrders[Order_Month])),"m月")&amp;"発注)")</f>
        <v/>
      </c>
      <c r="R475">
        <f>IF(SUMIFS(T_PlannedOrders[EffectiveQty],T_PlannedOrders[Part Name],$A383,T_PlannedOrders[WeekIndex],15)=0,"",SUMIFS(T_PlannedOrders[EffectiveQty],T_PlannedOrders[Part Name],$A383,T_PlannedOrders[WeekIndex],15)&amp;" ("&amp;TEXT(SUMPRODUCT(MAX((T_PlannedOrders[Part Name]=$A383)*(T_PlannedOrders[WeekIndex]=15)*(T_PlannedOrders[EffectiveQty]&gt;0)*T_PlannedOrders[Order_Month])),"m月")&amp;"発注)")</f>
        <v/>
      </c>
      <c r="S475">
        <f>IF(SUMIFS(T_PlannedOrders[EffectiveQty],T_PlannedOrders[Part Name],$A383,T_PlannedOrders[WeekIndex],16)=0,"",SUMIFS(T_PlannedOrders[EffectiveQty],T_PlannedOrders[Part Name],$A383,T_PlannedOrders[WeekIndex],16)&amp;" ("&amp;TEXT(SUMPRODUCT(MAX((T_PlannedOrders[Part Name]=$A383)*(T_PlannedOrders[WeekIndex]=16)*(T_PlannedOrders[EffectiveQty]&gt;0)*T_PlannedOrders[Order_Month])),"m月")&amp;"発注)")</f>
        <v/>
      </c>
      <c r="T475">
        <f>IF(SUMIFS(T_PlannedOrders[EffectiveQty],T_PlannedOrders[Part Name],$A383,T_PlannedOrders[WeekIndex],17)=0,"",SUMIFS(T_PlannedOrders[EffectiveQty],T_PlannedOrders[Part Name],$A383,T_PlannedOrders[WeekIndex],17)&amp;" ("&amp;TEXT(SUMPRODUCT(MAX((T_PlannedOrders[Part Name]=$A383)*(T_PlannedOrders[WeekIndex]=17)*(T_PlannedOrders[EffectiveQty]&gt;0)*T_PlannedOrders[Order_Month])),"m月")&amp;"発注)")</f>
        <v/>
      </c>
      <c r="U475">
        <f>IF(SUMIFS(T_PlannedOrders[EffectiveQty],T_PlannedOrders[Part Name],$A383,T_PlannedOrders[WeekIndex],18)=0,"",SUMIFS(T_PlannedOrders[EffectiveQty],T_PlannedOrders[Part Name],$A383,T_PlannedOrders[WeekIndex],18)&amp;" ("&amp;TEXT(SUMPRODUCT(MAX((T_PlannedOrders[Part Name]=$A383)*(T_PlannedOrders[WeekIndex]=18)*(T_PlannedOrders[EffectiveQty]&gt;0)*T_PlannedOrders[Order_Month])),"m月")&amp;"発注)")</f>
        <v/>
      </c>
      <c r="V475">
        <f>IF(SUMIFS(T_PlannedOrders[EffectiveQty],T_PlannedOrders[Part Name],$A383,T_PlannedOrders[WeekIndex],19)=0,"",SUMIFS(T_PlannedOrders[EffectiveQty],T_PlannedOrders[Part Name],$A383,T_PlannedOrders[WeekIndex],19)&amp;" ("&amp;TEXT(SUMPRODUCT(MAX((T_PlannedOrders[Part Name]=$A383)*(T_PlannedOrders[WeekIndex]=19)*(T_PlannedOrders[EffectiveQty]&gt;0)*T_PlannedOrders[Order_Month])),"m月")&amp;"発注)")</f>
        <v/>
      </c>
      <c r="W475">
        <f>IF(SUMIFS(T_PlannedOrders[EffectiveQty],T_PlannedOrders[Part Name],$A383,T_PlannedOrders[WeekIndex],20)=0,"",SUMIFS(T_PlannedOrders[EffectiveQty],T_PlannedOrders[Part Name],$A383,T_PlannedOrders[WeekIndex],20)&amp;" ("&amp;TEXT(SUMPRODUCT(MAX((T_PlannedOrders[Part Name]=$A383)*(T_PlannedOrders[WeekIndex]=20)*(T_PlannedOrders[EffectiveQty]&gt;0)*T_PlannedOrders[Order_Month])),"m月")&amp;"発注)")</f>
        <v/>
      </c>
      <c r="X475">
        <f>IF(SUMIFS(T_PlannedOrders[EffectiveQty],T_PlannedOrders[Part Name],$A383,T_PlannedOrders[WeekIndex],21)=0,"",SUMIFS(T_PlannedOrders[EffectiveQty],T_PlannedOrders[Part Name],$A383,T_PlannedOrders[WeekIndex],21)&amp;" ("&amp;TEXT(SUMPRODUCT(MAX((T_PlannedOrders[Part Name]=$A383)*(T_PlannedOrders[WeekIndex]=21)*(T_PlannedOrders[EffectiveQty]&gt;0)*T_PlannedOrders[Order_Month])),"m月")&amp;"発注)")</f>
        <v/>
      </c>
      <c r="Y475">
        <f>IF(SUMIFS(T_PlannedOrders[EffectiveQty],T_PlannedOrders[Part Name],$A383,T_PlannedOrders[WeekIndex],22)=0,"",SUMIFS(T_PlannedOrders[EffectiveQty],T_PlannedOrders[Part Name],$A383,T_PlannedOrders[WeekIndex],22)&amp;" ("&amp;TEXT(SUMPRODUCT(MAX((T_PlannedOrders[Part Name]=$A383)*(T_PlannedOrders[WeekIndex]=22)*(T_PlannedOrders[EffectiveQty]&gt;0)*T_PlannedOrders[Order_Month])),"m月")&amp;"発注)")</f>
        <v/>
      </c>
      <c r="Z475">
        <f>IF(SUMIFS(T_PlannedOrders[EffectiveQty],T_PlannedOrders[Part Name],$A383,T_PlannedOrders[WeekIndex],23)=0,"",SUMIFS(T_PlannedOrders[EffectiveQty],T_PlannedOrders[Part Name],$A383,T_PlannedOrders[WeekIndex],23)&amp;" ("&amp;TEXT(SUMPRODUCT(MAX((T_PlannedOrders[Part Name]=$A383)*(T_PlannedOrders[WeekIndex]=23)*(T_PlannedOrders[EffectiveQty]&gt;0)*T_PlannedOrders[Order_Month])),"m月")&amp;"発注)")</f>
        <v/>
      </c>
      <c r="AA475">
        <f>IF(SUMIFS(T_PlannedOrders[EffectiveQty],T_PlannedOrders[Part Name],$A383,T_PlannedOrders[WeekIndex],24)=0,"",SUMIFS(T_PlannedOrders[EffectiveQty],T_PlannedOrders[Part Name],$A383,T_PlannedOrders[WeekIndex],24)&amp;" ("&amp;TEXT(SUMPRODUCT(MAX((T_PlannedOrders[Part Name]=$A383)*(T_PlannedOrders[WeekIndex]=24)*(T_PlannedOrders[EffectiveQty]&gt;0)*T_PlannedOrders[Order_Month])),"m月")&amp;"発注)")</f>
        <v/>
      </c>
      <c r="AB475">
        <f>IF(SUMIFS(T_PlannedOrders[EffectiveQty],T_PlannedOrders[Part Name],$A383,T_PlannedOrders[WeekIndex],25)=0,"",SUMIFS(T_PlannedOrders[EffectiveQty],T_PlannedOrders[Part Name],$A383,T_PlannedOrders[WeekIndex],25)&amp;" ("&amp;TEXT(SUMPRODUCT(MAX((T_PlannedOrders[Part Name]=$A383)*(T_PlannedOrders[WeekIndex]=25)*(T_PlannedOrders[EffectiveQty]&gt;0)*T_PlannedOrders[Order_Month])),"m月")&amp;"発注)")</f>
        <v/>
      </c>
      <c r="AC475">
        <f>IF(SUMIFS(T_PlannedOrders[EffectiveQty],T_PlannedOrders[Part Name],$A383,T_PlannedOrders[WeekIndex],26)=0,"",SUMIFS(T_PlannedOrders[EffectiveQty],T_PlannedOrders[Part Name],$A383,T_PlannedOrders[WeekIndex],26)&amp;" ("&amp;TEXT(SUMPRODUCT(MAX((T_PlannedOrders[Part Name]=$A383)*(T_PlannedOrders[WeekIndex]=26)*(T_PlannedOrders[EffectiveQty]&gt;0)*T_PlannedOrders[Order_Month])),"m月")&amp;"発注)")</f>
        <v/>
      </c>
      <c r="AD475">
        <f>IF(SUMIFS(T_PlannedOrders[EffectiveQty],T_PlannedOrders[Part Name],$A383,T_PlannedOrders[WeekIndex],27)=0,"",SUMIFS(T_PlannedOrders[EffectiveQty],T_PlannedOrders[Part Name],$A383,T_PlannedOrders[WeekIndex],27)&amp;" ("&amp;TEXT(SUMPRODUCT(MAX((T_PlannedOrders[Part Name]=$A383)*(T_PlannedOrders[WeekIndex]=27)*(T_PlannedOrders[EffectiveQty]&gt;0)*T_PlannedOrders[Order_Month])),"m月")&amp;"発注)")</f>
        <v/>
      </c>
      <c r="AE475">
        <f>IF(SUMIFS(T_PlannedOrders[EffectiveQty],T_PlannedOrders[Part Name],$A383,T_PlannedOrders[WeekIndex],28)=0,"",SUMIFS(T_PlannedOrders[EffectiveQty],T_PlannedOrders[Part Name],$A383,T_PlannedOrders[WeekIndex],28)&amp;" ("&amp;TEXT(SUMPRODUCT(MAX((T_PlannedOrders[Part Name]=$A383)*(T_PlannedOrders[WeekIndex]=28)*(T_PlannedOrders[EffectiveQty]&gt;0)*T_PlannedOrders[Order_Month])),"m月")&amp;"発注)")</f>
        <v/>
      </c>
      <c r="AF475">
        <f>IF(SUMIFS(T_PlannedOrders[EffectiveQty],T_PlannedOrders[Part Name],$A383,T_PlannedOrders[WeekIndex],29)=0,"",SUMIFS(T_PlannedOrders[EffectiveQty],T_PlannedOrders[Part Name],$A383,T_PlannedOrders[WeekIndex],29)&amp;" ("&amp;TEXT(SUMPRODUCT(MAX((T_PlannedOrders[Part Name]=$A383)*(T_PlannedOrders[WeekIndex]=29)*(T_PlannedOrders[EffectiveQty]&gt;0)*T_PlannedOrders[Order_Month])),"m月")&amp;"発注)")</f>
        <v/>
      </c>
      <c r="AG475">
        <f>IF(SUMIFS(T_PlannedOrders[EffectiveQty],T_PlannedOrders[Part Name],$A383,T_PlannedOrders[WeekIndex],30)=0,"",SUMIFS(T_PlannedOrders[EffectiveQty],T_PlannedOrders[Part Name],$A383,T_PlannedOrders[WeekIndex],30)&amp;" ("&amp;TEXT(SUMPRODUCT(MAX((T_PlannedOrders[Part Name]=$A383)*(T_PlannedOrders[WeekIndex]=30)*(T_PlannedOrders[EffectiveQty]&gt;0)*T_PlannedOrders[Order_Month])),"m月")&amp;"発注)")</f>
        <v/>
      </c>
      <c r="AH475">
        <f>IF(SUMIFS(T_PlannedOrders[EffectiveQty],T_PlannedOrders[Part Name],$A383,T_PlannedOrders[WeekIndex],31)=0,"",SUMIFS(T_PlannedOrders[EffectiveQty],T_PlannedOrders[Part Name],$A383,T_PlannedOrders[WeekIndex],31)&amp;" ("&amp;TEXT(SUMPRODUCT(MAX((T_PlannedOrders[Part Name]=$A383)*(T_PlannedOrders[WeekIndex]=31)*(T_PlannedOrders[EffectiveQty]&gt;0)*T_PlannedOrders[Order_Month])),"m月")&amp;"発注)")</f>
        <v/>
      </c>
      <c r="AI475">
        <f>IF(SUMIFS(T_PlannedOrders[EffectiveQty],T_PlannedOrders[Part Name],$A383,T_PlannedOrders[WeekIndex],32)=0,"",SUMIFS(T_PlannedOrders[EffectiveQty],T_PlannedOrders[Part Name],$A383,T_PlannedOrders[WeekIndex],32)&amp;" ("&amp;TEXT(SUMPRODUCT(MAX((T_PlannedOrders[Part Name]=$A383)*(T_PlannedOrders[WeekIndex]=32)*(T_PlannedOrders[EffectiveQty]&gt;0)*T_PlannedOrders[Order_Month])),"m月")&amp;"発注)")</f>
        <v/>
      </c>
      <c r="AJ475">
        <f>IF(SUMIFS(T_PlannedOrders[EffectiveQty],T_PlannedOrders[Part Name],$A383,T_PlannedOrders[WeekIndex],33)=0,"",SUMIFS(T_PlannedOrders[EffectiveQty],T_PlannedOrders[Part Name],$A383,T_PlannedOrders[WeekIndex],33)&amp;" ("&amp;TEXT(SUMPRODUCT(MAX((T_PlannedOrders[Part Name]=$A383)*(T_PlannedOrders[WeekIndex]=33)*(T_PlannedOrders[EffectiveQty]&gt;0)*T_PlannedOrders[Order_Month])),"m月")&amp;"発注)")</f>
        <v/>
      </c>
      <c r="AK475">
        <f>IF(SUMIFS(T_PlannedOrders[EffectiveQty],T_PlannedOrders[Part Name],$A383,T_PlannedOrders[WeekIndex],34)=0,"",SUMIFS(T_PlannedOrders[EffectiveQty],T_PlannedOrders[Part Name],$A383,T_PlannedOrders[WeekIndex],34)&amp;" ("&amp;TEXT(SUMPRODUCT(MAX((T_PlannedOrders[Part Name]=$A383)*(T_PlannedOrders[WeekIndex]=34)*(T_PlannedOrders[EffectiveQty]&gt;0)*T_PlannedOrders[Order_Month])),"m月")&amp;"発注)")</f>
        <v/>
      </c>
      <c r="AL475">
        <f>IF(SUMIFS(T_PlannedOrders[EffectiveQty],T_PlannedOrders[Part Name],$A383,T_PlannedOrders[WeekIndex],35)=0,"",SUMIFS(T_PlannedOrders[EffectiveQty],T_PlannedOrders[Part Name],$A383,T_PlannedOrders[WeekIndex],35)&amp;" ("&amp;TEXT(SUMPRODUCT(MAX((T_PlannedOrders[Part Name]=$A383)*(T_PlannedOrders[WeekIndex]=35)*(T_PlannedOrders[EffectiveQty]&gt;0)*T_PlannedOrders[Order_Month])),"m月")&amp;"発注)")</f>
        <v/>
      </c>
      <c r="AM475">
        <f>IF(SUMIFS(T_PlannedOrders[EffectiveQty],T_PlannedOrders[Part Name],$A383,T_PlannedOrders[WeekIndex],36)=0,"",SUMIFS(T_PlannedOrders[EffectiveQty],T_PlannedOrders[Part Name],$A383,T_PlannedOrders[WeekIndex],36)&amp;" ("&amp;TEXT(SUMPRODUCT(MAX((T_PlannedOrders[Part Name]=$A383)*(T_PlannedOrders[WeekIndex]=36)*(T_PlannedOrders[EffectiveQty]&gt;0)*T_PlannedOrders[Order_Month])),"m月")&amp;"発注)")</f>
        <v/>
      </c>
      <c r="AN475">
        <f>IF(SUMIFS(T_PlannedOrders[EffectiveQty],T_PlannedOrders[Part Name],$A383,T_PlannedOrders[WeekIndex],37)=0,"",SUMIFS(T_PlannedOrders[EffectiveQty],T_PlannedOrders[Part Name],$A383,T_PlannedOrders[WeekIndex],37)&amp;" ("&amp;TEXT(SUMPRODUCT(MAX((T_PlannedOrders[Part Name]=$A383)*(T_PlannedOrders[WeekIndex]=37)*(T_PlannedOrders[EffectiveQty]&gt;0)*T_PlannedOrders[Order_Month])),"m月")&amp;"発注)")</f>
        <v/>
      </c>
      <c r="AO475">
        <f>IF(SUMIFS(T_PlannedOrders[EffectiveQty],T_PlannedOrders[Part Name],$A383,T_PlannedOrders[WeekIndex],38)=0,"",SUMIFS(T_PlannedOrders[EffectiveQty],T_PlannedOrders[Part Name],$A383,T_PlannedOrders[WeekIndex],38)&amp;" ("&amp;TEXT(SUMPRODUCT(MAX((T_PlannedOrders[Part Name]=$A383)*(T_PlannedOrders[WeekIndex]=38)*(T_PlannedOrders[EffectiveQty]&gt;0)*T_PlannedOrders[Order_Month])),"m月")&amp;"発注)")</f>
        <v/>
      </c>
      <c r="AP475">
        <f>IF(SUMIFS(T_PlannedOrders[EffectiveQty],T_PlannedOrders[Part Name],$A383,T_PlannedOrders[WeekIndex],39)=0,"",SUMIFS(T_PlannedOrders[EffectiveQty],T_PlannedOrders[Part Name],$A383,T_PlannedOrders[WeekIndex],39)&amp;" ("&amp;TEXT(SUMPRODUCT(MAX((T_PlannedOrders[Part Name]=$A383)*(T_PlannedOrders[WeekIndex]=39)*(T_PlannedOrders[EffectiveQty]&gt;0)*T_PlannedOrders[Order_Month])),"m月")&amp;"発注)")</f>
        <v/>
      </c>
      <c r="AQ475">
        <f>IF(SUMIFS(T_PlannedOrders[EffectiveQty],T_PlannedOrders[Part Name],$A383,T_PlannedOrders[WeekIndex],40)=0,"",SUMIFS(T_PlannedOrders[EffectiveQty],T_PlannedOrders[Part Name],$A383,T_PlannedOrders[WeekIndex],40)&amp;" ("&amp;TEXT(SUMPRODUCT(MAX((T_PlannedOrders[Part Name]=$A383)*(T_PlannedOrders[WeekIndex]=40)*(T_PlannedOrders[EffectiveQty]&gt;0)*T_PlannedOrders[Order_Month])),"m月")&amp;"発注)")</f>
        <v/>
      </c>
      <c r="AR475">
        <f>IF(SUMIFS(T_PlannedOrders[EffectiveQty],T_PlannedOrders[Part Name],$A383,T_PlannedOrders[WeekIndex],41)=0,"",SUMIFS(T_PlannedOrders[EffectiveQty],T_PlannedOrders[Part Name],$A383,T_PlannedOrders[WeekIndex],41)&amp;" ("&amp;TEXT(SUMPRODUCT(MAX((T_PlannedOrders[Part Name]=$A383)*(T_PlannedOrders[WeekIndex]=41)*(T_PlannedOrders[EffectiveQty]&gt;0)*T_PlannedOrders[Order_Month])),"m月")&amp;"発注)")</f>
        <v/>
      </c>
      <c r="AS475">
        <f>IF(SUMIFS(T_PlannedOrders[EffectiveQty],T_PlannedOrders[Part Name],$A383,T_PlannedOrders[WeekIndex],42)=0,"",SUMIFS(T_PlannedOrders[EffectiveQty],T_PlannedOrders[Part Name],$A383,T_PlannedOrders[WeekIndex],42)&amp;" ("&amp;TEXT(SUMPRODUCT(MAX((T_PlannedOrders[Part Name]=$A383)*(T_PlannedOrders[WeekIndex]=42)*(T_PlannedOrders[EffectiveQty]&gt;0)*T_PlannedOrders[Order_Month])),"m月")&amp;"発注)")</f>
        <v/>
      </c>
      <c r="AT475">
        <f>IF(SUMIFS(T_PlannedOrders[EffectiveQty],T_PlannedOrders[Part Name],$A383,T_PlannedOrders[WeekIndex],43)=0,"",SUMIFS(T_PlannedOrders[EffectiveQty],T_PlannedOrders[Part Name],$A383,T_PlannedOrders[WeekIndex],43)&amp;" ("&amp;TEXT(SUMPRODUCT(MAX((T_PlannedOrders[Part Name]=$A383)*(T_PlannedOrders[WeekIndex]=43)*(T_PlannedOrders[EffectiveQty]&gt;0)*T_PlannedOrders[Order_Month])),"m月")&amp;"発注)")</f>
        <v/>
      </c>
      <c r="AU475">
        <f>IF(SUMIFS(T_PlannedOrders[EffectiveQty],T_PlannedOrders[Part Name],$A383,T_PlannedOrders[WeekIndex],44)=0,"",SUMIFS(T_PlannedOrders[EffectiveQty],T_PlannedOrders[Part Name],$A383,T_PlannedOrders[WeekIndex],44)&amp;" ("&amp;TEXT(SUMPRODUCT(MAX((T_PlannedOrders[Part Name]=$A383)*(T_PlannedOrders[WeekIndex]=44)*(T_PlannedOrders[EffectiveQty]&gt;0)*T_PlannedOrders[Order_Month])),"m月")&amp;"発注)")</f>
        <v/>
      </c>
      <c r="AV475">
        <f>IF(SUMIFS(T_PlannedOrders[EffectiveQty],T_PlannedOrders[Part Name],$A383,T_PlannedOrders[WeekIndex],45)=0,"",SUMIFS(T_PlannedOrders[EffectiveQty],T_PlannedOrders[Part Name],$A383,T_PlannedOrders[WeekIndex],45)&amp;" ("&amp;TEXT(SUMPRODUCT(MAX((T_PlannedOrders[Part Name]=$A383)*(T_PlannedOrders[WeekIndex]=45)*(T_PlannedOrders[EffectiveQty]&gt;0)*T_PlannedOrders[Order_Month])),"m月")&amp;"発注)")</f>
        <v/>
      </c>
      <c r="AW475">
        <f>IF(SUMIFS(T_PlannedOrders[EffectiveQty],T_PlannedOrders[Part Name],$A383,T_PlannedOrders[WeekIndex],46)=0,"",SUMIFS(T_PlannedOrders[EffectiveQty],T_PlannedOrders[Part Name],$A383,T_PlannedOrders[WeekIndex],46)&amp;" ("&amp;TEXT(SUMPRODUCT(MAX((T_PlannedOrders[Part Name]=$A383)*(T_PlannedOrders[WeekIndex]=46)*(T_PlannedOrders[EffectiveQty]&gt;0)*T_PlannedOrders[Order_Month])),"m月")&amp;"発注)")</f>
        <v/>
      </c>
      <c r="AX475">
        <f>IF(SUMIFS(T_PlannedOrders[EffectiveQty],T_PlannedOrders[Part Name],$A383,T_PlannedOrders[WeekIndex],47)=0,"",SUMIFS(T_PlannedOrders[EffectiveQty],T_PlannedOrders[Part Name],$A383,T_PlannedOrders[WeekIndex],47)&amp;" ("&amp;TEXT(SUMPRODUCT(MAX((T_PlannedOrders[Part Name]=$A383)*(T_PlannedOrders[WeekIndex]=47)*(T_PlannedOrders[EffectiveQty]&gt;0)*T_PlannedOrders[Order_Month])),"m月")&amp;"発注)")</f>
        <v/>
      </c>
      <c r="AY475">
        <f>IF(SUMIFS(T_PlannedOrders[EffectiveQty],T_PlannedOrders[Part Name],$A383,T_PlannedOrders[WeekIndex],48)=0,"",SUMIFS(T_PlannedOrders[EffectiveQty],T_PlannedOrders[Part Name],$A383,T_PlannedOrders[WeekIndex],48)&amp;" ("&amp;TEXT(SUMPRODUCT(MAX((T_PlannedOrders[Part Name]=$A383)*(T_PlannedOrders[WeekIndex]=48)*(T_PlannedOrders[EffectiveQty]&gt;0)*T_PlannedOrders[Order_Month])),"m月")&amp;"発注)")</f>
        <v/>
      </c>
      <c r="AZ475">
        <f>IF(SUMIFS(T_PlannedOrders[EffectiveQty],T_PlannedOrders[Part Name],$A383,T_PlannedOrders[WeekIndex],49)=0,"",SUMIFS(T_PlannedOrders[EffectiveQty],T_PlannedOrders[Part Name],$A383,T_PlannedOrders[WeekIndex],49)&amp;" ("&amp;TEXT(SUMPRODUCT(MAX((T_PlannedOrders[Part Name]=$A383)*(T_PlannedOrders[WeekIndex]=49)*(T_PlannedOrders[EffectiveQty]&gt;0)*T_PlannedOrders[Order_Month])),"m月")&amp;"発注)")</f>
        <v/>
      </c>
      <c r="BA475">
        <f>IF(SUMIFS(T_PlannedOrders[EffectiveQty],T_PlannedOrders[Part Name],$A383,T_PlannedOrders[WeekIndex],50)=0,"",SUMIFS(T_PlannedOrders[EffectiveQty],T_PlannedOrders[Part Name],$A383,T_PlannedOrders[WeekIndex],50)&amp;" ("&amp;TEXT(SUMPRODUCT(MAX((T_PlannedOrders[Part Name]=$A383)*(T_PlannedOrders[WeekIndex]=50)*(T_PlannedOrders[EffectiveQty]&gt;0)*T_PlannedOrders[Order_Month])),"m月")&amp;"発注)")</f>
        <v/>
      </c>
      <c r="BB475">
        <f>IF(SUMIFS(T_PlannedOrders[EffectiveQty],T_PlannedOrders[Part Name],$A383,T_PlannedOrders[WeekIndex],51)=0,"",SUMIFS(T_PlannedOrders[EffectiveQty],T_PlannedOrders[Part Name],$A383,T_PlannedOrders[WeekIndex],51)&amp;" ("&amp;TEXT(SUMPRODUCT(MAX((T_PlannedOrders[Part Name]=$A383)*(T_PlannedOrders[WeekIndex]=51)*(T_PlannedOrders[EffectiveQty]&gt;0)*T_PlannedOrders[Order_Month])),"m月")&amp;"発注)")</f>
        <v/>
      </c>
      <c r="BC475">
        <f>IF(SUMIFS(T_PlannedOrders[EffectiveQty],T_PlannedOrders[Part Name],$A383,T_PlannedOrders[WeekIndex],52)=0,"",SUMIFS(T_PlannedOrders[EffectiveQty],T_PlannedOrders[Part Name],$A383,T_PlannedOrders[WeekIndex],52)&amp;" ("&amp;TEXT(SUMPRODUCT(MAX((T_PlannedOrders[Part Name]=$A383)*(T_PlannedOrders[WeekIndex]=52)*(T_PlannedOrders[EffectiveQty]&gt;0)*T_PlannedOrders[Order_Month])),"m月")&amp;"発注)")</f>
        <v/>
      </c>
      <c r="BD475">
        <f>IF(SUMIFS(T_PlannedOrders[EffectiveQty],T_PlannedOrders[Part Name],$A383,T_PlannedOrders[WeekIndex],53)=0,"",SUMIFS(T_PlannedOrders[EffectiveQty],T_PlannedOrders[Part Name],$A383,T_PlannedOrders[WeekIndex],53)&amp;" ("&amp;TEXT(SUMPRODUCT(MAX((T_PlannedOrders[Part Name]=$A383)*(T_PlannedOrders[WeekIndex]=53)*(T_PlannedOrders[EffectiveQty]&gt;0)*T_PlannedOrders[Order_Month])),"m月")&amp;"発注)")</f>
        <v/>
      </c>
      <c r="BE475">
        <f>IF(SUMIFS(T_PlannedOrders[EffectiveQty],T_PlannedOrders[Part Name],$A383,T_PlannedOrders[WeekIndex],54)=0,"",SUMIFS(T_PlannedOrders[EffectiveQty],T_PlannedOrders[Part Name],$A383,T_PlannedOrders[WeekIndex],54)&amp;" ("&amp;TEXT(SUMPRODUCT(MAX((T_PlannedOrders[Part Name]=$A383)*(T_PlannedOrders[WeekIndex]=54)*(T_PlannedOrders[EffectiveQty]&gt;0)*T_PlannedOrders[Order_Month])),"m月")&amp;"発注)")</f>
        <v/>
      </c>
      <c r="BF475">
        <f>IF(SUMIFS(T_PlannedOrders[EffectiveQty],T_PlannedOrders[Part Name],$A383,T_PlannedOrders[WeekIndex],55)=0,"",SUMIFS(T_PlannedOrders[EffectiveQty],T_PlannedOrders[Part Name],$A383,T_PlannedOrders[WeekIndex],55)&amp;" ("&amp;TEXT(SUMPRODUCT(MAX((T_PlannedOrders[Part Name]=$A383)*(T_PlannedOrders[WeekIndex]=55)*(T_PlannedOrders[EffectiveQty]&gt;0)*T_PlannedOrders[Order_Month])),"m月")&amp;"発注)")</f>
        <v/>
      </c>
      <c r="BG475">
        <f>IF(SUMIFS(T_PlannedOrders[EffectiveQty],T_PlannedOrders[Part Name],$A383,T_PlannedOrders[WeekIndex],56)=0,"",SUMIFS(T_PlannedOrders[EffectiveQty],T_PlannedOrders[Part Name],$A383,T_PlannedOrders[WeekIndex],56)&amp;" ("&amp;TEXT(SUMPRODUCT(MAX((T_PlannedOrders[Part Name]=$A383)*(T_PlannedOrders[WeekIndex]=56)*(T_PlannedOrders[EffectiveQty]&gt;0)*T_PlannedOrders[Order_Month])),"m月")&amp;"発注)")</f>
        <v/>
      </c>
      <c r="BH475">
        <f>IF(SUMIFS(T_PlannedOrders[EffectiveQty],T_PlannedOrders[Part Name],$A383,T_PlannedOrders[WeekIndex],57)=0,"",SUMIFS(T_PlannedOrders[EffectiveQty],T_PlannedOrders[Part Name],$A383,T_PlannedOrders[WeekIndex],57)&amp;" ("&amp;TEXT(SUMPRODUCT(MAX((T_PlannedOrders[Part Name]=$A383)*(T_PlannedOrders[WeekIndex]=57)*(T_PlannedOrders[EffectiveQty]&gt;0)*T_PlannedOrders[Order_Month])),"m月")&amp;"発注)")</f>
        <v/>
      </c>
      <c r="BI475">
        <f>IF(SUMIFS(T_PlannedOrders[EffectiveQty],T_PlannedOrders[Part Name],$A383,T_PlannedOrders[WeekIndex],58)=0,"",SUMIFS(T_PlannedOrders[EffectiveQty],T_PlannedOrders[Part Name],$A383,T_PlannedOrders[WeekIndex],58)&amp;" ("&amp;TEXT(SUMPRODUCT(MAX((T_PlannedOrders[Part Name]=$A383)*(T_PlannedOrders[WeekIndex]=58)*(T_PlannedOrders[EffectiveQty]&gt;0)*T_PlannedOrders[Order_Month])),"m月")&amp;"発注)")</f>
        <v/>
      </c>
      <c r="BJ475">
        <f>IF(SUMIFS(T_PlannedOrders[EffectiveQty],T_PlannedOrders[Part Name],$A383,T_PlannedOrders[WeekIndex],59)=0,"",SUMIFS(T_PlannedOrders[EffectiveQty],T_PlannedOrders[Part Name],$A383,T_PlannedOrders[WeekIndex],59)&amp;" ("&amp;TEXT(SUMPRODUCT(MAX((T_PlannedOrders[Part Name]=$A383)*(T_PlannedOrders[WeekIndex]=59)*(T_PlannedOrders[EffectiveQty]&gt;0)*T_PlannedOrders[Order_Month])),"m月")&amp;"発注)")</f>
        <v/>
      </c>
      <c r="BK475">
        <f>IF(SUMIFS(T_PlannedOrders[EffectiveQty],T_PlannedOrders[Part Name],$A383,T_PlannedOrders[WeekIndex],60)=0,"",SUMIFS(T_PlannedOrders[EffectiveQty],T_PlannedOrders[Part Name],$A383,T_PlannedOrders[WeekIndex],60)&amp;" ("&amp;TEXT(SUMPRODUCT(MAX((T_PlannedOrders[Part Name]=$A383)*(T_PlannedOrders[WeekIndex]=60)*(T_PlannedOrders[EffectiveQty]&gt;0)*T_PlannedOrders[Order_Month])),"m月")&amp;"発注)")</f>
        <v/>
      </c>
      <c r="BL475">
        <f>IF(SUMIFS(T_PlannedOrders[EffectiveQty],T_PlannedOrders[Part Name],$A383,T_PlannedOrders[WeekIndex],61)=0,"",SUMIFS(T_PlannedOrders[EffectiveQty],T_PlannedOrders[Part Name],$A383,T_PlannedOrders[WeekIndex],61)&amp;" ("&amp;TEXT(SUMPRODUCT(MAX((T_PlannedOrders[Part Name]=$A383)*(T_PlannedOrders[WeekIndex]=61)*(T_PlannedOrders[EffectiveQty]&gt;0)*T_PlannedOrders[Order_Month])),"m月")&amp;"発注)")</f>
        <v/>
      </c>
      <c r="BM475">
        <f>IF(SUMIFS(T_PlannedOrders[EffectiveQty],T_PlannedOrders[Part Name],$A383,T_PlannedOrders[WeekIndex],62)=0,"",SUMIFS(T_PlannedOrders[EffectiveQty],T_PlannedOrders[Part Name],$A383,T_PlannedOrders[WeekIndex],62)&amp;" ("&amp;TEXT(SUMPRODUCT(MAX((T_PlannedOrders[Part Name]=$A383)*(T_PlannedOrders[WeekIndex]=62)*(T_PlannedOrders[EffectiveQty]&gt;0)*T_PlannedOrders[Order_Month])),"m月")&amp;"発注)")</f>
        <v/>
      </c>
      <c r="BN475">
        <f>IF(SUMIFS(T_PlannedOrders[EffectiveQty],T_PlannedOrders[Part Name],$A383,T_PlannedOrders[WeekIndex],63)=0,"",SUMIFS(T_PlannedOrders[EffectiveQty],T_PlannedOrders[Part Name],$A383,T_PlannedOrders[WeekIndex],63)&amp;" ("&amp;TEXT(SUMPRODUCT(MAX((T_PlannedOrders[Part Name]=$A383)*(T_PlannedOrders[WeekIndex]=63)*(T_PlannedOrders[EffectiveQty]&gt;0)*T_PlannedOrders[Order_Month])),"m月")&amp;"発注)")</f>
        <v/>
      </c>
      <c r="BO475">
        <f>IF(SUMIFS(T_PlannedOrders[EffectiveQty],T_PlannedOrders[Part Name],$A383,T_PlannedOrders[WeekIndex],64)=0,"",SUMIFS(T_PlannedOrders[EffectiveQty],T_PlannedOrders[Part Name],$A383,T_PlannedOrders[WeekIndex],64)&amp;" ("&amp;TEXT(SUMPRODUCT(MAX((T_PlannedOrders[Part Name]=$A383)*(T_PlannedOrders[WeekIndex]=64)*(T_PlannedOrders[EffectiveQty]&gt;0)*T_PlannedOrders[Order_Month])),"m月")&amp;"発注)")</f>
        <v/>
      </c>
      <c r="BP475">
        <f>IF(SUMIFS(T_PlannedOrders[EffectiveQty],T_PlannedOrders[Part Name],$A383,T_PlannedOrders[WeekIndex],65)=0,"",SUMIFS(T_PlannedOrders[EffectiveQty],T_PlannedOrders[Part Name],$A383,T_PlannedOrders[WeekIndex],65)&amp;" ("&amp;TEXT(SUMPRODUCT(MAX((T_PlannedOrders[Part Name]=$A383)*(T_PlannedOrders[WeekIndex]=65)*(T_PlannedOrders[EffectiveQty]&gt;0)*T_PlannedOrders[Order_Month])),"m月")&amp;"発注)")</f>
        <v/>
      </c>
      <c r="BQ475">
        <f>IF(SUMIFS(T_PlannedOrders[EffectiveQty],T_PlannedOrders[Part Name],$A383,T_PlannedOrders[WeekIndex],66)=0,"",SUMIFS(T_PlannedOrders[EffectiveQty],T_PlannedOrders[Part Name],$A383,T_PlannedOrders[WeekIndex],66)&amp;" ("&amp;TEXT(SUMPRODUCT(MAX((T_PlannedOrders[Part Name]=$A383)*(T_PlannedOrders[WeekIndex]=66)*(T_PlannedOrders[EffectiveQty]&gt;0)*T_PlannedOrders[Order_Month])),"m月")&amp;"発注)")</f>
        <v/>
      </c>
      <c r="BR475">
        <f>IF(SUMIFS(T_PlannedOrders[EffectiveQty],T_PlannedOrders[Part Name],$A383,T_PlannedOrders[WeekIndex],67)=0,"",SUMIFS(T_PlannedOrders[EffectiveQty],T_PlannedOrders[Part Name],$A383,T_PlannedOrders[WeekIndex],67)&amp;" ("&amp;TEXT(SUMPRODUCT(MAX((T_PlannedOrders[Part Name]=$A383)*(T_PlannedOrders[WeekIndex]=67)*(T_PlannedOrders[EffectiveQty]&gt;0)*T_PlannedOrders[Order_Month])),"m月")&amp;"発注)")</f>
        <v/>
      </c>
      <c r="BS475">
        <f>IF(SUMIFS(T_PlannedOrders[EffectiveQty],T_PlannedOrders[Part Name],$A383,T_PlannedOrders[WeekIndex],68)=0,"",SUMIFS(T_PlannedOrders[EffectiveQty],T_PlannedOrders[Part Name],$A383,T_PlannedOrders[WeekIndex],68)&amp;" ("&amp;TEXT(SUMPRODUCT(MAX((T_PlannedOrders[Part Name]=$A383)*(T_PlannedOrders[WeekIndex]=68)*(T_PlannedOrders[EffectiveQty]&gt;0)*T_PlannedOrders[Order_Month])),"m月")&amp;"発注)")</f>
        <v/>
      </c>
      <c r="BT475">
        <f>IF(SUMIFS(T_PlannedOrders[EffectiveQty],T_PlannedOrders[Part Name],$A383,T_PlannedOrders[WeekIndex],69)=0,"",SUMIFS(T_PlannedOrders[EffectiveQty],T_PlannedOrders[Part Name],$A383,T_PlannedOrders[WeekIndex],69)&amp;" ("&amp;TEXT(SUMPRODUCT(MAX((T_PlannedOrders[Part Name]=$A383)*(T_PlannedOrders[WeekIndex]=69)*(T_PlannedOrders[EffectiveQty]&gt;0)*T_PlannedOrders[Order_Month])),"m月")&amp;"発注)")</f>
        <v/>
      </c>
      <c r="BU475">
        <f>IF(SUMIFS(T_PlannedOrders[EffectiveQty],T_PlannedOrders[Part Name],$A383,T_PlannedOrders[WeekIndex],70)=0,"",SUMIFS(T_PlannedOrders[EffectiveQty],T_PlannedOrders[Part Name],$A383,T_PlannedOrders[WeekIndex],70)&amp;" ("&amp;TEXT(SUMPRODUCT(MAX((T_PlannedOrders[Part Name]=$A383)*(T_PlannedOrders[WeekIndex]=70)*(T_PlannedOrders[EffectiveQty]&gt;0)*T_PlannedOrders[Order_Month])),"m月")&amp;"発注)")</f>
        <v/>
      </c>
      <c r="BV475">
        <f>IF(SUMIFS(T_PlannedOrders[EffectiveQty],T_PlannedOrders[Part Name],$A383,T_PlannedOrders[WeekIndex],71)=0,"",SUMIFS(T_PlannedOrders[EffectiveQty],T_PlannedOrders[Part Name],$A383,T_PlannedOrders[WeekIndex],71)&amp;" ("&amp;TEXT(SUMPRODUCT(MAX((T_PlannedOrders[Part Name]=$A383)*(T_PlannedOrders[WeekIndex]=71)*(T_PlannedOrders[EffectiveQty]&gt;0)*T_PlannedOrders[Order_Month])),"m月")&amp;"発注)")</f>
        <v/>
      </c>
      <c r="BW475">
        <f>IF(SUMIFS(T_PlannedOrders[EffectiveQty],T_PlannedOrders[Part Name],$A383,T_PlannedOrders[WeekIndex],72)=0,"",SUMIFS(T_PlannedOrders[EffectiveQty],T_PlannedOrders[Part Name],$A383,T_PlannedOrders[WeekIndex],72)&amp;" ("&amp;TEXT(SUMPRODUCT(MAX((T_PlannedOrders[Part Name]=$A383)*(T_PlannedOrders[WeekIndex]=72)*(T_PlannedOrders[EffectiveQty]&gt;0)*T_PlannedOrders[Order_Month])),"m月")&amp;"発注)")</f>
        <v/>
      </c>
      <c r="BX475">
        <f>IF(SUMIFS(T_PlannedOrders[EffectiveQty],T_PlannedOrders[Part Name],$A383,T_PlannedOrders[WeekIndex],73)=0,"",SUMIFS(T_PlannedOrders[EffectiveQty],T_PlannedOrders[Part Name],$A383,T_PlannedOrders[WeekIndex],73)&amp;" ("&amp;TEXT(SUMPRODUCT(MAX((T_PlannedOrders[Part Name]=$A383)*(T_PlannedOrders[WeekIndex]=73)*(T_PlannedOrders[EffectiveQty]&gt;0)*T_PlannedOrders[Order_Month])),"m月")&amp;"発注)")</f>
        <v/>
      </c>
      <c r="BY475">
        <f>IF(SUMIFS(T_PlannedOrders[EffectiveQty],T_PlannedOrders[Part Name],$A383,T_PlannedOrders[WeekIndex],74)=0,"",SUMIFS(T_PlannedOrders[EffectiveQty],T_PlannedOrders[Part Name],$A383,T_PlannedOrders[WeekIndex],74)&amp;" ("&amp;TEXT(SUMPRODUCT(MAX((T_PlannedOrders[Part Name]=$A383)*(T_PlannedOrders[WeekIndex]=74)*(T_PlannedOrders[EffectiveQty]&gt;0)*T_PlannedOrders[Order_Month])),"m月")&amp;"発注)")</f>
        <v/>
      </c>
      <c r="BZ475">
        <f>IF(SUMIFS(T_PlannedOrders[EffectiveQty],T_PlannedOrders[Part Name],$A383,T_PlannedOrders[WeekIndex],75)=0,"",SUMIFS(T_PlannedOrders[EffectiveQty],T_PlannedOrders[Part Name],$A383,T_PlannedOrders[WeekIndex],75)&amp;" ("&amp;TEXT(SUMPRODUCT(MAX((T_PlannedOrders[Part Name]=$A383)*(T_PlannedOrders[WeekIndex]=75)*(T_PlannedOrders[EffectiveQty]&gt;0)*T_PlannedOrders[Order_Month])),"m月")&amp;"発注)")</f>
        <v/>
      </c>
      <c r="CA475">
        <f>IF(SUMIFS(T_PlannedOrders[EffectiveQty],T_PlannedOrders[Part Name],$A383,T_PlannedOrders[WeekIndex],76)=0,"",SUMIFS(T_PlannedOrders[EffectiveQty],T_PlannedOrders[Part Name],$A383,T_PlannedOrders[WeekIndex],76)&amp;" ("&amp;TEXT(SUMPRODUCT(MAX((T_PlannedOrders[Part Name]=$A383)*(T_PlannedOrders[WeekIndex]=76)*(T_PlannedOrders[EffectiveQty]&gt;0)*T_PlannedOrders[Order_Month])),"m月")&amp;"発注)")</f>
        <v/>
      </c>
      <c r="CB475">
        <f>IF(SUMIFS(T_PlannedOrders[EffectiveQty],T_PlannedOrders[Part Name],$A383,T_PlannedOrders[WeekIndex],77)=0,"",SUMIFS(T_PlannedOrders[EffectiveQty],T_PlannedOrders[Part Name],$A383,T_PlannedOrders[WeekIndex],77)&amp;" ("&amp;TEXT(SUMPRODUCT(MAX((T_PlannedOrders[Part Name]=$A383)*(T_PlannedOrders[WeekIndex]=77)*(T_PlannedOrders[EffectiveQty]&gt;0)*T_PlannedOrders[Order_Month])),"m月")&amp;"発注)")</f>
        <v/>
      </c>
      <c r="CC475">
        <f>IF(SUMIFS(T_PlannedOrders[EffectiveQty],T_PlannedOrders[Part Name],$A383,T_PlannedOrders[WeekIndex],78)=0,"",SUMIFS(T_PlannedOrders[EffectiveQty],T_PlannedOrders[Part Name],$A383,T_PlannedOrders[WeekIndex],78)&amp;" ("&amp;TEXT(SUMPRODUCT(MAX((T_PlannedOrders[Part Name]=$A383)*(T_PlannedOrders[WeekIndex]=78)*(T_PlannedOrders[EffectiveQty]&gt;0)*T_PlannedOrders[Order_Month])),"m月")&amp;"発注)")</f>
        <v/>
      </c>
      <c r="CD475">
        <f>IF(SUMIFS(T_PlannedOrders[EffectiveQty],T_PlannedOrders[Part Name],$A383,T_PlannedOrders[WeekIndex],79)=0,"",SUMIFS(T_PlannedOrders[EffectiveQty],T_PlannedOrders[Part Name],$A383,T_PlannedOrders[WeekIndex],79)&amp;" ("&amp;TEXT(SUMPRODUCT(MAX((T_PlannedOrders[Part Name]=$A383)*(T_PlannedOrders[WeekIndex]=79)*(T_PlannedOrders[EffectiveQty]&gt;0)*T_PlannedOrders[Order_Month])),"m月")&amp;"発注)")</f>
        <v/>
      </c>
      <c r="CE475">
        <f>IF(SUMIFS(T_PlannedOrders[EffectiveQty],T_PlannedOrders[Part Name],$A383,T_PlannedOrders[WeekIndex],80)=0,"",SUMIFS(T_PlannedOrders[EffectiveQty],T_PlannedOrders[Part Name],$A383,T_PlannedOrders[WeekIndex],80)&amp;" ("&amp;TEXT(SUMPRODUCT(MAX((T_PlannedOrders[Part Name]=$A383)*(T_PlannedOrders[WeekIndex]=80)*(T_PlannedOrders[EffectiveQty]&gt;0)*T_PlannedOrders[Order_Month])),"m月")&amp;"発注)")</f>
        <v/>
      </c>
      <c r="CF475">
        <f>IF(SUMIFS(T_PlannedOrders[EffectiveQty],T_PlannedOrders[Part Name],$A383,T_PlannedOrders[WeekIndex],81)=0,"",SUMIFS(T_PlannedOrders[EffectiveQty],T_PlannedOrders[Part Name],$A383,T_PlannedOrders[WeekIndex],81)&amp;" ("&amp;TEXT(SUMPRODUCT(MAX((T_PlannedOrders[Part Name]=$A383)*(T_PlannedOrders[WeekIndex]=81)*(T_PlannedOrders[EffectiveQty]&gt;0)*T_PlannedOrders[Order_Month])),"m月")&amp;"発注)")</f>
        <v/>
      </c>
      <c r="CG475">
        <f>IF(SUMIFS(T_PlannedOrders[EffectiveQty],T_PlannedOrders[Part Name],$A383,T_PlannedOrders[WeekIndex],82)=0,"",SUMIFS(T_PlannedOrders[EffectiveQty],T_PlannedOrders[Part Name],$A383,T_PlannedOrders[WeekIndex],82)&amp;" ("&amp;TEXT(SUMPRODUCT(MAX((T_PlannedOrders[Part Name]=$A383)*(T_PlannedOrders[WeekIndex]=82)*(T_PlannedOrders[EffectiveQty]&gt;0)*T_PlannedOrders[Order_Month])),"m月")&amp;"発注)")</f>
        <v/>
      </c>
      <c r="CH475">
        <f>IF(SUMIFS(T_PlannedOrders[EffectiveQty],T_PlannedOrders[Part Name],$A383,T_PlannedOrders[WeekIndex],83)=0,"",SUMIFS(T_PlannedOrders[EffectiveQty],T_PlannedOrders[Part Name],$A383,T_PlannedOrders[WeekIndex],83)&amp;" ("&amp;TEXT(SUMPRODUCT(MAX((T_PlannedOrders[Part Name]=$A383)*(T_PlannedOrders[WeekIndex]=83)*(T_PlannedOrders[EffectiveQty]&gt;0)*T_PlannedOrders[Order_Month])),"m月")&amp;"発注)")</f>
        <v/>
      </c>
      <c r="CI475">
        <f>IF(SUMIFS(T_PlannedOrders[EffectiveQty],T_PlannedOrders[Part Name],$A383,T_PlannedOrders[WeekIndex],84)=0,"",SUMIFS(T_PlannedOrders[EffectiveQty],T_PlannedOrders[Part Name],$A383,T_PlannedOrders[WeekIndex],84)&amp;" ("&amp;TEXT(SUMPRODUCT(MAX((T_PlannedOrders[Part Name]=$A383)*(T_PlannedOrders[WeekIndex]=84)*(T_PlannedOrders[EffectiveQty]&gt;0)*T_PlannedOrders[Order_Month])),"m月")&amp;"発注)")</f>
        <v/>
      </c>
      <c r="CJ475">
        <f>IF(SUMIFS(T_PlannedOrders[EffectiveQty],T_PlannedOrders[Part Name],$A383,T_PlannedOrders[WeekIndex],85)=0,"",SUMIFS(T_PlannedOrders[EffectiveQty],T_PlannedOrders[Part Name],$A383,T_PlannedOrders[WeekIndex],85)&amp;" ("&amp;TEXT(SUMPRODUCT(MAX((T_PlannedOrders[Part Name]=$A383)*(T_PlannedOrders[WeekIndex]=85)*(T_PlannedOrders[EffectiveQty]&gt;0)*T_PlannedOrders[Order_Month])),"m月")&amp;"発注)")</f>
        <v/>
      </c>
      <c r="CK475">
        <f>IF(SUMIFS(T_PlannedOrders[EffectiveQty],T_PlannedOrders[Part Name],$A383,T_PlannedOrders[WeekIndex],86)=0,"",SUMIFS(T_PlannedOrders[EffectiveQty],T_PlannedOrders[Part Name],$A383,T_PlannedOrders[WeekIndex],86)&amp;" ("&amp;TEXT(SUMPRODUCT(MAX((T_PlannedOrders[Part Name]=$A383)*(T_PlannedOrders[WeekIndex]=86)*(T_PlannedOrders[EffectiveQty]&gt;0)*T_PlannedOrders[Order_Month])),"m月")&amp;"発注)")</f>
        <v/>
      </c>
      <c r="CL475">
        <f>IF(SUMIFS(T_PlannedOrders[EffectiveQty],T_PlannedOrders[Part Name],$A383,T_PlannedOrders[WeekIndex],87)=0,"",SUMIFS(T_PlannedOrders[EffectiveQty],T_PlannedOrders[Part Name],$A383,T_PlannedOrders[WeekIndex],87)&amp;" ("&amp;TEXT(SUMPRODUCT(MAX((T_PlannedOrders[Part Name]=$A383)*(T_PlannedOrders[WeekIndex]=87)*(T_PlannedOrders[EffectiveQty]&gt;0)*T_PlannedOrders[Order_Month])),"m月")&amp;"発注)")</f>
        <v/>
      </c>
      <c r="CM475">
        <f>IF(SUMIFS(T_PlannedOrders[EffectiveQty],T_PlannedOrders[Part Name],$A383,T_PlannedOrders[WeekIndex],88)=0,"",SUMIFS(T_PlannedOrders[EffectiveQty],T_PlannedOrders[Part Name],$A383,T_PlannedOrders[WeekIndex],88)&amp;" ("&amp;TEXT(SUMPRODUCT(MAX((T_PlannedOrders[Part Name]=$A383)*(T_PlannedOrders[WeekIndex]=88)*(T_PlannedOrders[EffectiveQty]&gt;0)*T_PlannedOrders[Order_Month])),"m月")&amp;"発注)")</f>
        <v/>
      </c>
      <c r="CN475">
        <f>IF(SUMIFS(T_PlannedOrders[EffectiveQty],T_PlannedOrders[Part Name],$A383,T_PlannedOrders[WeekIndex],89)=0,"",SUMIFS(T_PlannedOrders[EffectiveQty],T_PlannedOrders[Part Name],$A383,T_PlannedOrders[WeekIndex],89)&amp;" ("&amp;TEXT(SUMPRODUCT(MAX((T_PlannedOrders[Part Name]=$A383)*(T_PlannedOrders[WeekIndex]=89)*(T_PlannedOrders[EffectiveQty]&gt;0)*T_PlannedOrders[Order_Month])),"m月")&amp;"発注)")</f>
        <v/>
      </c>
      <c r="CO475">
        <f>IF(SUMIFS(T_PlannedOrders[EffectiveQty],T_PlannedOrders[Part Name],$A383,T_PlannedOrders[WeekIndex],90)=0,"",SUMIFS(T_PlannedOrders[EffectiveQty],T_PlannedOrders[Part Name],$A383,T_PlannedOrders[WeekIndex],90)&amp;" ("&amp;TEXT(SUMPRODUCT(MAX((T_PlannedOrders[Part Name]=$A383)*(T_PlannedOrders[WeekIndex]=90)*(T_PlannedOrders[EffectiveQty]&gt;0)*T_PlannedOrders[Order_Month])),"m月")&amp;"発注)")</f>
        <v/>
      </c>
      <c r="CP475">
        <f>IF(SUMIFS(T_PlannedOrders[EffectiveQty],T_PlannedOrders[Part Name],$A383,T_PlannedOrders[WeekIndex],91)=0,"",SUMIFS(T_PlannedOrders[EffectiveQty],T_PlannedOrders[Part Name],$A383,T_PlannedOrders[WeekIndex],91)&amp;" ("&amp;TEXT(SUMPRODUCT(MAX((T_PlannedOrders[Part Name]=$A383)*(T_PlannedOrders[WeekIndex]=91)*(T_PlannedOrders[EffectiveQty]&gt;0)*T_PlannedOrders[Order_Month])),"m月")&amp;"発注)")</f>
        <v/>
      </c>
      <c r="CQ475">
        <f>IF(SUMIFS(T_PlannedOrders[EffectiveQty],T_PlannedOrders[Part Name],$A383,T_PlannedOrders[WeekIndex],92)=0,"",SUMIFS(T_PlannedOrders[EffectiveQty],T_PlannedOrders[Part Name],$A383,T_PlannedOrders[WeekIndex],92)&amp;" ("&amp;TEXT(SUMPRODUCT(MAX((T_PlannedOrders[Part Name]=$A383)*(T_PlannedOrders[WeekIndex]=92)*(T_PlannedOrders[EffectiveQty]&gt;0)*T_PlannedOrders[Order_Month])),"m月")&amp;"発注)")</f>
        <v/>
      </c>
      <c r="CR475">
        <f>IF(SUMIFS(T_PlannedOrders[EffectiveQty],T_PlannedOrders[Part Name],$A383,T_PlannedOrders[WeekIndex],93)=0,"",SUMIFS(T_PlannedOrders[EffectiveQty],T_PlannedOrders[Part Name],$A383,T_PlannedOrders[WeekIndex],93)&amp;" ("&amp;TEXT(SUMPRODUCT(MAX((T_PlannedOrders[Part Name]=$A383)*(T_PlannedOrders[WeekIndex]=93)*(T_PlannedOrders[EffectiveQty]&gt;0)*T_PlannedOrders[Order_Month])),"m月")&amp;"発注)")</f>
        <v/>
      </c>
      <c r="CS475">
        <f>IF(SUMIFS(T_PlannedOrders[EffectiveQty],T_PlannedOrders[Part Name],$A383,T_PlannedOrders[WeekIndex],94)=0,"",SUMIFS(T_PlannedOrders[EffectiveQty],T_PlannedOrders[Part Name],$A383,T_PlannedOrders[WeekIndex],94)&amp;" ("&amp;TEXT(SUMPRODUCT(MAX((T_PlannedOrders[Part Name]=$A383)*(T_PlannedOrders[WeekIndex]=94)*(T_PlannedOrders[EffectiveQty]&gt;0)*T_PlannedOrders[Order_Month])),"m月")&amp;"発注)")</f>
        <v/>
      </c>
      <c r="CT475">
        <f>IF(SUMIFS(T_PlannedOrders[EffectiveQty],T_PlannedOrders[Part Name],$A383,T_PlannedOrders[WeekIndex],95)=0,"",SUMIFS(T_PlannedOrders[EffectiveQty],T_PlannedOrders[Part Name],$A383,T_PlannedOrders[WeekIndex],95)&amp;" ("&amp;TEXT(SUMPRODUCT(MAX((T_PlannedOrders[Part Name]=$A383)*(T_PlannedOrders[WeekIndex]=95)*(T_PlannedOrders[EffectiveQty]&gt;0)*T_PlannedOrders[Order_Month])),"m月")&amp;"発注)")</f>
        <v/>
      </c>
      <c r="CU475">
        <f>IF(SUMIFS(T_PlannedOrders[EffectiveQty],T_PlannedOrders[Part Name],$A383,T_PlannedOrders[WeekIndex],96)=0,"",SUMIFS(T_PlannedOrders[EffectiveQty],T_PlannedOrders[Part Name],$A383,T_PlannedOrders[WeekIndex],96)&amp;" ("&amp;TEXT(SUMPRODUCT(MAX((T_PlannedOrders[Part Name]=$A383)*(T_PlannedOrders[WeekIndex]=96)*(T_PlannedOrders[EffectiveQty]&gt;0)*T_PlannedOrders[Order_Month])),"m月")&amp;"発注)")</f>
        <v/>
      </c>
      <c r="CV475">
        <f>IF(SUMIFS(T_PlannedOrders[EffectiveQty],T_PlannedOrders[Part Name],$A383,T_PlannedOrders[WeekIndex],97)=0,"",SUMIFS(T_PlannedOrders[EffectiveQty],T_PlannedOrders[Part Name],$A383,T_PlannedOrders[WeekIndex],97)&amp;" ("&amp;TEXT(SUMPRODUCT(MAX((T_PlannedOrders[Part Name]=$A383)*(T_PlannedOrders[WeekIndex]=97)*(T_PlannedOrders[EffectiveQty]&gt;0)*T_PlannedOrders[Order_Month])),"m月")&amp;"発注)")</f>
        <v/>
      </c>
      <c r="CW475">
        <f>IF(SUMIFS(T_PlannedOrders[EffectiveQty],T_PlannedOrders[Part Name],$A383,T_PlannedOrders[WeekIndex],98)=0,"",SUMIFS(T_PlannedOrders[EffectiveQty],T_PlannedOrders[Part Name],$A383,T_PlannedOrders[WeekIndex],98)&amp;" ("&amp;TEXT(SUMPRODUCT(MAX((T_PlannedOrders[Part Name]=$A383)*(T_PlannedOrders[WeekIndex]=98)*(T_PlannedOrders[EffectiveQty]&gt;0)*T_PlannedOrders[Order_Month])),"m月")&amp;"発注)")</f>
        <v/>
      </c>
      <c r="CX475">
        <f>IF(SUMIFS(T_PlannedOrders[EffectiveQty],T_PlannedOrders[Part Name],$A383,T_PlannedOrders[WeekIndex],99)=0,"",SUMIFS(T_PlannedOrders[EffectiveQty],T_PlannedOrders[Part Name],$A383,T_PlannedOrders[WeekIndex],99)&amp;" ("&amp;TEXT(SUMPRODUCT(MAX((T_PlannedOrders[Part Name]=$A383)*(T_PlannedOrders[WeekIndex]=99)*(T_PlannedOrders[EffectiveQty]&gt;0)*T_PlannedOrders[Order_Month])),"m月")&amp;"発注)")</f>
        <v/>
      </c>
      <c r="CY475">
        <f>IF(SUMIFS(T_PlannedOrders[EffectiveQty],T_PlannedOrders[Part Name],$A383,T_PlannedOrders[WeekIndex],100)=0,"",SUMIFS(T_PlannedOrders[EffectiveQty],T_PlannedOrders[Part Name],$A383,T_PlannedOrders[WeekIndex],100)&amp;" ("&amp;TEXT(SUMPRODUCT(MAX((T_PlannedOrders[Part Name]=$A383)*(T_PlannedOrders[WeekIndex]=100)*(T_PlannedOrders[EffectiveQty]&gt;0)*T_PlannedOrders[Order_Month])),"m月")&amp;"発注)")</f>
        <v/>
      </c>
      <c r="CZ475">
        <f>IF(SUMIFS(T_PlannedOrders[EffectiveQty],T_PlannedOrders[Part Name],$A383,T_PlannedOrders[WeekIndex],101)=0,"",SUMIFS(T_PlannedOrders[EffectiveQty],T_PlannedOrders[Part Name],$A383,T_PlannedOrders[WeekIndex],101)&amp;" ("&amp;TEXT(SUMPRODUCT(MAX((T_PlannedOrders[Part Name]=$A383)*(T_PlannedOrders[WeekIndex]=101)*(T_PlannedOrders[EffectiveQty]&gt;0)*T_PlannedOrders[Order_Month])),"m月")&amp;"発注)")</f>
        <v/>
      </c>
      <c r="DA475">
        <f>IF(SUMIFS(T_PlannedOrders[EffectiveQty],T_PlannedOrders[Part Name],$A383,T_PlannedOrders[WeekIndex],102)=0,"",SUMIFS(T_PlannedOrders[EffectiveQty],T_PlannedOrders[Part Name],$A383,T_PlannedOrders[WeekIndex],102)&amp;" ("&amp;TEXT(SUMPRODUCT(MAX((T_PlannedOrders[Part Name]=$A383)*(T_PlannedOrders[WeekIndex]=102)*(T_PlannedOrders[EffectiveQty]&gt;0)*T_PlannedOrders[Order_Month])),"m月")&amp;"発注)")</f>
        <v/>
      </c>
      <c r="DB475">
        <f>IF(SUMIFS(T_PlannedOrders[EffectiveQty],T_PlannedOrders[Part Name],$A383,T_PlannedOrders[WeekIndex],103)=0,"",SUMIFS(T_PlannedOrders[EffectiveQty],T_PlannedOrders[Part Name],$A383,T_PlannedOrders[WeekIndex],103)&amp;" ("&amp;TEXT(SUMPRODUCT(MAX((T_PlannedOrders[Part Name]=$A383)*(T_PlannedOrders[WeekIndex]=103)*(T_PlannedOrders[EffectiveQty]&gt;0)*T_PlannedOrders[Order_Month])),"m月")&amp;"発注)")</f>
        <v/>
      </c>
      <c r="DC475">
        <f>IF(SUMIFS(T_PlannedOrders[EffectiveQty],T_PlannedOrders[Part Name],$A383,T_PlannedOrders[WeekIndex],104)=0,"",SUMIFS(T_PlannedOrders[EffectiveQty],T_PlannedOrders[Part Name],$A383,T_PlannedOrders[WeekIndex],104)&amp;" ("&amp;TEXT(SUMPRODUCT(MAX((T_PlannedOrders[Part Name]=$A383)*(T_PlannedOrders[WeekIndex]=104)*(T_PlannedOrders[EffectiveQty]&gt;0)*T_PlannedOrders[Order_Month])),"m月")&amp;"発注)")</f>
        <v/>
      </c>
    </row>
    <row r="476">
      <c r="B476" s="5" t="inlineStr">
        <is>
          <t>合計在庫(週末時点,kg)</t>
        </is>
      </c>
      <c r="D476">
        <f>'Grid_Stock'!B31</f>
        <v/>
      </c>
      <c r="E476">
        <f>'Grid_Stock'!C31</f>
        <v/>
      </c>
      <c r="F476">
        <f>'Grid_Stock'!D31</f>
        <v/>
      </c>
      <c r="G476">
        <f>'Grid_Stock'!E31</f>
        <v/>
      </c>
      <c r="H476">
        <f>'Grid_Stock'!F31</f>
        <v/>
      </c>
      <c r="I476">
        <f>'Grid_Stock'!G31</f>
        <v/>
      </c>
      <c r="J476">
        <f>'Grid_Stock'!H31</f>
        <v/>
      </c>
      <c r="K476">
        <f>'Grid_Stock'!I31</f>
        <v/>
      </c>
      <c r="L476">
        <f>'Grid_Stock'!J31</f>
        <v/>
      </c>
      <c r="M476">
        <f>'Grid_Stock'!K31</f>
        <v/>
      </c>
      <c r="N476">
        <f>'Grid_Stock'!L31</f>
        <v/>
      </c>
      <c r="O476">
        <f>'Grid_Stock'!M31</f>
        <v/>
      </c>
      <c r="P476">
        <f>'Grid_Stock'!N31</f>
        <v/>
      </c>
      <c r="Q476">
        <f>'Grid_Stock'!O31</f>
        <v/>
      </c>
      <c r="R476">
        <f>'Grid_Stock'!P31</f>
        <v/>
      </c>
      <c r="S476">
        <f>'Grid_Stock'!Q31</f>
        <v/>
      </c>
      <c r="T476">
        <f>'Grid_Stock'!R31</f>
        <v/>
      </c>
      <c r="U476">
        <f>'Grid_Stock'!S31</f>
        <v/>
      </c>
      <c r="V476">
        <f>'Grid_Stock'!T31</f>
        <v/>
      </c>
      <c r="W476">
        <f>'Grid_Stock'!U31</f>
        <v/>
      </c>
      <c r="X476">
        <f>'Grid_Stock'!V31</f>
        <v/>
      </c>
      <c r="Y476">
        <f>'Grid_Stock'!W31</f>
        <v/>
      </c>
      <c r="Z476">
        <f>'Grid_Stock'!X31</f>
        <v/>
      </c>
      <c r="AA476">
        <f>'Grid_Stock'!Y31</f>
        <v/>
      </c>
      <c r="AB476">
        <f>'Grid_Stock'!Z31</f>
        <v/>
      </c>
      <c r="AC476">
        <f>'Grid_Stock'!AA31</f>
        <v/>
      </c>
      <c r="AD476">
        <f>'Grid_Stock'!AB31</f>
        <v/>
      </c>
      <c r="AE476">
        <f>'Grid_Stock'!AC31</f>
        <v/>
      </c>
      <c r="AF476">
        <f>'Grid_Stock'!AD31</f>
        <v/>
      </c>
      <c r="AG476">
        <f>'Grid_Stock'!AE31</f>
        <v/>
      </c>
      <c r="AH476">
        <f>'Grid_Stock'!AF31</f>
        <v/>
      </c>
      <c r="AI476">
        <f>'Grid_Stock'!AG31</f>
        <v/>
      </c>
      <c r="AJ476">
        <f>'Grid_Stock'!AH31</f>
        <v/>
      </c>
      <c r="AK476">
        <f>'Grid_Stock'!AI31</f>
        <v/>
      </c>
      <c r="AL476">
        <f>'Grid_Stock'!AJ31</f>
        <v/>
      </c>
      <c r="AM476">
        <f>'Grid_Stock'!AK31</f>
        <v/>
      </c>
      <c r="AN476">
        <f>'Grid_Stock'!AL31</f>
        <v/>
      </c>
      <c r="AO476">
        <f>'Grid_Stock'!AM31</f>
        <v/>
      </c>
      <c r="AP476">
        <f>'Grid_Stock'!AN31</f>
        <v/>
      </c>
      <c r="AQ476">
        <f>'Grid_Stock'!AO31</f>
        <v/>
      </c>
      <c r="AR476">
        <f>'Grid_Stock'!AP31</f>
        <v/>
      </c>
      <c r="AS476">
        <f>'Grid_Stock'!AQ31</f>
        <v/>
      </c>
      <c r="AT476">
        <f>'Grid_Stock'!AR31</f>
        <v/>
      </c>
      <c r="AU476">
        <f>'Grid_Stock'!AS31</f>
        <v/>
      </c>
      <c r="AV476">
        <f>'Grid_Stock'!AT31</f>
        <v/>
      </c>
      <c r="AW476">
        <f>'Grid_Stock'!AU31</f>
        <v/>
      </c>
      <c r="AX476">
        <f>'Grid_Stock'!AV31</f>
        <v/>
      </c>
      <c r="AY476">
        <f>'Grid_Stock'!AW31</f>
        <v/>
      </c>
      <c r="AZ476">
        <f>'Grid_Stock'!AX31</f>
        <v/>
      </c>
      <c r="BA476">
        <f>'Grid_Stock'!AY31</f>
        <v/>
      </c>
      <c r="BB476">
        <f>'Grid_Stock'!AZ31</f>
        <v/>
      </c>
      <c r="BC476">
        <f>'Grid_Stock'!BA31</f>
        <v/>
      </c>
      <c r="BD476">
        <f>'Grid_Stock'!BB31</f>
        <v/>
      </c>
      <c r="BE476">
        <f>'Grid_Stock'!BC31</f>
        <v/>
      </c>
      <c r="BF476">
        <f>'Grid_Stock'!BD31</f>
        <v/>
      </c>
      <c r="BG476">
        <f>'Grid_Stock'!BE31</f>
        <v/>
      </c>
      <c r="BH476">
        <f>'Grid_Stock'!BF31</f>
        <v/>
      </c>
      <c r="BI476">
        <f>'Grid_Stock'!BG31</f>
        <v/>
      </c>
      <c r="BJ476">
        <f>'Grid_Stock'!BH31</f>
        <v/>
      </c>
      <c r="BK476">
        <f>'Grid_Stock'!BI31</f>
        <v/>
      </c>
      <c r="BL476">
        <f>'Grid_Stock'!BJ31</f>
        <v/>
      </c>
      <c r="BM476">
        <f>'Grid_Stock'!BK31</f>
        <v/>
      </c>
      <c r="BN476">
        <f>'Grid_Stock'!BL31</f>
        <v/>
      </c>
      <c r="BO476">
        <f>'Grid_Stock'!BM31</f>
        <v/>
      </c>
      <c r="BP476">
        <f>'Grid_Stock'!BN31</f>
        <v/>
      </c>
      <c r="BQ476">
        <f>'Grid_Stock'!BO31</f>
        <v/>
      </c>
      <c r="BR476">
        <f>'Grid_Stock'!BP31</f>
        <v/>
      </c>
      <c r="BS476">
        <f>'Grid_Stock'!BQ31</f>
        <v/>
      </c>
      <c r="BT476">
        <f>'Grid_Stock'!BR31</f>
        <v/>
      </c>
      <c r="BU476">
        <f>'Grid_Stock'!BS31</f>
        <v/>
      </c>
      <c r="BV476">
        <f>'Grid_Stock'!BT31</f>
        <v/>
      </c>
      <c r="BW476">
        <f>'Grid_Stock'!BU31</f>
        <v/>
      </c>
      <c r="BX476">
        <f>'Grid_Stock'!BV31</f>
        <v/>
      </c>
      <c r="BY476">
        <f>'Grid_Stock'!BW31</f>
        <v/>
      </c>
      <c r="BZ476">
        <f>'Grid_Stock'!BX31</f>
        <v/>
      </c>
      <c r="CA476">
        <f>'Grid_Stock'!BY31</f>
        <v/>
      </c>
      <c r="CB476">
        <f>'Grid_Stock'!BZ31</f>
        <v/>
      </c>
      <c r="CC476">
        <f>'Grid_Stock'!CA31</f>
        <v/>
      </c>
      <c r="CD476">
        <f>'Grid_Stock'!CB31</f>
        <v/>
      </c>
      <c r="CE476">
        <f>'Grid_Stock'!CC31</f>
        <v/>
      </c>
      <c r="CF476">
        <f>'Grid_Stock'!CD31</f>
        <v/>
      </c>
      <c r="CG476">
        <f>'Grid_Stock'!CE31</f>
        <v/>
      </c>
      <c r="CH476">
        <f>'Grid_Stock'!CF31</f>
        <v/>
      </c>
      <c r="CI476">
        <f>'Grid_Stock'!CG31</f>
        <v/>
      </c>
      <c r="CJ476">
        <f>'Grid_Stock'!CH31</f>
        <v/>
      </c>
      <c r="CK476">
        <f>'Grid_Stock'!CI31</f>
        <v/>
      </c>
      <c r="CL476">
        <f>'Grid_Stock'!CJ31</f>
        <v/>
      </c>
      <c r="CM476">
        <f>'Grid_Stock'!CK31</f>
        <v/>
      </c>
      <c r="CN476">
        <f>'Grid_Stock'!CL31</f>
        <v/>
      </c>
      <c r="CO476">
        <f>'Grid_Stock'!CM31</f>
        <v/>
      </c>
      <c r="CP476">
        <f>'Grid_Stock'!CN31</f>
        <v/>
      </c>
      <c r="CQ476">
        <f>'Grid_Stock'!CO31</f>
        <v/>
      </c>
      <c r="CR476">
        <f>'Grid_Stock'!CP31</f>
        <v/>
      </c>
      <c r="CS476">
        <f>'Grid_Stock'!CQ31</f>
        <v/>
      </c>
      <c r="CT476">
        <f>'Grid_Stock'!CR31</f>
        <v/>
      </c>
      <c r="CU476">
        <f>'Grid_Stock'!CS31</f>
        <v/>
      </c>
      <c r="CV476">
        <f>'Grid_Stock'!CT31</f>
        <v/>
      </c>
      <c r="CW476">
        <f>'Grid_Stock'!CU31</f>
        <v/>
      </c>
      <c r="CX476">
        <f>'Grid_Stock'!CV31</f>
        <v/>
      </c>
      <c r="CY476">
        <f>'Grid_Stock'!CW31</f>
        <v/>
      </c>
      <c r="CZ476">
        <f>'Grid_Stock'!CX31</f>
        <v/>
      </c>
      <c r="DA476">
        <f>'Grid_Stock'!CY31</f>
        <v/>
      </c>
      <c r="DB476">
        <f>'Grid_Stock'!CZ31</f>
        <v/>
      </c>
      <c r="DC476">
        <f>'Grid_Stock'!DA31</f>
        <v/>
      </c>
    </row>
    <row r="477">
      <c r="B477" s="23" t="inlineStr">
        <is>
          <t>（発注の目安はDashboardの基準在庫[下限/上限]と色分けを参照）</t>
        </is>
      </c>
    </row>
    <row r="479">
      <c r="A479" s="21" t="inlineStr">
        <is>
          <t>CHEM-1780</t>
        </is>
      </c>
      <c r="B479" s="21" t="inlineStr">
        <is>
          <t>Diammonium Citrate</t>
        </is>
      </c>
      <c r="C479" s="22" t="n"/>
      <c r="D479" s="21" t="n"/>
      <c r="E479" s="21" t="n"/>
      <c r="F479" s="21" t="n"/>
      <c r="G479" s="21" t="n"/>
      <c r="H479" s="2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  <c r="AA479" s="21" t="n"/>
      <c r="AB479" s="21" t="n"/>
      <c r="AC479" s="21" t="n"/>
      <c r="AD479" s="21" t="n"/>
      <c r="AE479" s="21" t="n"/>
      <c r="AF479" s="21" t="n"/>
      <c r="AG479" s="21" t="n"/>
      <c r="AH479" s="21" t="n"/>
      <c r="AI479" s="21" t="n"/>
      <c r="AJ479" s="21" t="n"/>
      <c r="AK479" s="21" t="n"/>
      <c r="AL479" s="21" t="n"/>
      <c r="AM479" s="21" t="n"/>
      <c r="AN479" s="21" t="n"/>
      <c r="AO479" s="21" t="n"/>
      <c r="AP479" s="21" t="n"/>
      <c r="AQ479" s="21" t="n"/>
      <c r="AR479" s="21" t="n"/>
      <c r="AS479" s="21" t="n"/>
      <c r="AT479" s="21" t="n"/>
      <c r="AU479" s="21" t="n"/>
      <c r="AV479" s="21" t="n"/>
      <c r="AW479" s="21" t="n"/>
      <c r="AX479" s="21" t="n"/>
      <c r="AY479" s="21" t="n"/>
      <c r="AZ479" s="21" t="n"/>
      <c r="BA479" s="21" t="n"/>
      <c r="BB479" s="21" t="n"/>
      <c r="BC479" s="21" t="n"/>
      <c r="BD479" s="21" t="n"/>
      <c r="BE479" s="21" t="n"/>
      <c r="BF479" s="21" t="n"/>
      <c r="BG479" s="21" t="n"/>
      <c r="BH479" s="21" t="n"/>
      <c r="BI479" s="21" t="n"/>
      <c r="BJ479" s="21" t="n"/>
      <c r="BK479" s="21" t="n"/>
      <c r="BL479" s="21" t="n"/>
      <c r="BM479" s="21" t="n"/>
      <c r="BN479" s="21" t="n"/>
      <c r="BO479" s="21" t="n"/>
      <c r="BP479" s="21" t="n"/>
      <c r="BQ479" s="21" t="n"/>
      <c r="BR479" s="21" t="n"/>
      <c r="BS479" s="21" t="n"/>
      <c r="BT479" s="21" t="n"/>
      <c r="BU479" s="21" t="n"/>
      <c r="BV479" s="21" t="n"/>
      <c r="BW479" s="21" t="n"/>
      <c r="BX479" s="21" t="n"/>
      <c r="BY479" s="21" t="n"/>
      <c r="BZ479" s="21" t="n"/>
      <c r="CA479" s="21" t="n"/>
      <c r="CB479" s="21" t="n"/>
      <c r="CC479" s="21" t="n"/>
      <c r="CD479" s="21" t="n"/>
      <c r="CE479" s="21" t="n"/>
      <c r="CF479" s="21" t="n"/>
      <c r="CG479" s="21" t="n"/>
      <c r="CH479" s="21" t="n"/>
      <c r="CI479" s="21" t="n"/>
      <c r="CJ479" s="21" t="n"/>
      <c r="CK479" s="21" t="n"/>
      <c r="CL479" s="21" t="n"/>
      <c r="CM479" s="21" t="n"/>
      <c r="CN479" s="21" t="n"/>
      <c r="CO479" s="21" t="n"/>
      <c r="CP479" s="21" t="n"/>
      <c r="CQ479" s="21" t="n"/>
      <c r="CR479" s="21" t="n"/>
      <c r="CS479" s="21" t="n"/>
      <c r="CT479" s="21" t="n"/>
      <c r="CU479" s="21" t="n"/>
      <c r="CV479" s="21" t="n"/>
      <c r="CW479" s="21" t="n"/>
      <c r="CX479" s="21" t="n"/>
      <c r="CY479" s="21" t="n"/>
      <c r="CZ479" s="21" t="n"/>
      <c r="DA479" s="21" t="n"/>
      <c r="DB479" s="21" t="n"/>
      <c r="DC479" s="21" t="n"/>
    </row>
    <row r="480">
      <c r="B480" t="inlineStr">
        <is>
          <t>TSP-1499</t>
        </is>
      </c>
      <c r="C480" t="inlineStr">
        <is>
          <t>No. of batches</t>
        </is>
      </c>
      <c r="D480">
        <f>IFERROR(INDEX(PP_Grid[#Data],$DD480,2),0)</f>
        <v/>
      </c>
      <c r="E480">
        <f>IFERROR(INDEX(PP_Grid[#Data],$DD480,3),0)</f>
        <v/>
      </c>
      <c r="F480">
        <f>IFERROR(INDEX(PP_Grid[#Data],$DD480,4),0)</f>
        <v/>
      </c>
      <c r="G480">
        <f>IFERROR(INDEX(PP_Grid[#Data],$DD480,5),0)</f>
        <v/>
      </c>
      <c r="H480">
        <f>IFERROR(INDEX(PP_Grid[#Data],$DD480,6),0)</f>
        <v/>
      </c>
      <c r="I480">
        <f>IFERROR(INDEX(PP_Grid[#Data],$DD480,7),0)</f>
        <v/>
      </c>
      <c r="J480">
        <f>IFERROR(INDEX(PP_Grid[#Data],$DD480,8),0)</f>
        <v/>
      </c>
      <c r="K480">
        <f>IFERROR(INDEX(PP_Grid[#Data],$DD480,9),0)</f>
        <v/>
      </c>
      <c r="L480">
        <f>IFERROR(INDEX(PP_Grid[#Data],$DD480,10),0)</f>
        <v/>
      </c>
      <c r="M480">
        <f>IFERROR(INDEX(PP_Grid[#Data],$DD480,11),0)</f>
        <v/>
      </c>
      <c r="N480">
        <f>IFERROR(INDEX(PP_Grid[#Data],$DD480,12),0)</f>
        <v/>
      </c>
      <c r="O480">
        <f>IFERROR(INDEX(PP_Grid[#Data],$DD480,13),0)</f>
        <v/>
      </c>
      <c r="P480">
        <f>IFERROR(INDEX(PP_Grid[#Data],$DD480,14),0)</f>
        <v/>
      </c>
      <c r="Q480">
        <f>IFERROR(INDEX(PP_Grid[#Data],$DD480,15),0)</f>
        <v/>
      </c>
      <c r="R480">
        <f>IFERROR(INDEX(PP_Grid[#Data],$DD480,16),0)</f>
        <v/>
      </c>
      <c r="S480">
        <f>IFERROR(INDEX(PP_Grid[#Data],$DD480,17),0)</f>
        <v/>
      </c>
      <c r="T480">
        <f>IFERROR(INDEX(PP_Grid[#Data],$DD480,18),0)</f>
        <v/>
      </c>
      <c r="U480">
        <f>IFERROR(INDEX(PP_Grid[#Data],$DD480,19),0)</f>
        <v/>
      </c>
      <c r="V480">
        <f>IFERROR(INDEX(PP_Grid[#Data],$DD480,20),0)</f>
        <v/>
      </c>
      <c r="W480">
        <f>IFERROR(INDEX(PP_Grid[#Data],$DD480,21),0)</f>
        <v/>
      </c>
      <c r="X480">
        <f>IFERROR(INDEX(PP_Grid[#Data],$DD480,22),0)</f>
        <v/>
      </c>
      <c r="Y480">
        <f>IFERROR(INDEX(PP_Grid[#Data],$DD480,23),0)</f>
        <v/>
      </c>
      <c r="Z480">
        <f>IFERROR(INDEX(PP_Grid[#Data],$DD480,24),0)</f>
        <v/>
      </c>
      <c r="AA480">
        <f>IFERROR(INDEX(PP_Grid[#Data],$DD480,25),0)</f>
        <v/>
      </c>
      <c r="AB480">
        <f>IFERROR(INDEX(PP_Grid[#Data],$DD480,26),0)</f>
        <v/>
      </c>
      <c r="AC480">
        <f>IFERROR(INDEX(PP_Grid[#Data],$DD480,27),0)</f>
        <v/>
      </c>
      <c r="AD480">
        <f>IFERROR(INDEX(PP_Grid[#Data],$DD480,28),0)</f>
        <v/>
      </c>
      <c r="AE480">
        <f>IFERROR(INDEX(PP_Grid[#Data],$DD480,29),0)</f>
        <v/>
      </c>
      <c r="AF480">
        <f>IFERROR(INDEX(PP_Grid[#Data],$DD480,30),0)</f>
        <v/>
      </c>
      <c r="AG480">
        <f>IFERROR(INDEX(PP_Grid[#Data],$DD480,31),0)</f>
        <v/>
      </c>
      <c r="AH480">
        <f>IFERROR(INDEX(PP_Grid[#Data],$DD480,32),0)</f>
        <v/>
      </c>
      <c r="AI480">
        <f>IFERROR(INDEX(PP_Grid[#Data],$DD480,33),0)</f>
        <v/>
      </c>
      <c r="AJ480">
        <f>IFERROR(INDEX(PP_Grid[#Data],$DD480,34),0)</f>
        <v/>
      </c>
      <c r="AK480">
        <f>IFERROR(INDEX(PP_Grid[#Data],$DD480,35),0)</f>
        <v/>
      </c>
      <c r="AL480">
        <f>IFERROR(INDEX(PP_Grid[#Data],$DD480,36),0)</f>
        <v/>
      </c>
      <c r="AM480">
        <f>IFERROR(INDEX(PP_Grid[#Data],$DD480,37),0)</f>
        <v/>
      </c>
      <c r="AN480">
        <f>IFERROR(INDEX(PP_Grid[#Data],$DD480,38),0)</f>
        <v/>
      </c>
      <c r="AO480">
        <f>IFERROR(INDEX(PP_Grid[#Data],$DD480,39),0)</f>
        <v/>
      </c>
      <c r="AP480">
        <f>IFERROR(INDEX(PP_Grid[#Data],$DD480,40),0)</f>
        <v/>
      </c>
      <c r="AQ480">
        <f>IFERROR(INDEX(PP_Grid[#Data],$DD480,41),0)</f>
        <v/>
      </c>
      <c r="AR480">
        <f>IFERROR(INDEX(PP_Grid[#Data],$DD480,42),0)</f>
        <v/>
      </c>
      <c r="AS480">
        <f>IFERROR(INDEX(PP_Grid[#Data],$DD480,43),0)</f>
        <v/>
      </c>
      <c r="AT480">
        <f>IFERROR(INDEX(PP_Grid[#Data],$DD480,44),0)</f>
        <v/>
      </c>
      <c r="AU480">
        <f>IFERROR(INDEX(PP_Grid[#Data],$DD480,45),0)</f>
        <v/>
      </c>
      <c r="AV480">
        <f>IFERROR(INDEX(PP_Grid[#Data],$DD480,46),0)</f>
        <v/>
      </c>
      <c r="AW480">
        <f>IFERROR(INDEX(PP_Grid[#Data],$DD480,47),0)</f>
        <v/>
      </c>
      <c r="AX480">
        <f>IFERROR(INDEX(PP_Grid[#Data],$DD480,48),0)</f>
        <v/>
      </c>
      <c r="AY480">
        <f>IFERROR(INDEX(PP_Grid[#Data],$DD480,49),0)</f>
        <v/>
      </c>
      <c r="AZ480">
        <f>IFERROR(INDEX(PP_Grid[#Data],$DD480,50),0)</f>
        <v/>
      </c>
      <c r="BA480">
        <f>IFERROR(INDEX(PP_Grid[#Data],$DD480,51),0)</f>
        <v/>
      </c>
      <c r="BB480">
        <f>IFERROR(INDEX(PP_Grid[#Data],$DD480,52),0)</f>
        <v/>
      </c>
      <c r="BC480">
        <f>IFERROR(INDEX(PP_Grid[#Data],$DD480,53),0)</f>
        <v/>
      </c>
      <c r="BD480">
        <f>IFERROR(INDEX(PP_Grid[#Data],$DD480,54),0)</f>
        <v/>
      </c>
      <c r="BE480">
        <f>IFERROR(INDEX(PP_Grid[#Data],$DD480,55),0)</f>
        <v/>
      </c>
      <c r="BF480">
        <f>IFERROR(INDEX(PP_Grid[#Data],$DD480,56),0)</f>
        <v/>
      </c>
      <c r="BG480">
        <f>IFERROR(INDEX(PP_Grid[#Data],$DD480,57),0)</f>
        <v/>
      </c>
      <c r="BH480">
        <f>IFERROR(INDEX(PP_Grid[#Data],$DD480,58),0)</f>
        <v/>
      </c>
      <c r="BI480">
        <f>IFERROR(INDEX(PP_Grid[#Data],$DD480,59),0)</f>
        <v/>
      </c>
      <c r="BJ480">
        <f>IFERROR(INDEX(PP_Grid[#Data],$DD480,60),0)</f>
        <v/>
      </c>
      <c r="BK480">
        <f>IFERROR(INDEX(PP_Grid[#Data],$DD480,61),0)</f>
        <v/>
      </c>
      <c r="BL480">
        <f>IFERROR(INDEX(PP_Grid[#Data],$DD480,62),0)</f>
        <v/>
      </c>
      <c r="BM480">
        <f>IFERROR(INDEX(PP_Grid[#Data],$DD480,63),0)</f>
        <v/>
      </c>
      <c r="BN480">
        <f>IFERROR(INDEX(PP_Grid[#Data],$DD480,64),0)</f>
        <v/>
      </c>
      <c r="BO480">
        <f>IFERROR(INDEX(PP_Grid[#Data],$DD480,65),0)</f>
        <v/>
      </c>
      <c r="BP480">
        <f>IFERROR(INDEX(PP_Grid[#Data],$DD480,66),0)</f>
        <v/>
      </c>
      <c r="BQ480">
        <f>IFERROR(INDEX(PP_Grid[#Data],$DD480,67),0)</f>
        <v/>
      </c>
      <c r="BR480">
        <f>IFERROR(INDEX(PP_Grid[#Data],$DD480,68),0)</f>
        <v/>
      </c>
      <c r="BS480">
        <f>IFERROR(INDEX(PP_Grid[#Data],$DD480,69),0)</f>
        <v/>
      </c>
      <c r="BT480">
        <f>IFERROR(INDEX(PP_Grid[#Data],$DD480,70),0)</f>
        <v/>
      </c>
      <c r="BU480">
        <f>IFERROR(INDEX(PP_Grid[#Data],$DD480,71),0)</f>
        <v/>
      </c>
      <c r="BV480">
        <f>IFERROR(INDEX(PP_Grid[#Data],$DD480,72),0)</f>
        <v/>
      </c>
      <c r="BW480">
        <f>IFERROR(INDEX(PP_Grid[#Data],$DD480,73),0)</f>
        <v/>
      </c>
      <c r="BX480">
        <f>IFERROR(INDEX(PP_Grid[#Data],$DD480,74),0)</f>
        <v/>
      </c>
      <c r="BY480">
        <f>IFERROR(INDEX(PP_Grid[#Data],$DD480,75),0)</f>
        <v/>
      </c>
      <c r="BZ480">
        <f>IFERROR(INDEX(PP_Grid[#Data],$DD480,76),0)</f>
        <v/>
      </c>
      <c r="CA480">
        <f>IFERROR(INDEX(PP_Grid[#Data],$DD480,77),0)</f>
        <v/>
      </c>
      <c r="CB480">
        <f>IFERROR(INDEX(PP_Grid[#Data],$DD480,78),0)</f>
        <v/>
      </c>
      <c r="CC480">
        <f>IFERROR(INDEX(PP_Grid[#Data],$DD480,79),0)</f>
        <v/>
      </c>
      <c r="CD480">
        <f>IFERROR(INDEX(PP_Grid[#Data],$DD480,80),0)</f>
        <v/>
      </c>
      <c r="CE480">
        <f>IFERROR(INDEX(PP_Grid[#Data],$DD480,81),0)</f>
        <v/>
      </c>
      <c r="CF480">
        <f>IFERROR(INDEX(PP_Grid[#Data],$DD480,82),0)</f>
        <v/>
      </c>
      <c r="CG480">
        <f>IFERROR(INDEX(PP_Grid[#Data],$DD480,83),0)</f>
        <v/>
      </c>
      <c r="CH480">
        <f>IFERROR(INDEX(PP_Grid[#Data],$DD480,84),0)</f>
        <v/>
      </c>
      <c r="CI480">
        <f>IFERROR(INDEX(PP_Grid[#Data],$DD480,85),0)</f>
        <v/>
      </c>
      <c r="CJ480">
        <f>IFERROR(INDEX(PP_Grid[#Data],$DD480,86),0)</f>
        <v/>
      </c>
      <c r="CK480">
        <f>IFERROR(INDEX(PP_Grid[#Data],$DD480,87),0)</f>
        <v/>
      </c>
      <c r="CL480">
        <f>IFERROR(INDEX(PP_Grid[#Data],$DD480,88),0)</f>
        <v/>
      </c>
      <c r="CM480">
        <f>IFERROR(INDEX(PP_Grid[#Data],$DD480,89),0)</f>
        <v/>
      </c>
      <c r="CN480">
        <f>IFERROR(INDEX(PP_Grid[#Data],$DD480,90),0)</f>
        <v/>
      </c>
      <c r="CO480">
        <f>IFERROR(INDEX(PP_Grid[#Data],$DD480,91),0)</f>
        <v/>
      </c>
      <c r="CP480">
        <f>IFERROR(INDEX(PP_Grid[#Data],$DD480,92),0)</f>
        <v/>
      </c>
      <c r="CQ480">
        <f>IFERROR(INDEX(PP_Grid[#Data],$DD480,93),0)</f>
        <v/>
      </c>
      <c r="CR480">
        <f>IFERROR(INDEX(PP_Grid[#Data],$DD480,94),0)</f>
        <v/>
      </c>
      <c r="CS480">
        <f>IFERROR(INDEX(PP_Grid[#Data],$DD480,95),0)</f>
        <v/>
      </c>
      <c r="CT480">
        <f>IFERROR(INDEX(PP_Grid[#Data],$DD480,96),0)</f>
        <v/>
      </c>
      <c r="CU480">
        <f>IFERROR(INDEX(PP_Grid[#Data],$DD480,97),0)</f>
        <v/>
      </c>
      <c r="CV480">
        <f>IFERROR(INDEX(PP_Grid[#Data],$DD480,98),0)</f>
        <v/>
      </c>
      <c r="CW480">
        <f>IFERROR(INDEX(PP_Grid[#Data],$DD480,99),0)</f>
        <v/>
      </c>
      <c r="CX480">
        <f>IFERROR(INDEX(PP_Grid[#Data],$DD480,100),0)</f>
        <v/>
      </c>
      <c r="CY480">
        <f>IFERROR(INDEX(PP_Grid[#Data],$DD480,101),0)</f>
        <v/>
      </c>
      <c r="CZ480">
        <f>IFERROR(INDEX(PP_Grid[#Data],$DD480,102),0)</f>
        <v/>
      </c>
      <c r="DA480">
        <f>IFERROR(INDEX(PP_Grid[#Data],$DD480,103),0)</f>
        <v/>
      </c>
      <c r="DB480">
        <f>IFERROR(INDEX(PP_Grid[#Data],$DD480,104),0)</f>
        <v/>
      </c>
      <c r="DC480">
        <f>IFERROR(INDEX(PP_Grid[#Data],$DD480,105),0)</f>
        <v/>
      </c>
      <c r="DD480" s="12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SUMIFS(M_BOM[RM_Qty_Per_Batch],M_BOM[Intermediate],$B480,M_BOM[Part Name],$A479)</f>
        <v/>
      </c>
      <c r="D481">
        <f>$C481*D480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</row>
    <row r="482">
      <c r="B482" t="inlineStr">
        <is>
          <t>TSP-1555</t>
        </is>
      </c>
      <c r="C482" t="inlineStr">
        <is>
          <t>No. of batches</t>
        </is>
      </c>
      <c r="D482">
        <f>IFERROR(INDEX(PP_Grid[#Data],$DD482,2),0)</f>
        <v/>
      </c>
      <c r="E482">
        <f>IFERROR(INDEX(PP_Grid[#Data],$DD482,3),0)</f>
        <v/>
      </c>
      <c r="F482">
        <f>IFERROR(INDEX(PP_Grid[#Data],$DD482,4),0)</f>
        <v/>
      </c>
      <c r="G482">
        <f>IFERROR(INDEX(PP_Grid[#Data],$DD482,5),0)</f>
        <v/>
      </c>
      <c r="H482">
        <f>IFERROR(INDEX(PP_Grid[#Data],$DD482,6),0)</f>
        <v/>
      </c>
      <c r="I482">
        <f>IFERROR(INDEX(PP_Grid[#Data],$DD482,7),0)</f>
        <v/>
      </c>
      <c r="J482">
        <f>IFERROR(INDEX(PP_Grid[#Data],$DD482,8),0)</f>
        <v/>
      </c>
      <c r="K482">
        <f>IFERROR(INDEX(PP_Grid[#Data],$DD482,9),0)</f>
        <v/>
      </c>
      <c r="L482">
        <f>IFERROR(INDEX(PP_Grid[#Data],$DD482,10),0)</f>
        <v/>
      </c>
      <c r="M482">
        <f>IFERROR(INDEX(PP_Grid[#Data],$DD482,11),0)</f>
        <v/>
      </c>
      <c r="N482">
        <f>IFERROR(INDEX(PP_Grid[#Data],$DD482,12),0)</f>
        <v/>
      </c>
      <c r="O482">
        <f>IFERROR(INDEX(PP_Grid[#Data],$DD482,13),0)</f>
        <v/>
      </c>
      <c r="P482">
        <f>IFERROR(INDEX(PP_Grid[#Data],$DD482,14),0)</f>
        <v/>
      </c>
      <c r="Q482">
        <f>IFERROR(INDEX(PP_Grid[#Data],$DD482,15),0)</f>
        <v/>
      </c>
      <c r="R482">
        <f>IFERROR(INDEX(PP_Grid[#Data],$DD482,16),0)</f>
        <v/>
      </c>
      <c r="S482">
        <f>IFERROR(INDEX(PP_Grid[#Data],$DD482,17),0)</f>
        <v/>
      </c>
      <c r="T482">
        <f>IFERROR(INDEX(PP_Grid[#Data],$DD482,18),0)</f>
        <v/>
      </c>
      <c r="U482">
        <f>IFERROR(INDEX(PP_Grid[#Data],$DD482,19),0)</f>
        <v/>
      </c>
      <c r="V482">
        <f>IFERROR(INDEX(PP_Grid[#Data],$DD482,20),0)</f>
        <v/>
      </c>
      <c r="W482">
        <f>IFERROR(INDEX(PP_Grid[#Data],$DD482,21),0)</f>
        <v/>
      </c>
      <c r="X482">
        <f>IFERROR(INDEX(PP_Grid[#Data],$DD482,22),0)</f>
        <v/>
      </c>
      <c r="Y482">
        <f>IFERROR(INDEX(PP_Grid[#Data],$DD482,23),0)</f>
        <v/>
      </c>
      <c r="Z482">
        <f>IFERROR(INDEX(PP_Grid[#Data],$DD482,24),0)</f>
        <v/>
      </c>
      <c r="AA482">
        <f>IFERROR(INDEX(PP_Grid[#Data],$DD482,25),0)</f>
        <v/>
      </c>
      <c r="AB482">
        <f>IFERROR(INDEX(PP_Grid[#Data],$DD482,26),0)</f>
        <v/>
      </c>
      <c r="AC482">
        <f>IFERROR(INDEX(PP_Grid[#Data],$DD482,27),0)</f>
        <v/>
      </c>
      <c r="AD482">
        <f>IFERROR(INDEX(PP_Grid[#Data],$DD482,28),0)</f>
        <v/>
      </c>
      <c r="AE482">
        <f>IFERROR(INDEX(PP_Grid[#Data],$DD482,29),0)</f>
        <v/>
      </c>
      <c r="AF482">
        <f>IFERROR(INDEX(PP_Grid[#Data],$DD482,30),0)</f>
        <v/>
      </c>
      <c r="AG482">
        <f>IFERROR(INDEX(PP_Grid[#Data],$DD482,31),0)</f>
        <v/>
      </c>
      <c r="AH482">
        <f>IFERROR(INDEX(PP_Grid[#Data],$DD482,32),0)</f>
        <v/>
      </c>
      <c r="AI482">
        <f>IFERROR(INDEX(PP_Grid[#Data],$DD482,33),0)</f>
        <v/>
      </c>
      <c r="AJ482">
        <f>IFERROR(INDEX(PP_Grid[#Data],$DD482,34),0)</f>
        <v/>
      </c>
      <c r="AK482">
        <f>IFERROR(INDEX(PP_Grid[#Data],$DD482,35),0)</f>
        <v/>
      </c>
      <c r="AL482">
        <f>IFERROR(INDEX(PP_Grid[#Data],$DD482,36),0)</f>
        <v/>
      </c>
      <c r="AM482">
        <f>IFERROR(INDEX(PP_Grid[#Data],$DD482,37),0)</f>
        <v/>
      </c>
      <c r="AN482">
        <f>IFERROR(INDEX(PP_Grid[#Data],$DD482,38),0)</f>
        <v/>
      </c>
      <c r="AO482">
        <f>IFERROR(INDEX(PP_Grid[#Data],$DD482,39),0)</f>
        <v/>
      </c>
      <c r="AP482">
        <f>IFERROR(INDEX(PP_Grid[#Data],$DD482,40),0)</f>
        <v/>
      </c>
      <c r="AQ482">
        <f>IFERROR(INDEX(PP_Grid[#Data],$DD482,41),0)</f>
        <v/>
      </c>
      <c r="AR482">
        <f>IFERROR(INDEX(PP_Grid[#Data],$DD482,42),0)</f>
        <v/>
      </c>
      <c r="AS482">
        <f>IFERROR(INDEX(PP_Grid[#Data],$DD482,43),0)</f>
        <v/>
      </c>
      <c r="AT482">
        <f>IFERROR(INDEX(PP_Grid[#Data],$DD482,44),0)</f>
        <v/>
      </c>
      <c r="AU482">
        <f>IFERROR(INDEX(PP_Grid[#Data],$DD482,45),0)</f>
        <v/>
      </c>
      <c r="AV482">
        <f>IFERROR(INDEX(PP_Grid[#Data],$DD482,46),0)</f>
        <v/>
      </c>
      <c r="AW482">
        <f>IFERROR(INDEX(PP_Grid[#Data],$DD482,47),0)</f>
        <v/>
      </c>
      <c r="AX482">
        <f>IFERROR(INDEX(PP_Grid[#Data],$DD482,48),0)</f>
        <v/>
      </c>
      <c r="AY482">
        <f>IFERROR(INDEX(PP_Grid[#Data],$DD482,49),0)</f>
        <v/>
      </c>
      <c r="AZ482">
        <f>IFERROR(INDEX(PP_Grid[#Data],$DD482,50),0)</f>
        <v/>
      </c>
      <c r="BA482">
        <f>IFERROR(INDEX(PP_Grid[#Data],$DD482,51),0)</f>
        <v/>
      </c>
      <c r="BB482">
        <f>IFERROR(INDEX(PP_Grid[#Data],$DD482,52),0)</f>
        <v/>
      </c>
      <c r="BC482">
        <f>IFERROR(INDEX(PP_Grid[#Data],$DD482,53),0)</f>
        <v/>
      </c>
      <c r="BD482">
        <f>IFERROR(INDEX(PP_Grid[#Data],$DD482,54),0)</f>
        <v/>
      </c>
      <c r="BE482">
        <f>IFERROR(INDEX(PP_Grid[#Data],$DD482,55),0)</f>
        <v/>
      </c>
      <c r="BF482">
        <f>IFERROR(INDEX(PP_Grid[#Data],$DD482,56),0)</f>
        <v/>
      </c>
      <c r="BG482">
        <f>IFERROR(INDEX(PP_Grid[#Data],$DD482,57),0)</f>
        <v/>
      </c>
      <c r="BH482">
        <f>IFERROR(INDEX(PP_Grid[#Data],$DD482,58),0)</f>
        <v/>
      </c>
      <c r="BI482">
        <f>IFERROR(INDEX(PP_Grid[#Data],$DD482,59),0)</f>
        <v/>
      </c>
      <c r="BJ482">
        <f>IFERROR(INDEX(PP_Grid[#Data],$DD482,60),0)</f>
        <v/>
      </c>
      <c r="BK482">
        <f>IFERROR(INDEX(PP_Grid[#Data],$DD482,61),0)</f>
        <v/>
      </c>
      <c r="BL482">
        <f>IFERROR(INDEX(PP_Grid[#Data],$DD482,62),0)</f>
        <v/>
      </c>
      <c r="BM482">
        <f>IFERROR(INDEX(PP_Grid[#Data],$DD482,63),0)</f>
        <v/>
      </c>
      <c r="BN482">
        <f>IFERROR(INDEX(PP_Grid[#Data],$DD482,64),0)</f>
        <v/>
      </c>
      <c r="BO482">
        <f>IFERROR(INDEX(PP_Grid[#Data],$DD482,65),0)</f>
        <v/>
      </c>
      <c r="BP482">
        <f>IFERROR(INDEX(PP_Grid[#Data],$DD482,66),0)</f>
        <v/>
      </c>
      <c r="BQ482">
        <f>IFERROR(INDEX(PP_Grid[#Data],$DD482,67),0)</f>
        <v/>
      </c>
      <c r="BR482">
        <f>IFERROR(INDEX(PP_Grid[#Data],$DD482,68),0)</f>
        <v/>
      </c>
      <c r="BS482">
        <f>IFERROR(INDEX(PP_Grid[#Data],$DD482,69),0)</f>
        <v/>
      </c>
      <c r="BT482">
        <f>IFERROR(INDEX(PP_Grid[#Data],$DD482,70),0)</f>
        <v/>
      </c>
      <c r="BU482">
        <f>IFERROR(INDEX(PP_Grid[#Data],$DD482,71),0)</f>
        <v/>
      </c>
      <c r="BV482">
        <f>IFERROR(INDEX(PP_Grid[#Data],$DD482,72),0)</f>
        <v/>
      </c>
      <c r="BW482">
        <f>IFERROR(INDEX(PP_Grid[#Data],$DD482,73),0)</f>
        <v/>
      </c>
      <c r="BX482">
        <f>IFERROR(INDEX(PP_Grid[#Data],$DD482,74),0)</f>
        <v/>
      </c>
      <c r="BY482">
        <f>IFERROR(INDEX(PP_Grid[#Data],$DD482,75),0)</f>
        <v/>
      </c>
      <c r="BZ482">
        <f>IFERROR(INDEX(PP_Grid[#Data],$DD482,76),0)</f>
        <v/>
      </c>
      <c r="CA482">
        <f>IFERROR(INDEX(PP_Grid[#Data],$DD482,77),0)</f>
        <v/>
      </c>
      <c r="CB482">
        <f>IFERROR(INDEX(PP_Grid[#Data],$DD482,78),0)</f>
        <v/>
      </c>
      <c r="CC482">
        <f>IFERROR(INDEX(PP_Grid[#Data],$DD482,79),0)</f>
        <v/>
      </c>
      <c r="CD482">
        <f>IFERROR(INDEX(PP_Grid[#Data],$DD482,80),0)</f>
        <v/>
      </c>
      <c r="CE482">
        <f>IFERROR(INDEX(PP_Grid[#Data],$DD482,81),0)</f>
        <v/>
      </c>
      <c r="CF482">
        <f>IFERROR(INDEX(PP_Grid[#Data],$DD482,82),0)</f>
        <v/>
      </c>
      <c r="CG482">
        <f>IFERROR(INDEX(PP_Grid[#Data],$DD482,83),0)</f>
        <v/>
      </c>
      <c r="CH482">
        <f>IFERROR(INDEX(PP_Grid[#Data],$DD482,84),0)</f>
        <v/>
      </c>
      <c r="CI482">
        <f>IFERROR(INDEX(PP_Grid[#Data],$DD482,85),0)</f>
        <v/>
      </c>
      <c r="CJ482">
        <f>IFERROR(INDEX(PP_Grid[#Data],$DD482,86),0)</f>
        <v/>
      </c>
      <c r="CK482">
        <f>IFERROR(INDEX(PP_Grid[#Data],$DD482,87),0)</f>
        <v/>
      </c>
      <c r="CL482">
        <f>IFERROR(INDEX(PP_Grid[#Data],$DD482,88),0)</f>
        <v/>
      </c>
      <c r="CM482">
        <f>IFERROR(INDEX(PP_Grid[#Data],$DD482,89),0)</f>
        <v/>
      </c>
      <c r="CN482">
        <f>IFERROR(INDEX(PP_Grid[#Data],$DD482,90),0)</f>
        <v/>
      </c>
      <c r="CO482">
        <f>IFERROR(INDEX(PP_Grid[#Data],$DD482,91),0)</f>
        <v/>
      </c>
      <c r="CP482">
        <f>IFERROR(INDEX(PP_Grid[#Data],$DD482,92),0)</f>
        <v/>
      </c>
      <c r="CQ482">
        <f>IFERROR(INDEX(PP_Grid[#Data],$DD482,93),0)</f>
        <v/>
      </c>
      <c r="CR482">
        <f>IFERROR(INDEX(PP_Grid[#Data],$DD482,94),0)</f>
        <v/>
      </c>
      <c r="CS482">
        <f>IFERROR(INDEX(PP_Grid[#Data],$DD482,95),0)</f>
        <v/>
      </c>
      <c r="CT482">
        <f>IFERROR(INDEX(PP_Grid[#Data],$DD482,96),0)</f>
        <v/>
      </c>
      <c r="CU482">
        <f>IFERROR(INDEX(PP_Grid[#Data],$DD482,97),0)</f>
        <v/>
      </c>
      <c r="CV482">
        <f>IFERROR(INDEX(PP_Grid[#Data],$DD482,98),0)</f>
        <v/>
      </c>
      <c r="CW482">
        <f>IFERROR(INDEX(PP_Grid[#Data],$DD482,99),0)</f>
        <v/>
      </c>
      <c r="CX482">
        <f>IFERROR(INDEX(PP_Grid[#Data],$DD482,100),0)</f>
        <v/>
      </c>
      <c r="CY482">
        <f>IFERROR(INDEX(PP_Grid[#Data],$DD482,101),0)</f>
        <v/>
      </c>
      <c r="CZ482">
        <f>IFERROR(INDEX(PP_Grid[#Data],$DD482,102),0)</f>
        <v/>
      </c>
      <c r="DA482">
        <f>IFERROR(INDEX(PP_Grid[#Data],$DD482,103),0)</f>
        <v/>
      </c>
      <c r="DB482">
        <f>IFERROR(INDEX(PP_Grid[#Data],$DD482,104),0)</f>
        <v/>
      </c>
      <c r="DC482">
        <f>IFERROR(INDEX(PP_Grid[#Data],$DD482,105),0)</f>
        <v/>
      </c>
      <c r="DD482" s="12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SUMIFS(M_BOM[RM_Qty_Per_Batch],M_BOM[Intermediate],$B482,M_BOM[Part Name],$A479)</f>
        <v/>
      </c>
      <c r="D483">
        <f>$C483*D482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</row>
    <row r="484">
      <c r="B484" t="inlineStr">
        <is>
          <t>TSP-903</t>
        </is>
      </c>
      <c r="C484" t="inlineStr">
        <is>
          <t>No. of batches</t>
        </is>
      </c>
      <c r="D484">
        <f>IFERROR(INDEX(PP_Grid[#Data],$DD484,2),0)</f>
        <v/>
      </c>
      <c r="E484">
        <f>IFERROR(INDEX(PP_Grid[#Data],$DD484,3),0)</f>
        <v/>
      </c>
      <c r="F484">
        <f>IFERROR(INDEX(PP_Grid[#Data],$DD484,4),0)</f>
        <v/>
      </c>
      <c r="G484">
        <f>IFERROR(INDEX(PP_Grid[#Data],$DD484,5),0)</f>
        <v/>
      </c>
      <c r="H484">
        <f>IFERROR(INDEX(PP_Grid[#Data],$DD484,6),0)</f>
        <v/>
      </c>
      <c r="I484">
        <f>IFERROR(INDEX(PP_Grid[#Data],$DD484,7),0)</f>
        <v/>
      </c>
      <c r="J484">
        <f>IFERROR(INDEX(PP_Grid[#Data],$DD484,8),0)</f>
        <v/>
      </c>
      <c r="K484">
        <f>IFERROR(INDEX(PP_Grid[#Data],$DD484,9),0)</f>
        <v/>
      </c>
      <c r="L484">
        <f>IFERROR(INDEX(PP_Grid[#Data],$DD484,10),0)</f>
        <v/>
      </c>
      <c r="M484">
        <f>IFERROR(INDEX(PP_Grid[#Data],$DD484,11),0)</f>
        <v/>
      </c>
      <c r="N484">
        <f>IFERROR(INDEX(PP_Grid[#Data],$DD484,12),0)</f>
        <v/>
      </c>
      <c r="O484">
        <f>IFERROR(INDEX(PP_Grid[#Data],$DD484,13),0)</f>
        <v/>
      </c>
      <c r="P484">
        <f>IFERROR(INDEX(PP_Grid[#Data],$DD484,14),0)</f>
        <v/>
      </c>
      <c r="Q484">
        <f>IFERROR(INDEX(PP_Grid[#Data],$DD484,15),0)</f>
        <v/>
      </c>
      <c r="R484">
        <f>IFERROR(INDEX(PP_Grid[#Data],$DD484,16),0)</f>
        <v/>
      </c>
      <c r="S484">
        <f>IFERROR(INDEX(PP_Grid[#Data],$DD484,17),0)</f>
        <v/>
      </c>
      <c r="T484">
        <f>IFERROR(INDEX(PP_Grid[#Data],$DD484,18),0)</f>
        <v/>
      </c>
      <c r="U484">
        <f>IFERROR(INDEX(PP_Grid[#Data],$DD484,19),0)</f>
        <v/>
      </c>
      <c r="V484">
        <f>IFERROR(INDEX(PP_Grid[#Data],$DD484,20),0)</f>
        <v/>
      </c>
      <c r="W484">
        <f>IFERROR(INDEX(PP_Grid[#Data],$DD484,21),0)</f>
        <v/>
      </c>
      <c r="X484">
        <f>IFERROR(INDEX(PP_Grid[#Data],$DD484,22),0)</f>
        <v/>
      </c>
      <c r="Y484">
        <f>IFERROR(INDEX(PP_Grid[#Data],$DD484,23),0)</f>
        <v/>
      </c>
      <c r="Z484">
        <f>IFERROR(INDEX(PP_Grid[#Data],$DD484,24),0)</f>
        <v/>
      </c>
      <c r="AA484">
        <f>IFERROR(INDEX(PP_Grid[#Data],$DD484,25),0)</f>
        <v/>
      </c>
      <c r="AB484">
        <f>IFERROR(INDEX(PP_Grid[#Data],$DD484,26),0)</f>
        <v/>
      </c>
      <c r="AC484">
        <f>IFERROR(INDEX(PP_Grid[#Data],$DD484,27),0)</f>
        <v/>
      </c>
      <c r="AD484">
        <f>IFERROR(INDEX(PP_Grid[#Data],$DD484,28),0)</f>
        <v/>
      </c>
      <c r="AE484">
        <f>IFERROR(INDEX(PP_Grid[#Data],$DD484,29),0)</f>
        <v/>
      </c>
      <c r="AF484">
        <f>IFERROR(INDEX(PP_Grid[#Data],$DD484,30),0)</f>
        <v/>
      </c>
      <c r="AG484">
        <f>IFERROR(INDEX(PP_Grid[#Data],$DD484,31),0)</f>
        <v/>
      </c>
      <c r="AH484">
        <f>IFERROR(INDEX(PP_Grid[#Data],$DD484,32),0)</f>
        <v/>
      </c>
      <c r="AI484">
        <f>IFERROR(INDEX(PP_Grid[#Data],$DD484,33),0)</f>
        <v/>
      </c>
      <c r="AJ484">
        <f>IFERROR(INDEX(PP_Grid[#Data],$DD484,34),0)</f>
        <v/>
      </c>
      <c r="AK484">
        <f>IFERROR(INDEX(PP_Grid[#Data],$DD484,35),0)</f>
        <v/>
      </c>
      <c r="AL484">
        <f>IFERROR(INDEX(PP_Grid[#Data],$DD484,36),0)</f>
        <v/>
      </c>
      <c r="AM484">
        <f>IFERROR(INDEX(PP_Grid[#Data],$DD484,37),0)</f>
        <v/>
      </c>
      <c r="AN484">
        <f>IFERROR(INDEX(PP_Grid[#Data],$DD484,38),0)</f>
        <v/>
      </c>
      <c r="AO484">
        <f>IFERROR(INDEX(PP_Grid[#Data],$DD484,39),0)</f>
        <v/>
      </c>
      <c r="AP484">
        <f>IFERROR(INDEX(PP_Grid[#Data],$DD484,40),0)</f>
        <v/>
      </c>
      <c r="AQ484">
        <f>IFERROR(INDEX(PP_Grid[#Data],$DD484,41),0)</f>
        <v/>
      </c>
      <c r="AR484">
        <f>IFERROR(INDEX(PP_Grid[#Data],$DD484,42),0)</f>
        <v/>
      </c>
      <c r="AS484">
        <f>IFERROR(INDEX(PP_Grid[#Data],$DD484,43),0)</f>
        <v/>
      </c>
      <c r="AT484">
        <f>IFERROR(INDEX(PP_Grid[#Data],$DD484,44),0)</f>
        <v/>
      </c>
      <c r="AU484">
        <f>IFERROR(INDEX(PP_Grid[#Data],$DD484,45),0)</f>
        <v/>
      </c>
      <c r="AV484">
        <f>IFERROR(INDEX(PP_Grid[#Data],$DD484,46),0)</f>
        <v/>
      </c>
      <c r="AW484">
        <f>IFERROR(INDEX(PP_Grid[#Data],$DD484,47),0)</f>
        <v/>
      </c>
      <c r="AX484">
        <f>IFERROR(INDEX(PP_Grid[#Data],$DD484,48),0)</f>
        <v/>
      </c>
      <c r="AY484">
        <f>IFERROR(INDEX(PP_Grid[#Data],$DD484,49),0)</f>
        <v/>
      </c>
      <c r="AZ484">
        <f>IFERROR(INDEX(PP_Grid[#Data],$DD484,50),0)</f>
        <v/>
      </c>
      <c r="BA484">
        <f>IFERROR(INDEX(PP_Grid[#Data],$DD484,51),0)</f>
        <v/>
      </c>
      <c r="BB484">
        <f>IFERROR(INDEX(PP_Grid[#Data],$DD484,52),0)</f>
        <v/>
      </c>
      <c r="BC484">
        <f>IFERROR(INDEX(PP_Grid[#Data],$DD484,53),0)</f>
        <v/>
      </c>
      <c r="BD484">
        <f>IFERROR(INDEX(PP_Grid[#Data],$DD484,54),0)</f>
        <v/>
      </c>
      <c r="BE484">
        <f>IFERROR(INDEX(PP_Grid[#Data],$DD484,55),0)</f>
        <v/>
      </c>
      <c r="BF484">
        <f>IFERROR(INDEX(PP_Grid[#Data],$DD484,56),0)</f>
        <v/>
      </c>
      <c r="BG484">
        <f>IFERROR(INDEX(PP_Grid[#Data],$DD484,57),0)</f>
        <v/>
      </c>
      <c r="BH484">
        <f>IFERROR(INDEX(PP_Grid[#Data],$DD484,58),0)</f>
        <v/>
      </c>
      <c r="BI484">
        <f>IFERROR(INDEX(PP_Grid[#Data],$DD484,59),0)</f>
        <v/>
      </c>
      <c r="BJ484">
        <f>IFERROR(INDEX(PP_Grid[#Data],$DD484,60),0)</f>
        <v/>
      </c>
      <c r="BK484">
        <f>IFERROR(INDEX(PP_Grid[#Data],$DD484,61),0)</f>
        <v/>
      </c>
      <c r="BL484">
        <f>IFERROR(INDEX(PP_Grid[#Data],$DD484,62),0)</f>
        <v/>
      </c>
      <c r="BM484">
        <f>IFERROR(INDEX(PP_Grid[#Data],$DD484,63),0)</f>
        <v/>
      </c>
      <c r="BN484">
        <f>IFERROR(INDEX(PP_Grid[#Data],$DD484,64),0)</f>
        <v/>
      </c>
      <c r="BO484">
        <f>IFERROR(INDEX(PP_Grid[#Data],$DD484,65),0)</f>
        <v/>
      </c>
      <c r="BP484">
        <f>IFERROR(INDEX(PP_Grid[#Data],$DD484,66),0)</f>
        <v/>
      </c>
      <c r="BQ484">
        <f>IFERROR(INDEX(PP_Grid[#Data],$DD484,67),0)</f>
        <v/>
      </c>
      <c r="BR484">
        <f>IFERROR(INDEX(PP_Grid[#Data],$DD484,68),0)</f>
        <v/>
      </c>
      <c r="BS484">
        <f>IFERROR(INDEX(PP_Grid[#Data],$DD484,69),0)</f>
        <v/>
      </c>
      <c r="BT484">
        <f>IFERROR(INDEX(PP_Grid[#Data],$DD484,70),0)</f>
        <v/>
      </c>
      <c r="BU484">
        <f>IFERROR(INDEX(PP_Grid[#Data],$DD484,71),0)</f>
        <v/>
      </c>
      <c r="BV484">
        <f>IFERROR(INDEX(PP_Grid[#Data],$DD484,72),0)</f>
        <v/>
      </c>
      <c r="BW484">
        <f>IFERROR(INDEX(PP_Grid[#Data],$DD484,73),0)</f>
        <v/>
      </c>
      <c r="BX484">
        <f>IFERROR(INDEX(PP_Grid[#Data],$DD484,74),0)</f>
        <v/>
      </c>
      <c r="BY484">
        <f>IFERROR(INDEX(PP_Grid[#Data],$DD484,75),0)</f>
        <v/>
      </c>
      <c r="BZ484">
        <f>IFERROR(INDEX(PP_Grid[#Data],$DD484,76),0)</f>
        <v/>
      </c>
      <c r="CA484">
        <f>IFERROR(INDEX(PP_Grid[#Data],$DD484,77),0)</f>
        <v/>
      </c>
      <c r="CB484">
        <f>IFERROR(INDEX(PP_Grid[#Data],$DD484,78),0)</f>
        <v/>
      </c>
      <c r="CC484">
        <f>IFERROR(INDEX(PP_Grid[#Data],$DD484,79),0)</f>
        <v/>
      </c>
      <c r="CD484">
        <f>IFERROR(INDEX(PP_Grid[#Data],$DD484,80),0)</f>
        <v/>
      </c>
      <c r="CE484">
        <f>IFERROR(INDEX(PP_Grid[#Data],$DD484,81),0)</f>
        <v/>
      </c>
      <c r="CF484">
        <f>IFERROR(INDEX(PP_Grid[#Data],$DD484,82),0)</f>
        <v/>
      </c>
      <c r="CG484">
        <f>IFERROR(INDEX(PP_Grid[#Data],$DD484,83),0)</f>
        <v/>
      </c>
      <c r="CH484">
        <f>IFERROR(INDEX(PP_Grid[#Data],$DD484,84),0)</f>
        <v/>
      </c>
      <c r="CI484">
        <f>IFERROR(INDEX(PP_Grid[#Data],$DD484,85),0)</f>
        <v/>
      </c>
      <c r="CJ484">
        <f>IFERROR(INDEX(PP_Grid[#Data],$DD484,86),0)</f>
        <v/>
      </c>
      <c r="CK484">
        <f>IFERROR(INDEX(PP_Grid[#Data],$DD484,87),0)</f>
        <v/>
      </c>
      <c r="CL484">
        <f>IFERROR(INDEX(PP_Grid[#Data],$DD484,88),0)</f>
        <v/>
      </c>
      <c r="CM484">
        <f>IFERROR(INDEX(PP_Grid[#Data],$DD484,89),0)</f>
        <v/>
      </c>
      <c r="CN484">
        <f>IFERROR(INDEX(PP_Grid[#Data],$DD484,90),0)</f>
        <v/>
      </c>
      <c r="CO484">
        <f>IFERROR(INDEX(PP_Grid[#Data],$DD484,91),0)</f>
        <v/>
      </c>
      <c r="CP484">
        <f>IFERROR(INDEX(PP_Grid[#Data],$DD484,92),0)</f>
        <v/>
      </c>
      <c r="CQ484">
        <f>IFERROR(INDEX(PP_Grid[#Data],$DD484,93),0)</f>
        <v/>
      </c>
      <c r="CR484">
        <f>IFERROR(INDEX(PP_Grid[#Data],$DD484,94),0)</f>
        <v/>
      </c>
      <c r="CS484">
        <f>IFERROR(INDEX(PP_Grid[#Data],$DD484,95),0)</f>
        <v/>
      </c>
      <c r="CT484">
        <f>IFERROR(INDEX(PP_Grid[#Data],$DD484,96),0)</f>
        <v/>
      </c>
      <c r="CU484">
        <f>IFERROR(INDEX(PP_Grid[#Data],$DD484,97),0)</f>
        <v/>
      </c>
      <c r="CV484">
        <f>IFERROR(INDEX(PP_Grid[#Data],$DD484,98),0)</f>
        <v/>
      </c>
      <c r="CW484">
        <f>IFERROR(INDEX(PP_Grid[#Data],$DD484,99),0)</f>
        <v/>
      </c>
      <c r="CX484">
        <f>IFERROR(INDEX(PP_Grid[#Data],$DD484,100),0)</f>
        <v/>
      </c>
      <c r="CY484">
        <f>IFERROR(INDEX(PP_Grid[#Data],$DD484,101),0)</f>
        <v/>
      </c>
      <c r="CZ484">
        <f>IFERROR(INDEX(PP_Grid[#Data],$DD484,102),0)</f>
        <v/>
      </c>
      <c r="DA484">
        <f>IFERROR(INDEX(PP_Grid[#Data],$DD484,103),0)</f>
        <v/>
      </c>
      <c r="DB484">
        <f>IFERROR(INDEX(PP_Grid[#Data],$DD484,104),0)</f>
        <v/>
      </c>
      <c r="DC484">
        <f>IFERROR(INDEX(PP_Grid[#Data],$DD484,105),0)</f>
        <v/>
      </c>
      <c r="DD484" s="12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SUMIFS(M_BOM[RM_Qty_Per_Batch],M_BOM[Intermediate],$B484,M_BOM[Part Name],$A479)</f>
        <v/>
      </c>
      <c r="D485">
        <f>$C485*D484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</row>
    <row r="486">
      <c r="B486" s="5" t="inlineStr">
        <is>
          <t>合計使用量(kg)/週</t>
        </is>
      </c>
      <c r="D486">
        <f>'Grid_Requirement'!B32</f>
        <v/>
      </c>
      <c r="E486">
        <f>'Grid_Requirement'!C32</f>
        <v/>
      </c>
      <c r="F486">
        <f>'Grid_Requirement'!D32</f>
        <v/>
      </c>
      <c r="G486">
        <f>'Grid_Requirement'!E32</f>
        <v/>
      </c>
      <c r="H486">
        <f>'Grid_Requirement'!F32</f>
        <v/>
      </c>
      <c r="I486">
        <f>'Grid_Requirement'!G32</f>
        <v/>
      </c>
      <c r="J486">
        <f>'Grid_Requirement'!H32</f>
        <v/>
      </c>
      <c r="K486">
        <f>'Grid_Requirement'!I32</f>
        <v/>
      </c>
      <c r="L486">
        <f>'Grid_Requirement'!J32</f>
        <v/>
      </c>
      <c r="M486">
        <f>'Grid_Requirement'!K32</f>
        <v/>
      </c>
      <c r="N486">
        <f>'Grid_Requirement'!L32</f>
        <v/>
      </c>
      <c r="O486">
        <f>'Grid_Requirement'!M32</f>
        <v/>
      </c>
      <c r="P486">
        <f>'Grid_Requirement'!N32</f>
        <v/>
      </c>
      <c r="Q486">
        <f>'Grid_Requirement'!O32</f>
        <v/>
      </c>
      <c r="R486">
        <f>'Grid_Requirement'!P32</f>
        <v/>
      </c>
      <c r="S486">
        <f>'Grid_Requirement'!Q32</f>
        <v/>
      </c>
      <c r="T486">
        <f>'Grid_Requirement'!R32</f>
        <v/>
      </c>
      <c r="U486">
        <f>'Grid_Requirement'!S32</f>
        <v/>
      </c>
      <c r="V486">
        <f>'Grid_Requirement'!T32</f>
        <v/>
      </c>
      <c r="W486">
        <f>'Grid_Requirement'!U32</f>
        <v/>
      </c>
      <c r="X486">
        <f>'Grid_Requirement'!V32</f>
        <v/>
      </c>
      <c r="Y486">
        <f>'Grid_Requirement'!W32</f>
        <v/>
      </c>
      <c r="Z486">
        <f>'Grid_Requirement'!X32</f>
        <v/>
      </c>
      <c r="AA486">
        <f>'Grid_Requirement'!Y32</f>
        <v/>
      </c>
      <c r="AB486">
        <f>'Grid_Requirement'!Z32</f>
        <v/>
      </c>
      <c r="AC486">
        <f>'Grid_Requirement'!AA32</f>
        <v/>
      </c>
      <c r="AD486">
        <f>'Grid_Requirement'!AB32</f>
        <v/>
      </c>
      <c r="AE486">
        <f>'Grid_Requirement'!AC32</f>
        <v/>
      </c>
      <c r="AF486">
        <f>'Grid_Requirement'!AD32</f>
        <v/>
      </c>
      <c r="AG486">
        <f>'Grid_Requirement'!AE32</f>
        <v/>
      </c>
      <c r="AH486">
        <f>'Grid_Requirement'!AF32</f>
        <v/>
      </c>
      <c r="AI486">
        <f>'Grid_Requirement'!AG32</f>
        <v/>
      </c>
      <c r="AJ486">
        <f>'Grid_Requirement'!AH32</f>
        <v/>
      </c>
      <c r="AK486">
        <f>'Grid_Requirement'!AI32</f>
        <v/>
      </c>
      <c r="AL486">
        <f>'Grid_Requirement'!AJ32</f>
        <v/>
      </c>
      <c r="AM486">
        <f>'Grid_Requirement'!AK32</f>
        <v/>
      </c>
      <c r="AN486">
        <f>'Grid_Requirement'!AL32</f>
        <v/>
      </c>
      <c r="AO486">
        <f>'Grid_Requirement'!AM32</f>
        <v/>
      </c>
      <c r="AP486">
        <f>'Grid_Requirement'!AN32</f>
        <v/>
      </c>
      <c r="AQ486">
        <f>'Grid_Requirement'!AO32</f>
        <v/>
      </c>
      <c r="AR486">
        <f>'Grid_Requirement'!AP32</f>
        <v/>
      </c>
      <c r="AS486">
        <f>'Grid_Requirement'!AQ32</f>
        <v/>
      </c>
      <c r="AT486">
        <f>'Grid_Requirement'!AR32</f>
        <v/>
      </c>
      <c r="AU486">
        <f>'Grid_Requirement'!AS32</f>
        <v/>
      </c>
      <c r="AV486">
        <f>'Grid_Requirement'!AT32</f>
        <v/>
      </c>
      <c r="AW486">
        <f>'Grid_Requirement'!AU32</f>
        <v/>
      </c>
      <c r="AX486">
        <f>'Grid_Requirement'!AV32</f>
        <v/>
      </c>
      <c r="AY486">
        <f>'Grid_Requirement'!AW32</f>
        <v/>
      </c>
      <c r="AZ486">
        <f>'Grid_Requirement'!AX32</f>
        <v/>
      </c>
      <c r="BA486">
        <f>'Grid_Requirement'!AY32</f>
        <v/>
      </c>
      <c r="BB486">
        <f>'Grid_Requirement'!AZ32</f>
        <v/>
      </c>
      <c r="BC486">
        <f>'Grid_Requirement'!BA32</f>
        <v/>
      </c>
      <c r="BD486">
        <f>'Grid_Requirement'!BB32</f>
        <v/>
      </c>
      <c r="BE486">
        <f>'Grid_Requirement'!BC32</f>
        <v/>
      </c>
      <c r="BF486">
        <f>'Grid_Requirement'!BD32</f>
        <v/>
      </c>
      <c r="BG486">
        <f>'Grid_Requirement'!BE32</f>
        <v/>
      </c>
      <c r="BH486">
        <f>'Grid_Requirement'!BF32</f>
        <v/>
      </c>
      <c r="BI486">
        <f>'Grid_Requirement'!BG32</f>
        <v/>
      </c>
      <c r="BJ486">
        <f>'Grid_Requirement'!BH32</f>
        <v/>
      </c>
      <c r="BK486">
        <f>'Grid_Requirement'!BI32</f>
        <v/>
      </c>
      <c r="BL486">
        <f>'Grid_Requirement'!BJ32</f>
        <v/>
      </c>
      <c r="BM486">
        <f>'Grid_Requirement'!BK32</f>
        <v/>
      </c>
      <c r="BN486">
        <f>'Grid_Requirement'!BL32</f>
        <v/>
      </c>
      <c r="BO486">
        <f>'Grid_Requirement'!BM32</f>
        <v/>
      </c>
      <c r="BP486">
        <f>'Grid_Requirement'!BN32</f>
        <v/>
      </c>
      <c r="BQ486">
        <f>'Grid_Requirement'!BO32</f>
        <v/>
      </c>
      <c r="BR486">
        <f>'Grid_Requirement'!BP32</f>
        <v/>
      </c>
      <c r="BS486">
        <f>'Grid_Requirement'!BQ32</f>
        <v/>
      </c>
      <c r="BT486">
        <f>'Grid_Requirement'!BR32</f>
        <v/>
      </c>
      <c r="BU486">
        <f>'Grid_Requirement'!BS32</f>
        <v/>
      </c>
      <c r="BV486">
        <f>'Grid_Requirement'!BT32</f>
        <v/>
      </c>
      <c r="BW486">
        <f>'Grid_Requirement'!BU32</f>
        <v/>
      </c>
      <c r="BX486">
        <f>'Grid_Requirement'!BV32</f>
        <v/>
      </c>
      <c r="BY486">
        <f>'Grid_Requirement'!BW32</f>
        <v/>
      </c>
      <c r="BZ486">
        <f>'Grid_Requirement'!BX32</f>
        <v/>
      </c>
      <c r="CA486">
        <f>'Grid_Requirement'!BY32</f>
        <v/>
      </c>
      <c r="CB486">
        <f>'Grid_Requirement'!BZ32</f>
        <v/>
      </c>
      <c r="CC486">
        <f>'Grid_Requirement'!CA32</f>
        <v/>
      </c>
      <c r="CD486">
        <f>'Grid_Requirement'!CB32</f>
        <v/>
      </c>
      <c r="CE486">
        <f>'Grid_Requirement'!CC32</f>
        <v/>
      </c>
      <c r="CF486">
        <f>'Grid_Requirement'!CD32</f>
        <v/>
      </c>
      <c r="CG486">
        <f>'Grid_Requirement'!CE32</f>
        <v/>
      </c>
      <c r="CH486">
        <f>'Grid_Requirement'!CF32</f>
        <v/>
      </c>
      <c r="CI486">
        <f>'Grid_Requirement'!CG32</f>
        <v/>
      </c>
      <c r="CJ486">
        <f>'Grid_Requirement'!CH32</f>
        <v/>
      </c>
      <c r="CK486">
        <f>'Grid_Requirement'!CI32</f>
        <v/>
      </c>
      <c r="CL486">
        <f>'Grid_Requirement'!CJ32</f>
        <v/>
      </c>
      <c r="CM486">
        <f>'Grid_Requirement'!CK32</f>
        <v/>
      </c>
      <c r="CN486">
        <f>'Grid_Requirement'!CL32</f>
        <v/>
      </c>
      <c r="CO486">
        <f>'Grid_Requirement'!CM32</f>
        <v/>
      </c>
      <c r="CP486">
        <f>'Grid_Requirement'!CN32</f>
        <v/>
      </c>
      <c r="CQ486">
        <f>'Grid_Requirement'!CO32</f>
        <v/>
      </c>
      <c r="CR486">
        <f>'Grid_Requirement'!CP32</f>
        <v/>
      </c>
      <c r="CS486">
        <f>'Grid_Requirement'!CQ32</f>
        <v/>
      </c>
      <c r="CT486">
        <f>'Grid_Requirement'!CR32</f>
        <v/>
      </c>
      <c r="CU486">
        <f>'Grid_Requirement'!CS32</f>
        <v/>
      </c>
      <c r="CV486">
        <f>'Grid_Requirement'!CT32</f>
        <v/>
      </c>
      <c r="CW486">
        <f>'Grid_Requirement'!CU32</f>
        <v/>
      </c>
      <c r="CX486">
        <f>'Grid_Requirement'!CV32</f>
        <v/>
      </c>
      <c r="CY486">
        <f>'Grid_Requirement'!CW32</f>
        <v/>
      </c>
      <c r="CZ486">
        <f>'Grid_Requirement'!CX32</f>
        <v/>
      </c>
      <c r="DA486">
        <f>'Grid_Requirement'!CY32</f>
        <v/>
      </c>
      <c r="DB486">
        <f>'Grid_Requirement'!CZ32</f>
        <v/>
      </c>
      <c r="DC486">
        <f>'Grid_Requirement'!DA32</f>
        <v/>
      </c>
    </row>
    <row r="487">
      <c r="B487" t="inlineStr">
        <is>
          <t>TTAF在庫(実績,kg)</t>
        </is>
      </c>
      <c r="D487">
        <f>'T_TTAFStock'!B36</f>
        <v/>
      </c>
      <c r="E487">
        <f>'T_TTAFStock'!C36</f>
        <v/>
      </c>
      <c r="F487">
        <f>'T_TTAFStock'!D36</f>
        <v/>
      </c>
      <c r="G487">
        <f>'T_TTAFStock'!E36</f>
        <v/>
      </c>
      <c r="H487">
        <f>'T_TTAFStock'!F36</f>
        <v/>
      </c>
      <c r="I487">
        <f>'T_TTAFStock'!G36</f>
        <v/>
      </c>
      <c r="J487">
        <f>'T_TTAFStock'!H36</f>
        <v/>
      </c>
      <c r="K487">
        <f>'T_TTAFStock'!I36</f>
        <v/>
      </c>
      <c r="L487">
        <f>'T_TTAFStock'!J36</f>
        <v/>
      </c>
      <c r="M487">
        <f>'T_TTAFStock'!K36</f>
        <v/>
      </c>
      <c r="N487">
        <f>'T_TTAFStock'!L36</f>
        <v/>
      </c>
      <c r="O487">
        <f>'T_TTAFStock'!M36</f>
        <v/>
      </c>
      <c r="P487">
        <f>'T_TTAFStock'!N36</f>
        <v/>
      </c>
      <c r="Q487">
        <f>'T_TTAFStock'!O36</f>
        <v/>
      </c>
      <c r="R487">
        <f>'T_TTAFStock'!P36</f>
        <v/>
      </c>
      <c r="S487">
        <f>'T_TTAFStock'!Q36</f>
        <v/>
      </c>
      <c r="T487">
        <f>'T_TTAFStock'!R36</f>
        <v/>
      </c>
      <c r="U487">
        <f>'T_TTAFStock'!S36</f>
        <v/>
      </c>
      <c r="V487">
        <f>'T_TTAFStock'!T36</f>
        <v/>
      </c>
      <c r="W487">
        <f>'T_TTAFStock'!U36</f>
        <v/>
      </c>
      <c r="X487">
        <f>'T_TTAFStock'!V36</f>
        <v/>
      </c>
      <c r="Y487">
        <f>'T_TTAFStock'!W36</f>
        <v/>
      </c>
      <c r="Z487">
        <f>'T_TTAFStock'!X36</f>
        <v/>
      </c>
      <c r="AA487">
        <f>'T_TTAFStock'!Y36</f>
        <v/>
      </c>
      <c r="AB487">
        <f>'T_TTAFStock'!Z36</f>
        <v/>
      </c>
      <c r="AC487">
        <f>'T_TTAFStock'!AA36</f>
        <v/>
      </c>
      <c r="AD487">
        <f>'T_TTAFStock'!AB36</f>
        <v/>
      </c>
      <c r="AE487">
        <f>'T_TTAFStock'!AC36</f>
        <v/>
      </c>
      <c r="AF487">
        <f>'T_TTAFStock'!AD36</f>
        <v/>
      </c>
      <c r="AG487">
        <f>'T_TTAFStock'!AE36</f>
        <v/>
      </c>
      <c r="AH487">
        <f>'T_TTAFStock'!AF36</f>
        <v/>
      </c>
      <c r="AI487">
        <f>'T_TTAFStock'!AG36</f>
        <v/>
      </c>
      <c r="AJ487">
        <f>'T_TTAFStock'!AH36</f>
        <v/>
      </c>
      <c r="AK487">
        <f>'T_TTAFStock'!AI36</f>
        <v/>
      </c>
      <c r="AL487">
        <f>'T_TTAFStock'!AJ36</f>
        <v/>
      </c>
      <c r="AM487">
        <f>'T_TTAFStock'!AK36</f>
        <v/>
      </c>
      <c r="AN487">
        <f>'T_TTAFStock'!AL36</f>
        <v/>
      </c>
      <c r="AO487">
        <f>'T_TTAFStock'!AM36</f>
        <v/>
      </c>
      <c r="AP487">
        <f>'T_TTAFStock'!AN36</f>
        <v/>
      </c>
      <c r="AQ487">
        <f>'T_TTAFStock'!AO36</f>
        <v/>
      </c>
      <c r="AR487">
        <f>'T_TTAFStock'!AP36</f>
        <v/>
      </c>
      <c r="AS487">
        <f>'T_TTAFStock'!AQ36</f>
        <v/>
      </c>
      <c r="AT487">
        <f>'T_TTAFStock'!AR36</f>
        <v/>
      </c>
      <c r="AU487">
        <f>'T_TTAFStock'!AS36</f>
        <v/>
      </c>
      <c r="AV487">
        <f>'T_TTAFStock'!AT36</f>
        <v/>
      </c>
      <c r="AW487">
        <f>'T_TTAFStock'!AU36</f>
        <v/>
      </c>
      <c r="AX487">
        <f>'T_TTAFStock'!AV36</f>
        <v/>
      </c>
      <c r="AY487">
        <f>'T_TTAFStock'!AW36</f>
        <v/>
      </c>
      <c r="AZ487">
        <f>'T_TTAFStock'!AX36</f>
        <v/>
      </c>
      <c r="BA487">
        <f>'T_TTAFStock'!AY36</f>
        <v/>
      </c>
      <c r="BB487">
        <f>'T_TTAFStock'!AZ36</f>
        <v/>
      </c>
      <c r="BC487">
        <f>'T_TTAFStock'!BA36</f>
        <v/>
      </c>
      <c r="BD487">
        <f>'T_TTAFStock'!BB36</f>
        <v/>
      </c>
      <c r="BE487">
        <f>'T_TTAFStock'!BC36</f>
        <v/>
      </c>
      <c r="BF487">
        <f>'T_TTAFStock'!BD36</f>
        <v/>
      </c>
      <c r="BG487">
        <f>'T_TTAFStock'!BE36</f>
        <v/>
      </c>
      <c r="BH487">
        <f>'T_TTAFStock'!BF36</f>
        <v/>
      </c>
      <c r="BI487">
        <f>'T_TTAFStock'!BG36</f>
        <v/>
      </c>
      <c r="BJ487">
        <f>'T_TTAFStock'!BH36</f>
        <v/>
      </c>
      <c r="BK487">
        <f>'T_TTAFStock'!BI36</f>
        <v/>
      </c>
      <c r="BL487">
        <f>'T_TTAFStock'!BJ36</f>
        <v/>
      </c>
      <c r="BM487">
        <f>'T_TTAFStock'!BK36</f>
        <v/>
      </c>
      <c r="BN487">
        <f>'T_TTAFStock'!BL36</f>
        <v/>
      </c>
      <c r="BO487">
        <f>'T_TTAFStock'!BM36</f>
        <v/>
      </c>
      <c r="BP487">
        <f>'T_TTAFStock'!BN36</f>
        <v/>
      </c>
      <c r="BQ487">
        <f>'T_TTAFStock'!BO36</f>
        <v/>
      </c>
      <c r="BR487">
        <f>'T_TTAFStock'!BP36</f>
        <v/>
      </c>
      <c r="BS487">
        <f>'T_TTAFStock'!BQ36</f>
        <v/>
      </c>
      <c r="BT487">
        <f>'T_TTAFStock'!BR36</f>
        <v/>
      </c>
      <c r="BU487">
        <f>'T_TTAFStock'!BS36</f>
        <v/>
      </c>
      <c r="BV487">
        <f>'T_TTAFStock'!BT36</f>
        <v/>
      </c>
      <c r="BW487">
        <f>'T_TTAFStock'!BU36</f>
        <v/>
      </c>
      <c r="BX487">
        <f>'T_TTAFStock'!BV36</f>
        <v/>
      </c>
      <c r="BY487">
        <f>'T_TTAFStock'!BW36</f>
        <v/>
      </c>
      <c r="BZ487">
        <f>'T_TTAFStock'!BX36</f>
        <v/>
      </c>
      <c r="CA487">
        <f>'T_TTAFStock'!BY36</f>
        <v/>
      </c>
      <c r="CB487">
        <f>'T_TTAFStock'!BZ36</f>
        <v/>
      </c>
      <c r="CC487">
        <f>'T_TTAFStock'!CA36</f>
        <v/>
      </c>
      <c r="CD487">
        <f>'T_TTAFStock'!CB36</f>
        <v/>
      </c>
      <c r="CE487">
        <f>'T_TTAFStock'!CC36</f>
        <v/>
      </c>
      <c r="CF487">
        <f>'T_TTAFStock'!CD36</f>
        <v/>
      </c>
      <c r="CG487">
        <f>'T_TTAFStock'!CE36</f>
        <v/>
      </c>
      <c r="CH487">
        <f>'T_TTAFStock'!CF36</f>
        <v/>
      </c>
      <c r="CI487">
        <f>'T_TTAFStock'!CG36</f>
        <v/>
      </c>
      <c r="CJ487">
        <f>'T_TTAFStock'!CH36</f>
        <v/>
      </c>
      <c r="CK487">
        <f>'T_TTAFStock'!CI36</f>
        <v/>
      </c>
      <c r="CL487">
        <f>'T_TTAFStock'!CJ36</f>
        <v/>
      </c>
      <c r="CM487">
        <f>'T_TTAFStock'!CK36</f>
        <v/>
      </c>
      <c r="CN487">
        <f>'T_TTAFStock'!CL36</f>
        <v/>
      </c>
      <c r="CO487">
        <f>'T_TTAFStock'!CM36</f>
        <v/>
      </c>
      <c r="CP487">
        <f>'T_TTAFStock'!CN36</f>
        <v/>
      </c>
      <c r="CQ487">
        <f>'T_TTAFStock'!CO36</f>
        <v/>
      </c>
      <c r="CR487">
        <f>'T_TTAFStock'!CP36</f>
        <v/>
      </c>
      <c r="CS487">
        <f>'T_TTAFStock'!CQ36</f>
        <v/>
      </c>
      <c r="CT487">
        <f>'T_TTAFStock'!CR36</f>
        <v/>
      </c>
      <c r="CU487">
        <f>'T_TTAFStock'!CS36</f>
        <v/>
      </c>
      <c r="CV487">
        <f>'T_TTAFStock'!CT36</f>
        <v/>
      </c>
      <c r="CW487">
        <f>'T_TTAFStock'!CU36</f>
        <v/>
      </c>
      <c r="CX487">
        <f>'T_TTAFStock'!CV36</f>
        <v/>
      </c>
      <c r="CY487">
        <f>'T_TTAFStock'!CW36</f>
        <v/>
      </c>
      <c r="CZ487">
        <f>'T_TTAFStock'!CX36</f>
        <v/>
      </c>
      <c r="DA487">
        <f>'T_TTAFStock'!CY36</f>
        <v/>
      </c>
      <c r="DB487">
        <f>'T_TTAFStock'!CZ36</f>
        <v/>
      </c>
      <c r="DC487">
        <f>'T_TTAFStock'!DA36</f>
        <v/>
      </c>
    </row>
    <row r="488">
      <c r="B488" t="inlineStr">
        <is>
          <t>自社在庫(実績,kg)</t>
        </is>
      </c>
      <c r="D488">
        <f>'T_SelfStock'!B36</f>
        <v/>
      </c>
      <c r="E488">
        <f>'T_SelfStock'!C36</f>
        <v/>
      </c>
      <c r="F488">
        <f>'T_SelfStock'!D36</f>
        <v/>
      </c>
      <c r="G488">
        <f>'T_SelfStock'!E36</f>
        <v/>
      </c>
      <c r="H488">
        <f>'T_SelfStock'!F36</f>
        <v/>
      </c>
      <c r="I488">
        <f>'T_SelfStock'!G36</f>
        <v/>
      </c>
      <c r="J488">
        <f>'T_SelfStock'!H36</f>
        <v/>
      </c>
      <c r="K488">
        <f>'T_SelfStock'!I36</f>
        <v/>
      </c>
      <c r="L488">
        <f>'T_SelfStock'!J36</f>
        <v/>
      </c>
      <c r="M488">
        <f>'T_SelfStock'!K36</f>
        <v/>
      </c>
      <c r="N488">
        <f>'T_SelfStock'!L36</f>
        <v/>
      </c>
      <c r="O488">
        <f>'T_SelfStock'!M36</f>
        <v/>
      </c>
      <c r="P488">
        <f>'T_SelfStock'!N36</f>
        <v/>
      </c>
      <c r="Q488">
        <f>'T_SelfStock'!O36</f>
        <v/>
      </c>
      <c r="R488">
        <f>'T_SelfStock'!P36</f>
        <v/>
      </c>
      <c r="S488">
        <f>'T_SelfStock'!Q36</f>
        <v/>
      </c>
      <c r="T488">
        <f>'T_SelfStock'!R36</f>
        <v/>
      </c>
      <c r="U488">
        <f>'T_SelfStock'!S36</f>
        <v/>
      </c>
      <c r="V488">
        <f>'T_SelfStock'!T36</f>
        <v/>
      </c>
      <c r="W488">
        <f>'T_SelfStock'!U36</f>
        <v/>
      </c>
      <c r="X488">
        <f>'T_SelfStock'!V36</f>
        <v/>
      </c>
      <c r="Y488">
        <f>'T_SelfStock'!W36</f>
        <v/>
      </c>
      <c r="Z488">
        <f>'T_SelfStock'!X36</f>
        <v/>
      </c>
      <c r="AA488">
        <f>'T_SelfStock'!Y36</f>
        <v/>
      </c>
      <c r="AB488">
        <f>'T_SelfStock'!Z36</f>
        <v/>
      </c>
      <c r="AC488">
        <f>'T_SelfStock'!AA36</f>
        <v/>
      </c>
      <c r="AD488">
        <f>'T_SelfStock'!AB36</f>
        <v/>
      </c>
      <c r="AE488">
        <f>'T_SelfStock'!AC36</f>
        <v/>
      </c>
      <c r="AF488">
        <f>'T_SelfStock'!AD36</f>
        <v/>
      </c>
      <c r="AG488">
        <f>'T_SelfStock'!AE36</f>
        <v/>
      </c>
      <c r="AH488">
        <f>'T_SelfStock'!AF36</f>
        <v/>
      </c>
      <c r="AI488">
        <f>'T_SelfStock'!AG36</f>
        <v/>
      </c>
      <c r="AJ488">
        <f>'T_SelfStock'!AH36</f>
        <v/>
      </c>
      <c r="AK488">
        <f>'T_SelfStock'!AI36</f>
        <v/>
      </c>
      <c r="AL488">
        <f>'T_SelfStock'!AJ36</f>
        <v/>
      </c>
      <c r="AM488">
        <f>'T_SelfStock'!AK36</f>
        <v/>
      </c>
      <c r="AN488">
        <f>'T_SelfStock'!AL36</f>
        <v/>
      </c>
      <c r="AO488">
        <f>'T_SelfStock'!AM36</f>
        <v/>
      </c>
      <c r="AP488">
        <f>'T_SelfStock'!AN36</f>
        <v/>
      </c>
      <c r="AQ488">
        <f>'T_SelfStock'!AO36</f>
        <v/>
      </c>
      <c r="AR488">
        <f>'T_SelfStock'!AP36</f>
        <v/>
      </c>
      <c r="AS488">
        <f>'T_SelfStock'!AQ36</f>
        <v/>
      </c>
      <c r="AT488">
        <f>'T_SelfStock'!AR36</f>
        <v/>
      </c>
      <c r="AU488">
        <f>'T_SelfStock'!AS36</f>
        <v/>
      </c>
      <c r="AV488">
        <f>'T_SelfStock'!AT36</f>
        <v/>
      </c>
      <c r="AW488">
        <f>'T_SelfStock'!AU36</f>
        <v/>
      </c>
      <c r="AX488">
        <f>'T_SelfStock'!AV36</f>
        <v/>
      </c>
      <c r="AY488">
        <f>'T_SelfStock'!AW36</f>
        <v/>
      </c>
      <c r="AZ488">
        <f>'T_SelfStock'!AX36</f>
        <v/>
      </c>
      <c r="BA488">
        <f>'T_SelfStock'!AY36</f>
        <v/>
      </c>
      <c r="BB488">
        <f>'T_SelfStock'!AZ36</f>
        <v/>
      </c>
      <c r="BC488">
        <f>'T_SelfStock'!BA36</f>
        <v/>
      </c>
      <c r="BD488">
        <f>'T_SelfStock'!BB36</f>
        <v/>
      </c>
      <c r="BE488">
        <f>'T_SelfStock'!BC36</f>
        <v/>
      </c>
      <c r="BF488">
        <f>'T_SelfStock'!BD36</f>
        <v/>
      </c>
      <c r="BG488">
        <f>'T_SelfStock'!BE36</f>
        <v/>
      </c>
      <c r="BH488">
        <f>'T_SelfStock'!BF36</f>
        <v/>
      </c>
      <c r="BI488">
        <f>'T_SelfStock'!BG36</f>
        <v/>
      </c>
      <c r="BJ488">
        <f>'T_SelfStock'!BH36</f>
        <v/>
      </c>
      <c r="BK488">
        <f>'T_SelfStock'!BI36</f>
        <v/>
      </c>
      <c r="BL488">
        <f>'T_SelfStock'!BJ36</f>
        <v/>
      </c>
      <c r="BM488">
        <f>'T_SelfStock'!BK36</f>
        <v/>
      </c>
      <c r="BN488">
        <f>'T_SelfStock'!BL36</f>
        <v/>
      </c>
      <c r="BO488">
        <f>'T_SelfStock'!BM36</f>
        <v/>
      </c>
      <c r="BP488">
        <f>'T_SelfStock'!BN36</f>
        <v/>
      </c>
      <c r="BQ488">
        <f>'T_SelfStock'!BO36</f>
        <v/>
      </c>
      <c r="BR488">
        <f>'T_SelfStock'!BP36</f>
        <v/>
      </c>
      <c r="BS488">
        <f>'T_SelfStock'!BQ36</f>
        <v/>
      </c>
      <c r="BT488">
        <f>'T_SelfStock'!BR36</f>
        <v/>
      </c>
      <c r="BU488">
        <f>'T_SelfStock'!BS36</f>
        <v/>
      </c>
      <c r="BV488">
        <f>'T_SelfStock'!BT36</f>
        <v/>
      </c>
      <c r="BW488">
        <f>'T_SelfStock'!BU36</f>
        <v/>
      </c>
      <c r="BX488">
        <f>'T_SelfStock'!BV36</f>
        <v/>
      </c>
      <c r="BY488">
        <f>'T_SelfStock'!BW36</f>
        <v/>
      </c>
      <c r="BZ488">
        <f>'T_SelfStock'!BX36</f>
        <v/>
      </c>
      <c r="CA488">
        <f>'T_SelfStock'!BY36</f>
        <v/>
      </c>
      <c r="CB488">
        <f>'T_SelfStock'!BZ36</f>
        <v/>
      </c>
      <c r="CC488">
        <f>'T_SelfStock'!CA36</f>
        <v/>
      </c>
      <c r="CD488">
        <f>'T_SelfStock'!CB36</f>
        <v/>
      </c>
      <c r="CE488">
        <f>'T_SelfStock'!CC36</f>
        <v/>
      </c>
      <c r="CF488">
        <f>'T_SelfStock'!CD36</f>
        <v/>
      </c>
      <c r="CG488">
        <f>'T_SelfStock'!CE36</f>
        <v/>
      </c>
      <c r="CH488">
        <f>'T_SelfStock'!CF36</f>
        <v/>
      </c>
      <c r="CI488">
        <f>'T_SelfStock'!CG36</f>
        <v/>
      </c>
      <c r="CJ488">
        <f>'T_SelfStock'!CH36</f>
        <v/>
      </c>
      <c r="CK488">
        <f>'T_SelfStock'!CI36</f>
        <v/>
      </c>
      <c r="CL488">
        <f>'T_SelfStock'!CJ36</f>
        <v/>
      </c>
      <c r="CM488">
        <f>'T_SelfStock'!CK36</f>
        <v/>
      </c>
      <c r="CN488">
        <f>'T_SelfStock'!CL36</f>
        <v/>
      </c>
      <c r="CO488">
        <f>'T_SelfStock'!CM36</f>
        <v/>
      </c>
      <c r="CP488">
        <f>'T_SelfStock'!CN36</f>
        <v/>
      </c>
      <c r="CQ488">
        <f>'T_SelfStock'!CO36</f>
        <v/>
      </c>
      <c r="CR488">
        <f>'T_SelfStock'!CP36</f>
        <v/>
      </c>
      <c r="CS488">
        <f>'T_SelfStock'!CQ36</f>
        <v/>
      </c>
      <c r="CT488">
        <f>'T_SelfStock'!CR36</f>
        <v/>
      </c>
      <c r="CU488">
        <f>'T_SelfStock'!CS36</f>
        <v/>
      </c>
      <c r="CV488">
        <f>'T_SelfStock'!CT36</f>
        <v/>
      </c>
      <c r="CW488">
        <f>'T_SelfStock'!CU36</f>
        <v/>
      </c>
      <c r="CX488">
        <f>'T_SelfStock'!CV36</f>
        <v/>
      </c>
      <c r="CY488">
        <f>'T_SelfStock'!CW36</f>
        <v/>
      </c>
      <c r="CZ488">
        <f>'T_SelfStock'!CX36</f>
        <v/>
      </c>
      <c r="DA488">
        <f>'T_SelfStock'!CY36</f>
        <v/>
      </c>
      <c r="DB488">
        <f>'T_SelfStock'!CZ36</f>
        <v/>
      </c>
      <c r="DC488">
        <f>'T_SelfStock'!DA36</f>
        <v/>
      </c>
    </row>
    <row r="489">
      <c r="B489" t="inlineStr">
        <is>
          <t>Order(発注予定,kg)</t>
        </is>
      </c>
      <c r="D489">
        <f>IF(SUMIFS(T_PlannedOrders[EffectiveQty],T_PlannedOrders[Part Name],$A479,T_PlannedOrders[WeekIndex],1)=0,"",SUMIFS(T_PlannedOrders[EffectiveQty],T_PlannedOrders[Part Name],$A479,T_PlannedOrders[WeekIndex],1)&amp;" ("&amp;TEXT(SUMPRODUCT(MAX((T_PlannedOrders[Part Name]=$A479)*(T_PlannedOrders[WeekIndex]=1)*(T_PlannedOrders[EffectiveQty]&gt;0)*T_PlannedOrders[Order_Month])),"m月")&amp;"発注)")</f>
        <v/>
      </c>
      <c r="E489">
        <f>IF(SUMIFS(T_PlannedOrders[EffectiveQty],T_PlannedOrders[Part Name],$A479,T_PlannedOrders[WeekIndex],2)=0,"",SUMIFS(T_PlannedOrders[EffectiveQty],T_PlannedOrders[Part Name],$A479,T_PlannedOrders[WeekIndex],2)&amp;" ("&amp;TEXT(SUMPRODUCT(MAX((T_PlannedOrders[Part Name]=$A479)*(T_PlannedOrders[WeekIndex]=2)*(T_PlannedOrders[EffectiveQty]&gt;0)*T_PlannedOrders[Order_Month])),"m月")&amp;"発注)")</f>
        <v/>
      </c>
      <c r="F489">
        <f>IF(SUMIFS(T_PlannedOrders[EffectiveQty],T_PlannedOrders[Part Name],$A479,T_PlannedOrders[WeekIndex],3)=0,"",SUMIFS(T_PlannedOrders[EffectiveQty],T_PlannedOrders[Part Name],$A479,T_PlannedOrders[WeekIndex],3)&amp;" ("&amp;TEXT(SUMPRODUCT(MAX((T_PlannedOrders[Part Name]=$A479)*(T_PlannedOrders[WeekIndex]=3)*(T_PlannedOrders[EffectiveQty]&gt;0)*T_PlannedOrders[Order_Month])),"m月")&amp;"発注)")</f>
        <v/>
      </c>
      <c r="G489">
        <f>IF(SUMIFS(T_PlannedOrders[EffectiveQty],T_PlannedOrders[Part Name],$A479,T_PlannedOrders[WeekIndex],4)=0,"",SUMIFS(T_PlannedOrders[EffectiveQty],T_PlannedOrders[Part Name],$A479,T_PlannedOrders[WeekIndex],4)&amp;" ("&amp;TEXT(SUMPRODUCT(MAX((T_PlannedOrders[Part Name]=$A479)*(T_PlannedOrders[WeekIndex]=4)*(T_PlannedOrders[EffectiveQty]&gt;0)*T_PlannedOrders[Order_Month])),"m月")&amp;"発注)")</f>
        <v/>
      </c>
      <c r="H489">
        <f>IF(SUMIFS(T_PlannedOrders[EffectiveQty],T_PlannedOrders[Part Name],$A479,T_PlannedOrders[WeekIndex],5)=0,"",SUMIFS(T_PlannedOrders[EffectiveQty],T_PlannedOrders[Part Name],$A479,T_PlannedOrders[WeekIndex],5)&amp;" ("&amp;TEXT(SUMPRODUCT(MAX((T_PlannedOrders[Part Name]=$A479)*(T_PlannedOrders[WeekIndex]=5)*(T_PlannedOrders[EffectiveQty]&gt;0)*T_PlannedOrders[Order_Month])),"m月")&amp;"発注)")</f>
        <v/>
      </c>
      <c r="I489">
        <f>IF(SUMIFS(T_PlannedOrders[EffectiveQty],T_PlannedOrders[Part Name],$A479,T_PlannedOrders[WeekIndex],6)=0,"",SUMIFS(T_PlannedOrders[EffectiveQty],T_PlannedOrders[Part Name],$A479,T_PlannedOrders[WeekIndex],6)&amp;" ("&amp;TEXT(SUMPRODUCT(MAX((T_PlannedOrders[Part Name]=$A479)*(T_PlannedOrders[WeekIndex]=6)*(T_PlannedOrders[EffectiveQty]&gt;0)*T_PlannedOrders[Order_Month])),"m月")&amp;"発注)")</f>
        <v/>
      </c>
      <c r="J489">
        <f>IF(SUMIFS(T_PlannedOrders[EffectiveQty],T_PlannedOrders[Part Name],$A479,T_PlannedOrders[WeekIndex],7)=0,"",SUMIFS(T_PlannedOrders[EffectiveQty],T_PlannedOrders[Part Name],$A479,T_PlannedOrders[WeekIndex],7)&amp;" ("&amp;TEXT(SUMPRODUCT(MAX((T_PlannedOrders[Part Name]=$A479)*(T_PlannedOrders[WeekIndex]=7)*(T_PlannedOrders[EffectiveQty]&gt;0)*T_PlannedOrders[Order_Month])),"m月")&amp;"発注)")</f>
        <v/>
      </c>
      <c r="K489">
        <f>IF(SUMIFS(T_PlannedOrders[EffectiveQty],T_PlannedOrders[Part Name],$A479,T_PlannedOrders[WeekIndex],8)=0,"",SUMIFS(T_PlannedOrders[EffectiveQty],T_PlannedOrders[Part Name],$A479,T_PlannedOrders[WeekIndex],8)&amp;" ("&amp;TEXT(SUMPRODUCT(MAX((T_PlannedOrders[Part Name]=$A479)*(T_PlannedOrders[WeekIndex]=8)*(T_PlannedOrders[EffectiveQty]&gt;0)*T_PlannedOrders[Order_Month])),"m月")&amp;"発注)")</f>
        <v/>
      </c>
      <c r="L489">
        <f>IF(SUMIFS(T_PlannedOrders[EffectiveQty],T_PlannedOrders[Part Name],$A479,T_PlannedOrders[WeekIndex],9)=0,"",SUMIFS(T_PlannedOrders[EffectiveQty],T_PlannedOrders[Part Name],$A479,T_PlannedOrders[WeekIndex],9)&amp;" ("&amp;TEXT(SUMPRODUCT(MAX((T_PlannedOrders[Part Name]=$A479)*(T_PlannedOrders[WeekIndex]=9)*(T_PlannedOrders[EffectiveQty]&gt;0)*T_PlannedOrders[Order_Month])),"m月")&amp;"発注)")</f>
        <v/>
      </c>
      <c r="M489">
        <f>IF(SUMIFS(T_PlannedOrders[EffectiveQty],T_PlannedOrders[Part Name],$A479,T_PlannedOrders[WeekIndex],10)=0,"",SUMIFS(T_PlannedOrders[EffectiveQty],T_PlannedOrders[Part Name],$A479,T_PlannedOrders[WeekIndex],10)&amp;" ("&amp;TEXT(SUMPRODUCT(MAX((T_PlannedOrders[Part Name]=$A479)*(T_PlannedOrders[WeekIndex]=10)*(T_PlannedOrders[EffectiveQty]&gt;0)*T_PlannedOrders[Order_Month])),"m月")&amp;"発注)")</f>
        <v/>
      </c>
      <c r="N489">
        <f>IF(SUMIFS(T_PlannedOrders[EffectiveQty],T_PlannedOrders[Part Name],$A479,T_PlannedOrders[WeekIndex],11)=0,"",SUMIFS(T_PlannedOrders[EffectiveQty],T_PlannedOrders[Part Name],$A479,T_PlannedOrders[WeekIndex],11)&amp;" ("&amp;TEXT(SUMPRODUCT(MAX((T_PlannedOrders[Part Name]=$A479)*(T_PlannedOrders[WeekIndex]=11)*(T_PlannedOrders[EffectiveQty]&gt;0)*T_PlannedOrders[Order_Month])),"m月")&amp;"発注)")</f>
        <v/>
      </c>
      <c r="O489">
        <f>IF(SUMIFS(T_PlannedOrders[EffectiveQty],T_PlannedOrders[Part Name],$A479,T_PlannedOrders[WeekIndex],12)=0,"",SUMIFS(T_PlannedOrders[EffectiveQty],T_PlannedOrders[Part Name],$A479,T_PlannedOrders[WeekIndex],12)&amp;" ("&amp;TEXT(SUMPRODUCT(MAX((T_PlannedOrders[Part Name]=$A479)*(T_PlannedOrders[WeekIndex]=12)*(T_PlannedOrders[EffectiveQty]&gt;0)*T_PlannedOrders[Order_Month])),"m月")&amp;"発注)")</f>
        <v/>
      </c>
      <c r="P489">
        <f>IF(SUMIFS(T_PlannedOrders[EffectiveQty],T_PlannedOrders[Part Name],$A479,T_PlannedOrders[WeekIndex],13)=0,"",SUMIFS(T_PlannedOrders[EffectiveQty],T_PlannedOrders[Part Name],$A479,T_PlannedOrders[WeekIndex],13)&amp;" ("&amp;TEXT(SUMPRODUCT(MAX((T_PlannedOrders[Part Name]=$A479)*(T_PlannedOrders[WeekIndex]=13)*(T_PlannedOrders[EffectiveQty]&gt;0)*T_PlannedOrders[Order_Month])),"m月")&amp;"発注)")</f>
        <v/>
      </c>
      <c r="Q489">
        <f>IF(SUMIFS(T_PlannedOrders[EffectiveQty],T_PlannedOrders[Part Name],$A479,T_PlannedOrders[WeekIndex],14)=0,"",SUMIFS(T_PlannedOrders[EffectiveQty],T_PlannedOrders[Part Name],$A479,T_PlannedOrders[WeekIndex],14)&amp;" ("&amp;TEXT(SUMPRODUCT(MAX((T_PlannedOrders[Part Name]=$A479)*(T_PlannedOrders[WeekIndex]=14)*(T_PlannedOrders[EffectiveQty]&gt;0)*T_PlannedOrders[Order_Month])),"m月")&amp;"発注)")</f>
        <v/>
      </c>
      <c r="R489">
        <f>IF(SUMIFS(T_PlannedOrders[EffectiveQty],T_PlannedOrders[Part Name],$A479,T_PlannedOrders[WeekIndex],15)=0,"",SUMIFS(T_PlannedOrders[EffectiveQty],T_PlannedOrders[Part Name],$A479,T_PlannedOrders[WeekIndex],15)&amp;" ("&amp;TEXT(SUMPRODUCT(MAX((T_PlannedOrders[Part Name]=$A479)*(T_PlannedOrders[WeekIndex]=15)*(T_PlannedOrders[EffectiveQty]&gt;0)*T_PlannedOrders[Order_Month])),"m月")&amp;"発注)")</f>
        <v/>
      </c>
      <c r="S489">
        <f>IF(SUMIFS(T_PlannedOrders[EffectiveQty],T_PlannedOrders[Part Name],$A479,T_PlannedOrders[WeekIndex],16)=0,"",SUMIFS(T_PlannedOrders[EffectiveQty],T_PlannedOrders[Part Name],$A479,T_PlannedOrders[WeekIndex],16)&amp;" ("&amp;TEXT(SUMPRODUCT(MAX((T_PlannedOrders[Part Name]=$A479)*(T_PlannedOrders[WeekIndex]=16)*(T_PlannedOrders[EffectiveQty]&gt;0)*T_PlannedOrders[Order_Month])),"m月")&amp;"発注)")</f>
        <v/>
      </c>
      <c r="T489">
        <f>IF(SUMIFS(T_PlannedOrders[EffectiveQty],T_PlannedOrders[Part Name],$A479,T_PlannedOrders[WeekIndex],17)=0,"",SUMIFS(T_PlannedOrders[EffectiveQty],T_PlannedOrders[Part Name],$A479,T_PlannedOrders[WeekIndex],17)&amp;" ("&amp;TEXT(SUMPRODUCT(MAX((T_PlannedOrders[Part Name]=$A479)*(T_PlannedOrders[WeekIndex]=17)*(T_PlannedOrders[EffectiveQty]&gt;0)*T_PlannedOrders[Order_Month])),"m月")&amp;"発注)")</f>
        <v/>
      </c>
      <c r="U489">
        <f>IF(SUMIFS(T_PlannedOrders[EffectiveQty],T_PlannedOrders[Part Name],$A479,T_PlannedOrders[WeekIndex],18)=0,"",SUMIFS(T_PlannedOrders[EffectiveQty],T_PlannedOrders[Part Name],$A479,T_PlannedOrders[WeekIndex],18)&amp;" ("&amp;TEXT(SUMPRODUCT(MAX((T_PlannedOrders[Part Name]=$A479)*(T_PlannedOrders[WeekIndex]=18)*(T_PlannedOrders[EffectiveQty]&gt;0)*T_PlannedOrders[Order_Month])),"m月")&amp;"発注)")</f>
        <v/>
      </c>
      <c r="V489">
        <f>IF(SUMIFS(T_PlannedOrders[EffectiveQty],T_PlannedOrders[Part Name],$A479,T_PlannedOrders[WeekIndex],19)=0,"",SUMIFS(T_PlannedOrders[EffectiveQty],T_PlannedOrders[Part Name],$A479,T_PlannedOrders[WeekIndex],19)&amp;" ("&amp;TEXT(SUMPRODUCT(MAX((T_PlannedOrders[Part Name]=$A479)*(T_PlannedOrders[WeekIndex]=19)*(T_PlannedOrders[EffectiveQty]&gt;0)*T_PlannedOrders[Order_Month])),"m月")&amp;"発注)")</f>
        <v/>
      </c>
      <c r="W489">
        <f>IF(SUMIFS(T_PlannedOrders[EffectiveQty],T_PlannedOrders[Part Name],$A479,T_PlannedOrders[WeekIndex],20)=0,"",SUMIFS(T_PlannedOrders[EffectiveQty],T_PlannedOrders[Part Name],$A479,T_PlannedOrders[WeekIndex],20)&amp;" ("&amp;TEXT(SUMPRODUCT(MAX((T_PlannedOrders[Part Name]=$A479)*(T_PlannedOrders[WeekIndex]=20)*(T_PlannedOrders[EffectiveQty]&gt;0)*T_PlannedOrders[Order_Month])),"m月")&amp;"発注)")</f>
        <v/>
      </c>
      <c r="X489">
        <f>IF(SUMIFS(T_PlannedOrders[EffectiveQty],T_PlannedOrders[Part Name],$A479,T_PlannedOrders[WeekIndex],21)=0,"",SUMIFS(T_PlannedOrders[EffectiveQty],T_PlannedOrders[Part Name],$A479,T_PlannedOrders[WeekIndex],21)&amp;" ("&amp;TEXT(SUMPRODUCT(MAX((T_PlannedOrders[Part Name]=$A479)*(T_PlannedOrders[WeekIndex]=21)*(T_PlannedOrders[EffectiveQty]&gt;0)*T_PlannedOrders[Order_Month])),"m月")&amp;"発注)")</f>
        <v/>
      </c>
      <c r="Y489">
        <f>IF(SUMIFS(T_PlannedOrders[EffectiveQty],T_PlannedOrders[Part Name],$A479,T_PlannedOrders[WeekIndex],22)=0,"",SUMIFS(T_PlannedOrders[EffectiveQty],T_PlannedOrders[Part Name],$A479,T_PlannedOrders[WeekIndex],22)&amp;" ("&amp;TEXT(SUMPRODUCT(MAX((T_PlannedOrders[Part Name]=$A479)*(T_PlannedOrders[WeekIndex]=22)*(T_PlannedOrders[EffectiveQty]&gt;0)*T_PlannedOrders[Order_Month])),"m月")&amp;"発注)")</f>
        <v/>
      </c>
      <c r="Z489">
        <f>IF(SUMIFS(T_PlannedOrders[EffectiveQty],T_PlannedOrders[Part Name],$A479,T_PlannedOrders[WeekIndex],23)=0,"",SUMIFS(T_PlannedOrders[EffectiveQty],T_PlannedOrders[Part Name],$A479,T_PlannedOrders[WeekIndex],23)&amp;" ("&amp;TEXT(SUMPRODUCT(MAX((T_PlannedOrders[Part Name]=$A479)*(T_PlannedOrders[WeekIndex]=23)*(T_PlannedOrders[EffectiveQty]&gt;0)*T_PlannedOrders[Order_Month])),"m月")&amp;"発注)")</f>
        <v/>
      </c>
      <c r="AA489">
        <f>IF(SUMIFS(T_PlannedOrders[EffectiveQty],T_PlannedOrders[Part Name],$A479,T_PlannedOrders[WeekIndex],24)=0,"",SUMIFS(T_PlannedOrders[EffectiveQty],T_PlannedOrders[Part Name],$A479,T_PlannedOrders[WeekIndex],24)&amp;" ("&amp;TEXT(SUMPRODUCT(MAX((T_PlannedOrders[Part Name]=$A479)*(T_PlannedOrders[WeekIndex]=24)*(T_PlannedOrders[EffectiveQty]&gt;0)*T_PlannedOrders[Order_Month])),"m月")&amp;"発注)")</f>
        <v/>
      </c>
      <c r="AB489">
        <f>IF(SUMIFS(T_PlannedOrders[EffectiveQty],T_PlannedOrders[Part Name],$A479,T_PlannedOrders[WeekIndex],25)=0,"",SUMIFS(T_PlannedOrders[EffectiveQty],T_PlannedOrders[Part Name],$A479,T_PlannedOrders[WeekIndex],25)&amp;" ("&amp;TEXT(SUMPRODUCT(MAX((T_PlannedOrders[Part Name]=$A479)*(T_PlannedOrders[WeekIndex]=25)*(T_PlannedOrders[EffectiveQty]&gt;0)*T_PlannedOrders[Order_Month])),"m月")&amp;"発注)")</f>
        <v/>
      </c>
      <c r="AC489">
        <f>IF(SUMIFS(T_PlannedOrders[EffectiveQty],T_PlannedOrders[Part Name],$A479,T_PlannedOrders[WeekIndex],26)=0,"",SUMIFS(T_PlannedOrders[EffectiveQty],T_PlannedOrders[Part Name],$A479,T_PlannedOrders[WeekIndex],26)&amp;" ("&amp;TEXT(SUMPRODUCT(MAX((T_PlannedOrders[Part Name]=$A479)*(T_PlannedOrders[WeekIndex]=26)*(T_PlannedOrders[EffectiveQty]&gt;0)*T_PlannedOrders[Order_Month])),"m月")&amp;"発注)")</f>
        <v/>
      </c>
      <c r="AD489">
        <f>IF(SUMIFS(T_PlannedOrders[EffectiveQty],T_PlannedOrders[Part Name],$A479,T_PlannedOrders[WeekIndex],27)=0,"",SUMIFS(T_PlannedOrders[EffectiveQty],T_PlannedOrders[Part Name],$A479,T_PlannedOrders[WeekIndex],27)&amp;" ("&amp;TEXT(SUMPRODUCT(MAX((T_PlannedOrders[Part Name]=$A479)*(T_PlannedOrders[WeekIndex]=27)*(T_PlannedOrders[EffectiveQty]&gt;0)*T_PlannedOrders[Order_Month])),"m月")&amp;"発注)")</f>
        <v/>
      </c>
      <c r="AE489">
        <f>IF(SUMIFS(T_PlannedOrders[EffectiveQty],T_PlannedOrders[Part Name],$A479,T_PlannedOrders[WeekIndex],28)=0,"",SUMIFS(T_PlannedOrders[EffectiveQty],T_PlannedOrders[Part Name],$A479,T_PlannedOrders[WeekIndex],28)&amp;" ("&amp;TEXT(SUMPRODUCT(MAX((T_PlannedOrders[Part Name]=$A479)*(T_PlannedOrders[WeekIndex]=28)*(T_PlannedOrders[EffectiveQty]&gt;0)*T_PlannedOrders[Order_Month])),"m月")&amp;"発注)")</f>
        <v/>
      </c>
      <c r="AF489">
        <f>IF(SUMIFS(T_PlannedOrders[EffectiveQty],T_PlannedOrders[Part Name],$A479,T_PlannedOrders[WeekIndex],29)=0,"",SUMIFS(T_PlannedOrders[EffectiveQty],T_PlannedOrders[Part Name],$A479,T_PlannedOrders[WeekIndex],29)&amp;" ("&amp;TEXT(SUMPRODUCT(MAX((T_PlannedOrders[Part Name]=$A479)*(T_PlannedOrders[WeekIndex]=29)*(T_PlannedOrders[EffectiveQty]&gt;0)*T_PlannedOrders[Order_Month])),"m月")&amp;"発注)")</f>
        <v/>
      </c>
      <c r="AG489">
        <f>IF(SUMIFS(T_PlannedOrders[EffectiveQty],T_PlannedOrders[Part Name],$A479,T_PlannedOrders[WeekIndex],30)=0,"",SUMIFS(T_PlannedOrders[EffectiveQty],T_PlannedOrders[Part Name],$A479,T_PlannedOrders[WeekIndex],30)&amp;" ("&amp;TEXT(SUMPRODUCT(MAX((T_PlannedOrders[Part Name]=$A479)*(T_PlannedOrders[WeekIndex]=30)*(T_PlannedOrders[EffectiveQty]&gt;0)*T_PlannedOrders[Order_Month])),"m月")&amp;"発注)")</f>
        <v/>
      </c>
      <c r="AH489">
        <f>IF(SUMIFS(T_PlannedOrders[EffectiveQty],T_PlannedOrders[Part Name],$A479,T_PlannedOrders[WeekIndex],31)=0,"",SUMIFS(T_PlannedOrders[EffectiveQty],T_PlannedOrders[Part Name],$A479,T_PlannedOrders[WeekIndex],31)&amp;" ("&amp;TEXT(SUMPRODUCT(MAX((T_PlannedOrders[Part Name]=$A479)*(T_PlannedOrders[WeekIndex]=31)*(T_PlannedOrders[EffectiveQty]&gt;0)*T_PlannedOrders[Order_Month])),"m月")&amp;"発注)")</f>
        <v/>
      </c>
      <c r="AI489">
        <f>IF(SUMIFS(T_PlannedOrders[EffectiveQty],T_PlannedOrders[Part Name],$A479,T_PlannedOrders[WeekIndex],32)=0,"",SUMIFS(T_PlannedOrders[EffectiveQty],T_PlannedOrders[Part Name],$A479,T_PlannedOrders[WeekIndex],32)&amp;" ("&amp;TEXT(SUMPRODUCT(MAX((T_PlannedOrders[Part Name]=$A479)*(T_PlannedOrders[WeekIndex]=32)*(T_PlannedOrders[EffectiveQty]&gt;0)*T_PlannedOrders[Order_Month])),"m月")&amp;"発注)")</f>
        <v/>
      </c>
      <c r="AJ489">
        <f>IF(SUMIFS(T_PlannedOrders[EffectiveQty],T_PlannedOrders[Part Name],$A479,T_PlannedOrders[WeekIndex],33)=0,"",SUMIFS(T_PlannedOrders[EffectiveQty],T_PlannedOrders[Part Name],$A479,T_PlannedOrders[WeekIndex],33)&amp;" ("&amp;TEXT(SUMPRODUCT(MAX((T_PlannedOrders[Part Name]=$A479)*(T_PlannedOrders[WeekIndex]=33)*(T_PlannedOrders[EffectiveQty]&gt;0)*T_PlannedOrders[Order_Month])),"m月")&amp;"発注)")</f>
        <v/>
      </c>
      <c r="AK489">
        <f>IF(SUMIFS(T_PlannedOrders[EffectiveQty],T_PlannedOrders[Part Name],$A479,T_PlannedOrders[WeekIndex],34)=0,"",SUMIFS(T_PlannedOrders[EffectiveQty],T_PlannedOrders[Part Name],$A479,T_PlannedOrders[WeekIndex],34)&amp;" ("&amp;TEXT(SUMPRODUCT(MAX((T_PlannedOrders[Part Name]=$A479)*(T_PlannedOrders[WeekIndex]=34)*(T_PlannedOrders[EffectiveQty]&gt;0)*T_PlannedOrders[Order_Month])),"m月")&amp;"発注)")</f>
        <v/>
      </c>
      <c r="AL489">
        <f>IF(SUMIFS(T_PlannedOrders[EffectiveQty],T_PlannedOrders[Part Name],$A479,T_PlannedOrders[WeekIndex],35)=0,"",SUMIFS(T_PlannedOrders[EffectiveQty],T_PlannedOrders[Part Name],$A479,T_PlannedOrders[WeekIndex],35)&amp;" ("&amp;TEXT(SUMPRODUCT(MAX((T_PlannedOrders[Part Name]=$A479)*(T_PlannedOrders[WeekIndex]=35)*(T_PlannedOrders[EffectiveQty]&gt;0)*T_PlannedOrders[Order_Month])),"m月")&amp;"発注)")</f>
        <v/>
      </c>
      <c r="AM489">
        <f>IF(SUMIFS(T_PlannedOrders[EffectiveQty],T_PlannedOrders[Part Name],$A479,T_PlannedOrders[WeekIndex],36)=0,"",SUMIFS(T_PlannedOrders[EffectiveQty],T_PlannedOrders[Part Name],$A479,T_PlannedOrders[WeekIndex],36)&amp;" ("&amp;TEXT(SUMPRODUCT(MAX((T_PlannedOrders[Part Name]=$A479)*(T_PlannedOrders[WeekIndex]=36)*(T_PlannedOrders[EffectiveQty]&gt;0)*T_PlannedOrders[Order_Month])),"m月")&amp;"発注)")</f>
        <v/>
      </c>
      <c r="AN489">
        <f>IF(SUMIFS(T_PlannedOrders[EffectiveQty],T_PlannedOrders[Part Name],$A479,T_PlannedOrders[WeekIndex],37)=0,"",SUMIFS(T_PlannedOrders[EffectiveQty],T_PlannedOrders[Part Name],$A479,T_PlannedOrders[WeekIndex],37)&amp;" ("&amp;TEXT(SUMPRODUCT(MAX((T_PlannedOrders[Part Name]=$A479)*(T_PlannedOrders[WeekIndex]=37)*(T_PlannedOrders[EffectiveQty]&gt;0)*T_PlannedOrders[Order_Month])),"m月")&amp;"発注)")</f>
        <v/>
      </c>
      <c r="AO489">
        <f>IF(SUMIFS(T_PlannedOrders[EffectiveQty],T_PlannedOrders[Part Name],$A479,T_PlannedOrders[WeekIndex],38)=0,"",SUMIFS(T_PlannedOrders[EffectiveQty],T_PlannedOrders[Part Name],$A479,T_PlannedOrders[WeekIndex],38)&amp;" ("&amp;TEXT(SUMPRODUCT(MAX((T_PlannedOrders[Part Name]=$A479)*(T_PlannedOrders[WeekIndex]=38)*(T_PlannedOrders[EffectiveQty]&gt;0)*T_PlannedOrders[Order_Month])),"m月")&amp;"発注)")</f>
        <v/>
      </c>
      <c r="AP489">
        <f>IF(SUMIFS(T_PlannedOrders[EffectiveQty],T_PlannedOrders[Part Name],$A479,T_PlannedOrders[WeekIndex],39)=0,"",SUMIFS(T_PlannedOrders[EffectiveQty],T_PlannedOrders[Part Name],$A479,T_PlannedOrders[WeekIndex],39)&amp;" ("&amp;TEXT(SUMPRODUCT(MAX((T_PlannedOrders[Part Name]=$A479)*(T_PlannedOrders[WeekIndex]=39)*(T_PlannedOrders[EffectiveQty]&gt;0)*T_PlannedOrders[Order_Month])),"m月")&amp;"発注)")</f>
        <v/>
      </c>
      <c r="AQ489">
        <f>IF(SUMIFS(T_PlannedOrders[EffectiveQty],T_PlannedOrders[Part Name],$A479,T_PlannedOrders[WeekIndex],40)=0,"",SUMIFS(T_PlannedOrders[EffectiveQty],T_PlannedOrders[Part Name],$A479,T_PlannedOrders[WeekIndex],40)&amp;" ("&amp;TEXT(SUMPRODUCT(MAX((T_PlannedOrders[Part Name]=$A479)*(T_PlannedOrders[WeekIndex]=40)*(T_PlannedOrders[EffectiveQty]&gt;0)*T_PlannedOrders[Order_Month])),"m月")&amp;"発注)")</f>
        <v/>
      </c>
      <c r="AR489">
        <f>IF(SUMIFS(T_PlannedOrders[EffectiveQty],T_PlannedOrders[Part Name],$A479,T_PlannedOrders[WeekIndex],41)=0,"",SUMIFS(T_PlannedOrders[EffectiveQty],T_PlannedOrders[Part Name],$A479,T_PlannedOrders[WeekIndex],41)&amp;" ("&amp;TEXT(SUMPRODUCT(MAX((T_PlannedOrders[Part Name]=$A479)*(T_PlannedOrders[WeekIndex]=41)*(T_PlannedOrders[EffectiveQty]&gt;0)*T_PlannedOrders[Order_Month])),"m月")&amp;"発注)")</f>
        <v/>
      </c>
      <c r="AS489">
        <f>IF(SUMIFS(T_PlannedOrders[EffectiveQty],T_PlannedOrders[Part Name],$A479,T_PlannedOrders[WeekIndex],42)=0,"",SUMIFS(T_PlannedOrders[EffectiveQty],T_PlannedOrders[Part Name],$A479,T_PlannedOrders[WeekIndex],42)&amp;" ("&amp;TEXT(SUMPRODUCT(MAX((T_PlannedOrders[Part Name]=$A479)*(T_PlannedOrders[WeekIndex]=42)*(T_PlannedOrders[EffectiveQty]&gt;0)*T_PlannedOrders[Order_Month])),"m月")&amp;"発注)")</f>
        <v/>
      </c>
      <c r="AT489">
        <f>IF(SUMIFS(T_PlannedOrders[EffectiveQty],T_PlannedOrders[Part Name],$A479,T_PlannedOrders[WeekIndex],43)=0,"",SUMIFS(T_PlannedOrders[EffectiveQty],T_PlannedOrders[Part Name],$A479,T_PlannedOrders[WeekIndex],43)&amp;" ("&amp;TEXT(SUMPRODUCT(MAX((T_PlannedOrders[Part Name]=$A479)*(T_PlannedOrders[WeekIndex]=43)*(T_PlannedOrders[EffectiveQty]&gt;0)*T_PlannedOrders[Order_Month])),"m月")&amp;"発注)")</f>
        <v/>
      </c>
      <c r="AU489">
        <f>IF(SUMIFS(T_PlannedOrders[EffectiveQty],T_PlannedOrders[Part Name],$A479,T_PlannedOrders[WeekIndex],44)=0,"",SUMIFS(T_PlannedOrders[EffectiveQty],T_PlannedOrders[Part Name],$A479,T_PlannedOrders[WeekIndex],44)&amp;" ("&amp;TEXT(SUMPRODUCT(MAX((T_PlannedOrders[Part Name]=$A479)*(T_PlannedOrders[WeekIndex]=44)*(T_PlannedOrders[EffectiveQty]&gt;0)*T_PlannedOrders[Order_Month])),"m月")&amp;"発注)")</f>
        <v/>
      </c>
      <c r="AV489">
        <f>IF(SUMIFS(T_PlannedOrders[EffectiveQty],T_PlannedOrders[Part Name],$A479,T_PlannedOrders[WeekIndex],45)=0,"",SUMIFS(T_PlannedOrders[EffectiveQty],T_PlannedOrders[Part Name],$A479,T_PlannedOrders[WeekIndex],45)&amp;" ("&amp;TEXT(SUMPRODUCT(MAX((T_PlannedOrders[Part Name]=$A479)*(T_PlannedOrders[WeekIndex]=45)*(T_PlannedOrders[EffectiveQty]&gt;0)*T_PlannedOrders[Order_Month])),"m月")&amp;"発注)")</f>
        <v/>
      </c>
      <c r="AW489">
        <f>IF(SUMIFS(T_PlannedOrders[EffectiveQty],T_PlannedOrders[Part Name],$A479,T_PlannedOrders[WeekIndex],46)=0,"",SUMIFS(T_PlannedOrders[EffectiveQty],T_PlannedOrders[Part Name],$A479,T_PlannedOrders[WeekIndex],46)&amp;" ("&amp;TEXT(SUMPRODUCT(MAX((T_PlannedOrders[Part Name]=$A479)*(T_PlannedOrders[WeekIndex]=46)*(T_PlannedOrders[EffectiveQty]&gt;0)*T_PlannedOrders[Order_Month])),"m月")&amp;"発注)")</f>
        <v/>
      </c>
      <c r="AX489">
        <f>IF(SUMIFS(T_PlannedOrders[EffectiveQty],T_PlannedOrders[Part Name],$A479,T_PlannedOrders[WeekIndex],47)=0,"",SUMIFS(T_PlannedOrders[EffectiveQty],T_PlannedOrders[Part Name],$A479,T_PlannedOrders[WeekIndex],47)&amp;" ("&amp;TEXT(SUMPRODUCT(MAX((T_PlannedOrders[Part Name]=$A479)*(T_PlannedOrders[WeekIndex]=47)*(T_PlannedOrders[EffectiveQty]&gt;0)*T_PlannedOrders[Order_Month])),"m月")&amp;"発注)")</f>
        <v/>
      </c>
      <c r="AY489">
        <f>IF(SUMIFS(T_PlannedOrders[EffectiveQty],T_PlannedOrders[Part Name],$A479,T_PlannedOrders[WeekIndex],48)=0,"",SUMIFS(T_PlannedOrders[EffectiveQty],T_PlannedOrders[Part Name],$A479,T_PlannedOrders[WeekIndex],48)&amp;" ("&amp;TEXT(SUMPRODUCT(MAX((T_PlannedOrders[Part Name]=$A479)*(T_PlannedOrders[WeekIndex]=48)*(T_PlannedOrders[EffectiveQty]&gt;0)*T_PlannedOrders[Order_Month])),"m月")&amp;"発注)")</f>
        <v/>
      </c>
      <c r="AZ489">
        <f>IF(SUMIFS(T_PlannedOrders[EffectiveQty],T_PlannedOrders[Part Name],$A479,T_PlannedOrders[WeekIndex],49)=0,"",SUMIFS(T_PlannedOrders[EffectiveQty],T_PlannedOrders[Part Name],$A479,T_PlannedOrders[WeekIndex],49)&amp;" ("&amp;TEXT(SUMPRODUCT(MAX((T_PlannedOrders[Part Name]=$A479)*(T_PlannedOrders[WeekIndex]=49)*(T_PlannedOrders[EffectiveQty]&gt;0)*T_PlannedOrders[Order_Month])),"m月")&amp;"発注)")</f>
        <v/>
      </c>
      <c r="BA489">
        <f>IF(SUMIFS(T_PlannedOrders[EffectiveQty],T_PlannedOrders[Part Name],$A479,T_PlannedOrders[WeekIndex],50)=0,"",SUMIFS(T_PlannedOrders[EffectiveQty],T_PlannedOrders[Part Name],$A479,T_PlannedOrders[WeekIndex],50)&amp;" ("&amp;TEXT(SUMPRODUCT(MAX((T_PlannedOrders[Part Name]=$A479)*(T_PlannedOrders[WeekIndex]=50)*(T_PlannedOrders[EffectiveQty]&gt;0)*T_PlannedOrders[Order_Month])),"m月")&amp;"発注)")</f>
        <v/>
      </c>
      <c r="BB489">
        <f>IF(SUMIFS(T_PlannedOrders[EffectiveQty],T_PlannedOrders[Part Name],$A479,T_PlannedOrders[WeekIndex],51)=0,"",SUMIFS(T_PlannedOrders[EffectiveQty],T_PlannedOrders[Part Name],$A479,T_PlannedOrders[WeekIndex],51)&amp;" ("&amp;TEXT(SUMPRODUCT(MAX((T_PlannedOrders[Part Name]=$A479)*(T_PlannedOrders[WeekIndex]=51)*(T_PlannedOrders[EffectiveQty]&gt;0)*T_PlannedOrders[Order_Month])),"m月")&amp;"発注)")</f>
        <v/>
      </c>
      <c r="BC489">
        <f>IF(SUMIFS(T_PlannedOrders[EffectiveQty],T_PlannedOrders[Part Name],$A479,T_PlannedOrders[WeekIndex],52)=0,"",SUMIFS(T_PlannedOrders[EffectiveQty],T_PlannedOrders[Part Name],$A479,T_PlannedOrders[WeekIndex],52)&amp;" ("&amp;TEXT(SUMPRODUCT(MAX((T_PlannedOrders[Part Name]=$A479)*(T_PlannedOrders[WeekIndex]=52)*(T_PlannedOrders[EffectiveQty]&gt;0)*T_PlannedOrders[Order_Month])),"m月")&amp;"発注)")</f>
        <v/>
      </c>
      <c r="BD489">
        <f>IF(SUMIFS(T_PlannedOrders[EffectiveQty],T_PlannedOrders[Part Name],$A479,T_PlannedOrders[WeekIndex],53)=0,"",SUMIFS(T_PlannedOrders[EffectiveQty],T_PlannedOrders[Part Name],$A479,T_PlannedOrders[WeekIndex],53)&amp;" ("&amp;TEXT(SUMPRODUCT(MAX((T_PlannedOrders[Part Name]=$A479)*(T_PlannedOrders[WeekIndex]=53)*(T_PlannedOrders[EffectiveQty]&gt;0)*T_PlannedOrders[Order_Month])),"m月")&amp;"発注)")</f>
        <v/>
      </c>
      <c r="BE489">
        <f>IF(SUMIFS(T_PlannedOrders[EffectiveQty],T_PlannedOrders[Part Name],$A479,T_PlannedOrders[WeekIndex],54)=0,"",SUMIFS(T_PlannedOrders[EffectiveQty],T_PlannedOrders[Part Name],$A479,T_PlannedOrders[WeekIndex],54)&amp;" ("&amp;TEXT(SUMPRODUCT(MAX((T_PlannedOrders[Part Name]=$A479)*(T_PlannedOrders[WeekIndex]=54)*(T_PlannedOrders[EffectiveQty]&gt;0)*T_PlannedOrders[Order_Month])),"m月")&amp;"発注)")</f>
        <v/>
      </c>
      <c r="BF489">
        <f>IF(SUMIFS(T_PlannedOrders[EffectiveQty],T_PlannedOrders[Part Name],$A479,T_PlannedOrders[WeekIndex],55)=0,"",SUMIFS(T_PlannedOrders[EffectiveQty],T_PlannedOrders[Part Name],$A479,T_PlannedOrders[WeekIndex],55)&amp;" ("&amp;TEXT(SUMPRODUCT(MAX((T_PlannedOrders[Part Name]=$A479)*(T_PlannedOrders[WeekIndex]=55)*(T_PlannedOrders[EffectiveQty]&gt;0)*T_PlannedOrders[Order_Month])),"m月")&amp;"発注)")</f>
        <v/>
      </c>
      <c r="BG489">
        <f>IF(SUMIFS(T_PlannedOrders[EffectiveQty],T_PlannedOrders[Part Name],$A479,T_PlannedOrders[WeekIndex],56)=0,"",SUMIFS(T_PlannedOrders[EffectiveQty],T_PlannedOrders[Part Name],$A479,T_PlannedOrders[WeekIndex],56)&amp;" ("&amp;TEXT(SUMPRODUCT(MAX((T_PlannedOrders[Part Name]=$A479)*(T_PlannedOrders[WeekIndex]=56)*(T_PlannedOrders[EffectiveQty]&gt;0)*T_PlannedOrders[Order_Month])),"m月")&amp;"発注)")</f>
        <v/>
      </c>
      <c r="BH489">
        <f>IF(SUMIFS(T_PlannedOrders[EffectiveQty],T_PlannedOrders[Part Name],$A479,T_PlannedOrders[WeekIndex],57)=0,"",SUMIFS(T_PlannedOrders[EffectiveQty],T_PlannedOrders[Part Name],$A479,T_PlannedOrders[WeekIndex],57)&amp;" ("&amp;TEXT(SUMPRODUCT(MAX((T_PlannedOrders[Part Name]=$A479)*(T_PlannedOrders[WeekIndex]=57)*(T_PlannedOrders[EffectiveQty]&gt;0)*T_PlannedOrders[Order_Month])),"m月")&amp;"発注)")</f>
        <v/>
      </c>
      <c r="BI489">
        <f>IF(SUMIFS(T_PlannedOrders[EffectiveQty],T_PlannedOrders[Part Name],$A479,T_PlannedOrders[WeekIndex],58)=0,"",SUMIFS(T_PlannedOrders[EffectiveQty],T_PlannedOrders[Part Name],$A479,T_PlannedOrders[WeekIndex],58)&amp;" ("&amp;TEXT(SUMPRODUCT(MAX((T_PlannedOrders[Part Name]=$A479)*(T_PlannedOrders[WeekIndex]=58)*(T_PlannedOrders[EffectiveQty]&gt;0)*T_PlannedOrders[Order_Month])),"m月")&amp;"発注)")</f>
        <v/>
      </c>
      <c r="BJ489">
        <f>IF(SUMIFS(T_PlannedOrders[EffectiveQty],T_PlannedOrders[Part Name],$A479,T_PlannedOrders[WeekIndex],59)=0,"",SUMIFS(T_PlannedOrders[EffectiveQty],T_PlannedOrders[Part Name],$A479,T_PlannedOrders[WeekIndex],59)&amp;" ("&amp;TEXT(SUMPRODUCT(MAX((T_PlannedOrders[Part Name]=$A479)*(T_PlannedOrders[WeekIndex]=59)*(T_PlannedOrders[EffectiveQty]&gt;0)*T_PlannedOrders[Order_Month])),"m月")&amp;"発注)")</f>
        <v/>
      </c>
      <c r="BK489">
        <f>IF(SUMIFS(T_PlannedOrders[EffectiveQty],T_PlannedOrders[Part Name],$A479,T_PlannedOrders[WeekIndex],60)=0,"",SUMIFS(T_PlannedOrders[EffectiveQty],T_PlannedOrders[Part Name],$A479,T_PlannedOrders[WeekIndex],60)&amp;" ("&amp;TEXT(SUMPRODUCT(MAX((T_PlannedOrders[Part Name]=$A479)*(T_PlannedOrders[WeekIndex]=60)*(T_PlannedOrders[EffectiveQty]&gt;0)*T_PlannedOrders[Order_Month])),"m月")&amp;"発注)")</f>
        <v/>
      </c>
      <c r="BL489">
        <f>IF(SUMIFS(T_PlannedOrders[EffectiveQty],T_PlannedOrders[Part Name],$A479,T_PlannedOrders[WeekIndex],61)=0,"",SUMIFS(T_PlannedOrders[EffectiveQty],T_PlannedOrders[Part Name],$A479,T_PlannedOrders[WeekIndex],61)&amp;" ("&amp;TEXT(SUMPRODUCT(MAX((T_PlannedOrders[Part Name]=$A479)*(T_PlannedOrders[WeekIndex]=61)*(T_PlannedOrders[EffectiveQty]&gt;0)*T_PlannedOrders[Order_Month])),"m月")&amp;"発注)")</f>
        <v/>
      </c>
      <c r="BM489">
        <f>IF(SUMIFS(T_PlannedOrders[EffectiveQty],T_PlannedOrders[Part Name],$A479,T_PlannedOrders[WeekIndex],62)=0,"",SUMIFS(T_PlannedOrders[EffectiveQty],T_PlannedOrders[Part Name],$A479,T_PlannedOrders[WeekIndex],62)&amp;" ("&amp;TEXT(SUMPRODUCT(MAX((T_PlannedOrders[Part Name]=$A479)*(T_PlannedOrders[WeekIndex]=62)*(T_PlannedOrders[EffectiveQty]&gt;0)*T_PlannedOrders[Order_Month])),"m月")&amp;"発注)")</f>
        <v/>
      </c>
      <c r="BN489">
        <f>IF(SUMIFS(T_PlannedOrders[EffectiveQty],T_PlannedOrders[Part Name],$A479,T_PlannedOrders[WeekIndex],63)=0,"",SUMIFS(T_PlannedOrders[EffectiveQty],T_PlannedOrders[Part Name],$A479,T_PlannedOrders[WeekIndex],63)&amp;" ("&amp;TEXT(SUMPRODUCT(MAX((T_PlannedOrders[Part Name]=$A479)*(T_PlannedOrders[WeekIndex]=63)*(T_PlannedOrders[EffectiveQty]&gt;0)*T_PlannedOrders[Order_Month])),"m月")&amp;"発注)")</f>
        <v/>
      </c>
      <c r="BO489">
        <f>IF(SUMIFS(T_PlannedOrders[EffectiveQty],T_PlannedOrders[Part Name],$A479,T_PlannedOrders[WeekIndex],64)=0,"",SUMIFS(T_PlannedOrders[EffectiveQty],T_PlannedOrders[Part Name],$A479,T_PlannedOrders[WeekIndex],64)&amp;" ("&amp;TEXT(SUMPRODUCT(MAX((T_PlannedOrders[Part Name]=$A479)*(T_PlannedOrders[WeekIndex]=64)*(T_PlannedOrders[EffectiveQty]&gt;0)*T_PlannedOrders[Order_Month])),"m月")&amp;"発注)")</f>
        <v/>
      </c>
      <c r="BP489">
        <f>IF(SUMIFS(T_PlannedOrders[EffectiveQty],T_PlannedOrders[Part Name],$A479,T_PlannedOrders[WeekIndex],65)=0,"",SUMIFS(T_PlannedOrders[EffectiveQty],T_PlannedOrders[Part Name],$A479,T_PlannedOrders[WeekIndex],65)&amp;" ("&amp;TEXT(SUMPRODUCT(MAX((T_PlannedOrders[Part Name]=$A479)*(T_PlannedOrders[WeekIndex]=65)*(T_PlannedOrders[EffectiveQty]&gt;0)*T_PlannedOrders[Order_Month])),"m月")&amp;"発注)")</f>
        <v/>
      </c>
      <c r="BQ489">
        <f>IF(SUMIFS(T_PlannedOrders[EffectiveQty],T_PlannedOrders[Part Name],$A479,T_PlannedOrders[WeekIndex],66)=0,"",SUMIFS(T_PlannedOrders[EffectiveQty],T_PlannedOrders[Part Name],$A479,T_PlannedOrders[WeekIndex],66)&amp;" ("&amp;TEXT(SUMPRODUCT(MAX((T_PlannedOrders[Part Name]=$A479)*(T_PlannedOrders[WeekIndex]=66)*(T_PlannedOrders[EffectiveQty]&gt;0)*T_PlannedOrders[Order_Month])),"m月")&amp;"発注)")</f>
        <v/>
      </c>
      <c r="BR489">
        <f>IF(SUMIFS(T_PlannedOrders[EffectiveQty],T_PlannedOrders[Part Name],$A479,T_PlannedOrders[WeekIndex],67)=0,"",SUMIFS(T_PlannedOrders[EffectiveQty],T_PlannedOrders[Part Name],$A479,T_PlannedOrders[WeekIndex],67)&amp;" ("&amp;TEXT(SUMPRODUCT(MAX((T_PlannedOrders[Part Name]=$A479)*(T_PlannedOrders[WeekIndex]=67)*(T_PlannedOrders[EffectiveQty]&gt;0)*T_PlannedOrders[Order_Month])),"m月")&amp;"発注)")</f>
        <v/>
      </c>
      <c r="BS489">
        <f>IF(SUMIFS(T_PlannedOrders[EffectiveQty],T_PlannedOrders[Part Name],$A479,T_PlannedOrders[WeekIndex],68)=0,"",SUMIFS(T_PlannedOrders[EffectiveQty],T_PlannedOrders[Part Name],$A479,T_PlannedOrders[WeekIndex],68)&amp;" ("&amp;TEXT(SUMPRODUCT(MAX((T_PlannedOrders[Part Name]=$A479)*(T_PlannedOrders[WeekIndex]=68)*(T_PlannedOrders[EffectiveQty]&gt;0)*T_PlannedOrders[Order_Month])),"m月")&amp;"発注)")</f>
        <v/>
      </c>
      <c r="BT489">
        <f>IF(SUMIFS(T_PlannedOrders[EffectiveQty],T_PlannedOrders[Part Name],$A479,T_PlannedOrders[WeekIndex],69)=0,"",SUMIFS(T_PlannedOrders[EffectiveQty],T_PlannedOrders[Part Name],$A479,T_PlannedOrders[WeekIndex],69)&amp;" ("&amp;TEXT(SUMPRODUCT(MAX((T_PlannedOrders[Part Name]=$A479)*(T_PlannedOrders[WeekIndex]=69)*(T_PlannedOrders[EffectiveQty]&gt;0)*T_PlannedOrders[Order_Month])),"m月")&amp;"発注)")</f>
        <v/>
      </c>
      <c r="BU489">
        <f>IF(SUMIFS(T_PlannedOrders[EffectiveQty],T_PlannedOrders[Part Name],$A479,T_PlannedOrders[WeekIndex],70)=0,"",SUMIFS(T_PlannedOrders[EffectiveQty],T_PlannedOrders[Part Name],$A479,T_PlannedOrders[WeekIndex],70)&amp;" ("&amp;TEXT(SUMPRODUCT(MAX((T_PlannedOrders[Part Name]=$A479)*(T_PlannedOrders[WeekIndex]=70)*(T_PlannedOrders[EffectiveQty]&gt;0)*T_PlannedOrders[Order_Month])),"m月")&amp;"発注)")</f>
        <v/>
      </c>
      <c r="BV489">
        <f>IF(SUMIFS(T_PlannedOrders[EffectiveQty],T_PlannedOrders[Part Name],$A479,T_PlannedOrders[WeekIndex],71)=0,"",SUMIFS(T_PlannedOrders[EffectiveQty],T_PlannedOrders[Part Name],$A479,T_PlannedOrders[WeekIndex],71)&amp;" ("&amp;TEXT(SUMPRODUCT(MAX((T_PlannedOrders[Part Name]=$A479)*(T_PlannedOrders[WeekIndex]=71)*(T_PlannedOrders[EffectiveQty]&gt;0)*T_PlannedOrders[Order_Month])),"m月")&amp;"発注)")</f>
        <v/>
      </c>
      <c r="BW489">
        <f>IF(SUMIFS(T_PlannedOrders[EffectiveQty],T_PlannedOrders[Part Name],$A479,T_PlannedOrders[WeekIndex],72)=0,"",SUMIFS(T_PlannedOrders[EffectiveQty],T_PlannedOrders[Part Name],$A479,T_PlannedOrders[WeekIndex],72)&amp;" ("&amp;TEXT(SUMPRODUCT(MAX((T_PlannedOrders[Part Name]=$A479)*(T_PlannedOrders[WeekIndex]=72)*(T_PlannedOrders[EffectiveQty]&gt;0)*T_PlannedOrders[Order_Month])),"m月")&amp;"発注)")</f>
        <v/>
      </c>
      <c r="BX489">
        <f>IF(SUMIFS(T_PlannedOrders[EffectiveQty],T_PlannedOrders[Part Name],$A479,T_PlannedOrders[WeekIndex],73)=0,"",SUMIFS(T_PlannedOrders[EffectiveQty],T_PlannedOrders[Part Name],$A479,T_PlannedOrders[WeekIndex],73)&amp;" ("&amp;TEXT(SUMPRODUCT(MAX((T_PlannedOrders[Part Name]=$A479)*(T_PlannedOrders[WeekIndex]=73)*(T_PlannedOrders[EffectiveQty]&gt;0)*T_PlannedOrders[Order_Month])),"m月")&amp;"発注)")</f>
        <v/>
      </c>
      <c r="BY489">
        <f>IF(SUMIFS(T_PlannedOrders[EffectiveQty],T_PlannedOrders[Part Name],$A479,T_PlannedOrders[WeekIndex],74)=0,"",SUMIFS(T_PlannedOrders[EffectiveQty],T_PlannedOrders[Part Name],$A479,T_PlannedOrders[WeekIndex],74)&amp;" ("&amp;TEXT(SUMPRODUCT(MAX((T_PlannedOrders[Part Name]=$A479)*(T_PlannedOrders[WeekIndex]=74)*(T_PlannedOrders[EffectiveQty]&gt;0)*T_PlannedOrders[Order_Month])),"m月")&amp;"発注)")</f>
        <v/>
      </c>
      <c r="BZ489">
        <f>IF(SUMIFS(T_PlannedOrders[EffectiveQty],T_PlannedOrders[Part Name],$A479,T_PlannedOrders[WeekIndex],75)=0,"",SUMIFS(T_PlannedOrders[EffectiveQty],T_PlannedOrders[Part Name],$A479,T_PlannedOrders[WeekIndex],75)&amp;" ("&amp;TEXT(SUMPRODUCT(MAX((T_PlannedOrders[Part Name]=$A479)*(T_PlannedOrders[WeekIndex]=75)*(T_PlannedOrders[EffectiveQty]&gt;0)*T_PlannedOrders[Order_Month])),"m月")&amp;"発注)")</f>
        <v/>
      </c>
      <c r="CA489">
        <f>IF(SUMIFS(T_PlannedOrders[EffectiveQty],T_PlannedOrders[Part Name],$A479,T_PlannedOrders[WeekIndex],76)=0,"",SUMIFS(T_PlannedOrders[EffectiveQty],T_PlannedOrders[Part Name],$A479,T_PlannedOrders[WeekIndex],76)&amp;" ("&amp;TEXT(SUMPRODUCT(MAX((T_PlannedOrders[Part Name]=$A479)*(T_PlannedOrders[WeekIndex]=76)*(T_PlannedOrders[EffectiveQty]&gt;0)*T_PlannedOrders[Order_Month])),"m月")&amp;"発注)")</f>
        <v/>
      </c>
      <c r="CB489">
        <f>IF(SUMIFS(T_PlannedOrders[EffectiveQty],T_PlannedOrders[Part Name],$A479,T_PlannedOrders[WeekIndex],77)=0,"",SUMIFS(T_PlannedOrders[EffectiveQty],T_PlannedOrders[Part Name],$A479,T_PlannedOrders[WeekIndex],77)&amp;" ("&amp;TEXT(SUMPRODUCT(MAX((T_PlannedOrders[Part Name]=$A479)*(T_PlannedOrders[WeekIndex]=77)*(T_PlannedOrders[EffectiveQty]&gt;0)*T_PlannedOrders[Order_Month])),"m月")&amp;"発注)")</f>
        <v/>
      </c>
      <c r="CC489">
        <f>IF(SUMIFS(T_PlannedOrders[EffectiveQty],T_PlannedOrders[Part Name],$A479,T_PlannedOrders[WeekIndex],78)=0,"",SUMIFS(T_PlannedOrders[EffectiveQty],T_PlannedOrders[Part Name],$A479,T_PlannedOrders[WeekIndex],78)&amp;" ("&amp;TEXT(SUMPRODUCT(MAX((T_PlannedOrders[Part Name]=$A479)*(T_PlannedOrders[WeekIndex]=78)*(T_PlannedOrders[EffectiveQty]&gt;0)*T_PlannedOrders[Order_Month])),"m月")&amp;"発注)")</f>
        <v/>
      </c>
      <c r="CD489">
        <f>IF(SUMIFS(T_PlannedOrders[EffectiveQty],T_PlannedOrders[Part Name],$A479,T_PlannedOrders[WeekIndex],79)=0,"",SUMIFS(T_PlannedOrders[EffectiveQty],T_PlannedOrders[Part Name],$A479,T_PlannedOrders[WeekIndex],79)&amp;" ("&amp;TEXT(SUMPRODUCT(MAX((T_PlannedOrders[Part Name]=$A479)*(T_PlannedOrders[WeekIndex]=79)*(T_PlannedOrders[EffectiveQty]&gt;0)*T_PlannedOrders[Order_Month])),"m月")&amp;"発注)")</f>
        <v/>
      </c>
      <c r="CE489">
        <f>IF(SUMIFS(T_PlannedOrders[EffectiveQty],T_PlannedOrders[Part Name],$A479,T_PlannedOrders[WeekIndex],80)=0,"",SUMIFS(T_PlannedOrders[EffectiveQty],T_PlannedOrders[Part Name],$A479,T_PlannedOrders[WeekIndex],80)&amp;" ("&amp;TEXT(SUMPRODUCT(MAX((T_PlannedOrders[Part Name]=$A479)*(T_PlannedOrders[WeekIndex]=80)*(T_PlannedOrders[EffectiveQty]&gt;0)*T_PlannedOrders[Order_Month])),"m月")&amp;"発注)")</f>
        <v/>
      </c>
      <c r="CF489">
        <f>IF(SUMIFS(T_PlannedOrders[EffectiveQty],T_PlannedOrders[Part Name],$A479,T_PlannedOrders[WeekIndex],81)=0,"",SUMIFS(T_PlannedOrders[EffectiveQty],T_PlannedOrders[Part Name],$A479,T_PlannedOrders[WeekIndex],81)&amp;" ("&amp;TEXT(SUMPRODUCT(MAX((T_PlannedOrders[Part Name]=$A479)*(T_PlannedOrders[WeekIndex]=81)*(T_PlannedOrders[EffectiveQty]&gt;0)*T_PlannedOrders[Order_Month])),"m月")&amp;"発注)")</f>
        <v/>
      </c>
      <c r="CG489">
        <f>IF(SUMIFS(T_PlannedOrders[EffectiveQty],T_PlannedOrders[Part Name],$A479,T_PlannedOrders[WeekIndex],82)=0,"",SUMIFS(T_PlannedOrders[EffectiveQty],T_PlannedOrders[Part Name],$A479,T_PlannedOrders[WeekIndex],82)&amp;" ("&amp;TEXT(SUMPRODUCT(MAX((T_PlannedOrders[Part Name]=$A479)*(T_PlannedOrders[WeekIndex]=82)*(T_PlannedOrders[EffectiveQty]&gt;0)*T_PlannedOrders[Order_Month])),"m月")&amp;"発注)")</f>
        <v/>
      </c>
      <c r="CH489">
        <f>IF(SUMIFS(T_PlannedOrders[EffectiveQty],T_PlannedOrders[Part Name],$A479,T_PlannedOrders[WeekIndex],83)=0,"",SUMIFS(T_PlannedOrders[EffectiveQty],T_PlannedOrders[Part Name],$A479,T_PlannedOrders[WeekIndex],83)&amp;" ("&amp;TEXT(SUMPRODUCT(MAX((T_PlannedOrders[Part Name]=$A479)*(T_PlannedOrders[WeekIndex]=83)*(T_PlannedOrders[EffectiveQty]&gt;0)*T_PlannedOrders[Order_Month])),"m月")&amp;"発注)")</f>
        <v/>
      </c>
      <c r="CI489">
        <f>IF(SUMIFS(T_PlannedOrders[EffectiveQty],T_PlannedOrders[Part Name],$A479,T_PlannedOrders[WeekIndex],84)=0,"",SUMIFS(T_PlannedOrders[EffectiveQty],T_PlannedOrders[Part Name],$A479,T_PlannedOrders[WeekIndex],84)&amp;" ("&amp;TEXT(SUMPRODUCT(MAX((T_PlannedOrders[Part Name]=$A479)*(T_PlannedOrders[WeekIndex]=84)*(T_PlannedOrders[EffectiveQty]&gt;0)*T_PlannedOrders[Order_Month])),"m月")&amp;"発注)")</f>
        <v/>
      </c>
      <c r="CJ489">
        <f>IF(SUMIFS(T_PlannedOrders[EffectiveQty],T_PlannedOrders[Part Name],$A479,T_PlannedOrders[WeekIndex],85)=0,"",SUMIFS(T_PlannedOrders[EffectiveQty],T_PlannedOrders[Part Name],$A479,T_PlannedOrders[WeekIndex],85)&amp;" ("&amp;TEXT(SUMPRODUCT(MAX((T_PlannedOrders[Part Name]=$A479)*(T_PlannedOrders[WeekIndex]=85)*(T_PlannedOrders[EffectiveQty]&gt;0)*T_PlannedOrders[Order_Month])),"m月")&amp;"発注)")</f>
        <v/>
      </c>
      <c r="CK489">
        <f>IF(SUMIFS(T_PlannedOrders[EffectiveQty],T_PlannedOrders[Part Name],$A479,T_PlannedOrders[WeekIndex],86)=0,"",SUMIFS(T_PlannedOrders[EffectiveQty],T_PlannedOrders[Part Name],$A479,T_PlannedOrders[WeekIndex],86)&amp;" ("&amp;TEXT(SUMPRODUCT(MAX((T_PlannedOrders[Part Name]=$A479)*(T_PlannedOrders[WeekIndex]=86)*(T_PlannedOrders[EffectiveQty]&gt;0)*T_PlannedOrders[Order_Month])),"m月")&amp;"発注)")</f>
        <v/>
      </c>
      <c r="CL489">
        <f>IF(SUMIFS(T_PlannedOrders[EffectiveQty],T_PlannedOrders[Part Name],$A479,T_PlannedOrders[WeekIndex],87)=0,"",SUMIFS(T_PlannedOrders[EffectiveQty],T_PlannedOrders[Part Name],$A479,T_PlannedOrders[WeekIndex],87)&amp;" ("&amp;TEXT(SUMPRODUCT(MAX((T_PlannedOrders[Part Name]=$A479)*(T_PlannedOrders[WeekIndex]=87)*(T_PlannedOrders[EffectiveQty]&gt;0)*T_PlannedOrders[Order_Month])),"m月")&amp;"発注)")</f>
        <v/>
      </c>
      <c r="CM489">
        <f>IF(SUMIFS(T_PlannedOrders[EffectiveQty],T_PlannedOrders[Part Name],$A479,T_PlannedOrders[WeekIndex],88)=0,"",SUMIFS(T_PlannedOrders[EffectiveQty],T_PlannedOrders[Part Name],$A479,T_PlannedOrders[WeekIndex],88)&amp;" ("&amp;TEXT(SUMPRODUCT(MAX((T_PlannedOrders[Part Name]=$A479)*(T_PlannedOrders[WeekIndex]=88)*(T_PlannedOrders[EffectiveQty]&gt;0)*T_PlannedOrders[Order_Month])),"m月")&amp;"発注)")</f>
        <v/>
      </c>
      <c r="CN489">
        <f>IF(SUMIFS(T_PlannedOrders[EffectiveQty],T_PlannedOrders[Part Name],$A479,T_PlannedOrders[WeekIndex],89)=0,"",SUMIFS(T_PlannedOrders[EffectiveQty],T_PlannedOrders[Part Name],$A479,T_PlannedOrders[WeekIndex],89)&amp;" ("&amp;TEXT(SUMPRODUCT(MAX((T_PlannedOrders[Part Name]=$A479)*(T_PlannedOrders[WeekIndex]=89)*(T_PlannedOrders[EffectiveQty]&gt;0)*T_PlannedOrders[Order_Month])),"m月")&amp;"発注)")</f>
        <v/>
      </c>
      <c r="CO489">
        <f>IF(SUMIFS(T_PlannedOrders[EffectiveQty],T_PlannedOrders[Part Name],$A479,T_PlannedOrders[WeekIndex],90)=0,"",SUMIFS(T_PlannedOrders[EffectiveQty],T_PlannedOrders[Part Name],$A479,T_PlannedOrders[WeekIndex],90)&amp;" ("&amp;TEXT(SUMPRODUCT(MAX((T_PlannedOrders[Part Name]=$A479)*(T_PlannedOrders[WeekIndex]=90)*(T_PlannedOrders[EffectiveQty]&gt;0)*T_PlannedOrders[Order_Month])),"m月")&amp;"発注)")</f>
        <v/>
      </c>
      <c r="CP489">
        <f>IF(SUMIFS(T_PlannedOrders[EffectiveQty],T_PlannedOrders[Part Name],$A479,T_PlannedOrders[WeekIndex],91)=0,"",SUMIFS(T_PlannedOrders[EffectiveQty],T_PlannedOrders[Part Name],$A479,T_PlannedOrders[WeekIndex],91)&amp;" ("&amp;TEXT(SUMPRODUCT(MAX((T_PlannedOrders[Part Name]=$A479)*(T_PlannedOrders[WeekIndex]=91)*(T_PlannedOrders[EffectiveQty]&gt;0)*T_PlannedOrders[Order_Month])),"m月")&amp;"発注)")</f>
        <v/>
      </c>
      <c r="CQ489">
        <f>IF(SUMIFS(T_PlannedOrders[EffectiveQty],T_PlannedOrders[Part Name],$A479,T_PlannedOrders[WeekIndex],92)=0,"",SUMIFS(T_PlannedOrders[EffectiveQty],T_PlannedOrders[Part Name],$A479,T_PlannedOrders[WeekIndex],92)&amp;" ("&amp;TEXT(SUMPRODUCT(MAX((T_PlannedOrders[Part Name]=$A479)*(T_PlannedOrders[WeekIndex]=92)*(T_PlannedOrders[EffectiveQty]&gt;0)*T_PlannedOrders[Order_Month])),"m月")&amp;"発注)")</f>
        <v/>
      </c>
      <c r="CR489">
        <f>IF(SUMIFS(T_PlannedOrders[EffectiveQty],T_PlannedOrders[Part Name],$A479,T_PlannedOrders[WeekIndex],93)=0,"",SUMIFS(T_PlannedOrders[EffectiveQty],T_PlannedOrders[Part Name],$A479,T_PlannedOrders[WeekIndex],93)&amp;" ("&amp;TEXT(SUMPRODUCT(MAX((T_PlannedOrders[Part Name]=$A479)*(T_PlannedOrders[WeekIndex]=93)*(T_PlannedOrders[EffectiveQty]&gt;0)*T_PlannedOrders[Order_Month])),"m月")&amp;"発注)")</f>
        <v/>
      </c>
      <c r="CS489">
        <f>IF(SUMIFS(T_PlannedOrders[EffectiveQty],T_PlannedOrders[Part Name],$A479,T_PlannedOrders[WeekIndex],94)=0,"",SUMIFS(T_PlannedOrders[EffectiveQty],T_PlannedOrders[Part Name],$A479,T_PlannedOrders[WeekIndex],94)&amp;" ("&amp;TEXT(SUMPRODUCT(MAX((T_PlannedOrders[Part Name]=$A479)*(T_PlannedOrders[WeekIndex]=94)*(T_PlannedOrders[EffectiveQty]&gt;0)*T_PlannedOrders[Order_Month])),"m月")&amp;"発注)")</f>
        <v/>
      </c>
      <c r="CT489">
        <f>IF(SUMIFS(T_PlannedOrders[EffectiveQty],T_PlannedOrders[Part Name],$A479,T_PlannedOrders[WeekIndex],95)=0,"",SUMIFS(T_PlannedOrders[EffectiveQty],T_PlannedOrders[Part Name],$A479,T_PlannedOrders[WeekIndex],95)&amp;" ("&amp;TEXT(SUMPRODUCT(MAX((T_PlannedOrders[Part Name]=$A479)*(T_PlannedOrders[WeekIndex]=95)*(T_PlannedOrders[EffectiveQty]&gt;0)*T_PlannedOrders[Order_Month])),"m月")&amp;"発注)")</f>
        <v/>
      </c>
      <c r="CU489">
        <f>IF(SUMIFS(T_PlannedOrders[EffectiveQty],T_PlannedOrders[Part Name],$A479,T_PlannedOrders[WeekIndex],96)=0,"",SUMIFS(T_PlannedOrders[EffectiveQty],T_PlannedOrders[Part Name],$A479,T_PlannedOrders[WeekIndex],96)&amp;" ("&amp;TEXT(SUMPRODUCT(MAX((T_PlannedOrders[Part Name]=$A479)*(T_PlannedOrders[WeekIndex]=96)*(T_PlannedOrders[EffectiveQty]&gt;0)*T_PlannedOrders[Order_Month])),"m月")&amp;"発注)")</f>
        <v/>
      </c>
      <c r="CV489">
        <f>IF(SUMIFS(T_PlannedOrders[EffectiveQty],T_PlannedOrders[Part Name],$A479,T_PlannedOrders[WeekIndex],97)=0,"",SUMIFS(T_PlannedOrders[EffectiveQty],T_PlannedOrders[Part Name],$A479,T_PlannedOrders[WeekIndex],97)&amp;" ("&amp;TEXT(SUMPRODUCT(MAX((T_PlannedOrders[Part Name]=$A479)*(T_PlannedOrders[WeekIndex]=97)*(T_PlannedOrders[EffectiveQty]&gt;0)*T_PlannedOrders[Order_Month])),"m月")&amp;"発注)")</f>
        <v/>
      </c>
      <c r="CW489">
        <f>IF(SUMIFS(T_PlannedOrders[EffectiveQty],T_PlannedOrders[Part Name],$A479,T_PlannedOrders[WeekIndex],98)=0,"",SUMIFS(T_PlannedOrders[EffectiveQty],T_PlannedOrders[Part Name],$A479,T_PlannedOrders[WeekIndex],98)&amp;" ("&amp;TEXT(SUMPRODUCT(MAX((T_PlannedOrders[Part Name]=$A479)*(T_PlannedOrders[WeekIndex]=98)*(T_PlannedOrders[EffectiveQty]&gt;0)*T_PlannedOrders[Order_Month])),"m月")&amp;"発注)")</f>
        <v/>
      </c>
      <c r="CX489">
        <f>IF(SUMIFS(T_PlannedOrders[EffectiveQty],T_PlannedOrders[Part Name],$A479,T_PlannedOrders[WeekIndex],99)=0,"",SUMIFS(T_PlannedOrders[EffectiveQty],T_PlannedOrders[Part Name],$A479,T_PlannedOrders[WeekIndex],99)&amp;" ("&amp;TEXT(SUMPRODUCT(MAX((T_PlannedOrders[Part Name]=$A479)*(T_PlannedOrders[WeekIndex]=99)*(T_PlannedOrders[EffectiveQty]&gt;0)*T_PlannedOrders[Order_Month])),"m月")&amp;"発注)")</f>
        <v/>
      </c>
      <c r="CY489">
        <f>IF(SUMIFS(T_PlannedOrders[EffectiveQty],T_PlannedOrders[Part Name],$A479,T_PlannedOrders[WeekIndex],100)=0,"",SUMIFS(T_PlannedOrders[EffectiveQty],T_PlannedOrders[Part Name],$A479,T_PlannedOrders[WeekIndex],100)&amp;" ("&amp;TEXT(SUMPRODUCT(MAX((T_PlannedOrders[Part Name]=$A479)*(T_PlannedOrders[WeekIndex]=100)*(T_PlannedOrders[EffectiveQty]&gt;0)*T_PlannedOrders[Order_Month])),"m月")&amp;"発注)")</f>
        <v/>
      </c>
      <c r="CZ489">
        <f>IF(SUMIFS(T_PlannedOrders[EffectiveQty],T_PlannedOrders[Part Name],$A479,T_PlannedOrders[WeekIndex],101)=0,"",SUMIFS(T_PlannedOrders[EffectiveQty],T_PlannedOrders[Part Name],$A479,T_PlannedOrders[WeekIndex],101)&amp;" ("&amp;TEXT(SUMPRODUCT(MAX((T_PlannedOrders[Part Name]=$A479)*(T_PlannedOrders[WeekIndex]=101)*(T_PlannedOrders[EffectiveQty]&gt;0)*T_PlannedOrders[Order_Month])),"m月")&amp;"発注)")</f>
        <v/>
      </c>
      <c r="DA489">
        <f>IF(SUMIFS(T_PlannedOrders[EffectiveQty],T_PlannedOrders[Part Name],$A479,T_PlannedOrders[WeekIndex],102)=0,"",SUMIFS(T_PlannedOrders[EffectiveQty],T_PlannedOrders[Part Name],$A479,T_PlannedOrders[WeekIndex],102)&amp;" ("&amp;TEXT(SUMPRODUCT(MAX((T_PlannedOrders[Part Name]=$A479)*(T_PlannedOrders[WeekIndex]=102)*(T_PlannedOrders[EffectiveQty]&gt;0)*T_PlannedOrders[Order_Month])),"m月")&amp;"発注)")</f>
        <v/>
      </c>
      <c r="DB489">
        <f>IF(SUMIFS(T_PlannedOrders[EffectiveQty],T_PlannedOrders[Part Name],$A479,T_PlannedOrders[WeekIndex],103)=0,"",SUMIFS(T_PlannedOrders[EffectiveQty],T_PlannedOrders[Part Name],$A479,T_PlannedOrders[WeekIndex],103)&amp;" ("&amp;TEXT(SUMPRODUCT(MAX((T_PlannedOrders[Part Name]=$A479)*(T_PlannedOrders[WeekIndex]=103)*(T_PlannedOrders[EffectiveQty]&gt;0)*T_PlannedOrders[Order_Month])),"m月")&amp;"発注)")</f>
        <v/>
      </c>
      <c r="DC489">
        <f>IF(SUMIFS(T_PlannedOrders[EffectiveQty],T_PlannedOrders[Part Name],$A479,T_PlannedOrders[WeekIndex],104)=0,"",SUMIFS(T_PlannedOrders[EffectiveQty],T_PlannedOrders[Part Name],$A479,T_PlannedOrders[WeekIndex],104)&amp;" ("&amp;TEXT(SUMPRODUCT(MAX((T_PlannedOrders[Part Name]=$A479)*(T_PlannedOrders[WeekIndex]=104)*(T_PlannedOrders[EffectiveQty]&gt;0)*T_PlannedOrders[Order_Month])),"m月")&amp;"発注)")</f>
        <v/>
      </c>
    </row>
    <row r="490">
      <c r="B490" s="5" t="inlineStr">
        <is>
          <t>合計在庫(週末時点,kg)</t>
        </is>
      </c>
      <c r="D490">
        <f>'Grid_Stock'!B32</f>
        <v/>
      </c>
      <c r="E490">
        <f>'Grid_Stock'!C32</f>
        <v/>
      </c>
      <c r="F490">
        <f>'Grid_Stock'!D32</f>
        <v/>
      </c>
      <c r="G490">
        <f>'Grid_Stock'!E32</f>
        <v/>
      </c>
      <c r="H490">
        <f>'Grid_Stock'!F32</f>
        <v/>
      </c>
      <c r="I490">
        <f>'Grid_Stock'!G32</f>
        <v/>
      </c>
      <c r="J490">
        <f>'Grid_Stock'!H32</f>
        <v/>
      </c>
      <c r="K490">
        <f>'Grid_Stock'!I32</f>
        <v/>
      </c>
      <c r="L490">
        <f>'Grid_Stock'!J32</f>
        <v/>
      </c>
      <c r="M490">
        <f>'Grid_Stock'!K32</f>
        <v/>
      </c>
      <c r="N490">
        <f>'Grid_Stock'!L32</f>
        <v/>
      </c>
      <c r="O490">
        <f>'Grid_Stock'!M32</f>
        <v/>
      </c>
      <c r="P490">
        <f>'Grid_Stock'!N32</f>
        <v/>
      </c>
      <c r="Q490">
        <f>'Grid_Stock'!O32</f>
        <v/>
      </c>
      <c r="R490">
        <f>'Grid_Stock'!P32</f>
        <v/>
      </c>
      <c r="S490">
        <f>'Grid_Stock'!Q32</f>
        <v/>
      </c>
      <c r="T490">
        <f>'Grid_Stock'!R32</f>
        <v/>
      </c>
      <c r="U490">
        <f>'Grid_Stock'!S32</f>
        <v/>
      </c>
      <c r="V490">
        <f>'Grid_Stock'!T32</f>
        <v/>
      </c>
      <c r="W490">
        <f>'Grid_Stock'!U32</f>
        <v/>
      </c>
      <c r="X490">
        <f>'Grid_Stock'!V32</f>
        <v/>
      </c>
      <c r="Y490">
        <f>'Grid_Stock'!W32</f>
        <v/>
      </c>
      <c r="Z490">
        <f>'Grid_Stock'!X32</f>
        <v/>
      </c>
      <c r="AA490">
        <f>'Grid_Stock'!Y32</f>
        <v/>
      </c>
      <c r="AB490">
        <f>'Grid_Stock'!Z32</f>
        <v/>
      </c>
      <c r="AC490">
        <f>'Grid_Stock'!AA32</f>
        <v/>
      </c>
      <c r="AD490">
        <f>'Grid_Stock'!AB32</f>
        <v/>
      </c>
      <c r="AE490">
        <f>'Grid_Stock'!AC32</f>
        <v/>
      </c>
      <c r="AF490">
        <f>'Grid_Stock'!AD32</f>
        <v/>
      </c>
      <c r="AG490">
        <f>'Grid_Stock'!AE32</f>
        <v/>
      </c>
      <c r="AH490">
        <f>'Grid_Stock'!AF32</f>
        <v/>
      </c>
      <c r="AI490">
        <f>'Grid_Stock'!AG32</f>
        <v/>
      </c>
      <c r="AJ490">
        <f>'Grid_Stock'!AH32</f>
        <v/>
      </c>
      <c r="AK490">
        <f>'Grid_Stock'!AI32</f>
        <v/>
      </c>
      <c r="AL490">
        <f>'Grid_Stock'!AJ32</f>
        <v/>
      </c>
      <c r="AM490">
        <f>'Grid_Stock'!AK32</f>
        <v/>
      </c>
      <c r="AN490">
        <f>'Grid_Stock'!AL32</f>
        <v/>
      </c>
      <c r="AO490">
        <f>'Grid_Stock'!AM32</f>
        <v/>
      </c>
      <c r="AP490">
        <f>'Grid_Stock'!AN32</f>
        <v/>
      </c>
      <c r="AQ490">
        <f>'Grid_Stock'!AO32</f>
        <v/>
      </c>
      <c r="AR490">
        <f>'Grid_Stock'!AP32</f>
        <v/>
      </c>
      <c r="AS490">
        <f>'Grid_Stock'!AQ32</f>
        <v/>
      </c>
      <c r="AT490">
        <f>'Grid_Stock'!AR32</f>
        <v/>
      </c>
      <c r="AU490">
        <f>'Grid_Stock'!AS32</f>
        <v/>
      </c>
      <c r="AV490">
        <f>'Grid_Stock'!AT32</f>
        <v/>
      </c>
      <c r="AW490">
        <f>'Grid_Stock'!AU32</f>
        <v/>
      </c>
      <c r="AX490">
        <f>'Grid_Stock'!AV32</f>
        <v/>
      </c>
      <c r="AY490">
        <f>'Grid_Stock'!AW32</f>
        <v/>
      </c>
      <c r="AZ490">
        <f>'Grid_Stock'!AX32</f>
        <v/>
      </c>
      <c r="BA490">
        <f>'Grid_Stock'!AY32</f>
        <v/>
      </c>
      <c r="BB490">
        <f>'Grid_Stock'!AZ32</f>
        <v/>
      </c>
      <c r="BC490">
        <f>'Grid_Stock'!BA32</f>
        <v/>
      </c>
      <c r="BD490">
        <f>'Grid_Stock'!BB32</f>
        <v/>
      </c>
      <c r="BE490">
        <f>'Grid_Stock'!BC32</f>
        <v/>
      </c>
      <c r="BF490">
        <f>'Grid_Stock'!BD32</f>
        <v/>
      </c>
      <c r="BG490">
        <f>'Grid_Stock'!BE32</f>
        <v/>
      </c>
      <c r="BH490">
        <f>'Grid_Stock'!BF32</f>
        <v/>
      </c>
      <c r="BI490">
        <f>'Grid_Stock'!BG32</f>
        <v/>
      </c>
      <c r="BJ490">
        <f>'Grid_Stock'!BH32</f>
        <v/>
      </c>
      <c r="BK490">
        <f>'Grid_Stock'!BI32</f>
        <v/>
      </c>
      <c r="BL490">
        <f>'Grid_Stock'!BJ32</f>
        <v/>
      </c>
      <c r="BM490">
        <f>'Grid_Stock'!BK32</f>
        <v/>
      </c>
      <c r="BN490">
        <f>'Grid_Stock'!BL32</f>
        <v/>
      </c>
      <c r="BO490">
        <f>'Grid_Stock'!BM32</f>
        <v/>
      </c>
      <c r="BP490">
        <f>'Grid_Stock'!BN32</f>
        <v/>
      </c>
      <c r="BQ490">
        <f>'Grid_Stock'!BO32</f>
        <v/>
      </c>
      <c r="BR490">
        <f>'Grid_Stock'!BP32</f>
        <v/>
      </c>
      <c r="BS490">
        <f>'Grid_Stock'!BQ32</f>
        <v/>
      </c>
      <c r="BT490">
        <f>'Grid_Stock'!BR32</f>
        <v/>
      </c>
      <c r="BU490">
        <f>'Grid_Stock'!BS32</f>
        <v/>
      </c>
      <c r="BV490">
        <f>'Grid_Stock'!BT32</f>
        <v/>
      </c>
      <c r="BW490">
        <f>'Grid_Stock'!BU32</f>
        <v/>
      </c>
      <c r="BX490">
        <f>'Grid_Stock'!BV32</f>
        <v/>
      </c>
      <c r="BY490">
        <f>'Grid_Stock'!BW32</f>
        <v/>
      </c>
      <c r="BZ490">
        <f>'Grid_Stock'!BX32</f>
        <v/>
      </c>
      <c r="CA490">
        <f>'Grid_Stock'!BY32</f>
        <v/>
      </c>
      <c r="CB490">
        <f>'Grid_Stock'!BZ32</f>
        <v/>
      </c>
      <c r="CC490">
        <f>'Grid_Stock'!CA32</f>
        <v/>
      </c>
      <c r="CD490">
        <f>'Grid_Stock'!CB32</f>
        <v/>
      </c>
      <c r="CE490">
        <f>'Grid_Stock'!CC32</f>
        <v/>
      </c>
      <c r="CF490">
        <f>'Grid_Stock'!CD32</f>
        <v/>
      </c>
      <c r="CG490">
        <f>'Grid_Stock'!CE32</f>
        <v/>
      </c>
      <c r="CH490">
        <f>'Grid_Stock'!CF32</f>
        <v/>
      </c>
      <c r="CI490">
        <f>'Grid_Stock'!CG32</f>
        <v/>
      </c>
      <c r="CJ490">
        <f>'Grid_Stock'!CH32</f>
        <v/>
      </c>
      <c r="CK490">
        <f>'Grid_Stock'!CI32</f>
        <v/>
      </c>
      <c r="CL490">
        <f>'Grid_Stock'!CJ32</f>
        <v/>
      </c>
      <c r="CM490">
        <f>'Grid_Stock'!CK32</f>
        <v/>
      </c>
      <c r="CN490">
        <f>'Grid_Stock'!CL32</f>
        <v/>
      </c>
      <c r="CO490">
        <f>'Grid_Stock'!CM32</f>
        <v/>
      </c>
      <c r="CP490">
        <f>'Grid_Stock'!CN32</f>
        <v/>
      </c>
      <c r="CQ490">
        <f>'Grid_Stock'!CO32</f>
        <v/>
      </c>
      <c r="CR490">
        <f>'Grid_Stock'!CP32</f>
        <v/>
      </c>
      <c r="CS490">
        <f>'Grid_Stock'!CQ32</f>
        <v/>
      </c>
      <c r="CT490">
        <f>'Grid_Stock'!CR32</f>
        <v/>
      </c>
      <c r="CU490">
        <f>'Grid_Stock'!CS32</f>
        <v/>
      </c>
      <c r="CV490">
        <f>'Grid_Stock'!CT32</f>
        <v/>
      </c>
      <c r="CW490">
        <f>'Grid_Stock'!CU32</f>
        <v/>
      </c>
      <c r="CX490">
        <f>'Grid_Stock'!CV32</f>
        <v/>
      </c>
      <c r="CY490">
        <f>'Grid_Stock'!CW32</f>
        <v/>
      </c>
      <c r="CZ490">
        <f>'Grid_Stock'!CX32</f>
        <v/>
      </c>
      <c r="DA490">
        <f>'Grid_Stock'!CY32</f>
        <v/>
      </c>
      <c r="DB490">
        <f>'Grid_Stock'!CZ32</f>
        <v/>
      </c>
      <c r="DC490">
        <f>'Grid_Stock'!DA32</f>
        <v/>
      </c>
    </row>
    <row r="491">
      <c r="B491" s="23" t="inlineStr">
        <is>
          <t>（発注の目安はDashboardの基準在庫[下限/上限]と色分けを参照）</t>
        </is>
      </c>
    </row>
    <row r="493">
      <c r="A493" s="21" t="inlineStr">
        <is>
          <t>CHEM-1400</t>
        </is>
      </c>
      <c r="B493" s="21" t="inlineStr">
        <is>
          <t>Dispal</t>
        </is>
      </c>
      <c r="C493" s="22" t="n"/>
      <c r="D493" s="21" t="n"/>
      <c r="E493" s="21" t="n"/>
      <c r="F493" s="21" t="n"/>
      <c r="G493" s="21" t="n"/>
      <c r="H493" s="2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  <c r="AA493" s="21" t="n"/>
      <c r="AB493" s="21" t="n"/>
      <c r="AC493" s="21" t="n"/>
      <c r="AD493" s="21" t="n"/>
      <c r="AE493" s="21" t="n"/>
      <c r="AF493" s="21" t="n"/>
      <c r="AG493" s="21" t="n"/>
      <c r="AH493" s="21" t="n"/>
      <c r="AI493" s="21" t="n"/>
      <c r="AJ493" s="21" t="n"/>
      <c r="AK493" s="21" t="n"/>
      <c r="AL493" s="21" t="n"/>
      <c r="AM493" s="21" t="n"/>
      <c r="AN493" s="21" t="n"/>
      <c r="AO493" s="21" t="n"/>
      <c r="AP493" s="21" t="n"/>
      <c r="AQ493" s="21" t="n"/>
      <c r="AR493" s="21" t="n"/>
      <c r="AS493" s="21" t="n"/>
      <c r="AT493" s="21" t="n"/>
      <c r="AU493" s="21" t="n"/>
      <c r="AV493" s="21" t="n"/>
      <c r="AW493" s="21" t="n"/>
      <c r="AX493" s="21" t="n"/>
      <c r="AY493" s="21" t="n"/>
      <c r="AZ493" s="21" t="n"/>
      <c r="BA493" s="21" t="n"/>
      <c r="BB493" s="21" t="n"/>
      <c r="BC493" s="21" t="n"/>
      <c r="BD493" s="21" t="n"/>
      <c r="BE493" s="21" t="n"/>
      <c r="BF493" s="21" t="n"/>
      <c r="BG493" s="21" t="n"/>
      <c r="BH493" s="21" t="n"/>
      <c r="BI493" s="21" t="n"/>
      <c r="BJ493" s="21" t="n"/>
      <c r="BK493" s="21" t="n"/>
      <c r="BL493" s="21" t="n"/>
      <c r="BM493" s="21" t="n"/>
      <c r="BN493" s="21" t="n"/>
      <c r="BO493" s="21" t="n"/>
      <c r="BP493" s="21" t="n"/>
      <c r="BQ493" s="21" t="n"/>
      <c r="BR493" s="21" t="n"/>
      <c r="BS493" s="21" t="n"/>
      <c r="BT493" s="21" t="n"/>
      <c r="BU493" s="21" t="n"/>
      <c r="BV493" s="21" t="n"/>
      <c r="BW493" s="21" t="n"/>
      <c r="BX493" s="21" t="n"/>
      <c r="BY493" s="21" t="n"/>
      <c r="BZ493" s="21" t="n"/>
      <c r="CA493" s="21" t="n"/>
      <c r="CB493" s="21" t="n"/>
      <c r="CC493" s="21" t="n"/>
      <c r="CD493" s="21" t="n"/>
      <c r="CE493" s="21" t="n"/>
      <c r="CF493" s="21" t="n"/>
      <c r="CG493" s="21" t="n"/>
      <c r="CH493" s="21" t="n"/>
      <c r="CI493" s="21" t="n"/>
      <c r="CJ493" s="21" t="n"/>
      <c r="CK493" s="21" t="n"/>
      <c r="CL493" s="21" t="n"/>
      <c r="CM493" s="21" t="n"/>
      <c r="CN493" s="21" t="n"/>
      <c r="CO493" s="21" t="n"/>
      <c r="CP493" s="21" t="n"/>
      <c r="CQ493" s="21" t="n"/>
      <c r="CR493" s="21" t="n"/>
      <c r="CS493" s="21" t="n"/>
      <c r="CT493" s="21" t="n"/>
      <c r="CU493" s="21" t="n"/>
      <c r="CV493" s="21" t="n"/>
      <c r="CW493" s="21" t="n"/>
      <c r="CX493" s="21" t="n"/>
      <c r="CY493" s="21" t="n"/>
      <c r="CZ493" s="21" t="n"/>
      <c r="DA493" s="21" t="n"/>
      <c r="DB493" s="21" t="n"/>
      <c r="DC493" s="21" t="n"/>
    </row>
    <row r="494">
      <c r="B494" t="inlineStr">
        <is>
          <t>TSP-050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12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Name],$A493)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TSP-078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12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Name],$A493)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TSP-080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12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Name],$A493)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t="inlineStr">
        <is>
          <t>TSP-105</t>
        </is>
      </c>
      <c r="C500" t="inlineStr">
        <is>
          <t>No. of batches</t>
        </is>
      </c>
      <c r="D500">
        <f>IFERROR(INDEX(PP_Grid[#Data],$DD500,2),0)</f>
        <v/>
      </c>
      <c r="E500">
        <f>IFERROR(INDEX(PP_Grid[#Data],$DD500,3),0)</f>
        <v/>
      </c>
      <c r="F500">
        <f>IFERROR(INDEX(PP_Grid[#Data],$DD500,4),0)</f>
        <v/>
      </c>
      <c r="G500">
        <f>IFERROR(INDEX(PP_Grid[#Data],$DD500,5),0)</f>
        <v/>
      </c>
      <c r="H500">
        <f>IFERROR(INDEX(PP_Grid[#Data],$DD500,6),0)</f>
        <v/>
      </c>
      <c r="I500">
        <f>IFERROR(INDEX(PP_Grid[#Data],$DD500,7),0)</f>
        <v/>
      </c>
      <c r="J500">
        <f>IFERROR(INDEX(PP_Grid[#Data],$DD500,8),0)</f>
        <v/>
      </c>
      <c r="K500">
        <f>IFERROR(INDEX(PP_Grid[#Data],$DD500,9),0)</f>
        <v/>
      </c>
      <c r="L500">
        <f>IFERROR(INDEX(PP_Grid[#Data],$DD500,10),0)</f>
        <v/>
      </c>
      <c r="M500">
        <f>IFERROR(INDEX(PP_Grid[#Data],$DD500,11),0)</f>
        <v/>
      </c>
      <c r="N500">
        <f>IFERROR(INDEX(PP_Grid[#Data],$DD500,12),0)</f>
        <v/>
      </c>
      <c r="O500">
        <f>IFERROR(INDEX(PP_Grid[#Data],$DD500,13),0)</f>
        <v/>
      </c>
      <c r="P500">
        <f>IFERROR(INDEX(PP_Grid[#Data],$DD500,14),0)</f>
        <v/>
      </c>
      <c r="Q500">
        <f>IFERROR(INDEX(PP_Grid[#Data],$DD500,15),0)</f>
        <v/>
      </c>
      <c r="R500">
        <f>IFERROR(INDEX(PP_Grid[#Data],$DD500,16),0)</f>
        <v/>
      </c>
      <c r="S500">
        <f>IFERROR(INDEX(PP_Grid[#Data],$DD500,17),0)</f>
        <v/>
      </c>
      <c r="T500">
        <f>IFERROR(INDEX(PP_Grid[#Data],$DD500,18),0)</f>
        <v/>
      </c>
      <c r="U500">
        <f>IFERROR(INDEX(PP_Grid[#Data],$DD500,19),0)</f>
        <v/>
      </c>
      <c r="V500">
        <f>IFERROR(INDEX(PP_Grid[#Data],$DD500,20),0)</f>
        <v/>
      </c>
      <c r="W500">
        <f>IFERROR(INDEX(PP_Grid[#Data],$DD500,21),0)</f>
        <v/>
      </c>
      <c r="X500">
        <f>IFERROR(INDEX(PP_Grid[#Data],$DD500,22),0)</f>
        <v/>
      </c>
      <c r="Y500">
        <f>IFERROR(INDEX(PP_Grid[#Data],$DD500,23),0)</f>
        <v/>
      </c>
      <c r="Z500">
        <f>IFERROR(INDEX(PP_Grid[#Data],$DD500,24),0)</f>
        <v/>
      </c>
      <c r="AA500">
        <f>IFERROR(INDEX(PP_Grid[#Data],$DD500,25),0)</f>
        <v/>
      </c>
      <c r="AB500">
        <f>IFERROR(INDEX(PP_Grid[#Data],$DD500,26),0)</f>
        <v/>
      </c>
      <c r="AC500">
        <f>IFERROR(INDEX(PP_Grid[#Data],$DD500,27),0)</f>
        <v/>
      </c>
      <c r="AD500">
        <f>IFERROR(INDEX(PP_Grid[#Data],$DD500,28),0)</f>
        <v/>
      </c>
      <c r="AE500">
        <f>IFERROR(INDEX(PP_Grid[#Data],$DD500,29),0)</f>
        <v/>
      </c>
      <c r="AF500">
        <f>IFERROR(INDEX(PP_Grid[#Data],$DD500,30),0)</f>
        <v/>
      </c>
      <c r="AG500">
        <f>IFERROR(INDEX(PP_Grid[#Data],$DD500,31),0)</f>
        <v/>
      </c>
      <c r="AH500">
        <f>IFERROR(INDEX(PP_Grid[#Data],$DD500,32),0)</f>
        <v/>
      </c>
      <c r="AI500">
        <f>IFERROR(INDEX(PP_Grid[#Data],$DD500,33),0)</f>
        <v/>
      </c>
      <c r="AJ500">
        <f>IFERROR(INDEX(PP_Grid[#Data],$DD500,34),0)</f>
        <v/>
      </c>
      <c r="AK500">
        <f>IFERROR(INDEX(PP_Grid[#Data],$DD500,35),0)</f>
        <v/>
      </c>
      <c r="AL500">
        <f>IFERROR(INDEX(PP_Grid[#Data],$DD500,36),0)</f>
        <v/>
      </c>
      <c r="AM500">
        <f>IFERROR(INDEX(PP_Grid[#Data],$DD500,37),0)</f>
        <v/>
      </c>
      <c r="AN500">
        <f>IFERROR(INDEX(PP_Grid[#Data],$DD500,38),0)</f>
        <v/>
      </c>
      <c r="AO500">
        <f>IFERROR(INDEX(PP_Grid[#Data],$DD500,39),0)</f>
        <v/>
      </c>
      <c r="AP500">
        <f>IFERROR(INDEX(PP_Grid[#Data],$DD500,40),0)</f>
        <v/>
      </c>
      <c r="AQ500">
        <f>IFERROR(INDEX(PP_Grid[#Data],$DD500,41),0)</f>
        <v/>
      </c>
      <c r="AR500">
        <f>IFERROR(INDEX(PP_Grid[#Data],$DD500,42),0)</f>
        <v/>
      </c>
      <c r="AS500">
        <f>IFERROR(INDEX(PP_Grid[#Data],$DD500,43),0)</f>
        <v/>
      </c>
      <c r="AT500">
        <f>IFERROR(INDEX(PP_Grid[#Data],$DD500,44),0)</f>
        <v/>
      </c>
      <c r="AU500">
        <f>IFERROR(INDEX(PP_Grid[#Data],$DD500,45),0)</f>
        <v/>
      </c>
      <c r="AV500">
        <f>IFERROR(INDEX(PP_Grid[#Data],$DD500,46),0)</f>
        <v/>
      </c>
      <c r="AW500">
        <f>IFERROR(INDEX(PP_Grid[#Data],$DD500,47),0)</f>
        <v/>
      </c>
      <c r="AX500">
        <f>IFERROR(INDEX(PP_Grid[#Data],$DD500,48),0)</f>
        <v/>
      </c>
      <c r="AY500">
        <f>IFERROR(INDEX(PP_Grid[#Data],$DD500,49),0)</f>
        <v/>
      </c>
      <c r="AZ500">
        <f>IFERROR(INDEX(PP_Grid[#Data],$DD500,50),0)</f>
        <v/>
      </c>
      <c r="BA500">
        <f>IFERROR(INDEX(PP_Grid[#Data],$DD500,51),0)</f>
        <v/>
      </c>
      <c r="BB500">
        <f>IFERROR(INDEX(PP_Grid[#Data],$DD500,52),0)</f>
        <v/>
      </c>
      <c r="BC500">
        <f>IFERROR(INDEX(PP_Grid[#Data],$DD500,53),0)</f>
        <v/>
      </c>
      <c r="BD500">
        <f>IFERROR(INDEX(PP_Grid[#Data],$DD500,54),0)</f>
        <v/>
      </c>
      <c r="BE500">
        <f>IFERROR(INDEX(PP_Grid[#Data],$DD500,55),0)</f>
        <v/>
      </c>
      <c r="BF500">
        <f>IFERROR(INDEX(PP_Grid[#Data],$DD500,56),0)</f>
        <v/>
      </c>
      <c r="BG500">
        <f>IFERROR(INDEX(PP_Grid[#Data],$DD500,57),0)</f>
        <v/>
      </c>
      <c r="BH500">
        <f>IFERROR(INDEX(PP_Grid[#Data],$DD500,58),0)</f>
        <v/>
      </c>
      <c r="BI500">
        <f>IFERROR(INDEX(PP_Grid[#Data],$DD500,59),0)</f>
        <v/>
      </c>
      <c r="BJ500">
        <f>IFERROR(INDEX(PP_Grid[#Data],$DD500,60),0)</f>
        <v/>
      </c>
      <c r="BK500">
        <f>IFERROR(INDEX(PP_Grid[#Data],$DD500,61),0)</f>
        <v/>
      </c>
      <c r="BL500">
        <f>IFERROR(INDEX(PP_Grid[#Data],$DD500,62),0)</f>
        <v/>
      </c>
      <c r="BM500">
        <f>IFERROR(INDEX(PP_Grid[#Data],$DD500,63),0)</f>
        <v/>
      </c>
      <c r="BN500">
        <f>IFERROR(INDEX(PP_Grid[#Data],$DD500,64),0)</f>
        <v/>
      </c>
      <c r="BO500">
        <f>IFERROR(INDEX(PP_Grid[#Data],$DD500,65),0)</f>
        <v/>
      </c>
      <c r="BP500">
        <f>IFERROR(INDEX(PP_Grid[#Data],$DD500,66),0)</f>
        <v/>
      </c>
      <c r="BQ500">
        <f>IFERROR(INDEX(PP_Grid[#Data],$DD500,67),0)</f>
        <v/>
      </c>
      <c r="BR500">
        <f>IFERROR(INDEX(PP_Grid[#Data],$DD500,68),0)</f>
        <v/>
      </c>
      <c r="BS500">
        <f>IFERROR(INDEX(PP_Grid[#Data],$DD500,69),0)</f>
        <v/>
      </c>
      <c r="BT500">
        <f>IFERROR(INDEX(PP_Grid[#Data],$DD500,70),0)</f>
        <v/>
      </c>
      <c r="BU500">
        <f>IFERROR(INDEX(PP_Grid[#Data],$DD500,71),0)</f>
        <v/>
      </c>
      <c r="BV500">
        <f>IFERROR(INDEX(PP_Grid[#Data],$DD500,72),0)</f>
        <v/>
      </c>
      <c r="BW500">
        <f>IFERROR(INDEX(PP_Grid[#Data],$DD500,73),0)</f>
        <v/>
      </c>
      <c r="BX500">
        <f>IFERROR(INDEX(PP_Grid[#Data],$DD500,74),0)</f>
        <v/>
      </c>
      <c r="BY500">
        <f>IFERROR(INDEX(PP_Grid[#Data],$DD500,75),0)</f>
        <v/>
      </c>
      <c r="BZ500">
        <f>IFERROR(INDEX(PP_Grid[#Data],$DD500,76),0)</f>
        <v/>
      </c>
      <c r="CA500">
        <f>IFERROR(INDEX(PP_Grid[#Data],$DD500,77),0)</f>
        <v/>
      </c>
      <c r="CB500">
        <f>IFERROR(INDEX(PP_Grid[#Data],$DD500,78),0)</f>
        <v/>
      </c>
      <c r="CC500">
        <f>IFERROR(INDEX(PP_Grid[#Data],$DD500,79),0)</f>
        <v/>
      </c>
      <c r="CD500">
        <f>IFERROR(INDEX(PP_Grid[#Data],$DD500,80),0)</f>
        <v/>
      </c>
      <c r="CE500">
        <f>IFERROR(INDEX(PP_Grid[#Data],$DD500,81),0)</f>
        <v/>
      </c>
      <c r="CF500">
        <f>IFERROR(INDEX(PP_Grid[#Data],$DD500,82),0)</f>
        <v/>
      </c>
      <c r="CG500">
        <f>IFERROR(INDEX(PP_Grid[#Data],$DD500,83),0)</f>
        <v/>
      </c>
      <c r="CH500">
        <f>IFERROR(INDEX(PP_Grid[#Data],$DD500,84),0)</f>
        <v/>
      </c>
      <c r="CI500">
        <f>IFERROR(INDEX(PP_Grid[#Data],$DD500,85),0)</f>
        <v/>
      </c>
      <c r="CJ500">
        <f>IFERROR(INDEX(PP_Grid[#Data],$DD500,86),0)</f>
        <v/>
      </c>
      <c r="CK500">
        <f>IFERROR(INDEX(PP_Grid[#Data],$DD500,87),0)</f>
        <v/>
      </c>
      <c r="CL500">
        <f>IFERROR(INDEX(PP_Grid[#Data],$DD500,88),0)</f>
        <v/>
      </c>
      <c r="CM500">
        <f>IFERROR(INDEX(PP_Grid[#Data],$DD500,89),0)</f>
        <v/>
      </c>
      <c r="CN500">
        <f>IFERROR(INDEX(PP_Grid[#Data],$DD500,90),0)</f>
        <v/>
      </c>
      <c r="CO500">
        <f>IFERROR(INDEX(PP_Grid[#Data],$DD500,91),0)</f>
        <v/>
      </c>
      <c r="CP500">
        <f>IFERROR(INDEX(PP_Grid[#Data],$DD500,92),0)</f>
        <v/>
      </c>
      <c r="CQ500">
        <f>IFERROR(INDEX(PP_Grid[#Data],$DD500,93),0)</f>
        <v/>
      </c>
      <c r="CR500">
        <f>IFERROR(INDEX(PP_Grid[#Data],$DD500,94),0)</f>
        <v/>
      </c>
      <c r="CS500">
        <f>IFERROR(INDEX(PP_Grid[#Data],$DD500,95),0)</f>
        <v/>
      </c>
      <c r="CT500">
        <f>IFERROR(INDEX(PP_Grid[#Data],$DD500,96),0)</f>
        <v/>
      </c>
      <c r="CU500">
        <f>IFERROR(INDEX(PP_Grid[#Data],$DD500,97),0)</f>
        <v/>
      </c>
      <c r="CV500">
        <f>IFERROR(INDEX(PP_Grid[#Data],$DD500,98),0)</f>
        <v/>
      </c>
      <c r="CW500">
        <f>IFERROR(INDEX(PP_Grid[#Data],$DD500,99),0)</f>
        <v/>
      </c>
      <c r="CX500">
        <f>IFERROR(INDEX(PP_Grid[#Data],$DD500,100),0)</f>
        <v/>
      </c>
      <c r="CY500">
        <f>IFERROR(INDEX(PP_Grid[#Data],$DD500,101),0)</f>
        <v/>
      </c>
      <c r="CZ500">
        <f>IFERROR(INDEX(PP_Grid[#Data],$DD500,102),0)</f>
        <v/>
      </c>
      <c r="DA500">
        <f>IFERROR(INDEX(PP_Grid[#Data],$DD500,103),0)</f>
        <v/>
      </c>
      <c r="DB500">
        <f>IFERROR(INDEX(PP_Grid[#Data],$DD500,104),0)</f>
        <v/>
      </c>
      <c r="DC500">
        <f>IFERROR(INDEX(PP_Grid[#Data],$DD500,105),0)</f>
        <v/>
      </c>
      <c r="DD500" s="12">
        <f>IFERROR(MATCH($B500,PP_Grid[Intermediate],0),99999)</f>
        <v/>
      </c>
    </row>
    <row r="501">
      <c r="B501" t="inlineStr">
        <is>
          <t>使用量(kg)</t>
        </is>
      </c>
      <c r="C501">
        <f>SUMIFS(M_BOM[RM_Qty_Per_Batch],M_BOM[Intermediate],$B500,M_BOM[Part Name],$A493)</f>
        <v/>
      </c>
      <c r="D501">
        <f>$C501*D500</f>
        <v/>
      </c>
      <c r="E501">
        <f>$C501*E500</f>
        <v/>
      </c>
      <c r="F501">
        <f>$C501*F500</f>
        <v/>
      </c>
      <c r="G501">
        <f>$C501*G500</f>
        <v/>
      </c>
      <c r="H501">
        <f>$C501*H500</f>
        <v/>
      </c>
      <c r="I501">
        <f>$C501*I500</f>
        <v/>
      </c>
      <c r="J501">
        <f>$C501*J500</f>
        <v/>
      </c>
      <c r="K501">
        <f>$C501*K500</f>
        <v/>
      </c>
      <c r="L501">
        <f>$C501*L500</f>
        <v/>
      </c>
      <c r="M501">
        <f>$C501*M500</f>
        <v/>
      </c>
      <c r="N501">
        <f>$C501*N500</f>
        <v/>
      </c>
      <c r="O501">
        <f>$C501*O500</f>
        <v/>
      </c>
      <c r="P501">
        <f>$C501*P500</f>
        <v/>
      </c>
      <c r="Q501">
        <f>$C501*Q500</f>
        <v/>
      </c>
      <c r="R501">
        <f>$C501*R500</f>
        <v/>
      </c>
      <c r="S501">
        <f>$C501*S500</f>
        <v/>
      </c>
      <c r="T501">
        <f>$C501*T500</f>
        <v/>
      </c>
      <c r="U501">
        <f>$C501*U500</f>
        <v/>
      </c>
      <c r="V501">
        <f>$C501*V500</f>
        <v/>
      </c>
      <c r="W501">
        <f>$C501*W500</f>
        <v/>
      </c>
      <c r="X501">
        <f>$C501*X500</f>
        <v/>
      </c>
      <c r="Y501">
        <f>$C501*Y500</f>
        <v/>
      </c>
      <c r="Z501">
        <f>$C501*Z500</f>
        <v/>
      </c>
      <c r="AA501">
        <f>$C501*AA500</f>
        <v/>
      </c>
      <c r="AB501">
        <f>$C501*AB500</f>
        <v/>
      </c>
      <c r="AC501">
        <f>$C501*AC500</f>
        <v/>
      </c>
      <c r="AD501">
        <f>$C501*AD500</f>
        <v/>
      </c>
      <c r="AE501">
        <f>$C501*AE500</f>
        <v/>
      </c>
      <c r="AF501">
        <f>$C501*AF500</f>
        <v/>
      </c>
      <c r="AG501">
        <f>$C501*AG500</f>
        <v/>
      </c>
      <c r="AH501">
        <f>$C501*AH500</f>
        <v/>
      </c>
      <c r="AI501">
        <f>$C501*AI500</f>
        <v/>
      </c>
      <c r="AJ501">
        <f>$C501*AJ500</f>
        <v/>
      </c>
      <c r="AK501">
        <f>$C501*AK500</f>
        <v/>
      </c>
      <c r="AL501">
        <f>$C501*AL500</f>
        <v/>
      </c>
      <c r="AM501">
        <f>$C501*AM500</f>
        <v/>
      </c>
      <c r="AN501">
        <f>$C501*AN500</f>
        <v/>
      </c>
      <c r="AO501">
        <f>$C501*AO500</f>
        <v/>
      </c>
      <c r="AP501">
        <f>$C501*AP500</f>
        <v/>
      </c>
      <c r="AQ501">
        <f>$C501*AQ500</f>
        <v/>
      </c>
      <c r="AR501">
        <f>$C501*AR500</f>
        <v/>
      </c>
      <c r="AS501">
        <f>$C501*AS500</f>
        <v/>
      </c>
      <c r="AT501">
        <f>$C501*AT500</f>
        <v/>
      </c>
      <c r="AU501">
        <f>$C501*AU500</f>
        <v/>
      </c>
      <c r="AV501">
        <f>$C501*AV500</f>
        <v/>
      </c>
      <c r="AW501">
        <f>$C501*AW500</f>
        <v/>
      </c>
      <c r="AX501">
        <f>$C501*AX500</f>
        <v/>
      </c>
      <c r="AY501">
        <f>$C501*AY500</f>
        <v/>
      </c>
      <c r="AZ501">
        <f>$C501*AZ500</f>
        <v/>
      </c>
      <c r="BA501">
        <f>$C501*BA500</f>
        <v/>
      </c>
      <c r="BB501">
        <f>$C501*BB500</f>
        <v/>
      </c>
      <c r="BC501">
        <f>$C501*BC500</f>
        <v/>
      </c>
      <c r="BD501">
        <f>$C501*BD500</f>
        <v/>
      </c>
      <c r="BE501">
        <f>$C501*BE500</f>
        <v/>
      </c>
      <c r="BF501">
        <f>$C501*BF500</f>
        <v/>
      </c>
      <c r="BG501">
        <f>$C501*BG500</f>
        <v/>
      </c>
      <c r="BH501">
        <f>$C501*BH500</f>
        <v/>
      </c>
      <c r="BI501">
        <f>$C501*BI500</f>
        <v/>
      </c>
      <c r="BJ501">
        <f>$C501*BJ500</f>
        <v/>
      </c>
      <c r="BK501">
        <f>$C501*BK500</f>
        <v/>
      </c>
      <c r="BL501">
        <f>$C501*BL500</f>
        <v/>
      </c>
      <c r="BM501">
        <f>$C501*BM500</f>
        <v/>
      </c>
      <c r="BN501">
        <f>$C501*BN500</f>
        <v/>
      </c>
      <c r="BO501">
        <f>$C501*BO500</f>
        <v/>
      </c>
      <c r="BP501">
        <f>$C501*BP500</f>
        <v/>
      </c>
      <c r="BQ501">
        <f>$C501*BQ500</f>
        <v/>
      </c>
      <c r="BR501">
        <f>$C501*BR500</f>
        <v/>
      </c>
      <c r="BS501">
        <f>$C501*BS500</f>
        <v/>
      </c>
      <c r="BT501">
        <f>$C501*BT500</f>
        <v/>
      </c>
      <c r="BU501">
        <f>$C501*BU500</f>
        <v/>
      </c>
      <c r="BV501">
        <f>$C501*BV500</f>
        <v/>
      </c>
      <c r="BW501">
        <f>$C501*BW500</f>
        <v/>
      </c>
      <c r="BX501">
        <f>$C501*BX500</f>
        <v/>
      </c>
      <c r="BY501">
        <f>$C501*BY500</f>
        <v/>
      </c>
      <c r="BZ501">
        <f>$C501*BZ500</f>
        <v/>
      </c>
      <c r="CA501">
        <f>$C501*CA500</f>
        <v/>
      </c>
      <c r="CB501">
        <f>$C501*CB500</f>
        <v/>
      </c>
      <c r="CC501">
        <f>$C501*CC500</f>
        <v/>
      </c>
      <c r="CD501">
        <f>$C501*CD500</f>
        <v/>
      </c>
      <c r="CE501">
        <f>$C501*CE500</f>
        <v/>
      </c>
      <c r="CF501">
        <f>$C501*CF500</f>
        <v/>
      </c>
      <c r="CG501">
        <f>$C501*CG500</f>
        <v/>
      </c>
      <c r="CH501">
        <f>$C501*CH500</f>
        <v/>
      </c>
      <c r="CI501">
        <f>$C501*CI500</f>
        <v/>
      </c>
      <c r="CJ501">
        <f>$C501*CJ500</f>
        <v/>
      </c>
      <c r="CK501">
        <f>$C501*CK500</f>
        <v/>
      </c>
      <c r="CL501">
        <f>$C501*CL500</f>
        <v/>
      </c>
      <c r="CM501">
        <f>$C501*CM500</f>
        <v/>
      </c>
      <c r="CN501">
        <f>$C501*CN500</f>
        <v/>
      </c>
      <c r="CO501">
        <f>$C501*CO500</f>
        <v/>
      </c>
      <c r="CP501">
        <f>$C501*CP500</f>
        <v/>
      </c>
      <c r="CQ501">
        <f>$C501*CQ500</f>
        <v/>
      </c>
      <c r="CR501">
        <f>$C501*CR500</f>
        <v/>
      </c>
      <c r="CS501">
        <f>$C501*CS500</f>
        <v/>
      </c>
      <c r="CT501">
        <f>$C501*CT500</f>
        <v/>
      </c>
      <c r="CU501">
        <f>$C501*CU500</f>
        <v/>
      </c>
      <c r="CV501">
        <f>$C501*CV500</f>
        <v/>
      </c>
      <c r="CW501">
        <f>$C501*CW500</f>
        <v/>
      </c>
      <c r="CX501">
        <f>$C501*CX500</f>
        <v/>
      </c>
      <c r="CY501">
        <f>$C501*CY500</f>
        <v/>
      </c>
      <c r="CZ501">
        <f>$C501*CZ500</f>
        <v/>
      </c>
      <c r="DA501">
        <f>$C501*DA500</f>
        <v/>
      </c>
      <c r="DB501">
        <f>$C501*DB500</f>
        <v/>
      </c>
      <c r="DC501">
        <f>$C501*DC500</f>
        <v/>
      </c>
    </row>
    <row r="502">
      <c r="B502" t="inlineStr">
        <is>
          <t>TSP-1499</t>
        </is>
      </c>
      <c r="C502" t="inlineStr">
        <is>
          <t>No. of batches</t>
        </is>
      </c>
      <c r="D502">
        <f>IFERROR(INDEX(PP_Grid[#Data],$DD502,2),0)</f>
        <v/>
      </c>
      <c r="E502">
        <f>IFERROR(INDEX(PP_Grid[#Data],$DD502,3),0)</f>
        <v/>
      </c>
      <c r="F502">
        <f>IFERROR(INDEX(PP_Grid[#Data],$DD502,4),0)</f>
        <v/>
      </c>
      <c r="G502">
        <f>IFERROR(INDEX(PP_Grid[#Data],$DD502,5),0)</f>
        <v/>
      </c>
      <c r="H502">
        <f>IFERROR(INDEX(PP_Grid[#Data],$DD502,6),0)</f>
        <v/>
      </c>
      <c r="I502">
        <f>IFERROR(INDEX(PP_Grid[#Data],$DD502,7),0)</f>
        <v/>
      </c>
      <c r="J502">
        <f>IFERROR(INDEX(PP_Grid[#Data],$DD502,8),0)</f>
        <v/>
      </c>
      <c r="K502">
        <f>IFERROR(INDEX(PP_Grid[#Data],$DD502,9),0)</f>
        <v/>
      </c>
      <c r="L502">
        <f>IFERROR(INDEX(PP_Grid[#Data],$DD502,10),0)</f>
        <v/>
      </c>
      <c r="M502">
        <f>IFERROR(INDEX(PP_Grid[#Data],$DD502,11),0)</f>
        <v/>
      </c>
      <c r="N502">
        <f>IFERROR(INDEX(PP_Grid[#Data],$DD502,12),0)</f>
        <v/>
      </c>
      <c r="O502">
        <f>IFERROR(INDEX(PP_Grid[#Data],$DD502,13),0)</f>
        <v/>
      </c>
      <c r="P502">
        <f>IFERROR(INDEX(PP_Grid[#Data],$DD502,14),0)</f>
        <v/>
      </c>
      <c r="Q502">
        <f>IFERROR(INDEX(PP_Grid[#Data],$DD502,15),0)</f>
        <v/>
      </c>
      <c r="R502">
        <f>IFERROR(INDEX(PP_Grid[#Data],$DD502,16),0)</f>
        <v/>
      </c>
      <c r="S502">
        <f>IFERROR(INDEX(PP_Grid[#Data],$DD502,17),0)</f>
        <v/>
      </c>
      <c r="T502">
        <f>IFERROR(INDEX(PP_Grid[#Data],$DD502,18),0)</f>
        <v/>
      </c>
      <c r="U502">
        <f>IFERROR(INDEX(PP_Grid[#Data],$DD502,19),0)</f>
        <v/>
      </c>
      <c r="V502">
        <f>IFERROR(INDEX(PP_Grid[#Data],$DD502,20),0)</f>
        <v/>
      </c>
      <c r="W502">
        <f>IFERROR(INDEX(PP_Grid[#Data],$DD502,21),0)</f>
        <v/>
      </c>
      <c r="X502">
        <f>IFERROR(INDEX(PP_Grid[#Data],$DD502,22),0)</f>
        <v/>
      </c>
      <c r="Y502">
        <f>IFERROR(INDEX(PP_Grid[#Data],$DD502,23),0)</f>
        <v/>
      </c>
      <c r="Z502">
        <f>IFERROR(INDEX(PP_Grid[#Data],$DD502,24),0)</f>
        <v/>
      </c>
      <c r="AA502">
        <f>IFERROR(INDEX(PP_Grid[#Data],$DD502,25),0)</f>
        <v/>
      </c>
      <c r="AB502">
        <f>IFERROR(INDEX(PP_Grid[#Data],$DD502,26),0)</f>
        <v/>
      </c>
      <c r="AC502">
        <f>IFERROR(INDEX(PP_Grid[#Data],$DD502,27),0)</f>
        <v/>
      </c>
      <c r="AD502">
        <f>IFERROR(INDEX(PP_Grid[#Data],$DD502,28),0)</f>
        <v/>
      </c>
      <c r="AE502">
        <f>IFERROR(INDEX(PP_Grid[#Data],$DD502,29),0)</f>
        <v/>
      </c>
      <c r="AF502">
        <f>IFERROR(INDEX(PP_Grid[#Data],$DD502,30),0)</f>
        <v/>
      </c>
      <c r="AG502">
        <f>IFERROR(INDEX(PP_Grid[#Data],$DD502,31),0)</f>
        <v/>
      </c>
      <c r="AH502">
        <f>IFERROR(INDEX(PP_Grid[#Data],$DD502,32),0)</f>
        <v/>
      </c>
      <c r="AI502">
        <f>IFERROR(INDEX(PP_Grid[#Data],$DD502,33),0)</f>
        <v/>
      </c>
      <c r="AJ502">
        <f>IFERROR(INDEX(PP_Grid[#Data],$DD502,34),0)</f>
        <v/>
      </c>
      <c r="AK502">
        <f>IFERROR(INDEX(PP_Grid[#Data],$DD502,35),0)</f>
        <v/>
      </c>
      <c r="AL502">
        <f>IFERROR(INDEX(PP_Grid[#Data],$DD502,36),0)</f>
        <v/>
      </c>
      <c r="AM502">
        <f>IFERROR(INDEX(PP_Grid[#Data],$DD502,37),0)</f>
        <v/>
      </c>
      <c r="AN502">
        <f>IFERROR(INDEX(PP_Grid[#Data],$DD502,38),0)</f>
        <v/>
      </c>
      <c r="AO502">
        <f>IFERROR(INDEX(PP_Grid[#Data],$DD502,39),0)</f>
        <v/>
      </c>
      <c r="AP502">
        <f>IFERROR(INDEX(PP_Grid[#Data],$DD502,40),0)</f>
        <v/>
      </c>
      <c r="AQ502">
        <f>IFERROR(INDEX(PP_Grid[#Data],$DD502,41),0)</f>
        <v/>
      </c>
      <c r="AR502">
        <f>IFERROR(INDEX(PP_Grid[#Data],$DD502,42),0)</f>
        <v/>
      </c>
      <c r="AS502">
        <f>IFERROR(INDEX(PP_Grid[#Data],$DD502,43),0)</f>
        <v/>
      </c>
      <c r="AT502">
        <f>IFERROR(INDEX(PP_Grid[#Data],$DD502,44),0)</f>
        <v/>
      </c>
      <c r="AU502">
        <f>IFERROR(INDEX(PP_Grid[#Data],$DD502,45),0)</f>
        <v/>
      </c>
      <c r="AV502">
        <f>IFERROR(INDEX(PP_Grid[#Data],$DD502,46),0)</f>
        <v/>
      </c>
      <c r="AW502">
        <f>IFERROR(INDEX(PP_Grid[#Data],$DD502,47),0)</f>
        <v/>
      </c>
      <c r="AX502">
        <f>IFERROR(INDEX(PP_Grid[#Data],$DD502,48),0)</f>
        <v/>
      </c>
      <c r="AY502">
        <f>IFERROR(INDEX(PP_Grid[#Data],$DD502,49),0)</f>
        <v/>
      </c>
      <c r="AZ502">
        <f>IFERROR(INDEX(PP_Grid[#Data],$DD502,50),0)</f>
        <v/>
      </c>
      <c r="BA502">
        <f>IFERROR(INDEX(PP_Grid[#Data],$DD502,51),0)</f>
        <v/>
      </c>
      <c r="BB502">
        <f>IFERROR(INDEX(PP_Grid[#Data],$DD502,52),0)</f>
        <v/>
      </c>
      <c r="BC502">
        <f>IFERROR(INDEX(PP_Grid[#Data],$DD502,53),0)</f>
        <v/>
      </c>
      <c r="BD502">
        <f>IFERROR(INDEX(PP_Grid[#Data],$DD502,54),0)</f>
        <v/>
      </c>
      <c r="BE502">
        <f>IFERROR(INDEX(PP_Grid[#Data],$DD502,55),0)</f>
        <v/>
      </c>
      <c r="BF502">
        <f>IFERROR(INDEX(PP_Grid[#Data],$DD502,56),0)</f>
        <v/>
      </c>
      <c r="BG502">
        <f>IFERROR(INDEX(PP_Grid[#Data],$DD502,57),0)</f>
        <v/>
      </c>
      <c r="BH502">
        <f>IFERROR(INDEX(PP_Grid[#Data],$DD502,58),0)</f>
        <v/>
      </c>
      <c r="BI502">
        <f>IFERROR(INDEX(PP_Grid[#Data],$DD502,59),0)</f>
        <v/>
      </c>
      <c r="BJ502">
        <f>IFERROR(INDEX(PP_Grid[#Data],$DD502,60),0)</f>
        <v/>
      </c>
      <c r="BK502">
        <f>IFERROR(INDEX(PP_Grid[#Data],$DD502,61),0)</f>
        <v/>
      </c>
      <c r="BL502">
        <f>IFERROR(INDEX(PP_Grid[#Data],$DD502,62),0)</f>
        <v/>
      </c>
      <c r="BM502">
        <f>IFERROR(INDEX(PP_Grid[#Data],$DD502,63),0)</f>
        <v/>
      </c>
      <c r="BN502">
        <f>IFERROR(INDEX(PP_Grid[#Data],$DD502,64),0)</f>
        <v/>
      </c>
      <c r="BO502">
        <f>IFERROR(INDEX(PP_Grid[#Data],$DD502,65),0)</f>
        <v/>
      </c>
      <c r="BP502">
        <f>IFERROR(INDEX(PP_Grid[#Data],$DD502,66),0)</f>
        <v/>
      </c>
      <c r="BQ502">
        <f>IFERROR(INDEX(PP_Grid[#Data],$DD502,67),0)</f>
        <v/>
      </c>
      <c r="BR502">
        <f>IFERROR(INDEX(PP_Grid[#Data],$DD502,68),0)</f>
        <v/>
      </c>
      <c r="BS502">
        <f>IFERROR(INDEX(PP_Grid[#Data],$DD502,69),0)</f>
        <v/>
      </c>
      <c r="BT502">
        <f>IFERROR(INDEX(PP_Grid[#Data],$DD502,70),0)</f>
        <v/>
      </c>
      <c r="BU502">
        <f>IFERROR(INDEX(PP_Grid[#Data],$DD502,71),0)</f>
        <v/>
      </c>
      <c r="BV502">
        <f>IFERROR(INDEX(PP_Grid[#Data],$DD502,72),0)</f>
        <v/>
      </c>
      <c r="BW502">
        <f>IFERROR(INDEX(PP_Grid[#Data],$DD502,73),0)</f>
        <v/>
      </c>
      <c r="BX502">
        <f>IFERROR(INDEX(PP_Grid[#Data],$DD502,74),0)</f>
        <v/>
      </c>
      <c r="BY502">
        <f>IFERROR(INDEX(PP_Grid[#Data],$DD502,75),0)</f>
        <v/>
      </c>
      <c r="BZ502">
        <f>IFERROR(INDEX(PP_Grid[#Data],$DD502,76),0)</f>
        <v/>
      </c>
      <c r="CA502">
        <f>IFERROR(INDEX(PP_Grid[#Data],$DD502,77),0)</f>
        <v/>
      </c>
      <c r="CB502">
        <f>IFERROR(INDEX(PP_Grid[#Data],$DD502,78),0)</f>
        <v/>
      </c>
      <c r="CC502">
        <f>IFERROR(INDEX(PP_Grid[#Data],$DD502,79),0)</f>
        <v/>
      </c>
      <c r="CD502">
        <f>IFERROR(INDEX(PP_Grid[#Data],$DD502,80),0)</f>
        <v/>
      </c>
      <c r="CE502">
        <f>IFERROR(INDEX(PP_Grid[#Data],$DD502,81),0)</f>
        <v/>
      </c>
      <c r="CF502">
        <f>IFERROR(INDEX(PP_Grid[#Data],$DD502,82),0)</f>
        <v/>
      </c>
      <c r="CG502">
        <f>IFERROR(INDEX(PP_Grid[#Data],$DD502,83),0)</f>
        <v/>
      </c>
      <c r="CH502">
        <f>IFERROR(INDEX(PP_Grid[#Data],$DD502,84),0)</f>
        <v/>
      </c>
      <c r="CI502">
        <f>IFERROR(INDEX(PP_Grid[#Data],$DD502,85),0)</f>
        <v/>
      </c>
      <c r="CJ502">
        <f>IFERROR(INDEX(PP_Grid[#Data],$DD502,86),0)</f>
        <v/>
      </c>
      <c r="CK502">
        <f>IFERROR(INDEX(PP_Grid[#Data],$DD502,87),0)</f>
        <v/>
      </c>
      <c r="CL502">
        <f>IFERROR(INDEX(PP_Grid[#Data],$DD502,88),0)</f>
        <v/>
      </c>
      <c r="CM502">
        <f>IFERROR(INDEX(PP_Grid[#Data],$DD502,89),0)</f>
        <v/>
      </c>
      <c r="CN502">
        <f>IFERROR(INDEX(PP_Grid[#Data],$DD502,90),0)</f>
        <v/>
      </c>
      <c r="CO502">
        <f>IFERROR(INDEX(PP_Grid[#Data],$DD502,91),0)</f>
        <v/>
      </c>
      <c r="CP502">
        <f>IFERROR(INDEX(PP_Grid[#Data],$DD502,92),0)</f>
        <v/>
      </c>
      <c r="CQ502">
        <f>IFERROR(INDEX(PP_Grid[#Data],$DD502,93),0)</f>
        <v/>
      </c>
      <c r="CR502">
        <f>IFERROR(INDEX(PP_Grid[#Data],$DD502,94),0)</f>
        <v/>
      </c>
      <c r="CS502">
        <f>IFERROR(INDEX(PP_Grid[#Data],$DD502,95),0)</f>
        <v/>
      </c>
      <c r="CT502">
        <f>IFERROR(INDEX(PP_Grid[#Data],$DD502,96),0)</f>
        <v/>
      </c>
      <c r="CU502">
        <f>IFERROR(INDEX(PP_Grid[#Data],$DD502,97),0)</f>
        <v/>
      </c>
      <c r="CV502">
        <f>IFERROR(INDEX(PP_Grid[#Data],$DD502,98),0)</f>
        <v/>
      </c>
      <c r="CW502">
        <f>IFERROR(INDEX(PP_Grid[#Data],$DD502,99),0)</f>
        <v/>
      </c>
      <c r="CX502">
        <f>IFERROR(INDEX(PP_Grid[#Data],$DD502,100),0)</f>
        <v/>
      </c>
      <c r="CY502">
        <f>IFERROR(INDEX(PP_Grid[#Data],$DD502,101),0)</f>
        <v/>
      </c>
      <c r="CZ502">
        <f>IFERROR(INDEX(PP_Grid[#Data],$DD502,102),0)</f>
        <v/>
      </c>
      <c r="DA502">
        <f>IFERROR(INDEX(PP_Grid[#Data],$DD502,103),0)</f>
        <v/>
      </c>
      <c r="DB502">
        <f>IFERROR(INDEX(PP_Grid[#Data],$DD502,104),0)</f>
        <v/>
      </c>
      <c r="DC502">
        <f>IFERROR(INDEX(PP_Grid[#Data],$DD502,105),0)</f>
        <v/>
      </c>
      <c r="DD502" s="12">
        <f>IFERROR(MATCH($B502,PP_Grid[Intermediate],0),99999)</f>
        <v/>
      </c>
    </row>
    <row r="503">
      <c r="B503" t="inlineStr">
        <is>
          <t>使用量(kg)</t>
        </is>
      </c>
      <c r="C503">
        <f>SUMIFS(M_BOM[RM_Qty_Per_Batch],M_BOM[Intermediate],$B502,M_BOM[Part Name],$A493)</f>
        <v/>
      </c>
      <c r="D503">
        <f>$C503*D502</f>
        <v/>
      </c>
      <c r="E503">
        <f>$C503*E502</f>
        <v/>
      </c>
      <c r="F503">
        <f>$C503*F502</f>
        <v/>
      </c>
      <c r="G503">
        <f>$C503*G502</f>
        <v/>
      </c>
      <c r="H503">
        <f>$C503*H502</f>
        <v/>
      </c>
      <c r="I503">
        <f>$C503*I502</f>
        <v/>
      </c>
      <c r="J503">
        <f>$C503*J502</f>
        <v/>
      </c>
      <c r="K503">
        <f>$C503*K502</f>
        <v/>
      </c>
      <c r="L503">
        <f>$C503*L502</f>
        <v/>
      </c>
      <c r="M503">
        <f>$C503*M502</f>
        <v/>
      </c>
      <c r="N503">
        <f>$C503*N502</f>
        <v/>
      </c>
      <c r="O503">
        <f>$C503*O502</f>
        <v/>
      </c>
      <c r="P503">
        <f>$C503*P502</f>
        <v/>
      </c>
      <c r="Q503">
        <f>$C503*Q502</f>
        <v/>
      </c>
      <c r="R503">
        <f>$C503*R502</f>
        <v/>
      </c>
      <c r="S503">
        <f>$C503*S502</f>
        <v/>
      </c>
      <c r="T503">
        <f>$C503*T502</f>
        <v/>
      </c>
      <c r="U503">
        <f>$C503*U502</f>
        <v/>
      </c>
      <c r="V503">
        <f>$C503*V502</f>
        <v/>
      </c>
      <c r="W503">
        <f>$C503*W502</f>
        <v/>
      </c>
      <c r="X503">
        <f>$C503*X502</f>
        <v/>
      </c>
      <c r="Y503">
        <f>$C503*Y502</f>
        <v/>
      </c>
      <c r="Z503">
        <f>$C503*Z502</f>
        <v/>
      </c>
      <c r="AA503">
        <f>$C503*AA502</f>
        <v/>
      </c>
      <c r="AB503">
        <f>$C503*AB502</f>
        <v/>
      </c>
      <c r="AC503">
        <f>$C503*AC502</f>
        <v/>
      </c>
      <c r="AD503">
        <f>$C503*AD502</f>
        <v/>
      </c>
      <c r="AE503">
        <f>$C503*AE502</f>
        <v/>
      </c>
      <c r="AF503">
        <f>$C503*AF502</f>
        <v/>
      </c>
      <c r="AG503">
        <f>$C503*AG502</f>
        <v/>
      </c>
      <c r="AH503">
        <f>$C503*AH502</f>
        <v/>
      </c>
      <c r="AI503">
        <f>$C503*AI502</f>
        <v/>
      </c>
      <c r="AJ503">
        <f>$C503*AJ502</f>
        <v/>
      </c>
      <c r="AK503">
        <f>$C503*AK502</f>
        <v/>
      </c>
      <c r="AL503">
        <f>$C503*AL502</f>
        <v/>
      </c>
      <c r="AM503">
        <f>$C503*AM502</f>
        <v/>
      </c>
      <c r="AN503">
        <f>$C503*AN502</f>
        <v/>
      </c>
      <c r="AO503">
        <f>$C503*AO502</f>
        <v/>
      </c>
      <c r="AP503">
        <f>$C503*AP502</f>
        <v/>
      </c>
      <c r="AQ503">
        <f>$C503*AQ502</f>
        <v/>
      </c>
      <c r="AR503">
        <f>$C503*AR502</f>
        <v/>
      </c>
      <c r="AS503">
        <f>$C503*AS502</f>
        <v/>
      </c>
      <c r="AT503">
        <f>$C503*AT502</f>
        <v/>
      </c>
      <c r="AU503">
        <f>$C503*AU502</f>
        <v/>
      </c>
      <c r="AV503">
        <f>$C503*AV502</f>
        <v/>
      </c>
      <c r="AW503">
        <f>$C503*AW502</f>
        <v/>
      </c>
      <c r="AX503">
        <f>$C503*AX502</f>
        <v/>
      </c>
      <c r="AY503">
        <f>$C503*AY502</f>
        <v/>
      </c>
      <c r="AZ503">
        <f>$C503*AZ502</f>
        <v/>
      </c>
      <c r="BA503">
        <f>$C503*BA502</f>
        <v/>
      </c>
      <c r="BB503">
        <f>$C503*BB502</f>
        <v/>
      </c>
      <c r="BC503">
        <f>$C503*BC502</f>
        <v/>
      </c>
      <c r="BD503">
        <f>$C503*BD502</f>
        <v/>
      </c>
      <c r="BE503">
        <f>$C503*BE502</f>
        <v/>
      </c>
      <c r="BF503">
        <f>$C503*BF502</f>
        <v/>
      </c>
      <c r="BG503">
        <f>$C503*BG502</f>
        <v/>
      </c>
      <c r="BH503">
        <f>$C503*BH502</f>
        <v/>
      </c>
      <c r="BI503">
        <f>$C503*BI502</f>
        <v/>
      </c>
      <c r="BJ503">
        <f>$C503*BJ502</f>
        <v/>
      </c>
      <c r="BK503">
        <f>$C503*BK502</f>
        <v/>
      </c>
      <c r="BL503">
        <f>$C503*BL502</f>
        <v/>
      </c>
      <c r="BM503">
        <f>$C503*BM502</f>
        <v/>
      </c>
      <c r="BN503">
        <f>$C503*BN502</f>
        <v/>
      </c>
      <c r="BO503">
        <f>$C503*BO502</f>
        <v/>
      </c>
      <c r="BP503">
        <f>$C503*BP502</f>
        <v/>
      </c>
      <c r="BQ503">
        <f>$C503*BQ502</f>
        <v/>
      </c>
      <c r="BR503">
        <f>$C503*BR502</f>
        <v/>
      </c>
      <c r="BS503">
        <f>$C503*BS502</f>
        <v/>
      </c>
      <c r="BT503">
        <f>$C503*BT502</f>
        <v/>
      </c>
      <c r="BU503">
        <f>$C503*BU502</f>
        <v/>
      </c>
      <c r="BV503">
        <f>$C503*BV502</f>
        <v/>
      </c>
      <c r="BW503">
        <f>$C503*BW502</f>
        <v/>
      </c>
      <c r="BX503">
        <f>$C503*BX502</f>
        <v/>
      </c>
      <c r="BY503">
        <f>$C503*BY502</f>
        <v/>
      </c>
      <c r="BZ503">
        <f>$C503*BZ502</f>
        <v/>
      </c>
      <c r="CA503">
        <f>$C503*CA502</f>
        <v/>
      </c>
      <c r="CB503">
        <f>$C503*CB502</f>
        <v/>
      </c>
      <c r="CC503">
        <f>$C503*CC502</f>
        <v/>
      </c>
      <c r="CD503">
        <f>$C503*CD502</f>
        <v/>
      </c>
      <c r="CE503">
        <f>$C503*CE502</f>
        <v/>
      </c>
      <c r="CF503">
        <f>$C503*CF502</f>
        <v/>
      </c>
      <c r="CG503">
        <f>$C503*CG502</f>
        <v/>
      </c>
      <c r="CH503">
        <f>$C503*CH502</f>
        <v/>
      </c>
      <c r="CI503">
        <f>$C503*CI502</f>
        <v/>
      </c>
      <c r="CJ503">
        <f>$C503*CJ502</f>
        <v/>
      </c>
      <c r="CK503">
        <f>$C503*CK502</f>
        <v/>
      </c>
      <c r="CL503">
        <f>$C503*CL502</f>
        <v/>
      </c>
      <c r="CM503">
        <f>$C503*CM502</f>
        <v/>
      </c>
      <c r="CN503">
        <f>$C503*CN502</f>
        <v/>
      </c>
      <c r="CO503">
        <f>$C503*CO502</f>
        <v/>
      </c>
      <c r="CP503">
        <f>$C503*CP502</f>
        <v/>
      </c>
      <c r="CQ503">
        <f>$C503*CQ502</f>
        <v/>
      </c>
      <c r="CR503">
        <f>$C503*CR502</f>
        <v/>
      </c>
      <c r="CS503">
        <f>$C503*CS502</f>
        <v/>
      </c>
      <c r="CT503">
        <f>$C503*CT502</f>
        <v/>
      </c>
      <c r="CU503">
        <f>$C503*CU502</f>
        <v/>
      </c>
      <c r="CV503">
        <f>$C503*CV502</f>
        <v/>
      </c>
      <c r="CW503">
        <f>$C503*CW502</f>
        <v/>
      </c>
      <c r="CX503">
        <f>$C503*CX502</f>
        <v/>
      </c>
      <c r="CY503">
        <f>$C503*CY502</f>
        <v/>
      </c>
      <c r="CZ503">
        <f>$C503*CZ502</f>
        <v/>
      </c>
      <c r="DA503">
        <f>$C503*DA502</f>
        <v/>
      </c>
      <c r="DB503">
        <f>$C503*DB502</f>
        <v/>
      </c>
      <c r="DC503">
        <f>$C503*DC502</f>
        <v/>
      </c>
    </row>
    <row r="504">
      <c r="B504" t="inlineStr">
        <is>
          <t>TSP-1555</t>
        </is>
      </c>
      <c r="C504" t="inlineStr">
        <is>
          <t>No. of batches</t>
        </is>
      </c>
      <c r="D504">
        <f>IFERROR(INDEX(PP_Grid[#Data],$DD504,2),0)</f>
        <v/>
      </c>
      <c r="E504">
        <f>IFERROR(INDEX(PP_Grid[#Data],$DD504,3),0)</f>
        <v/>
      </c>
      <c r="F504">
        <f>IFERROR(INDEX(PP_Grid[#Data],$DD504,4),0)</f>
        <v/>
      </c>
      <c r="G504">
        <f>IFERROR(INDEX(PP_Grid[#Data],$DD504,5),0)</f>
        <v/>
      </c>
      <c r="H504">
        <f>IFERROR(INDEX(PP_Grid[#Data],$DD504,6),0)</f>
        <v/>
      </c>
      <c r="I504">
        <f>IFERROR(INDEX(PP_Grid[#Data],$DD504,7),0)</f>
        <v/>
      </c>
      <c r="J504">
        <f>IFERROR(INDEX(PP_Grid[#Data],$DD504,8),0)</f>
        <v/>
      </c>
      <c r="K504">
        <f>IFERROR(INDEX(PP_Grid[#Data],$DD504,9),0)</f>
        <v/>
      </c>
      <c r="L504">
        <f>IFERROR(INDEX(PP_Grid[#Data],$DD504,10),0)</f>
        <v/>
      </c>
      <c r="M504">
        <f>IFERROR(INDEX(PP_Grid[#Data],$DD504,11),0)</f>
        <v/>
      </c>
      <c r="N504">
        <f>IFERROR(INDEX(PP_Grid[#Data],$DD504,12),0)</f>
        <v/>
      </c>
      <c r="O504">
        <f>IFERROR(INDEX(PP_Grid[#Data],$DD504,13),0)</f>
        <v/>
      </c>
      <c r="P504">
        <f>IFERROR(INDEX(PP_Grid[#Data],$DD504,14),0)</f>
        <v/>
      </c>
      <c r="Q504">
        <f>IFERROR(INDEX(PP_Grid[#Data],$DD504,15),0)</f>
        <v/>
      </c>
      <c r="R504">
        <f>IFERROR(INDEX(PP_Grid[#Data],$DD504,16),0)</f>
        <v/>
      </c>
      <c r="S504">
        <f>IFERROR(INDEX(PP_Grid[#Data],$DD504,17),0)</f>
        <v/>
      </c>
      <c r="T504">
        <f>IFERROR(INDEX(PP_Grid[#Data],$DD504,18),0)</f>
        <v/>
      </c>
      <c r="U504">
        <f>IFERROR(INDEX(PP_Grid[#Data],$DD504,19),0)</f>
        <v/>
      </c>
      <c r="V504">
        <f>IFERROR(INDEX(PP_Grid[#Data],$DD504,20),0)</f>
        <v/>
      </c>
      <c r="W504">
        <f>IFERROR(INDEX(PP_Grid[#Data],$DD504,21),0)</f>
        <v/>
      </c>
      <c r="X504">
        <f>IFERROR(INDEX(PP_Grid[#Data],$DD504,22),0)</f>
        <v/>
      </c>
      <c r="Y504">
        <f>IFERROR(INDEX(PP_Grid[#Data],$DD504,23),0)</f>
        <v/>
      </c>
      <c r="Z504">
        <f>IFERROR(INDEX(PP_Grid[#Data],$DD504,24),0)</f>
        <v/>
      </c>
      <c r="AA504">
        <f>IFERROR(INDEX(PP_Grid[#Data],$DD504,25),0)</f>
        <v/>
      </c>
      <c r="AB504">
        <f>IFERROR(INDEX(PP_Grid[#Data],$DD504,26),0)</f>
        <v/>
      </c>
      <c r="AC504">
        <f>IFERROR(INDEX(PP_Grid[#Data],$DD504,27),0)</f>
        <v/>
      </c>
      <c r="AD504">
        <f>IFERROR(INDEX(PP_Grid[#Data],$DD504,28),0)</f>
        <v/>
      </c>
      <c r="AE504">
        <f>IFERROR(INDEX(PP_Grid[#Data],$DD504,29),0)</f>
        <v/>
      </c>
      <c r="AF504">
        <f>IFERROR(INDEX(PP_Grid[#Data],$DD504,30),0)</f>
        <v/>
      </c>
      <c r="AG504">
        <f>IFERROR(INDEX(PP_Grid[#Data],$DD504,31),0)</f>
        <v/>
      </c>
      <c r="AH504">
        <f>IFERROR(INDEX(PP_Grid[#Data],$DD504,32),0)</f>
        <v/>
      </c>
      <c r="AI504">
        <f>IFERROR(INDEX(PP_Grid[#Data],$DD504,33),0)</f>
        <v/>
      </c>
      <c r="AJ504">
        <f>IFERROR(INDEX(PP_Grid[#Data],$DD504,34),0)</f>
        <v/>
      </c>
      <c r="AK504">
        <f>IFERROR(INDEX(PP_Grid[#Data],$DD504,35),0)</f>
        <v/>
      </c>
      <c r="AL504">
        <f>IFERROR(INDEX(PP_Grid[#Data],$DD504,36),0)</f>
        <v/>
      </c>
      <c r="AM504">
        <f>IFERROR(INDEX(PP_Grid[#Data],$DD504,37),0)</f>
        <v/>
      </c>
      <c r="AN504">
        <f>IFERROR(INDEX(PP_Grid[#Data],$DD504,38),0)</f>
        <v/>
      </c>
      <c r="AO504">
        <f>IFERROR(INDEX(PP_Grid[#Data],$DD504,39),0)</f>
        <v/>
      </c>
      <c r="AP504">
        <f>IFERROR(INDEX(PP_Grid[#Data],$DD504,40),0)</f>
        <v/>
      </c>
      <c r="AQ504">
        <f>IFERROR(INDEX(PP_Grid[#Data],$DD504,41),0)</f>
        <v/>
      </c>
      <c r="AR504">
        <f>IFERROR(INDEX(PP_Grid[#Data],$DD504,42),0)</f>
        <v/>
      </c>
      <c r="AS504">
        <f>IFERROR(INDEX(PP_Grid[#Data],$DD504,43),0)</f>
        <v/>
      </c>
      <c r="AT504">
        <f>IFERROR(INDEX(PP_Grid[#Data],$DD504,44),0)</f>
        <v/>
      </c>
      <c r="AU504">
        <f>IFERROR(INDEX(PP_Grid[#Data],$DD504,45),0)</f>
        <v/>
      </c>
      <c r="AV504">
        <f>IFERROR(INDEX(PP_Grid[#Data],$DD504,46),0)</f>
        <v/>
      </c>
      <c r="AW504">
        <f>IFERROR(INDEX(PP_Grid[#Data],$DD504,47),0)</f>
        <v/>
      </c>
      <c r="AX504">
        <f>IFERROR(INDEX(PP_Grid[#Data],$DD504,48),0)</f>
        <v/>
      </c>
      <c r="AY504">
        <f>IFERROR(INDEX(PP_Grid[#Data],$DD504,49),0)</f>
        <v/>
      </c>
      <c r="AZ504">
        <f>IFERROR(INDEX(PP_Grid[#Data],$DD504,50),0)</f>
        <v/>
      </c>
      <c r="BA504">
        <f>IFERROR(INDEX(PP_Grid[#Data],$DD504,51),0)</f>
        <v/>
      </c>
      <c r="BB504">
        <f>IFERROR(INDEX(PP_Grid[#Data],$DD504,52),0)</f>
        <v/>
      </c>
      <c r="BC504">
        <f>IFERROR(INDEX(PP_Grid[#Data],$DD504,53),0)</f>
        <v/>
      </c>
      <c r="BD504">
        <f>IFERROR(INDEX(PP_Grid[#Data],$DD504,54),0)</f>
        <v/>
      </c>
      <c r="BE504">
        <f>IFERROR(INDEX(PP_Grid[#Data],$DD504,55),0)</f>
        <v/>
      </c>
      <c r="BF504">
        <f>IFERROR(INDEX(PP_Grid[#Data],$DD504,56),0)</f>
        <v/>
      </c>
      <c r="BG504">
        <f>IFERROR(INDEX(PP_Grid[#Data],$DD504,57),0)</f>
        <v/>
      </c>
      <c r="BH504">
        <f>IFERROR(INDEX(PP_Grid[#Data],$DD504,58),0)</f>
        <v/>
      </c>
      <c r="BI504">
        <f>IFERROR(INDEX(PP_Grid[#Data],$DD504,59),0)</f>
        <v/>
      </c>
      <c r="BJ504">
        <f>IFERROR(INDEX(PP_Grid[#Data],$DD504,60),0)</f>
        <v/>
      </c>
      <c r="BK504">
        <f>IFERROR(INDEX(PP_Grid[#Data],$DD504,61),0)</f>
        <v/>
      </c>
      <c r="BL504">
        <f>IFERROR(INDEX(PP_Grid[#Data],$DD504,62),0)</f>
        <v/>
      </c>
      <c r="BM504">
        <f>IFERROR(INDEX(PP_Grid[#Data],$DD504,63),0)</f>
        <v/>
      </c>
      <c r="BN504">
        <f>IFERROR(INDEX(PP_Grid[#Data],$DD504,64),0)</f>
        <v/>
      </c>
      <c r="BO504">
        <f>IFERROR(INDEX(PP_Grid[#Data],$DD504,65),0)</f>
        <v/>
      </c>
      <c r="BP504">
        <f>IFERROR(INDEX(PP_Grid[#Data],$DD504,66),0)</f>
        <v/>
      </c>
      <c r="BQ504">
        <f>IFERROR(INDEX(PP_Grid[#Data],$DD504,67),0)</f>
        <v/>
      </c>
      <c r="BR504">
        <f>IFERROR(INDEX(PP_Grid[#Data],$DD504,68),0)</f>
        <v/>
      </c>
      <c r="BS504">
        <f>IFERROR(INDEX(PP_Grid[#Data],$DD504,69),0)</f>
        <v/>
      </c>
      <c r="BT504">
        <f>IFERROR(INDEX(PP_Grid[#Data],$DD504,70),0)</f>
        <v/>
      </c>
      <c r="BU504">
        <f>IFERROR(INDEX(PP_Grid[#Data],$DD504,71),0)</f>
        <v/>
      </c>
      <c r="BV504">
        <f>IFERROR(INDEX(PP_Grid[#Data],$DD504,72),0)</f>
        <v/>
      </c>
      <c r="BW504">
        <f>IFERROR(INDEX(PP_Grid[#Data],$DD504,73),0)</f>
        <v/>
      </c>
      <c r="BX504">
        <f>IFERROR(INDEX(PP_Grid[#Data],$DD504,74),0)</f>
        <v/>
      </c>
      <c r="BY504">
        <f>IFERROR(INDEX(PP_Grid[#Data],$DD504,75),0)</f>
        <v/>
      </c>
      <c r="BZ504">
        <f>IFERROR(INDEX(PP_Grid[#Data],$DD504,76),0)</f>
        <v/>
      </c>
      <c r="CA504">
        <f>IFERROR(INDEX(PP_Grid[#Data],$DD504,77),0)</f>
        <v/>
      </c>
      <c r="CB504">
        <f>IFERROR(INDEX(PP_Grid[#Data],$DD504,78),0)</f>
        <v/>
      </c>
      <c r="CC504">
        <f>IFERROR(INDEX(PP_Grid[#Data],$DD504,79),0)</f>
        <v/>
      </c>
      <c r="CD504">
        <f>IFERROR(INDEX(PP_Grid[#Data],$DD504,80),0)</f>
        <v/>
      </c>
      <c r="CE504">
        <f>IFERROR(INDEX(PP_Grid[#Data],$DD504,81),0)</f>
        <v/>
      </c>
      <c r="CF504">
        <f>IFERROR(INDEX(PP_Grid[#Data],$DD504,82),0)</f>
        <v/>
      </c>
      <c r="CG504">
        <f>IFERROR(INDEX(PP_Grid[#Data],$DD504,83),0)</f>
        <v/>
      </c>
      <c r="CH504">
        <f>IFERROR(INDEX(PP_Grid[#Data],$DD504,84),0)</f>
        <v/>
      </c>
      <c r="CI504">
        <f>IFERROR(INDEX(PP_Grid[#Data],$DD504,85),0)</f>
        <v/>
      </c>
      <c r="CJ504">
        <f>IFERROR(INDEX(PP_Grid[#Data],$DD504,86),0)</f>
        <v/>
      </c>
      <c r="CK504">
        <f>IFERROR(INDEX(PP_Grid[#Data],$DD504,87),0)</f>
        <v/>
      </c>
      <c r="CL504">
        <f>IFERROR(INDEX(PP_Grid[#Data],$DD504,88),0)</f>
        <v/>
      </c>
      <c r="CM504">
        <f>IFERROR(INDEX(PP_Grid[#Data],$DD504,89),0)</f>
        <v/>
      </c>
      <c r="CN504">
        <f>IFERROR(INDEX(PP_Grid[#Data],$DD504,90),0)</f>
        <v/>
      </c>
      <c r="CO504">
        <f>IFERROR(INDEX(PP_Grid[#Data],$DD504,91),0)</f>
        <v/>
      </c>
      <c r="CP504">
        <f>IFERROR(INDEX(PP_Grid[#Data],$DD504,92),0)</f>
        <v/>
      </c>
      <c r="CQ504">
        <f>IFERROR(INDEX(PP_Grid[#Data],$DD504,93),0)</f>
        <v/>
      </c>
      <c r="CR504">
        <f>IFERROR(INDEX(PP_Grid[#Data],$DD504,94),0)</f>
        <v/>
      </c>
      <c r="CS504">
        <f>IFERROR(INDEX(PP_Grid[#Data],$DD504,95),0)</f>
        <v/>
      </c>
      <c r="CT504">
        <f>IFERROR(INDEX(PP_Grid[#Data],$DD504,96),0)</f>
        <v/>
      </c>
      <c r="CU504">
        <f>IFERROR(INDEX(PP_Grid[#Data],$DD504,97),0)</f>
        <v/>
      </c>
      <c r="CV504">
        <f>IFERROR(INDEX(PP_Grid[#Data],$DD504,98),0)</f>
        <v/>
      </c>
      <c r="CW504">
        <f>IFERROR(INDEX(PP_Grid[#Data],$DD504,99),0)</f>
        <v/>
      </c>
      <c r="CX504">
        <f>IFERROR(INDEX(PP_Grid[#Data],$DD504,100),0)</f>
        <v/>
      </c>
      <c r="CY504">
        <f>IFERROR(INDEX(PP_Grid[#Data],$DD504,101),0)</f>
        <v/>
      </c>
      <c r="CZ504">
        <f>IFERROR(INDEX(PP_Grid[#Data],$DD504,102),0)</f>
        <v/>
      </c>
      <c r="DA504">
        <f>IFERROR(INDEX(PP_Grid[#Data],$DD504,103),0)</f>
        <v/>
      </c>
      <c r="DB504">
        <f>IFERROR(INDEX(PP_Grid[#Data],$DD504,104),0)</f>
        <v/>
      </c>
      <c r="DC504">
        <f>IFERROR(INDEX(PP_Grid[#Data],$DD504,105),0)</f>
        <v/>
      </c>
      <c r="DD504" s="12">
        <f>IFERROR(MATCH($B504,PP_Grid[Intermediate],0),99999)</f>
        <v/>
      </c>
    </row>
    <row r="505">
      <c r="B505" t="inlineStr">
        <is>
          <t>使用量(kg)</t>
        </is>
      </c>
      <c r="C505">
        <f>SUMIFS(M_BOM[RM_Qty_Per_Batch],M_BOM[Intermediate],$B504,M_BOM[Part Name],$A493)</f>
        <v/>
      </c>
      <c r="D505">
        <f>$C505*D504</f>
        <v/>
      </c>
      <c r="E505">
        <f>$C505*E504</f>
        <v/>
      </c>
      <c r="F505">
        <f>$C505*F504</f>
        <v/>
      </c>
      <c r="G505">
        <f>$C505*G504</f>
        <v/>
      </c>
      <c r="H505">
        <f>$C505*H504</f>
        <v/>
      </c>
      <c r="I505">
        <f>$C505*I504</f>
        <v/>
      </c>
      <c r="J505">
        <f>$C505*J504</f>
        <v/>
      </c>
      <c r="K505">
        <f>$C505*K504</f>
        <v/>
      </c>
      <c r="L505">
        <f>$C505*L504</f>
        <v/>
      </c>
      <c r="M505">
        <f>$C505*M504</f>
        <v/>
      </c>
      <c r="N505">
        <f>$C505*N504</f>
        <v/>
      </c>
      <c r="O505">
        <f>$C505*O504</f>
        <v/>
      </c>
      <c r="P505">
        <f>$C505*P504</f>
        <v/>
      </c>
      <c r="Q505">
        <f>$C505*Q504</f>
        <v/>
      </c>
      <c r="R505">
        <f>$C505*R504</f>
        <v/>
      </c>
      <c r="S505">
        <f>$C505*S504</f>
        <v/>
      </c>
      <c r="T505">
        <f>$C505*T504</f>
        <v/>
      </c>
      <c r="U505">
        <f>$C505*U504</f>
        <v/>
      </c>
      <c r="V505">
        <f>$C505*V504</f>
        <v/>
      </c>
      <c r="W505">
        <f>$C505*W504</f>
        <v/>
      </c>
      <c r="X505">
        <f>$C505*X504</f>
        <v/>
      </c>
      <c r="Y505">
        <f>$C505*Y504</f>
        <v/>
      </c>
      <c r="Z505">
        <f>$C505*Z504</f>
        <v/>
      </c>
      <c r="AA505">
        <f>$C505*AA504</f>
        <v/>
      </c>
      <c r="AB505">
        <f>$C505*AB504</f>
        <v/>
      </c>
      <c r="AC505">
        <f>$C505*AC504</f>
        <v/>
      </c>
      <c r="AD505">
        <f>$C505*AD504</f>
        <v/>
      </c>
      <c r="AE505">
        <f>$C505*AE504</f>
        <v/>
      </c>
      <c r="AF505">
        <f>$C505*AF504</f>
        <v/>
      </c>
      <c r="AG505">
        <f>$C505*AG504</f>
        <v/>
      </c>
      <c r="AH505">
        <f>$C505*AH504</f>
        <v/>
      </c>
      <c r="AI505">
        <f>$C505*AI504</f>
        <v/>
      </c>
      <c r="AJ505">
        <f>$C505*AJ504</f>
        <v/>
      </c>
      <c r="AK505">
        <f>$C505*AK504</f>
        <v/>
      </c>
      <c r="AL505">
        <f>$C505*AL504</f>
        <v/>
      </c>
      <c r="AM505">
        <f>$C505*AM504</f>
        <v/>
      </c>
      <c r="AN505">
        <f>$C505*AN504</f>
        <v/>
      </c>
      <c r="AO505">
        <f>$C505*AO504</f>
        <v/>
      </c>
      <c r="AP505">
        <f>$C505*AP504</f>
        <v/>
      </c>
      <c r="AQ505">
        <f>$C505*AQ504</f>
        <v/>
      </c>
      <c r="AR505">
        <f>$C505*AR504</f>
        <v/>
      </c>
      <c r="AS505">
        <f>$C505*AS504</f>
        <v/>
      </c>
      <c r="AT505">
        <f>$C505*AT504</f>
        <v/>
      </c>
      <c r="AU505">
        <f>$C505*AU504</f>
        <v/>
      </c>
      <c r="AV505">
        <f>$C505*AV504</f>
        <v/>
      </c>
      <c r="AW505">
        <f>$C505*AW504</f>
        <v/>
      </c>
      <c r="AX505">
        <f>$C505*AX504</f>
        <v/>
      </c>
      <c r="AY505">
        <f>$C505*AY504</f>
        <v/>
      </c>
      <c r="AZ505">
        <f>$C505*AZ504</f>
        <v/>
      </c>
      <c r="BA505">
        <f>$C505*BA504</f>
        <v/>
      </c>
      <c r="BB505">
        <f>$C505*BB504</f>
        <v/>
      </c>
      <c r="BC505">
        <f>$C505*BC504</f>
        <v/>
      </c>
      <c r="BD505">
        <f>$C505*BD504</f>
        <v/>
      </c>
      <c r="BE505">
        <f>$C505*BE504</f>
        <v/>
      </c>
      <c r="BF505">
        <f>$C505*BF504</f>
        <v/>
      </c>
      <c r="BG505">
        <f>$C505*BG504</f>
        <v/>
      </c>
      <c r="BH505">
        <f>$C505*BH504</f>
        <v/>
      </c>
      <c r="BI505">
        <f>$C505*BI504</f>
        <v/>
      </c>
      <c r="BJ505">
        <f>$C505*BJ504</f>
        <v/>
      </c>
      <c r="BK505">
        <f>$C505*BK504</f>
        <v/>
      </c>
      <c r="BL505">
        <f>$C505*BL504</f>
        <v/>
      </c>
      <c r="BM505">
        <f>$C505*BM504</f>
        <v/>
      </c>
      <c r="BN505">
        <f>$C505*BN504</f>
        <v/>
      </c>
      <c r="BO505">
        <f>$C505*BO504</f>
        <v/>
      </c>
      <c r="BP505">
        <f>$C505*BP504</f>
        <v/>
      </c>
      <c r="BQ505">
        <f>$C505*BQ504</f>
        <v/>
      </c>
      <c r="BR505">
        <f>$C505*BR504</f>
        <v/>
      </c>
      <c r="BS505">
        <f>$C505*BS504</f>
        <v/>
      </c>
      <c r="BT505">
        <f>$C505*BT504</f>
        <v/>
      </c>
      <c r="BU505">
        <f>$C505*BU504</f>
        <v/>
      </c>
      <c r="BV505">
        <f>$C505*BV504</f>
        <v/>
      </c>
      <c r="BW505">
        <f>$C505*BW504</f>
        <v/>
      </c>
      <c r="BX505">
        <f>$C505*BX504</f>
        <v/>
      </c>
      <c r="BY505">
        <f>$C505*BY504</f>
        <v/>
      </c>
      <c r="BZ505">
        <f>$C505*BZ504</f>
        <v/>
      </c>
      <c r="CA505">
        <f>$C505*CA504</f>
        <v/>
      </c>
      <c r="CB505">
        <f>$C505*CB504</f>
        <v/>
      </c>
      <c r="CC505">
        <f>$C505*CC504</f>
        <v/>
      </c>
      <c r="CD505">
        <f>$C505*CD504</f>
        <v/>
      </c>
      <c r="CE505">
        <f>$C505*CE504</f>
        <v/>
      </c>
      <c r="CF505">
        <f>$C505*CF504</f>
        <v/>
      </c>
      <c r="CG505">
        <f>$C505*CG504</f>
        <v/>
      </c>
      <c r="CH505">
        <f>$C505*CH504</f>
        <v/>
      </c>
      <c r="CI505">
        <f>$C505*CI504</f>
        <v/>
      </c>
      <c r="CJ505">
        <f>$C505*CJ504</f>
        <v/>
      </c>
      <c r="CK505">
        <f>$C505*CK504</f>
        <v/>
      </c>
      <c r="CL505">
        <f>$C505*CL504</f>
        <v/>
      </c>
      <c r="CM505">
        <f>$C505*CM504</f>
        <v/>
      </c>
      <c r="CN505">
        <f>$C505*CN504</f>
        <v/>
      </c>
      <c r="CO505">
        <f>$C505*CO504</f>
        <v/>
      </c>
      <c r="CP505">
        <f>$C505*CP504</f>
        <v/>
      </c>
      <c r="CQ505">
        <f>$C505*CQ504</f>
        <v/>
      </c>
      <c r="CR505">
        <f>$C505*CR504</f>
        <v/>
      </c>
      <c r="CS505">
        <f>$C505*CS504</f>
        <v/>
      </c>
      <c r="CT505">
        <f>$C505*CT504</f>
        <v/>
      </c>
      <c r="CU505">
        <f>$C505*CU504</f>
        <v/>
      </c>
      <c r="CV505">
        <f>$C505*CV504</f>
        <v/>
      </c>
      <c r="CW505">
        <f>$C505*CW504</f>
        <v/>
      </c>
      <c r="CX505">
        <f>$C505*CX504</f>
        <v/>
      </c>
      <c r="CY505">
        <f>$C505*CY504</f>
        <v/>
      </c>
      <c r="CZ505">
        <f>$C505*CZ504</f>
        <v/>
      </c>
      <c r="DA505">
        <f>$C505*DA504</f>
        <v/>
      </c>
      <c r="DB505">
        <f>$C505*DB504</f>
        <v/>
      </c>
      <c r="DC505">
        <f>$C505*DC504</f>
        <v/>
      </c>
    </row>
    <row r="506">
      <c r="B506" t="inlineStr">
        <is>
          <t>TSP-199</t>
        </is>
      </c>
      <c r="C506" t="inlineStr">
        <is>
          <t>No. of batches</t>
        </is>
      </c>
      <c r="D506">
        <f>IFERROR(INDEX(PP_Grid[#Data],$DD506,2),0)</f>
        <v/>
      </c>
      <c r="E506">
        <f>IFERROR(INDEX(PP_Grid[#Data],$DD506,3),0)</f>
        <v/>
      </c>
      <c r="F506">
        <f>IFERROR(INDEX(PP_Grid[#Data],$DD506,4),0)</f>
        <v/>
      </c>
      <c r="G506">
        <f>IFERROR(INDEX(PP_Grid[#Data],$DD506,5),0)</f>
        <v/>
      </c>
      <c r="H506">
        <f>IFERROR(INDEX(PP_Grid[#Data],$DD506,6),0)</f>
        <v/>
      </c>
      <c r="I506">
        <f>IFERROR(INDEX(PP_Grid[#Data],$DD506,7),0)</f>
        <v/>
      </c>
      <c r="J506">
        <f>IFERROR(INDEX(PP_Grid[#Data],$DD506,8),0)</f>
        <v/>
      </c>
      <c r="K506">
        <f>IFERROR(INDEX(PP_Grid[#Data],$DD506,9),0)</f>
        <v/>
      </c>
      <c r="L506">
        <f>IFERROR(INDEX(PP_Grid[#Data],$DD506,10),0)</f>
        <v/>
      </c>
      <c r="M506">
        <f>IFERROR(INDEX(PP_Grid[#Data],$DD506,11),0)</f>
        <v/>
      </c>
      <c r="N506">
        <f>IFERROR(INDEX(PP_Grid[#Data],$DD506,12),0)</f>
        <v/>
      </c>
      <c r="O506">
        <f>IFERROR(INDEX(PP_Grid[#Data],$DD506,13),0)</f>
        <v/>
      </c>
      <c r="P506">
        <f>IFERROR(INDEX(PP_Grid[#Data],$DD506,14),0)</f>
        <v/>
      </c>
      <c r="Q506">
        <f>IFERROR(INDEX(PP_Grid[#Data],$DD506,15),0)</f>
        <v/>
      </c>
      <c r="R506">
        <f>IFERROR(INDEX(PP_Grid[#Data],$DD506,16),0)</f>
        <v/>
      </c>
      <c r="S506">
        <f>IFERROR(INDEX(PP_Grid[#Data],$DD506,17),0)</f>
        <v/>
      </c>
      <c r="T506">
        <f>IFERROR(INDEX(PP_Grid[#Data],$DD506,18),0)</f>
        <v/>
      </c>
      <c r="U506">
        <f>IFERROR(INDEX(PP_Grid[#Data],$DD506,19),0)</f>
        <v/>
      </c>
      <c r="V506">
        <f>IFERROR(INDEX(PP_Grid[#Data],$DD506,20),0)</f>
        <v/>
      </c>
      <c r="W506">
        <f>IFERROR(INDEX(PP_Grid[#Data],$DD506,21),0)</f>
        <v/>
      </c>
      <c r="X506">
        <f>IFERROR(INDEX(PP_Grid[#Data],$DD506,22),0)</f>
        <v/>
      </c>
      <c r="Y506">
        <f>IFERROR(INDEX(PP_Grid[#Data],$DD506,23),0)</f>
        <v/>
      </c>
      <c r="Z506">
        <f>IFERROR(INDEX(PP_Grid[#Data],$DD506,24),0)</f>
        <v/>
      </c>
      <c r="AA506">
        <f>IFERROR(INDEX(PP_Grid[#Data],$DD506,25),0)</f>
        <v/>
      </c>
      <c r="AB506">
        <f>IFERROR(INDEX(PP_Grid[#Data],$DD506,26),0)</f>
        <v/>
      </c>
      <c r="AC506">
        <f>IFERROR(INDEX(PP_Grid[#Data],$DD506,27),0)</f>
        <v/>
      </c>
      <c r="AD506">
        <f>IFERROR(INDEX(PP_Grid[#Data],$DD506,28),0)</f>
        <v/>
      </c>
      <c r="AE506">
        <f>IFERROR(INDEX(PP_Grid[#Data],$DD506,29),0)</f>
        <v/>
      </c>
      <c r="AF506">
        <f>IFERROR(INDEX(PP_Grid[#Data],$DD506,30),0)</f>
        <v/>
      </c>
      <c r="AG506">
        <f>IFERROR(INDEX(PP_Grid[#Data],$DD506,31),0)</f>
        <v/>
      </c>
      <c r="AH506">
        <f>IFERROR(INDEX(PP_Grid[#Data],$DD506,32),0)</f>
        <v/>
      </c>
      <c r="AI506">
        <f>IFERROR(INDEX(PP_Grid[#Data],$DD506,33),0)</f>
        <v/>
      </c>
      <c r="AJ506">
        <f>IFERROR(INDEX(PP_Grid[#Data],$DD506,34),0)</f>
        <v/>
      </c>
      <c r="AK506">
        <f>IFERROR(INDEX(PP_Grid[#Data],$DD506,35),0)</f>
        <v/>
      </c>
      <c r="AL506">
        <f>IFERROR(INDEX(PP_Grid[#Data],$DD506,36),0)</f>
        <v/>
      </c>
      <c r="AM506">
        <f>IFERROR(INDEX(PP_Grid[#Data],$DD506,37),0)</f>
        <v/>
      </c>
      <c r="AN506">
        <f>IFERROR(INDEX(PP_Grid[#Data],$DD506,38),0)</f>
        <v/>
      </c>
      <c r="AO506">
        <f>IFERROR(INDEX(PP_Grid[#Data],$DD506,39),0)</f>
        <v/>
      </c>
      <c r="AP506">
        <f>IFERROR(INDEX(PP_Grid[#Data],$DD506,40),0)</f>
        <v/>
      </c>
      <c r="AQ506">
        <f>IFERROR(INDEX(PP_Grid[#Data],$DD506,41),0)</f>
        <v/>
      </c>
      <c r="AR506">
        <f>IFERROR(INDEX(PP_Grid[#Data],$DD506,42),0)</f>
        <v/>
      </c>
      <c r="AS506">
        <f>IFERROR(INDEX(PP_Grid[#Data],$DD506,43),0)</f>
        <v/>
      </c>
      <c r="AT506">
        <f>IFERROR(INDEX(PP_Grid[#Data],$DD506,44),0)</f>
        <v/>
      </c>
      <c r="AU506">
        <f>IFERROR(INDEX(PP_Grid[#Data],$DD506,45),0)</f>
        <v/>
      </c>
      <c r="AV506">
        <f>IFERROR(INDEX(PP_Grid[#Data],$DD506,46),0)</f>
        <v/>
      </c>
      <c r="AW506">
        <f>IFERROR(INDEX(PP_Grid[#Data],$DD506,47),0)</f>
        <v/>
      </c>
      <c r="AX506">
        <f>IFERROR(INDEX(PP_Grid[#Data],$DD506,48),0)</f>
        <v/>
      </c>
      <c r="AY506">
        <f>IFERROR(INDEX(PP_Grid[#Data],$DD506,49),0)</f>
        <v/>
      </c>
      <c r="AZ506">
        <f>IFERROR(INDEX(PP_Grid[#Data],$DD506,50),0)</f>
        <v/>
      </c>
      <c r="BA506">
        <f>IFERROR(INDEX(PP_Grid[#Data],$DD506,51),0)</f>
        <v/>
      </c>
      <c r="BB506">
        <f>IFERROR(INDEX(PP_Grid[#Data],$DD506,52),0)</f>
        <v/>
      </c>
      <c r="BC506">
        <f>IFERROR(INDEX(PP_Grid[#Data],$DD506,53),0)</f>
        <v/>
      </c>
      <c r="BD506">
        <f>IFERROR(INDEX(PP_Grid[#Data],$DD506,54),0)</f>
        <v/>
      </c>
      <c r="BE506">
        <f>IFERROR(INDEX(PP_Grid[#Data],$DD506,55),0)</f>
        <v/>
      </c>
      <c r="BF506">
        <f>IFERROR(INDEX(PP_Grid[#Data],$DD506,56),0)</f>
        <v/>
      </c>
      <c r="BG506">
        <f>IFERROR(INDEX(PP_Grid[#Data],$DD506,57),0)</f>
        <v/>
      </c>
      <c r="BH506">
        <f>IFERROR(INDEX(PP_Grid[#Data],$DD506,58),0)</f>
        <v/>
      </c>
      <c r="BI506">
        <f>IFERROR(INDEX(PP_Grid[#Data],$DD506,59),0)</f>
        <v/>
      </c>
      <c r="BJ506">
        <f>IFERROR(INDEX(PP_Grid[#Data],$DD506,60),0)</f>
        <v/>
      </c>
      <c r="BK506">
        <f>IFERROR(INDEX(PP_Grid[#Data],$DD506,61),0)</f>
        <v/>
      </c>
      <c r="BL506">
        <f>IFERROR(INDEX(PP_Grid[#Data],$DD506,62),0)</f>
        <v/>
      </c>
      <c r="BM506">
        <f>IFERROR(INDEX(PP_Grid[#Data],$DD506,63),0)</f>
        <v/>
      </c>
      <c r="BN506">
        <f>IFERROR(INDEX(PP_Grid[#Data],$DD506,64),0)</f>
        <v/>
      </c>
      <c r="BO506">
        <f>IFERROR(INDEX(PP_Grid[#Data],$DD506,65),0)</f>
        <v/>
      </c>
      <c r="BP506">
        <f>IFERROR(INDEX(PP_Grid[#Data],$DD506,66),0)</f>
        <v/>
      </c>
      <c r="BQ506">
        <f>IFERROR(INDEX(PP_Grid[#Data],$DD506,67),0)</f>
        <v/>
      </c>
      <c r="BR506">
        <f>IFERROR(INDEX(PP_Grid[#Data],$DD506,68),0)</f>
        <v/>
      </c>
      <c r="BS506">
        <f>IFERROR(INDEX(PP_Grid[#Data],$DD506,69),0)</f>
        <v/>
      </c>
      <c r="BT506">
        <f>IFERROR(INDEX(PP_Grid[#Data],$DD506,70),0)</f>
        <v/>
      </c>
      <c r="BU506">
        <f>IFERROR(INDEX(PP_Grid[#Data],$DD506,71),0)</f>
        <v/>
      </c>
      <c r="BV506">
        <f>IFERROR(INDEX(PP_Grid[#Data],$DD506,72),0)</f>
        <v/>
      </c>
      <c r="BW506">
        <f>IFERROR(INDEX(PP_Grid[#Data],$DD506,73),0)</f>
        <v/>
      </c>
      <c r="BX506">
        <f>IFERROR(INDEX(PP_Grid[#Data],$DD506,74),0)</f>
        <v/>
      </c>
      <c r="BY506">
        <f>IFERROR(INDEX(PP_Grid[#Data],$DD506,75),0)</f>
        <v/>
      </c>
      <c r="BZ506">
        <f>IFERROR(INDEX(PP_Grid[#Data],$DD506,76),0)</f>
        <v/>
      </c>
      <c r="CA506">
        <f>IFERROR(INDEX(PP_Grid[#Data],$DD506,77),0)</f>
        <v/>
      </c>
      <c r="CB506">
        <f>IFERROR(INDEX(PP_Grid[#Data],$DD506,78),0)</f>
        <v/>
      </c>
      <c r="CC506">
        <f>IFERROR(INDEX(PP_Grid[#Data],$DD506,79),0)</f>
        <v/>
      </c>
      <c r="CD506">
        <f>IFERROR(INDEX(PP_Grid[#Data],$DD506,80),0)</f>
        <v/>
      </c>
      <c r="CE506">
        <f>IFERROR(INDEX(PP_Grid[#Data],$DD506,81),0)</f>
        <v/>
      </c>
      <c r="CF506">
        <f>IFERROR(INDEX(PP_Grid[#Data],$DD506,82),0)</f>
        <v/>
      </c>
      <c r="CG506">
        <f>IFERROR(INDEX(PP_Grid[#Data],$DD506,83),0)</f>
        <v/>
      </c>
      <c r="CH506">
        <f>IFERROR(INDEX(PP_Grid[#Data],$DD506,84),0)</f>
        <v/>
      </c>
      <c r="CI506">
        <f>IFERROR(INDEX(PP_Grid[#Data],$DD506,85),0)</f>
        <v/>
      </c>
      <c r="CJ506">
        <f>IFERROR(INDEX(PP_Grid[#Data],$DD506,86),0)</f>
        <v/>
      </c>
      <c r="CK506">
        <f>IFERROR(INDEX(PP_Grid[#Data],$DD506,87),0)</f>
        <v/>
      </c>
      <c r="CL506">
        <f>IFERROR(INDEX(PP_Grid[#Data],$DD506,88),0)</f>
        <v/>
      </c>
      <c r="CM506">
        <f>IFERROR(INDEX(PP_Grid[#Data],$DD506,89),0)</f>
        <v/>
      </c>
      <c r="CN506">
        <f>IFERROR(INDEX(PP_Grid[#Data],$DD506,90),0)</f>
        <v/>
      </c>
      <c r="CO506">
        <f>IFERROR(INDEX(PP_Grid[#Data],$DD506,91),0)</f>
        <v/>
      </c>
      <c r="CP506">
        <f>IFERROR(INDEX(PP_Grid[#Data],$DD506,92),0)</f>
        <v/>
      </c>
      <c r="CQ506">
        <f>IFERROR(INDEX(PP_Grid[#Data],$DD506,93),0)</f>
        <v/>
      </c>
      <c r="CR506">
        <f>IFERROR(INDEX(PP_Grid[#Data],$DD506,94),0)</f>
        <v/>
      </c>
      <c r="CS506">
        <f>IFERROR(INDEX(PP_Grid[#Data],$DD506,95),0)</f>
        <v/>
      </c>
      <c r="CT506">
        <f>IFERROR(INDEX(PP_Grid[#Data],$DD506,96),0)</f>
        <v/>
      </c>
      <c r="CU506">
        <f>IFERROR(INDEX(PP_Grid[#Data],$DD506,97),0)</f>
        <v/>
      </c>
      <c r="CV506">
        <f>IFERROR(INDEX(PP_Grid[#Data],$DD506,98),0)</f>
        <v/>
      </c>
      <c r="CW506">
        <f>IFERROR(INDEX(PP_Grid[#Data],$DD506,99),0)</f>
        <v/>
      </c>
      <c r="CX506">
        <f>IFERROR(INDEX(PP_Grid[#Data],$DD506,100),0)</f>
        <v/>
      </c>
      <c r="CY506">
        <f>IFERROR(INDEX(PP_Grid[#Data],$DD506,101),0)</f>
        <v/>
      </c>
      <c r="CZ506">
        <f>IFERROR(INDEX(PP_Grid[#Data],$DD506,102),0)</f>
        <v/>
      </c>
      <c r="DA506">
        <f>IFERROR(INDEX(PP_Grid[#Data],$DD506,103),0)</f>
        <v/>
      </c>
      <c r="DB506">
        <f>IFERROR(INDEX(PP_Grid[#Data],$DD506,104),0)</f>
        <v/>
      </c>
      <c r="DC506">
        <f>IFERROR(INDEX(PP_Grid[#Data],$DD506,105),0)</f>
        <v/>
      </c>
      <c r="DD506" s="12">
        <f>IFERROR(MATCH($B506,PP_Grid[Intermediate],0),99999)</f>
        <v/>
      </c>
    </row>
    <row r="507">
      <c r="B507" t="inlineStr">
        <is>
          <t>使用量(kg)</t>
        </is>
      </c>
      <c r="C507">
        <f>SUMIFS(M_BOM[RM_Qty_Per_Batch],M_BOM[Intermediate],$B506,M_BOM[Part Name],$A493)</f>
        <v/>
      </c>
      <c r="D507">
        <f>$C507*D506</f>
        <v/>
      </c>
      <c r="E507">
        <f>$C507*E506</f>
        <v/>
      </c>
      <c r="F507">
        <f>$C507*F506</f>
        <v/>
      </c>
      <c r="G507">
        <f>$C507*G506</f>
        <v/>
      </c>
      <c r="H507">
        <f>$C507*H506</f>
        <v/>
      </c>
      <c r="I507">
        <f>$C507*I506</f>
        <v/>
      </c>
      <c r="J507">
        <f>$C507*J506</f>
        <v/>
      </c>
      <c r="K507">
        <f>$C507*K506</f>
        <v/>
      </c>
      <c r="L507">
        <f>$C507*L506</f>
        <v/>
      </c>
      <c r="M507">
        <f>$C507*M506</f>
        <v/>
      </c>
      <c r="N507">
        <f>$C507*N506</f>
        <v/>
      </c>
      <c r="O507">
        <f>$C507*O506</f>
        <v/>
      </c>
      <c r="P507">
        <f>$C507*P506</f>
        <v/>
      </c>
      <c r="Q507">
        <f>$C507*Q506</f>
        <v/>
      </c>
      <c r="R507">
        <f>$C507*R506</f>
        <v/>
      </c>
      <c r="S507">
        <f>$C507*S506</f>
        <v/>
      </c>
      <c r="T507">
        <f>$C507*T506</f>
        <v/>
      </c>
      <c r="U507">
        <f>$C507*U506</f>
        <v/>
      </c>
      <c r="V507">
        <f>$C507*V506</f>
        <v/>
      </c>
      <c r="W507">
        <f>$C507*W506</f>
        <v/>
      </c>
      <c r="X507">
        <f>$C507*X506</f>
        <v/>
      </c>
      <c r="Y507">
        <f>$C507*Y506</f>
        <v/>
      </c>
      <c r="Z507">
        <f>$C507*Z506</f>
        <v/>
      </c>
      <c r="AA507">
        <f>$C507*AA506</f>
        <v/>
      </c>
      <c r="AB507">
        <f>$C507*AB506</f>
        <v/>
      </c>
      <c r="AC507">
        <f>$C507*AC506</f>
        <v/>
      </c>
      <c r="AD507">
        <f>$C507*AD506</f>
        <v/>
      </c>
      <c r="AE507">
        <f>$C507*AE506</f>
        <v/>
      </c>
      <c r="AF507">
        <f>$C507*AF506</f>
        <v/>
      </c>
      <c r="AG507">
        <f>$C507*AG506</f>
        <v/>
      </c>
      <c r="AH507">
        <f>$C507*AH506</f>
        <v/>
      </c>
      <c r="AI507">
        <f>$C507*AI506</f>
        <v/>
      </c>
      <c r="AJ507">
        <f>$C507*AJ506</f>
        <v/>
      </c>
      <c r="AK507">
        <f>$C507*AK506</f>
        <v/>
      </c>
      <c r="AL507">
        <f>$C507*AL506</f>
        <v/>
      </c>
      <c r="AM507">
        <f>$C507*AM506</f>
        <v/>
      </c>
      <c r="AN507">
        <f>$C507*AN506</f>
        <v/>
      </c>
      <c r="AO507">
        <f>$C507*AO506</f>
        <v/>
      </c>
      <c r="AP507">
        <f>$C507*AP506</f>
        <v/>
      </c>
      <c r="AQ507">
        <f>$C507*AQ506</f>
        <v/>
      </c>
      <c r="AR507">
        <f>$C507*AR506</f>
        <v/>
      </c>
      <c r="AS507">
        <f>$C507*AS506</f>
        <v/>
      </c>
      <c r="AT507">
        <f>$C507*AT506</f>
        <v/>
      </c>
      <c r="AU507">
        <f>$C507*AU506</f>
        <v/>
      </c>
      <c r="AV507">
        <f>$C507*AV506</f>
        <v/>
      </c>
      <c r="AW507">
        <f>$C507*AW506</f>
        <v/>
      </c>
      <c r="AX507">
        <f>$C507*AX506</f>
        <v/>
      </c>
      <c r="AY507">
        <f>$C507*AY506</f>
        <v/>
      </c>
      <c r="AZ507">
        <f>$C507*AZ506</f>
        <v/>
      </c>
      <c r="BA507">
        <f>$C507*BA506</f>
        <v/>
      </c>
      <c r="BB507">
        <f>$C507*BB506</f>
        <v/>
      </c>
      <c r="BC507">
        <f>$C507*BC506</f>
        <v/>
      </c>
      <c r="BD507">
        <f>$C507*BD506</f>
        <v/>
      </c>
      <c r="BE507">
        <f>$C507*BE506</f>
        <v/>
      </c>
      <c r="BF507">
        <f>$C507*BF506</f>
        <v/>
      </c>
      <c r="BG507">
        <f>$C507*BG506</f>
        <v/>
      </c>
      <c r="BH507">
        <f>$C507*BH506</f>
        <v/>
      </c>
      <c r="BI507">
        <f>$C507*BI506</f>
        <v/>
      </c>
      <c r="BJ507">
        <f>$C507*BJ506</f>
        <v/>
      </c>
      <c r="BK507">
        <f>$C507*BK506</f>
        <v/>
      </c>
      <c r="BL507">
        <f>$C507*BL506</f>
        <v/>
      </c>
      <c r="BM507">
        <f>$C507*BM506</f>
        <v/>
      </c>
      <c r="BN507">
        <f>$C507*BN506</f>
        <v/>
      </c>
      <c r="BO507">
        <f>$C507*BO506</f>
        <v/>
      </c>
      <c r="BP507">
        <f>$C507*BP506</f>
        <v/>
      </c>
      <c r="BQ507">
        <f>$C507*BQ506</f>
        <v/>
      </c>
      <c r="BR507">
        <f>$C507*BR506</f>
        <v/>
      </c>
      <c r="BS507">
        <f>$C507*BS506</f>
        <v/>
      </c>
      <c r="BT507">
        <f>$C507*BT506</f>
        <v/>
      </c>
      <c r="BU507">
        <f>$C507*BU506</f>
        <v/>
      </c>
      <c r="BV507">
        <f>$C507*BV506</f>
        <v/>
      </c>
      <c r="BW507">
        <f>$C507*BW506</f>
        <v/>
      </c>
      <c r="BX507">
        <f>$C507*BX506</f>
        <v/>
      </c>
      <c r="BY507">
        <f>$C507*BY506</f>
        <v/>
      </c>
      <c r="BZ507">
        <f>$C507*BZ506</f>
        <v/>
      </c>
      <c r="CA507">
        <f>$C507*CA506</f>
        <v/>
      </c>
      <c r="CB507">
        <f>$C507*CB506</f>
        <v/>
      </c>
      <c r="CC507">
        <f>$C507*CC506</f>
        <v/>
      </c>
      <c r="CD507">
        <f>$C507*CD506</f>
        <v/>
      </c>
      <c r="CE507">
        <f>$C507*CE506</f>
        <v/>
      </c>
      <c r="CF507">
        <f>$C507*CF506</f>
        <v/>
      </c>
      <c r="CG507">
        <f>$C507*CG506</f>
        <v/>
      </c>
      <c r="CH507">
        <f>$C507*CH506</f>
        <v/>
      </c>
      <c r="CI507">
        <f>$C507*CI506</f>
        <v/>
      </c>
      <c r="CJ507">
        <f>$C507*CJ506</f>
        <v/>
      </c>
      <c r="CK507">
        <f>$C507*CK506</f>
        <v/>
      </c>
      <c r="CL507">
        <f>$C507*CL506</f>
        <v/>
      </c>
      <c r="CM507">
        <f>$C507*CM506</f>
        <v/>
      </c>
      <c r="CN507">
        <f>$C507*CN506</f>
        <v/>
      </c>
      <c r="CO507">
        <f>$C507*CO506</f>
        <v/>
      </c>
      <c r="CP507">
        <f>$C507*CP506</f>
        <v/>
      </c>
      <c r="CQ507">
        <f>$C507*CQ506</f>
        <v/>
      </c>
      <c r="CR507">
        <f>$C507*CR506</f>
        <v/>
      </c>
      <c r="CS507">
        <f>$C507*CS506</f>
        <v/>
      </c>
      <c r="CT507">
        <f>$C507*CT506</f>
        <v/>
      </c>
      <c r="CU507">
        <f>$C507*CU506</f>
        <v/>
      </c>
      <c r="CV507">
        <f>$C507*CV506</f>
        <v/>
      </c>
      <c r="CW507">
        <f>$C507*CW506</f>
        <v/>
      </c>
      <c r="CX507">
        <f>$C507*CX506</f>
        <v/>
      </c>
      <c r="CY507">
        <f>$C507*CY506</f>
        <v/>
      </c>
      <c r="CZ507">
        <f>$C507*CZ506</f>
        <v/>
      </c>
      <c r="DA507">
        <f>$C507*DA506</f>
        <v/>
      </c>
      <c r="DB507">
        <f>$C507*DB506</f>
        <v/>
      </c>
      <c r="DC507">
        <f>$C507*DC506</f>
        <v/>
      </c>
    </row>
    <row r="508">
      <c r="B508" t="inlineStr">
        <is>
          <t>TSP-205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12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Name],$A493)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t="inlineStr">
        <is>
          <t>TSP-206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12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Name],$A493)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TSP-225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12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Name],$A493)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TSP-360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12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Name],$A493)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TSP-367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12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Name],$A493)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TSP-369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12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Name],$A493)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TSP-402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12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Name],$A493)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TSP-403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12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Name],$A493)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TSP-404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12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Name],$A493)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TSP-405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12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Name],$A493)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TSP-544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12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Name],$A493)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TSP-558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12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Name],$A493)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TSP-618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12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Name],$A493)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TSP-620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12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Name],$A493)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TSP-623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12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Name],$A493)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TSP-655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12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Name],$A493)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TSP-656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12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Name],$A493)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TSP-710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12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Name],$A493)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TSP-828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12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Name],$A493)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TSP-903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12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Name],$A493)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t="inlineStr">
        <is>
          <t>TSP-959</t>
        </is>
      </c>
      <c r="C548" t="inlineStr">
        <is>
          <t>No. of batches</t>
        </is>
      </c>
      <c r="D548">
        <f>IFERROR(INDEX(PP_Grid[#Data],$DD548,2),0)</f>
        <v/>
      </c>
      <c r="E548">
        <f>IFERROR(INDEX(PP_Grid[#Data],$DD548,3),0)</f>
        <v/>
      </c>
      <c r="F548">
        <f>IFERROR(INDEX(PP_Grid[#Data],$DD548,4),0)</f>
        <v/>
      </c>
      <c r="G548">
        <f>IFERROR(INDEX(PP_Grid[#Data],$DD548,5),0)</f>
        <v/>
      </c>
      <c r="H548">
        <f>IFERROR(INDEX(PP_Grid[#Data],$DD548,6),0)</f>
        <v/>
      </c>
      <c r="I548">
        <f>IFERROR(INDEX(PP_Grid[#Data],$DD548,7),0)</f>
        <v/>
      </c>
      <c r="J548">
        <f>IFERROR(INDEX(PP_Grid[#Data],$DD548,8),0)</f>
        <v/>
      </c>
      <c r="K548">
        <f>IFERROR(INDEX(PP_Grid[#Data],$DD548,9),0)</f>
        <v/>
      </c>
      <c r="L548">
        <f>IFERROR(INDEX(PP_Grid[#Data],$DD548,10),0)</f>
        <v/>
      </c>
      <c r="M548">
        <f>IFERROR(INDEX(PP_Grid[#Data],$DD548,11),0)</f>
        <v/>
      </c>
      <c r="N548">
        <f>IFERROR(INDEX(PP_Grid[#Data],$DD548,12),0)</f>
        <v/>
      </c>
      <c r="O548">
        <f>IFERROR(INDEX(PP_Grid[#Data],$DD548,13),0)</f>
        <v/>
      </c>
      <c r="P548">
        <f>IFERROR(INDEX(PP_Grid[#Data],$DD548,14),0)</f>
        <v/>
      </c>
      <c r="Q548">
        <f>IFERROR(INDEX(PP_Grid[#Data],$DD548,15),0)</f>
        <v/>
      </c>
      <c r="R548">
        <f>IFERROR(INDEX(PP_Grid[#Data],$DD548,16),0)</f>
        <v/>
      </c>
      <c r="S548">
        <f>IFERROR(INDEX(PP_Grid[#Data],$DD548,17),0)</f>
        <v/>
      </c>
      <c r="T548">
        <f>IFERROR(INDEX(PP_Grid[#Data],$DD548,18),0)</f>
        <v/>
      </c>
      <c r="U548">
        <f>IFERROR(INDEX(PP_Grid[#Data],$DD548,19),0)</f>
        <v/>
      </c>
      <c r="V548">
        <f>IFERROR(INDEX(PP_Grid[#Data],$DD548,20),0)</f>
        <v/>
      </c>
      <c r="W548">
        <f>IFERROR(INDEX(PP_Grid[#Data],$DD548,21),0)</f>
        <v/>
      </c>
      <c r="X548">
        <f>IFERROR(INDEX(PP_Grid[#Data],$DD548,22),0)</f>
        <v/>
      </c>
      <c r="Y548">
        <f>IFERROR(INDEX(PP_Grid[#Data],$DD548,23),0)</f>
        <v/>
      </c>
      <c r="Z548">
        <f>IFERROR(INDEX(PP_Grid[#Data],$DD548,24),0)</f>
        <v/>
      </c>
      <c r="AA548">
        <f>IFERROR(INDEX(PP_Grid[#Data],$DD548,25),0)</f>
        <v/>
      </c>
      <c r="AB548">
        <f>IFERROR(INDEX(PP_Grid[#Data],$DD548,26),0)</f>
        <v/>
      </c>
      <c r="AC548">
        <f>IFERROR(INDEX(PP_Grid[#Data],$DD548,27),0)</f>
        <v/>
      </c>
      <c r="AD548">
        <f>IFERROR(INDEX(PP_Grid[#Data],$DD548,28),0)</f>
        <v/>
      </c>
      <c r="AE548">
        <f>IFERROR(INDEX(PP_Grid[#Data],$DD548,29),0)</f>
        <v/>
      </c>
      <c r="AF548">
        <f>IFERROR(INDEX(PP_Grid[#Data],$DD548,30),0)</f>
        <v/>
      </c>
      <c r="AG548">
        <f>IFERROR(INDEX(PP_Grid[#Data],$DD548,31),0)</f>
        <v/>
      </c>
      <c r="AH548">
        <f>IFERROR(INDEX(PP_Grid[#Data],$DD548,32),0)</f>
        <v/>
      </c>
      <c r="AI548">
        <f>IFERROR(INDEX(PP_Grid[#Data],$DD548,33),0)</f>
        <v/>
      </c>
      <c r="AJ548">
        <f>IFERROR(INDEX(PP_Grid[#Data],$DD548,34),0)</f>
        <v/>
      </c>
      <c r="AK548">
        <f>IFERROR(INDEX(PP_Grid[#Data],$DD548,35),0)</f>
        <v/>
      </c>
      <c r="AL548">
        <f>IFERROR(INDEX(PP_Grid[#Data],$DD548,36),0)</f>
        <v/>
      </c>
      <c r="AM548">
        <f>IFERROR(INDEX(PP_Grid[#Data],$DD548,37),0)</f>
        <v/>
      </c>
      <c r="AN548">
        <f>IFERROR(INDEX(PP_Grid[#Data],$DD548,38),0)</f>
        <v/>
      </c>
      <c r="AO548">
        <f>IFERROR(INDEX(PP_Grid[#Data],$DD548,39),0)</f>
        <v/>
      </c>
      <c r="AP548">
        <f>IFERROR(INDEX(PP_Grid[#Data],$DD548,40),0)</f>
        <v/>
      </c>
      <c r="AQ548">
        <f>IFERROR(INDEX(PP_Grid[#Data],$DD548,41),0)</f>
        <v/>
      </c>
      <c r="AR548">
        <f>IFERROR(INDEX(PP_Grid[#Data],$DD548,42),0)</f>
        <v/>
      </c>
      <c r="AS548">
        <f>IFERROR(INDEX(PP_Grid[#Data],$DD548,43),0)</f>
        <v/>
      </c>
      <c r="AT548">
        <f>IFERROR(INDEX(PP_Grid[#Data],$DD548,44),0)</f>
        <v/>
      </c>
      <c r="AU548">
        <f>IFERROR(INDEX(PP_Grid[#Data],$DD548,45),0)</f>
        <v/>
      </c>
      <c r="AV548">
        <f>IFERROR(INDEX(PP_Grid[#Data],$DD548,46),0)</f>
        <v/>
      </c>
      <c r="AW548">
        <f>IFERROR(INDEX(PP_Grid[#Data],$DD548,47),0)</f>
        <v/>
      </c>
      <c r="AX548">
        <f>IFERROR(INDEX(PP_Grid[#Data],$DD548,48),0)</f>
        <v/>
      </c>
      <c r="AY548">
        <f>IFERROR(INDEX(PP_Grid[#Data],$DD548,49),0)</f>
        <v/>
      </c>
      <c r="AZ548">
        <f>IFERROR(INDEX(PP_Grid[#Data],$DD548,50),0)</f>
        <v/>
      </c>
      <c r="BA548">
        <f>IFERROR(INDEX(PP_Grid[#Data],$DD548,51),0)</f>
        <v/>
      </c>
      <c r="BB548">
        <f>IFERROR(INDEX(PP_Grid[#Data],$DD548,52),0)</f>
        <v/>
      </c>
      <c r="BC548">
        <f>IFERROR(INDEX(PP_Grid[#Data],$DD548,53),0)</f>
        <v/>
      </c>
      <c r="BD548">
        <f>IFERROR(INDEX(PP_Grid[#Data],$DD548,54),0)</f>
        <v/>
      </c>
      <c r="BE548">
        <f>IFERROR(INDEX(PP_Grid[#Data],$DD548,55),0)</f>
        <v/>
      </c>
      <c r="BF548">
        <f>IFERROR(INDEX(PP_Grid[#Data],$DD548,56),0)</f>
        <v/>
      </c>
      <c r="BG548">
        <f>IFERROR(INDEX(PP_Grid[#Data],$DD548,57),0)</f>
        <v/>
      </c>
      <c r="BH548">
        <f>IFERROR(INDEX(PP_Grid[#Data],$DD548,58),0)</f>
        <v/>
      </c>
      <c r="BI548">
        <f>IFERROR(INDEX(PP_Grid[#Data],$DD548,59),0)</f>
        <v/>
      </c>
      <c r="BJ548">
        <f>IFERROR(INDEX(PP_Grid[#Data],$DD548,60),0)</f>
        <v/>
      </c>
      <c r="BK548">
        <f>IFERROR(INDEX(PP_Grid[#Data],$DD548,61),0)</f>
        <v/>
      </c>
      <c r="BL548">
        <f>IFERROR(INDEX(PP_Grid[#Data],$DD548,62),0)</f>
        <v/>
      </c>
      <c r="BM548">
        <f>IFERROR(INDEX(PP_Grid[#Data],$DD548,63),0)</f>
        <v/>
      </c>
      <c r="BN548">
        <f>IFERROR(INDEX(PP_Grid[#Data],$DD548,64),0)</f>
        <v/>
      </c>
      <c r="BO548">
        <f>IFERROR(INDEX(PP_Grid[#Data],$DD548,65),0)</f>
        <v/>
      </c>
      <c r="BP548">
        <f>IFERROR(INDEX(PP_Grid[#Data],$DD548,66),0)</f>
        <v/>
      </c>
      <c r="BQ548">
        <f>IFERROR(INDEX(PP_Grid[#Data],$DD548,67),0)</f>
        <v/>
      </c>
      <c r="BR548">
        <f>IFERROR(INDEX(PP_Grid[#Data],$DD548,68),0)</f>
        <v/>
      </c>
      <c r="BS548">
        <f>IFERROR(INDEX(PP_Grid[#Data],$DD548,69),0)</f>
        <v/>
      </c>
      <c r="BT548">
        <f>IFERROR(INDEX(PP_Grid[#Data],$DD548,70),0)</f>
        <v/>
      </c>
      <c r="BU548">
        <f>IFERROR(INDEX(PP_Grid[#Data],$DD548,71),0)</f>
        <v/>
      </c>
      <c r="BV548">
        <f>IFERROR(INDEX(PP_Grid[#Data],$DD548,72),0)</f>
        <v/>
      </c>
      <c r="BW548">
        <f>IFERROR(INDEX(PP_Grid[#Data],$DD548,73),0)</f>
        <v/>
      </c>
      <c r="BX548">
        <f>IFERROR(INDEX(PP_Grid[#Data],$DD548,74),0)</f>
        <v/>
      </c>
      <c r="BY548">
        <f>IFERROR(INDEX(PP_Grid[#Data],$DD548,75),0)</f>
        <v/>
      </c>
      <c r="BZ548">
        <f>IFERROR(INDEX(PP_Grid[#Data],$DD548,76),0)</f>
        <v/>
      </c>
      <c r="CA548">
        <f>IFERROR(INDEX(PP_Grid[#Data],$DD548,77),0)</f>
        <v/>
      </c>
      <c r="CB548">
        <f>IFERROR(INDEX(PP_Grid[#Data],$DD548,78),0)</f>
        <v/>
      </c>
      <c r="CC548">
        <f>IFERROR(INDEX(PP_Grid[#Data],$DD548,79),0)</f>
        <v/>
      </c>
      <c r="CD548">
        <f>IFERROR(INDEX(PP_Grid[#Data],$DD548,80),0)</f>
        <v/>
      </c>
      <c r="CE548">
        <f>IFERROR(INDEX(PP_Grid[#Data],$DD548,81),0)</f>
        <v/>
      </c>
      <c r="CF548">
        <f>IFERROR(INDEX(PP_Grid[#Data],$DD548,82),0)</f>
        <v/>
      </c>
      <c r="CG548">
        <f>IFERROR(INDEX(PP_Grid[#Data],$DD548,83),0)</f>
        <v/>
      </c>
      <c r="CH548">
        <f>IFERROR(INDEX(PP_Grid[#Data],$DD548,84),0)</f>
        <v/>
      </c>
      <c r="CI548">
        <f>IFERROR(INDEX(PP_Grid[#Data],$DD548,85),0)</f>
        <v/>
      </c>
      <c r="CJ548">
        <f>IFERROR(INDEX(PP_Grid[#Data],$DD548,86),0)</f>
        <v/>
      </c>
      <c r="CK548">
        <f>IFERROR(INDEX(PP_Grid[#Data],$DD548,87),0)</f>
        <v/>
      </c>
      <c r="CL548">
        <f>IFERROR(INDEX(PP_Grid[#Data],$DD548,88),0)</f>
        <v/>
      </c>
      <c r="CM548">
        <f>IFERROR(INDEX(PP_Grid[#Data],$DD548,89),0)</f>
        <v/>
      </c>
      <c r="CN548">
        <f>IFERROR(INDEX(PP_Grid[#Data],$DD548,90),0)</f>
        <v/>
      </c>
      <c r="CO548">
        <f>IFERROR(INDEX(PP_Grid[#Data],$DD548,91),0)</f>
        <v/>
      </c>
      <c r="CP548">
        <f>IFERROR(INDEX(PP_Grid[#Data],$DD548,92),0)</f>
        <v/>
      </c>
      <c r="CQ548">
        <f>IFERROR(INDEX(PP_Grid[#Data],$DD548,93),0)</f>
        <v/>
      </c>
      <c r="CR548">
        <f>IFERROR(INDEX(PP_Grid[#Data],$DD548,94),0)</f>
        <v/>
      </c>
      <c r="CS548">
        <f>IFERROR(INDEX(PP_Grid[#Data],$DD548,95),0)</f>
        <v/>
      </c>
      <c r="CT548">
        <f>IFERROR(INDEX(PP_Grid[#Data],$DD548,96),0)</f>
        <v/>
      </c>
      <c r="CU548">
        <f>IFERROR(INDEX(PP_Grid[#Data],$DD548,97),0)</f>
        <v/>
      </c>
      <c r="CV548">
        <f>IFERROR(INDEX(PP_Grid[#Data],$DD548,98),0)</f>
        <v/>
      </c>
      <c r="CW548">
        <f>IFERROR(INDEX(PP_Grid[#Data],$DD548,99),0)</f>
        <v/>
      </c>
      <c r="CX548">
        <f>IFERROR(INDEX(PP_Grid[#Data],$DD548,100),0)</f>
        <v/>
      </c>
      <c r="CY548">
        <f>IFERROR(INDEX(PP_Grid[#Data],$DD548,101),0)</f>
        <v/>
      </c>
      <c r="CZ548">
        <f>IFERROR(INDEX(PP_Grid[#Data],$DD548,102),0)</f>
        <v/>
      </c>
      <c r="DA548">
        <f>IFERROR(INDEX(PP_Grid[#Data],$DD548,103),0)</f>
        <v/>
      </c>
      <c r="DB548">
        <f>IFERROR(INDEX(PP_Grid[#Data],$DD548,104),0)</f>
        <v/>
      </c>
      <c r="DC548">
        <f>IFERROR(INDEX(PP_Grid[#Data],$DD548,105),0)</f>
        <v/>
      </c>
      <c r="DD548" s="12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SUMIFS(M_BOM[RM_Qty_Per_Batch],M_BOM[Intermediate],$B548,M_BOM[Part Name],$A493)</f>
        <v/>
      </c>
      <c r="D549">
        <f>$C549*D548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</row>
    <row r="550">
      <c r="B550" t="inlineStr">
        <is>
          <t>TSP-966</t>
        </is>
      </c>
      <c r="C550" t="inlineStr">
        <is>
          <t>No. of batches</t>
        </is>
      </c>
      <c r="D550">
        <f>IFERROR(INDEX(PP_Grid[#Data],$DD550,2),0)</f>
        <v/>
      </c>
      <c r="E550">
        <f>IFERROR(INDEX(PP_Grid[#Data],$DD550,3),0)</f>
        <v/>
      </c>
      <c r="F550">
        <f>IFERROR(INDEX(PP_Grid[#Data],$DD550,4),0)</f>
        <v/>
      </c>
      <c r="G550">
        <f>IFERROR(INDEX(PP_Grid[#Data],$DD550,5),0)</f>
        <v/>
      </c>
      <c r="H550">
        <f>IFERROR(INDEX(PP_Grid[#Data],$DD550,6),0)</f>
        <v/>
      </c>
      <c r="I550">
        <f>IFERROR(INDEX(PP_Grid[#Data],$DD550,7),0)</f>
        <v/>
      </c>
      <c r="J550">
        <f>IFERROR(INDEX(PP_Grid[#Data],$DD550,8),0)</f>
        <v/>
      </c>
      <c r="K550">
        <f>IFERROR(INDEX(PP_Grid[#Data],$DD550,9),0)</f>
        <v/>
      </c>
      <c r="L550">
        <f>IFERROR(INDEX(PP_Grid[#Data],$DD550,10),0)</f>
        <v/>
      </c>
      <c r="M550">
        <f>IFERROR(INDEX(PP_Grid[#Data],$DD550,11),0)</f>
        <v/>
      </c>
      <c r="N550">
        <f>IFERROR(INDEX(PP_Grid[#Data],$DD550,12),0)</f>
        <v/>
      </c>
      <c r="O550">
        <f>IFERROR(INDEX(PP_Grid[#Data],$DD550,13),0)</f>
        <v/>
      </c>
      <c r="P550">
        <f>IFERROR(INDEX(PP_Grid[#Data],$DD550,14),0)</f>
        <v/>
      </c>
      <c r="Q550">
        <f>IFERROR(INDEX(PP_Grid[#Data],$DD550,15),0)</f>
        <v/>
      </c>
      <c r="R550">
        <f>IFERROR(INDEX(PP_Grid[#Data],$DD550,16),0)</f>
        <v/>
      </c>
      <c r="S550">
        <f>IFERROR(INDEX(PP_Grid[#Data],$DD550,17),0)</f>
        <v/>
      </c>
      <c r="T550">
        <f>IFERROR(INDEX(PP_Grid[#Data],$DD550,18),0)</f>
        <v/>
      </c>
      <c r="U550">
        <f>IFERROR(INDEX(PP_Grid[#Data],$DD550,19),0)</f>
        <v/>
      </c>
      <c r="V550">
        <f>IFERROR(INDEX(PP_Grid[#Data],$DD550,20),0)</f>
        <v/>
      </c>
      <c r="W550">
        <f>IFERROR(INDEX(PP_Grid[#Data],$DD550,21),0)</f>
        <v/>
      </c>
      <c r="X550">
        <f>IFERROR(INDEX(PP_Grid[#Data],$DD550,22),0)</f>
        <v/>
      </c>
      <c r="Y550">
        <f>IFERROR(INDEX(PP_Grid[#Data],$DD550,23),0)</f>
        <v/>
      </c>
      <c r="Z550">
        <f>IFERROR(INDEX(PP_Grid[#Data],$DD550,24),0)</f>
        <v/>
      </c>
      <c r="AA550">
        <f>IFERROR(INDEX(PP_Grid[#Data],$DD550,25),0)</f>
        <v/>
      </c>
      <c r="AB550">
        <f>IFERROR(INDEX(PP_Grid[#Data],$DD550,26),0)</f>
        <v/>
      </c>
      <c r="AC550">
        <f>IFERROR(INDEX(PP_Grid[#Data],$DD550,27),0)</f>
        <v/>
      </c>
      <c r="AD550">
        <f>IFERROR(INDEX(PP_Grid[#Data],$DD550,28),0)</f>
        <v/>
      </c>
      <c r="AE550">
        <f>IFERROR(INDEX(PP_Grid[#Data],$DD550,29),0)</f>
        <v/>
      </c>
      <c r="AF550">
        <f>IFERROR(INDEX(PP_Grid[#Data],$DD550,30),0)</f>
        <v/>
      </c>
      <c r="AG550">
        <f>IFERROR(INDEX(PP_Grid[#Data],$DD550,31),0)</f>
        <v/>
      </c>
      <c r="AH550">
        <f>IFERROR(INDEX(PP_Grid[#Data],$DD550,32),0)</f>
        <v/>
      </c>
      <c r="AI550">
        <f>IFERROR(INDEX(PP_Grid[#Data],$DD550,33),0)</f>
        <v/>
      </c>
      <c r="AJ550">
        <f>IFERROR(INDEX(PP_Grid[#Data],$DD550,34),0)</f>
        <v/>
      </c>
      <c r="AK550">
        <f>IFERROR(INDEX(PP_Grid[#Data],$DD550,35),0)</f>
        <v/>
      </c>
      <c r="AL550">
        <f>IFERROR(INDEX(PP_Grid[#Data],$DD550,36),0)</f>
        <v/>
      </c>
      <c r="AM550">
        <f>IFERROR(INDEX(PP_Grid[#Data],$DD550,37),0)</f>
        <v/>
      </c>
      <c r="AN550">
        <f>IFERROR(INDEX(PP_Grid[#Data],$DD550,38),0)</f>
        <v/>
      </c>
      <c r="AO550">
        <f>IFERROR(INDEX(PP_Grid[#Data],$DD550,39),0)</f>
        <v/>
      </c>
      <c r="AP550">
        <f>IFERROR(INDEX(PP_Grid[#Data],$DD550,40),0)</f>
        <v/>
      </c>
      <c r="AQ550">
        <f>IFERROR(INDEX(PP_Grid[#Data],$DD550,41),0)</f>
        <v/>
      </c>
      <c r="AR550">
        <f>IFERROR(INDEX(PP_Grid[#Data],$DD550,42),0)</f>
        <v/>
      </c>
      <c r="AS550">
        <f>IFERROR(INDEX(PP_Grid[#Data],$DD550,43),0)</f>
        <v/>
      </c>
      <c r="AT550">
        <f>IFERROR(INDEX(PP_Grid[#Data],$DD550,44),0)</f>
        <v/>
      </c>
      <c r="AU550">
        <f>IFERROR(INDEX(PP_Grid[#Data],$DD550,45),0)</f>
        <v/>
      </c>
      <c r="AV550">
        <f>IFERROR(INDEX(PP_Grid[#Data],$DD550,46),0)</f>
        <v/>
      </c>
      <c r="AW550">
        <f>IFERROR(INDEX(PP_Grid[#Data],$DD550,47),0)</f>
        <v/>
      </c>
      <c r="AX550">
        <f>IFERROR(INDEX(PP_Grid[#Data],$DD550,48),0)</f>
        <v/>
      </c>
      <c r="AY550">
        <f>IFERROR(INDEX(PP_Grid[#Data],$DD550,49),0)</f>
        <v/>
      </c>
      <c r="AZ550">
        <f>IFERROR(INDEX(PP_Grid[#Data],$DD550,50),0)</f>
        <v/>
      </c>
      <c r="BA550">
        <f>IFERROR(INDEX(PP_Grid[#Data],$DD550,51),0)</f>
        <v/>
      </c>
      <c r="BB550">
        <f>IFERROR(INDEX(PP_Grid[#Data],$DD550,52),0)</f>
        <v/>
      </c>
      <c r="BC550">
        <f>IFERROR(INDEX(PP_Grid[#Data],$DD550,53),0)</f>
        <v/>
      </c>
      <c r="BD550">
        <f>IFERROR(INDEX(PP_Grid[#Data],$DD550,54),0)</f>
        <v/>
      </c>
      <c r="BE550">
        <f>IFERROR(INDEX(PP_Grid[#Data],$DD550,55),0)</f>
        <v/>
      </c>
      <c r="BF550">
        <f>IFERROR(INDEX(PP_Grid[#Data],$DD550,56),0)</f>
        <v/>
      </c>
      <c r="BG550">
        <f>IFERROR(INDEX(PP_Grid[#Data],$DD550,57),0)</f>
        <v/>
      </c>
      <c r="BH550">
        <f>IFERROR(INDEX(PP_Grid[#Data],$DD550,58),0)</f>
        <v/>
      </c>
      <c r="BI550">
        <f>IFERROR(INDEX(PP_Grid[#Data],$DD550,59),0)</f>
        <v/>
      </c>
      <c r="BJ550">
        <f>IFERROR(INDEX(PP_Grid[#Data],$DD550,60),0)</f>
        <v/>
      </c>
      <c r="BK550">
        <f>IFERROR(INDEX(PP_Grid[#Data],$DD550,61),0)</f>
        <v/>
      </c>
      <c r="BL550">
        <f>IFERROR(INDEX(PP_Grid[#Data],$DD550,62),0)</f>
        <v/>
      </c>
      <c r="BM550">
        <f>IFERROR(INDEX(PP_Grid[#Data],$DD550,63),0)</f>
        <v/>
      </c>
      <c r="BN550">
        <f>IFERROR(INDEX(PP_Grid[#Data],$DD550,64),0)</f>
        <v/>
      </c>
      <c r="BO550">
        <f>IFERROR(INDEX(PP_Grid[#Data],$DD550,65),0)</f>
        <v/>
      </c>
      <c r="BP550">
        <f>IFERROR(INDEX(PP_Grid[#Data],$DD550,66),0)</f>
        <v/>
      </c>
      <c r="BQ550">
        <f>IFERROR(INDEX(PP_Grid[#Data],$DD550,67),0)</f>
        <v/>
      </c>
      <c r="BR550">
        <f>IFERROR(INDEX(PP_Grid[#Data],$DD550,68),0)</f>
        <v/>
      </c>
      <c r="BS550">
        <f>IFERROR(INDEX(PP_Grid[#Data],$DD550,69),0)</f>
        <v/>
      </c>
      <c r="BT550">
        <f>IFERROR(INDEX(PP_Grid[#Data],$DD550,70),0)</f>
        <v/>
      </c>
      <c r="BU550">
        <f>IFERROR(INDEX(PP_Grid[#Data],$DD550,71),0)</f>
        <v/>
      </c>
      <c r="BV550">
        <f>IFERROR(INDEX(PP_Grid[#Data],$DD550,72),0)</f>
        <v/>
      </c>
      <c r="BW550">
        <f>IFERROR(INDEX(PP_Grid[#Data],$DD550,73),0)</f>
        <v/>
      </c>
      <c r="BX550">
        <f>IFERROR(INDEX(PP_Grid[#Data],$DD550,74),0)</f>
        <v/>
      </c>
      <c r="BY550">
        <f>IFERROR(INDEX(PP_Grid[#Data],$DD550,75),0)</f>
        <v/>
      </c>
      <c r="BZ550">
        <f>IFERROR(INDEX(PP_Grid[#Data],$DD550,76),0)</f>
        <v/>
      </c>
      <c r="CA550">
        <f>IFERROR(INDEX(PP_Grid[#Data],$DD550,77),0)</f>
        <v/>
      </c>
      <c r="CB550">
        <f>IFERROR(INDEX(PP_Grid[#Data],$DD550,78),0)</f>
        <v/>
      </c>
      <c r="CC550">
        <f>IFERROR(INDEX(PP_Grid[#Data],$DD550,79),0)</f>
        <v/>
      </c>
      <c r="CD550">
        <f>IFERROR(INDEX(PP_Grid[#Data],$DD550,80),0)</f>
        <v/>
      </c>
      <c r="CE550">
        <f>IFERROR(INDEX(PP_Grid[#Data],$DD550,81),0)</f>
        <v/>
      </c>
      <c r="CF550">
        <f>IFERROR(INDEX(PP_Grid[#Data],$DD550,82),0)</f>
        <v/>
      </c>
      <c r="CG550">
        <f>IFERROR(INDEX(PP_Grid[#Data],$DD550,83),0)</f>
        <v/>
      </c>
      <c r="CH550">
        <f>IFERROR(INDEX(PP_Grid[#Data],$DD550,84),0)</f>
        <v/>
      </c>
      <c r="CI550">
        <f>IFERROR(INDEX(PP_Grid[#Data],$DD550,85),0)</f>
        <v/>
      </c>
      <c r="CJ550">
        <f>IFERROR(INDEX(PP_Grid[#Data],$DD550,86),0)</f>
        <v/>
      </c>
      <c r="CK550">
        <f>IFERROR(INDEX(PP_Grid[#Data],$DD550,87),0)</f>
        <v/>
      </c>
      <c r="CL550">
        <f>IFERROR(INDEX(PP_Grid[#Data],$DD550,88),0)</f>
        <v/>
      </c>
      <c r="CM550">
        <f>IFERROR(INDEX(PP_Grid[#Data],$DD550,89),0)</f>
        <v/>
      </c>
      <c r="CN550">
        <f>IFERROR(INDEX(PP_Grid[#Data],$DD550,90),0)</f>
        <v/>
      </c>
      <c r="CO550">
        <f>IFERROR(INDEX(PP_Grid[#Data],$DD550,91),0)</f>
        <v/>
      </c>
      <c r="CP550">
        <f>IFERROR(INDEX(PP_Grid[#Data],$DD550,92),0)</f>
        <v/>
      </c>
      <c r="CQ550">
        <f>IFERROR(INDEX(PP_Grid[#Data],$DD550,93),0)</f>
        <v/>
      </c>
      <c r="CR550">
        <f>IFERROR(INDEX(PP_Grid[#Data],$DD550,94),0)</f>
        <v/>
      </c>
      <c r="CS550">
        <f>IFERROR(INDEX(PP_Grid[#Data],$DD550,95),0)</f>
        <v/>
      </c>
      <c r="CT550">
        <f>IFERROR(INDEX(PP_Grid[#Data],$DD550,96),0)</f>
        <v/>
      </c>
      <c r="CU550">
        <f>IFERROR(INDEX(PP_Grid[#Data],$DD550,97),0)</f>
        <v/>
      </c>
      <c r="CV550">
        <f>IFERROR(INDEX(PP_Grid[#Data],$DD550,98),0)</f>
        <v/>
      </c>
      <c r="CW550">
        <f>IFERROR(INDEX(PP_Grid[#Data],$DD550,99),0)</f>
        <v/>
      </c>
      <c r="CX550">
        <f>IFERROR(INDEX(PP_Grid[#Data],$DD550,100),0)</f>
        <v/>
      </c>
      <c r="CY550">
        <f>IFERROR(INDEX(PP_Grid[#Data],$DD550,101),0)</f>
        <v/>
      </c>
      <c r="CZ550">
        <f>IFERROR(INDEX(PP_Grid[#Data],$DD550,102),0)</f>
        <v/>
      </c>
      <c r="DA550">
        <f>IFERROR(INDEX(PP_Grid[#Data],$DD550,103),0)</f>
        <v/>
      </c>
      <c r="DB550">
        <f>IFERROR(INDEX(PP_Grid[#Data],$DD550,104),0)</f>
        <v/>
      </c>
      <c r="DC550">
        <f>IFERROR(INDEX(PP_Grid[#Data],$DD550,105),0)</f>
        <v/>
      </c>
      <c r="DD550" s="12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SUMIFS(M_BOM[RM_Qty_Per_Batch],M_BOM[Intermediate],$B550,M_BOM[Part Name],$A493)</f>
        <v/>
      </c>
      <c r="D551">
        <f>$C551*D550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</row>
    <row r="552">
      <c r="B552" t="inlineStr">
        <is>
          <t>VSP-600</t>
        </is>
      </c>
      <c r="C552" t="inlineStr">
        <is>
          <t>No. of batches</t>
        </is>
      </c>
      <c r="D552">
        <f>IFERROR(INDEX(PP_Grid[#Data],$DD552,2),0)</f>
        <v/>
      </c>
      <c r="E552">
        <f>IFERROR(INDEX(PP_Grid[#Data],$DD552,3),0)</f>
        <v/>
      </c>
      <c r="F552">
        <f>IFERROR(INDEX(PP_Grid[#Data],$DD552,4),0)</f>
        <v/>
      </c>
      <c r="G552">
        <f>IFERROR(INDEX(PP_Grid[#Data],$DD552,5),0)</f>
        <v/>
      </c>
      <c r="H552">
        <f>IFERROR(INDEX(PP_Grid[#Data],$DD552,6),0)</f>
        <v/>
      </c>
      <c r="I552">
        <f>IFERROR(INDEX(PP_Grid[#Data],$DD552,7),0)</f>
        <v/>
      </c>
      <c r="J552">
        <f>IFERROR(INDEX(PP_Grid[#Data],$DD552,8),0)</f>
        <v/>
      </c>
      <c r="K552">
        <f>IFERROR(INDEX(PP_Grid[#Data],$DD552,9),0)</f>
        <v/>
      </c>
      <c r="L552">
        <f>IFERROR(INDEX(PP_Grid[#Data],$DD552,10),0)</f>
        <v/>
      </c>
      <c r="M552">
        <f>IFERROR(INDEX(PP_Grid[#Data],$DD552,11),0)</f>
        <v/>
      </c>
      <c r="N552">
        <f>IFERROR(INDEX(PP_Grid[#Data],$DD552,12),0)</f>
        <v/>
      </c>
      <c r="O552">
        <f>IFERROR(INDEX(PP_Grid[#Data],$DD552,13),0)</f>
        <v/>
      </c>
      <c r="P552">
        <f>IFERROR(INDEX(PP_Grid[#Data],$DD552,14),0)</f>
        <v/>
      </c>
      <c r="Q552">
        <f>IFERROR(INDEX(PP_Grid[#Data],$DD552,15),0)</f>
        <v/>
      </c>
      <c r="R552">
        <f>IFERROR(INDEX(PP_Grid[#Data],$DD552,16),0)</f>
        <v/>
      </c>
      <c r="S552">
        <f>IFERROR(INDEX(PP_Grid[#Data],$DD552,17),0)</f>
        <v/>
      </c>
      <c r="T552">
        <f>IFERROR(INDEX(PP_Grid[#Data],$DD552,18),0)</f>
        <v/>
      </c>
      <c r="U552">
        <f>IFERROR(INDEX(PP_Grid[#Data],$DD552,19),0)</f>
        <v/>
      </c>
      <c r="V552">
        <f>IFERROR(INDEX(PP_Grid[#Data],$DD552,20),0)</f>
        <v/>
      </c>
      <c r="W552">
        <f>IFERROR(INDEX(PP_Grid[#Data],$DD552,21),0)</f>
        <v/>
      </c>
      <c r="X552">
        <f>IFERROR(INDEX(PP_Grid[#Data],$DD552,22),0)</f>
        <v/>
      </c>
      <c r="Y552">
        <f>IFERROR(INDEX(PP_Grid[#Data],$DD552,23),0)</f>
        <v/>
      </c>
      <c r="Z552">
        <f>IFERROR(INDEX(PP_Grid[#Data],$DD552,24),0)</f>
        <v/>
      </c>
      <c r="AA552">
        <f>IFERROR(INDEX(PP_Grid[#Data],$DD552,25),0)</f>
        <v/>
      </c>
      <c r="AB552">
        <f>IFERROR(INDEX(PP_Grid[#Data],$DD552,26),0)</f>
        <v/>
      </c>
      <c r="AC552">
        <f>IFERROR(INDEX(PP_Grid[#Data],$DD552,27),0)</f>
        <v/>
      </c>
      <c r="AD552">
        <f>IFERROR(INDEX(PP_Grid[#Data],$DD552,28),0)</f>
        <v/>
      </c>
      <c r="AE552">
        <f>IFERROR(INDEX(PP_Grid[#Data],$DD552,29),0)</f>
        <v/>
      </c>
      <c r="AF552">
        <f>IFERROR(INDEX(PP_Grid[#Data],$DD552,30),0)</f>
        <v/>
      </c>
      <c r="AG552">
        <f>IFERROR(INDEX(PP_Grid[#Data],$DD552,31),0)</f>
        <v/>
      </c>
      <c r="AH552">
        <f>IFERROR(INDEX(PP_Grid[#Data],$DD552,32),0)</f>
        <v/>
      </c>
      <c r="AI552">
        <f>IFERROR(INDEX(PP_Grid[#Data],$DD552,33),0)</f>
        <v/>
      </c>
      <c r="AJ552">
        <f>IFERROR(INDEX(PP_Grid[#Data],$DD552,34),0)</f>
        <v/>
      </c>
      <c r="AK552">
        <f>IFERROR(INDEX(PP_Grid[#Data],$DD552,35),0)</f>
        <v/>
      </c>
      <c r="AL552">
        <f>IFERROR(INDEX(PP_Grid[#Data],$DD552,36),0)</f>
        <v/>
      </c>
      <c r="AM552">
        <f>IFERROR(INDEX(PP_Grid[#Data],$DD552,37),0)</f>
        <v/>
      </c>
      <c r="AN552">
        <f>IFERROR(INDEX(PP_Grid[#Data],$DD552,38),0)</f>
        <v/>
      </c>
      <c r="AO552">
        <f>IFERROR(INDEX(PP_Grid[#Data],$DD552,39),0)</f>
        <v/>
      </c>
      <c r="AP552">
        <f>IFERROR(INDEX(PP_Grid[#Data],$DD552,40),0)</f>
        <v/>
      </c>
      <c r="AQ552">
        <f>IFERROR(INDEX(PP_Grid[#Data],$DD552,41),0)</f>
        <v/>
      </c>
      <c r="AR552">
        <f>IFERROR(INDEX(PP_Grid[#Data],$DD552,42),0)</f>
        <v/>
      </c>
      <c r="AS552">
        <f>IFERROR(INDEX(PP_Grid[#Data],$DD552,43),0)</f>
        <v/>
      </c>
      <c r="AT552">
        <f>IFERROR(INDEX(PP_Grid[#Data],$DD552,44),0)</f>
        <v/>
      </c>
      <c r="AU552">
        <f>IFERROR(INDEX(PP_Grid[#Data],$DD552,45),0)</f>
        <v/>
      </c>
      <c r="AV552">
        <f>IFERROR(INDEX(PP_Grid[#Data],$DD552,46),0)</f>
        <v/>
      </c>
      <c r="AW552">
        <f>IFERROR(INDEX(PP_Grid[#Data],$DD552,47),0)</f>
        <v/>
      </c>
      <c r="AX552">
        <f>IFERROR(INDEX(PP_Grid[#Data],$DD552,48),0)</f>
        <v/>
      </c>
      <c r="AY552">
        <f>IFERROR(INDEX(PP_Grid[#Data],$DD552,49),0)</f>
        <v/>
      </c>
      <c r="AZ552">
        <f>IFERROR(INDEX(PP_Grid[#Data],$DD552,50),0)</f>
        <v/>
      </c>
      <c r="BA552">
        <f>IFERROR(INDEX(PP_Grid[#Data],$DD552,51),0)</f>
        <v/>
      </c>
      <c r="BB552">
        <f>IFERROR(INDEX(PP_Grid[#Data],$DD552,52),0)</f>
        <v/>
      </c>
      <c r="BC552">
        <f>IFERROR(INDEX(PP_Grid[#Data],$DD552,53),0)</f>
        <v/>
      </c>
      <c r="BD552">
        <f>IFERROR(INDEX(PP_Grid[#Data],$DD552,54),0)</f>
        <v/>
      </c>
      <c r="BE552">
        <f>IFERROR(INDEX(PP_Grid[#Data],$DD552,55),0)</f>
        <v/>
      </c>
      <c r="BF552">
        <f>IFERROR(INDEX(PP_Grid[#Data],$DD552,56),0)</f>
        <v/>
      </c>
      <c r="BG552">
        <f>IFERROR(INDEX(PP_Grid[#Data],$DD552,57),0)</f>
        <v/>
      </c>
      <c r="BH552">
        <f>IFERROR(INDEX(PP_Grid[#Data],$DD552,58),0)</f>
        <v/>
      </c>
      <c r="BI552">
        <f>IFERROR(INDEX(PP_Grid[#Data],$DD552,59),0)</f>
        <v/>
      </c>
      <c r="BJ552">
        <f>IFERROR(INDEX(PP_Grid[#Data],$DD552,60),0)</f>
        <v/>
      </c>
      <c r="BK552">
        <f>IFERROR(INDEX(PP_Grid[#Data],$DD552,61),0)</f>
        <v/>
      </c>
      <c r="BL552">
        <f>IFERROR(INDEX(PP_Grid[#Data],$DD552,62),0)</f>
        <v/>
      </c>
      <c r="BM552">
        <f>IFERROR(INDEX(PP_Grid[#Data],$DD552,63),0)</f>
        <v/>
      </c>
      <c r="BN552">
        <f>IFERROR(INDEX(PP_Grid[#Data],$DD552,64),0)</f>
        <v/>
      </c>
      <c r="BO552">
        <f>IFERROR(INDEX(PP_Grid[#Data],$DD552,65),0)</f>
        <v/>
      </c>
      <c r="BP552">
        <f>IFERROR(INDEX(PP_Grid[#Data],$DD552,66),0)</f>
        <v/>
      </c>
      <c r="BQ552">
        <f>IFERROR(INDEX(PP_Grid[#Data],$DD552,67),0)</f>
        <v/>
      </c>
      <c r="BR552">
        <f>IFERROR(INDEX(PP_Grid[#Data],$DD552,68),0)</f>
        <v/>
      </c>
      <c r="BS552">
        <f>IFERROR(INDEX(PP_Grid[#Data],$DD552,69),0)</f>
        <v/>
      </c>
      <c r="BT552">
        <f>IFERROR(INDEX(PP_Grid[#Data],$DD552,70),0)</f>
        <v/>
      </c>
      <c r="BU552">
        <f>IFERROR(INDEX(PP_Grid[#Data],$DD552,71),0)</f>
        <v/>
      </c>
      <c r="BV552">
        <f>IFERROR(INDEX(PP_Grid[#Data],$DD552,72),0)</f>
        <v/>
      </c>
      <c r="BW552">
        <f>IFERROR(INDEX(PP_Grid[#Data],$DD552,73),0)</f>
        <v/>
      </c>
      <c r="BX552">
        <f>IFERROR(INDEX(PP_Grid[#Data],$DD552,74),0)</f>
        <v/>
      </c>
      <c r="BY552">
        <f>IFERROR(INDEX(PP_Grid[#Data],$DD552,75),0)</f>
        <v/>
      </c>
      <c r="BZ552">
        <f>IFERROR(INDEX(PP_Grid[#Data],$DD552,76),0)</f>
        <v/>
      </c>
      <c r="CA552">
        <f>IFERROR(INDEX(PP_Grid[#Data],$DD552,77),0)</f>
        <v/>
      </c>
      <c r="CB552">
        <f>IFERROR(INDEX(PP_Grid[#Data],$DD552,78),0)</f>
        <v/>
      </c>
      <c r="CC552">
        <f>IFERROR(INDEX(PP_Grid[#Data],$DD552,79),0)</f>
        <v/>
      </c>
      <c r="CD552">
        <f>IFERROR(INDEX(PP_Grid[#Data],$DD552,80),0)</f>
        <v/>
      </c>
      <c r="CE552">
        <f>IFERROR(INDEX(PP_Grid[#Data],$DD552,81),0)</f>
        <v/>
      </c>
      <c r="CF552">
        <f>IFERROR(INDEX(PP_Grid[#Data],$DD552,82),0)</f>
        <v/>
      </c>
      <c r="CG552">
        <f>IFERROR(INDEX(PP_Grid[#Data],$DD552,83),0)</f>
        <v/>
      </c>
      <c r="CH552">
        <f>IFERROR(INDEX(PP_Grid[#Data],$DD552,84),0)</f>
        <v/>
      </c>
      <c r="CI552">
        <f>IFERROR(INDEX(PP_Grid[#Data],$DD552,85),0)</f>
        <v/>
      </c>
      <c r="CJ552">
        <f>IFERROR(INDEX(PP_Grid[#Data],$DD552,86),0)</f>
        <v/>
      </c>
      <c r="CK552">
        <f>IFERROR(INDEX(PP_Grid[#Data],$DD552,87),0)</f>
        <v/>
      </c>
      <c r="CL552">
        <f>IFERROR(INDEX(PP_Grid[#Data],$DD552,88),0)</f>
        <v/>
      </c>
      <c r="CM552">
        <f>IFERROR(INDEX(PP_Grid[#Data],$DD552,89),0)</f>
        <v/>
      </c>
      <c r="CN552">
        <f>IFERROR(INDEX(PP_Grid[#Data],$DD552,90),0)</f>
        <v/>
      </c>
      <c r="CO552">
        <f>IFERROR(INDEX(PP_Grid[#Data],$DD552,91),0)</f>
        <v/>
      </c>
      <c r="CP552">
        <f>IFERROR(INDEX(PP_Grid[#Data],$DD552,92),0)</f>
        <v/>
      </c>
      <c r="CQ552">
        <f>IFERROR(INDEX(PP_Grid[#Data],$DD552,93),0)</f>
        <v/>
      </c>
      <c r="CR552">
        <f>IFERROR(INDEX(PP_Grid[#Data],$DD552,94),0)</f>
        <v/>
      </c>
      <c r="CS552">
        <f>IFERROR(INDEX(PP_Grid[#Data],$DD552,95),0)</f>
        <v/>
      </c>
      <c r="CT552">
        <f>IFERROR(INDEX(PP_Grid[#Data],$DD552,96),0)</f>
        <v/>
      </c>
      <c r="CU552">
        <f>IFERROR(INDEX(PP_Grid[#Data],$DD552,97),0)</f>
        <v/>
      </c>
      <c r="CV552">
        <f>IFERROR(INDEX(PP_Grid[#Data],$DD552,98),0)</f>
        <v/>
      </c>
      <c r="CW552">
        <f>IFERROR(INDEX(PP_Grid[#Data],$DD552,99),0)</f>
        <v/>
      </c>
      <c r="CX552">
        <f>IFERROR(INDEX(PP_Grid[#Data],$DD552,100),0)</f>
        <v/>
      </c>
      <c r="CY552">
        <f>IFERROR(INDEX(PP_Grid[#Data],$DD552,101),0)</f>
        <v/>
      </c>
      <c r="CZ552">
        <f>IFERROR(INDEX(PP_Grid[#Data],$DD552,102),0)</f>
        <v/>
      </c>
      <c r="DA552">
        <f>IFERROR(INDEX(PP_Grid[#Data],$DD552,103),0)</f>
        <v/>
      </c>
      <c r="DB552">
        <f>IFERROR(INDEX(PP_Grid[#Data],$DD552,104),0)</f>
        <v/>
      </c>
      <c r="DC552">
        <f>IFERROR(INDEX(PP_Grid[#Data],$DD552,105),0)</f>
        <v/>
      </c>
      <c r="DD552" s="12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SUMIFS(M_BOM[RM_Qty_Per_Batch],M_BOM[Intermediate],$B552,M_BOM[Part Name],$A493)</f>
        <v/>
      </c>
      <c r="D553">
        <f>$C553*D552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</row>
    <row r="554">
      <c r="B554" t="inlineStr">
        <is>
          <t>VSP-601</t>
        </is>
      </c>
      <c r="C554" t="inlineStr">
        <is>
          <t>No. of batches</t>
        </is>
      </c>
      <c r="D554">
        <f>IFERROR(INDEX(PP_Grid[#Data],$DD554,2),0)</f>
        <v/>
      </c>
      <c r="E554">
        <f>IFERROR(INDEX(PP_Grid[#Data],$DD554,3),0)</f>
        <v/>
      </c>
      <c r="F554">
        <f>IFERROR(INDEX(PP_Grid[#Data],$DD554,4),0)</f>
        <v/>
      </c>
      <c r="G554">
        <f>IFERROR(INDEX(PP_Grid[#Data],$DD554,5),0)</f>
        <v/>
      </c>
      <c r="H554">
        <f>IFERROR(INDEX(PP_Grid[#Data],$DD554,6),0)</f>
        <v/>
      </c>
      <c r="I554">
        <f>IFERROR(INDEX(PP_Grid[#Data],$DD554,7),0)</f>
        <v/>
      </c>
      <c r="J554">
        <f>IFERROR(INDEX(PP_Grid[#Data],$DD554,8),0)</f>
        <v/>
      </c>
      <c r="K554">
        <f>IFERROR(INDEX(PP_Grid[#Data],$DD554,9),0)</f>
        <v/>
      </c>
      <c r="L554">
        <f>IFERROR(INDEX(PP_Grid[#Data],$DD554,10),0)</f>
        <v/>
      </c>
      <c r="M554">
        <f>IFERROR(INDEX(PP_Grid[#Data],$DD554,11),0)</f>
        <v/>
      </c>
      <c r="N554">
        <f>IFERROR(INDEX(PP_Grid[#Data],$DD554,12),0)</f>
        <v/>
      </c>
      <c r="O554">
        <f>IFERROR(INDEX(PP_Grid[#Data],$DD554,13),0)</f>
        <v/>
      </c>
      <c r="P554">
        <f>IFERROR(INDEX(PP_Grid[#Data],$DD554,14),0)</f>
        <v/>
      </c>
      <c r="Q554">
        <f>IFERROR(INDEX(PP_Grid[#Data],$DD554,15),0)</f>
        <v/>
      </c>
      <c r="R554">
        <f>IFERROR(INDEX(PP_Grid[#Data],$DD554,16),0)</f>
        <v/>
      </c>
      <c r="S554">
        <f>IFERROR(INDEX(PP_Grid[#Data],$DD554,17),0)</f>
        <v/>
      </c>
      <c r="T554">
        <f>IFERROR(INDEX(PP_Grid[#Data],$DD554,18),0)</f>
        <v/>
      </c>
      <c r="U554">
        <f>IFERROR(INDEX(PP_Grid[#Data],$DD554,19),0)</f>
        <v/>
      </c>
      <c r="V554">
        <f>IFERROR(INDEX(PP_Grid[#Data],$DD554,20),0)</f>
        <v/>
      </c>
      <c r="W554">
        <f>IFERROR(INDEX(PP_Grid[#Data],$DD554,21),0)</f>
        <v/>
      </c>
      <c r="X554">
        <f>IFERROR(INDEX(PP_Grid[#Data],$DD554,22),0)</f>
        <v/>
      </c>
      <c r="Y554">
        <f>IFERROR(INDEX(PP_Grid[#Data],$DD554,23),0)</f>
        <v/>
      </c>
      <c r="Z554">
        <f>IFERROR(INDEX(PP_Grid[#Data],$DD554,24),0)</f>
        <v/>
      </c>
      <c r="AA554">
        <f>IFERROR(INDEX(PP_Grid[#Data],$DD554,25),0)</f>
        <v/>
      </c>
      <c r="AB554">
        <f>IFERROR(INDEX(PP_Grid[#Data],$DD554,26),0)</f>
        <v/>
      </c>
      <c r="AC554">
        <f>IFERROR(INDEX(PP_Grid[#Data],$DD554,27),0)</f>
        <v/>
      </c>
      <c r="AD554">
        <f>IFERROR(INDEX(PP_Grid[#Data],$DD554,28),0)</f>
        <v/>
      </c>
      <c r="AE554">
        <f>IFERROR(INDEX(PP_Grid[#Data],$DD554,29),0)</f>
        <v/>
      </c>
      <c r="AF554">
        <f>IFERROR(INDEX(PP_Grid[#Data],$DD554,30),0)</f>
        <v/>
      </c>
      <c r="AG554">
        <f>IFERROR(INDEX(PP_Grid[#Data],$DD554,31),0)</f>
        <v/>
      </c>
      <c r="AH554">
        <f>IFERROR(INDEX(PP_Grid[#Data],$DD554,32),0)</f>
        <v/>
      </c>
      <c r="AI554">
        <f>IFERROR(INDEX(PP_Grid[#Data],$DD554,33),0)</f>
        <v/>
      </c>
      <c r="AJ554">
        <f>IFERROR(INDEX(PP_Grid[#Data],$DD554,34),0)</f>
        <v/>
      </c>
      <c r="AK554">
        <f>IFERROR(INDEX(PP_Grid[#Data],$DD554,35),0)</f>
        <v/>
      </c>
      <c r="AL554">
        <f>IFERROR(INDEX(PP_Grid[#Data],$DD554,36),0)</f>
        <v/>
      </c>
      <c r="AM554">
        <f>IFERROR(INDEX(PP_Grid[#Data],$DD554,37),0)</f>
        <v/>
      </c>
      <c r="AN554">
        <f>IFERROR(INDEX(PP_Grid[#Data],$DD554,38),0)</f>
        <v/>
      </c>
      <c r="AO554">
        <f>IFERROR(INDEX(PP_Grid[#Data],$DD554,39),0)</f>
        <v/>
      </c>
      <c r="AP554">
        <f>IFERROR(INDEX(PP_Grid[#Data],$DD554,40),0)</f>
        <v/>
      </c>
      <c r="AQ554">
        <f>IFERROR(INDEX(PP_Grid[#Data],$DD554,41),0)</f>
        <v/>
      </c>
      <c r="AR554">
        <f>IFERROR(INDEX(PP_Grid[#Data],$DD554,42),0)</f>
        <v/>
      </c>
      <c r="AS554">
        <f>IFERROR(INDEX(PP_Grid[#Data],$DD554,43),0)</f>
        <v/>
      </c>
      <c r="AT554">
        <f>IFERROR(INDEX(PP_Grid[#Data],$DD554,44),0)</f>
        <v/>
      </c>
      <c r="AU554">
        <f>IFERROR(INDEX(PP_Grid[#Data],$DD554,45),0)</f>
        <v/>
      </c>
      <c r="AV554">
        <f>IFERROR(INDEX(PP_Grid[#Data],$DD554,46),0)</f>
        <v/>
      </c>
      <c r="AW554">
        <f>IFERROR(INDEX(PP_Grid[#Data],$DD554,47),0)</f>
        <v/>
      </c>
      <c r="AX554">
        <f>IFERROR(INDEX(PP_Grid[#Data],$DD554,48),0)</f>
        <v/>
      </c>
      <c r="AY554">
        <f>IFERROR(INDEX(PP_Grid[#Data],$DD554,49),0)</f>
        <v/>
      </c>
      <c r="AZ554">
        <f>IFERROR(INDEX(PP_Grid[#Data],$DD554,50),0)</f>
        <v/>
      </c>
      <c r="BA554">
        <f>IFERROR(INDEX(PP_Grid[#Data],$DD554,51),0)</f>
        <v/>
      </c>
      <c r="BB554">
        <f>IFERROR(INDEX(PP_Grid[#Data],$DD554,52),0)</f>
        <v/>
      </c>
      <c r="BC554">
        <f>IFERROR(INDEX(PP_Grid[#Data],$DD554,53),0)</f>
        <v/>
      </c>
      <c r="BD554">
        <f>IFERROR(INDEX(PP_Grid[#Data],$DD554,54),0)</f>
        <v/>
      </c>
      <c r="BE554">
        <f>IFERROR(INDEX(PP_Grid[#Data],$DD554,55),0)</f>
        <v/>
      </c>
      <c r="BF554">
        <f>IFERROR(INDEX(PP_Grid[#Data],$DD554,56),0)</f>
        <v/>
      </c>
      <c r="BG554">
        <f>IFERROR(INDEX(PP_Grid[#Data],$DD554,57),0)</f>
        <v/>
      </c>
      <c r="BH554">
        <f>IFERROR(INDEX(PP_Grid[#Data],$DD554,58),0)</f>
        <v/>
      </c>
      <c r="BI554">
        <f>IFERROR(INDEX(PP_Grid[#Data],$DD554,59),0)</f>
        <v/>
      </c>
      <c r="BJ554">
        <f>IFERROR(INDEX(PP_Grid[#Data],$DD554,60),0)</f>
        <v/>
      </c>
      <c r="BK554">
        <f>IFERROR(INDEX(PP_Grid[#Data],$DD554,61),0)</f>
        <v/>
      </c>
      <c r="BL554">
        <f>IFERROR(INDEX(PP_Grid[#Data],$DD554,62),0)</f>
        <v/>
      </c>
      <c r="BM554">
        <f>IFERROR(INDEX(PP_Grid[#Data],$DD554,63),0)</f>
        <v/>
      </c>
      <c r="BN554">
        <f>IFERROR(INDEX(PP_Grid[#Data],$DD554,64),0)</f>
        <v/>
      </c>
      <c r="BO554">
        <f>IFERROR(INDEX(PP_Grid[#Data],$DD554,65),0)</f>
        <v/>
      </c>
      <c r="BP554">
        <f>IFERROR(INDEX(PP_Grid[#Data],$DD554,66),0)</f>
        <v/>
      </c>
      <c r="BQ554">
        <f>IFERROR(INDEX(PP_Grid[#Data],$DD554,67),0)</f>
        <v/>
      </c>
      <c r="BR554">
        <f>IFERROR(INDEX(PP_Grid[#Data],$DD554,68),0)</f>
        <v/>
      </c>
      <c r="BS554">
        <f>IFERROR(INDEX(PP_Grid[#Data],$DD554,69),0)</f>
        <v/>
      </c>
      <c r="BT554">
        <f>IFERROR(INDEX(PP_Grid[#Data],$DD554,70),0)</f>
        <v/>
      </c>
      <c r="BU554">
        <f>IFERROR(INDEX(PP_Grid[#Data],$DD554,71),0)</f>
        <v/>
      </c>
      <c r="BV554">
        <f>IFERROR(INDEX(PP_Grid[#Data],$DD554,72),0)</f>
        <v/>
      </c>
      <c r="BW554">
        <f>IFERROR(INDEX(PP_Grid[#Data],$DD554,73),0)</f>
        <v/>
      </c>
      <c r="BX554">
        <f>IFERROR(INDEX(PP_Grid[#Data],$DD554,74),0)</f>
        <v/>
      </c>
      <c r="BY554">
        <f>IFERROR(INDEX(PP_Grid[#Data],$DD554,75),0)</f>
        <v/>
      </c>
      <c r="BZ554">
        <f>IFERROR(INDEX(PP_Grid[#Data],$DD554,76),0)</f>
        <v/>
      </c>
      <c r="CA554">
        <f>IFERROR(INDEX(PP_Grid[#Data],$DD554,77),0)</f>
        <v/>
      </c>
      <c r="CB554">
        <f>IFERROR(INDEX(PP_Grid[#Data],$DD554,78),0)</f>
        <v/>
      </c>
      <c r="CC554">
        <f>IFERROR(INDEX(PP_Grid[#Data],$DD554,79),0)</f>
        <v/>
      </c>
      <c r="CD554">
        <f>IFERROR(INDEX(PP_Grid[#Data],$DD554,80),0)</f>
        <v/>
      </c>
      <c r="CE554">
        <f>IFERROR(INDEX(PP_Grid[#Data],$DD554,81),0)</f>
        <v/>
      </c>
      <c r="CF554">
        <f>IFERROR(INDEX(PP_Grid[#Data],$DD554,82),0)</f>
        <v/>
      </c>
      <c r="CG554">
        <f>IFERROR(INDEX(PP_Grid[#Data],$DD554,83),0)</f>
        <v/>
      </c>
      <c r="CH554">
        <f>IFERROR(INDEX(PP_Grid[#Data],$DD554,84),0)</f>
        <v/>
      </c>
      <c r="CI554">
        <f>IFERROR(INDEX(PP_Grid[#Data],$DD554,85),0)</f>
        <v/>
      </c>
      <c r="CJ554">
        <f>IFERROR(INDEX(PP_Grid[#Data],$DD554,86),0)</f>
        <v/>
      </c>
      <c r="CK554">
        <f>IFERROR(INDEX(PP_Grid[#Data],$DD554,87),0)</f>
        <v/>
      </c>
      <c r="CL554">
        <f>IFERROR(INDEX(PP_Grid[#Data],$DD554,88),0)</f>
        <v/>
      </c>
      <c r="CM554">
        <f>IFERROR(INDEX(PP_Grid[#Data],$DD554,89),0)</f>
        <v/>
      </c>
      <c r="CN554">
        <f>IFERROR(INDEX(PP_Grid[#Data],$DD554,90),0)</f>
        <v/>
      </c>
      <c r="CO554">
        <f>IFERROR(INDEX(PP_Grid[#Data],$DD554,91),0)</f>
        <v/>
      </c>
      <c r="CP554">
        <f>IFERROR(INDEX(PP_Grid[#Data],$DD554,92),0)</f>
        <v/>
      </c>
      <c r="CQ554">
        <f>IFERROR(INDEX(PP_Grid[#Data],$DD554,93),0)</f>
        <v/>
      </c>
      <c r="CR554">
        <f>IFERROR(INDEX(PP_Grid[#Data],$DD554,94),0)</f>
        <v/>
      </c>
      <c r="CS554">
        <f>IFERROR(INDEX(PP_Grid[#Data],$DD554,95),0)</f>
        <v/>
      </c>
      <c r="CT554">
        <f>IFERROR(INDEX(PP_Grid[#Data],$DD554,96),0)</f>
        <v/>
      </c>
      <c r="CU554">
        <f>IFERROR(INDEX(PP_Grid[#Data],$DD554,97),0)</f>
        <v/>
      </c>
      <c r="CV554">
        <f>IFERROR(INDEX(PP_Grid[#Data],$DD554,98),0)</f>
        <v/>
      </c>
      <c r="CW554">
        <f>IFERROR(INDEX(PP_Grid[#Data],$DD554,99),0)</f>
        <v/>
      </c>
      <c r="CX554">
        <f>IFERROR(INDEX(PP_Grid[#Data],$DD554,100),0)</f>
        <v/>
      </c>
      <c r="CY554">
        <f>IFERROR(INDEX(PP_Grid[#Data],$DD554,101),0)</f>
        <v/>
      </c>
      <c r="CZ554">
        <f>IFERROR(INDEX(PP_Grid[#Data],$DD554,102),0)</f>
        <v/>
      </c>
      <c r="DA554">
        <f>IFERROR(INDEX(PP_Grid[#Data],$DD554,103),0)</f>
        <v/>
      </c>
      <c r="DB554">
        <f>IFERROR(INDEX(PP_Grid[#Data],$DD554,104),0)</f>
        <v/>
      </c>
      <c r="DC554">
        <f>IFERROR(INDEX(PP_Grid[#Data],$DD554,105),0)</f>
        <v/>
      </c>
      <c r="DD554" s="12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SUMIFS(M_BOM[RM_Qty_Per_Batch],M_BOM[Intermediate],$B554,M_BOM[Part Name],$A493)</f>
        <v/>
      </c>
      <c r="D555">
        <f>$C555*D554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</row>
    <row r="556">
      <c r="B556" t="inlineStr">
        <is>
          <t>VSP-602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12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Name],$A493)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VSP-820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12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Name],$A493)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VSP-822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12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Name],$A493)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VSP-910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12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Name],$A493)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VSP-989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12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Name],$A493)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VSP-990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12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Name],$A493)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s="5" t="inlineStr">
        <is>
          <t>合計使用量(kg)/週</t>
        </is>
      </c>
      <c r="D568">
        <f>'Grid_Requirement'!B33</f>
        <v/>
      </c>
      <c r="E568">
        <f>'Grid_Requirement'!C33</f>
        <v/>
      </c>
      <c r="F568">
        <f>'Grid_Requirement'!D33</f>
        <v/>
      </c>
      <c r="G568">
        <f>'Grid_Requirement'!E33</f>
        <v/>
      </c>
      <c r="H568">
        <f>'Grid_Requirement'!F33</f>
        <v/>
      </c>
      <c r="I568">
        <f>'Grid_Requirement'!G33</f>
        <v/>
      </c>
      <c r="J568">
        <f>'Grid_Requirement'!H33</f>
        <v/>
      </c>
      <c r="K568">
        <f>'Grid_Requirement'!I33</f>
        <v/>
      </c>
      <c r="L568">
        <f>'Grid_Requirement'!J33</f>
        <v/>
      </c>
      <c r="M568">
        <f>'Grid_Requirement'!K33</f>
        <v/>
      </c>
      <c r="N568">
        <f>'Grid_Requirement'!L33</f>
        <v/>
      </c>
      <c r="O568">
        <f>'Grid_Requirement'!M33</f>
        <v/>
      </c>
      <c r="P568">
        <f>'Grid_Requirement'!N33</f>
        <v/>
      </c>
      <c r="Q568">
        <f>'Grid_Requirement'!O33</f>
        <v/>
      </c>
      <c r="R568">
        <f>'Grid_Requirement'!P33</f>
        <v/>
      </c>
      <c r="S568">
        <f>'Grid_Requirement'!Q33</f>
        <v/>
      </c>
      <c r="T568">
        <f>'Grid_Requirement'!R33</f>
        <v/>
      </c>
      <c r="U568">
        <f>'Grid_Requirement'!S33</f>
        <v/>
      </c>
      <c r="V568">
        <f>'Grid_Requirement'!T33</f>
        <v/>
      </c>
      <c r="W568">
        <f>'Grid_Requirement'!U33</f>
        <v/>
      </c>
      <c r="X568">
        <f>'Grid_Requirement'!V33</f>
        <v/>
      </c>
      <c r="Y568">
        <f>'Grid_Requirement'!W33</f>
        <v/>
      </c>
      <c r="Z568">
        <f>'Grid_Requirement'!X33</f>
        <v/>
      </c>
      <c r="AA568">
        <f>'Grid_Requirement'!Y33</f>
        <v/>
      </c>
      <c r="AB568">
        <f>'Grid_Requirement'!Z33</f>
        <v/>
      </c>
      <c r="AC568">
        <f>'Grid_Requirement'!AA33</f>
        <v/>
      </c>
      <c r="AD568">
        <f>'Grid_Requirement'!AB33</f>
        <v/>
      </c>
      <c r="AE568">
        <f>'Grid_Requirement'!AC33</f>
        <v/>
      </c>
      <c r="AF568">
        <f>'Grid_Requirement'!AD33</f>
        <v/>
      </c>
      <c r="AG568">
        <f>'Grid_Requirement'!AE33</f>
        <v/>
      </c>
      <c r="AH568">
        <f>'Grid_Requirement'!AF33</f>
        <v/>
      </c>
      <c r="AI568">
        <f>'Grid_Requirement'!AG33</f>
        <v/>
      </c>
      <c r="AJ568">
        <f>'Grid_Requirement'!AH33</f>
        <v/>
      </c>
      <c r="AK568">
        <f>'Grid_Requirement'!AI33</f>
        <v/>
      </c>
      <c r="AL568">
        <f>'Grid_Requirement'!AJ33</f>
        <v/>
      </c>
      <c r="AM568">
        <f>'Grid_Requirement'!AK33</f>
        <v/>
      </c>
      <c r="AN568">
        <f>'Grid_Requirement'!AL33</f>
        <v/>
      </c>
      <c r="AO568">
        <f>'Grid_Requirement'!AM33</f>
        <v/>
      </c>
      <c r="AP568">
        <f>'Grid_Requirement'!AN33</f>
        <v/>
      </c>
      <c r="AQ568">
        <f>'Grid_Requirement'!AO33</f>
        <v/>
      </c>
      <c r="AR568">
        <f>'Grid_Requirement'!AP33</f>
        <v/>
      </c>
      <c r="AS568">
        <f>'Grid_Requirement'!AQ33</f>
        <v/>
      </c>
      <c r="AT568">
        <f>'Grid_Requirement'!AR33</f>
        <v/>
      </c>
      <c r="AU568">
        <f>'Grid_Requirement'!AS33</f>
        <v/>
      </c>
      <c r="AV568">
        <f>'Grid_Requirement'!AT33</f>
        <v/>
      </c>
      <c r="AW568">
        <f>'Grid_Requirement'!AU33</f>
        <v/>
      </c>
      <c r="AX568">
        <f>'Grid_Requirement'!AV33</f>
        <v/>
      </c>
      <c r="AY568">
        <f>'Grid_Requirement'!AW33</f>
        <v/>
      </c>
      <c r="AZ568">
        <f>'Grid_Requirement'!AX33</f>
        <v/>
      </c>
      <c r="BA568">
        <f>'Grid_Requirement'!AY33</f>
        <v/>
      </c>
      <c r="BB568">
        <f>'Grid_Requirement'!AZ33</f>
        <v/>
      </c>
      <c r="BC568">
        <f>'Grid_Requirement'!BA33</f>
        <v/>
      </c>
      <c r="BD568">
        <f>'Grid_Requirement'!BB33</f>
        <v/>
      </c>
      <c r="BE568">
        <f>'Grid_Requirement'!BC33</f>
        <v/>
      </c>
      <c r="BF568">
        <f>'Grid_Requirement'!BD33</f>
        <v/>
      </c>
      <c r="BG568">
        <f>'Grid_Requirement'!BE33</f>
        <v/>
      </c>
      <c r="BH568">
        <f>'Grid_Requirement'!BF33</f>
        <v/>
      </c>
      <c r="BI568">
        <f>'Grid_Requirement'!BG33</f>
        <v/>
      </c>
      <c r="BJ568">
        <f>'Grid_Requirement'!BH33</f>
        <v/>
      </c>
      <c r="BK568">
        <f>'Grid_Requirement'!BI33</f>
        <v/>
      </c>
      <c r="BL568">
        <f>'Grid_Requirement'!BJ33</f>
        <v/>
      </c>
      <c r="BM568">
        <f>'Grid_Requirement'!BK33</f>
        <v/>
      </c>
      <c r="BN568">
        <f>'Grid_Requirement'!BL33</f>
        <v/>
      </c>
      <c r="BO568">
        <f>'Grid_Requirement'!BM33</f>
        <v/>
      </c>
      <c r="BP568">
        <f>'Grid_Requirement'!BN33</f>
        <v/>
      </c>
      <c r="BQ568">
        <f>'Grid_Requirement'!BO33</f>
        <v/>
      </c>
      <c r="BR568">
        <f>'Grid_Requirement'!BP33</f>
        <v/>
      </c>
      <c r="BS568">
        <f>'Grid_Requirement'!BQ33</f>
        <v/>
      </c>
      <c r="BT568">
        <f>'Grid_Requirement'!BR33</f>
        <v/>
      </c>
      <c r="BU568">
        <f>'Grid_Requirement'!BS33</f>
        <v/>
      </c>
      <c r="BV568">
        <f>'Grid_Requirement'!BT33</f>
        <v/>
      </c>
      <c r="BW568">
        <f>'Grid_Requirement'!BU33</f>
        <v/>
      </c>
      <c r="BX568">
        <f>'Grid_Requirement'!BV33</f>
        <v/>
      </c>
      <c r="BY568">
        <f>'Grid_Requirement'!BW33</f>
        <v/>
      </c>
      <c r="BZ568">
        <f>'Grid_Requirement'!BX33</f>
        <v/>
      </c>
      <c r="CA568">
        <f>'Grid_Requirement'!BY33</f>
        <v/>
      </c>
      <c r="CB568">
        <f>'Grid_Requirement'!BZ33</f>
        <v/>
      </c>
      <c r="CC568">
        <f>'Grid_Requirement'!CA33</f>
        <v/>
      </c>
      <c r="CD568">
        <f>'Grid_Requirement'!CB33</f>
        <v/>
      </c>
      <c r="CE568">
        <f>'Grid_Requirement'!CC33</f>
        <v/>
      </c>
      <c r="CF568">
        <f>'Grid_Requirement'!CD33</f>
        <v/>
      </c>
      <c r="CG568">
        <f>'Grid_Requirement'!CE33</f>
        <v/>
      </c>
      <c r="CH568">
        <f>'Grid_Requirement'!CF33</f>
        <v/>
      </c>
      <c r="CI568">
        <f>'Grid_Requirement'!CG33</f>
        <v/>
      </c>
      <c r="CJ568">
        <f>'Grid_Requirement'!CH33</f>
        <v/>
      </c>
      <c r="CK568">
        <f>'Grid_Requirement'!CI33</f>
        <v/>
      </c>
      <c r="CL568">
        <f>'Grid_Requirement'!CJ33</f>
        <v/>
      </c>
      <c r="CM568">
        <f>'Grid_Requirement'!CK33</f>
        <v/>
      </c>
      <c r="CN568">
        <f>'Grid_Requirement'!CL33</f>
        <v/>
      </c>
      <c r="CO568">
        <f>'Grid_Requirement'!CM33</f>
        <v/>
      </c>
      <c r="CP568">
        <f>'Grid_Requirement'!CN33</f>
        <v/>
      </c>
      <c r="CQ568">
        <f>'Grid_Requirement'!CO33</f>
        <v/>
      </c>
      <c r="CR568">
        <f>'Grid_Requirement'!CP33</f>
        <v/>
      </c>
      <c r="CS568">
        <f>'Grid_Requirement'!CQ33</f>
        <v/>
      </c>
      <c r="CT568">
        <f>'Grid_Requirement'!CR33</f>
        <v/>
      </c>
      <c r="CU568">
        <f>'Grid_Requirement'!CS33</f>
        <v/>
      </c>
      <c r="CV568">
        <f>'Grid_Requirement'!CT33</f>
        <v/>
      </c>
      <c r="CW568">
        <f>'Grid_Requirement'!CU33</f>
        <v/>
      </c>
      <c r="CX568">
        <f>'Grid_Requirement'!CV33</f>
        <v/>
      </c>
      <c r="CY568">
        <f>'Grid_Requirement'!CW33</f>
        <v/>
      </c>
      <c r="CZ568">
        <f>'Grid_Requirement'!CX33</f>
        <v/>
      </c>
      <c r="DA568">
        <f>'Grid_Requirement'!CY33</f>
        <v/>
      </c>
      <c r="DB568">
        <f>'Grid_Requirement'!CZ33</f>
        <v/>
      </c>
      <c r="DC568">
        <f>'Grid_Requirement'!DA33</f>
        <v/>
      </c>
    </row>
    <row r="569">
      <c r="B569" t="inlineStr">
        <is>
          <t>TTAF在庫(実績,kg)</t>
        </is>
      </c>
      <c r="D569">
        <f>'T_TTAFStock'!B37</f>
        <v/>
      </c>
      <c r="E569">
        <f>'T_TTAFStock'!C37</f>
        <v/>
      </c>
      <c r="F569">
        <f>'T_TTAFStock'!D37</f>
        <v/>
      </c>
      <c r="G569">
        <f>'T_TTAFStock'!E37</f>
        <v/>
      </c>
      <c r="H569">
        <f>'T_TTAFStock'!F37</f>
        <v/>
      </c>
      <c r="I569">
        <f>'T_TTAFStock'!G37</f>
        <v/>
      </c>
      <c r="J569">
        <f>'T_TTAFStock'!H37</f>
        <v/>
      </c>
      <c r="K569">
        <f>'T_TTAFStock'!I37</f>
        <v/>
      </c>
      <c r="L569">
        <f>'T_TTAFStock'!J37</f>
        <v/>
      </c>
      <c r="M569">
        <f>'T_TTAFStock'!K37</f>
        <v/>
      </c>
      <c r="N569">
        <f>'T_TTAFStock'!L37</f>
        <v/>
      </c>
      <c r="O569">
        <f>'T_TTAFStock'!M37</f>
        <v/>
      </c>
      <c r="P569">
        <f>'T_TTAFStock'!N37</f>
        <v/>
      </c>
      <c r="Q569">
        <f>'T_TTAFStock'!O37</f>
        <v/>
      </c>
      <c r="R569">
        <f>'T_TTAFStock'!P37</f>
        <v/>
      </c>
      <c r="S569">
        <f>'T_TTAFStock'!Q37</f>
        <v/>
      </c>
      <c r="T569">
        <f>'T_TTAFStock'!R37</f>
        <v/>
      </c>
      <c r="U569">
        <f>'T_TTAFStock'!S37</f>
        <v/>
      </c>
      <c r="V569">
        <f>'T_TTAFStock'!T37</f>
        <v/>
      </c>
      <c r="W569">
        <f>'T_TTAFStock'!U37</f>
        <v/>
      </c>
      <c r="X569">
        <f>'T_TTAFStock'!V37</f>
        <v/>
      </c>
      <c r="Y569">
        <f>'T_TTAFStock'!W37</f>
        <v/>
      </c>
      <c r="Z569">
        <f>'T_TTAFStock'!X37</f>
        <v/>
      </c>
      <c r="AA569">
        <f>'T_TTAFStock'!Y37</f>
        <v/>
      </c>
      <c r="AB569">
        <f>'T_TTAFStock'!Z37</f>
        <v/>
      </c>
      <c r="AC569">
        <f>'T_TTAFStock'!AA37</f>
        <v/>
      </c>
      <c r="AD569">
        <f>'T_TTAFStock'!AB37</f>
        <v/>
      </c>
      <c r="AE569">
        <f>'T_TTAFStock'!AC37</f>
        <v/>
      </c>
      <c r="AF569">
        <f>'T_TTAFStock'!AD37</f>
        <v/>
      </c>
      <c r="AG569">
        <f>'T_TTAFStock'!AE37</f>
        <v/>
      </c>
      <c r="AH569">
        <f>'T_TTAFStock'!AF37</f>
        <v/>
      </c>
      <c r="AI569">
        <f>'T_TTAFStock'!AG37</f>
        <v/>
      </c>
      <c r="AJ569">
        <f>'T_TTAFStock'!AH37</f>
        <v/>
      </c>
      <c r="AK569">
        <f>'T_TTAFStock'!AI37</f>
        <v/>
      </c>
      <c r="AL569">
        <f>'T_TTAFStock'!AJ37</f>
        <v/>
      </c>
      <c r="AM569">
        <f>'T_TTAFStock'!AK37</f>
        <v/>
      </c>
      <c r="AN569">
        <f>'T_TTAFStock'!AL37</f>
        <v/>
      </c>
      <c r="AO569">
        <f>'T_TTAFStock'!AM37</f>
        <v/>
      </c>
      <c r="AP569">
        <f>'T_TTAFStock'!AN37</f>
        <v/>
      </c>
      <c r="AQ569">
        <f>'T_TTAFStock'!AO37</f>
        <v/>
      </c>
      <c r="AR569">
        <f>'T_TTAFStock'!AP37</f>
        <v/>
      </c>
      <c r="AS569">
        <f>'T_TTAFStock'!AQ37</f>
        <v/>
      </c>
      <c r="AT569">
        <f>'T_TTAFStock'!AR37</f>
        <v/>
      </c>
      <c r="AU569">
        <f>'T_TTAFStock'!AS37</f>
        <v/>
      </c>
      <c r="AV569">
        <f>'T_TTAFStock'!AT37</f>
        <v/>
      </c>
      <c r="AW569">
        <f>'T_TTAFStock'!AU37</f>
        <v/>
      </c>
      <c r="AX569">
        <f>'T_TTAFStock'!AV37</f>
        <v/>
      </c>
      <c r="AY569">
        <f>'T_TTAFStock'!AW37</f>
        <v/>
      </c>
      <c r="AZ569">
        <f>'T_TTAFStock'!AX37</f>
        <v/>
      </c>
      <c r="BA569">
        <f>'T_TTAFStock'!AY37</f>
        <v/>
      </c>
      <c r="BB569">
        <f>'T_TTAFStock'!AZ37</f>
        <v/>
      </c>
      <c r="BC569">
        <f>'T_TTAFStock'!BA37</f>
        <v/>
      </c>
      <c r="BD569">
        <f>'T_TTAFStock'!BB37</f>
        <v/>
      </c>
      <c r="BE569">
        <f>'T_TTAFStock'!BC37</f>
        <v/>
      </c>
      <c r="BF569">
        <f>'T_TTAFStock'!BD37</f>
        <v/>
      </c>
      <c r="BG569">
        <f>'T_TTAFStock'!BE37</f>
        <v/>
      </c>
      <c r="BH569">
        <f>'T_TTAFStock'!BF37</f>
        <v/>
      </c>
      <c r="BI569">
        <f>'T_TTAFStock'!BG37</f>
        <v/>
      </c>
      <c r="BJ569">
        <f>'T_TTAFStock'!BH37</f>
        <v/>
      </c>
      <c r="BK569">
        <f>'T_TTAFStock'!BI37</f>
        <v/>
      </c>
      <c r="BL569">
        <f>'T_TTAFStock'!BJ37</f>
        <v/>
      </c>
      <c r="BM569">
        <f>'T_TTAFStock'!BK37</f>
        <v/>
      </c>
      <c r="BN569">
        <f>'T_TTAFStock'!BL37</f>
        <v/>
      </c>
      <c r="BO569">
        <f>'T_TTAFStock'!BM37</f>
        <v/>
      </c>
      <c r="BP569">
        <f>'T_TTAFStock'!BN37</f>
        <v/>
      </c>
      <c r="BQ569">
        <f>'T_TTAFStock'!BO37</f>
        <v/>
      </c>
      <c r="BR569">
        <f>'T_TTAFStock'!BP37</f>
        <v/>
      </c>
      <c r="BS569">
        <f>'T_TTAFStock'!BQ37</f>
        <v/>
      </c>
      <c r="BT569">
        <f>'T_TTAFStock'!BR37</f>
        <v/>
      </c>
      <c r="BU569">
        <f>'T_TTAFStock'!BS37</f>
        <v/>
      </c>
      <c r="BV569">
        <f>'T_TTAFStock'!BT37</f>
        <v/>
      </c>
      <c r="BW569">
        <f>'T_TTAFStock'!BU37</f>
        <v/>
      </c>
      <c r="BX569">
        <f>'T_TTAFStock'!BV37</f>
        <v/>
      </c>
      <c r="BY569">
        <f>'T_TTAFStock'!BW37</f>
        <v/>
      </c>
      <c r="BZ569">
        <f>'T_TTAFStock'!BX37</f>
        <v/>
      </c>
      <c r="CA569">
        <f>'T_TTAFStock'!BY37</f>
        <v/>
      </c>
      <c r="CB569">
        <f>'T_TTAFStock'!BZ37</f>
        <v/>
      </c>
      <c r="CC569">
        <f>'T_TTAFStock'!CA37</f>
        <v/>
      </c>
      <c r="CD569">
        <f>'T_TTAFStock'!CB37</f>
        <v/>
      </c>
      <c r="CE569">
        <f>'T_TTAFStock'!CC37</f>
        <v/>
      </c>
      <c r="CF569">
        <f>'T_TTAFStock'!CD37</f>
        <v/>
      </c>
      <c r="CG569">
        <f>'T_TTAFStock'!CE37</f>
        <v/>
      </c>
      <c r="CH569">
        <f>'T_TTAFStock'!CF37</f>
        <v/>
      </c>
      <c r="CI569">
        <f>'T_TTAFStock'!CG37</f>
        <v/>
      </c>
      <c r="CJ569">
        <f>'T_TTAFStock'!CH37</f>
        <v/>
      </c>
      <c r="CK569">
        <f>'T_TTAFStock'!CI37</f>
        <v/>
      </c>
      <c r="CL569">
        <f>'T_TTAFStock'!CJ37</f>
        <v/>
      </c>
      <c r="CM569">
        <f>'T_TTAFStock'!CK37</f>
        <v/>
      </c>
      <c r="CN569">
        <f>'T_TTAFStock'!CL37</f>
        <v/>
      </c>
      <c r="CO569">
        <f>'T_TTAFStock'!CM37</f>
        <v/>
      </c>
      <c r="CP569">
        <f>'T_TTAFStock'!CN37</f>
        <v/>
      </c>
      <c r="CQ569">
        <f>'T_TTAFStock'!CO37</f>
        <v/>
      </c>
      <c r="CR569">
        <f>'T_TTAFStock'!CP37</f>
        <v/>
      </c>
      <c r="CS569">
        <f>'T_TTAFStock'!CQ37</f>
        <v/>
      </c>
      <c r="CT569">
        <f>'T_TTAFStock'!CR37</f>
        <v/>
      </c>
      <c r="CU569">
        <f>'T_TTAFStock'!CS37</f>
        <v/>
      </c>
      <c r="CV569">
        <f>'T_TTAFStock'!CT37</f>
        <v/>
      </c>
      <c r="CW569">
        <f>'T_TTAFStock'!CU37</f>
        <v/>
      </c>
      <c r="CX569">
        <f>'T_TTAFStock'!CV37</f>
        <v/>
      </c>
      <c r="CY569">
        <f>'T_TTAFStock'!CW37</f>
        <v/>
      </c>
      <c r="CZ569">
        <f>'T_TTAFStock'!CX37</f>
        <v/>
      </c>
      <c r="DA569">
        <f>'T_TTAFStock'!CY37</f>
        <v/>
      </c>
      <c r="DB569">
        <f>'T_TTAFStock'!CZ37</f>
        <v/>
      </c>
      <c r="DC569">
        <f>'T_TTAFStock'!DA37</f>
        <v/>
      </c>
    </row>
    <row r="570">
      <c r="B570" t="inlineStr">
        <is>
          <t>自社在庫(実績,kg)</t>
        </is>
      </c>
      <c r="D570">
        <f>'T_SelfStock'!B37</f>
        <v/>
      </c>
      <c r="E570">
        <f>'T_SelfStock'!C37</f>
        <v/>
      </c>
      <c r="F570">
        <f>'T_SelfStock'!D37</f>
        <v/>
      </c>
      <c r="G570">
        <f>'T_SelfStock'!E37</f>
        <v/>
      </c>
      <c r="H570">
        <f>'T_SelfStock'!F37</f>
        <v/>
      </c>
      <c r="I570">
        <f>'T_SelfStock'!G37</f>
        <v/>
      </c>
      <c r="J570">
        <f>'T_SelfStock'!H37</f>
        <v/>
      </c>
      <c r="K570">
        <f>'T_SelfStock'!I37</f>
        <v/>
      </c>
      <c r="L570">
        <f>'T_SelfStock'!J37</f>
        <v/>
      </c>
      <c r="M570">
        <f>'T_SelfStock'!K37</f>
        <v/>
      </c>
      <c r="N570">
        <f>'T_SelfStock'!L37</f>
        <v/>
      </c>
      <c r="O570">
        <f>'T_SelfStock'!M37</f>
        <v/>
      </c>
      <c r="P570">
        <f>'T_SelfStock'!N37</f>
        <v/>
      </c>
      <c r="Q570">
        <f>'T_SelfStock'!O37</f>
        <v/>
      </c>
      <c r="R570">
        <f>'T_SelfStock'!P37</f>
        <v/>
      </c>
      <c r="S570">
        <f>'T_SelfStock'!Q37</f>
        <v/>
      </c>
      <c r="T570">
        <f>'T_SelfStock'!R37</f>
        <v/>
      </c>
      <c r="U570">
        <f>'T_SelfStock'!S37</f>
        <v/>
      </c>
      <c r="V570">
        <f>'T_SelfStock'!T37</f>
        <v/>
      </c>
      <c r="W570">
        <f>'T_SelfStock'!U37</f>
        <v/>
      </c>
      <c r="X570">
        <f>'T_SelfStock'!V37</f>
        <v/>
      </c>
      <c r="Y570">
        <f>'T_SelfStock'!W37</f>
        <v/>
      </c>
      <c r="Z570">
        <f>'T_SelfStock'!X37</f>
        <v/>
      </c>
      <c r="AA570">
        <f>'T_SelfStock'!Y37</f>
        <v/>
      </c>
      <c r="AB570">
        <f>'T_SelfStock'!Z37</f>
        <v/>
      </c>
      <c r="AC570">
        <f>'T_SelfStock'!AA37</f>
        <v/>
      </c>
      <c r="AD570">
        <f>'T_SelfStock'!AB37</f>
        <v/>
      </c>
      <c r="AE570">
        <f>'T_SelfStock'!AC37</f>
        <v/>
      </c>
      <c r="AF570">
        <f>'T_SelfStock'!AD37</f>
        <v/>
      </c>
      <c r="AG570">
        <f>'T_SelfStock'!AE37</f>
        <v/>
      </c>
      <c r="AH570">
        <f>'T_SelfStock'!AF37</f>
        <v/>
      </c>
      <c r="AI570">
        <f>'T_SelfStock'!AG37</f>
        <v/>
      </c>
      <c r="AJ570">
        <f>'T_SelfStock'!AH37</f>
        <v/>
      </c>
      <c r="AK570">
        <f>'T_SelfStock'!AI37</f>
        <v/>
      </c>
      <c r="AL570">
        <f>'T_SelfStock'!AJ37</f>
        <v/>
      </c>
      <c r="AM570">
        <f>'T_SelfStock'!AK37</f>
        <v/>
      </c>
      <c r="AN570">
        <f>'T_SelfStock'!AL37</f>
        <v/>
      </c>
      <c r="AO570">
        <f>'T_SelfStock'!AM37</f>
        <v/>
      </c>
      <c r="AP570">
        <f>'T_SelfStock'!AN37</f>
        <v/>
      </c>
      <c r="AQ570">
        <f>'T_SelfStock'!AO37</f>
        <v/>
      </c>
      <c r="AR570">
        <f>'T_SelfStock'!AP37</f>
        <v/>
      </c>
      <c r="AS570">
        <f>'T_SelfStock'!AQ37</f>
        <v/>
      </c>
      <c r="AT570">
        <f>'T_SelfStock'!AR37</f>
        <v/>
      </c>
      <c r="AU570">
        <f>'T_SelfStock'!AS37</f>
        <v/>
      </c>
      <c r="AV570">
        <f>'T_SelfStock'!AT37</f>
        <v/>
      </c>
      <c r="AW570">
        <f>'T_SelfStock'!AU37</f>
        <v/>
      </c>
      <c r="AX570">
        <f>'T_SelfStock'!AV37</f>
        <v/>
      </c>
      <c r="AY570">
        <f>'T_SelfStock'!AW37</f>
        <v/>
      </c>
      <c r="AZ570">
        <f>'T_SelfStock'!AX37</f>
        <v/>
      </c>
      <c r="BA570">
        <f>'T_SelfStock'!AY37</f>
        <v/>
      </c>
      <c r="BB570">
        <f>'T_SelfStock'!AZ37</f>
        <v/>
      </c>
      <c r="BC570">
        <f>'T_SelfStock'!BA37</f>
        <v/>
      </c>
      <c r="BD570">
        <f>'T_SelfStock'!BB37</f>
        <v/>
      </c>
      <c r="BE570">
        <f>'T_SelfStock'!BC37</f>
        <v/>
      </c>
      <c r="BF570">
        <f>'T_SelfStock'!BD37</f>
        <v/>
      </c>
      <c r="BG570">
        <f>'T_SelfStock'!BE37</f>
        <v/>
      </c>
      <c r="BH570">
        <f>'T_SelfStock'!BF37</f>
        <v/>
      </c>
      <c r="BI570">
        <f>'T_SelfStock'!BG37</f>
        <v/>
      </c>
      <c r="BJ570">
        <f>'T_SelfStock'!BH37</f>
        <v/>
      </c>
      <c r="BK570">
        <f>'T_SelfStock'!BI37</f>
        <v/>
      </c>
      <c r="BL570">
        <f>'T_SelfStock'!BJ37</f>
        <v/>
      </c>
      <c r="BM570">
        <f>'T_SelfStock'!BK37</f>
        <v/>
      </c>
      <c r="BN570">
        <f>'T_SelfStock'!BL37</f>
        <v/>
      </c>
      <c r="BO570">
        <f>'T_SelfStock'!BM37</f>
        <v/>
      </c>
      <c r="BP570">
        <f>'T_SelfStock'!BN37</f>
        <v/>
      </c>
      <c r="BQ570">
        <f>'T_SelfStock'!BO37</f>
        <v/>
      </c>
      <c r="BR570">
        <f>'T_SelfStock'!BP37</f>
        <v/>
      </c>
      <c r="BS570">
        <f>'T_SelfStock'!BQ37</f>
        <v/>
      </c>
      <c r="BT570">
        <f>'T_SelfStock'!BR37</f>
        <v/>
      </c>
      <c r="BU570">
        <f>'T_SelfStock'!BS37</f>
        <v/>
      </c>
      <c r="BV570">
        <f>'T_SelfStock'!BT37</f>
        <v/>
      </c>
      <c r="BW570">
        <f>'T_SelfStock'!BU37</f>
        <v/>
      </c>
      <c r="BX570">
        <f>'T_SelfStock'!BV37</f>
        <v/>
      </c>
      <c r="BY570">
        <f>'T_SelfStock'!BW37</f>
        <v/>
      </c>
      <c r="BZ570">
        <f>'T_SelfStock'!BX37</f>
        <v/>
      </c>
      <c r="CA570">
        <f>'T_SelfStock'!BY37</f>
        <v/>
      </c>
      <c r="CB570">
        <f>'T_SelfStock'!BZ37</f>
        <v/>
      </c>
      <c r="CC570">
        <f>'T_SelfStock'!CA37</f>
        <v/>
      </c>
      <c r="CD570">
        <f>'T_SelfStock'!CB37</f>
        <v/>
      </c>
      <c r="CE570">
        <f>'T_SelfStock'!CC37</f>
        <v/>
      </c>
      <c r="CF570">
        <f>'T_SelfStock'!CD37</f>
        <v/>
      </c>
      <c r="CG570">
        <f>'T_SelfStock'!CE37</f>
        <v/>
      </c>
      <c r="CH570">
        <f>'T_SelfStock'!CF37</f>
        <v/>
      </c>
      <c r="CI570">
        <f>'T_SelfStock'!CG37</f>
        <v/>
      </c>
      <c r="CJ570">
        <f>'T_SelfStock'!CH37</f>
        <v/>
      </c>
      <c r="CK570">
        <f>'T_SelfStock'!CI37</f>
        <v/>
      </c>
      <c r="CL570">
        <f>'T_SelfStock'!CJ37</f>
        <v/>
      </c>
      <c r="CM570">
        <f>'T_SelfStock'!CK37</f>
        <v/>
      </c>
      <c r="CN570">
        <f>'T_SelfStock'!CL37</f>
        <v/>
      </c>
      <c r="CO570">
        <f>'T_SelfStock'!CM37</f>
        <v/>
      </c>
      <c r="CP570">
        <f>'T_SelfStock'!CN37</f>
        <v/>
      </c>
      <c r="CQ570">
        <f>'T_SelfStock'!CO37</f>
        <v/>
      </c>
      <c r="CR570">
        <f>'T_SelfStock'!CP37</f>
        <v/>
      </c>
      <c r="CS570">
        <f>'T_SelfStock'!CQ37</f>
        <v/>
      </c>
      <c r="CT570">
        <f>'T_SelfStock'!CR37</f>
        <v/>
      </c>
      <c r="CU570">
        <f>'T_SelfStock'!CS37</f>
        <v/>
      </c>
      <c r="CV570">
        <f>'T_SelfStock'!CT37</f>
        <v/>
      </c>
      <c r="CW570">
        <f>'T_SelfStock'!CU37</f>
        <v/>
      </c>
      <c r="CX570">
        <f>'T_SelfStock'!CV37</f>
        <v/>
      </c>
      <c r="CY570">
        <f>'T_SelfStock'!CW37</f>
        <v/>
      </c>
      <c r="CZ570">
        <f>'T_SelfStock'!CX37</f>
        <v/>
      </c>
      <c r="DA570">
        <f>'T_SelfStock'!CY37</f>
        <v/>
      </c>
      <c r="DB570">
        <f>'T_SelfStock'!CZ37</f>
        <v/>
      </c>
      <c r="DC570">
        <f>'T_SelfStock'!DA37</f>
        <v/>
      </c>
    </row>
    <row r="571">
      <c r="B571" t="inlineStr">
        <is>
          <t>Order(発注予定,kg)</t>
        </is>
      </c>
      <c r="D571">
        <f>IF(SUMIFS(T_PlannedOrders[EffectiveQty],T_PlannedOrders[Part Name],$A493,T_PlannedOrders[WeekIndex],1)=0,"",SUMIFS(T_PlannedOrders[EffectiveQty],T_PlannedOrders[Part Name],$A493,T_PlannedOrders[WeekIndex],1)&amp;" ("&amp;TEXT(SUMPRODUCT(MAX((T_PlannedOrders[Part Name]=$A493)*(T_PlannedOrders[WeekIndex]=1)*(T_PlannedOrders[EffectiveQty]&gt;0)*T_PlannedOrders[Order_Month])),"m月")&amp;"発注)")</f>
        <v/>
      </c>
      <c r="E571">
        <f>IF(SUMIFS(T_PlannedOrders[EffectiveQty],T_PlannedOrders[Part Name],$A493,T_PlannedOrders[WeekIndex],2)=0,"",SUMIFS(T_PlannedOrders[EffectiveQty],T_PlannedOrders[Part Name],$A493,T_PlannedOrders[WeekIndex],2)&amp;" ("&amp;TEXT(SUMPRODUCT(MAX((T_PlannedOrders[Part Name]=$A493)*(T_PlannedOrders[WeekIndex]=2)*(T_PlannedOrders[EffectiveQty]&gt;0)*T_PlannedOrders[Order_Month])),"m月")&amp;"発注)")</f>
        <v/>
      </c>
      <c r="F571">
        <f>IF(SUMIFS(T_PlannedOrders[EffectiveQty],T_PlannedOrders[Part Name],$A493,T_PlannedOrders[WeekIndex],3)=0,"",SUMIFS(T_PlannedOrders[EffectiveQty],T_PlannedOrders[Part Name],$A493,T_PlannedOrders[WeekIndex],3)&amp;" ("&amp;TEXT(SUMPRODUCT(MAX((T_PlannedOrders[Part Name]=$A493)*(T_PlannedOrders[WeekIndex]=3)*(T_PlannedOrders[EffectiveQty]&gt;0)*T_PlannedOrders[Order_Month])),"m月")&amp;"発注)")</f>
        <v/>
      </c>
      <c r="G571">
        <f>IF(SUMIFS(T_PlannedOrders[EffectiveQty],T_PlannedOrders[Part Name],$A493,T_PlannedOrders[WeekIndex],4)=0,"",SUMIFS(T_PlannedOrders[EffectiveQty],T_PlannedOrders[Part Name],$A493,T_PlannedOrders[WeekIndex],4)&amp;" ("&amp;TEXT(SUMPRODUCT(MAX((T_PlannedOrders[Part Name]=$A493)*(T_PlannedOrders[WeekIndex]=4)*(T_PlannedOrders[EffectiveQty]&gt;0)*T_PlannedOrders[Order_Month])),"m月")&amp;"発注)")</f>
        <v/>
      </c>
      <c r="H571">
        <f>IF(SUMIFS(T_PlannedOrders[EffectiveQty],T_PlannedOrders[Part Name],$A493,T_PlannedOrders[WeekIndex],5)=0,"",SUMIFS(T_PlannedOrders[EffectiveQty],T_PlannedOrders[Part Name],$A493,T_PlannedOrders[WeekIndex],5)&amp;" ("&amp;TEXT(SUMPRODUCT(MAX((T_PlannedOrders[Part Name]=$A493)*(T_PlannedOrders[WeekIndex]=5)*(T_PlannedOrders[EffectiveQty]&gt;0)*T_PlannedOrders[Order_Month])),"m月")&amp;"発注)")</f>
        <v/>
      </c>
      <c r="I571">
        <f>IF(SUMIFS(T_PlannedOrders[EffectiveQty],T_PlannedOrders[Part Name],$A493,T_PlannedOrders[WeekIndex],6)=0,"",SUMIFS(T_PlannedOrders[EffectiveQty],T_PlannedOrders[Part Name],$A493,T_PlannedOrders[WeekIndex],6)&amp;" ("&amp;TEXT(SUMPRODUCT(MAX((T_PlannedOrders[Part Name]=$A493)*(T_PlannedOrders[WeekIndex]=6)*(T_PlannedOrders[EffectiveQty]&gt;0)*T_PlannedOrders[Order_Month])),"m月")&amp;"発注)")</f>
        <v/>
      </c>
      <c r="J571">
        <f>IF(SUMIFS(T_PlannedOrders[EffectiveQty],T_PlannedOrders[Part Name],$A493,T_PlannedOrders[WeekIndex],7)=0,"",SUMIFS(T_PlannedOrders[EffectiveQty],T_PlannedOrders[Part Name],$A493,T_PlannedOrders[WeekIndex],7)&amp;" ("&amp;TEXT(SUMPRODUCT(MAX((T_PlannedOrders[Part Name]=$A493)*(T_PlannedOrders[WeekIndex]=7)*(T_PlannedOrders[EffectiveQty]&gt;0)*T_PlannedOrders[Order_Month])),"m月")&amp;"発注)")</f>
        <v/>
      </c>
      <c r="K571">
        <f>IF(SUMIFS(T_PlannedOrders[EffectiveQty],T_PlannedOrders[Part Name],$A493,T_PlannedOrders[WeekIndex],8)=0,"",SUMIFS(T_PlannedOrders[EffectiveQty],T_PlannedOrders[Part Name],$A493,T_PlannedOrders[WeekIndex],8)&amp;" ("&amp;TEXT(SUMPRODUCT(MAX((T_PlannedOrders[Part Name]=$A493)*(T_PlannedOrders[WeekIndex]=8)*(T_PlannedOrders[EffectiveQty]&gt;0)*T_PlannedOrders[Order_Month])),"m月")&amp;"発注)")</f>
        <v/>
      </c>
      <c r="L571">
        <f>IF(SUMIFS(T_PlannedOrders[EffectiveQty],T_PlannedOrders[Part Name],$A493,T_PlannedOrders[WeekIndex],9)=0,"",SUMIFS(T_PlannedOrders[EffectiveQty],T_PlannedOrders[Part Name],$A493,T_PlannedOrders[WeekIndex],9)&amp;" ("&amp;TEXT(SUMPRODUCT(MAX((T_PlannedOrders[Part Name]=$A493)*(T_PlannedOrders[WeekIndex]=9)*(T_PlannedOrders[EffectiveQty]&gt;0)*T_PlannedOrders[Order_Month])),"m月")&amp;"発注)")</f>
        <v/>
      </c>
      <c r="M571">
        <f>IF(SUMIFS(T_PlannedOrders[EffectiveQty],T_PlannedOrders[Part Name],$A493,T_PlannedOrders[WeekIndex],10)=0,"",SUMIFS(T_PlannedOrders[EffectiveQty],T_PlannedOrders[Part Name],$A493,T_PlannedOrders[WeekIndex],10)&amp;" ("&amp;TEXT(SUMPRODUCT(MAX((T_PlannedOrders[Part Name]=$A493)*(T_PlannedOrders[WeekIndex]=10)*(T_PlannedOrders[EffectiveQty]&gt;0)*T_PlannedOrders[Order_Month])),"m月")&amp;"発注)")</f>
        <v/>
      </c>
      <c r="N571">
        <f>IF(SUMIFS(T_PlannedOrders[EffectiveQty],T_PlannedOrders[Part Name],$A493,T_PlannedOrders[WeekIndex],11)=0,"",SUMIFS(T_PlannedOrders[EffectiveQty],T_PlannedOrders[Part Name],$A493,T_PlannedOrders[WeekIndex],11)&amp;" ("&amp;TEXT(SUMPRODUCT(MAX((T_PlannedOrders[Part Name]=$A493)*(T_PlannedOrders[WeekIndex]=11)*(T_PlannedOrders[EffectiveQty]&gt;0)*T_PlannedOrders[Order_Month])),"m月")&amp;"発注)")</f>
        <v/>
      </c>
      <c r="O571">
        <f>IF(SUMIFS(T_PlannedOrders[EffectiveQty],T_PlannedOrders[Part Name],$A493,T_PlannedOrders[WeekIndex],12)=0,"",SUMIFS(T_PlannedOrders[EffectiveQty],T_PlannedOrders[Part Name],$A493,T_PlannedOrders[WeekIndex],12)&amp;" ("&amp;TEXT(SUMPRODUCT(MAX((T_PlannedOrders[Part Name]=$A493)*(T_PlannedOrders[WeekIndex]=12)*(T_PlannedOrders[EffectiveQty]&gt;0)*T_PlannedOrders[Order_Month])),"m月")&amp;"発注)")</f>
        <v/>
      </c>
      <c r="P571">
        <f>IF(SUMIFS(T_PlannedOrders[EffectiveQty],T_PlannedOrders[Part Name],$A493,T_PlannedOrders[WeekIndex],13)=0,"",SUMIFS(T_PlannedOrders[EffectiveQty],T_PlannedOrders[Part Name],$A493,T_PlannedOrders[WeekIndex],13)&amp;" ("&amp;TEXT(SUMPRODUCT(MAX((T_PlannedOrders[Part Name]=$A493)*(T_PlannedOrders[WeekIndex]=13)*(T_PlannedOrders[EffectiveQty]&gt;0)*T_PlannedOrders[Order_Month])),"m月")&amp;"発注)")</f>
        <v/>
      </c>
      <c r="Q571">
        <f>IF(SUMIFS(T_PlannedOrders[EffectiveQty],T_PlannedOrders[Part Name],$A493,T_PlannedOrders[WeekIndex],14)=0,"",SUMIFS(T_PlannedOrders[EffectiveQty],T_PlannedOrders[Part Name],$A493,T_PlannedOrders[WeekIndex],14)&amp;" ("&amp;TEXT(SUMPRODUCT(MAX((T_PlannedOrders[Part Name]=$A493)*(T_PlannedOrders[WeekIndex]=14)*(T_PlannedOrders[EffectiveQty]&gt;0)*T_PlannedOrders[Order_Month])),"m月")&amp;"発注)")</f>
        <v/>
      </c>
      <c r="R571">
        <f>IF(SUMIFS(T_PlannedOrders[EffectiveQty],T_PlannedOrders[Part Name],$A493,T_PlannedOrders[WeekIndex],15)=0,"",SUMIFS(T_PlannedOrders[EffectiveQty],T_PlannedOrders[Part Name],$A493,T_PlannedOrders[WeekIndex],15)&amp;" ("&amp;TEXT(SUMPRODUCT(MAX((T_PlannedOrders[Part Name]=$A493)*(T_PlannedOrders[WeekIndex]=15)*(T_PlannedOrders[EffectiveQty]&gt;0)*T_PlannedOrders[Order_Month])),"m月")&amp;"発注)")</f>
        <v/>
      </c>
      <c r="S571">
        <f>IF(SUMIFS(T_PlannedOrders[EffectiveQty],T_PlannedOrders[Part Name],$A493,T_PlannedOrders[WeekIndex],16)=0,"",SUMIFS(T_PlannedOrders[EffectiveQty],T_PlannedOrders[Part Name],$A493,T_PlannedOrders[WeekIndex],16)&amp;" ("&amp;TEXT(SUMPRODUCT(MAX((T_PlannedOrders[Part Name]=$A493)*(T_PlannedOrders[WeekIndex]=16)*(T_PlannedOrders[EffectiveQty]&gt;0)*T_PlannedOrders[Order_Month])),"m月")&amp;"発注)")</f>
        <v/>
      </c>
      <c r="T571">
        <f>IF(SUMIFS(T_PlannedOrders[EffectiveQty],T_PlannedOrders[Part Name],$A493,T_PlannedOrders[WeekIndex],17)=0,"",SUMIFS(T_PlannedOrders[EffectiveQty],T_PlannedOrders[Part Name],$A493,T_PlannedOrders[WeekIndex],17)&amp;" ("&amp;TEXT(SUMPRODUCT(MAX((T_PlannedOrders[Part Name]=$A493)*(T_PlannedOrders[WeekIndex]=17)*(T_PlannedOrders[EffectiveQty]&gt;0)*T_PlannedOrders[Order_Month])),"m月")&amp;"発注)")</f>
        <v/>
      </c>
      <c r="U571">
        <f>IF(SUMIFS(T_PlannedOrders[EffectiveQty],T_PlannedOrders[Part Name],$A493,T_PlannedOrders[WeekIndex],18)=0,"",SUMIFS(T_PlannedOrders[EffectiveQty],T_PlannedOrders[Part Name],$A493,T_PlannedOrders[WeekIndex],18)&amp;" ("&amp;TEXT(SUMPRODUCT(MAX((T_PlannedOrders[Part Name]=$A493)*(T_PlannedOrders[WeekIndex]=18)*(T_PlannedOrders[EffectiveQty]&gt;0)*T_PlannedOrders[Order_Month])),"m月")&amp;"発注)")</f>
        <v/>
      </c>
      <c r="V571">
        <f>IF(SUMIFS(T_PlannedOrders[EffectiveQty],T_PlannedOrders[Part Name],$A493,T_PlannedOrders[WeekIndex],19)=0,"",SUMIFS(T_PlannedOrders[EffectiveQty],T_PlannedOrders[Part Name],$A493,T_PlannedOrders[WeekIndex],19)&amp;" ("&amp;TEXT(SUMPRODUCT(MAX((T_PlannedOrders[Part Name]=$A493)*(T_PlannedOrders[WeekIndex]=19)*(T_PlannedOrders[EffectiveQty]&gt;0)*T_PlannedOrders[Order_Month])),"m月")&amp;"発注)")</f>
        <v/>
      </c>
      <c r="W571">
        <f>IF(SUMIFS(T_PlannedOrders[EffectiveQty],T_PlannedOrders[Part Name],$A493,T_PlannedOrders[WeekIndex],20)=0,"",SUMIFS(T_PlannedOrders[EffectiveQty],T_PlannedOrders[Part Name],$A493,T_PlannedOrders[WeekIndex],20)&amp;" ("&amp;TEXT(SUMPRODUCT(MAX((T_PlannedOrders[Part Name]=$A493)*(T_PlannedOrders[WeekIndex]=20)*(T_PlannedOrders[EffectiveQty]&gt;0)*T_PlannedOrders[Order_Month])),"m月")&amp;"発注)")</f>
        <v/>
      </c>
      <c r="X571">
        <f>IF(SUMIFS(T_PlannedOrders[EffectiveQty],T_PlannedOrders[Part Name],$A493,T_PlannedOrders[WeekIndex],21)=0,"",SUMIFS(T_PlannedOrders[EffectiveQty],T_PlannedOrders[Part Name],$A493,T_PlannedOrders[WeekIndex],21)&amp;" ("&amp;TEXT(SUMPRODUCT(MAX((T_PlannedOrders[Part Name]=$A493)*(T_PlannedOrders[WeekIndex]=21)*(T_PlannedOrders[EffectiveQty]&gt;0)*T_PlannedOrders[Order_Month])),"m月")&amp;"発注)")</f>
        <v/>
      </c>
      <c r="Y571">
        <f>IF(SUMIFS(T_PlannedOrders[EffectiveQty],T_PlannedOrders[Part Name],$A493,T_PlannedOrders[WeekIndex],22)=0,"",SUMIFS(T_PlannedOrders[EffectiveQty],T_PlannedOrders[Part Name],$A493,T_PlannedOrders[WeekIndex],22)&amp;" ("&amp;TEXT(SUMPRODUCT(MAX((T_PlannedOrders[Part Name]=$A493)*(T_PlannedOrders[WeekIndex]=22)*(T_PlannedOrders[EffectiveQty]&gt;0)*T_PlannedOrders[Order_Month])),"m月")&amp;"発注)")</f>
        <v/>
      </c>
      <c r="Z571">
        <f>IF(SUMIFS(T_PlannedOrders[EffectiveQty],T_PlannedOrders[Part Name],$A493,T_PlannedOrders[WeekIndex],23)=0,"",SUMIFS(T_PlannedOrders[EffectiveQty],T_PlannedOrders[Part Name],$A493,T_PlannedOrders[WeekIndex],23)&amp;" ("&amp;TEXT(SUMPRODUCT(MAX((T_PlannedOrders[Part Name]=$A493)*(T_PlannedOrders[WeekIndex]=23)*(T_PlannedOrders[EffectiveQty]&gt;0)*T_PlannedOrders[Order_Month])),"m月")&amp;"発注)")</f>
        <v/>
      </c>
      <c r="AA571">
        <f>IF(SUMIFS(T_PlannedOrders[EffectiveQty],T_PlannedOrders[Part Name],$A493,T_PlannedOrders[WeekIndex],24)=0,"",SUMIFS(T_PlannedOrders[EffectiveQty],T_PlannedOrders[Part Name],$A493,T_PlannedOrders[WeekIndex],24)&amp;" ("&amp;TEXT(SUMPRODUCT(MAX((T_PlannedOrders[Part Name]=$A493)*(T_PlannedOrders[WeekIndex]=24)*(T_PlannedOrders[EffectiveQty]&gt;0)*T_PlannedOrders[Order_Month])),"m月")&amp;"発注)")</f>
        <v/>
      </c>
      <c r="AB571">
        <f>IF(SUMIFS(T_PlannedOrders[EffectiveQty],T_PlannedOrders[Part Name],$A493,T_PlannedOrders[WeekIndex],25)=0,"",SUMIFS(T_PlannedOrders[EffectiveQty],T_PlannedOrders[Part Name],$A493,T_PlannedOrders[WeekIndex],25)&amp;" ("&amp;TEXT(SUMPRODUCT(MAX((T_PlannedOrders[Part Name]=$A493)*(T_PlannedOrders[WeekIndex]=25)*(T_PlannedOrders[EffectiveQty]&gt;0)*T_PlannedOrders[Order_Month])),"m月")&amp;"発注)")</f>
        <v/>
      </c>
      <c r="AC571">
        <f>IF(SUMIFS(T_PlannedOrders[EffectiveQty],T_PlannedOrders[Part Name],$A493,T_PlannedOrders[WeekIndex],26)=0,"",SUMIFS(T_PlannedOrders[EffectiveQty],T_PlannedOrders[Part Name],$A493,T_PlannedOrders[WeekIndex],26)&amp;" ("&amp;TEXT(SUMPRODUCT(MAX((T_PlannedOrders[Part Name]=$A493)*(T_PlannedOrders[WeekIndex]=26)*(T_PlannedOrders[EffectiveQty]&gt;0)*T_PlannedOrders[Order_Month])),"m月")&amp;"発注)")</f>
        <v/>
      </c>
      <c r="AD571">
        <f>IF(SUMIFS(T_PlannedOrders[EffectiveQty],T_PlannedOrders[Part Name],$A493,T_PlannedOrders[WeekIndex],27)=0,"",SUMIFS(T_PlannedOrders[EffectiveQty],T_PlannedOrders[Part Name],$A493,T_PlannedOrders[WeekIndex],27)&amp;" ("&amp;TEXT(SUMPRODUCT(MAX((T_PlannedOrders[Part Name]=$A493)*(T_PlannedOrders[WeekIndex]=27)*(T_PlannedOrders[EffectiveQty]&gt;0)*T_PlannedOrders[Order_Month])),"m月")&amp;"発注)")</f>
        <v/>
      </c>
      <c r="AE571">
        <f>IF(SUMIFS(T_PlannedOrders[EffectiveQty],T_PlannedOrders[Part Name],$A493,T_PlannedOrders[WeekIndex],28)=0,"",SUMIFS(T_PlannedOrders[EffectiveQty],T_PlannedOrders[Part Name],$A493,T_PlannedOrders[WeekIndex],28)&amp;" ("&amp;TEXT(SUMPRODUCT(MAX((T_PlannedOrders[Part Name]=$A493)*(T_PlannedOrders[WeekIndex]=28)*(T_PlannedOrders[EffectiveQty]&gt;0)*T_PlannedOrders[Order_Month])),"m月")&amp;"発注)")</f>
        <v/>
      </c>
      <c r="AF571">
        <f>IF(SUMIFS(T_PlannedOrders[EffectiveQty],T_PlannedOrders[Part Name],$A493,T_PlannedOrders[WeekIndex],29)=0,"",SUMIFS(T_PlannedOrders[EffectiveQty],T_PlannedOrders[Part Name],$A493,T_PlannedOrders[WeekIndex],29)&amp;" ("&amp;TEXT(SUMPRODUCT(MAX((T_PlannedOrders[Part Name]=$A493)*(T_PlannedOrders[WeekIndex]=29)*(T_PlannedOrders[EffectiveQty]&gt;0)*T_PlannedOrders[Order_Month])),"m月")&amp;"発注)")</f>
        <v/>
      </c>
      <c r="AG571">
        <f>IF(SUMIFS(T_PlannedOrders[EffectiveQty],T_PlannedOrders[Part Name],$A493,T_PlannedOrders[WeekIndex],30)=0,"",SUMIFS(T_PlannedOrders[EffectiveQty],T_PlannedOrders[Part Name],$A493,T_PlannedOrders[WeekIndex],30)&amp;" ("&amp;TEXT(SUMPRODUCT(MAX((T_PlannedOrders[Part Name]=$A493)*(T_PlannedOrders[WeekIndex]=30)*(T_PlannedOrders[EffectiveQty]&gt;0)*T_PlannedOrders[Order_Month])),"m月")&amp;"発注)")</f>
        <v/>
      </c>
      <c r="AH571">
        <f>IF(SUMIFS(T_PlannedOrders[EffectiveQty],T_PlannedOrders[Part Name],$A493,T_PlannedOrders[WeekIndex],31)=0,"",SUMIFS(T_PlannedOrders[EffectiveQty],T_PlannedOrders[Part Name],$A493,T_PlannedOrders[WeekIndex],31)&amp;" ("&amp;TEXT(SUMPRODUCT(MAX((T_PlannedOrders[Part Name]=$A493)*(T_PlannedOrders[WeekIndex]=31)*(T_PlannedOrders[EffectiveQty]&gt;0)*T_PlannedOrders[Order_Month])),"m月")&amp;"発注)")</f>
        <v/>
      </c>
      <c r="AI571">
        <f>IF(SUMIFS(T_PlannedOrders[EffectiveQty],T_PlannedOrders[Part Name],$A493,T_PlannedOrders[WeekIndex],32)=0,"",SUMIFS(T_PlannedOrders[EffectiveQty],T_PlannedOrders[Part Name],$A493,T_PlannedOrders[WeekIndex],32)&amp;" ("&amp;TEXT(SUMPRODUCT(MAX((T_PlannedOrders[Part Name]=$A493)*(T_PlannedOrders[WeekIndex]=32)*(T_PlannedOrders[EffectiveQty]&gt;0)*T_PlannedOrders[Order_Month])),"m月")&amp;"発注)")</f>
        <v/>
      </c>
      <c r="AJ571">
        <f>IF(SUMIFS(T_PlannedOrders[EffectiveQty],T_PlannedOrders[Part Name],$A493,T_PlannedOrders[WeekIndex],33)=0,"",SUMIFS(T_PlannedOrders[EffectiveQty],T_PlannedOrders[Part Name],$A493,T_PlannedOrders[WeekIndex],33)&amp;" ("&amp;TEXT(SUMPRODUCT(MAX((T_PlannedOrders[Part Name]=$A493)*(T_PlannedOrders[WeekIndex]=33)*(T_PlannedOrders[EffectiveQty]&gt;0)*T_PlannedOrders[Order_Month])),"m月")&amp;"発注)")</f>
        <v/>
      </c>
      <c r="AK571">
        <f>IF(SUMIFS(T_PlannedOrders[EffectiveQty],T_PlannedOrders[Part Name],$A493,T_PlannedOrders[WeekIndex],34)=0,"",SUMIFS(T_PlannedOrders[EffectiveQty],T_PlannedOrders[Part Name],$A493,T_PlannedOrders[WeekIndex],34)&amp;" ("&amp;TEXT(SUMPRODUCT(MAX((T_PlannedOrders[Part Name]=$A493)*(T_PlannedOrders[WeekIndex]=34)*(T_PlannedOrders[EffectiveQty]&gt;0)*T_PlannedOrders[Order_Month])),"m月")&amp;"発注)")</f>
        <v/>
      </c>
      <c r="AL571">
        <f>IF(SUMIFS(T_PlannedOrders[EffectiveQty],T_PlannedOrders[Part Name],$A493,T_PlannedOrders[WeekIndex],35)=0,"",SUMIFS(T_PlannedOrders[EffectiveQty],T_PlannedOrders[Part Name],$A493,T_PlannedOrders[WeekIndex],35)&amp;" ("&amp;TEXT(SUMPRODUCT(MAX((T_PlannedOrders[Part Name]=$A493)*(T_PlannedOrders[WeekIndex]=35)*(T_PlannedOrders[EffectiveQty]&gt;0)*T_PlannedOrders[Order_Month])),"m月")&amp;"発注)")</f>
        <v/>
      </c>
      <c r="AM571">
        <f>IF(SUMIFS(T_PlannedOrders[EffectiveQty],T_PlannedOrders[Part Name],$A493,T_PlannedOrders[WeekIndex],36)=0,"",SUMIFS(T_PlannedOrders[EffectiveQty],T_PlannedOrders[Part Name],$A493,T_PlannedOrders[WeekIndex],36)&amp;" ("&amp;TEXT(SUMPRODUCT(MAX((T_PlannedOrders[Part Name]=$A493)*(T_PlannedOrders[WeekIndex]=36)*(T_PlannedOrders[EffectiveQty]&gt;0)*T_PlannedOrders[Order_Month])),"m月")&amp;"発注)")</f>
        <v/>
      </c>
      <c r="AN571">
        <f>IF(SUMIFS(T_PlannedOrders[EffectiveQty],T_PlannedOrders[Part Name],$A493,T_PlannedOrders[WeekIndex],37)=0,"",SUMIFS(T_PlannedOrders[EffectiveQty],T_PlannedOrders[Part Name],$A493,T_PlannedOrders[WeekIndex],37)&amp;" ("&amp;TEXT(SUMPRODUCT(MAX((T_PlannedOrders[Part Name]=$A493)*(T_PlannedOrders[WeekIndex]=37)*(T_PlannedOrders[EffectiveQty]&gt;0)*T_PlannedOrders[Order_Month])),"m月")&amp;"発注)")</f>
        <v/>
      </c>
      <c r="AO571">
        <f>IF(SUMIFS(T_PlannedOrders[EffectiveQty],T_PlannedOrders[Part Name],$A493,T_PlannedOrders[WeekIndex],38)=0,"",SUMIFS(T_PlannedOrders[EffectiveQty],T_PlannedOrders[Part Name],$A493,T_PlannedOrders[WeekIndex],38)&amp;" ("&amp;TEXT(SUMPRODUCT(MAX((T_PlannedOrders[Part Name]=$A493)*(T_PlannedOrders[WeekIndex]=38)*(T_PlannedOrders[EffectiveQty]&gt;0)*T_PlannedOrders[Order_Month])),"m月")&amp;"発注)")</f>
        <v/>
      </c>
      <c r="AP571">
        <f>IF(SUMIFS(T_PlannedOrders[EffectiveQty],T_PlannedOrders[Part Name],$A493,T_PlannedOrders[WeekIndex],39)=0,"",SUMIFS(T_PlannedOrders[EffectiveQty],T_PlannedOrders[Part Name],$A493,T_PlannedOrders[WeekIndex],39)&amp;" ("&amp;TEXT(SUMPRODUCT(MAX((T_PlannedOrders[Part Name]=$A493)*(T_PlannedOrders[WeekIndex]=39)*(T_PlannedOrders[EffectiveQty]&gt;0)*T_PlannedOrders[Order_Month])),"m月")&amp;"発注)")</f>
        <v/>
      </c>
      <c r="AQ571">
        <f>IF(SUMIFS(T_PlannedOrders[EffectiveQty],T_PlannedOrders[Part Name],$A493,T_PlannedOrders[WeekIndex],40)=0,"",SUMIFS(T_PlannedOrders[EffectiveQty],T_PlannedOrders[Part Name],$A493,T_PlannedOrders[WeekIndex],40)&amp;" ("&amp;TEXT(SUMPRODUCT(MAX((T_PlannedOrders[Part Name]=$A493)*(T_PlannedOrders[WeekIndex]=40)*(T_PlannedOrders[EffectiveQty]&gt;0)*T_PlannedOrders[Order_Month])),"m月")&amp;"発注)")</f>
        <v/>
      </c>
      <c r="AR571">
        <f>IF(SUMIFS(T_PlannedOrders[EffectiveQty],T_PlannedOrders[Part Name],$A493,T_PlannedOrders[WeekIndex],41)=0,"",SUMIFS(T_PlannedOrders[EffectiveQty],T_PlannedOrders[Part Name],$A493,T_PlannedOrders[WeekIndex],41)&amp;" ("&amp;TEXT(SUMPRODUCT(MAX((T_PlannedOrders[Part Name]=$A493)*(T_PlannedOrders[WeekIndex]=41)*(T_PlannedOrders[EffectiveQty]&gt;0)*T_PlannedOrders[Order_Month])),"m月")&amp;"発注)")</f>
        <v/>
      </c>
      <c r="AS571">
        <f>IF(SUMIFS(T_PlannedOrders[EffectiveQty],T_PlannedOrders[Part Name],$A493,T_PlannedOrders[WeekIndex],42)=0,"",SUMIFS(T_PlannedOrders[EffectiveQty],T_PlannedOrders[Part Name],$A493,T_PlannedOrders[WeekIndex],42)&amp;" ("&amp;TEXT(SUMPRODUCT(MAX((T_PlannedOrders[Part Name]=$A493)*(T_PlannedOrders[WeekIndex]=42)*(T_PlannedOrders[EffectiveQty]&gt;0)*T_PlannedOrders[Order_Month])),"m月")&amp;"発注)")</f>
        <v/>
      </c>
      <c r="AT571">
        <f>IF(SUMIFS(T_PlannedOrders[EffectiveQty],T_PlannedOrders[Part Name],$A493,T_PlannedOrders[WeekIndex],43)=0,"",SUMIFS(T_PlannedOrders[EffectiveQty],T_PlannedOrders[Part Name],$A493,T_PlannedOrders[WeekIndex],43)&amp;" ("&amp;TEXT(SUMPRODUCT(MAX((T_PlannedOrders[Part Name]=$A493)*(T_PlannedOrders[WeekIndex]=43)*(T_PlannedOrders[EffectiveQty]&gt;0)*T_PlannedOrders[Order_Month])),"m月")&amp;"発注)")</f>
        <v/>
      </c>
      <c r="AU571">
        <f>IF(SUMIFS(T_PlannedOrders[EffectiveQty],T_PlannedOrders[Part Name],$A493,T_PlannedOrders[WeekIndex],44)=0,"",SUMIFS(T_PlannedOrders[EffectiveQty],T_PlannedOrders[Part Name],$A493,T_PlannedOrders[WeekIndex],44)&amp;" ("&amp;TEXT(SUMPRODUCT(MAX((T_PlannedOrders[Part Name]=$A493)*(T_PlannedOrders[WeekIndex]=44)*(T_PlannedOrders[EffectiveQty]&gt;0)*T_PlannedOrders[Order_Month])),"m月")&amp;"発注)")</f>
        <v/>
      </c>
      <c r="AV571">
        <f>IF(SUMIFS(T_PlannedOrders[EffectiveQty],T_PlannedOrders[Part Name],$A493,T_PlannedOrders[WeekIndex],45)=0,"",SUMIFS(T_PlannedOrders[EffectiveQty],T_PlannedOrders[Part Name],$A493,T_PlannedOrders[WeekIndex],45)&amp;" ("&amp;TEXT(SUMPRODUCT(MAX((T_PlannedOrders[Part Name]=$A493)*(T_PlannedOrders[WeekIndex]=45)*(T_PlannedOrders[EffectiveQty]&gt;0)*T_PlannedOrders[Order_Month])),"m月")&amp;"発注)")</f>
        <v/>
      </c>
      <c r="AW571">
        <f>IF(SUMIFS(T_PlannedOrders[EffectiveQty],T_PlannedOrders[Part Name],$A493,T_PlannedOrders[WeekIndex],46)=0,"",SUMIFS(T_PlannedOrders[EffectiveQty],T_PlannedOrders[Part Name],$A493,T_PlannedOrders[WeekIndex],46)&amp;" ("&amp;TEXT(SUMPRODUCT(MAX((T_PlannedOrders[Part Name]=$A493)*(T_PlannedOrders[WeekIndex]=46)*(T_PlannedOrders[EffectiveQty]&gt;0)*T_PlannedOrders[Order_Month])),"m月")&amp;"発注)")</f>
        <v/>
      </c>
      <c r="AX571">
        <f>IF(SUMIFS(T_PlannedOrders[EffectiveQty],T_PlannedOrders[Part Name],$A493,T_PlannedOrders[WeekIndex],47)=0,"",SUMIFS(T_PlannedOrders[EffectiveQty],T_PlannedOrders[Part Name],$A493,T_PlannedOrders[WeekIndex],47)&amp;" ("&amp;TEXT(SUMPRODUCT(MAX((T_PlannedOrders[Part Name]=$A493)*(T_PlannedOrders[WeekIndex]=47)*(T_PlannedOrders[EffectiveQty]&gt;0)*T_PlannedOrders[Order_Month])),"m月")&amp;"発注)")</f>
        <v/>
      </c>
      <c r="AY571">
        <f>IF(SUMIFS(T_PlannedOrders[EffectiveQty],T_PlannedOrders[Part Name],$A493,T_PlannedOrders[WeekIndex],48)=0,"",SUMIFS(T_PlannedOrders[EffectiveQty],T_PlannedOrders[Part Name],$A493,T_PlannedOrders[WeekIndex],48)&amp;" ("&amp;TEXT(SUMPRODUCT(MAX((T_PlannedOrders[Part Name]=$A493)*(T_PlannedOrders[WeekIndex]=48)*(T_PlannedOrders[EffectiveQty]&gt;0)*T_PlannedOrders[Order_Month])),"m月")&amp;"発注)")</f>
        <v/>
      </c>
      <c r="AZ571">
        <f>IF(SUMIFS(T_PlannedOrders[EffectiveQty],T_PlannedOrders[Part Name],$A493,T_PlannedOrders[WeekIndex],49)=0,"",SUMIFS(T_PlannedOrders[EffectiveQty],T_PlannedOrders[Part Name],$A493,T_PlannedOrders[WeekIndex],49)&amp;" ("&amp;TEXT(SUMPRODUCT(MAX((T_PlannedOrders[Part Name]=$A493)*(T_PlannedOrders[WeekIndex]=49)*(T_PlannedOrders[EffectiveQty]&gt;0)*T_PlannedOrders[Order_Month])),"m月")&amp;"発注)")</f>
        <v/>
      </c>
      <c r="BA571">
        <f>IF(SUMIFS(T_PlannedOrders[EffectiveQty],T_PlannedOrders[Part Name],$A493,T_PlannedOrders[WeekIndex],50)=0,"",SUMIFS(T_PlannedOrders[EffectiveQty],T_PlannedOrders[Part Name],$A493,T_PlannedOrders[WeekIndex],50)&amp;" ("&amp;TEXT(SUMPRODUCT(MAX((T_PlannedOrders[Part Name]=$A493)*(T_PlannedOrders[WeekIndex]=50)*(T_PlannedOrders[EffectiveQty]&gt;0)*T_PlannedOrders[Order_Month])),"m月")&amp;"発注)")</f>
        <v/>
      </c>
      <c r="BB571">
        <f>IF(SUMIFS(T_PlannedOrders[EffectiveQty],T_PlannedOrders[Part Name],$A493,T_PlannedOrders[WeekIndex],51)=0,"",SUMIFS(T_PlannedOrders[EffectiveQty],T_PlannedOrders[Part Name],$A493,T_PlannedOrders[WeekIndex],51)&amp;" ("&amp;TEXT(SUMPRODUCT(MAX((T_PlannedOrders[Part Name]=$A493)*(T_PlannedOrders[WeekIndex]=51)*(T_PlannedOrders[EffectiveQty]&gt;0)*T_PlannedOrders[Order_Month])),"m月")&amp;"発注)")</f>
        <v/>
      </c>
      <c r="BC571">
        <f>IF(SUMIFS(T_PlannedOrders[EffectiveQty],T_PlannedOrders[Part Name],$A493,T_PlannedOrders[WeekIndex],52)=0,"",SUMIFS(T_PlannedOrders[EffectiveQty],T_PlannedOrders[Part Name],$A493,T_PlannedOrders[WeekIndex],52)&amp;" ("&amp;TEXT(SUMPRODUCT(MAX((T_PlannedOrders[Part Name]=$A493)*(T_PlannedOrders[WeekIndex]=52)*(T_PlannedOrders[EffectiveQty]&gt;0)*T_PlannedOrders[Order_Month])),"m月")&amp;"発注)")</f>
        <v/>
      </c>
      <c r="BD571">
        <f>IF(SUMIFS(T_PlannedOrders[EffectiveQty],T_PlannedOrders[Part Name],$A493,T_PlannedOrders[WeekIndex],53)=0,"",SUMIFS(T_PlannedOrders[EffectiveQty],T_PlannedOrders[Part Name],$A493,T_PlannedOrders[WeekIndex],53)&amp;" ("&amp;TEXT(SUMPRODUCT(MAX((T_PlannedOrders[Part Name]=$A493)*(T_PlannedOrders[WeekIndex]=53)*(T_PlannedOrders[EffectiveQty]&gt;0)*T_PlannedOrders[Order_Month])),"m月")&amp;"発注)")</f>
        <v/>
      </c>
      <c r="BE571">
        <f>IF(SUMIFS(T_PlannedOrders[EffectiveQty],T_PlannedOrders[Part Name],$A493,T_PlannedOrders[WeekIndex],54)=0,"",SUMIFS(T_PlannedOrders[EffectiveQty],T_PlannedOrders[Part Name],$A493,T_PlannedOrders[WeekIndex],54)&amp;" ("&amp;TEXT(SUMPRODUCT(MAX((T_PlannedOrders[Part Name]=$A493)*(T_PlannedOrders[WeekIndex]=54)*(T_PlannedOrders[EffectiveQty]&gt;0)*T_PlannedOrders[Order_Month])),"m月")&amp;"発注)")</f>
        <v/>
      </c>
      <c r="BF571">
        <f>IF(SUMIFS(T_PlannedOrders[EffectiveQty],T_PlannedOrders[Part Name],$A493,T_PlannedOrders[WeekIndex],55)=0,"",SUMIFS(T_PlannedOrders[EffectiveQty],T_PlannedOrders[Part Name],$A493,T_PlannedOrders[WeekIndex],55)&amp;" ("&amp;TEXT(SUMPRODUCT(MAX((T_PlannedOrders[Part Name]=$A493)*(T_PlannedOrders[WeekIndex]=55)*(T_PlannedOrders[EffectiveQty]&gt;0)*T_PlannedOrders[Order_Month])),"m月")&amp;"発注)")</f>
        <v/>
      </c>
      <c r="BG571">
        <f>IF(SUMIFS(T_PlannedOrders[EffectiveQty],T_PlannedOrders[Part Name],$A493,T_PlannedOrders[WeekIndex],56)=0,"",SUMIFS(T_PlannedOrders[EffectiveQty],T_PlannedOrders[Part Name],$A493,T_PlannedOrders[WeekIndex],56)&amp;" ("&amp;TEXT(SUMPRODUCT(MAX((T_PlannedOrders[Part Name]=$A493)*(T_PlannedOrders[WeekIndex]=56)*(T_PlannedOrders[EffectiveQty]&gt;0)*T_PlannedOrders[Order_Month])),"m月")&amp;"発注)")</f>
        <v/>
      </c>
      <c r="BH571">
        <f>IF(SUMIFS(T_PlannedOrders[EffectiveQty],T_PlannedOrders[Part Name],$A493,T_PlannedOrders[WeekIndex],57)=0,"",SUMIFS(T_PlannedOrders[EffectiveQty],T_PlannedOrders[Part Name],$A493,T_PlannedOrders[WeekIndex],57)&amp;" ("&amp;TEXT(SUMPRODUCT(MAX((T_PlannedOrders[Part Name]=$A493)*(T_PlannedOrders[WeekIndex]=57)*(T_PlannedOrders[EffectiveQty]&gt;0)*T_PlannedOrders[Order_Month])),"m月")&amp;"発注)")</f>
        <v/>
      </c>
      <c r="BI571">
        <f>IF(SUMIFS(T_PlannedOrders[EffectiveQty],T_PlannedOrders[Part Name],$A493,T_PlannedOrders[WeekIndex],58)=0,"",SUMIFS(T_PlannedOrders[EffectiveQty],T_PlannedOrders[Part Name],$A493,T_PlannedOrders[WeekIndex],58)&amp;" ("&amp;TEXT(SUMPRODUCT(MAX((T_PlannedOrders[Part Name]=$A493)*(T_PlannedOrders[WeekIndex]=58)*(T_PlannedOrders[EffectiveQty]&gt;0)*T_PlannedOrders[Order_Month])),"m月")&amp;"発注)")</f>
        <v/>
      </c>
      <c r="BJ571">
        <f>IF(SUMIFS(T_PlannedOrders[EffectiveQty],T_PlannedOrders[Part Name],$A493,T_PlannedOrders[WeekIndex],59)=0,"",SUMIFS(T_PlannedOrders[EffectiveQty],T_PlannedOrders[Part Name],$A493,T_PlannedOrders[WeekIndex],59)&amp;" ("&amp;TEXT(SUMPRODUCT(MAX((T_PlannedOrders[Part Name]=$A493)*(T_PlannedOrders[WeekIndex]=59)*(T_PlannedOrders[EffectiveQty]&gt;0)*T_PlannedOrders[Order_Month])),"m月")&amp;"発注)")</f>
        <v/>
      </c>
      <c r="BK571">
        <f>IF(SUMIFS(T_PlannedOrders[EffectiveQty],T_PlannedOrders[Part Name],$A493,T_PlannedOrders[WeekIndex],60)=0,"",SUMIFS(T_PlannedOrders[EffectiveQty],T_PlannedOrders[Part Name],$A493,T_PlannedOrders[WeekIndex],60)&amp;" ("&amp;TEXT(SUMPRODUCT(MAX((T_PlannedOrders[Part Name]=$A493)*(T_PlannedOrders[WeekIndex]=60)*(T_PlannedOrders[EffectiveQty]&gt;0)*T_PlannedOrders[Order_Month])),"m月")&amp;"発注)")</f>
        <v/>
      </c>
      <c r="BL571">
        <f>IF(SUMIFS(T_PlannedOrders[EffectiveQty],T_PlannedOrders[Part Name],$A493,T_PlannedOrders[WeekIndex],61)=0,"",SUMIFS(T_PlannedOrders[EffectiveQty],T_PlannedOrders[Part Name],$A493,T_PlannedOrders[WeekIndex],61)&amp;" ("&amp;TEXT(SUMPRODUCT(MAX((T_PlannedOrders[Part Name]=$A493)*(T_PlannedOrders[WeekIndex]=61)*(T_PlannedOrders[EffectiveQty]&gt;0)*T_PlannedOrders[Order_Month])),"m月")&amp;"発注)")</f>
        <v/>
      </c>
      <c r="BM571">
        <f>IF(SUMIFS(T_PlannedOrders[EffectiveQty],T_PlannedOrders[Part Name],$A493,T_PlannedOrders[WeekIndex],62)=0,"",SUMIFS(T_PlannedOrders[EffectiveQty],T_PlannedOrders[Part Name],$A493,T_PlannedOrders[WeekIndex],62)&amp;" ("&amp;TEXT(SUMPRODUCT(MAX((T_PlannedOrders[Part Name]=$A493)*(T_PlannedOrders[WeekIndex]=62)*(T_PlannedOrders[EffectiveQty]&gt;0)*T_PlannedOrders[Order_Month])),"m月")&amp;"発注)")</f>
        <v/>
      </c>
      <c r="BN571">
        <f>IF(SUMIFS(T_PlannedOrders[EffectiveQty],T_PlannedOrders[Part Name],$A493,T_PlannedOrders[WeekIndex],63)=0,"",SUMIFS(T_PlannedOrders[EffectiveQty],T_PlannedOrders[Part Name],$A493,T_PlannedOrders[WeekIndex],63)&amp;" ("&amp;TEXT(SUMPRODUCT(MAX((T_PlannedOrders[Part Name]=$A493)*(T_PlannedOrders[WeekIndex]=63)*(T_PlannedOrders[EffectiveQty]&gt;0)*T_PlannedOrders[Order_Month])),"m月")&amp;"発注)")</f>
        <v/>
      </c>
      <c r="BO571">
        <f>IF(SUMIFS(T_PlannedOrders[EffectiveQty],T_PlannedOrders[Part Name],$A493,T_PlannedOrders[WeekIndex],64)=0,"",SUMIFS(T_PlannedOrders[EffectiveQty],T_PlannedOrders[Part Name],$A493,T_PlannedOrders[WeekIndex],64)&amp;" ("&amp;TEXT(SUMPRODUCT(MAX((T_PlannedOrders[Part Name]=$A493)*(T_PlannedOrders[WeekIndex]=64)*(T_PlannedOrders[EffectiveQty]&gt;0)*T_PlannedOrders[Order_Month])),"m月")&amp;"発注)")</f>
        <v/>
      </c>
      <c r="BP571">
        <f>IF(SUMIFS(T_PlannedOrders[EffectiveQty],T_PlannedOrders[Part Name],$A493,T_PlannedOrders[WeekIndex],65)=0,"",SUMIFS(T_PlannedOrders[EffectiveQty],T_PlannedOrders[Part Name],$A493,T_PlannedOrders[WeekIndex],65)&amp;" ("&amp;TEXT(SUMPRODUCT(MAX((T_PlannedOrders[Part Name]=$A493)*(T_PlannedOrders[WeekIndex]=65)*(T_PlannedOrders[EffectiveQty]&gt;0)*T_PlannedOrders[Order_Month])),"m月")&amp;"発注)")</f>
        <v/>
      </c>
      <c r="BQ571">
        <f>IF(SUMIFS(T_PlannedOrders[EffectiveQty],T_PlannedOrders[Part Name],$A493,T_PlannedOrders[WeekIndex],66)=0,"",SUMIFS(T_PlannedOrders[EffectiveQty],T_PlannedOrders[Part Name],$A493,T_PlannedOrders[WeekIndex],66)&amp;" ("&amp;TEXT(SUMPRODUCT(MAX((T_PlannedOrders[Part Name]=$A493)*(T_PlannedOrders[WeekIndex]=66)*(T_PlannedOrders[EffectiveQty]&gt;0)*T_PlannedOrders[Order_Month])),"m月")&amp;"発注)")</f>
        <v/>
      </c>
      <c r="BR571">
        <f>IF(SUMIFS(T_PlannedOrders[EffectiveQty],T_PlannedOrders[Part Name],$A493,T_PlannedOrders[WeekIndex],67)=0,"",SUMIFS(T_PlannedOrders[EffectiveQty],T_PlannedOrders[Part Name],$A493,T_PlannedOrders[WeekIndex],67)&amp;" ("&amp;TEXT(SUMPRODUCT(MAX((T_PlannedOrders[Part Name]=$A493)*(T_PlannedOrders[WeekIndex]=67)*(T_PlannedOrders[EffectiveQty]&gt;0)*T_PlannedOrders[Order_Month])),"m月")&amp;"発注)")</f>
        <v/>
      </c>
      <c r="BS571">
        <f>IF(SUMIFS(T_PlannedOrders[EffectiveQty],T_PlannedOrders[Part Name],$A493,T_PlannedOrders[WeekIndex],68)=0,"",SUMIFS(T_PlannedOrders[EffectiveQty],T_PlannedOrders[Part Name],$A493,T_PlannedOrders[WeekIndex],68)&amp;" ("&amp;TEXT(SUMPRODUCT(MAX((T_PlannedOrders[Part Name]=$A493)*(T_PlannedOrders[WeekIndex]=68)*(T_PlannedOrders[EffectiveQty]&gt;0)*T_PlannedOrders[Order_Month])),"m月")&amp;"発注)")</f>
        <v/>
      </c>
      <c r="BT571">
        <f>IF(SUMIFS(T_PlannedOrders[EffectiveQty],T_PlannedOrders[Part Name],$A493,T_PlannedOrders[WeekIndex],69)=0,"",SUMIFS(T_PlannedOrders[EffectiveQty],T_PlannedOrders[Part Name],$A493,T_PlannedOrders[WeekIndex],69)&amp;" ("&amp;TEXT(SUMPRODUCT(MAX((T_PlannedOrders[Part Name]=$A493)*(T_PlannedOrders[WeekIndex]=69)*(T_PlannedOrders[EffectiveQty]&gt;0)*T_PlannedOrders[Order_Month])),"m月")&amp;"発注)")</f>
        <v/>
      </c>
      <c r="BU571">
        <f>IF(SUMIFS(T_PlannedOrders[EffectiveQty],T_PlannedOrders[Part Name],$A493,T_PlannedOrders[WeekIndex],70)=0,"",SUMIFS(T_PlannedOrders[EffectiveQty],T_PlannedOrders[Part Name],$A493,T_PlannedOrders[WeekIndex],70)&amp;" ("&amp;TEXT(SUMPRODUCT(MAX((T_PlannedOrders[Part Name]=$A493)*(T_PlannedOrders[WeekIndex]=70)*(T_PlannedOrders[EffectiveQty]&gt;0)*T_PlannedOrders[Order_Month])),"m月")&amp;"発注)")</f>
        <v/>
      </c>
      <c r="BV571">
        <f>IF(SUMIFS(T_PlannedOrders[EffectiveQty],T_PlannedOrders[Part Name],$A493,T_PlannedOrders[WeekIndex],71)=0,"",SUMIFS(T_PlannedOrders[EffectiveQty],T_PlannedOrders[Part Name],$A493,T_PlannedOrders[WeekIndex],71)&amp;" ("&amp;TEXT(SUMPRODUCT(MAX((T_PlannedOrders[Part Name]=$A493)*(T_PlannedOrders[WeekIndex]=71)*(T_PlannedOrders[EffectiveQty]&gt;0)*T_PlannedOrders[Order_Month])),"m月")&amp;"発注)")</f>
        <v/>
      </c>
      <c r="BW571">
        <f>IF(SUMIFS(T_PlannedOrders[EffectiveQty],T_PlannedOrders[Part Name],$A493,T_PlannedOrders[WeekIndex],72)=0,"",SUMIFS(T_PlannedOrders[EffectiveQty],T_PlannedOrders[Part Name],$A493,T_PlannedOrders[WeekIndex],72)&amp;" ("&amp;TEXT(SUMPRODUCT(MAX((T_PlannedOrders[Part Name]=$A493)*(T_PlannedOrders[WeekIndex]=72)*(T_PlannedOrders[EffectiveQty]&gt;0)*T_PlannedOrders[Order_Month])),"m月")&amp;"発注)")</f>
        <v/>
      </c>
      <c r="BX571">
        <f>IF(SUMIFS(T_PlannedOrders[EffectiveQty],T_PlannedOrders[Part Name],$A493,T_PlannedOrders[WeekIndex],73)=0,"",SUMIFS(T_PlannedOrders[EffectiveQty],T_PlannedOrders[Part Name],$A493,T_PlannedOrders[WeekIndex],73)&amp;" ("&amp;TEXT(SUMPRODUCT(MAX((T_PlannedOrders[Part Name]=$A493)*(T_PlannedOrders[WeekIndex]=73)*(T_PlannedOrders[EffectiveQty]&gt;0)*T_PlannedOrders[Order_Month])),"m月")&amp;"発注)")</f>
        <v/>
      </c>
      <c r="BY571">
        <f>IF(SUMIFS(T_PlannedOrders[EffectiveQty],T_PlannedOrders[Part Name],$A493,T_PlannedOrders[WeekIndex],74)=0,"",SUMIFS(T_PlannedOrders[EffectiveQty],T_PlannedOrders[Part Name],$A493,T_PlannedOrders[WeekIndex],74)&amp;" ("&amp;TEXT(SUMPRODUCT(MAX((T_PlannedOrders[Part Name]=$A493)*(T_PlannedOrders[WeekIndex]=74)*(T_PlannedOrders[EffectiveQty]&gt;0)*T_PlannedOrders[Order_Month])),"m月")&amp;"発注)")</f>
        <v/>
      </c>
      <c r="BZ571">
        <f>IF(SUMIFS(T_PlannedOrders[EffectiveQty],T_PlannedOrders[Part Name],$A493,T_PlannedOrders[WeekIndex],75)=0,"",SUMIFS(T_PlannedOrders[EffectiveQty],T_PlannedOrders[Part Name],$A493,T_PlannedOrders[WeekIndex],75)&amp;" ("&amp;TEXT(SUMPRODUCT(MAX((T_PlannedOrders[Part Name]=$A493)*(T_PlannedOrders[WeekIndex]=75)*(T_PlannedOrders[EffectiveQty]&gt;0)*T_PlannedOrders[Order_Month])),"m月")&amp;"発注)")</f>
        <v/>
      </c>
      <c r="CA571">
        <f>IF(SUMIFS(T_PlannedOrders[EffectiveQty],T_PlannedOrders[Part Name],$A493,T_PlannedOrders[WeekIndex],76)=0,"",SUMIFS(T_PlannedOrders[EffectiveQty],T_PlannedOrders[Part Name],$A493,T_PlannedOrders[WeekIndex],76)&amp;" ("&amp;TEXT(SUMPRODUCT(MAX((T_PlannedOrders[Part Name]=$A493)*(T_PlannedOrders[WeekIndex]=76)*(T_PlannedOrders[EffectiveQty]&gt;0)*T_PlannedOrders[Order_Month])),"m月")&amp;"発注)")</f>
        <v/>
      </c>
      <c r="CB571">
        <f>IF(SUMIFS(T_PlannedOrders[EffectiveQty],T_PlannedOrders[Part Name],$A493,T_PlannedOrders[WeekIndex],77)=0,"",SUMIFS(T_PlannedOrders[EffectiveQty],T_PlannedOrders[Part Name],$A493,T_PlannedOrders[WeekIndex],77)&amp;" ("&amp;TEXT(SUMPRODUCT(MAX((T_PlannedOrders[Part Name]=$A493)*(T_PlannedOrders[WeekIndex]=77)*(T_PlannedOrders[EffectiveQty]&gt;0)*T_PlannedOrders[Order_Month])),"m月")&amp;"発注)")</f>
        <v/>
      </c>
      <c r="CC571">
        <f>IF(SUMIFS(T_PlannedOrders[EffectiveQty],T_PlannedOrders[Part Name],$A493,T_PlannedOrders[WeekIndex],78)=0,"",SUMIFS(T_PlannedOrders[EffectiveQty],T_PlannedOrders[Part Name],$A493,T_PlannedOrders[WeekIndex],78)&amp;" ("&amp;TEXT(SUMPRODUCT(MAX((T_PlannedOrders[Part Name]=$A493)*(T_PlannedOrders[WeekIndex]=78)*(T_PlannedOrders[EffectiveQty]&gt;0)*T_PlannedOrders[Order_Month])),"m月")&amp;"発注)")</f>
        <v/>
      </c>
      <c r="CD571">
        <f>IF(SUMIFS(T_PlannedOrders[EffectiveQty],T_PlannedOrders[Part Name],$A493,T_PlannedOrders[WeekIndex],79)=0,"",SUMIFS(T_PlannedOrders[EffectiveQty],T_PlannedOrders[Part Name],$A493,T_PlannedOrders[WeekIndex],79)&amp;" ("&amp;TEXT(SUMPRODUCT(MAX((T_PlannedOrders[Part Name]=$A493)*(T_PlannedOrders[WeekIndex]=79)*(T_PlannedOrders[EffectiveQty]&gt;0)*T_PlannedOrders[Order_Month])),"m月")&amp;"発注)")</f>
        <v/>
      </c>
      <c r="CE571">
        <f>IF(SUMIFS(T_PlannedOrders[EffectiveQty],T_PlannedOrders[Part Name],$A493,T_PlannedOrders[WeekIndex],80)=0,"",SUMIFS(T_PlannedOrders[EffectiveQty],T_PlannedOrders[Part Name],$A493,T_PlannedOrders[WeekIndex],80)&amp;" ("&amp;TEXT(SUMPRODUCT(MAX((T_PlannedOrders[Part Name]=$A493)*(T_PlannedOrders[WeekIndex]=80)*(T_PlannedOrders[EffectiveQty]&gt;0)*T_PlannedOrders[Order_Month])),"m月")&amp;"発注)")</f>
        <v/>
      </c>
      <c r="CF571">
        <f>IF(SUMIFS(T_PlannedOrders[EffectiveQty],T_PlannedOrders[Part Name],$A493,T_PlannedOrders[WeekIndex],81)=0,"",SUMIFS(T_PlannedOrders[EffectiveQty],T_PlannedOrders[Part Name],$A493,T_PlannedOrders[WeekIndex],81)&amp;" ("&amp;TEXT(SUMPRODUCT(MAX((T_PlannedOrders[Part Name]=$A493)*(T_PlannedOrders[WeekIndex]=81)*(T_PlannedOrders[EffectiveQty]&gt;0)*T_PlannedOrders[Order_Month])),"m月")&amp;"発注)")</f>
        <v/>
      </c>
      <c r="CG571">
        <f>IF(SUMIFS(T_PlannedOrders[EffectiveQty],T_PlannedOrders[Part Name],$A493,T_PlannedOrders[WeekIndex],82)=0,"",SUMIFS(T_PlannedOrders[EffectiveQty],T_PlannedOrders[Part Name],$A493,T_PlannedOrders[WeekIndex],82)&amp;" ("&amp;TEXT(SUMPRODUCT(MAX((T_PlannedOrders[Part Name]=$A493)*(T_PlannedOrders[WeekIndex]=82)*(T_PlannedOrders[EffectiveQty]&gt;0)*T_PlannedOrders[Order_Month])),"m月")&amp;"発注)")</f>
        <v/>
      </c>
      <c r="CH571">
        <f>IF(SUMIFS(T_PlannedOrders[EffectiveQty],T_PlannedOrders[Part Name],$A493,T_PlannedOrders[WeekIndex],83)=0,"",SUMIFS(T_PlannedOrders[EffectiveQty],T_PlannedOrders[Part Name],$A493,T_PlannedOrders[WeekIndex],83)&amp;" ("&amp;TEXT(SUMPRODUCT(MAX((T_PlannedOrders[Part Name]=$A493)*(T_PlannedOrders[WeekIndex]=83)*(T_PlannedOrders[EffectiveQty]&gt;0)*T_PlannedOrders[Order_Month])),"m月")&amp;"発注)")</f>
        <v/>
      </c>
      <c r="CI571">
        <f>IF(SUMIFS(T_PlannedOrders[EffectiveQty],T_PlannedOrders[Part Name],$A493,T_PlannedOrders[WeekIndex],84)=0,"",SUMIFS(T_PlannedOrders[EffectiveQty],T_PlannedOrders[Part Name],$A493,T_PlannedOrders[WeekIndex],84)&amp;" ("&amp;TEXT(SUMPRODUCT(MAX((T_PlannedOrders[Part Name]=$A493)*(T_PlannedOrders[WeekIndex]=84)*(T_PlannedOrders[EffectiveQty]&gt;0)*T_PlannedOrders[Order_Month])),"m月")&amp;"発注)")</f>
        <v/>
      </c>
      <c r="CJ571">
        <f>IF(SUMIFS(T_PlannedOrders[EffectiveQty],T_PlannedOrders[Part Name],$A493,T_PlannedOrders[WeekIndex],85)=0,"",SUMIFS(T_PlannedOrders[EffectiveQty],T_PlannedOrders[Part Name],$A493,T_PlannedOrders[WeekIndex],85)&amp;" ("&amp;TEXT(SUMPRODUCT(MAX((T_PlannedOrders[Part Name]=$A493)*(T_PlannedOrders[WeekIndex]=85)*(T_PlannedOrders[EffectiveQty]&gt;0)*T_PlannedOrders[Order_Month])),"m月")&amp;"発注)")</f>
        <v/>
      </c>
      <c r="CK571">
        <f>IF(SUMIFS(T_PlannedOrders[EffectiveQty],T_PlannedOrders[Part Name],$A493,T_PlannedOrders[WeekIndex],86)=0,"",SUMIFS(T_PlannedOrders[EffectiveQty],T_PlannedOrders[Part Name],$A493,T_PlannedOrders[WeekIndex],86)&amp;" ("&amp;TEXT(SUMPRODUCT(MAX((T_PlannedOrders[Part Name]=$A493)*(T_PlannedOrders[WeekIndex]=86)*(T_PlannedOrders[EffectiveQty]&gt;0)*T_PlannedOrders[Order_Month])),"m月")&amp;"発注)")</f>
        <v/>
      </c>
      <c r="CL571">
        <f>IF(SUMIFS(T_PlannedOrders[EffectiveQty],T_PlannedOrders[Part Name],$A493,T_PlannedOrders[WeekIndex],87)=0,"",SUMIFS(T_PlannedOrders[EffectiveQty],T_PlannedOrders[Part Name],$A493,T_PlannedOrders[WeekIndex],87)&amp;" ("&amp;TEXT(SUMPRODUCT(MAX((T_PlannedOrders[Part Name]=$A493)*(T_PlannedOrders[WeekIndex]=87)*(T_PlannedOrders[EffectiveQty]&gt;0)*T_PlannedOrders[Order_Month])),"m月")&amp;"発注)")</f>
        <v/>
      </c>
      <c r="CM571">
        <f>IF(SUMIFS(T_PlannedOrders[EffectiveQty],T_PlannedOrders[Part Name],$A493,T_PlannedOrders[WeekIndex],88)=0,"",SUMIFS(T_PlannedOrders[EffectiveQty],T_PlannedOrders[Part Name],$A493,T_PlannedOrders[WeekIndex],88)&amp;" ("&amp;TEXT(SUMPRODUCT(MAX((T_PlannedOrders[Part Name]=$A493)*(T_PlannedOrders[WeekIndex]=88)*(T_PlannedOrders[EffectiveQty]&gt;0)*T_PlannedOrders[Order_Month])),"m月")&amp;"発注)")</f>
        <v/>
      </c>
      <c r="CN571">
        <f>IF(SUMIFS(T_PlannedOrders[EffectiveQty],T_PlannedOrders[Part Name],$A493,T_PlannedOrders[WeekIndex],89)=0,"",SUMIFS(T_PlannedOrders[EffectiveQty],T_PlannedOrders[Part Name],$A493,T_PlannedOrders[WeekIndex],89)&amp;" ("&amp;TEXT(SUMPRODUCT(MAX((T_PlannedOrders[Part Name]=$A493)*(T_PlannedOrders[WeekIndex]=89)*(T_PlannedOrders[EffectiveQty]&gt;0)*T_PlannedOrders[Order_Month])),"m月")&amp;"発注)")</f>
        <v/>
      </c>
      <c r="CO571">
        <f>IF(SUMIFS(T_PlannedOrders[EffectiveQty],T_PlannedOrders[Part Name],$A493,T_PlannedOrders[WeekIndex],90)=0,"",SUMIFS(T_PlannedOrders[EffectiveQty],T_PlannedOrders[Part Name],$A493,T_PlannedOrders[WeekIndex],90)&amp;" ("&amp;TEXT(SUMPRODUCT(MAX((T_PlannedOrders[Part Name]=$A493)*(T_PlannedOrders[WeekIndex]=90)*(T_PlannedOrders[EffectiveQty]&gt;0)*T_PlannedOrders[Order_Month])),"m月")&amp;"発注)")</f>
        <v/>
      </c>
      <c r="CP571">
        <f>IF(SUMIFS(T_PlannedOrders[EffectiveQty],T_PlannedOrders[Part Name],$A493,T_PlannedOrders[WeekIndex],91)=0,"",SUMIFS(T_PlannedOrders[EffectiveQty],T_PlannedOrders[Part Name],$A493,T_PlannedOrders[WeekIndex],91)&amp;" ("&amp;TEXT(SUMPRODUCT(MAX((T_PlannedOrders[Part Name]=$A493)*(T_PlannedOrders[WeekIndex]=91)*(T_PlannedOrders[EffectiveQty]&gt;0)*T_PlannedOrders[Order_Month])),"m月")&amp;"発注)")</f>
        <v/>
      </c>
      <c r="CQ571">
        <f>IF(SUMIFS(T_PlannedOrders[EffectiveQty],T_PlannedOrders[Part Name],$A493,T_PlannedOrders[WeekIndex],92)=0,"",SUMIFS(T_PlannedOrders[EffectiveQty],T_PlannedOrders[Part Name],$A493,T_PlannedOrders[WeekIndex],92)&amp;" ("&amp;TEXT(SUMPRODUCT(MAX((T_PlannedOrders[Part Name]=$A493)*(T_PlannedOrders[WeekIndex]=92)*(T_PlannedOrders[EffectiveQty]&gt;0)*T_PlannedOrders[Order_Month])),"m月")&amp;"発注)")</f>
        <v/>
      </c>
      <c r="CR571">
        <f>IF(SUMIFS(T_PlannedOrders[EffectiveQty],T_PlannedOrders[Part Name],$A493,T_PlannedOrders[WeekIndex],93)=0,"",SUMIFS(T_PlannedOrders[EffectiveQty],T_PlannedOrders[Part Name],$A493,T_PlannedOrders[WeekIndex],93)&amp;" ("&amp;TEXT(SUMPRODUCT(MAX((T_PlannedOrders[Part Name]=$A493)*(T_PlannedOrders[WeekIndex]=93)*(T_PlannedOrders[EffectiveQty]&gt;0)*T_PlannedOrders[Order_Month])),"m月")&amp;"発注)")</f>
        <v/>
      </c>
      <c r="CS571">
        <f>IF(SUMIFS(T_PlannedOrders[EffectiveQty],T_PlannedOrders[Part Name],$A493,T_PlannedOrders[WeekIndex],94)=0,"",SUMIFS(T_PlannedOrders[EffectiveQty],T_PlannedOrders[Part Name],$A493,T_PlannedOrders[WeekIndex],94)&amp;" ("&amp;TEXT(SUMPRODUCT(MAX((T_PlannedOrders[Part Name]=$A493)*(T_PlannedOrders[WeekIndex]=94)*(T_PlannedOrders[EffectiveQty]&gt;0)*T_PlannedOrders[Order_Month])),"m月")&amp;"発注)")</f>
        <v/>
      </c>
      <c r="CT571">
        <f>IF(SUMIFS(T_PlannedOrders[EffectiveQty],T_PlannedOrders[Part Name],$A493,T_PlannedOrders[WeekIndex],95)=0,"",SUMIFS(T_PlannedOrders[EffectiveQty],T_PlannedOrders[Part Name],$A493,T_PlannedOrders[WeekIndex],95)&amp;" ("&amp;TEXT(SUMPRODUCT(MAX((T_PlannedOrders[Part Name]=$A493)*(T_PlannedOrders[WeekIndex]=95)*(T_PlannedOrders[EffectiveQty]&gt;0)*T_PlannedOrders[Order_Month])),"m月")&amp;"発注)")</f>
        <v/>
      </c>
      <c r="CU571">
        <f>IF(SUMIFS(T_PlannedOrders[EffectiveQty],T_PlannedOrders[Part Name],$A493,T_PlannedOrders[WeekIndex],96)=0,"",SUMIFS(T_PlannedOrders[EffectiveQty],T_PlannedOrders[Part Name],$A493,T_PlannedOrders[WeekIndex],96)&amp;" ("&amp;TEXT(SUMPRODUCT(MAX((T_PlannedOrders[Part Name]=$A493)*(T_PlannedOrders[WeekIndex]=96)*(T_PlannedOrders[EffectiveQty]&gt;0)*T_PlannedOrders[Order_Month])),"m月")&amp;"発注)")</f>
        <v/>
      </c>
      <c r="CV571">
        <f>IF(SUMIFS(T_PlannedOrders[EffectiveQty],T_PlannedOrders[Part Name],$A493,T_PlannedOrders[WeekIndex],97)=0,"",SUMIFS(T_PlannedOrders[EffectiveQty],T_PlannedOrders[Part Name],$A493,T_PlannedOrders[WeekIndex],97)&amp;" ("&amp;TEXT(SUMPRODUCT(MAX((T_PlannedOrders[Part Name]=$A493)*(T_PlannedOrders[WeekIndex]=97)*(T_PlannedOrders[EffectiveQty]&gt;0)*T_PlannedOrders[Order_Month])),"m月")&amp;"発注)")</f>
        <v/>
      </c>
      <c r="CW571">
        <f>IF(SUMIFS(T_PlannedOrders[EffectiveQty],T_PlannedOrders[Part Name],$A493,T_PlannedOrders[WeekIndex],98)=0,"",SUMIFS(T_PlannedOrders[EffectiveQty],T_PlannedOrders[Part Name],$A493,T_PlannedOrders[WeekIndex],98)&amp;" ("&amp;TEXT(SUMPRODUCT(MAX((T_PlannedOrders[Part Name]=$A493)*(T_PlannedOrders[WeekIndex]=98)*(T_PlannedOrders[EffectiveQty]&gt;0)*T_PlannedOrders[Order_Month])),"m月")&amp;"発注)")</f>
        <v/>
      </c>
      <c r="CX571">
        <f>IF(SUMIFS(T_PlannedOrders[EffectiveQty],T_PlannedOrders[Part Name],$A493,T_PlannedOrders[WeekIndex],99)=0,"",SUMIFS(T_PlannedOrders[EffectiveQty],T_PlannedOrders[Part Name],$A493,T_PlannedOrders[WeekIndex],99)&amp;" ("&amp;TEXT(SUMPRODUCT(MAX((T_PlannedOrders[Part Name]=$A493)*(T_PlannedOrders[WeekIndex]=99)*(T_PlannedOrders[EffectiveQty]&gt;0)*T_PlannedOrders[Order_Month])),"m月")&amp;"発注)")</f>
        <v/>
      </c>
      <c r="CY571">
        <f>IF(SUMIFS(T_PlannedOrders[EffectiveQty],T_PlannedOrders[Part Name],$A493,T_PlannedOrders[WeekIndex],100)=0,"",SUMIFS(T_PlannedOrders[EffectiveQty],T_PlannedOrders[Part Name],$A493,T_PlannedOrders[WeekIndex],100)&amp;" ("&amp;TEXT(SUMPRODUCT(MAX((T_PlannedOrders[Part Name]=$A493)*(T_PlannedOrders[WeekIndex]=100)*(T_PlannedOrders[EffectiveQty]&gt;0)*T_PlannedOrders[Order_Month])),"m月")&amp;"発注)")</f>
        <v/>
      </c>
      <c r="CZ571">
        <f>IF(SUMIFS(T_PlannedOrders[EffectiveQty],T_PlannedOrders[Part Name],$A493,T_PlannedOrders[WeekIndex],101)=0,"",SUMIFS(T_PlannedOrders[EffectiveQty],T_PlannedOrders[Part Name],$A493,T_PlannedOrders[WeekIndex],101)&amp;" ("&amp;TEXT(SUMPRODUCT(MAX((T_PlannedOrders[Part Name]=$A493)*(T_PlannedOrders[WeekIndex]=101)*(T_PlannedOrders[EffectiveQty]&gt;0)*T_PlannedOrders[Order_Month])),"m月")&amp;"発注)")</f>
        <v/>
      </c>
      <c r="DA571">
        <f>IF(SUMIFS(T_PlannedOrders[EffectiveQty],T_PlannedOrders[Part Name],$A493,T_PlannedOrders[WeekIndex],102)=0,"",SUMIFS(T_PlannedOrders[EffectiveQty],T_PlannedOrders[Part Name],$A493,T_PlannedOrders[WeekIndex],102)&amp;" ("&amp;TEXT(SUMPRODUCT(MAX((T_PlannedOrders[Part Name]=$A493)*(T_PlannedOrders[WeekIndex]=102)*(T_PlannedOrders[EffectiveQty]&gt;0)*T_PlannedOrders[Order_Month])),"m月")&amp;"発注)")</f>
        <v/>
      </c>
      <c r="DB571">
        <f>IF(SUMIFS(T_PlannedOrders[EffectiveQty],T_PlannedOrders[Part Name],$A493,T_PlannedOrders[WeekIndex],103)=0,"",SUMIFS(T_PlannedOrders[EffectiveQty],T_PlannedOrders[Part Name],$A493,T_PlannedOrders[WeekIndex],103)&amp;" ("&amp;TEXT(SUMPRODUCT(MAX((T_PlannedOrders[Part Name]=$A493)*(T_PlannedOrders[WeekIndex]=103)*(T_PlannedOrders[EffectiveQty]&gt;0)*T_PlannedOrders[Order_Month])),"m月")&amp;"発注)")</f>
        <v/>
      </c>
      <c r="DC571">
        <f>IF(SUMIFS(T_PlannedOrders[EffectiveQty],T_PlannedOrders[Part Name],$A493,T_PlannedOrders[WeekIndex],104)=0,"",SUMIFS(T_PlannedOrders[EffectiveQty],T_PlannedOrders[Part Name],$A493,T_PlannedOrders[WeekIndex],104)&amp;" ("&amp;TEXT(SUMPRODUCT(MAX((T_PlannedOrders[Part Name]=$A493)*(T_PlannedOrders[WeekIndex]=104)*(T_PlannedOrders[EffectiveQty]&gt;0)*T_PlannedOrders[Order_Month])),"m月")&amp;"発注)")</f>
        <v/>
      </c>
    </row>
    <row r="572">
      <c r="B572" s="5" t="inlineStr">
        <is>
          <t>合計在庫(週末時点,kg)</t>
        </is>
      </c>
      <c r="D572">
        <f>'Grid_Stock'!B33</f>
        <v/>
      </c>
      <c r="E572">
        <f>'Grid_Stock'!C33</f>
        <v/>
      </c>
      <c r="F572">
        <f>'Grid_Stock'!D33</f>
        <v/>
      </c>
      <c r="G572">
        <f>'Grid_Stock'!E33</f>
        <v/>
      </c>
      <c r="H572">
        <f>'Grid_Stock'!F33</f>
        <v/>
      </c>
      <c r="I572">
        <f>'Grid_Stock'!G33</f>
        <v/>
      </c>
      <c r="J572">
        <f>'Grid_Stock'!H33</f>
        <v/>
      </c>
      <c r="K572">
        <f>'Grid_Stock'!I33</f>
        <v/>
      </c>
      <c r="L572">
        <f>'Grid_Stock'!J33</f>
        <v/>
      </c>
      <c r="M572">
        <f>'Grid_Stock'!K33</f>
        <v/>
      </c>
      <c r="N572">
        <f>'Grid_Stock'!L33</f>
        <v/>
      </c>
      <c r="O572">
        <f>'Grid_Stock'!M33</f>
        <v/>
      </c>
      <c r="P572">
        <f>'Grid_Stock'!N33</f>
        <v/>
      </c>
      <c r="Q572">
        <f>'Grid_Stock'!O33</f>
        <v/>
      </c>
      <c r="R572">
        <f>'Grid_Stock'!P33</f>
        <v/>
      </c>
      <c r="S572">
        <f>'Grid_Stock'!Q33</f>
        <v/>
      </c>
      <c r="T572">
        <f>'Grid_Stock'!R33</f>
        <v/>
      </c>
      <c r="U572">
        <f>'Grid_Stock'!S33</f>
        <v/>
      </c>
      <c r="V572">
        <f>'Grid_Stock'!T33</f>
        <v/>
      </c>
      <c r="W572">
        <f>'Grid_Stock'!U33</f>
        <v/>
      </c>
      <c r="X572">
        <f>'Grid_Stock'!V33</f>
        <v/>
      </c>
      <c r="Y572">
        <f>'Grid_Stock'!W33</f>
        <v/>
      </c>
      <c r="Z572">
        <f>'Grid_Stock'!X33</f>
        <v/>
      </c>
      <c r="AA572">
        <f>'Grid_Stock'!Y33</f>
        <v/>
      </c>
      <c r="AB572">
        <f>'Grid_Stock'!Z33</f>
        <v/>
      </c>
      <c r="AC572">
        <f>'Grid_Stock'!AA33</f>
        <v/>
      </c>
      <c r="AD572">
        <f>'Grid_Stock'!AB33</f>
        <v/>
      </c>
      <c r="AE572">
        <f>'Grid_Stock'!AC33</f>
        <v/>
      </c>
      <c r="AF572">
        <f>'Grid_Stock'!AD33</f>
        <v/>
      </c>
      <c r="AG572">
        <f>'Grid_Stock'!AE33</f>
        <v/>
      </c>
      <c r="AH572">
        <f>'Grid_Stock'!AF33</f>
        <v/>
      </c>
      <c r="AI572">
        <f>'Grid_Stock'!AG33</f>
        <v/>
      </c>
      <c r="AJ572">
        <f>'Grid_Stock'!AH33</f>
        <v/>
      </c>
      <c r="AK572">
        <f>'Grid_Stock'!AI33</f>
        <v/>
      </c>
      <c r="AL572">
        <f>'Grid_Stock'!AJ33</f>
        <v/>
      </c>
      <c r="AM572">
        <f>'Grid_Stock'!AK33</f>
        <v/>
      </c>
      <c r="AN572">
        <f>'Grid_Stock'!AL33</f>
        <v/>
      </c>
      <c r="AO572">
        <f>'Grid_Stock'!AM33</f>
        <v/>
      </c>
      <c r="AP572">
        <f>'Grid_Stock'!AN33</f>
        <v/>
      </c>
      <c r="AQ572">
        <f>'Grid_Stock'!AO33</f>
        <v/>
      </c>
      <c r="AR572">
        <f>'Grid_Stock'!AP33</f>
        <v/>
      </c>
      <c r="AS572">
        <f>'Grid_Stock'!AQ33</f>
        <v/>
      </c>
      <c r="AT572">
        <f>'Grid_Stock'!AR33</f>
        <v/>
      </c>
      <c r="AU572">
        <f>'Grid_Stock'!AS33</f>
        <v/>
      </c>
      <c r="AV572">
        <f>'Grid_Stock'!AT33</f>
        <v/>
      </c>
      <c r="AW572">
        <f>'Grid_Stock'!AU33</f>
        <v/>
      </c>
      <c r="AX572">
        <f>'Grid_Stock'!AV33</f>
        <v/>
      </c>
      <c r="AY572">
        <f>'Grid_Stock'!AW33</f>
        <v/>
      </c>
      <c r="AZ572">
        <f>'Grid_Stock'!AX33</f>
        <v/>
      </c>
      <c r="BA572">
        <f>'Grid_Stock'!AY33</f>
        <v/>
      </c>
      <c r="BB572">
        <f>'Grid_Stock'!AZ33</f>
        <v/>
      </c>
      <c r="BC572">
        <f>'Grid_Stock'!BA33</f>
        <v/>
      </c>
      <c r="BD572">
        <f>'Grid_Stock'!BB33</f>
        <v/>
      </c>
      <c r="BE572">
        <f>'Grid_Stock'!BC33</f>
        <v/>
      </c>
      <c r="BF572">
        <f>'Grid_Stock'!BD33</f>
        <v/>
      </c>
      <c r="BG572">
        <f>'Grid_Stock'!BE33</f>
        <v/>
      </c>
      <c r="BH572">
        <f>'Grid_Stock'!BF33</f>
        <v/>
      </c>
      <c r="BI572">
        <f>'Grid_Stock'!BG33</f>
        <v/>
      </c>
      <c r="BJ572">
        <f>'Grid_Stock'!BH33</f>
        <v/>
      </c>
      <c r="BK572">
        <f>'Grid_Stock'!BI33</f>
        <v/>
      </c>
      <c r="BL572">
        <f>'Grid_Stock'!BJ33</f>
        <v/>
      </c>
      <c r="BM572">
        <f>'Grid_Stock'!BK33</f>
        <v/>
      </c>
      <c r="BN572">
        <f>'Grid_Stock'!BL33</f>
        <v/>
      </c>
      <c r="BO572">
        <f>'Grid_Stock'!BM33</f>
        <v/>
      </c>
      <c r="BP572">
        <f>'Grid_Stock'!BN33</f>
        <v/>
      </c>
      <c r="BQ572">
        <f>'Grid_Stock'!BO33</f>
        <v/>
      </c>
      <c r="BR572">
        <f>'Grid_Stock'!BP33</f>
        <v/>
      </c>
      <c r="BS572">
        <f>'Grid_Stock'!BQ33</f>
        <v/>
      </c>
      <c r="BT572">
        <f>'Grid_Stock'!BR33</f>
        <v/>
      </c>
      <c r="BU572">
        <f>'Grid_Stock'!BS33</f>
        <v/>
      </c>
      <c r="BV572">
        <f>'Grid_Stock'!BT33</f>
        <v/>
      </c>
      <c r="BW572">
        <f>'Grid_Stock'!BU33</f>
        <v/>
      </c>
      <c r="BX572">
        <f>'Grid_Stock'!BV33</f>
        <v/>
      </c>
      <c r="BY572">
        <f>'Grid_Stock'!BW33</f>
        <v/>
      </c>
      <c r="BZ572">
        <f>'Grid_Stock'!BX33</f>
        <v/>
      </c>
      <c r="CA572">
        <f>'Grid_Stock'!BY33</f>
        <v/>
      </c>
      <c r="CB572">
        <f>'Grid_Stock'!BZ33</f>
        <v/>
      </c>
      <c r="CC572">
        <f>'Grid_Stock'!CA33</f>
        <v/>
      </c>
      <c r="CD572">
        <f>'Grid_Stock'!CB33</f>
        <v/>
      </c>
      <c r="CE572">
        <f>'Grid_Stock'!CC33</f>
        <v/>
      </c>
      <c r="CF572">
        <f>'Grid_Stock'!CD33</f>
        <v/>
      </c>
      <c r="CG572">
        <f>'Grid_Stock'!CE33</f>
        <v/>
      </c>
      <c r="CH572">
        <f>'Grid_Stock'!CF33</f>
        <v/>
      </c>
      <c r="CI572">
        <f>'Grid_Stock'!CG33</f>
        <v/>
      </c>
      <c r="CJ572">
        <f>'Grid_Stock'!CH33</f>
        <v/>
      </c>
      <c r="CK572">
        <f>'Grid_Stock'!CI33</f>
        <v/>
      </c>
      <c r="CL572">
        <f>'Grid_Stock'!CJ33</f>
        <v/>
      </c>
      <c r="CM572">
        <f>'Grid_Stock'!CK33</f>
        <v/>
      </c>
      <c r="CN572">
        <f>'Grid_Stock'!CL33</f>
        <v/>
      </c>
      <c r="CO572">
        <f>'Grid_Stock'!CM33</f>
        <v/>
      </c>
      <c r="CP572">
        <f>'Grid_Stock'!CN33</f>
        <v/>
      </c>
      <c r="CQ572">
        <f>'Grid_Stock'!CO33</f>
        <v/>
      </c>
      <c r="CR572">
        <f>'Grid_Stock'!CP33</f>
        <v/>
      </c>
      <c r="CS572">
        <f>'Grid_Stock'!CQ33</f>
        <v/>
      </c>
      <c r="CT572">
        <f>'Grid_Stock'!CR33</f>
        <v/>
      </c>
      <c r="CU572">
        <f>'Grid_Stock'!CS33</f>
        <v/>
      </c>
      <c r="CV572">
        <f>'Grid_Stock'!CT33</f>
        <v/>
      </c>
      <c r="CW572">
        <f>'Grid_Stock'!CU33</f>
        <v/>
      </c>
      <c r="CX572">
        <f>'Grid_Stock'!CV33</f>
        <v/>
      </c>
      <c r="CY572">
        <f>'Grid_Stock'!CW33</f>
        <v/>
      </c>
      <c r="CZ572">
        <f>'Grid_Stock'!CX33</f>
        <v/>
      </c>
      <c r="DA572">
        <f>'Grid_Stock'!CY33</f>
        <v/>
      </c>
      <c r="DB572">
        <f>'Grid_Stock'!CZ33</f>
        <v/>
      </c>
      <c r="DC572">
        <f>'Grid_Stock'!DA33</f>
        <v/>
      </c>
    </row>
    <row r="573">
      <c r="B573" s="23" t="inlineStr">
        <is>
          <t>（発注の目安はDashboardの基準在庫[下限/上限]と色分けを参照）</t>
        </is>
      </c>
    </row>
    <row r="575">
      <c r="A575" s="21" t="inlineStr">
        <is>
          <t>CHEM-1650</t>
        </is>
      </c>
      <c r="B575" s="21" t="inlineStr">
        <is>
          <t>Duasyn Acid Blue</t>
        </is>
      </c>
      <c r="C575" s="22" t="n"/>
      <c r="D575" s="21" t="n"/>
      <c r="E575" s="21" t="n"/>
      <c r="F575" s="21" t="n"/>
      <c r="G575" s="21" t="n"/>
      <c r="H575" s="2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  <c r="AA575" s="21" t="n"/>
      <c r="AB575" s="21" t="n"/>
      <c r="AC575" s="21" t="n"/>
      <c r="AD575" s="21" t="n"/>
      <c r="AE575" s="21" t="n"/>
      <c r="AF575" s="21" t="n"/>
      <c r="AG575" s="21" t="n"/>
      <c r="AH575" s="21" t="n"/>
      <c r="AI575" s="21" t="n"/>
      <c r="AJ575" s="21" t="n"/>
      <c r="AK575" s="21" t="n"/>
      <c r="AL575" s="21" t="n"/>
      <c r="AM575" s="21" t="n"/>
      <c r="AN575" s="21" t="n"/>
      <c r="AO575" s="21" t="n"/>
      <c r="AP575" s="21" t="n"/>
      <c r="AQ575" s="21" t="n"/>
      <c r="AR575" s="21" t="n"/>
      <c r="AS575" s="21" t="n"/>
      <c r="AT575" s="21" t="n"/>
      <c r="AU575" s="21" t="n"/>
      <c r="AV575" s="21" t="n"/>
      <c r="AW575" s="21" t="n"/>
      <c r="AX575" s="21" t="n"/>
      <c r="AY575" s="21" t="n"/>
      <c r="AZ575" s="21" t="n"/>
      <c r="BA575" s="21" t="n"/>
      <c r="BB575" s="21" t="n"/>
      <c r="BC575" s="21" t="n"/>
      <c r="BD575" s="21" t="n"/>
      <c r="BE575" s="21" t="n"/>
      <c r="BF575" s="21" t="n"/>
      <c r="BG575" s="21" t="n"/>
      <c r="BH575" s="21" t="n"/>
      <c r="BI575" s="21" t="n"/>
      <c r="BJ575" s="21" t="n"/>
      <c r="BK575" s="21" t="n"/>
      <c r="BL575" s="21" t="n"/>
      <c r="BM575" s="21" t="n"/>
      <c r="BN575" s="21" t="n"/>
      <c r="BO575" s="21" t="n"/>
      <c r="BP575" s="21" t="n"/>
      <c r="BQ575" s="21" t="n"/>
      <c r="BR575" s="21" t="n"/>
      <c r="BS575" s="21" t="n"/>
      <c r="BT575" s="21" t="n"/>
      <c r="BU575" s="21" t="n"/>
      <c r="BV575" s="21" t="n"/>
      <c r="BW575" s="21" t="n"/>
      <c r="BX575" s="21" t="n"/>
      <c r="BY575" s="21" t="n"/>
      <c r="BZ575" s="21" t="n"/>
      <c r="CA575" s="21" t="n"/>
      <c r="CB575" s="21" t="n"/>
      <c r="CC575" s="21" t="n"/>
      <c r="CD575" s="21" t="n"/>
      <c r="CE575" s="21" t="n"/>
      <c r="CF575" s="21" t="n"/>
      <c r="CG575" s="21" t="n"/>
      <c r="CH575" s="21" t="n"/>
      <c r="CI575" s="21" t="n"/>
      <c r="CJ575" s="21" t="n"/>
      <c r="CK575" s="21" t="n"/>
      <c r="CL575" s="21" t="n"/>
      <c r="CM575" s="21" t="n"/>
      <c r="CN575" s="21" t="n"/>
      <c r="CO575" s="21" t="n"/>
      <c r="CP575" s="21" t="n"/>
      <c r="CQ575" s="21" t="n"/>
      <c r="CR575" s="21" t="n"/>
      <c r="CS575" s="21" t="n"/>
      <c r="CT575" s="21" t="n"/>
      <c r="CU575" s="21" t="n"/>
      <c r="CV575" s="21" t="n"/>
      <c r="CW575" s="21" t="n"/>
      <c r="CX575" s="21" t="n"/>
      <c r="CY575" s="21" t="n"/>
      <c r="CZ575" s="21" t="n"/>
      <c r="DA575" s="21" t="n"/>
      <c r="DB575" s="21" t="n"/>
      <c r="DC575" s="21" t="n"/>
    </row>
    <row r="576">
      <c r="B576" t="inlineStr">
        <is>
          <t>TSP-1388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12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SUMIFS(M_BOM[RM_Qty_Per_Batch],M_BOM[Intermediate],$B576,M_BOM[Part Name],$A575)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TSP-402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12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SUMIFS(M_BOM[RM_Qty_Per_Batch],M_BOM[Intermediate],$B578,M_BOM[Part Name],$A575)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TSP-403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12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SUMIFS(M_BOM[RM_Qty_Per_Batch],M_BOM[Intermediate],$B580,M_BOM[Part Name],$A575)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t="inlineStr">
        <is>
          <t>TSP-404</t>
        </is>
      </c>
      <c r="C582" t="inlineStr">
        <is>
          <t>No. of batches</t>
        </is>
      </c>
      <c r="D582">
        <f>IFERROR(INDEX(PP_Grid[#Data],$DD582,2),0)</f>
        <v/>
      </c>
      <c r="E582">
        <f>IFERROR(INDEX(PP_Grid[#Data],$DD582,3),0)</f>
        <v/>
      </c>
      <c r="F582">
        <f>IFERROR(INDEX(PP_Grid[#Data],$DD582,4),0)</f>
        <v/>
      </c>
      <c r="G582">
        <f>IFERROR(INDEX(PP_Grid[#Data],$DD582,5),0)</f>
        <v/>
      </c>
      <c r="H582">
        <f>IFERROR(INDEX(PP_Grid[#Data],$DD582,6),0)</f>
        <v/>
      </c>
      <c r="I582">
        <f>IFERROR(INDEX(PP_Grid[#Data],$DD582,7),0)</f>
        <v/>
      </c>
      <c r="J582">
        <f>IFERROR(INDEX(PP_Grid[#Data],$DD582,8),0)</f>
        <v/>
      </c>
      <c r="K582">
        <f>IFERROR(INDEX(PP_Grid[#Data],$DD582,9),0)</f>
        <v/>
      </c>
      <c r="L582">
        <f>IFERROR(INDEX(PP_Grid[#Data],$DD582,10),0)</f>
        <v/>
      </c>
      <c r="M582">
        <f>IFERROR(INDEX(PP_Grid[#Data],$DD582,11),0)</f>
        <v/>
      </c>
      <c r="N582">
        <f>IFERROR(INDEX(PP_Grid[#Data],$DD582,12),0)</f>
        <v/>
      </c>
      <c r="O582">
        <f>IFERROR(INDEX(PP_Grid[#Data],$DD582,13),0)</f>
        <v/>
      </c>
      <c r="P582">
        <f>IFERROR(INDEX(PP_Grid[#Data],$DD582,14),0)</f>
        <v/>
      </c>
      <c r="Q582">
        <f>IFERROR(INDEX(PP_Grid[#Data],$DD582,15),0)</f>
        <v/>
      </c>
      <c r="R582">
        <f>IFERROR(INDEX(PP_Grid[#Data],$DD582,16),0)</f>
        <v/>
      </c>
      <c r="S582">
        <f>IFERROR(INDEX(PP_Grid[#Data],$DD582,17),0)</f>
        <v/>
      </c>
      <c r="T582">
        <f>IFERROR(INDEX(PP_Grid[#Data],$DD582,18),0)</f>
        <v/>
      </c>
      <c r="U582">
        <f>IFERROR(INDEX(PP_Grid[#Data],$DD582,19),0)</f>
        <v/>
      </c>
      <c r="V582">
        <f>IFERROR(INDEX(PP_Grid[#Data],$DD582,20),0)</f>
        <v/>
      </c>
      <c r="W582">
        <f>IFERROR(INDEX(PP_Grid[#Data],$DD582,21),0)</f>
        <v/>
      </c>
      <c r="X582">
        <f>IFERROR(INDEX(PP_Grid[#Data],$DD582,22),0)</f>
        <v/>
      </c>
      <c r="Y582">
        <f>IFERROR(INDEX(PP_Grid[#Data],$DD582,23),0)</f>
        <v/>
      </c>
      <c r="Z582">
        <f>IFERROR(INDEX(PP_Grid[#Data],$DD582,24),0)</f>
        <v/>
      </c>
      <c r="AA582">
        <f>IFERROR(INDEX(PP_Grid[#Data],$DD582,25),0)</f>
        <v/>
      </c>
      <c r="AB582">
        <f>IFERROR(INDEX(PP_Grid[#Data],$DD582,26),0)</f>
        <v/>
      </c>
      <c r="AC582">
        <f>IFERROR(INDEX(PP_Grid[#Data],$DD582,27),0)</f>
        <v/>
      </c>
      <c r="AD582">
        <f>IFERROR(INDEX(PP_Grid[#Data],$DD582,28),0)</f>
        <v/>
      </c>
      <c r="AE582">
        <f>IFERROR(INDEX(PP_Grid[#Data],$DD582,29),0)</f>
        <v/>
      </c>
      <c r="AF582">
        <f>IFERROR(INDEX(PP_Grid[#Data],$DD582,30),0)</f>
        <v/>
      </c>
      <c r="AG582">
        <f>IFERROR(INDEX(PP_Grid[#Data],$DD582,31),0)</f>
        <v/>
      </c>
      <c r="AH582">
        <f>IFERROR(INDEX(PP_Grid[#Data],$DD582,32),0)</f>
        <v/>
      </c>
      <c r="AI582">
        <f>IFERROR(INDEX(PP_Grid[#Data],$DD582,33),0)</f>
        <v/>
      </c>
      <c r="AJ582">
        <f>IFERROR(INDEX(PP_Grid[#Data],$DD582,34),0)</f>
        <v/>
      </c>
      <c r="AK582">
        <f>IFERROR(INDEX(PP_Grid[#Data],$DD582,35),0)</f>
        <v/>
      </c>
      <c r="AL582">
        <f>IFERROR(INDEX(PP_Grid[#Data],$DD582,36),0)</f>
        <v/>
      </c>
      <c r="AM582">
        <f>IFERROR(INDEX(PP_Grid[#Data],$DD582,37),0)</f>
        <v/>
      </c>
      <c r="AN582">
        <f>IFERROR(INDEX(PP_Grid[#Data],$DD582,38),0)</f>
        <v/>
      </c>
      <c r="AO582">
        <f>IFERROR(INDEX(PP_Grid[#Data],$DD582,39),0)</f>
        <v/>
      </c>
      <c r="AP582">
        <f>IFERROR(INDEX(PP_Grid[#Data],$DD582,40),0)</f>
        <v/>
      </c>
      <c r="AQ582">
        <f>IFERROR(INDEX(PP_Grid[#Data],$DD582,41),0)</f>
        <v/>
      </c>
      <c r="AR582">
        <f>IFERROR(INDEX(PP_Grid[#Data],$DD582,42),0)</f>
        <v/>
      </c>
      <c r="AS582">
        <f>IFERROR(INDEX(PP_Grid[#Data],$DD582,43),0)</f>
        <v/>
      </c>
      <c r="AT582">
        <f>IFERROR(INDEX(PP_Grid[#Data],$DD582,44),0)</f>
        <v/>
      </c>
      <c r="AU582">
        <f>IFERROR(INDEX(PP_Grid[#Data],$DD582,45),0)</f>
        <v/>
      </c>
      <c r="AV582">
        <f>IFERROR(INDEX(PP_Grid[#Data],$DD582,46),0)</f>
        <v/>
      </c>
      <c r="AW582">
        <f>IFERROR(INDEX(PP_Grid[#Data],$DD582,47),0)</f>
        <v/>
      </c>
      <c r="AX582">
        <f>IFERROR(INDEX(PP_Grid[#Data],$DD582,48),0)</f>
        <v/>
      </c>
      <c r="AY582">
        <f>IFERROR(INDEX(PP_Grid[#Data],$DD582,49),0)</f>
        <v/>
      </c>
      <c r="AZ582">
        <f>IFERROR(INDEX(PP_Grid[#Data],$DD582,50),0)</f>
        <v/>
      </c>
      <c r="BA582">
        <f>IFERROR(INDEX(PP_Grid[#Data],$DD582,51),0)</f>
        <v/>
      </c>
      <c r="BB582">
        <f>IFERROR(INDEX(PP_Grid[#Data],$DD582,52),0)</f>
        <v/>
      </c>
      <c r="BC582">
        <f>IFERROR(INDEX(PP_Grid[#Data],$DD582,53),0)</f>
        <v/>
      </c>
      <c r="BD582">
        <f>IFERROR(INDEX(PP_Grid[#Data],$DD582,54),0)</f>
        <v/>
      </c>
      <c r="BE582">
        <f>IFERROR(INDEX(PP_Grid[#Data],$DD582,55),0)</f>
        <v/>
      </c>
      <c r="BF582">
        <f>IFERROR(INDEX(PP_Grid[#Data],$DD582,56),0)</f>
        <v/>
      </c>
      <c r="BG582">
        <f>IFERROR(INDEX(PP_Grid[#Data],$DD582,57),0)</f>
        <v/>
      </c>
      <c r="BH582">
        <f>IFERROR(INDEX(PP_Grid[#Data],$DD582,58),0)</f>
        <v/>
      </c>
      <c r="BI582">
        <f>IFERROR(INDEX(PP_Grid[#Data],$DD582,59),0)</f>
        <v/>
      </c>
      <c r="BJ582">
        <f>IFERROR(INDEX(PP_Grid[#Data],$DD582,60),0)</f>
        <v/>
      </c>
      <c r="BK582">
        <f>IFERROR(INDEX(PP_Grid[#Data],$DD582,61),0)</f>
        <v/>
      </c>
      <c r="BL582">
        <f>IFERROR(INDEX(PP_Grid[#Data],$DD582,62),0)</f>
        <v/>
      </c>
      <c r="BM582">
        <f>IFERROR(INDEX(PP_Grid[#Data],$DD582,63),0)</f>
        <v/>
      </c>
      <c r="BN582">
        <f>IFERROR(INDEX(PP_Grid[#Data],$DD582,64),0)</f>
        <v/>
      </c>
      <c r="BO582">
        <f>IFERROR(INDEX(PP_Grid[#Data],$DD582,65),0)</f>
        <v/>
      </c>
      <c r="BP582">
        <f>IFERROR(INDEX(PP_Grid[#Data],$DD582,66),0)</f>
        <v/>
      </c>
      <c r="BQ582">
        <f>IFERROR(INDEX(PP_Grid[#Data],$DD582,67),0)</f>
        <v/>
      </c>
      <c r="BR582">
        <f>IFERROR(INDEX(PP_Grid[#Data],$DD582,68),0)</f>
        <v/>
      </c>
      <c r="BS582">
        <f>IFERROR(INDEX(PP_Grid[#Data],$DD582,69),0)</f>
        <v/>
      </c>
      <c r="BT582">
        <f>IFERROR(INDEX(PP_Grid[#Data],$DD582,70),0)</f>
        <v/>
      </c>
      <c r="BU582">
        <f>IFERROR(INDEX(PP_Grid[#Data],$DD582,71),0)</f>
        <v/>
      </c>
      <c r="BV582">
        <f>IFERROR(INDEX(PP_Grid[#Data],$DD582,72),0)</f>
        <v/>
      </c>
      <c r="BW582">
        <f>IFERROR(INDEX(PP_Grid[#Data],$DD582,73),0)</f>
        <v/>
      </c>
      <c r="BX582">
        <f>IFERROR(INDEX(PP_Grid[#Data],$DD582,74),0)</f>
        <v/>
      </c>
      <c r="BY582">
        <f>IFERROR(INDEX(PP_Grid[#Data],$DD582,75),0)</f>
        <v/>
      </c>
      <c r="BZ582">
        <f>IFERROR(INDEX(PP_Grid[#Data],$DD582,76),0)</f>
        <v/>
      </c>
      <c r="CA582">
        <f>IFERROR(INDEX(PP_Grid[#Data],$DD582,77),0)</f>
        <v/>
      </c>
      <c r="CB582">
        <f>IFERROR(INDEX(PP_Grid[#Data],$DD582,78),0)</f>
        <v/>
      </c>
      <c r="CC582">
        <f>IFERROR(INDEX(PP_Grid[#Data],$DD582,79),0)</f>
        <v/>
      </c>
      <c r="CD582">
        <f>IFERROR(INDEX(PP_Grid[#Data],$DD582,80),0)</f>
        <v/>
      </c>
      <c r="CE582">
        <f>IFERROR(INDEX(PP_Grid[#Data],$DD582,81),0)</f>
        <v/>
      </c>
      <c r="CF582">
        <f>IFERROR(INDEX(PP_Grid[#Data],$DD582,82),0)</f>
        <v/>
      </c>
      <c r="CG582">
        <f>IFERROR(INDEX(PP_Grid[#Data],$DD582,83),0)</f>
        <v/>
      </c>
      <c r="CH582">
        <f>IFERROR(INDEX(PP_Grid[#Data],$DD582,84),0)</f>
        <v/>
      </c>
      <c r="CI582">
        <f>IFERROR(INDEX(PP_Grid[#Data],$DD582,85),0)</f>
        <v/>
      </c>
      <c r="CJ582">
        <f>IFERROR(INDEX(PP_Grid[#Data],$DD582,86),0)</f>
        <v/>
      </c>
      <c r="CK582">
        <f>IFERROR(INDEX(PP_Grid[#Data],$DD582,87),0)</f>
        <v/>
      </c>
      <c r="CL582">
        <f>IFERROR(INDEX(PP_Grid[#Data],$DD582,88),0)</f>
        <v/>
      </c>
      <c r="CM582">
        <f>IFERROR(INDEX(PP_Grid[#Data],$DD582,89),0)</f>
        <v/>
      </c>
      <c r="CN582">
        <f>IFERROR(INDEX(PP_Grid[#Data],$DD582,90),0)</f>
        <v/>
      </c>
      <c r="CO582">
        <f>IFERROR(INDEX(PP_Grid[#Data],$DD582,91),0)</f>
        <v/>
      </c>
      <c r="CP582">
        <f>IFERROR(INDEX(PP_Grid[#Data],$DD582,92),0)</f>
        <v/>
      </c>
      <c r="CQ582">
        <f>IFERROR(INDEX(PP_Grid[#Data],$DD582,93),0)</f>
        <v/>
      </c>
      <c r="CR582">
        <f>IFERROR(INDEX(PP_Grid[#Data],$DD582,94),0)</f>
        <v/>
      </c>
      <c r="CS582">
        <f>IFERROR(INDEX(PP_Grid[#Data],$DD582,95),0)</f>
        <v/>
      </c>
      <c r="CT582">
        <f>IFERROR(INDEX(PP_Grid[#Data],$DD582,96),0)</f>
        <v/>
      </c>
      <c r="CU582">
        <f>IFERROR(INDEX(PP_Grid[#Data],$DD582,97),0)</f>
        <v/>
      </c>
      <c r="CV582">
        <f>IFERROR(INDEX(PP_Grid[#Data],$DD582,98),0)</f>
        <v/>
      </c>
      <c r="CW582">
        <f>IFERROR(INDEX(PP_Grid[#Data],$DD582,99),0)</f>
        <v/>
      </c>
      <c r="CX582">
        <f>IFERROR(INDEX(PP_Grid[#Data],$DD582,100),0)</f>
        <v/>
      </c>
      <c r="CY582">
        <f>IFERROR(INDEX(PP_Grid[#Data],$DD582,101),0)</f>
        <v/>
      </c>
      <c r="CZ582">
        <f>IFERROR(INDEX(PP_Grid[#Data],$DD582,102),0)</f>
        <v/>
      </c>
      <c r="DA582">
        <f>IFERROR(INDEX(PP_Grid[#Data],$DD582,103),0)</f>
        <v/>
      </c>
      <c r="DB582">
        <f>IFERROR(INDEX(PP_Grid[#Data],$DD582,104),0)</f>
        <v/>
      </c>
      <c r="DC582">
        <f>IFERROR(INDEX(PP_Grid[#Data],$DD582,105),0)</f>
        <v/>
      </c>
      <c r="DD582" s="12">
        <f>IFERROR(MATCH($B582,PP_Grid[Intermediate],0),99999)</f>
        <v/>
      </c>
    </row>
    <row r="583">
      <c r="B583" t="inlineStr">
        <is>
          <t>使用量(kg)</t>
        </is>
      </c>
      <c r="C583">
        <f>SUMIFS(M_BOM[RM_Qty_Per_Batch],M_BOM[Intermediate],$B582,M_BOM[Part Name],$A575)</f>
        <v/>
      </c>
      <c r="D583">
        <f>$C583*D582</f>
        <v/>
      </c>
      <c r="E583">
        <f>$C583*E582</f>
        <v/>
      </c>
      <c r="F583">
        <f>$C583*F582</f>
        <v/>
      </c>
      <c r="G583">
        <f>$C583*G582</f>
        <v/>
      </c>
      <c r="H583">
        <f>$C583*H582</f>
        <v/>
      </c>
      <c r="I583">
        <f>$C583*I582</f>
        <v/>
      </c>
      <c r="J583">
        <f>$C583*J582</f>
        <v/>
      </c>
      <c r="K583">
        <f>$C583*K582</f>
        <v/>
      </c>
      <c r="L583">
        <f>$C583*L582</f>
        <v/>
      </c>
      <c r="M583">
        <f>$C583*M582</f>
        <v/>
      </c>
      <c r="N583">
        <f>$C583*N582</f>
        <v/>
      </c>
      <c r="O583">
        <f>$C583*O582</f>
        <v/>
      </c>
      <c r="P583">
        <f>$C583*P582</f>
        <v/>
      </c>
      <c r="Q583">
        <f>$C583*Q582</f>
        <v/>
      </c>
      <c r="R583">
        <f>$C583*R582</f>
        <v/>
      </c>
      <c r="S583">
        <f>$C583*S582</f>
        <v/>
      </c>
      <c r="T583">
        <f>$C583*T582</f>
        <v/>
      </c>
      <c r="U583">
        <f>$C583*U582</f>
        <v/>
      </c>
      <c r="V583">
        <f>$C583*V582</f>
        <v/>
      </c>
      <c r="W583">
        <f>$C583*W582</f>
        <v/>
      </c>
      <c r="X583">
        <f>$C583*X582</f>
        <v/>
      </c>
      <c r="Y583">
        <f>$C583*Y582</f>
        <v/>
      </c>
      <c r="Z583">
        <f>$C583*Z582</f>
        <v/>
      </c>
      <c r="AA583">
        <f>$C583*AA582</f>
        <v/>
      </c>
      <c r="AB583">
        <f>$C583*AB582</f>
        <v/>
      </c>
      <c r="AC583">
        <f>$C583*AC582</f>
        <v/>
      </c>
      <c r="AD583">
        <f>$C583*AD582</f>
        <v/>
      </c>
      <c r="AE583">
        <f>$C583*AE582</f>
        <v/>
      </c>
      <c r="AF583">
        <f>$C583*AF582</f>
        <v/>
      </c>
      <c r="AG583">
        <f>$C583*AG582</f>
        <v/>
      </c>
      <c r="AH583">
        <f>$C583*AH582</f>
        <v/>
      </c>
      <c r="AI583">
        <f>$C583*AI582</f>
        <v/>
      </c>
      <c r="AJ583">
        <f>$C583*AJ582</f>
        <v/>
      </c>
      <c r="AK583">
        <f>$C583*AK582</f>
        <v/>
      </c>
      <c r="AL583">
        <f>$C583*AL582</f>
        <v/>
      </c>
      <c r="AM583">
        <f>$C583*AM582</f>
        <v/>
      </c>
      <c r="AN583">
        <f>$C583*AN582</f>
        <v/>
      </c>
      <c r="AO583">
        <f>$C583*AO582</f>
        <v/>
      </c>
      <c r="AP583">
        <f>$C583*AP582</f>
        <v/>
      </c>
      <c r="AQ583">
        <f>$C583*AQ582</f>
        <v/>
      </c>
      <c r="AR583">
        <f>$C583*AR582</f>
        <v/>
      </c>
      <c r="AS583">
        <f>$C583*AS582</f>
        <v/>
      </c>
      <c r="AT583">
        <f>$C583*AT582</f>
        <v/>
      </c>
      <c r="AU583">
        <f>$C583*AU582</f>
        <v/>
      </c>
      <c r="AV583">
        <f>$C583*AV582</f>
        <v/>
      </c>
      <c r="AW583">
        <f>$C583*AW582</f>
        <v/>
      </c>
      <c r="AX583">
        <f>$C583*AX582</f>
        <v/>
      </c>
      <c r="AY583">
        <f>$C583*AY582</f>
        <v/>
      </c>
      <c r="AZ583">
        <f>$C583*AZ582</f>
        <v/>
      </c>
      <c r="BA583">
        <f>$C583*BA582</f>
        <v/>
      </c>
      <c r="BB583">
        <f>$C583*BB582</f>
        <v/>
      </c>
      <c r="BC583">
        <f>$C583*BC582</f>
        <v/>
      </c>
      <c r="BD583">
        <f>$C583*BD582</f>
        <v/>
      </c>
      <c r="BE583">
        <f>$C583*BE582</f>
        <v/>
      </c>
      <c r="BF583">
        <f>$C583*BF582</f>
        <v/>
      </c>
      <c r="BG583">
        <f>$C583*BG582</f>
        <v/>
      </c>
      <c r="BH583">
        <f>$C583*BH582</f>
        <v/>
      </c>
      <c r="BI583">
        <f>$C583*BI582</f>
        <v/>
      </c>
      <c r="BJ583">
        <f>$C583*BJ582</f>
        <v/>
      </c>
      <c r="BK583">
        <f>$C583*BK582</f>
        <v/>
      </c>
      <c r="BL583">
        <f>$C583*BL582</f>
        <v/>
      </c>
      <c r="BM583">
        <f>$C583*BM582</f>
        <v/>
      </c>
      <c r="BN583">
        <f>$C583*BN582</f>
        <v/>
      </c>
      <c r="BO583">
        <f>$C583*BO582</f>
        <v/>
      </c>
      <c r="BP583">
        <f>$C583*BP582</f>
        <v/>
      </c>
      <c r="BQ583">
        <f>$C583*BQ582</f>
        <v/>
      </c>
      <c r="BR583">
        <f>$C583*BR582</f>
        <v/>
      </c>
      <c r="BS583">
        <f>$C583*BS582</f>
        <v/>
      </c>
      <c r="BT583">
        <f>$C583*BT582</f>
        <v/>
      </c>
      <c r="BU583">
        <f>$C583*BU582</f>
        <v/>
      </c>
      <c r="BV583">
        <f>$C583*BV582</f>
        <v/>
      </c>
      <c r="BW583">
        <f>$C583*BW582</f>
        <v/>
      </c>
      <c r="BX583">
        <f>$C583*BX582</f>
        <v/>
      </c>
      <c r="BY583">
        <f>$C583*BY582</f>
        <v/>
      </c>
      <c r="BZ583">
        <f>$C583*BZ582</f>
        <v/>
      </c>
      <c r="CA583">
        <f>$C583*CA582</f>
        <v/>
      </c>
      <c r="CB583">
        <f>$C583*CB582</f>
        <v/>
      </c>
      <c r="CC583">
        <f>$C583*CC582</f>
        <v/>
      </c>
      <c r="CD583">
        <f>$C583*CD582</f>
        <v/>
      </c>
      <c r="CE583">
        <f>$C583*CE582</f>
        <v/>
      </c>
      <c r="CF583">
        <f>$C583*CF582</f>
        <v/>
      </c>
      <c r="CG583">
        <f>$C583*CG582</f>
        <v/>
      </c>
      <c r="CH583">
        <f>$C583*CH582</f>
        <v/>
      </c>
      <c r="CI583">
        <f>$C583*CI582</f>
        <v/>
      </c>
      <c r="CJ583">
        <f>$C583*CJ582</f>
        <v/>
      </c>
      <c r="CK583">
        <f>$C583*CK582</f>
        <v/>
      </c>
      <c r="CL583">
        <f>$C583*CL582</f>
        <v/>
      </c>
      <c r="CM583">
        <f>$C583*CM582</f>
        <v/>
      </c>
      <c r="CN583">
        <f>$C583*CN582</f>
        <v/>
      </c>
      <c r="CO583">
        <f>$C583*CO582</f>
        <v/>
      </c>
      <c r="CP583">
        <f>$C583*CP582</f>
        <v/>
      </c>
      <c r="CQ583">
        <f>$C583*CQ582</f>
        <v/>
      </c>
      <c r="CR583">
        <f>$C583*CR582</f>
        <v/>
      </c>
      <c r="CS583">
        <f>$C583*CS582</f>
        <v/>
      </c>
      <c r="CT583">
        <f>$C583*CT582</f>
        <v/>
      </c>
      <c r="CU583">
        <f>$C583*CU582</f>
        <v/>
      </c>
      <c r="CV583">
        <f>$C583*CV582</f>
        <v/>
      </c>
      <c r="CW583">
        <f>$C583*CW582</f>
        <v/>
      </c>
      <c r="CX583">
        <f>$C583*CX582</f>
        <v/>
      </c>
      <c r="CY583">
        <f>$C583*CY582</f>
        <v/>
      </c>
      <c r="CZ583">
        <f>$C583*CZ582</f>
        <v/>
      </c>
      <c r="DA583">
        <f>$C583*DA582</f>
        <v/>
      </c>
      <c r="DB583">
        <f>$C583*DB582</f>
        <v/>
      </c>
      <c r="DC583">
        <f>$C583*DC582</f>
        <v/>
      </c>
    </row>
    <row r="584">
      <c r="B584" t="inlineStr">
        <is>
          <t>TSP-405</t>
        </is>
      </c>
      <c r="C584" t="inlineStr">
        <is>
          <t>No. of batches</t>
        </is>
      </c>
      <c r="D584">
        <f>IFERROR(INDEX(PP_Grid[#Data],$DD584,2),0)</f>
        <v/>
      </c>
      <c r="E584">
        <f>IFERROR(INDEX(PP_Grid[#Data],$DD584,3),0)</f>
        <v/>
      </c>
      <c r="F584">
        <f>IFERROR(INDEX(PP_Grid[#Data],$DD584,4),0)</f>
        <v/>
      </c>
      <c r="G584">
        <f>IFERROR(INDEX(PP_Grid[#Data],$DD584,5),0)</f>
        <v/>
      </c>
      <c r="H584">
        <f>IFERROR(INDEX(PP_Grid[#Data],$DD584,6),0)</f>
        <v/>
      </c>
      <c r="I584">
        <f>IFERROR(INDEX(PP_Grid[#Data],$DD584,7),0)</f>
        <v/>
      </c>
      <c r="J584">
        <f>IFERROR(INDEX(PP_Grid[#Data],$DD584,8),0)</f>
        <v/>
      </c>
      <c r="K584">
        <f>IFERROR(INDEX(PP_Grid[#Data],$DD584,9),0)</f>
        <v/>
      </c>
      <c r="L584">
        <f>IFERROR(INDEX(PP_Grid[#Data],$DD584,10),0)</f>
        <v/>
      </c>
      <c r="M584">
        <f>IFERROR(INDEX(PP_Grid[#Data],$DD584,11),0)</f>
        <v/>
      </c>
      <c r="N584">
        <f>IFERROR(INDEX(PP_Grid[#Data],$DD584,12),0)</f>
        <v/>
      </c>
      <c r="O584">
        <f>IFERROR(INDEX(PP_Grid[#Data],$DD584,13),0)</f>
        <v/>
      </c>
      <c r="P584">
        <f>IFERROR(INDEX(PP_Grid[#Data],$DD584,14),0)</f>
        <v/>
      </c>
      <c r="Q584">
        <f>IFERROR(INDEX(PP_Grid[#Data],$DD584,15),0)</f>
        <v/>
      </c>
      <c r="R584">
        <f>IFERROR(INDEX(PP_Grid[#Data],$DD584,16),0)</f>
        <v/>
      </c>
      <c r="S584">
        <f>IFERROR(INDEX(PP_Grid[#Data],$DD584,17),0)</f>
        <v/>
      </c>
      <c r="T584">
        <f>IFERROR(INDEX(PP_Grid[#Data],$DD584,18),0)</f>
        <v/>
      </c>
      <c r="U584">
        <f>IFERROR(INDEX(PP_Grid[#Data],$DD584,19),0)</f>
        <v/>
      </c>
      <c r="V584">
        <f>IFERROR(INDEX(PP_Grid[#Data],$DD584,20),0)</f>
        <v/>
      </c>
      <c r="W584">
        <f>IFERROR(INDEX(PP_Grid[#Data],$DD584,21),0)</f>
        <v/>
      </c>
      <c r="X584">
        <f>IFERROR(INDEX(PP_Grid[#Data],$DD584,22),0)</f>
        <v/>
      </c>
      <c r="Y584">
        <f>IFERROR(INDEX(PP_Grid[#Data],$DD584,23),0)</f>
        <v/>
      </c>
      <c r="Z584">
        <f>IFERROR(INDEX(PP_Grid[#Data],$DD584,24),0)</f>
        <v/>
      </c>
      <c r="AA584">
        <f>IFERROR(INDEX(PP_Grid[#Data],$DD584,25),0)</f>
        <v/>
      </c>
      <c r="AB584">
        <f>IFERROR(INDEX(PP_Grid[#Data],$DD584,26),0)</f>
        <v/>
      </c>
      <c r="AC584">
        <f>IFERROR(INDEX(PP_Grid[#Data],$DD584,27),0)</f>
        <v/>
      </c>
      <c r="AD584">
        <f>IFERROR(INDEX(PP_Grid[#Data],$DD584,28),0)</f>
        <v/>
      </c>
      <c r="AE584">
        <f>IFERROR(INDEX(PP_Grid[#Data],$DD584,29),0)</f>
        <v/>
      </c>
      <c r="AF584">
        <f>IFERROR(INDEX(PP_Grid[#Data],$DD584,30),0)</f>
        <v/>
      </c>
      <c r="AG584">
        <f>IFERROR(INDEX(PP_Grid[#Data],$DD584,31),0)</f>
        <v/>
      </c>
      <c r="AH584">
        <f>IFERROR(INDEX(PP_Grid[#Data],$DD584,32),0)</f>
        <v/>
      </c>
      <c r="AI584">
        <f>IFERROR(INDEX(PP_Grid[#Data],$DD584,33),0)</f>
        <v/>
      </c>
      <c r="AJ584">
        <f>IFERROR(INDEX(PP_Grid[#Data],$DD584,34),0)</f>
        <v/>
      </c>
      <c r="AK584">
        <f>IFERROR(INDEX(PP_Grid[#Data],$DD584,35),0)</f>
        <v/>
      </c>
      <c r="AL584">
        <f>IFERROR(INDEX(PP_Grid[#Data],$DD584,36),0)</f>
        <v/>
      </c>
      <c r="AM584">
        <f>IFERROR(INDEX(PP_Grid[#Data],$DD584,37),0)</f>
        <v/>
      </c>
      <c r="AN584">
        <f>IFERROR(INDEX(PP_Grid[#Data],$DD584,38),0)</f>
        <v/>
      </c>
      <c r="AO584">
        <f>IFERROR(INDEX(PP_Grid[#Data],$DD584,39),0)</f>
        <v/>
      </c>
      <c r="AP584">
        <f>IFERROR(INDEX(PP_Grid[#Data],$DD584,40),0)</f>
        <v/>
      </c>
      <c r="AQ584">
        <f>IFERROR(INDEX(PP_Grid[#Data],$DD584,41),0)</f>
        <v/>
      </c>
      <c r="AR584">
        <f>IFERROR(INDEX(PP_Grid[#Data],$DD584,42),0)</f>
        <v/>
      </c>
      <c r="AS584">
        <f>IFERROR(INDEX(PP_Grid[#Data],$DD584,43),0)</f>
        <v/>
      </c>
      <c r="AT584">
        <f>IFERROR(INDEX(PP_Grid[#Data],$DD584,44),0)</f>
        <v/>
      </c>
      <c r="AU584">
        <f>IFERROR(INDEX(PP_Grid[#Data],$DD584,45),0)</f>
        <v/>
      </c>
      <c r="AV584">
        <f>IFERROR(INDEX(PP_Grid[#Data],$DD584,46),0)</f>
        <v/>
      </c>
      <c r="AW584">
        <f>IFERROR(INDEX(PP_Grid[#Data],$DD584,47),0)</f>
        <v/>
      </c>
      <c r="AX584">
        <f>IFERROR(INDEX(PP_Grid[#Data],$DD584,48),0)</f>
        <v/>
      </c>
      <c r="AY584">
        <f>IFERROR(INDEX(PP_Grid[#Data],$DD584,49),0)</f>
        <v/>
      </c>
      <c r="AZ584">
        <f>IFERROR(INDEX(PP_Grid[#Data],$DD584,50),0)</f>
        <v/>
      </c>
      <c r="BA584">
        <f>IFERROR(INDEX(PP_Grid[#Data],$DD584,51),0)</f>
        <v/>
      </c>
      <c r="BB584">
        <f>IFERROR(INDEX(PP_Grid[#Data],$DD584,52),0)</f>
        <v/>
      </c>
      <c r="BC584">
        <f>IFERROR(INDEX(PP_Grid[#Data],$DD584,53),0)</f>
        <v/>
      </c>
      <c r="BD584">
        <f>IFERROR(INDEX(PP_Grid[#Data],$DD584,54),0)</f>
        <v/>
      </c>
      <c r="BE584">
        <f>IFERROR(INDEX(PP_Grid[#Data],$DD584,55),0)</f>
        <v/>
      </c>
      <c r="BF584">
        <f>IFERROR(INDEX(PP_Grid[#Data],$DD584,56),0)</f>
        <v/>
      </c>
      <c r="BG584">
        <f>IFERROR(INDEX(PP_Grid[#Data],$DD584,57),0)</f>
        <v/>
      </c>
      <c r="BH584">
        <f>IFERROR(INDEX(PP_Grid[#Data],$DD584,58),0)</f>
        <v/>
      </c>
      <c r="BI584">
        <f>IFERROR(INDEX(PP_Grid[#Data],$DD584,59),0)</f>
        <v/>
      </c>
      <c r="BJ584">
        <f>IFERROR(INDEX(PP_Grid[#Data],$DD584,60),0)</f>
        <v/>
      </c>
      <c r="BK584">
        <f>IFERROR(INDEX(PP_Grid[#Data],$DD584,61),0)</f>
        <v/>
      </c>
      <c r="BL584">
        <f>IFERROR(INDEX(PP_Grid[#Data],$DD584,62),0)</f>
        <v/>
      </c>
      <c r="BM584">
        <f>IFERROR(INDEX(PP_Grid[#Data],$DD584,63),0)</f>
        <v/>
      </c>
      <c r="BN584">
        <f>IFERROR(INDEX(PP_Grid[#Data],$DD584,64),0)</f>
        <v/>
      </c>
      <c r="BO584">
        <f>IFERROR(INDEX(PP_Grid[#Data],$DD584,65),0)</f>
        <v/>
      </c>
      <c r="BP584">
        <f>IFERROR(INDEX(PP_Grid[#Data],$DD584,66),0)</f>
        <v/>
      </c>
      <c r="BQ584">
        <f>IFERROR(INDEX(PP_Grid[#Data],$DD584,67),0)</f>
        <v/>
      </c>
      <c r="BR584">
        <f>IFERROR(INDEX(PP_Grid[#Data],$DD584,68),0)</f>
        <v/>
      </c>
      <c r="BS584">
        <f>IFERROR(INDEX(PP_Grid[#Data],$DD584,69),0)</f>
        <v/>
      </c>
      <c r="BT584">
        <f>IFERROR(INDEX(PP_Grid[#Data],$DD584,70),0)</f>
        <v/>
      </c>
      <c r="BU584">
        <f>IFERROR(INDEX(PP_Grid[#Data],$DD584,71),0)</f>
        <v/>
      </c>
      <c r="BV584">
        <f>IFERROR(INDEX(PP_Grid[#Data],$DD584,72),0)</f>
        <v/>
      </c>
      <c r="BW584">
        <f>IFERROR(INDEX(PP_Grid[#Data],$DD584,73),0)</f>
        <v/>
      </c>
      <c r="BX584">
        <f>IFERROR(INDEX(PP_Grid[#Data],$DD584,74),0)</f>
        <v/>
      </c>
      <c r="BY584">
        <f>IFERROR(INDEX(PP_Grid[#Data],$DD584,75),0)</f>
        <v/>
      </c>
      <c r="BZ584">
        <f>IFERROR(INDEX(PP_Grid[#Data],$DD584,76),0)</f>
        <v/>
      </c>
      <c r="CA584">
        <f>IFERROR(INDEX(PP_Grid[#Data],$DD584,77),0)</f>
        <v/>
      </c>
      <c r="CB584">
        <f>IFERROR(INDEX(PP_Grid[#Data],$DD584,78),0)</f>
        <v/>
      </c>
      <c r="CC584">
        <f>IFERROR(INDEX(PP_Grid[#Data],$DD584,79),0)</f>
        <v/>
      </c>
      <c r="CD584">
        <f>IFERROR(INDEX(PP_Grid[#Data],$DD584,80),0)</f>
        <v/>
      </c>
      <c r="CE584">
        <f>IFERROR(INDEX(PP_Grid[#Data],$DD584,81),0)</f>
        <v/>
      </c>
      <c r="CF584">
        <f>IFERROR(INDEX(PP_Grid[#Data],$DD584,82),0)</f>
        <v/>
      </c>
      <c r="CG584">
        <f>IFERROR(INDEX(PP_Grid[#Data],$DD584,83),0)</f>
        <v/>
      </c>
      <c r="CH584">
        <f>IFERROR(INDEX(PP_Grid[#Data],$DD584,84),0)</f>
        <v/>
      </c>
      <c r="CI584">
        <f>IFERROR(INDEX(PP_Grid[#Data],$DD584,85),0)</f>
        <v/>
      </c>
      <c r="CJ584">
        <f>IFERROR(INDEX(PP_Grid[#Data],$DD584,86),0)</f>
        <v/>
      </c>
      <c r="CK584">
        <f>IFERROR(INDEX(PP_Grid[#Data],$DD584,87),0)</f>
        <v/>
      </c>
      <c r="CL584">
        <f>IFERROR(INDEX(PP_Grid[#Data],$DD584,88),0)</f>
        <v/>
      </c>
      <c r="CM584">
        <f>IFERROR(INDEX(PP_Grid[#Data],$DD584,89),0)</f>
        <v/>
      </c>
      <c r="CN584">
        <f>IFERROR(INDEX(PP_Grid[#Data],$DD584,90),0)</f>
        <v/>
      </c>
      <c r="CO584">
        <f>IFERROR(INDEX(PP_Grid[#Data],$DD584,91),0)</f>
        <v/>
      </c>
      <c r="CP584">
        <f>IFERROR(INDEX(PP_Grid[#Data],$DD584,92),0)</f>
        <v/>
      </c>
      <c r="CQ584">
        <f>IFERROR(INDEX(PP_Grid[#Data],$DD584,93),0)</f>
        <v/>
      </c>
      <c r="CR584">
        <f>IFERROR(INDEX(PP_Grid[#Data],$DD584,94),0)</f>
        <v/>
      </c>
      <c r="CS584">
        <f>IFERROR(INDEX(PP_Grid[#Data],$DD584,95),0)</f>
        <v/>
      </c>
      <c r="CT584">
        <f>IFERROR(INDEX(PP_Grid[#Data],$DD584,96),0)</f>
        <v/>
      </c>
      <c r="CU584">
        <f>IFERROR(INDEX(PP_Grid[#Data],$DD584,97),0)</f>
        <v/>
      </c>
      <c r="CV584">
        <f>IFERROR(INDEX(PP_Grid[#Data],$DD584,98),0)</f>
        <v/>
      </c>
      <c r="CW584">
        <f>IFERROR(INDEX(PP_Grid[#Data],$DD584,99),0)</f>
        <v/>
      </c>
      <c r="CX584">
        <f>IFERROR(INDEX(PP_Grid[#Data],$DD584,100),0)</f>
        <v/>
      </c>
      <c r="CY584">
        <f>IFERROR(INDEX(PP_Grid[#Data],$DD584,101),0)</f>
        <v/>
      </c>
      <c r="CZ584">
        <f>IFERROR(INDEX(PP_Grid[#Data],$DD584,102),0)</f>
        <v/>
      </c>
      <c r="DA584">
        <f>IFERROR(INDEX(PP_Grid[#Data],$DD584,103),0)</f>
        <v/>
      </c>
      <c r="DB584">
        <f>IFERROR(INDEX(PP_Grid[#Data],$DD584,104),0)</f>
        <v/>
      </c>
      <c r="DC584">
        <f>IFERROR(INDEX(PP_Grid[#Data],$DD584,105),0)</f>
        <v/>
      </c>
      <c r="DD584" s="12">
        <f>IFERROR(MATCH($B584,PP_Grid[Intermediate],0),99999)</f>
        <v/>
      </c>
    </row>
    <row r="585">
      <c r="B585" t="inlineStr">
        <is>
          <t>使用量(kg)</t>
        </is>
      </c>
      <c r="C585">
        <f>SUMIFS(M_BOM[RM_Qty_Per_Batch],M_BOM[Intermediate],$B584,M_BOM[Part Name],$A575)</f>
        <v/>
      </c>
      <c r="D585">
        <f>$C585*D584</f>
        <v/>
      </c>
      <c r="E585">
        <f>$C585*E584</f>
        <v/>
      </c>
      <c r="F585">
        <f>$C585*F584</f>
        <v/>
      </c>
      <c r="G585">
        <f>$C585*G584</f>
        <v/>
      </c>
      <c r="H585">
        <f>$C585*H584</f>
        <v/>
      </c>
      <c r="I585">
        <f>$C585*I584</f>
        <v/>
      </c>
      <c r="J585">
        <f>$C585*J584</f>
        <v/>
      </c>
      <c r="K585">
        <f>$C585*K584</f>
        <v/>
      </c>
      <c r="L585">
        <f>$C585*L584</f>
        <v/>
      </c>
      <c r="M585">
        <f>$C585*M584</f>
        <v/>
      </c>
      <c r="N585">
        <f>$C585*N584</f>
        <v/>
      </c>
      <c r="O585">
        <f>$C585*O584</f>
        <v/>
      </c>
      <c r="P585">
        <f>$C585*P584</f>
        <v/>
      </c>
      <c r="Q585">
        <f>$C585*Q584</f>
        <v/>
      </c>
      <c r="R585">
        <f>$C585*R584</f>
        <v/>
      </c>
      <c r="S585">
        <f>$C585*S584</f>
        <v/>
      </c>
      <c r="T585">
        <f>$C585*T584</f>
        <v/>
      </c>
      <c r="U585">
        <f>$C585*U584</f>
        <v/>
      </c>
      <c r="V585">
        <f>$C585*V584</f>
        <v/>
      </c>
      <c r="W585">
        <f>$C585*W584</f>
        <v/>
      </c>
      <c r="X585">
        <f>$C585*X584</f>
        <v/>
      </c>
      <c r="Y585">
        <f>$C585*Y584</f>
        <v/>
      </c>
      <c r="Z585">
        <f>$C585*Z584</f>
        <v/>
      </c>
      <c r="AA585">
        <f>$C585*AA584</f>
        <v/>
      </c>
      <c r="AB585">
        <f>$C585*AB584</f>
        <v/>
      </c>
      <c r="AC585">
        <f>$C585*AC584</f>
        <v/>
      </c>
      <c r="AD585">
        <f>$C585*AD584</f>
        <v/>
      </c>
      <c r="AE585">
        <f>$C585*AE584</f>
        <v/>
      </c>
      <c r="AF585">
        <f>$C585*AF584</f>
        <v/>
      </c>
      <c r="AG585">
        <f>$C585*AG584</f>
        <v/>
      </c>
      <c r="AH585">
        <f>$C585*AH584</f>
        <v/>
      </c>
      <c r="AI585">
        <f>$C585*AI584</f>
        <v/>
      </c>
      <c r="AJ585">
        <f>$C585*AJ584</f>
        <v/>
      </c>
      <c r="AK585">
        <f>$C585*AK584</f>
        <v/>
      </c>
      <c r="AL585">
        <f>$C585*AL584</f>
        <v/>
      </c>
      <c r="AM585">
        <f>$C585*AM584</f>
        <v/>
      </c>
      <c r="AN585">
        <f>$C585*AN584</f>
        <v/>
      </c>
      <c r="AO585">
        <f>$C585*AO584</f>
        <v/>
      </c>
      <c r="AP585">
        <f>$C585*AP584</f>
        <v/>
      </c>
      <c r="AQ585">
        <f>$C585*AQ584</f>
        <v/>
      </c>
      <c r="AR585">
        <f>$C585*AR584</f>
        <v/>
      </c>
      <c r="AS585">
        <f>$C585*AS584</f>
        <v/>
      </c>
      <c r="AT585">
        <f>$C585*AT584</f>
        <v/>
      </c>
      <c r="AU585">
        <f>$C585*AU584</f>
        <v/>
      </c>
      <c r="AV585">
        <f>$C585*AV584</f>
        <v/>
      </c>
      <c r="AW585">
        <f>$C585*AW584</f>
        <v/>
      </c>
      <c r="AX585">
        <f>$C585*AX584</f>
        <v/>
      </c>
      <c r="AY585">
        <f>$C585*AY584</f>
        <v/>
      </c>
      <c r="AZ585">
        <f>$C585*AZ584</f>
        <v/>
      </c>
      <c r="BA585">
        <f>$C585*BA584</f>
        <v/>
      </c>
      <c r="BB585">
        <f>$C585*BB584</f>
        <v/>
      </c>
      <c r="BC585">
        <f>$C585*BC584</f>
        <v/>
      </c>
      <c r="BD585">
        <f>$C585*BD584</f>
        <v/>
      </c>
      <c r="BE585">
        <f>$C585*BE584</f>
        <v/>
      </c>
      <c r="BF585">
        <f>$C585*BF584</f>
        <v/>
      </c>
      <c r="BG585">
        <f>$C585*BG584</f>
        <v/>
      </c>
      <c r="BH585">
        <f>$C585*BH584</f>
        <v/>
      </c>
      <c r="BI585">
        <f>$C585*BI584</f>
        <v/>
      </c>
      <c r="BJ585">
        <f>$C585*BJ584</f>
        <v/>
      </c>
      <c r="BK585">
        <f>$C585*BK584</f>
        <v/>
      </c>
      <c r="BL585">
        <f>$C585*BL584</f>
        <v/>
      </c>
      <c r="BM585">
        <f>$C585*BM584</f>
        <v/>
      </c>
      <c r="BN585">
        <f>$C585*BN584</f>
        <v/>
      </c>
      <c r="BO585">
        <f>$C585*BO584</f>
        <v/>
      </c>
      <c r="BP585">
        <f>$C585*BP584</f>
        <v/>
      </c>
      <c r="BQ585">
        <f>$C585*BQ584</f>
        <v/>
      </c>
      <c r="BR585">
        <f>$C585*BR584</f>
        <v/>
      </c>
      <c r="BS585">
        <f>$C585*BS584</f>
        <v/>
      </c>
      <c r="BT585">
        <f>$C585*BT584</f>
        <v/>
      </c>
      <c r="BU585">
        <f>$C585*BU584</f>
        <v/>
      </c>
      <c r="BV585">
        <f>$C585*BV584</f>
        <v/>
      </c>
      <c r="BW585">
        <f>$C585*BW584</f>
        <v/>
      </c>
      <c r="BX585">
        <f>$C585*BX584</f>
        <v/>
      </c>
      <c r="BY585">
        <f>$C585*BY584</f>
        <v/>
      </c>
      <c r="BZ585">
        <f>$C585*BZ584</f>
        <v/>
      </c>
      <c r="CA585">
        <f>$C585*CA584</f>
        <v/>
      </c>
      <c r="CB585">
        <f>$C585*CB584</f>
        <v/>
      </c>
      <c r="CC585">
        <f>$C585*CC584</f>
        <v/>
      </c>
      <c r="CD585">
        <f>$C585*CD584</f>
        <v/>
      </c>
      <c r="CE585">
        <f>$C585*CE584</f>
        <v/>
      </c>
      <c r="CF585">
        <f>$C585*CF584</f>
        <v/>
      </c>
      <c r="CG585">
        <f>$C585*CG584</f>
        <v/>
      </c>
      <c r="CH585">
        <f>$C585*CH584</f>
        <v/>
      </c>
      <c r="CI585">
        <f>$C585*CI584</f>
        <v/>
      </c>
      <c r="CJ585">
        <f>$C585*CJ584</f>
        <v/>
      </c>
      <c r="CK585">
        <f>$C585*CK584</f>
        <v/>
      </c>
      <c r="CL585">
        <f>$C585*CL584</f>
        <v/>
      </c>
      <c r="CM585">
        <f>$C585*CM584</f>
        <v/>
      </c>
      <c r="CN585">
        <f>$C585*CN584</f>
        <v/>
      </c>
      <c r="CO585">
        <f>$C585*CO584</f>
        <v/>
      </c>
      <c r="CP585">
        <f>$C585*CP584</f>
        <v/>
      </c>
      <c r="CQ585">
        <f>$C585*CQ584</f>
        <v/>
      </c>
      <c r="CR585">
        <f>$C585*CR584</f>
        <v/>
      </c>
      <c r="CS585">
        <f>$C585*CS584</f>
        <v/>
      </c>
      <c r="CT585">
        <f>$C585*CT584</f>
        <v/>
      </c>
      <c r="CU585">
        <f>$C585*CU584</f>
        <v/>
      </c>
      <c r="CV585">
        <f>$C585*CV584</f>
        <v/>
      </c>
      <c r="CW585">
        <f>$C585*CW584</f>
        <v/>
      </c>
      <c r="CX585">
        <f>$C585*CX584</f>
        <v/>
      </c>
      <c r="CY585">
        <f>$C585*CY584</f>
        <v/>
      </c>
      <c r="CZ585">
        <f>$C585*CZ584</f>
        <v/>
      </c>
      <c r="DA585">
        <f>$C585*DA584</f>
        <v/>
      </c>
      <c r="DB585">
        <f>$C585*DB584</f>
        <v/>
      </c>
      <c r="DC585">
        <f>$C585*DC584</f>
        <v/>
      </c>
    </row>
    <row r="586">
      <c r="B586" t="inlineStr">
        <is>
          <t>TSP-620</t>
        </is>
      </c>
      <c r="C586" t="inlineStr">
        <is>
          <t>No. of batches</t>
        </is>
      </c>
      <c r="D586">
        <f>IFERROR(INDEX(PP_Grid[#Data],$DD586,2),0)</f>
        <v/>
      </c>
      <c r="E586">
        <f>IFERROR(INDEX(PP_Grid[#Data],$DD586,3),0)</f>
        <v/>
      </c>
      <c r="F586">
        <f>IFERROR(INDEX(PP_Grid[#Data],$DD586,4),0)</f>
        <v/>
      </c>
      <c r="G586">
        <f>IFERROR(INDEX(PP_Grid[#Data],$DD586,5),0)</f>
        <v/>
      </c>
      <c r="H586">
        <f>IFERROR(INDEX(PP_Grid[#Data],$DD586,6),0)</f>
        <v/>
      </c>
      <c r="I586">
        <f>IFERROR(INDEX(PP_Grid[#Data],$DD586,7),0)</f>
        <v/>
      </c>
      <c r="J586">
        <f>IFERROR(INDEX(PP_Grid[#Data],$DD586,8),0)</f>
        <v/>
      </c>
      <c r="K586">
        <f>IFERROR(INDEX(PP_Grid[#Data],$DD586,9),0)</f>
        <v/>
      </c>
      <c r="L586">
        <f>IFERROR(INDEX(PP_Grid[#Data],$DD586,10),0)</f>
        <v/>
      </c>
      <c r="M586">
        <f>IFERROR(INDEX(PP_Grid[#Data],$DD586,11),0)</f>
        <v/>
      </c>
      <c r="N586">
        <f>IFERROR(INDEX(PP_Grid[#Data],$DD586,12),0)</f>
        <v/>
      </c>
      <c r="O586">
        <f>IFERROR(INDEX(PP_Grid[#Data],$DD586,13),0)</f>
        <v/>
      </c>
      <c r="P586">
        <f>IFERROR(INDEX(PP_Grid[#Data],$DD586,14),0)</f>
        <v/>
      </c>
      <c r="Q586">
        <f>IFERROR(INDEX(PP_Grid[#Data],$DD586,15),0)</f>
        <v/>
      </c>
      <c r="R586">
        <f>IFERROR(INDEX(PP_Grid[#Data],$DD586,16),0)</f>
        <v/>
      </c>
      <c r="S586">
        <f>IFERROR(INDEX(PP_Grid[#Data],$DD586,17),0)</f>
        <v/>
      </c>
      <c r="T586">
        <f>IFERROR(INDEX(PP_Grid[#Data],$DD586,18),0)</f>
        <v/>
      </c>
      <c r="U586">
        <f>IFERROR(INDEX(PP_Grid[#Data],$DD586,19),0)</f>
        <v/>
      </c>
      <c r="V586">
        <f>IFERROR(INDEX(PP_Grid[#Data],$DD586,20),0)</f>
        <v/>
      </c>
      <c r="W586">
        <f>IFERROR(INDEX(PP_Grid[#Data],$DD586,21),0)</f>
        <v/>
      </c>
      <c r="X586">
        <f>IFERROR(INDEX(PP_Grid[#Data],$DD586,22),0)</f>
        <v/>
      </c>
      <c r="Y586">
        <f>IFERROR(INDEX(PP_Grid[#Data],$DD586,23),0)</f>
        <v/>
      </c>
      <c r="Z586">
        <f>IFERROR(INDEX(PP_Grid[#Data],$DD586,24),0)</f>
        <v/>
      </c>
      <c r="AA586">
        <f>IFERROR(INDEX(PP_Grid[#Data],$DD586,25),0)</f>
        <v/>
      </c>
      <c r="AB586">
        <f>IFERROR(INDEX(PP_Grid[#Data],$DD586,26),0)</f>
        <v/>
      </c>
      <c r="AC586">
        <f>IFERROR(INDEX(PP_Grid[#Data],$DD586,27),0)</f>
        <v/>
      </c>
      <c r="AD586">
        <f>IFERROR(INDEX(PP_Grid[#Data],$DD586,28),0)</f>
        <v/>
      </c>
      <c r="AE586">
        <f>IFERROR(INDEX(PP_Grid[#Data],$DD586,29),0)</f>
        <v/>
      </c>
      <c r="AF586">
        <f>IFERROR(INDEX(PP_Grid[#Data],$DD586,30),0)</f>
        <v/>
      </c>
      <c r="AG586">
        <f>IFERROR(INDEX(PP_Grid[#Data],$DD586,31),0)</f>
        <v/>
      </c>
      <c r="AH586">
        <f>IFERROR(INDEX(PP_Grid[#Data],$DD586,32),0)</f>
        <v/>
      </c>
      <c r="AI586">
        <f>IFERROR(INDEX(PP_Grid[#Data],$DD586,33),0)</f>
        <v/>
      </c>
      <c r="AJ586">
        <f>IFERROR(INDEX(PP_Grid[#Data],$DD586,34),0)</f>
        <v/>
      </c>
      <c r="AK586">
        <f>IFERROR(INDEX(PP_Grid[#Data],$DD586,35),0)</f>
        <v/>
      </c>
      <c r="AL586">
        <f>IFERROR(INDEX(PP_Grid[#Data],$DD586,36),0)</f>
        <v/>
      </c>
      <c r="AM586">
        <f>IFERROR(INDEX(PP_Grid[#Data],$DD586,37),0)</f>
        <v/>
      </c>
      <c r="AN586">
        <f>IFERROR(INDEX(PP_Grid[#Data],$DD586,38),0)</f>
        <v/>
      </c>
      <c r="AO586">
        <f>IFERROR(INDEX(PP_Grid[#Data],$DD586,39),0)</f>
        <v/>
      </c>
      <c r="AP586">
        <f>IFERROR(INDEX(PP_Grid[#Data],$DD586,40),0)</f>
        <v/>
      </c>
      <c r="AQ586">
        <f>IFERROR(INDEX(PP_Grid[#Data],$DD586,41),0)</f>
        <v/>
      </c>
      <c r="AR586">
        <f>IFERROR(INDEX(PP_Grid[#Data],$DD586,42),0)</f>
        <v/>
      </c>
      <c r="AS586">
        <f>IFERROR(INDEX(PP_Grid[#Data],$DD586,43),0)</f>
        <v/>
      </c>
      <c r="AT586">
        <f>IFERROR(INDEX(PP_Grid[#Data],$DD586,44),0)</f>
        <v/>
      </c>
      <c r="AU586">
        <f>IFERROR(INDEX(PP_Grid[#Data],$DD586,45),0)</f>
        <v/>
      </c>
      <c r="AV586">
        <f>IFERROR(INDEX(PP_Grid[#Data],$DD586,46),0)</f>
        <v/>
      </c>
      <c r="AW586">
        <f>IFERROR(INDEX(PP_Grid[#Data],$DD586,47),0)</f>
        <v/>
      </c>
      <c r="AX586">
        <f>IFERROR(INDEX(PP_Grid[#Data],$DD586,48),0)</f>
        <v/>
      </c>
      <c r="AY586">
        <f>IFERROR(INDEX(PP_Grid[#Data],$DD586,49),0)</f>
        <v/>
      </c>
      <c r="AZ586">
        <f>IFERROR(INDEX(PP_Grid[#Data],$DD586,50),0)</f>
        <v/>
      </c>
      <c r="BA586">
        <f>IFERROR(INDEX(PP_Grid[#Data],$DD586,51),0)</f>
        <v/>
      </c>
      <c r="BB586">
        <f>IFERROR(INDEX(PP_Grid[#Data],$DD586,52),0)</f>
        <v/>
      </c>
      <c r="BC586">
        <f>IFERROR(INDEX(PP_Grid[#Data],$DD586,53),0)</f>
        <v/>
      </c>
      <c r="BD586">
        <f>IFERROR(INDEX(PP_Grid[#Data],$DD586,54),0)</f>
        <v/>
      </c>
      <c r="BE586">
        <f>IFERROR(INDEX(PP_Grid[#Data],$DD586,55),0)</f>
        <v/>
      </c>
      <c r="BF586">
        <f>IFERROR(INDEX(PP_Grid[#Data],$DD586,56),0)</f>
        <v/>
      </c>
      <c r="BG586">
        <f>IFERROR(INDEX(PP_Grid[#Data],$DD586,57),0)</f>
        <v/>
      </c>
      <c r="BH586">
        <f>IFERROR(INDEX(PP_Grid[#Data],$DD586,58),0)</f>
        <v/>
      </c>
      <c r="BI586">
        <f>IFERROR(INDEX(PP_Grid[#Data],$DD586,59),0)</f>
        <v/>
      </c>
      <c r="BJ586">
        <f>IFERROR(INDEX(PP_Grid[#Data],$DD586,60),0)</f>
        <v/>
      </c>
      <c r="BK586">
        <f>IFERROR(INDEX(PP_Grid[#Data],$DD586,61),0)</f>
        <v/>
      </c>
      <c r="BL586">
        <f>IFERROR(INDEX(PP_Grid[#Data],$DD586,62),0)</f>
        <v/>
      </c>
      <c r="BM586">
        <f>IFERROR(INDEX(PP_Grid[#Data],$DD586,63),0)</f>
        <v/>
      </c>
      <c r="BN586">
        <f>IFERROR(INDEX(PP_Grid[#Data],$DD586,64),0)</f>
        <v/>
      </c>
      <c r="BO586">
        <f>IFERROR(INDEX(PP_Grid[#Data],$DD586,65),0)</f>
        <v/>
      </c>
      <c r="BP586">
        <f>IFERROR(INDEX(PP_Grid[#Data],$DD586,66),0)</f>
        <v/>
      </c>
      <c r="BQ586">
        <f>IFERROR(INDEX(PP_Grid[#Data],$DD586,67),0)</f>
        <v/>
      </c>
      <c r="BR586">
        <f>IFERROR(INDEX(PP_Grid[#Data],$DD586,68),0)</f>
        <v/>
      </c>
      <c r="BS586">
        <f>IFERROR(INDEX(PP_Grid[#Data],$DD586,69),0)</f>
        <v/>
      </c>
      <c r="BT586">
        <f>IFERROR(INDEX(PP_Grid[#Data],$DD586,70),0)</f>
        <v/>
      </c>
      <c r="BU586">
        <f>IFERROR(INDEX(PP_Grid[#Data],$DD586,71),0)</f>
        <v/>
      </c>
      <c r="BV586">
        <f>IFERROR(INDEX(PP_Grid[#Data],$DD586,72),0)</f>
        <v/>
      </c>
      <c r="BW586">
        <f>IFERROR(INDEX(PP_Grid[#Data],$DD586,73),0)</f>
        <v/>
      </c>
      <c r="BX586">
        <f>IFERROR(INDEX(PP_Grid[#Data],$DD586,74),0)</f>
        <v/>
      </c>
      <c r="BY586">
        <f>IFERROR(INDEX(PP_Grid[#Data],$DD586,75),0)</f>
        <v/>
      </c>
      <c r="BZ586">
        <f>IFERROR(INDEX(PP_Grid[#Data],$DD586,76),0)</f>
        <v/>
      </c>
      <c r="CA586">
        <f>IFERROR(INDEX(PP_Grid[#Data],$DD586,77),0)</f>
        <v/>
      </c>
      <c r="CB586">
        <f>IFERROR(INDEX(PP_Grid[#Data],$DD586,78),0)</f>
        <v/>
      </c>
      <c r="CC586">
        <f>IFERROR(INDEX(PP_Grid[#Data],$DD586,79),0)</f>
        <v/>
      </c>
      <c r="CD586">
        <f>IFERROR(INDEX(PP_Grid[#Data],$DD586,80),0)</f>
        <v/>
      </c>
      <c r="CE586">
        <f>IFERROR(INDEX(PP_Grid[#Data],$DD586,81),0)</f>
        <v/>
      </c>
      <c r="CF586">
        <f>IFERROR(INDEX(PP_Grid[#Data],$DD586,82),0)</f>
        <v/>
      </c>
      <c r="CG586">
        <f>IFERROR(INDEX(PP_Grid[#Data],$DD586,83),0)</f>
        <v/>
      </c>
      <c r="CH586">
        <f>IFERROR(INDEX(PP_Grid[#Data],$DD586,84),0)</f>
        <v/>
      </c>
      <c r="CI586">
        <f>IFERROR(INDEX(PP_Grid[#Data],$DD586,85),0)</f>
        <v/>
      </c>
      <c r="CJ586">
        <f>IFERROR(INDEX(PP_Grid[#Data],$DD586,86),0)</f>
        <v/>
      </c>
      <c r="CK586">
        <f>IFERROR(INDEX(PP_Grid[#Data],$DD586,87),0)</f>
        <v/>
      </c>
      <c r="CL586">
        <f>IFERROR(INDEX(PP_Grid[#Data],$DD586,88),0)</f>
        <v/>
      </c>
      <c r="CM586">
        <f>IFERROR(INDEX(PP_Grid[#Data],$DD586,89),0)</f>
        <v/>
      </c>
      <c r="CN586">
        <f>IFERROR(INDEX(PP_Grid[#Data],$DD586,90),0)</f>
        <v/>
      </c>
      <c r="CO586">
        <f>IFERROR(INDEX(PP_Grid[#Data],$DD586,91),0)</f>
        <v/>
      </c>
      <c r="CP586">
        <f>IFERROR(INDEX(PP_Grid[#Data],$DD586,92),0)</f>
        <v/>
      </c>
      <c r="CQ586">
        <f>IFERROR(INDEX(PP_Grid[#Data],$DD586,93),0)</f>
        <v/>
      </c>
      <c r="CR586">
        <f>IFERROR(INDEX(PP_Grid[#Data],$DD586,94),0)</f>
        <v/>
      </c>
      <c r="CS586">
        <f>IFERROR(INDEX(PP_Grid[#Data],$DD586,95),0)</f>
        <v/>
      </c>
      <c r="CT586">
        <f>IFERROR(INDEX(PP_Grid[#Data],$DD586,96),0)</f>
        <v/>
      </c>
      <c r="CU586">
        <f>IFERROR(INDEX(PP_Grid[#Data],$DD586,97),0)</f>
        <v/>
      </c>
      <c r="CV586">
        <f>IFERROR(INDEX(PP_Grid[#Data],$DD586,98),0)</f>
        <v/>
      </c>
      <c r="CW586">
        <f>IFERROR(INDEX(PP_Grid[#Data],$DD586,99),0)</f>
        <v/>
      </c>
      <c r="CX586">
        <f>IFERROR(INDEX(PP_Grid[#Data],$DD586,100),0)</f>
        <v/>
      </c>
      <c r="CY586">
        <f>IFERROR(INDEX(PP_Grid[#Data],$DD586,101),0)</f>
        <v/>
      </c>
      <c r="CZ586">
        <f>IFERROR(INDEX(PP_Grid[#Data],$DD586,102),0)</f>
        <v/>
      </c>
      <c r="DA586">
        <f>IFERROR(INDEX(PP_Grid[#Data],$DD586,103),0)</f>
        <v/>
      </c>
      <c r="DB586">
        <f>IFERROR(INDEX(PP_Grid[#Data],$DD586,104),0)</f>
        <v/>
      </c>
      <c r="DC586">
        <f>IFERROR(INDEX(PP_Grid[#Data],$DD586,105),0)</f>
        <v/>
      </c>
      <c r="DD586" s="12">
        <f>IFERROR(MATCH($B586,PP_Grid[Intermediate],0),99999)</f>
        <v/>
      </c>
    </row>
    <row r="587">
      <c r="B587" t="inlineStr">
        <is>
          <t>使用量(kg)</t>
        </is>
      </c>
      <c r="C587">
        <f>SUMIFS(M_BOM[RM_Qty_Per_Batch],M_BOM[Intermediate],$B586,M_BOM[Part Name],$A575)</f>
        <v/>
      </c>
      <c r="D587">
        <f>$C587*D586</f>
        <v/>
      </c>
      <c r="E587">
        <f>$C587*E586</f>
        <v/>
      </c>
      <c r="F587">
        <f>$C587*F586</f>
        <v/>
      </c>
      <c r="G587">
        <f>$C587*G586</f>
        <v/>
      </c>
      <c r="H587">
        <f>$C587*H586</f>
        <v/>
      </c>
      <c r="I587">
        <f>$C587*I586</f>
        <v/>
      </c>
      <c r="J587">
        <f>$C587*J586</f>
        <v/>
      </c>
      <c r="K587">
        <f>$C587*K586</f>
        <v/>
      </c>
      <c r="L587">
        <f>$C587*L586</f>
        <v/>
      </c>
      <c r="M587">
        <f>$C587*M586</f>
        <v/>
      </c>
      <c r="N587">
        <f>$C587*N586</f>
        <v/>
      </c>
      <c r="O587">
        <f>$C587*O586</f>
        <v/>
      </c>
      <c r="P587">
        <f>$C587*P586</f>
        <v/>
      </c>
      <c r="Q587">
        <f>$C587*Q586</f>
        <v/>
      </c>
      <c r="R587">
        <f>$C587*R586</f>
        <v/>
      </c>
      <c r="S587">
        <f>$C587*S586</f>
        <v/>
      </c>
      <c r="T587">
        <f>$C587*T586</f>
        <v/>
      </c>
      <c r="U587">
        <f>$C587*U586</f>
        <v/>
      </c>
      <c r="V587">
        <f>$C587*V586</f>
        <v/>
      </c>
      <c r="W587">
        <f>$C587*W586</f>
        <v/>
      </c>
      <c r="X587">
        <f>$C587*X586</f>
        <v/>
      </c>
      <c r="Y587">
        <f>$C587*Y586</f>
        <v/>
      </c>
      <c r="Z587">
        <f>$C587*Z586</f>
        <v/>
      </c>
      <c r="AA587">
        <f>$C587*AA586</f>
        <v/>
      </c>
      <c r="AB587">
        <f>$C587*AB586</f>
        <v/>
      </c>
      <c r="AC587">
        <f>$C587*AC586</f>
        <v/>
      </c>
      <c r="AD587">
        <f>$C587*AD586</f>
        <v/>
      </c>
      <c r="AE587">
        <f>$C587*AE586</f>
        <v/>
      </c>
      <c r="AF587">
        <f>$C587*AF586</f>
        <v/>
      </c>
      <c r="AG587">
        <f>$C587*AG586</f>
        <v/>
      </c>
      <c r="AH587">
        <f>$C587*AH586</f>
        <v/>
      </c>
      <c r="AI587">
        <f>$C587*AI586</f>
        <v/>
      </c>
      <c r="AJ587">
        <f>$C587*AJ586</f>
        <v/>
      </c>
      <c r="AK587">
        <f>$C587*AK586</f>
        <v/>
      </c>
      <c r="AL587">
        <f>$C587*AL586</f>
        <v/>
      </c>
      <c r="AM587">
        <f>$C587*AM586</f>
        <v/>
      </c>
      <c r="AN587">
        <f>$C587*AN586</f>
        <v/>
      </c>
      <c r="AO587">
        <f>$C587*AO586</f>
        <v/>
      </c>
      <c r="AP587">
        <f>$C587*AP586</f>
        <v/>
      </c>
      <c r="AQ587">
        <f>$C587*AQ586</f>
        <v/>
      </c>
      <c r="AR587">
        <f>$C587*AR586</f>
        <v/>
      </c>
      <c r="AS587">
        <f>$C587*AS586</f>
        <v/>
      </c>
      <c r="AT587">
        <f>$C587*AT586</f>
        <v/>
      </c>
      <c r="AU587">
        <f>$C587*AU586</f>
        <v/>
      </c>
      <c r="AV587">
        <f>$C587*AV586</f>
        <v/>
      </c>
      <c r="AW587">
        <f>$C587*AW586</f>
        <v/>
      </c>
      <c r="AX587">
        <f>$C587*AX586</f>
        <v/>
      </c>
      <c r="AY587">
        <f>$C587*AY586</f>
        <v/>
      </c>
      <c r="AZ587">
        <f>$C587*AZ586</f>
        <v/>
      </c>
      <c r="BA587">
        <f>$C587*BA586</f>
        <v/>
      </c>
      <c r="BB587">
        <f>$C587*BB586</f>
        <v/>
      </c>
      <c r="BC587">
        <f>$C587*BC586</f>
        <v/>
      </c>
      <c r="BD587">
        <f>$C587*BD586</f>
        <v/>
      </c>
      <c r="BE587">
        <f>$C587*BE586</f>
        <v/>
      </c>
      <c r="BF587">
        <f>$C587*BF586</f>
        <v/>
      </c>
      <c r="BG587">
        <f>$C587*BG586</f>
        <v/>
      </c>
      <c r="BH587">
        <f>$C587*BH586</f>
        <v/>
      </c>
      <c r="BI587">
        <f>$C587*BI586</f>
        <v/>
      </c>
      <c r="BJ587">
        <f>$C587*BJ586</f>
        <v/>
      </c>
      <c r="BK587">
        <f>$C587*BK586</f>
        <v/>
      </c>
      <c r="BL587">
        <f>$C587*BL586</f>
        <v/>
      </c>
      <c r="BM587">
        <f>$C587*BM586</f>
        <v/>
      </c>
      <c r="BN587">
        <f>$C587*BN586</f>
        <v/>
      </c>
      <c r="BO587">
        <f>$C587*BO586</f>
        <v/>
      </c>
      <c r="BP587">
        <f>$C587*BP586</f>
        <v/>
      </c>
      <c r="BQ587">
        <f>$C587*BQ586</f>
        <v/>
      </c>
      <c r="BR587">
        <f>$C587*BR586</f>
        <v/>
      </c>
      <c r="BS587">
        <f>$C587*BS586</f>
        <v/>
      </c>
      <c r="BT587">
        <f>$C587*BT586</f>
        <v/>
      </c>
      <c r="BU587">
        <f>$C587*BU586</f>
        <v/>
      </c>
      <c r="BV587">
        <f>$C587*BV586</f>
        <v/>
      </c>
      <c r="BW587">
        <f>$C587*BW586</f>
        <v/>
      </c>
      <c r="BX587">
        <f>$C587*BX586</f>
        <v/>
      </c>
      <c r="BY587">
        <f>$C587*BY586</f>
        <v/>
      </c>
      <c r="BZ587">
        <f>$C587*BZ586</f>
        <v/>
      </c>
      <c r="CA587">
        <f>$C587*CA586</f>
        <v/>
      </c>
      <c r="CB587">
        <f>$C587*CB586</f>
        <v/>
      </c>
      <c r="CC587">
        <f>$C587*CC586</f>
        <v/>
      </c>
      <c r="CD587">
        <f>$C587*CD586</f>
        <v/>
      </c>
      <c r="CE587">
        <f>$C587*CE586</f>
        <v/>
      </c>
      <c r="CF587">
        <f>$C587*CF586</f>
        <v/>
      </c>
      <c r="CG587">
        <f>$C587*CG586</f>
        <v/>
      </c>
      <c r="CH587">
        <f>$C587*CH586</f>
        <v/>
      </c>
      <c r="CI587">
        <f>$C587*CI586</f>
        <v/>
      </c>
      <c r="CJ587">
        <f>$C587*CJ586</f>
        <v/>
      </c>
      <c r="CK587">
        <f>$C587*CK586</f>
        <v/>
      </c>
      <c r="CL587">
        <f>$C587*CL586</f>
        <v/>
      </c>
      <c r="CM587">
        <f>$C587*CM586</f>
        <v/>
      </c>
      <c r="CN587">
        <f>$C587*CN586</f>
        <v/>
      </c>
      <c r="CO587">
        <f>$C587*CO586</f>
        <v/>
      </c>
      <c r="CP587">
        <f>$C587*CP586</f>
        <v/>
      </c>
      <c r="CQ587">
        <f>$C587*CQ586</f>
        <v/>
      </c>
      <c r="CR587">
        <f>$C587*CR586</f>
        <v/>
      </c>
      <c r="CS587">
        <f>$C587*CS586</f>
        <v/>
      </c>
      <c r="CT587">
        <f>$C587*CT586</f>
        <v/>
      </c>
      <c r="CU587">
        <f>$C587*CU586</f>
        <v/>
      </c>
      <c r="CV587">
        <f>$C587*CV586</f>
        <v/>
      </c>
      <c r="CW587">
        <f>$C587*CW586</f>
        <v/>
      </c>
      <c r="CX587">
        <f>$C587*CX586</f>
        <v/>
      </c>
      <c r="CY587">
        <f>$C587*CY586</f>
        <v/>
      </c>
      <c r="CZ587">
        <f>$C587*CZ586</f>
        <v/>
      </c>
      <c r="DA587">
        <f>$C587*DA586</f>
        <v/>
      </c>
      <c r="DB587">
        <f>$C587*DB586</f>
        <v/>
      </c>
      <c r="DC587">
        <f>$C587*DC586</f>
        <v/>
      </c>
    </row>
    <row r="588">
      <c r="B588" t="inlineStr">
        <is>
          <t>TSP-623</t>
        </is>
      </c>
      <c r="C588" t="inlineStr">
        <is>
          <t>No. of batches</t>
        </is>
      </c>
      <c r="D588">
        <f>IFERROR(INDEX(PP_Grid[#Data],$DD588,2),0)</f>
        <v/>
      </c>
      <c r="E588">
        <f>IFERROR(INDEX(PP_Grid[#Data],$DD588,3),0)</f>
        <v/>
      </c>
      <c r="F588">
        <f>IFERROR(INDEX(PP_Grid[#Data],$DD588,4),0)</f>
        <v/>
      </c>
      <c r="G588">
        <f>IFERROR(INDEX(PP_Grid[#Data],$DD588,5),0)</f>
        <v/>
      </c>
      <c r="H588">
        <f>IFERROR(INDEX(PP_Grid[#Data],$DD588,6),0)</f>
        <v/>
      </c>
      <c r="I588">
        <f>IFERROR(INDEX(PP_Grid[#Data],$DD588,7),0)</f>
        <v/>
      </c>
      <c r="J588">
        <f>IFERROR(INDEX(PP_Grid[#Data],$DD588,8),0)</f>
        <v/>
      </c>
      <c r="K588">
        <f>IFERROR(INDEX(PP_Grid[#Data],$DD588,9),0)</f>
        <v/>
      </c>
      <c r="L588">
        <f>IFERROR(INDEX(PP_Grid[#Data],$DD588,10),0)</f>
        <v/>
      </c>
      <c r="M588">
        <f>IFERROR(INDEX(PP_Grid[#Data],$DD588,11),0)</f>
        <v/>
      </c>
      <c r="N588">
        <f>IFERROR(INDEX(PP_Grid[#Data],$DD588,12),0)</f>
        <v/>
      </c>
      <c r="O588">
        <f>IFERROR(INDEX(PP_Grid[#Data],$DD588,13),0)</f>
        <v/>
      </c>
      <c r="P588">
        <f>IFERROR(INDEX(PP_Grid[#Data],$DD588,14),0)</f>
        <v/>
      </c>
      <c r="Q588">
        <f>IFERROR(INDEX(PP_Grid[#Data],$DD588,15),0)</f>
        <v/>
      </c>
      <c r="R588">
        <f>IFERROR(INDEX(PP_Grid[#Data],$DD588,16),0)</f>
        <v/>
      </c>
      <c r="S588">
        <f>IFERROR(INDEX(PP_Grid[#Data],$DD588,17),0)</f>
        <v/>
      </c>
      <c r="T588">
        <f>IFERROR(INDEX(PP_Grid[#Data],$DD588,18),0)</f>
        <v/>
      </c>
      <c r="U588">
        <f>IFERROR(INDEX(PP_Grid[#Data],$DD588,19),0)</f>
        <v/>
      </c>
      <c r="V588">
        <f>IFERROR(INDEX(PP_Grid[#Data],$DD588,20),0)</f>
        <v/>
      </c>
      <c r="W588">
        <f>IFERROR(INDEX(PP_Grid[#Data],$DD588,21),0)</f>
        <v/>
      </c>
      <c r="X588">
        <f>IFERROR(INDEX(PP_Grid[#Data],$DD588,22),0)</f>
        <v/>
      </c>
      <c r="Y588">
        <f>IFERROR(INDEX(PP_Grid[#Data],$DD588,23),0)</f>
        <v/>
      </c>
      <c r="Z588">
        <f>IFERROR(INDEX(PP_Grid[#Data],$DD588,24),0)</f>
        <v/>
      </c>
      <c r="AA588">
        <f>IFERROR(INDEX(PP_Grid[#Data],$DD588,25),0)</f>
        <v/>
      </c>
      <c r="AB588">
        <f>IFERROR(INDEX(PP_Grid[#Data],$DD588,26),0)</f>
        <v/>
      </c>
      <c r="AC588">
        <f>IFERROR(INDEX(PP_Grid[#Data],$DD588,27),0)</f>
        <v/>
      </c>
      <c r="AD588">
        <f>IFERROR(INDEX(PP_Grid[#Data],$DD588,28),0)</f>
        <v/>
      </c>
      <c r="AE588">
        <f>IFERROR(INDEX(PP_Grid[#Data],$DD588,29),0)</f>
        <v/>
      </c>
      <c r="AF588">
        <f>IFERROR(INDEX(PP_Grid[#Data],$DD588,30),0)</f>
        <v/>
      </c>
      <c r="AG588">
        <f>IFERROR(INDEX(PP_Grid[#Data],$DD588,31),0)</f>
        <v/>
      </c>
      <c r="AH588">
        <f>IFERROR(INDEX(PP_Grid[#Data],$DD588,32),0)</f>
        <v/>
      </c>
      <c r="AI588">
        <f>IFERROR(INDEX(PP_Grid[#Data],$DD588,33),0)</f>
        <v/>
      </c>
      <c r="AJ588">
        <f>IFERROR(INDEX(PP_Grid[#Data],$DD588,34),0)</f>
        <v/>
      </c>
      <c r="AK588">
        <f>IFERROR(INDEX(PP_Grid[#Data],$DD588,35),0)</f>
        <v/>
      </c>
      <c r="AL588">
        <f>IFERROR(INDEX(PP_Grid[#Data],$DD588,36),0)</f>
        <v/>
      </c>
      <c r="AM588">
        <f>IFERROR(INDEX(PP_Grid[#Data],$DD588,37),0)</f>
        <v/>
      </c>
      <c r="AN588">
        <f>IFERROR(INDEX(PP_Grid[#Data],$DD588,38),0)</f>
        <v/>
      </c>
      <c r="AO588">
        <f>IFERROR(INDEX(PP_Grid[#Data],$DD588,39),0)</f>
        <v/>
      </c>
      <c r="AP588">
        <f>IFERROR(INDEX(PP_Grid[#Data],$DD588,40),0)</f>
        <v/>
      </c>
      <c r="AQ588">
        <f>IFERROR(INDEX(PP_Grid[#Data],$DD588,41),0)</f>
        <v/>
      </c>
      <c r="AR588">
        <f>IFERROR(INDEX(PP_Grid[#Data],$DD588,42),0)</f>
        <v/>
      </c>
      <c r="AS588">
        <f>IFERROR(INDEX(PP_Grid[#Data],$DD588,43),0)</f>
        <v/>
      </c>
      <c r="AT588">
        <f>IFERROR(INDEX(PP_Grid[#Data],$DD588,44),0)</f>
        <v/>
      </c>
      <c r="AU588">
        <f>IFERROR(INDEX(PP_Grid[#Data],$DD588,45),0)</f>
        <v/>
      </c>
      <c r="AV588">
        <f>IFERROR(INDEX(PP_Grid[#Data],$DD588,46),0)</f>
        <v/>
      </c>
      <c r="AW588">
        <f>IFERROR(INDEX(PP_Grid[#Data],$DD588,47),0)</f>
        <v/>
      </c>
      <c r="AX588">
        <f>IFERROR(INDEX(PP_Grid[#Data],$DD588,48),0)</f>
        <v/>
      </c>
      <c r="AY588">
        <f>IFERROR(INDEX(PP_Grid[#Data],$DD588,49),0)</f>
        <v/>
      </c>
      <c r="AZ588">
        <f>IFERROR(INDEX(PP_Grid[#Data],$DD588,50),0)</f>
        <v/>
      </c>
      <c r="BA588">
        <f>IFERROR(INDEX(PP_Grid[#Data],$DD588,51),0)</f>
        <v/>
      </c>
      <c r="BB588">
        <f>IFERROR(INDEX(PP_Grid[#Data],$DD588,52),0)</f>
        <v/>
      </c>
      <c r="BC588">
        <f>IFERROR(INDEX(PP_Grid[#Data],$DD588,53),0)</f>
        <v/>
      </c>
      <c r="BD588">
        <f>IFERROR(INDEX(PP_Grid[#Data],$DD588,54),0)</f>
        <v/>
      </c>
      <c r="BE588">
        <f>IFERROR(INDEX(PP_Grid[#Data],$DD588,55),0)</f>
        <v/>
      </c>
      <c r="BF588">
        <f>IFERROR(INDEX(PP_Grid[#Data],$DD588,56),0)</f>
        <v/>
      </c>
      <c r="BG588">
        <f>IFERROR(INDEX(PP_Grid[#Data],$DD588,57),0)</f>
        <v/>
      </c>
      <c r="BH588">
        <f>IFERROR(INDEX(PP_Grid[#Data],$DD588,58),0)</f>
        <v/>
      </c>
      <c r="BI588">
        <f>IFERROR(INDEX(PP_Grid[#Data],$DD588,59),0)</f>
        <v/>
      </c>
      <c r="BJ588">
        <f>IFERROR(INDEX(PP_Grid[#Data],$DD588,60),0)</f>
        <v/>
      </c>
      <c r="BK588">
        <f>IFERROR(INDEX(PP_Grid[#Data],$DD588,61),0)</f>
        <v/>
      </c>
      <c r="BL588">
        <f>IFERROR(INDEX(PP_Grid[#Data],$DD588,62),0)</f>
        <v/>
      </c>
      <c r="BM588">
        <f>IFERROR(INDEX(PP_Grid[#Data],$DD588,63),0)</f>
        <v/>
      </c>
      <c r="BN588">
        <f>IFERROR(INDEX(PP_Grid[#Data],$DD588,64),0)</f>
        <v/>
      </c>
      <c r="BO588">
        <f>IFERROR(INDEX(PP_Grid[#Data],$DD588,65),0)</f>
        <v/>
      </c>
      <c r="BP588">
        <f>IFERROR(INDEX(PP_Grid[#Data],$DD588,66),0)</f>
        <v/>
      </c>
      <c r="BQ588">
        <f>IFERROR(INDEX(PP_Grid[#Data],$DD588,67),0)</f>
        <v/>
      </c>
      <c r="BR588">
        <f>IFERROR(INDEX(PP_Grid[#Data],$DD588,68),0)</f>
        <v/>
      </c>
      <c r="BS588">
        <f>IFERROR(INDEX(PP_Grid[#Data],$DD588,69),0)</f>
        <v/>
      </c>
      <c r="BT588">
        <f>IFERROR(INDEX(PP_Grid[#Data],$DD588,70),0)</f>
        <v/>
      </c>
      <c r="BU588">
        <f>IFERROR(INDEX(PP_Grid[#Data],$DD588,71),0)</f>
        <v/>
      </c>
      <c r="BV588">
        <f>IFERROR(INDEX(PP_Grid[#Data],$DD588,72),0)</f>
        <v/>
      </c>
      <c r="BW588">
        <f>IFERROR(INDEX(PP_Grid[#Data],$DD588,73),0)</f>
        <v/>
      </c>
      <c r="BX588">
        <f>IFERROR(INDEX(PP_Grid[#Data],$DD588,74),0)</f>
        <v/>
      </c>
      <c r="BY588">
        <f>IFERROR(INDEX(PP_Grid[#Data],$DD588,75),0)</f>
        <v/>
      </c>
      <c r="BZ588">
        <f>IFERROR(INDEX(PP_Grid[#Data],$DD588,76),0)</f>
        <v/>
      </c>
      <c r="CA588">
        <f>IFERROR(INDEX(PP_Grid[#Data],$DD588,77),0)</f>
        <v/>
      </c>
      <c r="CB588">
        <f>IFERROR(INDEX(PP_Grid[#Data],$DD588,78),0)</f>
        <v/>
      </c>
      <c r="CC588">
        <f>IFERROR(INDEX(PP_Grid[#Data],$DD588,79),0)</f>
        <v/>
      </c>
      <c r="CD588">
        <f>IFERROR(INDEX(PP_Grid[#Data],$DD588,80),0)</f>
        <v/>
      </c>
      <c r="CE588">
        <f>IFERROR(INDEX(PP_Grid[#Data],$DD588,81),0)</f>
        <v/>
      </c>
      <c r="CF588">
        <f>IFERROR(INDEX(PP_Grid[#Data],$DD588,82),0)</f>
        <v/>
      </c>
      <c r="CG588">
        <f>IFERROR(INDEX(PP_Grid[#Data],$DD588,83),0)</f>
        <v/>
      </c>
      <c r="CH588">
        <f>IFERROR(INDEX(PP_Grid[#Data],$DD588,84),0)</f>
        <v/>
      </c>
      <c r="CI588">
        <f>IFERROR(INDEX(PP_Grid[#Data],$DD588,85),0)</f>
        <v/>
      </c>
      <c r="CJ588">
        <f>IFERROR(INDEX(PP_Grid[#Data],$DD588,86),0)</f>
        <v/>
      </c>
      <c r="CK588">
        <f>IFERROR(INDEX(PP_Grid[#Data],$DD588,87),0)</f>
        <v/>
      </c>
      <c r="CL588">
        <f>IFERROR(INDEX(PP_Grid[#Data],$DD588,88),0)</f>
        <v/>
      </c>
      <c r="CM588">
        <f>IFERROR(INDEX(PP_Grid[#Data],$DD588,89),0)</f>
        <v/>
      </c>
      <c r="CN588">
        <f>IFERROR(INDEX(PP_Grid[#Data],$DD588,90),0)</f>
        <v/>
      </c>
      <c r="CO588">
        <f>IFERROR(INDEX(PP_Grid[#Data],$DD588,91),0)</f>
        <v/>
      </c>
      <c r="CP588">
        <f>IFERROR(INDEX(PP_Grid[#Data],$DD588,92),0)</f>
        <v/>
      </c>
      <c r="CQ588">
        <f>IFERROR(INDEX(PP_Grid[#Data],$DD588,93),0)</f>
        <v/>
      </c>
      <c r="CR588">
        <f>IFERROR(INDEX(PP_Grid[#Data],$DD588,94),0)</f>
        <v/>
      </c>
      <c r="CS588">
        <f>IFERROR(INDEX(PP_Grid[#Data],$DD588,95),0)</f>
        <v/>
      </c>
      <c r="CT588">
        <f>IFERROR(INDEX(PP_Grid[#Data],$DD588,96),0)</f>
        <v/>
      </c>
      <c r="CU588">
        <f>IFERROR(INDEX(PP_Grid[#Data],$DD588,97),0)</f>
        <v/>
      </c>
      <c r="CV588">
        <f>IFERROR(INDEX(PP_Grid[#Data],$DD588,98),0)</f>
        <v/>
      </c>
      <c r="CW588">
        <f>IFERROR(INDEX(PP_Grid[#Data],$DD588,99),0)</f>
        <v/>
      </c>
      <c r="CX588">
        <f>IFERROR(INDEX(PP_Grid[#Data],$DD588,100),0)</f>
        <v/>
      </c>
      <c r="CY588">
        <f>IFERROR(INDEX(PP_Grid[#Data],$DD588,101),0)</f>
        <v/>
      </c>
      <c r="CZ588">
        <f>IFERROR(INDEX(PP_Grid[#Data],$DD588,102),0)</f>
        <v/>
      </c>
      <c r="DA588">
        <f>IFERROR(INDEX(PP_Grid[#Data],$DD588,103),0)</f>
        <v/>
      </c>
      <c r="DB588">
        <f>IFERROR(INDEX(PP_Grid[#Data],$DD588,104),0)</f>
        <v/>
      </c>
      <c r="DC588">
        <f>IFERROR(INDEX(PP_Grid[#Data],$DD588,105),0)</f>
        <v/>
      </c>
      <c r="DD588" s="12">
        <f>IFERROR(MATCH($B588,PP_Grid[Intermediate],0),99999)</f>
        <v/>
      </c>
    </row>
    <row r="589">
      <c r="B589" t="inlineStr">
        <is>
          <t>使用量(kg)</t>
        </is>
      </c>
      <c r="C589">
        <f>SUMIFS(M_BOM[RM_Qty_Per_Batch],M_BOM[Intermediate],$B588,M_BOM[Part Name],$A575)</f>
        <v/>
      </c>
      <c r="D589">
        <f>$C589*D588</f>
        <v/>
      </c>
      <c r="E589">
        <f>$C589*E588</f>
        <v/>
      </c>
      <c r="F589">
        <f>$C589*F588</f>
        <v/>
      </c>
      <c r="G589">
        <f>$C589*G588</f>
        <v/>
      </c>
      <c r="H589">
        <f>$C589*H588</f>
        <v/>
      </c>
      <c r="I589">
        <f>$C589*I588</f>
        <v/>
      </c>
      <c r="J589">
        <f>$C589*J588</f>
        <v/>
      </c>
      <c r="K589">
        <f>$C589*K588</f>
        <v/>
      </c>
      <c r="L589">
        <f>$C589*L588</f>
        <v/>
      </c>
      <c r="M589">
        <f>$C589*M588</f>
        <v/>
      </c>
      <c r="N589">
        <f>$C589*N588</f>
        <v/>
      </c>
      <c r="O589">
        <f>$C589*O588</f>
        <v/>
      </c>
      <c r="P589">
        <f>$C589*P588</f>
        <v/>
      </c>
      <c r="Q589">
        <f>$C589*Q588</f>
        <v/>
      </c>
      <c r="R589">
        <f>$C589*R588</f>
        <v/>
      </c>
      <c r="S589">
        <f>$C589*S588</f>
        <v/>
      </c>
      <c r="T589">
        <f>$C589*T588</f>
        <v/>
      </c>
      <c r="U589">
        <f>$C589*U588</f>
        <v/>
      </c>
      <c r="V589">
        <f>$C589*V588</f>
        <v/>
      </c>
      <c r="W589">
        <f>$C589*W588</f>
        <v/>
      </c>
      <c r="X589">
        <f>$C589*X588</f>
        <v/>
      </c>
      <c r="Y589">
        <f>$C589*Y588</f>
        <v/>
      </c>
      <c r="Z589">
        <f>$C589*Z588</f>
        <v/>
      </c>
      <c r="AA589">
        <f>$C589*AA588</f>
        <v/>
      </c>
      <c r="AB589">
        <f>$C589*AB588</f>
        <v/>
      </c>
      <c r="AC589">
        <f>$C589*AC588</f>
        <v/>
      </c>
      <c r="AD589">
        <f>$C589*AD588</f>
        <v/>
      </c>
      <c r="AE589">
        <f>$C589*AE588</f>
        <v/>
      </c>
      <c r="AF589">
        <f>$C589*AF588</f>
        <v/>
      </c>
      <c r="AG589">
        <f>$C589*AG588</f>
        <v/>
      </c>
      <c r="AH589">
        <f>$C589*AH588</f>
        <v/>
      </c>
      <c r="AI589">
        <f>$C589*AI588</f>
        <v/>
      </c>
      <c r="AJ589">
        <f>$C589*AJ588</f>
        <v/>
      </c>
      <c r="AK589">
        <f>$C589*AK588</f>
        <v/>
      </c>
      <c r="AL589">
        <f>$C589*AL588</f>
        <v/>
      </c>
      <c r="AM589">
        <f>$C589*AM588</f>
        <v/>
      </c>
      <c r="AN589">
        <f>$C589*AN588</f>
        <v/>
      </c>
      <c r="AO589">
        <f>$C589*AO588</f>
        <v/>
      </c>
      <c r="AP589">
        <f>$C589*AP588</f>
        <v/>
      </c>
      <c r="AQ589">
        <f>$C589*AQ588</f>
        <v/>
      </c>
      <c r="AR589">
        <f>$C589*AR588</f>
        <v/>
      </c>
      <c r="AS589">
        <f>$C589*AS588</f>
        <v/>
      </c>
      <c r="AT589">
        <f>$C589*AT588</f>
        <v/>
      </c>
      <c r="AU589">
        <f>$C589*AU588</f>
        <v/>
      </c>
      <c r="AV589">
        <f>$C589*AV588</f>
        <v/>
      </c>
      <c r="AW589">
        <f>$C589*AW588</f>
        <v/>
      </c>
      <c r="AX589">
        <f>$C589*AX588</f>
        <v/>
      </c>
      <c r="AY589">
        <f>$C589*AY588</f>
        <v/>
      </c>
      <c r="AZ589">
        <f>$C589*AZ588</f>
        <v/>
      </c>
      <c r="BA589">
        <f>$C589*BA588</f>
        <v/>
      </c>
      <c r="BB589">
        <f>$C589*BB588</f>
        <v/>
      </c>
      <c r="BC589">
        <f>$C589*BC588</f>
        <v/>
      </c>
      <c r="BD589">
        <f>$C589*BD588</f>
        <v/>
      </c>
      <c r="BE589">
        <f>$C589*BE588</f>
        <v/>
      </c>
      <c r="BF589">
        <f>$C589*BF588</f>
        <v/>
      </c>
      <c r="BG589">
        <f>$C589*BG588</f>
        <v/>
      </c>
      <c r="BH589">
        <f>$C589*BH588</f>
        <v/>
      </c>
      <c r="BI589">
        <f>$C589*BI588</f>
        <v/>
      </c>
      <c r="BJ589">
        <f>$C589*BJ588</f>
        <v/>
      </c>
      <c r="BK589">
        <f>$C589*BK588</f>
        <v/>
      </c>
      <c r="BL589">
        <f>$C589*BL588</f>
        <v/>
      </c>
      <c r="BM589">
        <f>$C589*BM588</f>
        <v/>
      </c>
      <c r="BN589">
        <f>$C589*BN588</f>
        <v/>
      </c>
      <c r="BO589">
        <f>$C589*BO588</f>
        <v/>
      </c>
      <c r="BP589">
        <f>$C589*BP588</f>
        <v/>
      </c>
      <c r="BQ589">
        <f>$C589*BQ588</f>
        <v/>
      </c>
      <c r="BR589">
        <f>$C589*BR588</f>
        <v/>
      </c>
      <c r="BS589">
        <f>$C589*BS588</f>
        <v/>
      </c>
      <c r="BT589">
        <f>$C589*BT588</f>
        <v/>
      </c>
      <c r="BU589">
        <f>$C589*BU588</f>
        <v/>
      </c>
      <c r="BV589">
        <f>$C589*BV588</f>
        <v/>
      </c>
      <c r="BW589">
        <f>$C589*BW588</f>
        <v/>
      </c>
      <c r="BX589">
        <f>$C589*BX588</f>
        <v/>
      </c>
      <c r="BY589">
        <f>$C589*BY588</f>
        <v/>
      </c>
      <c r="BZ589">
        <f>$C589*BZ588</f>
        <v/>
      </c>
      <c r="CA589">
        <f>$C589*CA588</f>
        <v/>
      </c>
      <c r="CB589">
        <f>$C589*CB588</f>
        <v/>
      </c>
      <c r="CC589">
        <f>$C589*CC588</f>
        <v/>
      </c>
      <c r="CD589">
        <f>$C589*CD588</f>
        <v/>
      </c>
      <c r="CE589">
        <f>$C589*CE588</f>
        <v/>
      </c>
      <c r="CF589">
        <f>$C589*CF588</f>
        <v/>
      </c>
      <c r="CG589">
        <f>$C589*CG588</f>
        <v/>
      </c>
      <c r="CH589">
        <f>$C589*CH588</f>
        <v/>
      </c>
      <c r="CI589">
        <f>$C589*CI588</f>
        <v/>
      </c>
      <c r="CJ589">
        <f>$C589*CJ588</f>
        <v/>
      </c>
      <c r="CK589">
        <f>$C589*CK588</f>
        <v/>
      </c>
      <c r="CL589">
        <f>$C589*CL588</f>
        <v/>
      </c>
      <c r="CM589">
        <f>$C589*CM588</f>
        <v/>
      </c>
      <c r="CN589">
        <f>$C589*CN588</f>
        <v/>
      </c>
      <c r="CO589">
        <f>$C589*CO588</f>
        <v/>
      </c>
      <c r="CP589">
        <f>$C589*CP588</f>
        <v/>
      </c>
      <c r="CQ589">
        <f>$C589*CQ588</f>
        <v/>
      </c>
      <c r="CR589">
        <f>$C589*CR588</f>
        <v/>
      </c>
      <c r="CS589">
        <f>$C589*CS588</f>
        <v/>
      </c>
      <c r="CT589">
        <f>$C589*CT588</f>
        <v/>
      </c>
      <c r="CU589">
        <f>$C589*CU588</f>
        <v/>
      </c>
      <c r="CV589">
        <f>$C589*CV588</f>
        <v/>
      </c>
      <c r="CW589">
        <f>$C589*CW588</f>
        <v/>
      </c>
      <c r="CX589">
        <f>$C589*CX588</f>
        <v/>
      </c>
      <c r="CY589">
        <f>$C589*CY588</f>
        <v/>
      </c>
      <c r="CZ589">
        <f>$C589*CZ588</f>
        <v/>
      </c>
      <c r="DA589">
        <f>$C589*DA588</f>
        <v/>
      </c>
      <c r="DB589">
        <f>$C589*DB588</f>
        <v/>
      </c>
      <c r="DC589">
        <f>$C589*DC588</f>
        <v/>
      </c>
    </row>
    <row r="590">
      <c r="B590" t="inlineStr">
        <is>
          <t>TSP-655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12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Name],$A575)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TSP-903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12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Name],$A575)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TSP-934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12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Name],$A575)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TSP-935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12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Name],$A575)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TSP-936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12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Name],$A575)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TSP-937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12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Name],$A575)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TSP-959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12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Name],$A575)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VSP-600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12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Name],$A575)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VSP-822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12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Name],$A575)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VSP-910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12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Name],$A575)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VSP-990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12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Name],$A575)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s="5" t="inlineStr">
        <is>
          <t>合計使用量(kg)/週</t>
        </is>
      </c>
      <c r="D612">
        <f>'Grid_Requirement'!B34</f>
        <v/>
      </c>
      <c r="E612">
        <f>'Grid_Requirement'!C34</f>
        <v/>
      </c>
      <c r="F612">
        <f>'Grid_Requirement'!D34</f>
        <v/>
      </c>
      <c r="G612">
        <f>'Grid_Requirement'!E34</f>
        <v/>
      </c>
      <c r="H612">
        <f>'Grid_Requirement'!F34</f>
        <v/>
      </c>
      <c r="I612">
        <f>'Grid_Requirement'!G34</f>
        <v/>
      </c>
      <c r="J612">
        <f>'Grid_Requirement'!H34</f>
        <v/>
      </c>
      <c r="K612">
        <f>'Grid_Requirement'!I34</f>
        <v/>
      </c>
      <c r="L612">
        <f>'Grid_Requirement'!J34</f>
        <v/>
      </c>
      <c r="M612">
        <f>'Grid_Requirement'!K34</f>
        <v/>
      </c>
      <c r="N612">
        <f>'Grid_Requirement'!L34</f>
        <v/>
      </c>
      <c r="O612">
        <f>'Grid_Requirement'!M34</f>
        <v/>
      </c>
      <c r="P612">
        <f>'Grid_Requirement'!N34</f>
        <v/>
      </c>
      <c r="Q612">
        <f>'Grid_Requirement'!O34</f>
        <v/>
      </c>
      <c r="R612">
        <f>'Grid_Requirement'!P34</f>
        <v/>
      </c>
      <c r="S612">
        <f>'Grid_Requirement'!Q34</f>
        <v/>
      </c>
      <c r="T612">
        <f>'Grid_Requirement'!R34</f>
        <v/>
      </c>
      <c r="U612">
        <f>'Grid_Requirement'!S34</f>
        <v/>
      </c>
      <c r="V612">
        <f>'Grid_Requirement'!T34</f>
        <v/>
      </c>
      <c r="W612">
        <f>'Grid_Requirement'!U34</f>
        <v/>
      </c>
      <c r="X612">
        <f>'Grid_Requirement'!V34</f>
        <v/>
      </c>
      <c r="Y612">
        <f>'Grid_Requirement'!W34</f>
        <v/>
      </c>
      <c r="Z612">
        <f>'Grid_Requirement'!X34</f>
        <v/>
      </c>
      <c r="AA612">
        <f>'Grid_Requirement'!Y34</f>
        <v/>
      </c>
      <c r="AB612">
        <f>'Grid_Requirement'!Z34</f>
        <v/>
      </c>
      <c r="AC612">
        <f>'Grid_Requirement'!AA34</f>
        <v/>
      </c>
      <c r="AD612">
        <f>'Grid_Requirement'!AB34</f>
        <v/>
      </c>
      <c r="AE612">
        <f>'Grid_Requirement'!AC34</f>
        <v/>
      </c>
      <c r="AF612">
        <f>'Grid_Requirement'!AD34</f>
        <v/>
      </c>
      <c r="AG612">
        <f>'Grid_Requirement'!AE34</f>
        <v/>
      </c>
      <c r="AH612">
        <f>'Grid_Requirement'!AF34</f>
        <v/>
      </c>
      <c r="AI612">
        <f>'Grid_Requirement'!AG34</f>
        <v/>
      </c>
      <c r="AJ612">
        <f>'Grid_Requirement'!AH34</f>
        <v/>
      </c>
      <c r="AK612">
        <f>'Grid_Requirement'!AI34</f>
        <v/>
      </c>
      <c r="AL612">
        <f>'Grid_Requirement'!AJ34</f>
        <v/>
      </c>
      <c r="AM612">
        <f>'Grid_Requirement'!AK34</f>
        <v/>
      </c>
      <c r="AN612">
        <f>'Grid_Requirement'!AL34</f>
        <v/>
      </c>
      <c r="AO612">
        <f>'Grid_Requirement'!AM34</f>
        <v/>
      </c>
      <c r="AP612">
        <f>'Grid_Requirement'!AN34</f>
        <v/>
      </c>
      <c r="AQ612">
        <f>'Grid_Requirement'!AO34</f>
        <v/>
      </c>
      <c r="AR612">
        <f>'Grid_Requirement'!AP34</f>
        <v/>
      </c>
      <c r="AS612">
        <f>'Grid_Requirement'!AQ34</f>
        <v/>
      </c>
      <c r="AT612">
        <f>'Grid_Requirement'!AR34</f>
        <v/>
      </c>
      <c r="AU612">
        <f>'Grid_Requirement'!AS34</f>
        <v/>
      </c>
      <c r="AV612">
        <f>'Grid_Requirement'!AT34</f>
        <v/>
      </c>
      <c r="AW612">
        <f>'Grid_Requirement'!AU34</f>
        <v/>
      </c>
      <c r="AX612">
        <f>'Grid_Requirement'!AV34</f>
        <v/>
      </c>
      <c r="AY612">
        <f>'Grid_Requirement'!AW34</f>
        <v/>
      </c>
      <c r="AZ612">
        <f>'Grid_Requirement'!AX34</f>
        <v/>
      </c>
      <c r="BA612">
        <f>'Grid_Requirement'!AY34</f>
        <v/>
      </c>
      <c r="BB612">
        <f>'Grid_Requirement'!AZ34</f>
        <v/>
      </c>
      <c r="BC612">
        <f>'Grid_Requirement'!BA34</f>
        <v/>
      </c>
      <c r="BD612">
        <f>'Grid_Requirement'!BB34</f>
        <v/>
      </c>
      <c r="BE612">
        <f>'Grid_Requirement'!BC34</f>
        <v/>
      </c>
      <c r="BF612">
        <f>'Grid_Requirement'!BD34</f>
        <v/>
      </c>
      <c r="BG612">
        <f>'Grid_Requirement'!BE34</f>
        <v/>
      </c>
      <c r="BH612">
        <f>'Grid_Requirement'!BF34</f>
        <v/>
      </c>
      <c r="BI612">
        <f>'Grid_Requirement'!BG34</f>
        <v/>
      </c>
      <c r="BJ612">
        <f>'Grid_Requirement'!BH34</f>
        <v/>
      </c>
      <c r="BK612">
        <f>'Grid_Requirement'!BI34</f>
        <v/>
      </c>
      <c r="BL612">
        <f>'Grid_Requirement'!BJ34</f>
        <v/>
      </c>
      <c r="BM612">
        <f>'Grid_Requirement'!BK34</f>
        <v/>
      </c>
      <c r="BN612">
        <f>'Grid_Requirement'!BL34</f>
        <v/>
      </c>
      <c r="BO612">
        <f>'Grid_Requirement'!BM34</f>
        <v/>
      </c>
      <c r="BP612">
        <f>'Grid_Requirement'!BN34</f>
        <v/>
      </c>
      <c r="BQ612">
        <f>'Grid_Requirement'!BO34</f>
        <v/>
      </c>
      <c r="BR612">
        <f>'Grid_Requirement'!BP34</f>
        <v/>
      </c>
      <c r="BS612">
        <f>'Grid_Requirement'!BQ34</f>
        <v/>
      </c>
      <c r="BT612">
        <f>'Grid_Requirement'!BR34</f>
        <v/>
      </c>
      <c r="BU612">
        <f>'Grid_Requirement'!BS34</f>
        <v/>
      </c>
      <c r="BV612">
        <f>'Grid_Requirement'!BT34</f>
        <v/>
      </c>
      <c r="BW612">
        <f>'Grid_Requirement'!BU34</f>
        <v/>
      </c>
      <c r="BX612">
        <f>'Grid_Requirement'!BV34</f>
        <v/>
      </c>
      <c r="BY612">
        <f>'Grid_Requirement'!BW34</f>
        <v/>
      </c>
      <c r="BZ612">
        <f>'Grid_Requirement'!BX34</f>
        <v/>
      </c>
      <c r="CA612">
        <f>'Grid_Requirement'!BY34</f>
        <v/>
      </c>
      <c r="CB612">
        <f>'Grid_Requirement'!BZ34</f>
        <v/>
      </c>
      <c r="CC612">
        <f>'Grid_Requirement'!CA34</f>
        <v/>
      </c>
      <c r="CD612">
        <f>'Grid_Requirement'!CB34</f>
        <v/>
      </c>
      <c r="CE612">
        <f>'Grid_Requirement'!CC34</f>
        <v/>
      </c>
      <c r="CF612">
        <f>'Grid_Requirement'!CD34</f>
        <v/>
      </c>
      <c r="CG612">
        <f>'Grid_Requirement'!CE34</f>
        <v/>
      </c>
      <c r="CH612">
        <f>'Grid_Requirement'!CF34</f>
        <v/>
      </c>
      <c r="CI612">
        <f>'Grid_Requirement'!CG34</f>
        <v/>
      </c>
      <c r="CJ612">
        <f>'Grid_Requirement'!CH34</f>
        <v/>
      </c>
      <c r="CK612">
        <f>'Grid_Requirement'!CI34</f>
        <v/>
      </c>
      <c r="CL612">
        <f>'Grid_Requirement'!CJ34</f>
        <v/>
      </c>
      <c r="CM612">
        <f>'Grid_Requirement'!CK34</f>
        <v/>
      </c>
      <c r="CN612">
        <f>'Grid_Requirement'!CL34</f>
        <v/>
      </c>
      <c r="CO612">
        <f>'Grid_Requirement'!CM34</f>
        <v/>
      </c>
      <c r="CP612">
        <f>'Grid_Requirement'!CN34</f>
        <v/>
      </c>
      <c r="CQ612">
        <f>'Grid_Requirement'!CO34</f>
        <v/>
      </c>
      <c r="CR612">
        <f>'Grid_Requirement'!CP34</f>
        <v/>
      </c>
      <c r="CS612">
        <f>'Grid_Requirement'!CQ34</f>
        <v/>
      </c>
      <c r="CT612">
        <f>'Grid_Requirement'!CR34</f>
        <v/>
      </c>
      <c r="CU612">
        <f>'Grid_Requirement'!CS34</f>
        <v/>
      </c>
      <c r="CV612">
        <f>'Grid_Requirement'!CT34</f>
        <v/>
      </c>
      <c r="CW612">
        <f>'Grid_Requirement'!CU34</f>
        <v/>
      </c>
      <c r="CX612">
        <f>'Grid_Requirement'!CV34</f>
        <v/>
      </c>
      <c r="CY612">
        <f>'Grid_Requirement'!CW34</f>
        <v/>
      </c>
      <c r="CZ612">
        <f>'Grid_Requirement'!CX34</f>
        <v/>
      </c>
      <c r="DA612">
        <f>'Grid_Requirement'!CY34</f>
        <v/>
      </c>
      <c r="DB612">
        <f>'Grid_Requirement'!CZ34</f>
        <v/>
      </c>
      <c r="DC612">
        <f>'Grid_Requirement'!DA34</f>
        <v/>
      </c>
    </row>
    <row r="613">
      <c r="B613" t="inlineStr">
        <is>
          <t>TTAF在庫(実績,kg)</t>
        </is>
      </c>
      <c r="D613">
        <f>'T_TTAFStock'!B38</f>
        <v/>
      </c>
      <c r="E613">
        <f>'T_TTAFStock'!C38</f>
        <v/>
      </c>
      <c r="F613">
        <f>'T_TTAFStock'!D38</f>
        <v/>
      </c>
      <c r="G613">
        <f>'T_TTAFStock'!E38</f>
        <v/>
      </c>
      <c r="H613">
        <f>'T_TTAFStock'!F38</f>
        <v/>
      </c>
      <c r="I613">
        <f>'T_TTAFStock'!G38</f>
        <v/>
      </c>
      <c r="J613">
        <f>'T_TTAFStock'!H38</f>
        <v/>
      </c>
      <c r="K613">
        <f>'T_TTAFStock'!I38</f>
        <v/>
      </c>
      <c r="L613">
        <f>'T_TTAFStock'!J38</f>
        <v/>
      </c>
      <c r="M613">
        <f>'T_TTAFStock'!K38</f>
        <v/>
      </c>
      <c r="N613">
        <f>'T_TTAFStock'!L38</f>
        <v/>
      </c>
      <c r="O613">
        <f>'T_TTAFStock'!M38</f>
        <v/>
      </c>
      <c r="P613">
        <f>'T_TTAFStock'!N38</f>
        <v/>
      </c>
      <c r="Q613">
        <f>'T_TTAFStock'!O38</f>
        <v/>
      </c>
      <c r="R613">
        <f>'T_TTAFStock'!P38</f>
        <v/>
      </c>
      <c r="S613">
        <f>'T_TTAFStock'!Q38</f>
        <v/>
      </c>
      <c r="T613">
        <f>'T_TTAFStock'!R38</f>
        <v/>
      </c>
      <c r="U613">
        <f>'T_TTAFStock'!S38</f>
        <v/>
      </c>
      <c r="V613">
        <f>'T_TTAFStock'!T38</f>
        <v/>
      </c>
      <c r="W613">
        <f>'T_TTAFStock'!U38</f>
        <v/>
      </c>
      <c r="X613">
        <f>'T_TTAFStock'!V38</f>
        <v/>
      </c>
      <c r="Y613">
        <f>'T_TTAFStock'!W38</f>
        <v/>
      </c>
      <c r="Z613">
        <f>'T_TTAFStock'!X38</f>
        <v/>
      </c>
      <c r="AA613">
        <f>'T_TTAFStock'!Y38</f>
        <v/>
      </c>
      <c r="AB613">
        <f>'T_TTAFStock'!Z38</f>
        <v/>
      </c>
      <c r="AC613">
        <f>'T_TTAFStock'!AA38</f>
        <v/>
      </c>
      <c r="AD613">
        <f>'T_TTAFStock'!AB38</f>
        <v/>
      </c>
      <c r="AE613">
        <f>'T_TTAFStock'!AC38</f>
        <v/>
      </c>
      <c r="AF613">
        <f>'T_TTAFStock'!AD38</f>
        <v/>
      </c>
      <c r="AG613">
        <f>'T_TTAFStock'!AE38</f>
        <v/>
      </c>
      <c r="AH613">
        <f>'T_TTAFStock'!AF38</f>
        <v/>
      </c>
      <c r="AI613">
        <f>'T_TTAFStock'!AG38</f>
        <v/>
      </c>
      <c r="AJ613">
        <f>'T_TTAFStock'!AH38</f>
        <v/>
      </c>
      <c r="AK613">
        <f>'T_TTAFStock'!AI38</f>
        <v/>
      </c>
      <c r="AL613">
        <f>'T_TTAFStock'!AJ38</f>
        <v/>
      </c>
      <c r="AM613">
        <f>'T_TTAFStock'!AK38</f>
        <v/>
      </c>
      <c r="AN613">
        <f>'T_TTAFStock'!AL38</f>
        <v/>
      </c>
      <c r="AO613">
        <f>'T_TTAFStock'!AM38</f>
        <v/>
      </c>
      <c r="AP613">
        <f>'T_TTAFStock'!AN38</f>
        <v/>
      </c>
      <c r="AQ613">
        <f>'T_TTAFStock'!AO38</f>
        <v/>
      </c>
      <c r="AR613">
        <f>'T_TTAFStock'!AP38</f>
        <v/>
      </c>
      <c r="AS613">
        <f>'T_TTAFStock'!AQ38</f>
        <v/>
      </c>
      <c r="AT613">
        <f>'T_TTAFStock'!AR38</f>
        <v/>
      </c>
      <c r="AU613">
        <f>'T_TTAFStock'!AS38</f>
        <v/>
      </c>
      <c r="AV613">
        <f>'T_TTAFStock'!AT38</f>
        <v/>
      </c>
      <c r="AW613">
        <f>'T_TTAFStock'!AU38</f>
        <v/>
      </c>
      <c r="AX613">
        <f>'T_TTAFStock'!AV38</f>
        <v/>
      </c>
      <c r="AY613">
        <f>'T_TTAFStock'!AW38</f>
        <v/>
      </c>
      <c r="AZ613">
        <f>'T_TTAFStock'!AX38</f>
        <v/>
      </c>
      <c r="BA613">
        <f>'T_TTAFStock'!AY38</f>
        <v/>
      </c>
      <c r="BB613">
        <f>'T_TTAFStock'!AZ38</f>
        <v/>
      </c>
      <c r="BC613">
        <f>'T_TTAFStock'!BA38</f>
        <v/>
      </c>
      <c r="BD613">
        <f>'T_TTAFStock'!BB38</f>
        <v/>
      </c>
      <c r="BE613">
        <f>'T_TTAFStock'!BC38</f>
        <v/>
      </c>
      <c r="BF613">
        <f>'T_TTAFStock'!BD38</f>
        <v/>
      </c>
      <c r="BG613">
        <f>'T_TTAFStock'!BE38</f>
        <v/>
      </c>
      <c r="BH613">
        <f>'T_TTAFStock'!BF38</f>
        <v/>
      </c>
      <c r="BI613">
        <f>'T_TTAFStock'!BG38</f>
        <v/>
      </c>
      <c r="BJ613">
        <f>'T_TTAFStock'!BH38</f>
        <v/>
      </c>
      <c r="BK613">
        <f>'T_TTAFStock'!BI38</f>
        <v/>
      </c>
      <c r="BL613">
        <f>'T_TTAFStock'!BJ38</f>
        <v/>
      </c>
      <c r="BM613">
        <f>'T_TTAFStock'!BK38</f>
        <v/>
      </c>
      <c r="BN613">
        <f>'T_TTAFStock'!BL38</f>
        <v/>
      </c>
      <c r="BO613">
        <f>'T_TTAFStock'!BM38</f>
        <v/>
      </c>
      <c r="BP613">
        <f>'T_TTAFStock'!BN38</f>
        <v/>
      </c>
      <c r="BQ613">
        <f>'T_TTAFStock'!BO38</f>
        <v/>
      </c>
      <c r="BR613">
        <f>'T_TTAFStock'!BP38</f>
        <v/>
      </c>
      <c r="BS613">
        <f>'T_TTAFStock'!BQ38</f>
        <v/>
      </c>
      <c r="BT613">
        <f>'T_TTAFStock'!BR38</f>
        <v/>
      </c>
      <c r="BU613">
        <f>'T_TTAFStock'!BS38</f>
        <v/>
      </c>
      <c r="BV613">
        <f>'T_TTAFStock'!BT38</f>
        <v/>
      </c>
      <c r="BW613">
        <f>'T_TTAFStock'!BU38</f>
        <v/>
      </c>
      <c r="BX613">
        <f>'T_TTAFStock'!BV38</f>
        <v/>
      </c>
      <c r="BY613">
        <f>'T_TTAFStock'!BW38</f>
        <v/>
      </c>
      <c r="BZ613">
        <f>'T_TTAFStock'!BX38</f>
        <v/>
      </c>
      <c r="CA613">
        <f>'T_TTAFStock'!BY38</f>
        <v/>
      </c>
      <c r="CB613">
        <f>'T_TTAFStock'!BZ38</f>
        <v/>
      </c>
      <c r="CC613">
        <f>'T_TTAFStock'!CA38</f>
        <v/>
      </c>
      <c r="CD613">
        <f>'T_TTAFStock'!CB38</f>
        <v/>
      </c>
      <c r="CE613">
        <f>'T_TTAFStock'!CC38</f>
        <v/>
      </c>
      <c r="CF613">
        <f>'T_TTAFStock'!CD38</f>
        <v/>
      </c>
      <c r="CG613">
        <f>'T_TTAFStock'!CE38</f>
        <v/>
      </c>
      <c r="CH613">
        <f>'T_TTAFStock'!CF38</f>
        <v/>
      </c>
      <c r="CI613">
        <f>'T_TTAFStock'!CG38</f>
        <v/>
      </c>
      <c r="CJ613">
        <f>'T_TTAFStock'!CH38</f>
        <v/>
      </c>
      <c r="CK613">
        <f>'T_TTAFStock'!CI38</f>
        <v/>
      </c>
      <c r="CL613">
        <f>'T_TTAFStock'!CJ38</f>
        <v/>
      </c>
      <c r="CM613">
        <f>'T_TTAFStock'!CK38</f>
        <v/>
      </c>
      <c r="CN613">
        <f>'T_TTAFStock'!CL38</f>
        <v/>
      </c>
      <c r="CO613">
        <f>'T_TTAFStock'!CM38</f>
        <v/>
      </c>
      <c r="CP613">
        <f>'T_TTAFStock'!CN38</f>
        <v/>
      </c>
      <c r="CQ613">
        <f>'T_TTAFStock'!CO38</f>
        <v/>
      </c>
      <c r="CR613">
        <f>'T_TTAFStock'!CP38</f>
        <v/>
      </c>
      <c r="CS613">
        <f>'T_TTAFStock'!CQ38</f>
        <v/>
      </c>
      <c r="CT613">
        <f>'T_TTAFStock'!CR38</f>
        <v/>
      </c>
      <c r="CU613">
        <f>'T_TTAFStock'!CS38</f>
        <v/>
      </c>
      <c r="CV613">
        <f>'T_TTAFStock'!CT38</f>
        <v/>
      </c>
      <c r="CW613">
        <f>'T_TTAFStock'!CU38</f>
        <v/>
      </c>
      <c r="CX613">
        <f>'T_TTAFStock'!CV38</f>
        <v/>
      </c>
      <c r="CY613">
        <f>'T_TTAFStock'!CW38</f>
        <v/>
      </c>
      <c r="CZ613">
        <f>'T_TTAFStock'!CX38</f>
        <v/>
      </c>
      <c r="DA613">
        <f>'T_TTAFStock'!CY38</f>
        <v/>
      </c>
      <c r="DB613">
        <f>'T_TTAFStock'!CZ38</f>
        <v/>
      </c>
      <c r="DC613">
        <f>'T_TTAFStock'!DA38</f>
        <v/>
      </c>
    </row>
    <row r="614">
      <c r="B614" t="inlineStr">
        <is>
          <t>自社在庫(実績,kg)</t>
        </is>
      </c>
      <c r="D614">
        <f>'T_SelfStock'!B38</f>
        <v/>
      </c>
      <c r="E614">
        <f>'T_SelfStock'!C38</f>
        <v/>
      </c>
      <c r="F614">
        <f>'T_SelfStock'!D38</f>
        <v/>
      </c>
      <c r="G614">
        <f>'T_SelfStock'!E38</f>
        <v/>
      </c>
      <c r="H614">
        <f>'T_SelfStock'!F38</f>
        <v/>
      </c>
      <c r="I614">
        <f>'T_SelfStock'!G38</f>
        <v/>
      </c>
      <c r="J614">
        <f>'T_SelfStock'!H38</f>
        <v/>
      </c>
      <c r="K614">
        <f>'T_SelfStock'!I38</f>
        <v/>
      </c>
      <c r="L614">
        <f>'T_SelfStock'!J38</f>
        <v/>
      </c>
      <c r="M614">
        <f>'T_SelfStock'!K38</f>
        <v/>
      </c>
      <c r="N614">
        <f>'T_SelfStock'!L38</f>
        <v/>
      </c>
      <c r="O614">
        <f>'T_SelfStock'!M38</f>
        <v/>
      </c>
      <c r="P614">
        <f>'T_SelfStock'!N38</f>
        <v/>
      </c>
      <c r="Q614">
        <f>'T_SelfStock'!O38</f>
        <v/>
      </c>
      <c r="R614">
        <f>'T_SelfStock'!P38</f>
        <v/>
      </c>
      <c r="S614">
        <f>'T_SelfStock'!Q38</f>
        <v/>
      </c>
      <c r="T614">
        <f>'T_SelfStock'!R38</f>
        <v/>
      </c>
      <c r="U614">
        <f>'T_SelfStock'!S38</f>
        <v/>
      </c>
      <c r="V614">
        <f>'T_SelfStock'!T38</f>
        <v/>
      </c>
      <c r="W614">
        <f>'T_SelfStock'!U38</f>
        <v/>
      </c>
      <c r="X614">
        <f>'T_SelfStock'!V38</f>
        <v/>
      </c>
      <c r="Y614">
        <f>'T_SelfStock'!W38</f>
        <v/>
      </c>
      <c r="Z614">
        <f>'T_SelfStock'!X38</f>
        <v/>
      </c>
      <c r="AA614">
        <f>'T_SelfStock'!Y38</f>
        <v/>
      </c>
      <c r="AB614">
        <f>'T_SelfStock'!Z38</f>
        <v/>
      </c>
      <c r="AC614">
        <f>'T_SelfStock'!AA38</f>
        <v/>
      </c>
      <c r="AD614">
        <f>'T_SelfStock'!AB38</f>
        <v/>
      </c>
      <c r="AE614">
        <f>'T_SelfStock'!AC38</f>
        <v/>
      </c>
      <c r="AF614">
        <f>'T_SelfStock'!AD38</f>
        <v/>
      </c>
      <c r="AG614">
        <f>'T_SelfStock'!AE38</f>
        <v/>
      </c>
      <c r="AH614">
        <f>'T_SelfStock'!AF38</f>
        <v/>
      </c>
      <c r="AI614">
        <f>'T_SelfStock'!AG38</f>
        <v/>
      </c>
      <c r="AJ614">
        <f>'T_SelfStock'!AH38</f>
        <v/>
      </c>
      <c r="AK614">
        <f>'T_SelfStock'!AI38</f>
        <v/>
      </c>
      <c r="AL614">
        <f>'T_SelfStock'!AJ38</f>
        <v/>
      </c>
      <c r="AM614">
        <f>'T_SelfStock'!AK38</f>
        <v/>
      </c>
      <c r="AN614">
        <f>'T_SelfStock'!AL38</f>
        <v/>
      </c>
      <c r="AO614">
        <f>'T_SelfStock'!AM38</f>
        <v/>
      </c>
      <c r="AP614">
        <f>'T_SelfStock'!AN38</f>
        <v/>
      </c>
      <c r="AQ614">
        <f>'T_SelfStock'!AO38</f>
        <v/>
      </c>
      <c r="AR614">
        <f>'T_SelfStock'!AP38</f>
        <v/>
      </c>
      <c r="AS614">
        <f>'T_SelfStock'!AQ38</f>
        <v/>
      </c>
      <c r="AT614">
        <f>'T_SelfStock'!AR38</f>
        <v/>
      </c>
      <c r="AU614">
        <f>'T_SelfStock'!AS38</f>
        <v/>
      </c>
      <c r="AV614">
        <f>'T_SelfStock'!AT38</f>
        <v/>
      </c>
      <c r="AW614">
        <f>'T_SelfStock'!AU38</f>
        <v/>
      </c>
      <c r="AX614">
        <f>'T_SelfStock'!AV38</f>
        <v/>
      </c>
      <c r="AY614">
        <f>'T_SelfStock'!AW38</f>
        <v/>
      </c>
      <c r="AZ614">
        <f>'T_SelfStock'!AX38</f>
        <v/>
      </c>
      <c r="BA614">
        <f>'T_SelfStock'!AY38</f>
        <v/>
      </c>
      <c r="BB614">
        <f>'T_SelfStock'!AZ38</f>
        <v/>
      </c>
      <c r="BC614">
        <f>'T_SelfStock'!BA38</f>
        <v/>
      </c>
      <c r="BD614">
        <f>'T_SelfStock'!BB38</f>
        <v/>
      </c>
      <c r="BE614">
        <f>'T_SelfStock'!BC38</f>
        <v/>
      </c>
      <c r="BF614">
        <f>'T_SelfStock'!BD38</f>
        <v/>
      </c>
      <c r="BG614">
        <f>'T_SelfStock'!BE38</f>
        <v/>
      </c>
      <c r="BH614">
        <f>'T_SelfStock'!BF38</f>
        <v/>
      </c>
      <c r="BI614">
        <f>'T_SelfStock'!BG38</f>
        <v/>
      </c>
      <c r="BJ614">
        <f>'T_SelfStock'!BH38</f>
        <v/>
      </c>
      <c r="BK614">
        <f>'T_SelfStock'!BI38</f>
        <v/>
      </c>
      <c r="BL614">
        <f>'T_SelfStock'!BJ38</f>
        <v/>
      </c>
      <c r="BM614">
        <f>'T_SelfStock'!BK38</f>
        <v/>
      </c>
      <c r="BN614">
        <f>'T_SelfStock'!BL38</f>
        <v/>
      </c>
      <c r="BO614">
        <f>'T_SelfStock'!BM38</f>
        <v/>
      </c>
      <c r="BP614">
        <f>'T_SelfStock'!BN38</f>
        <v/>
      </c>
      <c r="BQ614">
        <f>'T_SelfStock'!BO38</f>
        <v/>
      </c>
      <c r="BR614">
        <f>'T_SelfStock'!BP38</f>
        <v/>
      </c>
      <c r="BS614">
        <f>'T_SelfStock'!BQ38</f>
        <v/>
      </c>
      <c r="BT614">
        <f>'T_SelfStock'!BR38</f>
        <v/>
      </c>
      <c r="BU614">
        <f>'T_SelfStock'!BS38</f>
        <v/>
      </c>
      <c r="BV614">
        <f>'T_SelfStock'!BT38</f>
        <v/>
      </c>
      <c r="BW614">
        <f>'T_SelfStock'!BU38</f>
        <v/>
      </c>
      <c r="BX614">
        <f>'T_SelfStock'!BV38</f>
        <v/>
      </c>
      <c r="BY614">
        <f>'T_SelfStock'!BW38</f>
        <v/>
      </c>
      <c r="BZ614">
        <f>'T_SelfStock'!BX38</f>
        <v/>
      </c>
      <c r="CA614">
        <f>'T_SelfStock'!BY38</f>
        <v/>
      </c>
      <c r="CB614">
        <f>'T_SelfStock'!BZ38</f>
        <v/>
      </c>
      <c r="CC614">
        <f>'T_SelfStock'!CA38</f>
        <v/>
      </c>
      <c r="CD614">
        <f>'T_SelfStock'!CB38</f>
        <v/>
      </c>
      <c r="CE614">
        <f>'T_SelfStock'!CC38</f>
        <v/>
      </c>
      <c r="CF614">
        <f>'T_SelfStock'!CD38</f>
        <v/>
      </c>
      <c r="CG614">
        <f>'T_SelfStock'!CE38</f>
        <v/>
      </c>
      <c r="CH614">
        <f>'T_SelfStock'!CF38</f>
        <v/>
      </c>
      <c r="CI614">
        <f>'T_SelfStock'!CG38</f>
        <v/>
      </c>
      <c r="CJ614">
        <f>'T_SelfStock'!CH38</f>
        <v/>
      </c>
      <c r="CK614">
        <f>'T_SelfStock'!CI38</f>
        <v/>
      </c>
      <c r="CL614">
        <f>'T_SelfStock'!CJ38</f>
        <v/>
      </c>
      <c r="CM614">
        <f>'T_SelfStock'!CK38</f>
        <v/>
      </c>
      <c r="CN614">
        <f>'T_SelfStock'!CL38</f>
        <v/>
      </c>
      <c r="CO614">
        <f>'T_SelfStock'!CM38</f>
        <v/>
      </c>
      <c r="CP614">
        <f>'T_SelfStock'!CN38</f>
        <v/>
      </c>
      <c r="CQ614">
        <f>'T_SelfStock'!CO38</f>
        <v/>
      </c>
      <c r="CR614">
        <f>'T_SelfStock'!CP38</f>
        <v/>
      </c>
      <c r="CS614">
        <f>'T_SelfStock'!CQ38</f>
        <v/>
      </c>
      <c r="CT614">
        <f>'T_SelfStock'!CR38</f>
        <v/>
      </c>
      <c r="CU614">
        <f>'T_SelfStock'!CS38</f>
        <v/>
      </c>
      <c r="CV614">
        <f>'T_SelfStock'!CT38</f>
        <v/>
      </c>
      <c r="CW614">
        <f>'T_SelfStock'!CU38</f>
        <v/>
      </c>
      <c r="CX614">
        <f>'T_SelfStock'!CV38</f>
        <v/>
      </c>
      <c r="CY614">
        <f>'T_SelfStock'!CW38</f>
        <v/>
      </c>
      <c r="CZ614">
        <f>'T_SelfStock'!CX38</f>
        <v/>
      </c>
      <c r="DA614">
        <f>'T_SelfStock'!CY38</f>
        <v/>
      </c>
      <c r="DB614">
        <f>'T_SelfStock'!CZ38</f>
        <v/>
      </c>
      <c r="DC614">
        <f>'T_SelfStock'!DA38</f>
        <v/>
      </c>
    </row>
    <row r="615">
      <c r="B615" t="inlineStr">
        <is>
          <t>Order(発注予定,kg)</t>
        </is>
      </c>
      <c r="D615">
        <f>IF(SUMIFS(T_PlannedOrders[EffectiveQty],T_PlannedOrders[Part Name],$A575,T_PlannedOrders[WeekIndex],1)=0,"",SUMIFS(T_PlannedOrders[EffectiveQty],T_PlannedOrders[Part Name],$A575,T_PlannedOrders[WeekIndex],1)&amp;" ("&amp;TEXT(SUMPRODUCT(MAX((T_PlannedOrders[Part Name]=$A575)*(T_PlannedOrders[WeekIndex]=1)*(T_PlannedOrders[EffectiveQty]&gt;0)*T_PlannedOrders[Order_Month])),"m月")&amp;"発注)")</f>
        <v/>
      </c>
      <c r="E615">
        <f>IF(SUMIFS(T_PlannedOrders[EffectiveQty],T_PlannedOrders[Part Name],$A575,T_PlannedOrders[WeekIndex],2)=0,"",SUMIFS(T_PlannedOrders[EffectiveQty],T_PlannedOrders[Part Name],$A575,T_PlannedOrders[WeekIndex],2)&amp;" ("&amp;TEXT(SUMPRODUCT(MAX((T_PlannedOrders[Part Name]=$A575)*(T_PlannedOrders[WeekIndex]=2)*(T_PlannedOrders[EffectiveQty]&gt;0)*T_PlannedOrders[Order_Month])),"m月")&amp;"発注)")</f>
        <v/>
      </c>
      <c r="F615">
        <f>IF(SUMIFS(T_PlannedOrders[EffectiveQty],T_PlannedOrders[Part Name],$A575,T_PlannedOrders[WeekIndex],3)=0,"",SUMIFS(T_PlannedOrders[EffectiveQty],T_PlannedOrders[Part Name],$A575,T_PlannedOrders[WeekIndex],3)&amp;" ("&amp;TEXT(SUMPRODUCT(MAX((T_PlannedOrders[Part Name]=$A575)*(T_PlannedOrders[WeekIndex]=3)*(T_PlannedOrders[EffectiveQty]&gt;0)*T_PlannedOrders[Order_Month])),"m月")&amp;"発注)")</f>
        <v/>
      </c>
      <c r="G615">
        <f>IF(SUMIFS(T_PlannedOrders[EffectiveQty],T_PlannedOrders[Part Name],$A575,T_PlannedOrders[WeekIndex],4)=0,"",SUMIFS(T_PlannedOrders[EffectiveQty],T_PlannedOrders[Part Name],$A575,T_PlannedOrders[WeekIndex],4)&amp;" ("&amp;TEXT(SUMPRODUCT(MAX((T_PlannedOrders[Part Name]=$A575)*(T_PlannedOrders[WeekIndex]=4)*(T_PlannedOrders[EffectiveQty]&gt;0)*T_PlannedOrders[Order_Month])),"m月")&amp;"発注)")</f>
        <v/>
      </c>
      <c r="H615">
        <f>IF(SUMIFS(T_PlannedOrders[EffectiveQty],T_PlannedOrders[Part Name],$A575,T_PlannedOrders[WeekIndex],5)=0,"",SUMIFS(T_PlannedOrders[EffectiveQty],T_PlannedOrders[Part Name],$A575,T_PlannedOrders[WeekIndex],5)&amp;" ("&amp;TEXT(SUMPRODUCT(MAX((T_PlannedOrders[Part Name]=$A575)*(T_PlannedOrders[WeekIndex]=5)*(T_PlannedOrders[EffectiveQty]&gt;0)*T_PlannedOrders[Order_Month])),"m月")&amp;"発注)")</f>
        <v/>
      </c>
      <c r="I615">
        <f>IF(SUMIFS(T_PlannedOrders[EffectiveQty],T_PlannedOrders[Part Name],$A575,T_PlannedOrders[WeekIndex],6)=0,"",SUMIFS(T_PlannedOrders[EffectiveQty],T_PlannedOrders[Part Name],$A575,T_PlannedOrders[WeekIndex],6)&amp;" ("&amp;TEXT(SUMPRODUCT(MAX((T_PlannedOrders[Part Name]=$A575)*(T_PlannedOrders[WeekIndex]=6)*(T_PlannedOrders[EffectiveQty]&gt;0)*T_PlannedOrders[Order_Month])),"m月")&amp;"発注)")</f>
        <v/>
      </c>
      <c r="J615">
        <f>IF(SUMIFS(T_PlannedOrders[EffectiveQty],T_PlannedOrders[Part Name],$A575,T_PlannedOrders[WeekIndex],7)=0,"",SUMIFS(T_PlannedOrders[EffectiveQty],T_PlannedOrders[Part Name],$A575,T_PlannedOrders[WeekIndex],7)&amp;" ("&amp;TEXT(SUMPRODUCT(MAX((T_PlannedOrders[Part Name]=$A575)*(T_PlannedOrders[WeekIndex]=7)*(T_PlannedOrders[EffectiveQty]&gt;0)*T_PlannedOrders[Order_Month])),"m月")&amp;"発注)")</f>
        <v/>
      </c>
      <c r="K615">
        <f>IF(SUMIFS(T_PlannedOrders[EffectiveQty],T_PlannedOrders[Part Name],$A575,T_PlannedOrders[WeekIndex],8)=0,"",SUMIFS(T_PlannedOrders[EffectiveQty],T_PlannedOrders[Part Name],$A575,T_PlannedOrders[WeekIndex],8)&amp;" ("&amp;TEXT(SUMPRODUCT(MAX((T_PlannedOrders[Part Name]=$A575)*(T_PlannedOrders[WeekIndex]=8)*(T_PlannedOrders[EffectiveQty]&gt;0)*T_PlannedOrders[Order_Month])),"m月")&amp;"発注)")</f>
        <v/>
      </c>
      <c r="L615">
        <f>IF(SUMIFS(T_PlannedOrders[EffectiveQty],T_PlannedOrders[Part Name],$A575,T_PlannedOrders[WeekIndex],9)=0,"",SUMIFS(T_PlannedOrders[EffectiveQty],T_PlannedOrders[Part Name],$A575,T_PlannedOrders[WeekIndex],9)&amp;" ("&amp;TEXT(SUMPRODUCT(MAX((T_PlannedOrders[Part Name]=$A575)*(T_PlannedOrders[WeekIndex]=9)*(T_PlannedOrders[EffectiveQty]&gt;0)*T_PlannedOrders[Order_Month])),"m月")&amp;"発注)")</f>
        <v/>
      </c>
      <c r="M615">
        <f>IF(SUMIFS(T_PlannedOrders[EffectiveQty],T_PlannedOrders[Part Name],$A575,T_PlannedOrders[WeekIndex],10)=0,"",SUMIFS(T_PlannedOrders[EffectiveQty],T_PlannedOrders[Part Name],$A575,T_PlannedOrders[WeekIndex],10)&amp;" ("&amp;TEXT(SUMPRODUCT(MAX((T_PlannedOrders[Part Name]=$A575)*(T_PlannedOrders[WeekIndex]=10)*(T_PlannedOrders[EffectiveQty]&gt;0)*T_PlannedOrders[Order_Month])),"m月")&amp;"発注)")</f>
        <v/>
      </c>
      <c r="N615">
        <f>IF(SUMIFS(T_PlannedOrders[EffectiveQty],T_PlannedOrders[Part Name],$A575,T_PlannedOrders[WeekIndex],11)=0,"",SUMIFS(T_PlannedOrders[EffectiveQty],T_PlannedOrders[Part Name],$A575,T_PlannedOrders[WeekIndex],11)&amp;" ("&amp;TEXT(SUMPRODUCT(MAX((T_PlannedOrders[Part Name]=$A575)*(T_PlannedOrders[WeekIndex]=11)*(T_PlannedOrders[EffectiveQty]&gt;0)*T_PlannedOrders[Order_Month])),"m月")&amp;"発注)")</f>
        <v/>
      </c>
      <c r="O615">
        <f>IF(SUMIFS(T_PlannedOrders[EffectiveQty],T_PlannedOrders[Part Name],$A575,T_PlannedOrders[WeekIndex],12)=0,"",SUMIFS(T_PlannedOrders[EffectiveQty],T_PlannedOrders[Part Name],$A575,T_PlannedOrders[WeekIndex],12)&amp;" ("&amp;TEXT(SUMPRODUCT(MAX((T_PlannedOrders[Part Name]=$A575)*(T_PlannedOrders[WeekIndex]=12)*(T_PlannedOrders[EffectiveQty]&gt;0)*T_PlannedOrders[Order_Month])),"m月")&amp;"発注)")</f>
        <v/>
      </c>
      <c r="P615">
        <f>IF(SUMIFS(T_PlannedOrders[EffectiveQty],T_PlannedOrders[Part Name],$A575,T_PlannedOrders[WeekIndex],13)=0,"",SUMIFS(T_PlannedOrders[EffectiveQty],T_PlannedOrders[Part Name],$A575,T_PlannedOrders[WeekIndex],13)&amp;" ("&amp;TEXT(SUMPRODUCT(MAX((T_PlannedOrders[Part Name]=$A575)*(T_PlannedOrders[WeekIndex]=13)*(T_PlannedOrders[EffectiveQty]&gt;0)*T_PlannedOrders[Order_Month])),"m月")&amp;"発注)")</f>
        <v/>
      </c>
      <c r="Q615">
        <f>IF(SUMIFS(T_PlannedOrders[EffectiveQty],T_PlannedOrders[Part Name],$A575,T_PlannedOrders[WeekIndex],14)=0,"",SUMIFS(T_PlannedOrders[EffectiveQty],T_PlannedOrders[Part Name],$A575,T_PlannedOrders[WeekIndex],14)&amp;" ("&amp;TEXT(SUMPRODUCT(MAX((T_PlannedOrders[Part Name]=$A575)*(T_PlannedOrders[WeekIndex]=14)*(T_PlannedOrders[EffectiveQty]&gt;0)*T_PlannedOrders[Order_Month])),"m月")&amp;"発注)")</f>
        <v/>
      </c>
      <c r="R615">
        <f>IF(SUMIFS(T_PlannedOrders[EffectiveQty],T_PlannedOrders[Part Name],$A575,T_PlannedOrders[WeekIndex],15)=0,"",SUMIFS(T_PlannedOrders[EffectiveQty],T_PlannedOrders[Part Name],$A575,T_PlannedOrders[WeekIndex],15)&amp;" ("&amp;TEXT(SUMPRODUCT(MAX((T_PlannedOrders[Part Name]=$A575)*(T_PlannedOrders[WeekIndex]=15)*(T_PlannedOrders[EffectiveQty]&gt;0)*T_PlannedOrders[Order_Month])),"m月")&amp;"発注)")</f>
        <v/>
      </c>
      <c r="S615">
        <f>IF(SUMIFS(T_PlannedOrders[EffectiveQty],T_PlannedOrders[Part Name],$A575,T_PlannedOrders[WeekIndex],16)=0,"",SUMIFS(T_PlannedOrders[EffectiveQty],T_PlannedOrders[Part Name],$A575,T_PlannedOrders[WeekIndex],16)&amp;" ("&amp;TEXT(SUMPRODUCT(MAX((T_PlannedOrders[Part Name]=$A575)*(T_PlannedOrders[WeekIndex]=16)*(T_PlannedOrders[EffectiveQty]&gt;0)*T_PlannedOrders[Order_Month])),"m月")&amp;"発注)")</f>
        <v/>
      </c>
      <c r="T615">
        <f>IF(SUMIFS(T_PlannedOrders[EffectiveQty],T_PlannedOrders[Part Name],$A575,T_PlannedOrders[WeekIndex],17)=0,"",SUMIFS(T_PlannedOrders[EffectiveQty],T_PlannedOrders[Part Name],$A575,T_PlannedOrders[WeekIndex],17)&amp;" ("&amp;TEXT(SUMPRODUCT(MAX((T_PlannedOrders[Part Name]=$A575)*(T_PlannedOrders[WeekIndex]=17)*(T_PlannedOrders[EffectiveQty]&gt;0)*T_PlannedOrders[Order_Month])),"m月")&amp;"発注)")</f>
        <v/>
      </c>
      <c r="U615">
        <f>IF(SUMIFS(T_PlannedOrders[EffectiveQty],T_PlannedOrders[Part Name],$A575,T_PlannedOrders[WeekIndex],18)=0,"",SUMIFS(T_PlannedOrders[EffectiveQty],T_PlannedOrders[Part Name],$A575,T_PlannedOrders[WeekIndex],18)&amp;" ("&amp;TEXT(SUMPRODUCT(MAX((T_PlannedOrders[Part Name]=$A575)*(T_PlannedOrders[WeekIndex]=18)*(T_PlannedOrders[EffectiveQty]&gt;0)*T_PlannedOrders[Order_Month])),"m月")&amp;"発注)")</f>
        <v/>
      </c>
      <c r="V615">
        <f>IF(SUMIFS(T_PlannedOrders[EffectiveQty],T_PlannedOrders[Part Name],$A575,T_PlannedOrders[WeekIndex],19)=0,"",SUMIFS(T_PlannedOrders[EffectiveQty],T_PlannedOrders[Part Name],$A575,T_PlannedOrders[WeekIndex],19)&amp;" ("&amp;TEXT(SUMPRODUCT(MAX((T_PlannedOrders[Part Name]=$A575)*(T_PlannedOrders[WeekIndex]=19)*(T_PlannedOrders[EffectiveQty]&gt;0)*T_PlannedOrders[Order_Month])),"m月")&amp;"発注)")</f>
        <v/>
      </c>
      <c r="W615">
        <f>IF(SUMIFS(T_PlannedOrders[EffectiveQty],T_PlannedOrders[Part Name],$A575,T_PlannedOrders[WeekIndex],20)=0,"",SUMIFS(T_PlannedOrders[EffectiveQty],T_PlannedOrders[Part Name],$A575,T_PlannedOrders[WeekIndex],20)&amp;" ("&amp;TEXT(SUMPRODUCT(MAX((T_PlannedOrders[Part Name]=$A575)*(T_PlannedOrders[WeekIndex]=20)*(T_PlannedOrders[EffectiveQty]&gt;0)*T_PlannedOrders[Order_Month])),"m月")&amp;"発注)")</f>
        <v/>
      </c>
      <c r="X615">
        <f>IF(SUMIFS(T_PlannedOrders[EffectiveQty],T_PlannedOrders[Part Name],$A575,T_PlannedOrders[WeekIndex],21)=0,"",SUMIFS(T_PlannedOrders[EffectiveQty],T_PlannedOrders[Part Name],$A575,T_PlannedOrders[WeekIndex],21)&amp;" ("&amp;TEXT(SUMPRODUCT(MAX((T_PlannedOrders[Part Name]=$A575)*(T_PlannedOrders[WeekIndex]=21)*(T_PlannedOrders[EffectiveQty]&gt;0)*T_PlannedOrders[Order_Month])),"m月")&amp;"発注)")</f>
        <v/>
      </c>
      <c r="Y615">
        <f>IF(SUMIFS(T_PlannedOrders[EffectiveQty],T_PlannedOrders[Part Name],$A575,T_PlannedOrders[WeekIndex],22)=0,"",SUMIFS(T_PlannedOrders[EffectiveQty],T_PlannedOrders[Part Name],$A575,T_PlannedOrders[WeekIndex],22)&amp;" ("&amp;TEXT(SUMPRODUCT(MAX((T_PlannedOrders[Part Name]=$A575)*(T_PlannedOrders[WeekIndex]=22)*(T_PlannedOrders[EffectiveQty]&gt;0)*T_PlannedOrders[Order_Month])),"m月")&amp;"発注)")</f>
        <v/>
      </c>
      <c r="Z615">
        <f>IF(SUMIFS(T_PlannedOrders[EffectiveQty],T_PlannedOrders[Part Name],$A575,T_PlannedOrders[WeekIndex],23)=0,"",SUMIFS(T_PlannedOrders[EffectiveQty],T_PlannedOrders[Part Name],$A575,T_PlannedOrders[WeekIndex],23)&amp;" ("&amp;TEXT(SUMPRODUCT(MAX((T_PlannedOrders[Part Name]=$A575)*(T_PlannedOrders[WeekIndex]=23)*(T_PlannedOrders[EffectiveQty]&gt;0)*T_PlannedOrders[Order_Month])),"m月")&amp;"発注)")</f>
        <v/>
      </c>
      <c r="AA615">
        <f>IF(SUMIFS(T_PlannedOrders[EffectiveQty],T_PlannedOrders[Part Name],$A575,T_PlannedOrders[WeekIndex],24)=0,"",SUMIFS(T_PlannedOrders[EffectiveQty],T_PlannedOrders[Part Name],$A575,T_PlannedOrders[WeekIndex],24)&amp;" ("&amp;TEXT(SUMPRODUCT(MAX((T_PlannedOrders[Part Name]=$A575)*(T_PlannedOrders[WeekIndex]=24)*(T_PlannedOrders[EffectiveQty]&gt;0)*T_PlannedOrders[Order_Month])),"m月")&amp;"発注)")</f>
        <v/>
      </c>
      <c r="AB615">
        <f>IF(SUMIFS(T_PlannedOrders[EffectiveQty],T_PlannedOrders[Part Name],$A575,T_PlannedOrders[WeekIndex],25)=0,"",SUMIFS(T_PlannedOrders[EffectiveQty],T_PlannedOrders[Part Name],$A575,T_PlannedOrders[WeekIndex],25)&amp;" ("&amp;TEXT(SUMPRODUCT(MAX((T_PlannedOrders[Part Name]=$A575)*(T_PlannedOrders[WeekIndex]=25)*(T_PlannedOrders[EffectiveQty]&gt;0)*T_PlannedOrders[Order_Month])),"m月")&amp;"発注)")</f>
        <v/>
      </c>
      <c r="AC615">
        <f>IF(SUMIFS(T_PlannedOrders[EffectiveQty],T_PlannedOrders[Part Name],$A575,T_PlannedOrders[WeekIndex],26)=0,"",SUMIFS(T_PlannedOrders[EffectiveQty],T_PlannedOrders[Part Name],$A575,T_PlannedOrders[WeekIndex],26)&amp;" ("&amp;TEXT(SUMPRODUCT(MAX((T_PlannedOrders[Part Name]=$A575)*(T_PlannedOrders[WeekIndex]=26)*(T_PlannedOrders[EffectiveQty]&gt;0)*T_PlannedOrders[Order_Month])),"m月")&amp;"発注)")</f>
        <v/>
      </c>
      <c r="AD615">
        <f>IF(SUMIFS(T_PlannedOrders[EffectiveQty],T_PlannedOrders[Part Name],$A575,T_PlannedOrders[WeekIndex],27)=0,"",SUMIFS(T_PlannedOrders[EffectiveQty],T_PlannedOrders[Part Name],$A575,T_PlannedOrders[WeekIndex],27)&amp;" ("&amp;TEXT(SUMPRODUCT(MAX((T_PlannedOrders[Part Name]=$A575)*(T_PlannedOrders[WeekIndex]=27)*(T_PlannedOrders[EffectiveQty]&gt;0)*T_PlannedOrders[Order_Month])),"m月")&amp;"発注)")</f>
        <v/>
      </c>
      <c r="AE615">
        <f>IF(SUMIFS(T_PlannedOrders[EffectiveQty],T_PlannedOrders[Part Name],$A575,T_PlannedOrders[WeekIndex],28)=0,"",SUMIFS(T_PlannedOrders[EffectiveQty],T_PlannedOrders[Part Name],$A575,T_PlannedOrders[WeekIndex],28)&amp;" ("&amp;TEXT(SUMPRODUCT(MAX((T_PlannedOrders[Part Name]=$A575)*(T_PlannedOrders[WeekIndex]=28)*(T_PlannedOrders[EffectiveQty]&gt;0)*T_PlannedOrders[Order_Month])),"m月")&amp;"発注)")</f>
        <v/>
      </c>
      <c r="AF615">
        <f>IF(SUMIFS(T_PlannedOrders[EffectiveQty],T_PlannedOrders[Part Name],$A575,T_PlannedOrders[WeekIndex],29)=0,"",SUMIFS(T_PlannedOrders[EffectiveQty],T_PlannedOrders[Part Name],$A575,T_PlannedOrders[WeekIndex],29)&amp;" ("&amp;TEXT(SUMPRODUCT(MAX((T_PlannedOrders[Part Name]=$A575)*(T_PlannedOrders[WeekIndex]=29)*(T_PlannedOrders[EffectiveQty]&gt;0)*T_PlannedOrders[Order_Month])),"m月")&amp;"発注)")</f>
        <v/>
      </c>
      <c r="AG615">
        <f>IF(SUMIFS(T_PlannedOrders[EffectiveQty],T_PlannedOrders[Part Name],$A575,T_PlannedOrders[WeekIndex],30)=0,"",SUMIFS(T_PlannedOrders[EffectiveQty],T_PlannedOrders[Part Name],$A575,T_PlannedOrders[WeekIndex],30)&amp;" ("&amp;TEXT(SUMPRODUCT(MAX((T_PlannedOrders[Part Name]=$A575)*(T_PlannedOrders[WeekIndex]=30)*(T_PlannedOrders[EffectiveQty]&gt;0)*T_PlannedOrders[Order_Month])),"m月")&amp;"発注)")</f>
        <v/>
      </c>
      <c r="AH615">
        <f>IF(SUMIFS(T_PlannedOrders[EffectiveQty],T_PlannedOrders[Part Name],$A575,T_PlannedOrders[WeekIndex],31)=0,"",SUMIFS(T_PlannedOrders[EffectiveQty],T_PlannedOrders[Part Name],$A575,T_PlannedOrders[WeekIndex],31)&amp;" ("&amp;TEXT(SUMPRODUCT(MAX((T_PlannedOrders[Part Name]=$A575)*(T_PlannedOrders[WeekIndex]=31)*(T_PlannedOrders[EffectiveQty]&gt;0)*T_PlannedOrders[Order_Month])),"m月")&amp;"発注)")</f>
        <v/>
      </c>
      <c r="AI615">
        <f>IF(SUMIFS(T_PlannedOrders[EffectiveQty],T_PlannedOrders[Part Name],$A575,T_PlannedOrders[WeekIndex],32)=0,"",SUMIFS(T_PlannedOrders[EffectiveQty],T_PlannedOrders[Part Name],$A575,T_PlannedOrders[WeekIndex],32)&amp;" ("&amp;TEXT(SUMPRODUCT(MAX((T_PlannedOrders[Part Name]=$A575)*(T_PlannedOrders[WeekIndex]=32)*(T_PlannedOrders[EffectiveQty]&gt;0)*T_PlannedOrders[Order_Month])),"m月")&amp;"発注)")</f>
        <v/>
      </c>
      <c r="AJ615">
        <f>IF(SUMIFS(T_PlannedOrders[EffectiveQty],T_PlannedOrders[Part Name],$A575,T_PlannedOrders[WeekIndex],33)=0,"",SUMIFS(T_PlannedOrders[EffectiveQty],T_PlannedOrders[Part Name],$A575,T_PlannedOrders[WeekIndex],33)&amp;" ("&amp;TEXT(SUMPRODUCT(MAX((T_PlannedOrders[Part Name]=$A575)*(T_PlannedOrders[WeekIndex]=33)*(T_PlannedOrders[EffectiveQty]&gt;0)*T_PlannedOrders[Order_Month])),"m月")&amp;"発注)")</f>
        <v/>
      </c>
      <c r="AK615">
        <f>IF(SUMIFS(T_PlannedOrders[EffectiveQty],T_PlannedOrders[Part Name],$A575,T_PlannedOrders[WeekIndex],34)=0,"",SUMIFS(T_PlannedOrders[EffectiveQty],T_PlannedOrders[Part Name],$A575,T_PlannedOrders[WeekIndex],34)&amp;" ("&amp;TEXT(SUMPRODUCT(MAX((T_PlannedOrders[Part Name]=$A575)*(T_PlannedOrders[WeekIndex]=34)*(T_PlannedOrders[EffectiveQty]&gt;0)*T_PlannedOrders[Order_Month])),"m月")&amp;"発注)")</f>
        <v/>
      </c>
      <c r="AL615">
        <f>IF(SUMIFS(T_PlannedOrders[EffectiveQty],T_PlannedOrders[Part Name],$A575,T_PlannedOrders[WeekIndex],35)=0,"",SUMIFS(T_PlannedOrders[EffectiveQty],T_PlannedOrders[Part Name],$A575,T_PlannedOrders[WeekIndex],35)&amp;" ("&amp;TEXT(SUMPRODUCT(MAX((T_PlannedOrders[Part Name]=$A575)*(T_PlannedOrders[WeekIndex]=35)*(T_PlannedOrders[EffectiveQty]&gt;0)*T_PlannedOrders[Order_Month])),"m月")&amp;"発注)")</f>
        <v/>
      </c>
      <c r="AM615">
        <f>IF(SUMIFS(T_PlannedOrders[EffectiveQty],T_PlannedOrders[Part Name],$A575,T_PlannedOrders[WeekIndex],36)=0,"",SUMIFS(T_PlannedOrders[EffectiveQty],T_PlannedOrders[Part Name],$A575,T_PlannedOrders[WeekIndex],36)&amp;" ("&amp;TEXT(SUMPRODUCT(MAX((T_PlannedOrders[Part Name]=$A575)*(T_PlannedOrders[WeekIndex]=36)*(T_PlannedOrders[EffectiveQty]&gt;0)*T_PlannedOrders[Order_Month])),"m月")&amp;"発注)")</f>
        <v/>
      </c>
      <c r="AN615">
        <f>IF(SUMIFS(T_PlannedOrders[EffectiveQty],T_PlannedOrders[Part Name],$A575,T_PlannedOrders[WeekIndex],37)=0,"",SUMIFS(T_PlannedOrders[EffectiveQty],T_PlannedOrders[Part Name],$A575,T_PlannedOrders[WeekIndex],37)&amp;" ("&amp;TEXT(SUMPRODUCT(MAX((T_PlannedOrders[Part Name]=$A575)*(T_PlannedOrders[WeekIndex]=37)*(T_PlannedOrders[EffectiveQty]&gt;0)*T_PlannedOrders[Order_Month])),"m月")&amp;"発注)")</f>
        <v/>
      </c>
      <c r="AO615">
        <f>IF(SUMIFS(T_PlannedOrders[EffectiveQty],T_PlannedOrders[Part Name],$A575,T_PlannedOrders[WeekIndex],38)=0,"",SUMIFS(T_PlannedOrders[EffectiveQty],T_PlannedOrders[Part Name],$A575,T_PlannedOrders[WeekIndex],38)&amp;" ("&amp;TEXT(SUMPRODUCT(MAX((T_PlannedOrders[Part Name]=$A575)*(T_PlannedOrders[WeekIndex]=38)*(T_PlannedOrders[EffectiveQty]&gt;0)*T_PlannedOrders[Order_Month])),"m月")&amp;"発注)")</f>
        <v/>
      </c>
      <c r="AP615">
        <f>IF(SUMIFS(T_PlannedOrders[EffectiveQty],T_PlannedOrders[Part Name],$A575,T_PlannedOrders[WeekIndex],39)=0,"",SUMIFS(T_PlannedOrders[EffectiveQty],T_PlannedOrders[Part Name],$A575,T_PlannedOrders[WeekIndex],39)&amp;" ("&amp;TEXT(SUMPRODUCT(MAX((T_PlannedOrders[Part Name]=$A575)*(T_PlannedOrders[WeekIndex]=39)*(T_PlannedOrders[EffectiveQty]&gt;0)*T_PlannedOrders[Order_Month])),"m月")&amp;"発注)")</f>
        <v/>
      </c>
      <c r="AQ615">
        <f>IF(SUMIFS(T_PlannedOrders[EffectiveQty],T_PlannedOrders[Part Name],$A575,T_PlannedOrders[WeekIndex],40)=0,"",SUMIFS(T_PlannedOrders[EffectiveQty],T_PlannedOrders[Part Name],$A575,T_PlannedOrders[WeekIndex],40)&amp;" ("&amp;TEXT(SUMPRODUCT(MAX((T_PlannedOrders[Part Name]=$A575)*(T_PlannedOrders[WeekIndex]=40)*(T_PlannedOrders[EffectiveQty]&gt;0)*T_PlannedOrders[Order_Month])),"m月")&amp;"発注)")</f>
        <v/>
      </c>
      <c r="AR615">
        <f>IF(SUMIFS(T_PlannedOrders[EffectiveQty],T_PlannedOrders[Part Name],$A575,T_PlannedOrders[WeekIndex],41)=0,"",SUMIFS(T_PlannedOrders[EffectiveQty],T_PlannedOrders[Part Name],$A575,T_PlannedOrders[WeekIndex],41)&amp;" ("&amp;TEXT(SUMPRODUCT(MAX((T_PlannedOrders[Part Name]=$A575)*(T_PlannedOrders[WeekIndex]=41)*(T_PlannedOrders[EffectiveQty]&gt;0)*T_PlannedOrders[Order_Month])),"m月")&amp;"発注)")</f>
        <v/>
      </c>
      <c r="AS615">
        <f>IF(SUMIFS(T_PlannedOrders[EffectiveQty],T_PlannedOrders[Part Name],$A575,T_PlannedOrders[WeekIndex],42)=0,"",SUMIFS(T_PlannedOrders[EffectiveQty],T_PlannedOrders[Part Name],$A575,T_PlannedOrders[WeekIndex],42)&amp;" ("&amp;TEXT(SUMPRODUCT(MAX((T_PlannedOrders[Part Name]=$A575)*(T_PlannedOrders[WeekIndex]=42)*(T_PlannedOrders[EffectiveQty]&gt;0)*T_PlannedOrders[Order_Month])),"m月")&amp;"発注)")</f>
        <v/>
      </c>
      <c r="AT615">
        <f>IF(SUMIFS(T_PlannedOrders[EffectiveQty],T_PlannedOrders[Part Name],$A575,T_PlannedOrders[WeekIndex],43)=0,"",SUMIFS(T_PlannedOrders[EffectiveQty],T_PlannedOrders[Part Name],$A575,T_PlannedOrders[WeekIndex],43)&amp;" ("&amp;TEXT(SUMPRODUCT(MAX((T_PlannedOrders[Part Name]=$A575)*(T_PlannedOrders[WeekIndex]=43)*(T_PlannedOrders[EffectiveQty]&gt;0)*T_PlannedOrders[Order_Month])),"m月")&amp;"発注)")</f>
        <v/>
      </c>
      <c r="AU615">
        <f>IF(SUMIFS(T_PlannedOrders[EffectiveQty],T_PlannedOrders[Part Name],$A575,T_PlannedOrders[WeekIndex],44)=0,"",SUMIFS(T_PlannedOrders[EffectiveQty],T_PlannedOrders[Part Name],$A575,T_PlannedOrders[WeekIndex],44)&amp;" ("&amp;TEXT(SUMPRODUCT(MAX((T_PlannedOrders[Part Name]=$A575)*(T_PlannedOrders[WeekIndex]=44)*(T_PlannedOrders[EffectiveQty]&gt;0)*T_PlannedOrders[Order_Month])),"m月")&amp;"発注)")</f>
        <v/>
      </c>
      <c r="AV615">
        <f>IF(SUMIFS(T_PlannedOrders[EffectiveQty],T_PlannedOrders[Part Name],$A575,T_PlannedOrders[WeekIndex],45)=0,"",SUMIFS(T_PlannedOrders[EffectiveQty],T_PlannedOrders[Part Name],$A575,T_PlannedOrders[WeekIndex],45)&amp;" ("&amp;TEXT(SUMPRODUCT(MAX((T_PlannedOrders[Part Name]=$A575)*(T_PlannedOrders[WeekIndex]=45)*(T_PlannedOrders[EffectiveQty]&gt;0)*T_PlannedOrders[Order_Month])),"m月")&amp;"発注)")</f>
        <v/>
      </c>
      <c r="AW615">
        <f>IF(SUMIFS(T_PlannedOrders[EffectiveQty],T_PlannedOrders[Part Name],$A575,T_PlannedOrders[WeekIndex],46)=0,"",SUMIFS(T_PlannedOrders[EffectiveQty],T_PlannedOrders[Part Name],$A575,T_PlannedOrders[WeekIndex],46)&amp;" ("&amp;TEXT(SUMPRODUCT(MAX((T_PlannedOrders[Part Name]=$A575)*(T_PlannedOrders[WeekIndex]=46)*(T_PlannedOrders[EffectiveQty]&gt;0)*T_PlannedOrders[Order_Month])),"m月")&amp;"発注)")</f>
        <v/>
      </c>
      <c r="AX615">
        <f>IF(SUMIFS(T_PlannedOrders[EffectiveQty],T_PlannedOrders[Part Name],$A575,T_PlannedOrders[WeekIndex],47)=0,"",SUMIFS(T_PlannedOrders[EffectiveQty],T_PlannedOrders[Part Name],$A575,T_PlannedOrders[WeekIndex],47)&amp;" ("&amp;TEXT(SUMPRODUCT(MAX((T_PlannedOrders[Part Name]=$A575)*(T_PlannedOrders[WeekIndex]=47)*(T_PlannedOrders[EffectiveQty]&gt;0)*T_PlannedOrders[Order_Month])),"m月")&amp;"発注)")</f>
        <v/>
      </c>
      <c r="AY615">
        <f>IF(SUMIFS(T_PlannedOrders[EffectiveQty],T_PlannedOrders[Part Name],$A575,T_PlannedOrders[WeekIndex],48)=0,"",SUMIFS(T_PlannedOrders[EffectiveQty],T_PlannedOrders[Part Name],$A575,T_PlannedOrders[WeekIndex],48)&amp;" ("&amp;TEXT(SUMPRODUCT(MAX((T_PlannedOrders[Part Name]=$A575)*(T_PlannedOrders[WeekIndex]=48)*(T_PlannedOrders[EffectiveQty]&gt;0)*T_PlannedOrders[Order_Month])),"m月")&amp;"発注)")</f>
        <v/>
      </c>
      <c r="AZ615">
        <f>IF(SUMIFS(T_PlannedOrders[EffectiveQty],T_PlannedOrders[Part Name],$A575,T_PlannedOrders[WeekIndex],49)=0,"",SUMIFS(T_PlannedOrders[EffectiveQty],T_PlannedOrders[Part Name],$A575,T_PlannedOrders[WeekIndex],49)&amp;" ("&amp;TEXT(SUMPRODUCT(MAX((T_PlannedOrders[Part Name]=$A575)*(T_PlannedOrders[WeekIndex]=49)*(T_PlannedOrders[EffectiveQty]&gt;0)*T_PlannedOrders[Order_Month])),"m月")&amp;"発注)")</f>
        <v/>
      </c>
      <c r="BA615">
        <f>IF(SUMIFS(T_PlannedOrders[EffectiveQty],T_PlannedOrders[Part Name],$A575,T_PlannedOrders[WeekIndex],50)=0,"",SUMIFS(T_PlannedOrders[EffectiveQty],T_PlannedOrders[Part Name],$A575,T_PlannedOrders[WeekIndex],50)&amp;" ("&amp;TEXT(SUMPRODUCT(MAX((T_PlannedOrders[Part Name]=$A575)*(T_PlannedOrders[WeekIndex]=50)*(T_PlannedOrders[EffectiveQty]&gt;0)*T_PlannedOrders[Order_Month])),"m月")&amp;"発注)")</f>
        <v/>
      </c>
      <c r="BB615">
        <f>IF(SUMIFS(T_PlannedOrders[EffectiveQty],T_PlannedOrders[Part Name],$A575,T_PlannedOrders[WeekIndex],51)=0,"",SUMIFS(T_PlannedOrders[EffectiveQty],T_PlannedOrders[Part Name],$A575,T_PlannedOrders[WeekIndex],51)&amp;" ("&amp;TEXT(SUMPRODUCT(MAX((T_PlannedOrders[Part Name]=$A575)*(T_PlannedOrders[WeekIndex]=51)*(T_PlannedOrders[EffectiveQty]&gt;0)*T_PlannedOrders[Order_Month])),"m月")&amp;"発注)")</f>
        <v/>
      </c>
      <c r="BC615">
        <f>IF(SUMIFS(T_PlannedOrders[EffectiveQty],T_PlannedOrders[Part Name],$A575,T_PlannedOrders[WeekIndex],52)=0,"",SUMIFS(T_PlannedOrders[EffectiveQty],T_PlannedOrders[Part Name],$A575,T_PlannedOrders[WeekIndex],52)&amp;" ("&amp;TEXT(SUMPRODUCT(MAX((T_PlannedOrders[Part Name]=$A575)*(T_PlannedOrders[WeekIndex]=52)*(T_PlannedOrders[EffectiveQty]&gt;0)*T_PlannedOrders[Order_Month])),"m月")&amp;"発注)")</f>
        <v/>
      </c>
      <c r="BD615">
        <f>IF(SUMIFS(T_PlannedOrders[EffectiveQty],T_PlannedOrders[Part Name],$A575,T_PlannedOrders[WeekIndex],53)=0,"",SUMIFS(T_PlannedOrders[EffectiveQty],T_PlannedOrders[Part Name],$A575,T_PlannedOrders[WeekIndex],53)&amp;" ("&amp;TEXT(SUMPRODUCT(MAX((T_PlannedOrders[Part Name]=$A575)*(T_PlannedOrders[WeekIndex]=53)*(T_PlannedOrders[EffectiveQty]&gt;0)*T_PlannedOrders[Order_Month])),"m月")&amp;"発注)")</f>
        <v/>
      </c>
      <c r="BE615">
        <f>IF(SUMIFS(T_PlannedOrders[EffectiveQty],T_PlannedOrders[Part Name],$A575,T_PlannedOrders[WeekIndex],54)=0,"",SUMIFS(T_PlannedOrders[EffectiveQty],T_PlannedOrders[Part Name],$A575,T_PlannedOrders[WeekIndex],54)&amp;" ("&amp;TEXT(SUMPRODUCT(MAX((T_PlannedOrders[Part Name]=$A575)*(T_PlannedOrders[WeekIndex]=54)*(T_PlannedOrders[EffectiveQty]&gt;0)*T_PlannedOrders[Order_Month])),"m月")&amp;"発注)")</f>
        <v/>
      </c>
      <c r="BF615">
        <f>IF(SUMIFS(T_PlannedOrders[EffectiveQty],T_PlannedOrders[Part Name],$A575,T_PlannedOrders[WeekIndex],55)=0,"",SUMIFS(T_PlannedOrders[EffectiveQty],T_PlannedOrders[Part Name],$A575,T_PlannedOrders[WeekIndex],55)&amp;" ("&amp;TEXT(SUMPRODUCT(MAX((T_PlannedOrders[Part Name]=$A575)*(T_PlannedOrders[WeekIndex]=55)*(T_PlannedOrders[EffectiveQty]&gt;0)*T_PlannedOrders[Order_Month])),"m月")&amp;"発注)")</f>
        <v/>
      </c>
      <c r="BG615">
        <f>IF(SUMIFS(T_PlannedOrders[EffectiveQty],T_PlannedOrders[Part Name],$A575,T_PlannedOrders[WeekIndex],56)=0,"",SUMIFS(T_PlannedOrders[EffectiveQty],T_PlannedOrders[Part Name],$A575,T_PlannedOrders[WeekIndex],56)&amp;" ("&amp;TEXT(SUMPRODUCT(MAX((T_PlannedOrders[Part Name]=$A575)*(T_PlannedOrders[WeekIndex]=56)*(T_PlannedOrders[EffectiveQty]&gt;0)*T_PlannedOrders[Order_Month])),"m月")&amp;"発注)")</f>
        <v/>
      </c>
      <c r="BH615">
        <f>IF(SUMIFS(T_PlannedOrders[EffectiveQty],T_PlannedOrders[Part Name],$A575,T_PlannedOrders[WeekIndex],57)=0,"",SUMIFS(T_PlannedOrders[EffectiveQty],T_PlannedOrders[Part Name],$A575,T_PlannedOrders[WeekIndex],57)&amp;" ("&amp;TEXT(SUMPRODUCT(MAX((T_PlannedOrders[Part Name]=$A575)*(T_PlannedOrders[WeekIndex]=57)*(T_PlannedOrders[EffectiveQty]&gt;0)*T_PlannedOrders[Order_Month])),"m月")&amp;"発注)")</f>
        <v/>
      </c>
      <c r="BI615">
        <f>IF(SUMIFS(T_PlannedOrders[EffectiveQty],T_PlannedOrders[Part Name],$A575,T_PlannedOrders[WeekIndex],58)=0,"",SUMIFS(T_PlannedOrders[EffectiveQty],T_PlannedOrders[Part Name],$A575,T_PlannedOrders[WeekIndex],58)&amp;" ("&amp;TEXT(SUMPRODUCT(MAX((T_PlannedOrders[Part Name]=$A575)*(T_PlannedOrders[WeekIndex]=58)*(T_PlannedOrders[EffectiveQty]&gt;0)*T_PlannedOrders[Order_Month])),"m月")&amp;"発注)")</f>
        <v/>
      </c>
      <c r="BJ615">
        <f>IF(SUMIFS(T_PlannedOrders[EffectiveQty],T_PlannedOrders[Part Name],$A575,T_PlannedOrders[WeekIndex],59)=0,"",SUMIFS(T_PlannedOrders[EffectiveQty],T_PlannedOrders[Part Name],$A575,T_PlannedOrders[WeekIndex],59)&amp;" ("&amp;TEXT(SUMPRODUCT(MAX((T_PlannedOrders[Part Name]=$A575)*(T_PlannedOrders[WeekIndex]=59)*(T_PlannedOrders[EffectiveQty]&gt;0)*T_PlannedOrders[Order_Month])),"m月")&amp;"発注)")</f>
        <v/>
      </c>
      <c r="BK615">
        <f>IF(SUMIFS(T_PlannedOrders[EffectiveQty],T_PlannedOrders[Part Name],$A575,T_PlannedOrders[WeekIndex],60)=0,"",SUMIFS(T_PlannedOrders[EffectiveQty],T_PlannedOrders[Part Name],$A575,T_PlannedOrders[WeekIndex],60)&amp;" ("&amp;TEXT(SUMPRODUCT(MAX((T_PlannedOrders[Part Name]=$A575)*(T_PlannedOrders[WeekIndex]=60)*(T_PlannedOrders[EffectiveQty]&gt;0)*T_PlannedOrders[Order_Month])),"m月")&amp;"発注)")</f>
        <v/>
      </c>
      <c r="BL615">
        <f>IF(SUMIFS(T_PlannedOrders[EffectiveQty],T_PlannedOrders[Part Name],$A575,T_PlannedOrders[WeekIndex],61)=0,"",SUMIFS(T_PlannedOrders[EffectiveQty],T_PlannedOrders[Part Name],$A575,T_PlannedOrders[WeekIndex],61)&amp;" ("&amp;TEXT(SUMPRODUCT(MAX((T_PlannedOrders[Part Name]=$A575)*(T_PlannedOrders[WeekIndex]=61)*(T_PlannedOrders[EffectiveQty]&gt;0)*T_PlannedOrders[Order_Month])),"m月")&amp;"発注)")</f>
        <v/>
      </c>
      <c r="BM615">
        <f>IF(SUMIFS(T_PlannedOrders[EffectiveQty],T_PlannedOrders[Part Name],$A575,T_PlannedOrders[WeekIndex],62)=0,"",SUMIFS(T_PlannedOrders[EffectiveQty],T_PlannedOrders[Part Name],$A575,T_PlannedOrders[WeekIndex],62)&amp;" ("&amp;TEXT(SUMPRODUCT(MAX((T_PlannedOrders[Part Name]=$A575)*(T_PlannedOrders[WeekIndex]=62)*(T_PlannedOrders[EffectiveQty]&gt;0)*T_PlannedOrders[Order_Month])),"m月")&amp;"発注)")</f>
        <v/>
      </c>
      <c r="BN615">
        <f>IF(SUMIFS(T_PlannedOrders[EffectiveQty],T_PlannedOrders[Part Name],$A575,T_PlannedOrders[WeekIndex],63)=0,"",SUMIFS(T_PlannedOrders[EffectiveQty],T_PlannedOrders[Part Name],$A575,T_PlannedOrders[WeekIndex],63)&amp;" ("&amp;TEXT(SUMPRODUCT(MAX((T_PlannedOrders[Part Name]=$A575)*(T_PlannedOrders[WeekIndex]=63)*(T_PlannedOrders[EffectiveQty]&gt;0)*T_PlannedOrders[Order_Month])),"m月")&amp;"発注)")</f>
        <v/>
      </c>
      <c r="BO615">
        <f>IF(SUMIFS(T_PlannedOrders[EffectiveQty],T_PlannedOrders[Part Name],$A575,T_PlannedOrders[WeekIndex],64)=0,"",SUMIFS(T_PlannedOrders[EffectiveQty],T_PlannedOrders[Part Name],$A575,T_PlannedOrders[WeekIndex],64)&amp;" ("&amp;TEXT(SUMPRODUCT(MAX((T_PlannedOrders[Part Name]=$A575)*(T_PlannedOrders[WeekIndex]=64)*(T_PlannedOrders[EffectiveQty]&gt;0)*T_PlannedOrders[Order_Month])),"m月")&amp;"発注)")</f>
        <v/>
      </c>
      <c r="BP615">
        <f>IF(SUMIFS(T_PlannedOrders[EffectiveQty],T_PlannedOrders[Part Name],$A575,T_PlannedOrders[WeekIndex],65)=0,"",SUMIFS(T_PlannedOrders[EffectiveQty],T_PlannedOrders[Part Name],$A575,T_PlannedOrders[WeekIndex],65)&amp;" ("&amp;TEXT(SUMPRODUCT(MAX((T_PlannedOrders[Part Name]=$A575)*(T_PlannedOrders[WeekIndex]=65)*(T_PlannedOrders[EffectiveQty]&gt;0)*T_PlannedOrders[Order_Month])),"m月")&amp;"発注)")</f>
        <v/>
      </c>
      <c r="BQ615">
        <f>IF(SUMIFS(T_PlannedOrders[EffectiveQty],T_PlannedOrders[Part Name],$A575,T_PlannedOrders[WeekIndex],66)=0,"",SUMIFS(T_PlannedOrders[EffectiveQty],T_PlannedOrders[Part Name],$A575,T_PlannedOrders[WeekIndex],66)&amp;" ("&amp;TEXT(SUMPRODUCT(MAX((T_PlannedOrders[Part Name]=$A575)*(T_PlannedOrders[WeekIndex]=66)*(T_PlannedOrders[EffectiveQty]&gt;0)*T_PlannedOrders[Order_Month])),"m月")&amp;"発注)")</f>
        <v/>
      </c>
      <c r="BR615">
        <f>IF(SUMIFS(T_PlannedOrders[EffectiveQty],T_PlannedOrders[Part Name],$A575,T_PlannedOrders[WeekIndex],67)=0,"",SUMIFS(T_PlannedOrders[EffectiveQty],T_PlannedOrders[Part Name],$A575,T_PlannedOrders[WeekIndex],67)&amp;" ("&amp;TEXT(SUMPRODUCT(MAX((T_PlannedOrders[Part Name]=$A575)*(T_PlannedOrders[WeekIndex]=67)*(T_PlannedOrders[EffectiveQty]&gt;0)*T_PlannedOrders[Order_Month])),"m月")&amp;"発注)")</f>
        <v/>
      </c>
      <c r="BS615">
        <f>IF(SUMIFS(T_PlannedOrders[EffectiveQty],T_PlannedOrders[Part Name],$A575,T_PlannedOrders[WeekIndex],68)=0,"",SUMIFS(T_PlannedOrders[EffectiveQty],T_PlannedOrders[Part Name],$A575,T_PlannedOrders[WeekIndex],68)&amp;" ("&amp;TEXT(SUMPRODUCT(MAX((T_PlannedOrders[Part Name]=$A575)*(T_PlannedOrders[WeekIndex]=68)*(T_PlannedOrders[EffectiveQty]&gt;0)*T_PlannedOrders[Order_Month])),"m月")&amp;"発注)")</f>
        <v/>
      </c>
      <c r="BT615">
        <f>IF(SUMIFS(T_PlannedOrders[EffectiveQty],T_PlannedOrders[Part Name],$A575,T_PlannedOrders[WeekIndex],69)=0,"",SUMIFS(T_PlannedOrders[EffectiveQty],T_PlannedOrders[Part Name],$A575,T_PlannedOrders[WeekIndex],69)&amp;" ("&amp;TEXT(SUMPRODUCT(MAX((T_PlannedOrders[Part Name]=$A575)*(T_PlannedOrders[WeekIndex]=69)*(T_PlannedOrders[EffectiveQty]&gt;0)*T_PlannedOrders[Order_Month])),"m月")&amp;"発注)")</f>
        <v/>
      </c>
      <c r="BU615">
        <f>IF(SUMIFS(T_PlannedOrders[EffectiveQty],T_PlannedOrders[Part Name],$A575,T_PlannedOrders[WeekIndex],70)=0,"",SUMIFS(T_PlannedOrders[EffectiveQty],T_PlannedOrders[Part Name],$A575,T_PlannedOrders[WeekIndex],70)&amp;" ("&amp;TEXT(SUMPRODUCT(MAX((T_PlannedOrders[Part Name]=$A575)*(T_PlannedOrders[WeekIndex]=70)*(T_PlannedOrders[EffectiveQty]&gt;0)*T_PlannedOrders[Order_Month])),"m月")&amp;"発注)")</f>
        <v/>
      </c>
      <c r="BV615">
        <f>IF(SUMIFS(T_PlannedOrders[EffectiveQty],T_PlannedOrders[Part Name],$A575,T_PlannedOrders[WeekIndex],71)=0,"",SUMIFS(T_PlannedOrders[EffectiveQty],T_PlannedOrders[Part Name],$A575,T_PlannedOrders[WeekIndex],71)&amp;" ("&amp;TEXT(SUMPRODUCT(MAX((T_PlannedOrders[Part Name]=$A575)*(T_PlannedOrders[WeekIndex]=71)*(T_PlannedOrders[EffectiveQty]&gt;0)*T_PlannedOrders[Order_Month])),"m月")&amp;"発注)")</f>
        <v/>
      </c>
      <c r="BW615">
        <f>IF(SUMIFS(T_PlannedOrders[EffectiveQty],T_PlannedOrders[Part Name],$A575,T_PlannedOrders[WeekIndex],72)=0,"",SUMIFS(T_PlannedOrders[EffectiveQty],T_PlannedOrders[Part Name],$A575,T_PlannedOrders[WeekIndex],72)&amp;" ("&amp;TEXT(SUMPRODUCT(MAX((T_PlannedOrders[Part Name]=$A575)*(T_PlannedOrders[WeekIndex]=72)*(T_PlannedOrders[EffectiveQty]&gt;0)*T_PlannedOrders[Order_Month])),"m月")&amp;"発注)")</f>
        <v/>
      </c>
      <c r="BX615">
        <f>IF(SUMIFS(T_PlannedOrders[EffectiveQty],T_PlannedOrders[Part Name],$A575,T_PlannedOrders[WeekIndex],73)=0,"",SUMIFS(T_PlannedOrders[EffectiveQty],T_PlannedOrders[Part Name],$A575,T_PlannedOrders[WeekIndex],73)&amp;" ("&amp;TEXT(SUMPRODUCT(MAX((T_PlannedOrders[Part Name]=$A575)*(T_PlannedOrders[WeekIndex]=73)*(T_PlannedOrders[EffectiveQty]&gt;0)*T_PlannedOrders[Order_Month])),"m月")&amp;"発注)")</f>
        <v/>
      </c>
      <c r="BY615">
        <f>IF(SUMIFS(T_PlannedOrders[EffectiveQty],T_PlannedOrders[Part Name],$A575,T_PlannedOrders[WeekIndex],74)=0,"",SUMIFS(T_PlannedOrders[EffectiveQty],T_PlannedOrders[Part Name],$A575,T_PlannedOrders[WeekIndex],74)&amp;" ("&amp;TEXT(SUMPRODUCT(MAX((T_PlannedOrders[Part Name]=$A575)*(T_PlannedOrders[WeekIndex]=74)*(T_PlannedOrders[EffectiveQty]&gt;0)*T_PlannedOrders[Order_Month])),"m月")&amp;"発注)")</f>
        <v/>
      </c>
      <c r="BZ615">
        <f>IF(SUMIFS(T_PlannedOrders[EffectiveQty],T_PlannedOrders[Part Name],$A575,T_PlannedOrders[WeekIndex],75)=0,"",SUMIFS(T_PlannedOrders[EffectiveQty],T_PlannedOrders[Part Name],$A575,T_PlannedOrders[WeekIndex],75)&amp;" ("&amp;TEXT(SUMPRODUCT(MAX((T_PlannedOrders[Part Name]=$A575)*(T_PlannedOrders[WeekIndex]=75)*(T_PlannedOrders[EffectiveQty]&gt;0)*T_PlannedOrders[Order_Month])),"m月")&amp;"発注)")</f>
        <v/>
      </c>
      <c r="CA615">
        <f>IF(SUMIFS(T_PlannedOrders[EffectiveQty],T_PlannedOrders[Part Name],$A575,T_PlannedOrders[WeekIndex],76)=0,"",SUMIFS(T_PlannedOrders[EffectiveQty],T_PlannedOrders[Part Name],$A575,T_PlannedOrders[WeekIndex],76)&amp;" ("&amp;TEXT(SUMPRODUCT(MAX((T_PlannedOrders[Part Name]=$A575)*(T_PlannedOrders[WeekIndex]=76)*(T_PlannedOrders[EffectiveQty]&gt;0)*T_PlannedOrders[Order_Month])),"m月")&amp;"発注)")</f>
        <v/>
      </c>
      <c r="CB615">
        <f>IF(SUMIFS(T_PlannedOrders[EffectiveQty],T_PlannedOrders[Part Name],$A575,T_PlannedOrders[WeekIndex],77)=0,"",SUMIFS(T_PlannedOrders[EffectiveQty],T_PlannedOrders[Part Name],$A575,T_PlannedOrders[WeekIndex],77)&amp;" ("&amp;TEXT(SUMPRODUCT(MAX((T_PlannedOrders[Part Name]=$A575)*(T_PlannedOrders[WeekIndex]=77)*(T_PlannedOrders[EffectiveQty]&gt;0)*T_PlannedOrders[Order_Month])),"m月")&amp;"発注)")</f>
        <v/>
      </c>
      <c r="CC615">
        <f>IF(SUMIFS(T_PlannedOrders[EffectiveQty],T_PlannedOrders[Part Name],$A575,T_PlannedOrders[WeekIndex],78)=0,"",SUMIFS(T_PlannedOrders[EffectiveQty],T_PlannedOrders[Part Name],$A575,T_PlannedOrders[WeekIndex],78)&amp;" ("&amp;TEXT(SUMPRODUCT(MAX((T_PlannedOrders[Part Name]=$A575)*(T_PlannedOrders[WeekIndex]=78)*(T_PlannedOrders[EffectiveQty]&gt;0)*T_PlannedOrders[Order_Month])),"m月")&amp;"発注)")</f>
        <v/>
      </c>
      <c r="CD615">
        <f>IF(SUMIFS(T_PlannedOrders[EffectiveQty],T_PlannedOrders[Part Name],$A575,T_PlannedOrders[WeekIndex],79)=0,"",SUMIFS(T_PlannedOrders[EffectiveQty],T_PlannedOrders[Part Name],$A575,T_PlannedOrders[WeekIndex],79)&amp;" ("&amp;TEXT(SUMPRODUCT(MAX((T_PlannedOrders[Part Name]=$A575)*(T_PlannedOrders[WeekIndex]=79)*(T_PlannedOrders[EffectiveQty]&gt;0)*T_PlannedOrders[Order_Month])),"m月")&amp;"発注)")</f>
        <v/>
      </c>
      <c r="CE615">
        <f>IF(SUMIFS(T_PlannedOrders[EffectiveQty],T_PlannedOrders[Part Name],$A575,T_PlannedOrders[WeekIndex],80)=0,"",SUMIFS(T_PlannedOrders[EffectiveQty],T_PlannedOrders[Part Name],$A575,T_PlannedOrders[WeekIndex],80)&amp;" ("&amp;TEXT(SUMPRODUCT(MAX((T_PlannedOrders[Part Name]=$A575)*(T_PlannedOrders[WeekIndex]=80)*(T_PlannedOrders[EffectiveQty]&gt;0)*T_PlannedOrders[Order_Month])),"m月")&amp;"発注)")</f>
        <v/>
      </c>
      <c r="CF615">
        <f>IF(SUMIFS(T_PlannedOrders[EffectiveQty],T_PlannedOrders[Part Name],$A575,T_PlannedOrders[WeekIndex],81)=0,"",SUMIFS(T_PlannedOrders[EffectiveQty],T_PlannedOrders[Part Name],$A575,T_PlannedOrders[WeekIndex],81)&amp;" ("&amp;TEXT(SUMPRODUCT(MAX((T_PlannedOrders[Part Name]=$A575)*(T_PlannedOrders[WeekIndex]=81)*(T_PlannedOrders[EffectiveQty]&gt;0)*T_PlannedOrders[Order_Month])),"m月")&amp;"発注)")</f>
        <v/>
      </c>
      <c r="CG615">
        <f>IF(SUMIFS(T_PlannedOrders[EffectiveQty],T_PlannedOrders[Part Name],$A575,T_PlannedOrders[WeekIndex],82)=0,"",SUMIFS(T_PlannedOrders[EffectiveQty],T_PlannedOrders[Part Name],$A575,T_PlannedOrders[WeekIndex],82)&amp;" ("&amp;TEXT(SUMPRODUCT(MAX((T_PlannedOrders[Part Name]=$A575)*(T_PlannedOrders[WeekIndex]=82)*(T_PlannedOrders[EffectiveQty]&gt;0)*T_PlannedOrders[Order_Month])),"m月")&amp;"発注)")</f>
        <v/>
      </c>
      <c r="CH615">
        <f>IF(SUMIFS(T_PlannedOrders[EffectiveQty],T_PlannedOrders[Part Name],$A575,T_PlannedOrders[WeekIndex],83)=0,"",SUMIFS(T_PlannedOrders[EffectiveQty],T_PlannedOrders[Part Name],$A575,T_PlannedOrders[WeekIndex],83)&amp;" ("&amp;TEXT(SUMPRODUCT(MAX((T_PlannedOrders[Part Name]=$A575)*(T_PlannedOrders[WeekIndex]=83)*(T_PlannedOrders[EffectiveQty]&gt;0)*T_PlannedOrders[Order_Month])),"m月")&amp;"発注)")</f>
        <v/>
      </c>
      <c r="CI615">
        <f>IF(SUMIFS(T_PlannedOrders[EffectiveQty],T_PlannedOrders[Part Name],$A575,T_PlannedOrders[WeekIndex],84)=0,"",SUMIFS(T_PlannedOrders[EffectiveQty],T_PlannedOrders[Part Name],$A575,T_PlannedOrders[WeekIndex],84)&amp;" ("&amp;TEXT(SUMPRODUCT(MAX((T_PlannedOrders[Part Name]=$A575)*(T_PlannedOrders[WeekIndex]=84)*(T_PlannedOrders[EffectiveQty]&gt;0)*T_PlannedOrders[Order_Month])),"m月")&amp;"発注)")</f>
        <v/>
      </c>
      <c r="CJ615">
        <f>IF(SUMIFS(T_PlannedOrders[EffectiveQty],T_PlannedOrders[Part Name],$A575,T_PlannedOrders[WeekIndex],85)=0,"",SUMIFS(T_PlannedOrders[EffectiveQty],T_PlannedOrders[Part Name],$A575,T_PlannedOrders[WeekIndex],85)&amp;" ("&amp;TEXT(SUMPRODUCT(MAX((T_PlannedOrders[Part Name]=$A575)*(T_PlannedOrders[WeekIndex]=85)*(T_PlannedOrders[EffectiveQty]&gt;0)*T_PlannedOrders[Order_Month])),"m月")&amp;"発注)")</f>
        <v/>
      </c>
      <c r="CK615">
        <f>IF(SUMIFS(T_PlannedOrders[EffectiveQty],T_PlannedOrders[Part Name],$A575,T_PlannedOrders[WeekIndex],86)=0,"",SUMIFS(T_PlannedOrders[EffectiveQty],T_PlannedOrders[Part Name],$A575,T_PlannedOrders[WeekIndex],86)&amp;" ("&amp;TEXT(SUMPRODUCT(MAX((T_PlannedOrders[Part Name]=$A575)*(T_PlannedOrders[WeekIndex]=86)*(T_PlannedOrders[EffectiveQty]&gt;0)*T_PlannedOrders[Order_Month])),"m月")&amp;"発注)")</f>
        <v/>
      </c>
      <c r="CL615">
        <f>IF(SUMIFS(T_PlannedOrders[EffectiveQty],T_PlannedOrders[Part Name],$A575,T_PlannedOrders[WeekIndex],87)=0,"",SUMIFS(T_PlannedOrders[EffectiveQty],T_PlannedOrders[Part Name],$A575,T_PlannedOrders[WeekIndex],87)&amp;" ("&amp;TEXT(SUMPRODUCT(MAX((T_PlannedOrders[Part Name]=$A575)*(T_PlannedOrders[WeekIndex]=87)*(T_PlannedOrders[EffectiveQty]&gt;0)*T_PlannedOrders[Order_Month])),"m月")&amp;"発注)")</f>
        <v/>
      </c>
      <c r="CM615">
        <f>IF(SUMIFS(T_PlannedOrders[EffectiveQty],T_PlannedOrders[Part Name],$A575,T_PlannedOrders[WeekIndex],88)=0,"",SUMIFS(T_PlannedOrders[EffectiveQty],T_PlannedOrders[Part Name],$A575,T_PlannedOrders[WeekIndex],88)&amp;" ("&amp;TEXT(SUMPRODUCT(MAX((T_PlannedOrders[Part Name]=$A575)*(T_PlannedOrders[WeekIndex]=88)*(T_PlannedOrders[EffectiveQty]&gt;0)*T_PlannedOrders[Order_Month])),"m月")&amp;"発注)")</f>
        <v/>
      </c>
      <c r="CN615">
        <f>IF(SUMIFS(T_PlannedOrders[EffectiveQty],T_PlannedOrders[Part Name],$A575,T_PlannedOrders[WeekIndex],89)=0,"",SUMIFS(T_PlannedOrders[EffectiveQty],T_PlannedOrders[Part Name],$A575,T_PlannedOrders[WeekIndex],89)&amp;" ("&amp;TEXT(SUMPRODUCT(MAX((T_PlannedOrders[Part Name]=$A575)*(T_PlannedOrders[WeekIndex]=89)*(T_PlannedOrders[EffectiveQty]&gt;0)*T_PlannedOrders[Order_Month])),"m月")&amp;"発注)")</f>
        <v/>
      </c>
      <c r="CO615">
        <f>IF(SUMIFS(T_PlannedOrders[EffectiveQty],T_PlannedOrders[Part Name],$A575,T_PlannedOrders[WeekIndex],90)=0,"",SUMIFS(T_PlannedOrders[EffectiveQty],T_PlannedOrders[Part Name],$A575,T_PlannedOrders[WeekIndex],90)&amp;" ("&amp;TEXT(SUMPRODUCT(MAX((T_PlannedOrders[Part Name]=$A575)*(T_PlannedOrders[WeekIndex]=90)*(T_PlannedOrders[EffectiveQty]&gt;0)*T_PlannedOrders[Order_Month])),"m月")&amp;"発注)")</f>
        <v/>
      </c>
      <c r="CP615">
        <f>IF(SUMIFS(T_PlannedOrders[EffectiveQty],T_PlannedOrders[Part Name],$A575,T_PlannedOrders[WeekIndex],91)=0,"",SUMIFS(T_PlannedOrders[EffectiveQty],T_PlannedOrders[Part Name],$A575,T_PlannedOrders[WeekIndex],91)&amp;" ("&amp;TEXT(SUMPRODUCT(MAX((T_PlannedOrders[Part Name]=$A575)*(T_PlannedOrders[WeekIndex]=91)*(T_PlannedOrders[EffectiveQty]&gt;0)*T_PlannedOrders[Order_Month])),"m月")&amp;"発注)")</f>
        <v/>
      </c>
      <c r="CQ615">
        <f>IF(SUMIFS(T_PlannedOrders[EffectiveQty],T_PlannedOrders[Part Name],$A575,T_PlannedOrders[WeekIndex],92)=0,"",SUMIFS(T_PlannedOrders[EffectiveQty],T_PlannedOrders[Part Name],$A575,T_PlannedOrders[WeekIndex],92)&amp;" ("&amp;TEXT(SUMPRODUCT(MAX((T_PlannedOrders[Part Name]=$A575)*(T_PlannedOrders[WeekIndex]=92)*(T_PlannedOrders[EffectiveQty]&gt;0)*T_PlannedOrders[Order_Month])),"m月")&amp;"発注)")</f>
        <v/>
      </c>
      <c r="CR615">
        <f>IF(SUMIFS(T_PlannedOrders[EffectiveQty],T_PlannedOrders[Part Name],$A575,T_PlannedOrders[WeekIndex],93)=0,"",SUMIFS(T_PlannedOrders[EffectiveQty],T_PlannedOrders[Part Name],$A575,T_PlannedOrders[WeekIndex],93)&amp;" ("&amp;TEXT(SUMPRODUCT(MAX((T_PlannedOrders[Part Name]=$A575)*(T_PlannedOrders[WeekIndex]=93)*(T_PlannedOrders[EffectiveQty]&gt;0)*T_PlannedOrders[Order_Month])),"m月")&amp;"発注)")</f>
        <v/>
      </c>
      <c r="CS615">
        <f>IF(SUMIFS(T_PlannedOrders[EffectiveQty],T_PlannedOrders[Part Name],$A575,T_PlannedOrders[WeekIndex],94)=0,"",SUMIFS(T_PlannedOrders[EffectiveQty],T_PlannedOrders[Part Name],$A575,T_PlannedOrders[WeekIndex],94)&amp;" ("&amp;TEXT(SUMPRODUCT(MAX((T_PlannedOrders[Part Name]=$A575)*(T_PlannedOrders[WeekIndex]=94)*(T_PlannedOrders[EffectiveQty]&gt;0)*T_PlannedOrders[Order_Month])),"m月")&amp;"発注)")</f>
        <v/>
      </c>
      <c r="CT615">
        <f>IF(SUMIFS(T_PlannedOrders[EffectiveQty],T_PlannedOrders[Part Name],$A575,T_PlannedOrders[WeekIndex],95)=0,"",SUMIFS(T_PlannedOrders[EffectiveQty],T_PlannedOrders[Part Name],$A575,T_PlannedOrders[WeekIndex],95)&amp;" ("&amp;TEXT(SUMPRODUCT(MAX((T_PlannedOrders[Part Name]=$A575)*(T_PlannedOrders[WeekIndex]=95)*(T_PlannedOrders[EffectiveQty]&gt;0)*T_PlannedOrders[Order_Month])),"m月")&amp;"発注)")</f>
        <v/>
      </c>
      <c r="CU615">
        <f>IF(SUMIFS(T_PlannedOrders[EffectiveQty],T_PlannedOrders[Part Name],$A575,T_PlannedOrders[WeekIndex],96)=0,"",SUMIFS(T_PlannedOrders[EffectiveQty],T_PlannedOrders[Part Name],$A575,T_PlannedOrders[WeekIndex],96)&amp;" ("&amp;TEXT(SUMPRODUCT(MAX((T_PlannedOrders[Part Name]=$A575)*(T_PlannedOrders[WeekIndex]=96)*(T_PlannedOrders[EffectiveQty]&gt;0)*T_PlannedOrders[Order_Month])),"m月")&amp;"発注)")</f>
        <v/>
      </c>
      <c r="CV615">
        <f>IF(SUMIFS(T_PlannedOrders[EffectiveQty],T_PlannedOrders[Part Name],$A575,T_PlannedOrders[WeekIndex],97)=0,"",SUMIFS(T_PlannedOrders[EffectiveQty],T_PlannedOrders[Part Name],$A575,T_PlannedOrders[WeekIndex],97)&amp;" ("&amp;TEXT(SUMPRODUCT(MAX((T_PlannedOrders[Part Name]=$A575)*(T_PlannedOrders[WeekIndex]=97)*(T_PlannedOrders[EffectiveQty]&gt;0)*T_PlannedOrders[Order_Month])),"m月")&amp;"発注)")</f>
        <v/>
      </c>
      <c r="CW615">
        <f>IF(SUMIFS(T_PlannedOrders[EffectiveQty],T_PlannedOrders[Part Name],$A575,T_PlannedOrders[WeekIndex],98)=0,"",SUMIFS(T_PlannedOrders[EffectiveQty],T_PlannedOrders[Part Name],$A575,T_PlannedOrders[WeekIndex],98)&amp;" ("&amp;TEXT(SUMPRODUCT(MAX((T_PlannedOrders[Part Name]=$A575)*(T_PlannedOrders[WeekIndex]=98)*(T_PlannedOrders[EffectiveQty]&gt;0)*T_PlannedOrders[Order_Month])),"m月")&amp;"発注)")</f>
        <v/>
      </c>
      <c r="CX615">
        <f>IF(SUMIFS(T_PlannedOrders[EffectiveQty],T_PlannedOrders[Part Name],$A575,T_PlannedOrders[WeekIndex],99)=0,"",SUMIFS(T_PlannedOrders[EffectiveQty],T_PlannedOrders[Part Name],$A575,T_PlannedOrders[WeekIndex],99)&amp;" ("&amp;TEXT(SUMPRODUCT(MAX((T_PlannedOrders[Part Name]=$A575)*(T_PlannedOrders[WeekIndex]=99)*(T_PlannedOrders[EffectiveQty]&gt;0)*T_PlannedOrders[Order_Month])),"m月")&amp;"発注)")</f>
        <v/>
      </c>
      <c r="CY615">
        <f>IF(SUMIFS(T_PlannedOrders[EffectiveQty],T_PlannedOrders[Part Name],$A575,T_PlannedOrders[WeekIndex],100)=0,"",SUMIFS(T_PlannedOrders[EffectiveQty],T_PlannedOrders[Part Name],$A575,T_PlannedOrders[WeekIndex],100)&amp;" ("&amp;TEXT(SUMPRODUCT(MAX((T_PlannedOrders[Part Name]=$A575)*(T_PlannedOrders[WeekIndex]=100)*(T_PlannedOrders[EffectiveQty]&gt;0)*T_PlannedOrders[Order_Month])),"m月")&amp;"発注)")</f>
        <v/>
      </c>
      <c r="CZ615">
        <f>IF(SUMIFS(T_PlannedOrders[EffectiveQty],T_PlannedOrders[Part Name],$A575,T_PlannedOrders[WeekIndex],101)=0,"",SUMIFS(T_PlannedOrders[EffectiveQty],T_PlannedOrders[Part Name],$A575,T_PlannedOrders[WeekIndex],101)&amp;" ("&amp;TEXT(SUMPRODUCT(MAX((T_PlannedOrders[Part Name]=$A575)*(T_PlannedOrders[WeekIndex]=101)*(T_PlannedOrders[EffectiveQty]&gt;0)*T_PlannedOrders[Order_Month])),"m月")&amp;"発注)")</f>
        <v/>
      </c>
      <c r="DA615">
        <f>IF(SUMIFS(T_PlannedOrders[EffectiveQty],T_PlannedOrders[Part Name],$A575,T_PlannedOrders[WeekIndex],102)=0,"",SUMIFS(T_PlannedOrders[EffectiveQty],T_PlannedOrders[Part Name],$A575,T_PlannedOrders[WeekIndex],102)&amp;" ("&amp;TEXT(SUMPRODUCT(MAX((T_PlannedOrders[Part Name]=$A575)*(T_PlannedOrders[WeekIndex]=102)*(T_PlannedOrders[EffectiveQty]&gt;0)*T_PlannedOrders[Order_Month])),"m月")&amp;"発注)")</f>
        <v/>
      </c>
      <c r="DB615">
        <f>IF(SUMIFS(T_PlannedOrders[EffectiveQty],T_PlannedOrders[Part Name],$A575,T_PlannedOrders[WeekIndex],103)=0,"",SUMIFS(T_PlannedOrders[EffectiveQty],T_PlannedOrders[Part Name],$A575,T_PlannedOrders[WeekIndex],103)&amp;" ("&amp;TEXT(SUMPRODUCT(MAX((T_PlannedOrders[Part Name]=$A575)*(T_PlannedOrders[WeekIndex]=103)*(T_PlannedOrders[EffectiveQty]&gt;0)*T_PlannedOrders[Order_Month])),"m月")&amp;"発注)")</f>
        <v/>
      </c>
      <c r="DC615">
        <f>IF(SUMIFS(T_PlannedOrders[EffectiveQty],T_PlannedOrders[Part Name],$A575,T_PlannedOrders[WeekIndex],104)=0,"",SUMIFS(T_PlannedOrders[EffectiveQty],T_PlannedOrders[Part Name],$A575,T_PlannedOrders[WeekIndex],104)&amp;" ("&amp;TEXT(SUMPRODUCT(MAX((T_PlannedOrders[Part Name]=$A575)*(T_PlannedOrders[WeekIndex]=104)*(T_PlannedOrders[EffectiveQty]&gt;0)*T_PlannedOrders[Order_Month])),"m月")&amp;"発注)")</f>
        <v/>
      </c>
    </row>
    <row r="616">
      <c r="B616" s="5" t="inlineStr">
        <is>
          <t>合計在庫(週末時点,kg)</t>
        </is>
      </c>
      <c r="D616">
        <f>'Grid_Stock'!B34</f>
        <v/>
      </c>
      <c r="E616">
        <f>'Grid_Stock'!C34</f>
        <v/>
      </c>
      <c r="F616">
        <f>'Grid_Stock'!D34</f>
        <v/>
      </c>
      <c r="G616">
        <f>'Grid_Stock'!E34</f>
        <v/>
      </c>
      <c r="H616">
        <f>'Grid_Stock'!F34</f>
        <v/>
      </c>
      <c r="I616">
        <f>'Grid_Stock'!G34</f>
        <v/>
      </c>
      <c r="J616">
        <f>'Grid_Stock'!H34</f>
        <v/>
      </c>
      <c r="K616">
        <f>'Grid_Stock'!I34</f>
        <v/>
      </c>
      <c r="L616">
        <f>'Grid_Stock'!J34</f>
        <v/>
      </c>
      <c r="M616">
        <f>'Grid_Stock'!K34</f>
        <v/>
      </c>
      <c r="N616">
        <f>'Grid_Stock'!L34</f>
        <v/>
      </c>
      <c r="O616">
        <f>'Grid_Stock'!M34</f>
        <v/>
      </c>
      <c r="P616">
        <f>'Grid_Stock'!N34</f>
        <v/>
      </c>
      <c r="Q616">
        <f>'Grid_Stock'!O34</f>
        <v/>
      </c>
      <c r="R616">
        <f>'Grid_Stock'!P34</f>
        <v/>
      </c>
      <c r="S616">
        <f>'Grid_Stock'!Q34</f>
        <v/>
      </c>
      <c r="T616">
        <f>'Grid_Stock'!R34</f>
        <v/>
      </c>
      <c r="U616">
        <f>'Grid_Stock'!S34</f>
        <v/>
      </c>
      <c r="V616">
        <f>'Grid_Stock'!T34</f>
        <v/>
      </c>
      <c r="W616">
        <f>'Grid_Stock'!U34</f>
        <v/>
      </c>
      <c r="X616">
        <f>'Grid_Stock'!V34</f>
        <v/>
      </c>
      <c r="Y616">
        <f>'Grid_Stock'!W34</f>
        <v/>
      </c>
      <c r="Z616">
        <f>'Grid_Stock'!X34</f>
        <v/>
      </c>
      <c r="AA616">
        <f>'Grid_Stock'!Y34</f>
        <v/>
      </c>
      <c r="AB616">
        <f>'Grid_Stock'!Z34</f>
        <v/>
      </c>
      <c r="AC616">
        <f>'Grid_Stock'!AA34</f>
        <v/>
      </c>
      <c r="AD616">
        <f>'Grid_Stock'!AB34</f>
        <v/>
      </c>
      <c r="AE616">
        <f>'Grid_Stock'!AC34</f>
        <v/>
      </c>
      <c r="AF616">
        <f>'Grid_Stock'!AD34</f>
        <v/>
      </c>
      <c r="AG616">
        <f>'Grid_Stock'!AE34</f>
        <v/>
      </c>
      <c r="AH616">
        <f>'Grid_Stock'!AF34</f>
        <v/>
      </c>
      <c r="AI616">
        <f>'Grid_Stock'!AG34</f>
        <v/>
      </c>
      <c r="AJ616">
        <f>'Grid_Stock'!AH34</f>
        <v/>
      </c>
      <c r="AK616">
        <f>'Grid_Stock'!AI34</f>
        <v/>
      </c>
      <c r="AL616">
        <f>'Grid_Stock'!AJ34</f>
        <v/>
      </c>
      <c r="AM616">
        <f>'Grid_Stock'!AK34</f>
        <v/>
      </c>
      <c r="AN616">
        <f>'Grid_Stock'!AL34</f>
        <v/>
      </c>
      <c r="AO616">
        <f>'Grid_Stock'!AM34</f>
        <v/>
      </c>
      <c r="AP616">
        <f>'Grid_Stock'!AN34</f>
        <v/>
      </c>
      <c r="AQ616">
        <f>'Grid_Stock'!AO34</f>
        <v/>
      </c>
      <c r="AR616">
        <f>'Grid_Stock'!AP34</f>
        <v/>
      </c>
      <c r="AS616">
        <f>'Grid_Stock'!AQ34</f>
        <v/>
      </c>
      <c r="AT616">
        <f>'Grid_Stock'!AR34</f>
        <v/>
      </c>
      <c r="AU616">
        <f>'Grid_Stock'!AS34</f>
        <v/>
      </c>
      <c r="AV616">
        <f>'Grid_Stock'!AT34</f>
        <v/>
      </c>
      <c r="AW616">
        <f>'Grid_Stock'!AU34</f>
        <v/>
      </c>
      <c r="AX616">
        <f>'Grid_Stock'!AV34</f>
        <v/>
      </c>
      <c r="AY616">
        <f>'Grid_Stock'!AW34</f>
        <v/>
      </c>
      <c r="AZ616">
        <f>'Grid_Stock'!AX34</f>
        <v/>
      </c>
      <c r="BA616">
        <f>'Grid_Stock'!AY34</f>
        <v/>
      </c>
      <c r="BB616">
        <f>'Grid_Stock'!AZ34</f>
        <v/>
      </c>
      <c r="BC616">
        <f>'Grid_Stock'!BA34</f>
        <v/>
      </c>
      <c r="BD616">
        <f>'Grid_Stock'!BB34</f>
        <v/>
      </c>
      <c r="BE616">
        <f>'Grid_Stock'!BC34</f>
        <v/>
      </c>
      <c r="BF616">
        <f>'Grid_Stock'!BD34</f>
        <v/>
      </c>
      <c r="BG616">
        <f>'Grid_Stock'!BE34</f>
        <v/>
      </c>
      <c r="BH616">
        <f>'Grid_Stock'!BF34</f>
        <v/>
      </c>
      <c r="BI616">
        <f>'Grid_Stock'!BG34</f>
        <v/>
      </c>
      <c r="BJ616">
        <f>'Grid_Stock'!BH34</f>
        <v/>
      </c>
      <c r="BK616">
        <f>'Grid_Stock'!BI34</f>
        <v/>
      </c>
      <c r="BL616">
        <f>'Grid_Stock'!BJ34</f>
        <v/>
      </c>
      <c r="BM616">
        <f>'Grid_Stock'!BK34</f>
        <v/>
      </c>
      <c r="BN616">
        <f>'Grid_Stock'!BL34</f>
        <v/>
      </c>
      <c r="BO616">
        <f>'Grid_Stock'!BM34</f>
        <v/>
      </c>
      <c r="BP616">
        <f>'Grid_Stock'!BN34</f>
        <v/>
      </c>
      <c r="BQ616">
        <f>'Grid_Stock'!BO34</f>
        <v/>
      </c>
      <c r="BR616">
        <f>'Grid_Stock'!BP34</f>
        <v/>
      </c>
      <c r="BS616">
        <f>'Grid_Stock'!BQ34</f>
        <v/>
      </c>
      <c r="BT616">
        <f>'Grid_Stock'!BR34</f>
        <v/>
      </c>
      <c r="BU616">
        <f>'Grid_Stock'!BS34</f>
        <v/>
      </c>
      <c r="BV616">
        <f>'Grid_Stock'!BT34</f>
        <v/>
      </c>
      <c r="BW616">
        <f>'Grid_Stock'!BU34</f>
        <v/>
      </c>
      <c r="BX616">
        <f>'Grid_Stock'!BV34</f>
        <v/>
      </c>
      <c r="BY616">
        <f>'Grid_Stock'!BW34</f>
        <v/>
      </c>
      <c r="BZ616">
        <f>'Grid_Stock'!BX34</f>
        <v/>
      </c>
      <c r="CA616">
        <f>'Grid_Stock'!BY34</f>
        <v/>
      </c>
      <c r="CB616">
        <f>'Grid_Stock'!BZ34</f>
        <v/>
      </c>
      <c r="CC616">
        <f>'Grid_Stock'!CA34</f>
        <v/>
      </c>
      <c r="CD616">
        <f>'Grid_Stock'!CB34</f>
        <v/>
      </c>
      <c r="CE616">
        <f>'Grid_Stock'!CC34</f>
        <v/>
      </c>
      <c r="CF616">
        <f>'Grid_Stock'!CD34</f>
        <v/>
      </c>
      <c r="CG616">
        <f>'Grid_Stock'!CE34</f>
        <v/>
      </c>
      <c r="CH616">
        <f>'Grid_Stock'!CF34</f>
        <v/>
      </c>
      <c r="CI616">
        <f>'Grid_Stock'!CG34</f>
        <v/>
      </c>
      <c r="CJ616">
        <f>'Grid_Stock'!CH34</f>
        <v/>
      </c>
      <c r="CK616">
        <f>'Grid_Stock'!CI34</f>
        <v/>
      </c>
      <c r="CL616">
        <f>'Grid_Stock'!CJ34</f>
        <v/>
      </c>
      <c r="CM616">
        <f>'Grid_Stock'!CK34</f>
        <v/>
      </c>
      <c r="CN616">
        <f>'Grid_Stock'!CL34</f>
        <v/>
      </c>
      <c r="CO616">
        <f>'Grid_Stock'!CM34</f>
        <v/>
      </c>
      <c r="CP616">
        <f>'Grid_Stock'!CN34</f>
        <v/>
      </c>
      <c r="CQ616">
        <f>'Grid_Stock'!CO34</f>
        <v/>
      </c>
      <c r="CR616">
        <f>'Grid_Stock'!CP34</f>
        <v/>
      </c>
      <c r="CS616">
        <f>'Grid_Stock'!CQ34</f>
        <v/>
      </c>
      <c r="CT616">
        <f>'Grid_Stock'!CR34</f>
        <v/>
      </c>
      <c r="CU616">
        <f>'Grid_Stock'!CS34</f>
        <v/>
      </c>
      <c r="CV616">
        <f>'Grid_Stock'!CT34</f>
        <v/>
      </c>
      <c r="CW616">
        <f>'Grid_Stock'!CU34</f>
        <v/>
      </c>
      <c r="CX616">
        <f>'Grid_Stock'!CV34</f>
        <v/>
      </c>
      <c r="CY616">
        <f>'Grid_Stock'!CW34</f>
        <v/>
      </c>
      <c r="CZ616">
        <f>'Grid_Stock'!CX34</f>
        <v/>
      </c>
      <c r="DA616">
        <f>'Grid_Stock'!CY34</f>
        <v/>
      </c>
      <c r="DB616">
        <f>'Grid_Stock'!CZ34</f>
        <v/>
      </c>
      <c r="DC616">
        <f>'Grid_Stock'!DA34</f>
        <v/>
      </c>
    </row>
    <row r="617">
      <c r="B617" s="23" t="inlineStr">
        <is>
          <t>（発注の目安はDashboardの基準在庫[下限/上限]と色分けを参照）</t>
        </is>
      </c>
    </row>
    <row r="619">
      <c r="A619" s="21" t="inlineStr">
        <is>
          <t>CHEM-1660</t>
        </is>
      </c>
      <c r="B619" s="21" t="inlineStr">
        <is>
          <t>GW-3394</t>
        </is>
      </c>
      <c r="C619" s="22" t="n"/>
      <c r="D619" s="21" t="n"/>
      <c r="E619" s="21" t="n"/>
      <c r="F619" s="21" t="n"/>
      <c r="G619" s="21" t="n"/>
      <c r="H619" s="2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  <c r="AA619" s="21" t="n"/>
      <c r="AB619" s="21" t="n"/>
      <c r="AC619" s="21" t="n"/>
      <c r="AD619" s="21" t="n"/>
      <c r="AE619" s="21" t="n"/>
      <c r="AF619" s="21" t="n"/>
      <c r="AG619" s="21" t="n"/>
      <c r="AH619" s="21" t="n"/>
      <c r="AI619" s="21" t="n"/>
      <c r="AJ619" s="21" t="n"/>
      <c r="AK619" s="21" t="n"/>
      <c r="AL619" s="21" t="n"/>
      <c r="AM619" s="21" t="n"/>
      <c r="AN619" s="21" t="n"/>
      <c r="AO619" s="21" t="n"/>
      <c r="AP619" s="21" t="n"/>
      <c r="AQ619" s="21" t="n"/>
      <c r="AR619" s="21" t="n"/>
      <c r="AS619" s="21" t="n"/>
      <c r="AT619" s="21" t="n"/>
      <c r="AU619" s="21" t="n"/>
      <c r="AV619" s="21" t="n"/>
      <c r="AW619" s="21" t="n"/>
      <c r="AX619" s="21" t="n"/>
      <c r="AY619" s="21" t="n"/>
      <c r="AZ619" s="21" t="n"/>
      <c r="BA619" s="21" t="n"/>
      <c r="BB619" s="21" t="n"/>
      <c r="BC619" s="21" t="n"/>
      <c r="BD619" s="21" t="n"/>
      <c r="BE619" s="21" t="n"/>
      <c r="BF619" s="21" t="n"/>
      <c r="BG619" s="21" t="n"/>
      <c r="BH619" s="21" t="n"/>
      <c r="BI619" s="21" t="n"/>
      <c r="BJ619" s="21" t="n"/>
      <c r="BK619" s="21" t="n"/>
      <c r="BL619" s="21" t="n"/>
      <c r="BM619" s="21" t="n"/>
      <c r="BN619" s="21" t="n"/>
      <c r="BO619" s="21" t="n"/>
      <c r="BP619" s="21" t="n"/>
      <c r="BQ619" s="21" t="n"/>
      <c r="BR619" s="21" t="n"/>
      <c r="BS619" s="21" t="n"/>
      <c r="BT619" s="21" t="n"/>
      <c r="BU619" s="21" t="n"/>
      <c r="BV619" s="21" t="n"/>
      <c r="BW619" s="21" t="n"/>
      <c r="BX619" s="21" t="n"/>
      <c r="BY619" s="21" t="n"/>
      <c r="BZ619" s="21" t="n"/>
      <c r="CA619" s="21" t="n"/>
      <c r="CB619" s="21" t="n"/>
      <c r="CC619" s="21" t="n"/>
      <c r="CD619" s="21" t="n"/>
      <c r="CE619" s="21" t="n"/>
      <c r="CF619" s="21" t="n"/>
      <c r="CG619" s="21" t="n"/>
      <c r="CH619" s="21" t="n"/>
      <c r="CI619" s="21" t="n"/>
      <c r="CJ619" s="21" t="n"/>
      <c r="CK619" s="21" t="n"/>
      <c r="CL619" s="21" t="n"/>
      <c r="CM619" s="21" t="n"/>
      <c r="CN619" s="21" t="n"/>
      <c r="CO619" s="21" t="n"/>
      <c r="CP619" s="21" t="n"/>
      <c r="CQ619" s="21" t="n"/>
      <c r="CR619" s="21" t="n"/>
      <c r="CS619" s="21" t="n"/>
      <c r="CT619" s="21" t="n"/>
      <c r="CU619" s="21" t="n"/>
      <c r="CV619" s="21" t="n"/>
      <c r="CW619" s="21" t="n"/>
      <c r="CX619" s="21" t="n"/>
      <c r="CY619" s="21" t="n"/>
      <c r="CZ619" s="21" t="n"/>
      <c r="DA619" s="21" t="n"/>
      <c r="DB619" s="21" t="n"/>
      <c r="DC619" s="21" t="n"/>
    </row>
    <row r="620">
      <c r="B620" t="inlineStr">
        <is>
          <t>TSP-655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12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Name],$A619)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TSP-656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12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Name],$A619)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VSP-820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12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Name],$A619)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VSP-822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12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Name],$A619)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VSP-910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12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Name],$A619)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VSP-989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12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Name],$A619)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VSP-990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12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Name],$A619)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s="5" t="inlineStr">
        <is>
          <t>合計使用量(kg)/週</t>
        </is>
      </c>
      <c r="D634">
        <f>'Grid_Requirement'!B35</f>
        <v/>
      </c>
      <c r="E634">
        <f>'Grid_Requirement'!C35</f>
        <v/>
      </c>
      <c r="F634">
        <f>'Grid_Requirement'!D35</f>
        <v/>
      </c>
      <c r="G634">
        <f>'Grid_Requirement'!E35</f>
        <v/>
      </c>
      <c r="H634">
        <f>'Grid_Requirement'!F35</f>
        <v/>
      </c>
      <c r="I634">
        <f>'Grid_Requirement'!G35</f>
        <v/>
      </c>
      <c r="J634">
        <f>'Grid_Requirement'!H35</f>
        <v/>
      </c>
      <c r="K634">
        <f>'Grid_Requirement'!I35</f>
        <v/>
      </c>
      <c r="L634">
        <f>'Grid_Requirement'!J35</f>
        <v/>
      </c>
      <c r="M634">
        <f>'Grid_Requirement'!K35</f>
        <v/>
      </c>
      <c r="N634">
        <f>'Grid_Requirement'!L35</f>
        <v/>
      </c>
      <c r="O634">
        <f>'Grid_Requirement'!M35</f>
        <v/>
      </c>
      <c r="P634">
        <f>'Grid_Requirement'!N35</f>
        <v/>
      </c>
      <c r="Q634">
        <f>'Grid_Requirement'!O35</f>
        <v/>
      </c>
      <c r="R634">
        <f>'Grid_Requirement'!P35</f>
        <v/>
      </c>
      <c r="S634">
        <f>'Grid_Requirement'!Q35</f>
        <v/>
      </c>
      <c r="T634">
        <f>'Grid_Requirement'!R35</f>
        <v/>
      </c>
      <c r="U634">
        <f>'Grid_Requirement'!S35</f>
        <v/>
      </c>
      <c r="V634">
        <f>'Grid_Requirement'!T35</f>
        <v/>
      </c>
      <c r="W634">
        <f>'Grid_Requirement'!U35</f>
        <v/>
      </c>
      <c r="X634">
        <f>'Grid_Requirement'!V35</f>
        <v/>
      </c>
      <c r="Y634">
        <f>'Grid_Requirement'!W35</f>
        <v/>
      </c>
      <c r="Z634">
        <f>'Grid_Requirement'!X35</f>
        <v/>
      </c>
      <c r="AA634">
        <f>'Grid_Requirement'!Y35</f>
        <v/>
      </c>
      <c r="AB634">
        <f>'Grid_Requirement'!Z35</f>
        <v/>
      </c>
      <c r="AC634">
        <f>'Grid_Requirement'!AA35</f>
        <v/>
      </c>
      <c r="AD634">
        <f>'Grid_Requirement'!AB35</f>
        <v/>
      </c>
      <c r="AE634">
        <f>'Grid_Requirement'!AC35</f>
        <v/>
      </c>
      <c r="AF634">
        <f>'Grid_Requirement'!AD35</f>
        <v/>
      </c>
      <c r="AG634">
        <f>'Grid_Requirement'!AE35</f>
        <v/>
      </c>
      <c r="AH634">
        <f>'Grid_Requirement'!AF35</f>
        <v/>
      </c>
      <c r="AI634">
        <f>'Grid_Requirement'!AG35</f>
        <v/>
      </c>
      <c r="AJ634">
        <f>'Grid_Requirement'!AH35</f>
        <v/>
      </c>
      <c r="AK634">
        <f>'Grid_Requirement'!AI35</f>
        <v/>
      </c>
      <c r="AL634">
        <f>'Grid_Requirement'!AJ35</f>
        <v/>
      </c>
      <c r="AM634">
        <f>'Grid_Requirement'!AK35</f>
        <v/>
      </c>
      <c r="AN634">
        <f>'Grid_Requirement'!AL35</f>
        <v/>
      </c>
      <c r="AO634">
        <f>'Grid_Requirement'!AM35</f>
        <v/>
      </c>
      <c r="AP634">
        <f>'Grid_Requirement'!AN35</f>
        <v/>
      </c>
      <c r="AQ634">
        <f>'Grid_Requirement'!AO35</f>
        <v/>
      </c>
      <c r="AR634">
        <f>'Grid_Requirement'!AP35</f>
        <v/>
      </c>
      <c r="AS634">
        <f>'Grid_Requirement'!AQ35</f>
        <v/>
      </c>
      <c r="AT634">
        <f>'Grid_Requirement'!AR35</f>
        <v/>
      </c>
      <c r="AU634">
        <f>'Grid_Requirement'!AS35</f>
        <v/>
      </c>
      <c r="AV634">
        <f>'Grid_Requirement'!AT35</f>
        <v/>
      </c>
      <c r="AW634">
        <f>'Grid_Requirement'!AU35</f>
        <v/>
      </c>
      <c r="AX634">
        <f>'Grid_Requirement'!AV35</f>
        <v/>
      </c>
      <c r="AY634">
        <f>'Grid_Requirement'!AW35</f>
        <v/>
      </c>
      <c r="AZ634">
        <f>'Grid_Requirement'!AX35</f>
        <v/>
      </c>
      <c r="BA634">
        <f>'Grid_Requirement'!AY35</f>
        <v/>
      </c>
      <c r="BB634">
        <f>'Grid_Requirement'!AZ35</f>
        <v/>
      </c>
      <c r="BC634">
        <f>'Grid_Requirement'!BA35</f>
        <v/>
      </c>
      <c r="BD634">
        <f>'Grid_Requirement'!BB35</f>
        <v/>
      </c>
      <c r="BE634">
        <f>'Grid_Requirement'!BC35</f>
        <v/>
      </c>
      <c r="BF634">
        <f>'Grid_Requirement'!BD35</f>
        <v/>
      </c>
      <c r="BG634">
        <f>'Grid_Requirement'!BE35</f>
        <v/>
      </c>
      <c r="BH634">
        <f>'Grid_Requirement'!BF35</f>
        <v/>
      </c>
      <c r="BI634">
        <f>'Grid_Requirement'!BG35</f>
        <v/>
      </c>
      <c r="BJ634">
        <f>'Grid_Requirement'!BH35</f>
        <v/>
      </c>
      <c r="BK634">
        <f>'Grid_Requirement'!BI35</f>
        <v/>
      </c>
      <c r="BL634">
        <f>'Grid_Requirement'!BJ35</f>
        <v/>
      </c>
      <c r="BM634">
        <f>'Grid_Requirement'!BK35</f>
        <v/>
      </c>
      <c r="BN634">
        <f>'Grid_Requirement'!BL35</f>
        <v/>
      </c>
      <c r="BO634">
        <f>'Grid_Requirement'!BM35</f>
        <v/>
      </c>
      <c r="BP634">
        <f>'Grid_Requirement'!BN35</f>
        <v/>
      </c>
      <c r="BQ634">
        <f>'Grid_Requirement'!BO35</f>
        <v/>
      </c>
      <c r="BR634">
        <f>'Grid_Requirement'!BP35</f>
        <v/>
      </c>
      <c r="BS634">
        <f>'Grid_Requirement'!BQ35</f>
        <v/>
      </c>
      <c r="BT634">
        <f>'Grid_Requirement'!BR35</f>
        <v/>
      </c>
      <c r="BU634">
        <f>'Grid_Requirement'!BS35</f>
        <v/>
      </c>
      <c r="BV634">
        <f>'Grid_Requirement'!BT35</f>
        <v/>
      </c>
      <c r="BW634">
        <f>'Grid_Requirement'!BU35</f>
        <v/>
      </c>
      <c r="BX634">
        <f>'Grid_Requirement'!BV35</f>
        <v/>
      </c>
      <c r="BY634">
        <f>'Grid_Requirement'!BW35</f>
        <v/>
      </c>
      <c r="BZ634">
        <f>'Grid_Requirement'!BX35</f>
        <v/>
      </c>
      <c r="CA634">
        <f>'Grid_Requirement'!BY35</f>
        <v/>
      </c>
      <c r="CB634">
        <f>'Grid_Requirement'!BZ35</f>
        <v/>
      </c>
      <c r="CC634">
        <f>'Grid_Requirement'!CA35</f>
        <v/>
      </c>
      <c r="CD634">
        <f>'Grid_Requirement'!CB35</f>
        <v/>
      </c>
      <c r="CE634">
        <f>'Grid_Requirement'!CC35</f>
        <v/>
      </c>
      <c r="CF634">
        <f>'Grid_Requirement'!CD35</f>
        <v/>
      </c>
      <c r="CG634">
        <f>'Grid_Requirement'!CE35</f>
        <v/>
      </c>
      <c r="CH634">
        <f>'Grid_Requirement'!CF35</f>
        <v/>
      </c>
      <c r="CI634">
        <f>'Grid_Requirement'!CG35</f>
        <v/>
      </c>
      <c r="CJ634">
        <f>'Grid_Requirement'!CH35</f>
        <v/>
      </c>
      <c r="CK634">
        <f>'Grid_Requirement'!CI35</f>
        <v/>
      </c>
      <c r="CL634">
        <f>'Grid_Requirement'!CJ35</f>
        <v/>
      </c>
      <c r="CM634">
        <f>'Grid_Requirement'!CK35</f>
        <v/>
      </c>
      <c r="CN634">
        <f>'Grid_Requirement'!CL35</f>
        <v/>
      </c>
      <c r="CO634">
        <f>'Grid_Requirement'!CM35</f>
        <v/>
      </c>
      <c r="CP634">
        <f>'Grid_Requirement'!CN35</f>
        <v/>
      </c>
      <c r="CQ634">
        <f>'Grid_Requirement'!CO35</f>
        <v/>
      </c>
      <c r="CR634">
        <f>'Grid_Requirement'!CP35</f>
        <v/>
      </c>
      <c r="CS634">
        <f>'Grid_Requirement'!CQ35</f>
        <v/>
      </c>
      <c r="CT634">
        <f>'Grid_Requirement'!CR35</f>
        <v/>
      </c>
      <c r="CU634">
        <f>'Grid_Requirement'!CS35</f>
        <v/>
      </c>
      <c r="CV634">
        <f>'Grid_Requirement'!CT35</f>
        <v/>
      </c>
      <c r="CW634">
        <f>'Grid_Requirement'!CU35</f>
        <v/>
      </c>
      <c r="CX634">
        <f>'Grid_Requirement'!CV35</f>
        <v/>
      </c>
      <c r="CY634">
        <f>'Grid_Requirement'!CW35</f>
        <v/>
      </c>
      <c r="CZ634">
        <f>'Grid_Requirement'!CX35</f>
        <v/>
      </c>
      <c r="DA634">
        <f>'Grid_Requirement'!CY35</f>
        <v/>
      </c>
      <c r="DB634">
        <f>'Grid_Requirement'!CZ35</f>
        <v/>
      </c>
      <c r="DC634">
        <f>'Grid_Requirement'!DA35</f>
        <v/>
      </c>
    </row>
    <row r="635">
      <c r="B635" t="inlineStr">
        <is>
          <t>TTAF在庫(実績,kg)</t>
        </is>
      </c>
      <c r="D635">
        <f>'T_TTAFStock'!B39</f>
        <v/>
      </c>
      <c r="E635">
        <f>'T_TTAFStock'!C39</f>
        <v/>
      </c>
      <c r="F635">
        <f>'T_TTAFStock'!D39</f>
        <v/>
      </c>
      <c r="G635">
        <f>'T_TTAFStock'!E39</f>
        <v/>
      </c>
      <c r="H635">
        <f>'T_TTAFStock'!F39</f>
        <v/>
      </c>
      <c r="I635">
        <f>'T_TTAFStock'!G39</f>
        <v/>
      </c>
      <c r="J635">
        <f>'T_TTAFStock'!H39</f>
        <v/>
      </c>
      <c r="K635">
        <f>'T_TTAFStock'!I39</f>
        <v/>
      </c>
      <c r="L635">
        <f>'T_TTAFStock'!J39</f>
        <v/>
      </c>
      <c r="M635">
        <f>'T_TTAFStock'!K39</f>
        <v/>
      </c>
      <c r="N635">
        <f>'T_TTAFStock'!L39</f>
        <v/>
      </c>
      <c r="O635">
        <f>'T_TTAFStock'!M39</f>
        <v/>
      </c>
      <c r="P635">
        <f>'T_TTAFStock'!N39</f>
        <v/>
      </c>
      <c r="Q635">
        <f>'T_TTAFStock'!O39</f>
        <v/>
      </c>
      <c r="R635">
        <f>'T_TTAFStock'!P39</f>
        <v/>
      </c>
      <c r="S635">
        <f>'T_TTAFStock'!Q39</f>
        <v/>
      </c>
      <c r="T635">
        <f>'T_TTAFStock'!R39</f>
        <v/>
      </c>
      <c r="U635">
        <f>'T_TTAFStock'!S39</f>
        <v/>
      </c>
      <c r="V635">
        <f>'T_TTAFStock'!T39</f>
        <v/>
      </c>
      <c r="W635">
        <f>'T_TTAFStock'!U39</f>
        <v/>
      </c>
      <c r="X635">
        <f>'T_TTAFStock'!V39</f>
        <v/>
      </c>
      <c r="Y635">
        <f>'T_TTAFStock'!W39</f>
        <v/>
      </c>
      <c r="Z635">
        <f>'T_TTAFStock'!X39</f>
        <v/>
      </c>
      <c r="AA635">
        <f>'T_TTAFStock'!Y39</f>
        <v/>
      </c>
      <c r="AB635">
        <f>'T_TTAFStock'!Z39</f>
        <v/>
      </c>
      <c r="AC635">
        <f>'T_TTAFStock'!AA39</f>
        <v/>
      </c>
      <c r="AD635">
        <f>'T_TTAFStock'!AB39</f>
        <v/>
      </c>
      <c r="AE635">
        <f>'T_TTAFStock'!AC39</f>
        <v/>
      </c>
      <c r="AF635">
        <f>'T_TTAFStock'!AD39</f>
        <v/>
      </c>
      <c r="AG635">
        <f>'T_TTAFStock'!AE39</f>
        <v/>
      </c>
      <c r="AH635">
        <f>'T_TTAFStock'!AF39</f>
        <v/>
      </c>
      <c r="AI635">
        <f>'T_TTAFStock'!AG39</f>
        <v/>
      </c>
      <c r="AJ635">
        <f>'T_TTAFStock'!AH39</f>
        <v/>
      </c>
      <c r="AK635">
        <f>'T_TTAFStock'!AI39</f>
        <v/>
      </c>
      <c r="AL635">
        <f>'T_TTAFStock'!AJ39</f>
        <v/>
      </c>
      <c r="AM635">
        <f>'T_TTAFStock'!AK39</f>
        <v/>
      </c>
      <c r="AN635">
        <f>'T_TTAFStock'!AL39</f>
        <v/>
      </c>
      <c r="AO635">
        <f>'T_TTAFStock'!AM39</f>
        <v/>
      </c>
      <c r="AP635">
        <f>'T_TTAFStock'!AN39</f>
        <v/>
      </c>
      <c r="AQ635">
        <f>'T_TTAFStock'!AO39</f>
        <v/>
      </c>
      <c r="AR635">
        <f>'T_TTAFStock'!AP39</f>
        <v/>
      </c>
      <c r="AS635">
        <f>'T_TTAFStock'!AQ39</f>
        <v/>
      </c>
      <c r="AT635">
        <f>'T_TTAFStock'!AR39</f>
        <v/>
      </c>
      <c r="AU635">
        <f>'T_TTAFStock'!AS39</f>
        <v/>
      </c>
      <c r="AV635">
        <f>'T_TTAFStock'!AT39</f>
        <v/>
      </c>
      <c r="AW635">
        <f>'T_TTAFStock'!AU39</f>
        <v/>
      </c>
      <c r="AX635">
        <f>'T_TTAFStock'!AV39</f>
        <v/>
      </c>
      <c r="AY635">
        <f>'T_TTAFStock'!AW39</f>
        <v/>
      </c>
      <c r="AZ635">
        <f>'T_TTAFStock'!AX39</f>
        <v/>
      </c>
      <c r="BA635">
        <f>'T_TTAFStock'!AY39</f>
        <v/>
      </c>
      <c r="BB635">
        <f>'T_TTAFStock'!AZ39</f>
        <v/>
      </c>
      <c r="BC635">
        <f>'T_TTAFStock'!BA39</f>
        <v/>
      </c>
      <c r="BD635">
        <f>'T_TTAFStock'!BB39</f>
        <v/>
      </c>
      <c r="BE635">
        <f>'T_TTAFStock'!BC39</f>
        <v/>
      </c>
      <c r="BF635">
        <f>'T_TTAFStock'!BD39</f>
        <v/>
      </c>
      <c r="BG635">
        <f>'T_TTAFStock'!BE39</f>
        <v/>
      </c>
      <c r="BH635">
        <f>'T_TTAFStock'!BF39</f>
        <v/>
      </c>
      <c r="BI635">
        <f>'T_TTAFStock'!BG39</f>
        <v/>
      </c>
      <c r="BJ635">
        <f>'T_TTAFStock'!BH39</f>
        <v/>
      </c>
      <c r="BK635">
        <f>'T_TTAFStock'!BI39</f>
        <v/>
      </c>
      <c r="BL635">
        <f>'T_TTAFStock'!BJ39</f>
        <v/>
      </c>
      <c r="BM635">
        <f>'T_TTAFStock'!BK39</f>
        <v/>
      </c>
      <c r="BN635">
        <f>'T_TTAFStock'!BL39</f>
        <v/>
      </c>
      <c r="BO635">
        <f>'T_TTAFStock'!BM39</f>
        <v/>
      </c>
      <c r="BP635">
        <f>'T_TTAFStock'!BN39</f>
        <v/>
      </c>
      <c r="BQ635">
        <f>'T_TTAFStock'!BO39</f>
        <v/>
      </c>
      <c r="BR635">
        <f>'T_TTAFStock'!BP39</f>
        <v/>
      </c>
      <c r="BS635">
        <f>'T_TTAFStock'!BQ39</f>
        <v/>
      </c>
      <c r="BT635">
        <f>'T_TTAFStock'!BR39</f>
        <v/>
      </c>
      <c r="BU635">
        <f>'T_TTAFStock'!BS39</f>
        <v/>
      </c>
      <c r="BV635">
        <f>'T_TTAFStock'!BT39</f>
        <v/>
      </c>
      <c r="BW635">
        <f>'T_TTAFStock'!BU39</f>
        <v/>
      </c>
      <c r="BX635">
        <f>'T_TTAFStock'!BV39</f>
        <v/>
      </c>
      <c r="BY635">
        <f>'T_TTAFStock'!BW39</f>
        <v/>
      </c>
      <c r="BZ635">
        <f>'T_TTAFStock'!BX39</f>
        <v/>
      </c>
      <c r="CA635">
        <f>'T_TTAFStock'!BY39</f>
        <v/>
      </c>
      <c r="CB635">
        <f>'T_TTAFStock'!BZ39</f>
        <v/>
      </c>
      <c r="CC635">
        <f>'T_TTAFStock'!CA39</f>
        <v/>
      </c>
      <c r="CD635">
        <f>'T_TTAFStock'!CB39</f>
        <v/>
      </c>
      <c r="CE635">
        <f>'T_TTAFStock'!CC39</f>
        <v/>
      </c>
      <c r="CF635">
        <f>'T_TTAFStock'!CD39</f>
        <v/>
      </c>
      <c r="CG635">
        <f>'T_TTAFStock'!CE39</f>
        <v/>
      </c>
      <c r="CH635">
        <f>'T_TTAFStock'!CF39</f>
        <v/>
      </c>
      <c r="CI635">
        <f>'T_TTAFStock'!CG39</f>
        <v/>
      </c>
      <c r="CJ635">
        <f>'T_TTAFStock'!CH39</f>
        <v/>
      </c>
      <c r="CK635">
        <f>'T_TTAFStock'!CI39</f>
        <v/>
      </c>
      <c r="CL635">
        <f>'T_TTAFStock'!CJ39</f>
        <v/>
      </c>
      <c r="CM635">
        <f>'T_TTAFStock'!CK39</f>
        <v/>
      </c>
      <c r="CN635">
        <f>'T_TTAFStock'!CL39</f>
        <v/>
      </c>
      <c r="CO635">
        <f>'T_TTAFStock'!CM39</f>
        <v/>
      </c>
      <c r="CP635">
        <f>'T_TTAFStock'!CN39</f>
        <v/>
      </c>
      <c r="CQ635">
        <f>'T_TTAFStock'!CO39</f>
        <v/>
      </c>
      <c r="CR635">
        <f>'T_TTAFStock'!CP39</f>
        <v/>
      </c>
      <c r="CS635">
        <f>'T_TTAFStock'!CQ39</f>
        <v/>
      </c>
      <c r="CT635">
        <f>'T_TTAFStock'!CR39</f>
        <v/>
      </c>
      <c r="CU635">
        <f>'T_TTAFStock'!CS39</f>
        <v/>
      </c>
      <c r="CV635">
        <f>'T_TTAFStock'!CT39</f>
        <v/>
      </c>
      <c r="CW635">
        <f>'T_TTAFStock'!CU39</f>
        <v/>
      </c>
      <c r="CX635">
        <f>'T_TTAFStock'!CV39</f>
        <v/>
      </c>
      <c r="CY635">
        <f>'T_TTAFStock'!CW39</f>
        <v/>
      </c>
      <c r="CZ635">
        <f>'T_TTAFStock'!CX39</f>
        <v/>
      </c>
      <c r="DA635">
        <f>'T_TTAFStock'!CY39</f>
        <v/>
      </c>
      <c r="DB635">
        <f>'T_TTAFStock'!CZ39</f>
        <v/>
      </c>
      <c r="DC635">
        <f>'T_TTAFStock'!DA39</f>
        <v/>
      </c>
    </row>
    <row r="636">
      <c r="B636" t="inlineStr">
        <is>
          <t>自社在庫(実績,kg)</t>
        </is>
      </c>
      <c r="D636">
        <f>'T_SelfStock'!B39</f>
        <v/>
      </c>
      <c r="E636">
        <f>'T_SelfStock'!C39</f>
        <v/>
      </c>
      <c r="F636">
        <f>'T_SelfStock'!D39</f>
        <v/>
      </c>
      <c r="G636">
        <f>'T_SelfStock'!E39</f>
        <v/>
      </c>
      <c r="H636">
        <f>'T_SelfStock'!F39</f>
        <v/>
      </c>
      <c r="I636">
        <f>'T_SelfStock'!G39</f>
        <v/>
      </c>
      <c r="J636">
        <f>'T_SelfStock'!H39</f>
        <v/>
      </c>
      <c r="K636">
        <f>'T_SelfStock'!I39</f>
        <v/>
      </c>
      <c r="L636">
        <f>'T_SelfStock'!J39</f>
        <v/>
      </c>
      <c r="M636">
        <f>'T_SelfStock'!K39</f>
        <v/>
      </c>
      <c r="N636">
        <f>'T_SelfStock'!L39</f>
        <v/>
      </c>
      <c r="O636">
        <f>'T_SelfStock'!M39</f>
        <v/>
      </c>
      <c r="P636">
        <f>'T_SelfStock'!N39</f>
        <v/>
      </c>
      <c r="Q636">
        <f>'T_SelfStock'!O39</f>
        <v/>
      </c>
      <c r="R636">
        <f>'T_SelfStock'!P39</f>
        <v/>
      </c>
      <c r="S636">
        <f>'T_SelfStock'!Q39</f>
        <v/>
      </c>
      <c r="T636">
        <f>'T_SelfStock'!R39</f>
        <v/>
      </c>
      <c r="U636">
        <f>'T_SelfStock'!S39</f>
        <v/>
      </c>
      <c r="V636">
        <f>'T_SelfStock'!T39</f>
        <v/>
      </c>
      <c r="W636">
        <f>'T_SelfStock'!U39</f>
        <v/>
      </c>
      <c r="X636">
        <f>'T_SelfStock'!V39</f>
        <v/>
      </c>
      <c r="Y636">
        <f>'T_SelfStock'!W39</f>
        <v/>
      </c>
      <c r="Z636">
        <f>'T_SelfStock'!X39</f>
        <v/>
      </c>
      <c r="AA636">
        <f>'T_SelfStock'!Y39</f>
        <v/>
      </c>
      <c r="AB636">
        <f>'T_SelfStock'!Z39</f>
        <v/>
      </c>
      <c r="AC636">
        <f>'T_SelfStock'!AA39</f>
        <v/>
      </c>
      <c r="AD636">
        <f>'T_SelfStock'!AB39</f>
        <v/>
      </c>
      <c r="AE636">
        <f>'T_SelfStock'!AC39</f>
        <v/>
      </c>
      <c r="AF636">
        <f>'T_SelfStock'!AD39</f>
        <v/>
      </c>
      <c r="AG636">
        <f>'T_SelfStock'!AE39</f>
        <v/>
      </c>
      <c r="AH636">
        <f>'T_SelfStock'!AF39</f>
        <v/>
      </c>
      <c r="AI636">
        <f>'T_SelfStock'!AG39</f>
        <v/>
      </c>
      <c r="AJ636">
        <f>'T_SelfStock'!AH39</f>
        <v/>
      </c>
      <c r="AK636">
        <f>'T_SelfStock'!AI39</f>
        <v/>
      </c>
      <c r="AL636">
        <f>'T_SelfStock'!AJ39</f>
        <v/>
      </c>
      <c r="AM636">
        <f>'T_SelfStock'!AK39</f>
        <v/>
      </c>
      <c r="AN636">
        <f>'T_SelfStock'!AL39</f>
        <v/>
      </c>
      <c r="AO636">
        <f>'T_SelfStock'!AM39</f>
        <v/>
      </c>
      <c r="AP636">
        <f>'T_SelfStock'!AN39</f>
        <v/>
      </c>
      <c r="AQ636">
        <f>'T_SelfStock'!AO39</f>
        <v/>
      </c>
      <c r="AR636">
        <f>'T_SelfStock'!AP39</f>
        <v/>
      </c>
      <c r="AS636">
        <f>'T_SelfStock'!AQ39</f>
        <v/>
      </c>
      <c r="AT636">
        <f>'T_SelfStock'!AR39</f>
        <v/>
      </c>
      <c r="AU636">
        <f>'T_SelfStock'!AS39</f>
        <v/>
      </c>
      <c r="AV636">
        <f>'T_SelfStock'!AT39</f>
        <v/>
      </c>
      <c r="AW636">
        <f>'T_SelfStock'!AU39</f>
        <v/>
      </c>
      <c r="AX636">
        <f>'T_SelfStock'!AV39</f>
        <v/>
      </c>
      <c r="AY636">
        <f>'T_SelfStock'!AW39</f>
        <v/>
      </c>
      <c r="AZ636">
        <f>'T_SelfStock'!AX39</f>
        <v/>
      </c>
      <c r="BA636">
        <f>'T_SelfStock'!AY39</f>
        <v/>
      </c>
      <c r="BB636">
        <f>'T_SelfStock'!AZ39</f>
        <v/>
      </c>
      <c r="BC636">
        <f>'T_SelfStock'!BA39</f>
        <v/>
      </c>
      <c r="BD636">
        <f>'T_SelfStock'!BB39</f>
        <v/>
      </c>
      <c r="BE636">
        <f>'T_SelfStock'!BC39</f>
        <v/>
      </c>
      <c r="BF636">
        <f>'T_SelfStock'!BD39</f>
        <v/>
      </c>
      <c r="BG636">
        <f>'T_SelfStock'!BE39</f>
        <v/>
      </c>
      <c r="BH636">
        <f>'T_SelfStock'!BF39</f>
        <v/>
      </c>
      <c r="BI636">
        <f>'T_SelfStock'!BG39</f>
        <v/>
      </c>
      <c r="BJ636">
        <f>'T_SelfStock'!BH39</f>
        <v/>
      </c>
      <c r="BK636">
        <f>'T_SelfStock'!BI39</f>
        <v/>
      </c>
      <c r="BL636">
        <f>'T_SelfStock'!BJ39</f>
        <v/>
      </c>
      <c r="BM636">
        <f>'T_SelfStock'!BK39</f>
        <v/>
      </c>
      <c r="BN636">
        <f>'T_SelfStock'!BL39</f>
        <v/>
      </c>
      <c r="BO636">
        <f>'T_SelfStock'!BM39</f>
        <v/>
      </c>
      <c r="BP636">
        <f>'T_SelfStock'!BN39</f>
        <v/>
      </c>
      <c r="BQ636">
        <f>'T_SelfStock'!BO39</f>
        <v/>
      </c>
      <c r="BR636">
        <f>'T_SelfStock'!BP39</f>
        <v/>
      </c>
      <c r="BS636">
        <f>'T_SelfStock'!BQ39</f>
        <v/>
      </c>
      <c r="BT636">
        <f>'T_SelfStock'!BR39</f>
        <v/>
      </c>
      <c r="BU636">
        <f>'T_SelfStock'!BS39</f>
        <v/>
      </c>
      <c r="BV636">
        <f>'T_SelfStock'!BT39</f>
        <v/>
      </c>
      <c r="BW636">
        <f>'T_SelfStock'!BU39</f>
        <v/>
      </c>
      <c r="BX636">
        <f>'T_SelfStock'!BV39</f>
        <v/>
      </c>
      <c r="BY636">
        <f>'T_SelfStock'!BW39</f>
        <v/>
      </c>
      <c r="BZ636">
        <f>'T_SelfStock'!BX39</f>
        <v/>
      </c>
      <c r="CA636">
        <f>'T_SelfStock'!BY39</f>
        <v/>
      </c>
      <c r="CB636">
        <f>'T_SelfStock'!BZ39</f>
        <v/>
      </c>
      <c r="CC636">
        <f>'T_SelfStock'!CA39</f>
        <v/>
      </c>
      <c r="CD636">
        <f>'T_SelfStock'!CB39</f>
        <v/>
      </c>
      <c r="CE636">
        <f>'T_SelfStock'!CC39</f>
        <v/>
      </c>
      <c r="CF636">
        <f>'T_SelfStock'!CD39</f>
        <v/>
      </c>
      <c r="CG636">
        <f>'T_SelfStock'!CE39</f>
        <v/>
      </c>
      <c r="CH636">
        <f>'T_SelfStock'!CF39</f>
        <v/>
      </c>
      <c r="CI636">
        <f>'T_SelfStock'!CG39</f>
        <v/>
      </c>
      <c r="CJ636">
        <f>'T_SelfStock'!CH39</f>
        <v/>
      </c>
      <c r="CK636">
        <f>'T_SelfStock'!CI39</f>
        <v/>
      </c>
      <c r="CL636">
        <f>'T_SelfStock'!CJ39</f>
        <v/>
      </c>
      <c r="CM636">
        <f>'T_SelfStock'!CK39</f>
        <v/>
      </c>
      <c r="CN636">
        <f>'T_SelfStock'!CL39</f>
        <v/>
      </c>
      <c r="CO636">
        <f>'T_SelfStock'!CM39</f>
        <v/>
      </c>
      <c r="CP636">
        <f>'T_SelfStock'!CN39</f>
        <v/>
      </c>
      <c r="CQ636">
        <f>'T_SelfStock'!CO39</f>
        <v/>
      </c>
      <c r="CR636">
        <f>'T_SelfStock'!CP39</f>
        <v/>
      </c>
      <c r="CS636">
        <f>'T_SelfStock'!CQ39</f>
        <v/>
      </c>
      <c r="CT636">
        <f>'T_SelfStock'!CR39</f>
        <v/>
      </c>
      <c r="CU636">
        <f>'T_SelfStock'!CS39</f>
        <v/>
      </c>
      <c r="CV636">
        <f>'T_SelfStock'!CT39</f>
        <v/>
      </c>
      <c r="CW636">
        <f>'T_SelfStock'!CU39</f>
        <v/>
      </c>
      <c r="CX636">
        <f>'T_SelfStock'!CV39</f>
        <v/>
      </c>
      <c r="CY636">
        <f>'T_SelfStock'!CW39</f>
        <v/>
      </c>
      <c r="CZ636">
        <f>'T_SelfStock'!CX39</f>
        <v/>
      </c>
      <c r="DA636">
        <f>'T_SelfStock'!CY39</f>
        <v/>
      </c>
      <c r="DB636">
        <f>'T_SelfStock'!CZ39</f>
        <v/>
      </c>
      <c r="DC636">
        <f>'T_SelfStock'!DA39</f>
        <v/>
      </c>
    </row>
    <row r="637">
      <c r="B637" t="inlineStr">
        <is>
          <t>Order(発注予定,kg)</t>
        </is>
      </c>
      <c r="D637">
        <f>IF(SUMIFS(T_PlannedOrders[EffectiveQty],T_PlannedOrders[Part Name],$A619,T_PlannedOrders[WeekIndex],1)=0,"",SUMIFS(T_PlannedOrders[EffectiveQty],T_PlannedOrders[Part Name],$A619,T_PlannedOrders[WeekIndex],1)&amp;" ("&amp;TEXT(SUMPRODUCT(MAX((T_PlannedOrders[Part Name]=$A619)*(T_PlannedOrders[WeekIndex]=1)*(T_PlannedOrders[EffectiveQty]&gt;0)*T_PlannedOrders[Order_Month])),"m月")&amp;"発注)")</f>
        <v/>
      </c>
      <c r="E637">
        <f>IF(SUMIFS(T_PlannedOrders[EffectiveQty],T_PlannedOrders[Part Name],$A619,T_PlannedOrders[WeekIndex],2)=0,"",SUMIFS(T_PlannedOrders[EffectiveQty],T_PlannedOrders[Part Name],$A619,T_PlannedOrders[WeekIndex],2)&amp;" ("&amp;TEXT(SUMPRODUCT(MAX((T_PlannedOrders[Part Name]=$A619)*(T_PlannedOrders[WeekIndex]=2)*(T_PlannedOrders[EffectiveQty]&gt;0)*T_PlannedOrders[Order_Month])),"m月")&amp;"発注)")</f>
        <v/>
      </c>
      <c r="F637">
        <f>IF(SUMIFS(T_PlannedOrders[EffectiveQty],T_PlannedOrders[Part Name],$A619,T_PlannedOrders[WeekIndex],3)=0,"",SUMIFS(T_PlannedOrders[EffectiveQty],T_PlannedOrders[Part Name],$A619,T_PlannedOrders[WeekIndex],3)&amp;" ("&amp;TEXT(SUMPRODUCT(MAX((T_PlannedOrders[Part Name]=$A619)*(T_PlannedOrders[WeekIndex]=3)*(T_PlannedOrders[EffectiveQty]&gt;0)*T_PlannedOrders[Order_Month])),"m月")&amp;"発注)")</f>
        <v/>
      </c>
      <c r="G637">
        <f>IF(SUMIFS(T_PlannedOrders[EffectiveQty],T_PlannedOrders[Part Name],$A619,T_PlannedOrders[WeekIndex],4)=0,"",SUMIFS(T_PlannedOrders[EffectiveQty],T_PlannedOrders[Part Name],$A619,T_PlannedOrders[WeekIndex],4)&amp;" ("&amp;TEXT(SUMPRODUCT(MAX((T_PlannedOrders[Part Name]=$A619)*(T_PlannedOrders[WeekIndex]=4)*(T_PlannedOrders[EffectiveQty]&gt;0)*T_PlannedOrders[Order_Month])),"m月")&amp;"発注)")</f>
        <v/>
      </c>
      <c r="H637">
        <f>IF(SUMIFS(T_PlannedOrders[EffectiveQty],T_PlannedOrders[Part Name],$A619,T_PlannedOrders[WeekIndex],5)=0,"",SUMIFS(T_PlannedOrders[EffectiveQty],T_PlannedOrders[Part Name],$A619,T_PlannedOrders[WeekIndex],5)&amp;" ("&amp;TEXT(SUMPRODUCT(MAX((T_PlannedOrders[Part Name]=$A619)*(T_PlannedOrders[WeekIndex]=5)*(T_PlannedOrders[EffectiveQty]&gt;0)*T_PlannedOrders[Order_Month])),"m月")&amp;"発注)")</f>
        <v/>
      </c>
      <c r="I637">
        <f>IF(SUMIFS(T_PlannedOrders[EffectiveQty],T_PlannedOrders[Part Name],$A619,T_PlannedOrders[WeekIndex],6)=0,"",SUMIFS(T_PlannedOrders[EffectiveQty],T_PlannedOrders[Part Name],$A619,T_PlannedOrders[WeekIndex],6)&amp;" ("&amp;TEXT(SUMPRODUCT(MAX((T_PlannedOrders[Part Name]=$A619)*(T_PlannedOrders[WeekIndex]=6)*(T_PlannedOrders[EffectiveQty]&gt;0)*T_PlannedOrders[Order_Month])),"m月")&amp;"発注)")</f>
        <v/>
      </c>
      <c r="J637">
        <f>IF(SUMIFS(T_PlannedOrders[EffectiveQty],T_PlannedOrders[Part Name],$A619,T_PlannedOrders[WeekIndex],7)=0,"",SUMIFS(T_PlannedOrders[EffectiveQty],T_PlannedOrders[Part Name],$A619,T_PlannedOrders[WeekIndex],7)&amp;" ("&amp;TEXT(SUMPRODUCT(MAX((T_PlannedOrders[Part Name]=$A619)*(T_PlannedOrders[WeekIndex]=7)*(T_PlannedOrders[EffectiveQty]&gt;0)*T_PlannedOrders[Order_Month])),"m月")&amp;"発注)")</f>
        <v/>
      </c>
      <c r="K637">
        <f>IF(SUMIFS(T_PlannedOrders[EffectiveQty],T_PlannedOrders[Part Name],$A619,T_PlannedOrders[WeekIndex],8)=0,"",SUMIFS(T_PlannedOrders[EffectiveQty],T_PlannedOrders[Part Name],$A619,T_PlannedOrders[WeekIndex],8)&amp;" ("&amp;TEXT(SUMPRODUCT(MAX((T_PlannedOrders[Part Name]=$A619)*(T_PlannedOrders[WeekIndex]=8)*(T_PlannedOrders[EffectiveQty]&gt;0)*T_PlannedOrders[Order_Month])),"m月")&amp;"発注)")</f>
        <v/>
      </c>
      <c r="L637">
        <f>IF(SUMIFS(T_PlannedOrders[EffectiveQty],T_PlannedOrders[Part Name],$A619,T_PlannedOrders[WeekIndex],9)=0,"",SUMIFS(T_PlannedOrders[EffectiveQty],T_PlannedOrders[Part Name],$A619,T_PlannedOrders[WeekIndex],9)&amp;" ("&amp;TEXT(SUMPRODUCT(MAX((T_PlannedOrders[Part Name]=$A619)*(T_PlannedOrders[WeekIndex]=9)*(T_PlannedOrders[EffectiveQty]&gt;0)*T_PlannedOrders[Order_Month])),"m月")&amp;"発注)")</f>
        <v/>
      </c>
      <c r="M637">
        <f>IF(SUMIFS(T_PlannedOrders[EffectiveQty],T_PlannedOrders[Part Name],$A619,T_PlannedOrders[WeekIndex],10)=0,"",SUMIFS(T_PlannedOrders[EffectiveQty],T_PlannedOrders[Part Name],$A619,T_PlannedOrders[WeekIndex],10)&amp;" ("&amp;TEXT(SUMPRODUCT(MAX((T_PlannedOrders[Part Name]=$A619)*(T_PlannedOrders[WeekIndex]=10)*(T_PlannedOrders[EffectiveQty]&gt;0)*T_PlannedOrders[Order_Month])),"m月")&amp;"発注)")</f>
        <v/>
      </c>
      <c r="N637">
        <f>IF(SUMIFS(T_PlannedOrders[EffectiveQty],T_PlannedOrders[Part Name],$A619,T_PlannedOrders[WeekIndex],11)=0,"",SUMIFS(T_PlannedOrders[EffectiveQty],T_PlannedOrders[Part Name],$A619,T_PlannedOrders[WeekIndex],11)&amp;" ("&amp;TEXT(SUMPRODUCT(MAX((T_PlannedOrders[Part Name]=$A619)*(T_PlannedOrders[WeekIndex]=11)*(T_PlannedOrders[EffectiveQty]&gt;0)*T_PlannedOrders[Order_Month])),"m月")&amp;"発注)")</f>
        <v/>
      </c>
      <c r="O637">
        <f>IF(SUMIFS(T_PlannedOrders[EffectiveQty],T_PlannedOrders[Part Name],$A619,T_PlannedOrders[WeekIndex],12)=0,"",SUMIFS(T_PlannedOrders[EffectiveQty],T_PlannedOrders[Part Name],$A619,T_PlannedOrders[WeekIndex],12)&amp;" ("&amp;TEXT(SUMPRODUCT(MAX((T_PlannedOrders[Part Name]=$A619)*(T_PlannedOrders[WeekIndex]=12)*(T_PlannedOrders[EffectiveQty]&gt;0)*T_PlannedOrders[Order_Month])),"m月")&amp;"発注)")</f>
        <v/>
      </c>
      <c r="P637">
        <f>IF(SUMIFS(T_PlannedOrders[EffectiveQty],T_PlannedOrders[Part Name],$A619,T_PlannedOrders[WeekIndex],13)=0,"",SUMIFS(T_PlannedOrders[EffectiveQty],T_PlannedOrders[Part Name],$A619,T_PlannedOrders[WeekIndex],13)&amp;" ("&amp;TEXT(SUMPRODUCT(MAX((T_PlannedOrders[Part Name]=$A619)*(T_PlannedOrders[WeekIndex]=13)*(T_PlannedOrders[EffectiveQty]&gt;0)*T_PlannedOrders[Order_Month])),"m月")&amp;"発注)")</f>
        <v/>
      </c>
      <c r="Q637">
        <f>IF(SUMIFS(T_PlannedOrders[EffectiveQty],T_PlannedOrders[Part Name],$A619,T_PlannedOrders[WeekIndex],14)=0,"",SUMIFS(T_PlannedOrders[EffectiveQty],T_PlannedOrders[Part Name],$A619,T_PlannedOrders[WeekIndex],14)&amp;" ("&amp;TEXT(SUMPRODUCT(MAX((T_PlannedOrders[Part Name]=$A619)*(T_PlannedOrders[WeekIndex]=14)*(T_PlannedOrders[EffectiveQty]&gt;0)*T_PlannedOrders[Order_Month])),"m月")&amp;"発注)")</f>
        <v/>
      </c>
      <c r="R637">
        <f>IF(SUMIFS(T_PlannedOrders[EffectiveQty],T_PlannedOrders[Part Name],$A619,T_PlannedOrders[WeekIndex],15)=0,"",SUMIFS(T_PlannedOrders[EffectiveQty],T_PlannedOrders[Part Name],$A619,T_PlannedOrders[WeekIndex],15)&amp;" ("&amp;TEXT(SUMPRODUCT(MAX((T_PlannedOrders[Part Name]=$A619)*(T_PlannedOrders[WeekIndex]=15)*(T_PlannedOrders[EffectiveQty]&gt;0)*T_PlannedOrders[Order_Month])),"m月")&amp;"発注)")</f>
        <v/>
      </c>
      <c r="S637">
        <f>IF(SUMIFS(T_PlannedOrders[EffectiveQty],T_PlannedOrders[Part Name],$A619,T_PlannedOrders[WeekIndex],16)=0,"",SUMIFS(T_PlannedOrders[EffectiveQty],T_PlannedOrders[Part Name],$A619,T_PlannedOrders[WeekIndex],16)&amp;" ("&amp;TEXT(SUMPRODUCT(MAX((T_PlannedOrders[Part Name]=$A619)*(T_PlannedOrders[WeekIndex]=16)*(T_PlannedOrders[EffectiveQty]&gt;0)*T_PlannedOrders[Order_Month])),"m月")&amp;"発注)")</f>
        <v/>
      </c>
      <c r="T637">
        <f>IF(SUMIFS(T_PlannedOrders[EffectiveQty],T_PlannedOrders[Part Name],$A619,T_PlannedOrders[WeekIndex],17)=0,"",SUMIFS(T_PlannedOrders[EffectiveQty],T_PlannedOrders[Part Name],$A619,T_PlannedOrders[WeekIndex],17)&amp;" ("&amp;TEXT(SUMPRODUCT(MAX((T_PlannedOrders[Part Name]=$A619)*(T_PlannedOrders[WeekIndex]=17)*(T_PlannedOrders[EffectiveQty]&gt;0)*T_PlannedOrders[Order_Month])),"m月")&amp;"発注)")</f>
        <v/>
      </c>
      <c r="U637">
        <f>IF(SUMIFS(T_PlannedOrders[EffectiveQty],T_PlannedOrders[Part Name],$A619,T_PlannedOrders[WeekIndex],18)=0,"",SUMIFS(T_PlannedOrders[EffectiveQty],T_PlannedOrders[Part Name],$A619,T_PlannedOrders[WeekIndex],18)&amp;" ("&amp;TEXT(SUMPRODUCT(MAX((T_PlannedOrders[Part Name]=$A619)*(T_PlannedOrders[WeekIndex]=18)*(T_PlannedOrders[EffectiveQty]&gt;0)*T_PlannedOrders[Order_Month])),"m月")&amp;"発注)")</f>
        <v/>
      </c>
      <c r="V637">
        <f>IF(SUMIFS(T_PlannedOrders[EffectiveQty],T_PlannedOrders[Part Name],$A619,T_PlannedOrders[WeekIndex],19)=0,"",SUMIFS(T_PlannedOrders[EffectiveQty],T_PlannedOrders[Part Name],$A619,T_PlannedOrders[WeekIndex],19)&amp;" ("&amp;TEXT(SUMPRODUCT(MAX((T_PlannedOrders[Part Name]=$A619)*(T_PlannedOrders[WeekIndex]=19)*(T_PlannedOrders[EffectiveQty]&gt;0)*T_PlannedOrders[Order_Month])),"m月")&amp;"発注)")</f>
        <v/>
      </c>
      <c r="W637">
        <f>IF(SUMIFS(T_PlannedOrders[EffectiveQty],T_PlannedOrders[Part Name],$A619,T_PlannedOrders[WeekIndex],20)=0,"",SUMIFS(T_PlannedOrders[EffectiveQty],T_PlannedOrders[Part Name],$A619,T_PlannedOrders[WeekIndex],20)&amp;" ("&amp;TEXT(SUMPRODUCT(MAX((T_PlannedOrders[Part Name]=$A619)*(T_PlannedOrders[WeekIndex]=20)*(T_PlannedOrders[EffectiveQty]&gt;0)*T_PlannedOrders[Order_Month])),"m月")&amp;"発注)")</f>
        <v/>
      </c>
      <c r="X637">
        <f>IF(SUMIFS(T_PlannedOrders[EffectiveQty],T_PlannedOrders[Part Name],$A619,T_PlannedOrders[WeekIndex],21)=0,"",SUMIFS(T_PlannedOrders[EffectiveQty],T_PlannedOrders[Part Name],$A619,T_PlannedOrders[WeekIndex],21)&amp;" ("&amp;TEXT(SUMPRODUCT(MAX((T_PlannedOrders[Part Name]=$A619)*(T_PlannedOrders[WeekIndex]=21)*(T_PlannedOrders[EffectiveQty]&gt;0)*T_PlannedOrders[Order_Month])),"m月")&amp;"発注)")</f>
        <v/>
      </c>
      <c r="Y637">
        <f>IF(SUMIFS(T_PlannedOrders[EffectiveQty],T_PlannedOrders[Part Name],$A619,T_PlannedOrders[WeekIndex],22)=0,"",SUMIFS(T_PlannedOrders[EffectiveQty],T_PlannedOrders[Part Name],$A619,T_PlannedOrders[WeekIndex],22)&amp;" ("&amp;TEXT(SUMPRODUCT(MAX((T_PlannedOrders[Part Name]=$A619)*(T_PlannedOrders[WeekIndex]=22)*(T_PlannedOrders[EffectiveQty]&gt;0)*T_PlannedOrders[Order_Month])),"m月")&amp;"発注)")</f>
        <v/>
      </c>
      <c r="Z637">
        <f>IF(SUMIFS(T_PlannedOrders[EffectiveQty],T_PlannedOrders[Part Name],$A619,T_PlannedOrders[WeekIndex],23)=0,"",SUMIFS(T_PlannedOrders[EffectiveQty],T_PlannedOrders[Part Name],$A619,T_PlannedOrders[WeekIndex],23)&amp;" ("&amp;TEXT(SUMPRODUCT(MAX((T_PlannedOrders[Part Name]=$A619)*(T_PlannedOrders[WeekIndex]=23)*(T_PlannedOrders[EffectiveQty]&gt;0)*T_PlannedOrders[Order_Month])),"m月")&amp;"発注)")</f>
        <v/>
      </c>
      <c r="AA637">
        <f>IF(SUMIFS(T_PlannedOrders[EffectiveQty],T_PlannedOrders[Part Name],$A619,T_PlannedOrders[WeekIndex],24)=0,"",SUMIFS(T_PlannedOrders[EffectiveQty],T_PlannedOrders[Part Name],$A619,T_PlannedOrders[WeekIndex],24)&amp;" ("&amp;TEXT(SUMPRODUCT(MAX((T_PlannedOrders[Part Name]=$A619)*(T_PlannedOrders[WeekIndex]=24)*(T_PlannedOrders[EffectiveQty]&gt;0)*T_PlannedOrders[Order_Month])),"m月")&amp;"発注)")</f>
        <v/>
      </c>
      <c r="AB637">
        <f>IF(SUMIFS(T_PlannedOrders[EffectiveQty],T_PlannedOrders[Part Name],$A619,T_PlannedOrders[WeekIndex],25)=0,"",SUMIFS(T_PlannedOrders[EffectiveQty],T_PlannedOrders[Part Name],$A619,T_PlannedOrders[WeekIndex],25)&amp;" ("&amp;TEXT(SUMPRODUCT(MAX((T_PlannedOrders[Part Name]=$A619)*(T_PlannedOrders[WeekIndex]=25)*(T_PlannedOrders[EffectiveQty]&gt;0)*T_PlannedOrders[Order_Month])),"m月")&amp;"発注)")</f>
        <v/>
      </c>
      <c r="AC637">
        <f>IF(SUMIFS(T_PlannedOrders[EffectiveQty],T_PlannedOrders[Part Name],$A619,T_PlannedOrders[WeekIndex],26)=0,"",SUMIFS(T_PlannedOrders[EffectiveQty],T_PlannedOrders[Part Name],$A619,T_PlannedOrders[WeekIndex],26)&amp;" ("&amp;TEXT(SUMPRODUCT(MAX((T_PlannedOrders[Part Name]=$A619)*(T_PlannedOrders[WeekIndex]=26)*(T_PlannedOrders[EffectiveQty]&gt;0)*T_PlannedOrders[Order_Month])),"m月")&amp;"発注)")</f>
        <v/>
      </c>
      <c r="AD637">
        <f>IF(SUMIFS(T_PlannedOrders[EffectiveQty],T_PlannedOrders[Part Name],$A619,T_PlannedOrders[WeekIndex],27)=0,"",SUMIFS(T_PlannedOrders[EffectiveQty],T_PlannedOrders[Part Name],$A619,T_PlannedOrders[WeekIndex],27)&amp;" ("&amp;TEXT(SUMPRODUCT(MAX((T_PlannedOrders[Part Name]=$A619)*(T_PlannedOrders[WeekIndex]=27)*(T_PlannedOrders[EffectiveQty]&gt;0)*T_PlannedOrders[Order_Month])),"m月")&amp;"発注)")</f>
        <v/>
      </c>
      <c r="AE637">
        <f>IF(SUMIFS(T_PlannedOrders[EffectiveQty],T_PlannedOrders[Part Name],$A619,T_PlannedOrders[WeekIndex],28)=0,"",SUMIFS(T_PlannedOrders[EffectiveQty],T_PlannedOrders[Part Name],$A619,T_PlannedOrders[WeekIndex],28)&amp;" ("&amp;TEXT(SUMPRODUCT(MAX((T_PlannedOrders[Part Name]=$A619)*(T_PlannedOrders[WeekIndex]=28)*(T_PlannedOrders[EffectiveQty]&gt;0)*T_PlannedOrders[Order_Month])),"m月")&amp;"発注)")</f>
        <v/>
      </c>
      <c r="AF637">
        <f>IF(SUMIFS(T_PlannedOrders[EffectiveQty],T_PlannedOrders[Part Name],$A619,T_PlannedOrders[WeekIndex],29)=0,"",SUMIFS(T_PlannedOrders[EffectiveQty],T_PlannedOrders[Part Name],$A619,T_PlannedOrders[WeekIndex],29)&amp;" ("&amp;TEXT(SUMPRODUCT(MAX((T_PlannedOrders[Part Name]=$A619)*(T_PlannedOrders[WeekIndex]=29)*(T_PlannedOrders[EffectiveQty]&gt;0)*T_PlannedOrders[Order_Month])),"m月")&amp;"発注)")</f>
        <v/>
      </c>
      <c r="AG637">
        <f>IF(SUMIFS(T_PlannedOrders[EffectiveQty],T_PlannedOrders[Part Name],$A619,T_PlannedOrders[WeekIndex],30)=0,"",SUMIFS(T_PlannedOrders[EffectiveQty],T_PlannedOrders[Part Name],$A619,T_PlannedOrders[WeekIndex],30)&amp;" ("&amp;TEXT(SUMPRODUCT(MAX((T_PlannedOrders[Part Name]=$A619)*(T_PlannedOrders[WeekIndex]=30)*(T_PlannedOrders[EffectiveQty]&gt;0)*T_PlannedOrders[Order_Month])),"m月")&amp;"発注)")</f>
        <v/>
      </c>
      <c r="AH637">
        <f>IF(SUMIFS(T_PlannedOrders[EffectiveQty],T_PlannedOrders[Part Name],$A619,T_PlannedOrders[WeekIndex],31)=0,"",SUMIFS(T_PlannedOrders[EffectiveQty],T_PlannedOrders[Part Name],$A619,T_PlannedOrders[WeekIndex],31)&amp;" ("&amp;TEXT(SUMPRODUCT(MAX((T_PlannedOrders[Part Name]=$A619)*(T_PlannedOrders[WeekIndex]=31)*(T_PlannedOrders[EffectiveQty]&gt;0)*T_PlannedOrders[Order_Month])),"m月")&amp;"発注)")</f>
        <v/>
      </c>
      <c r="AI637">
        <f>IF(SUMIFS(T_PlannedOrders[EffectiveQty],T_PlannedOrders[Part Name],$A619,T_PlannedOrders[WeekIndex],32)=0,"",SUMIFS(T_PlannedOrders[EffectiveQty],T_PlannedOrders[Part Name],$A619,T_PlannedOrders[WeekIndex],32)&amp;" ("&amp;TEXT(SUMPRODUCT(MAX((T_PlannedOrders[Part Name]=$A619)*(T_PlannedOrders[WeekIndex]=32)*(T_PlannedOrders[EffectiveQty]&gt;0)*T_PlannedOrders[Order_Month])),"m月")&amp;"発注)")</f>
        <v/>
      </c>
      <c r="AJ637">
        <f>IF(SUMIFS(T_PlannedOrders[EffectiveQty],T_PlannedOrders[Part Name],$A619,T_PlannedOrders[WeekIndex],33)=0,"",SUMIFS(T_PlannedOrders[EffectiveQty],T_PlannedOrders[Part Name],$A619,T_PlannedOrders[WeekIndex],33)&amp;" ("&amp;TEXT(SUMPRODUCT(MAX((T_PlannedOrders[Part Name]=$A619)*(T_PlannedOrders[WeekIndex]=33)*(T_PlannedOrders[EffectiveQty]&gt;0)*T_PlannedOrders[Order_Month])),"m月")&amp;"発注)")</f>
        <v/>
      </c>
      <c r="AK637">
        <f>IF(SUMIFS(T_PlannedOrders[EffectiveQty],T_PlannedOrders[Part Name],$A619,T_PlannedOrders[WeekIndex],34)=0,"",SUMIFS(T_PlannedOrders[EffectiveQty],T_PlannedOrders[Part Name],$A619,T_PlannedOrders[WeekIndex],34)&amp;" ("&amp;TEXT(SUMPRODUCT(MAX((T_PlannedOrders[Part Name]=$A619)*(T_PlannedOrders[WeekIndex]=34)*(T_PlannedOrders[EffectiveQty]&gt;0)*T_PlannedOrders[Order_Month])),"m月")&amp;"発注)")</f>
        <v/>
      </c>
      <c r="AL637">
        <f>IF(SUMIFS(T_PlannedOrders[EffectiveQty],T_PlannedOrders[Part Name],$A619,T_PlannedOrders[WeekIndex],35)=0,"",SUMIFS(T_PlannedOrders[EffectiveQty],T_PlannedOrders[Part Name],$A619,T_PlannedOrders[WeekIndex],35)&amp;" ("&amp;TEXT(SUMPRODUCT(MAX((T_PlannedOrders[Part Name]=$A619)*(T_PlannedOrders[WeekIndex]=35)*(T_PlannedOrders[EffectiveQty]&gt;0)*T_PlannedOrders[Order_Month])),"m月")&amp;"発注)")</f>
        <v/>
      </c>
      <c r="AM637">
        <f>IF(SUMIFS(T_PlannedOrders[EffectiveQty],T_PlannedOrders[Part Name],$A619,T_PlannedOrders[WeekIndex],36)=0,"",SUMIFS(T_PlannedOrders[EffectiveQty],T_PlannedOrders[Part Name],$A619,T_PlannedOrders[WeekIndex],36)&amp;" ("&amp;TEXT(SUMPRODUCT(MAX((T_PlannedOrders[Part Name]=$A619)*(T_PlannedOrders[WeekIndex]=36)*(T_PlannedOrders[EffectiveQty]&gt;0)*T_PlannedOrders[Order_Month])),"m月")&amp;"発注)")</f>
        <v/>
      </c>
      <c r="AN637">
        <f>IF(SUMIFS(T_PlannedOrders[EffectiveQty],T_PlannedOrders[Part Name],$A619,T_PlannedOrders[WeekIndex],37)=0,"",SUMIFS(T_PlannedOrders[EffectiveQty],T_PlannedOrders[Part Name],$A619,T_PlannedOrders[WeekIndex],37)&amp;" ("&amp;TEXT(SUMPRODUCT(MAX((T_PlannedOrders[Part Name]=$A619)*(T_PlannedOrders[WeekIndex]=37)*(T_PlannedOrders[EffectiveQty]&gt;0)*T_PlannedOrders[Order_Month])),"m月")&amp;"発注)")</f>
        <v/>
      </c>
      <c r="AO637">
        <f>IF(SUMIFS(T_PlannedOrders[EffectiveQty],T_PlannedOrders[Part Name],$A619,T_PlannedOrders[WeekIndex],38)=0,"",SUMIFS(T_PlannedOrders[EffectiveQty],T_PlannedOrders[Part Name],$A619,T_PlannedOrders[WeekIndex],38)&amp;" ("&amp;TEXT(SUMPRODUCT(MAX((T_PlannedOrders[Part Name]=$A619)*(T_PlannedOrders[WeekIndex]=38)*(T_PlannedOrders[EffectiveQty]&gt;0)*T_PlannedOrders[Order_Month])),"m月")&amp;"発注)")</f>
        <v/>
      </c>
      <c r="AP637">
        <f>IF(SUMIFS(T_PlannedOrders[EffectiveQty],T_PlannedOrders[Part Name],$A619,T_PlannedOrders[WeekIndex],39)=0,"",SUMIFS(T_PlannedOrders[EffectiveQty],T_PlannedOrders[Part Name],$A619,T_PlannedOrders[WeekIndex],39)&amp;" ("&amp;TEXT(SUMPRODUCT(MAX((T_PlannedOrders[Part Name]=$A619)*(T_PlannedOrders[WeekIndex]=39)*(T_PlannedOrders[EffectiveQty]&gt;0)*T_PlannedOrders[Order_Month])),"m月")&amp;"発注)")</f>
        <v/>
      </c>
      <c r="AQ637">
        <f>IF(SUMIFS(T_PlannedOrders[EffectiveQty],T_PlannedOrders[Part Name],$A619,T_PlannedOrders[WeekIndex],40)=0,"",SUMIFS(T_PlannedOrders[EffectiveQty],T_PlannedOrders[Part Name],$A619,T_PlannedOrders[WeekIndex],40)&amp;" ("&amp;TEXT(SUMPRODUCT(MAX((T_PlannedOrders[Part Name]=$A619)*(T_PlannedOrders[WeekIndex]=40)*(T_PlannedOrders[EffectiveQty]&gt;0)*T_PlannedOrders[Order_Month])),"m月")&amp;"発注)")</f>
        <v/>
      </c>
      <c r="AR637">
        <f>IF(SUMIFS(T_PlannedOrders[EffectiveQty],T_PlannedOrders[Part Name],$A619,T_PlannedOrders[WeekIndex],41)=0,"",SUMIFS(T_PlannedOrders[EffectiveQty],T_PlannedOrders[Part Name],$A619,T_PlannedOrders[WeekIndex],41)&amp;" ("&amp;TEXT(SUMPRODUCT(MAX((T_PlannedOrders[Part Name]=$A619)*(T_PlannedOrders[WeekIndex]=41)*(T_PlannedOrders[EffectiveQty]&gt;0)*T_PlannedOrders[Order_Month])),"m月")&amp;"発注)")</f>
        <v/>
      </c>
      <c r="AS637">
        <f>IF(SUMIFS(T_PlannedOrders[EffectiveQty],T_PlannedOrders[Part Name],$A619,T_PlannedOrders[WeekIndex],42)=0,"",SUMIFS(T_PlannedOrders[EffectiveQty],T_PlannedOrders[Part Name],$A619,T_PlannedOrders[WeekIndex],42)&amp;" ("&amp;TEXT(SUMPRODUCT(MAX((T_PlannedOrders[Part Name]=$A619)*(T_PlannedOrders[WeekIndex]=42)*(T_PlannedOrders[EffectiveQty]&gt;0)*T_PlannedOrders[Order_Month])),"m月")&amp;"発注)")</f>
        <v/>
      </c>
      <c r="AT637">
        <f>IF(SUMIFS(T_PlannedOrders[EffectiveQty],T_PlannedOrders[Part Name],$A619,T_PlannedOrders[WeekIndex],43)=0,"",SUMIFS(T_PlannedOrders[EffectiveQty],T_PlannedOrders[Part Name],$A619,T_PlannedOrders[WeekIndex],43)&amp;" ("&amp;TEXT(SUMPRODUCT(MAX((T_PlannedOrders[Part Name]=$A619)*(T_PlannedOrders[WeekIndex]=43)*(T_PlannedOrders[EffectiveQty]&gt;0)*T_PlannedOrders[Order_Month])),"m月")&amp;"発注)")</f>
        <v/>
      </c>
      <c r="AU637">
        <f>IF(SUMIFS(T_PlannedOrders[EffectiveQty],T_PlannedOrders[Part Name],$A619,T_PlannedOrders[WeekIndex],44)=0,"",SUMIFS(T_PlannedOrders[EffectiveQty],T_PlannedOrders[Part Name],$A619,T_PlannedOrders[WeekIndex],44)&amp;" ("&amp;TEXT(SUMPRODUCT(MAX((T_PlannedOrders[Part Name]=$A619)*(T_PlannedOrders[WeekIndex]=44)*(T_PlannedOrders[EffectiveQty]&gt;0)*T_PlannedOrders[Order_Month])),"m月")&amp;"発注)")</f>
        <v/>
      </c>
      <c r="AV637">
        <f>IF(SUMIFS(T_PlannedOrders[EffectiveQty],T_PlannedOrders[Part Name],$A619,T_PlannedOrders[WeekIndex],45)=0,"",SUMIFS(T_PlannedOrders[EffectiveQty],T_PlannedOrders[Part Name],$A619,T_PlannedOrders[WeekIndex],45)&amp;" ("&amp;TEXT(SUMPRODUCT(MAX((T_PlannedOrders[Part Name]=$A619)*(T_PlannedOrders[WeekIndex]=45)*(T_PlannedOrders[EffectiveQty]&gt;0)*T_PlannedOrders[Order_Month])),"m月")&amp;"発注)")</f>
        <v/>
      </c>
      <c r="AW637">
        <f>IF(SUMIFS(T_PlannedOrders[EffectiveQty],T_PlannedOrders[Part Name],$A619,T_PlannedOrders[WeekIndex],46)=0,"",SUMIFS(T_PlannedOrders[EffectiveQty],T_PlannedOrders[Part Name],$A619,T_PlannedOrders[WeekIndex],46)&amp;" ("&amp;TEXT(SUMPRODUCT(MAX((T_PlannedOrders[Part Name]=$A619)*(T_PlannedOrders[WeekIndex]=46)*(T_PlannedOrders[EffectiveQty]&gt;0)*T_PlannedOrders[Order_Month])),"m月")&amp;"発注)")</f>
        <v/>
      </c>
      <c r="AX637">
        <f>IF(SUMIFS(T_PlannedOrders[EffectiveQty],T_PlannedOrders[Part Name],$A619,T_PlannedOrders[WeekIndex],47)=0,"",SUMIFS(T_PlannedOrders[EffectiveQty],T_PlannedOrders[Part Name],$A619,T_PlannedOrders[WeekIndex],47)&amp;" ("&amp;TEXT(SUMPRODUCT(MAX((T_PlannedOrders[Part Name]=$A619)*(T_PlannedOrders[WeekIndex]=47)*(T_PlannedOrders[EffectiveQty]&gt;0)*T_PlannedOrders[Order_Month])),"m月")&amp;"発注)")</f>
        <v/>
      </c>
      <c r="AY637">
        <f>IF(SUMIFS(T_PlannedOrders[EffectiveQty],T_PlannedOrders[Part Name],$A619,T_PlannedOrders[WeekIndex],48)=0,"",SUMIFS(T_PlannedOrders[EffectiveQty],T_PlannedOrders[Part Name],$A619,T_PlannedOrders[WeekIndex],48)&amp;" ("&amp;TEXT(SUMPRODUCT(MAX((T_PlannedOrders[Part Name]=$A619)*(T_PlannedOrders[WeekIndex]=48)*(T_PlannedOrders[EffectiveQty]&gt;0)*T_PlannedOrders[Order_Month])),"m月")&amp;"発注)")</f>
        <v/>
      </c>
      <c r="AZ637">
        <f>IF(SUMIFS(T_PlannedOrders[EffectiveQty],T_PlannedOrders[Part Name],$A619,T_PlannedOrders[WeekIndex],49)=0,"",SUMIFS(T_PlannedOrders[EffectiveQty],T_PlannedOrders[Part Name],$A619,T_PlannedOrders[WeekIndex],49)&amp;" ("&amp;TEXT(SUMPRODUCT(MAX((T_PlannedOrders[Part Name]=$A619)*(T_PlannedOrders[WeekIndex]=49)*(T_PlannedOrders[EffectiveQty]&gt;0)*T_PlannedOrders[Order_Month])),"m月")&amp;"発注)")</f>
        <v/>
      </c>
      <c r="BA637">
        <f>IF(SUMIFS(T_PlannedOrders[EffectiveQty],T_PlannedOrders[Part Name],$A619,T_PlannedOrders[WeekIndex],50)=0,"",SUMIFS(T_PlannedOrders[EffectiveQty],T_PlannedOrders[Part Name],$A619,T_PlannedOrders[WeekIndex],50)&amp;" ("&amp;TEXT(SUMPRODUCT(MAX((T_PlannedOrders[Part Name]=$A619)*(T_PlannedOrders[WeekIndex]=50)*(T_PlannedOrders[EffectiveQty]&gt;0)*T_PlannedOrders[Order_Month])),"m月")&amp;"発注)")</f>
        <v/>
      </c>
      <c r="BB637">
        <f>IF(SUMIFS(T_PlannedOrders[EffectiveQty],T_PlannedOrders[Part Name],$A619,T_PlannedOrders[WeekIndex],51)=0,"",SUMIFS(T_PlannedOrders[EffectiveQty],T_PlannedOrders[Part Name],$A619,T_PlannedOrders[WeekIndex],51)&amp;" ("&amp;TEXT(SUMPRODUCT(MAX((T_PlannedOrders[Part Name]=$A619)*(T_PlannedOrders[WeekIndex]=51)*(T_PlannedOrders[EffectiveQty]&gt;0)*T_PlannedOrders[Order_Month])),"m月")&amp;"発注)")</f>
        <v/>
      </c>
      <c r="BC637">
        <f>IF(SUMIFS(T_PlannedOrders[EffectiveQty],T_PlannedOrders[Part Name],$A619,T_PlannedOrders[WeekIndex],52)=0,"",SUMIFS(T_PlannedOrders[EffectiveQty],T_PlannedOrders[Part Name],$A619,T_PlannedOrders[WeekIndex],52)&amp;" ("&amp;TEXT(SUMPRODUCT(MAX((T_PlannedOrders[Part Name]=$A619)*(T_PlannedOrders[WeekIndex]=52)*(T_PlannedOrders[EffectiveQty]&gt;0)*T_PlannedOrders[Order_Month])),"m月")&amp;"発注)")</f>
        <v/>
      </c>
      <c r="BD637">
        <f>IF(SUMIFS(T_PlannedOrders[EffectiveQty],T_PlannedOrders[Part Name],$A619,T_PlannedOrders[WeekIndex],53)=0,"",SUMIFS(T_PlannedOrders[EffectiveQty],T_PlannedOrders[Part Name],$A619,T_PlannedOrders[WeekIndex],53)&amp;" ("&amp;TEXT(SUMPRODUCT(MAX((T_PlannedOrders[Part Name]=$A619)*(T_PlannedOrders[WeekIndex]=53)*(T_PlannedOrders[EffectiveQty]&gt;0)*T_PlannedOrders[Order_Month])),"m月")&amp;"発注)")</f>
        <v/>
      </c>
      <c r="BE637">
        <f>IF(SUMIFS(T_PlannedOrders[EffectiveQty],T_PlannedOrders[Part Name],$A619,T_PlannedOrders[WeekIndex],54)=0,"",SUMIFS(T_PlannedOrders[EffectiveQty],T_PlannedOrders[Part Name],$A619,T_PlannedOrders[WeekIndex],54)&amp;" ("&amp;TEXT(SUMPRODUCT(MAX((T_PlannedOrders[Part Name]=$A619)*(T_PlannedOrders[WeekIndex]=54)*(T_PlannedOrders[EffectiveQty]&gt;0)*T_PlannedOrders[Order_Month])),"m月")&amp;"発注)")</f>
        <v/>
      </c>
      <c r="BF637">
        <f>IF(SUMIFS(T_PlannedOrders[EffectiveQty],T_PlannedOrders[Part Name],$A619,T_PlannedOrders[WeekIndex],55)=0,"",SUMIFS(T_PlannedOrders[EffectiveQty],T_PlannedOrders[Part Name],$A619,T_PlannedOrders[WeekIndex],55)&amp;" ("&amp;TEXT(SUMPRODUCT(MAX((T_PlannedOrders[Part Name]=$A619)*(T_PlannedOrders[WeekIndex]=55)*(T_PlannedOrders[EffectiveQty]&gt;0)*T_PlannedOrders[Order_Month])),"m月")&amp;"発注)")</f>
        <v/>
      </c>
      <c r="BG637">
        <f>IF(SUMIFS(T_PlannedOrders[EffectiveQty],T_PlannedOrders[Part Name],$A619,T_PlannedOrders[WeekIndex],56)=0,"",SUMIFS(T_PlannedOrders[EffectiveQty],T_PlannedOrders[Part Name],$A619,T_PlannedOrders[WeekIndex],56)&amp;" ("&amp;TEXT(SUMPRODUCT(MAX((T_PlannedOrders[Part Name]=$A619)*(T_PlannedOrders[WeekIndex]=56)*(T_PlannedOrders[EffectiveQty]&gt;0)*T_PlannedOrders[Order_Month])),"m月")&amp;"発注)")</f>
        <v/>
      </c>
      <c r="BH637">
        <f>IF(SUMIFS(T_PlannedOrders[EffectiveQty],T_PlannedOrders[Part Name],$A619,T_PlannedOrders[WeekIndex],57)=0,"",SUMIFS(T_PlannedOrders[EffectiveQty],T_PlannedOrders[Part Name],$A619,T_PlannedOrders[WeekIndex],57)&amp;" ("&amp;TEXT(SUMPRODUCT(MAX((T_PlannedOrders[Part Name]=$A619)*(T_PlannedOrders[WeekIndex]=57)*(T_PlannedOrders[EffectiveQty]&gt;0)*T_PlannedOrders[Order_Month])),"m月")&amp;"発注)")</f>
        <v/>
      </c>
      <c r="BI637">
        <f>IF(SUMIFS(T_PlannedOrders[EffectiveQty],T_PlannedOrders[Part Name],$A619,T_PlannedOrders[WeekIndex],58)=0,"",SUMIFS(T_PlannedOrders[EffectiveQty],T_PlannedOrders[Part Name],$A619,T_PlannedOrders[WeekIndex],58)&amp;" ("&amp;TEXT(SUMPRODUCT(MAX((T_PlannedOrders[Part Name]=$A619)*(T_PlannedOrders[WeekIndex]=58)*(T_PlannedOrders[EffectiveQty]&gt;0)*T_PlannedOrders[Order_Month])),"m月")&amp;"発注)")</f>
        <v/>
      </c>
      <c r="BJ637">
        <f>IF(SUMIFS(T_PlannedOrders[EffectiveQty],T_PlannedOrders[Part Name],$A619,T_PlannedOrders[WeekIndex],59)=0,"",SUMIFS(T_PlannedOrders[EffectiveQty],T_PlannedOrders[Part Name],$A619,T_PlannedOrders[WeekIndex],59)&amp;" ("&amp;TEXT(SUMPRODUCT(MAX((T_PlannedOrders[Part Name]=$A619)*(T_PlannedOrders[WeekIndex]=59)*(T_PlannedOrders[EffectiveQty]&gt;0)*T_PlannedOrders[Order_Month])),"m月")&amp;"発注)")</f>
        <v/>
      </c>
      <c r="BK637">
        <f>IF(SUMIFS(T_PlannedOrders[EffectiveQty],T_PlannedOrders[Part Name],$A619,T_PlannedOrders[WeekIndex],60)=0,"",SUMIFS(T_PlannedOrders[EffectiveQty],T_PlannedOrders[Part Name],$A619,T_PlannedOrders[WeekIndex],60)&amp;" ("&amp;TEXT(SUMPRODUCT(MAX((T_PlannedOrders[Part Name]=$A619)*(T_PlannedOrders[WeekIndex]=60)*(T_PlannedOrders[EffectiveQty]&gt;0)*T_PlannedOrders[Order_Month])),"m月")&amp;"発注)")</f>
        <v/>
      </c>
      <c r="BL637">
        <f>IF(SUMIFS(T_PlannedOrders[EffectiveQty],T_PlannedOrders[Part Name],$A619,T_PlannedOrders[WeekIndex],61)=0,"",SUMIFS(T_PlannedOrders[EffectiveQty],T_PlannedOrders[Part Name],$A619,T_PlannedOrders[WeekIndex],61)&amp;" ("&amp;TEXT(SUMPRODUCT(MAX((T_PlannedOrders[Part Name]=$A619)*(T_PlannedOrders[WeekIndex]=61)*(T_PlannedOrders[EffectiveQty]&gt;0)*T_PlannedOrders[Order_Month])),"m月")&amp;"発注)")</f>
        <v/>
      </c>
      <c r="BM637">
        <f>IF(SUMIFS(T_PlannedOrders[EffectiveQty],T_PlannedOrders[Part Name],$A619,T_PlannedOrders[WeekIndex],62)=0,"",SUMIFS(T_PlannedOrders[EffectiveQty],T_PlannedOrders[Part Name],$A619,T_PlannedOrders[WeekIndex],62)&amp;" ("&amp;TEXT(SUMPRODUCT(MAX((T_PlannedOrders[Part Name]=$A619)*(T_PlannedOrders[WeekIndex]=62)*(T_PlannedOrders[EffectiveQty]&gt;0)*T_PlannedOrders[Order_Month])),"m月")&amp;"発注)")</f>
        <v/>
      </c>
      <c r="BN637">
        <f>IF(SUMIFS(T_PlannedOrders[EffectiveQty],T_PlannedOrders[Part Name],$A619,T_PlannedOrders[WeekIndex],63)=0,"",SUMIFS(T_PlannedOrders[EffectiveQty],T_PlannedOrders[Part Name],$A619,T_PlannedOrders[WeekIndex],63)&amp;" ("&amp;TEXT(SUMPRODUCT(MAX((T_PlannedOrders[Part Name]=$A619)*(T_PlannedOrders[WeekIndex]=63)*(T_PlannedOrders[EffectiveQty]&gt;0)*T_PlannedOrders[Order_Month])),"m月")&amp;"発注)")</f>
        <v/>
      </c>
      <c r="BO637">
        <f>IF(SUMIFS(T_PlannedOrders[EffectiveQty],T_PlannedOrders[Part Name],$A619,T_PlannedOrders[WeekIndex],64)=0,"",SUMIFS(T_PlannedOrders[EffectiveQty],T_PlannedOrders[Part Name],$A619,T_PlannedOrders[WeekIndex],64)&amp;" ("&amp;TEXT(SUMPRODUCT(MAX((T_PlannedOrders[Part Name]=$A619)*(T_PlannedOrders[WeekIndex]=64)*(T_PlannedOrders[EffectiveQty]&gt;0)*T_PlannedOrders[Order_Month])),"m月")&amp;"発注)")</f>
        <v/>
      </c>
      <c r="BP637">
        <f>IF(SUMIFS(T_PlannedOrders[EffectiveQty],T_PlannedOrders[Part Name],$A619,T_PlannedOrders[WeekIndex],65)=0,"",SUMIFS(T_PlannedOrders[EffectiveQty],T_PlannedOrders[Part Name],$A619,T_PlannedOrders[WeekIndex],65)&amp;" ("&amp;TEXT(SUMPRODUCT(MAX((T_PlannedOrders[Part Name]=$A619)*(T_PlannedOrders[WeekIndex]=65)*(T_PlannedOrders[EffectiveQty]&gt;0)*T_PlannedOrders[Order_Month])),"m月")&amp;"発注)")</f>
        <v/>
      </c>
      <c r="BQ637">
        <f>IF(SUMIFS(T_PlannedOrders[EffectiveQty],T_PlannedOrders[Part Name],$A619,T_PlannedOrders[WeekIndex],66)=0,"",SUMIFS(T_PlannedOrders[EffectiveQty],T_PlannedOrders[Part Name],$A619,T_PlannedOrders[WeekIndex],66)&amp;" ("&amp;TEXT(SUMPRODUCT(MAX((T_PlannedOrders[Part Name]=$A619)*(T_PlannedOrders[WeekIndex]=66)*(T_PlannedOrders[EffectiveQty]&gt;0)*T_PlannedOrders[Order_Month])),"m月")&amp;"発注)")</f>
        <v/>
      </c>
      <c r="BR637">
        <f>IF(SUMIFS(T_PlannedOrders[EffectiveQty],T_PlannedOrders[Part Name],$A619,T_PlannedOrders[WeekIndex],67)=0,"",SUMIFS(T_PlannedOrders[EffectiveQty],T_PlannedOrders[Part Name],$A619,T_PlannedOrders[WeekIndex],67)&amp;" ("&amp;TEXT(SUMPRODUCT(MAX((T_PlannedOrders[Part Name]=$A619)*(T_PlannedOrders[WeekIndex]=67)*(T_PlannedOrders[EffectiveQty]&gt;0)*T_PlannedOrders[Order_Month])),"m月")&amp;"発注)")</f>
        <v/>
      </c>
      <c r="BS637">
        <f>IF(SUMIFS(T_PlannedOrders[EffectiveQty],T_PlannedOrders[Part Name],$A619,T_PlannedOrders[WeekIndex],68)=0,"",SUMIFS(T_PlannedOrders[EffectiveQty],T_PlannedOrders[Part Name],$A619,T_PlannedOrders[WeekIndex],68)&amp;" ("&amp;TEXT(SUMPRODUCT(MAX((T_PlannedOrders[Part Name]=$A619)*(T_PlannedOrders[WeekIndex]=68)*(T_PlannedOrders[EffectiveQty]&gt;0)*T_PlannedOrders[Order_Month])),"m月")&amp;"発注)")</f>
        <v/>
      </c>
      <c r="BT637">
        <f>IF(SUMIFS(T_PlannedOrders[EffectiveQty],T_PlannedOrders[Part Name],$A619,T_PlannedOrders[WeekIndex],69)=0,"",SUMIFS(T_PlannedOrders[EffectiveQty],T_PlannedOrders[Part Name],$A619,T_PlannedOrders[WeekIndex],69)&amp;" ("&amp;TEXT(SUMPRODUCT(MAX((T_PlannedOrders[Part Name]=$A619)*(T_PlannedOrders[WeekIndex]=69)*(T_PlannedOrders[EffectiveQty]&gt;0)*T_PlannedOrders[Order_Month])),"m月")&amp;"発注)")</f>
        <v/>
      </c>
      <c r="BU637">
        <f>IF(SUMIFS(T_PlannedOrders[EffectiveQty],T_PlannedOrders[Part Name],$A619,T_PlannedOrders[WeekIndex],70)=0,"",SUMIFS(T_PlannedOrders[EffectiveQty],T_PlannedOrders[Part Name],$A619,T_PlannedOrders[WeekIndex],70)&amp;" ("&amp;TEXT(SUMPRODUCT(MAX((T_PlannedOrders[Part Name]=$A619)*(T_PlannedOrders[WeekIndex]=70)*(T_PlannedOrders[EffectiveQty]&gt;0)*T_PlannedOrders[Order_Month])),"m月")&amp;"発注)")</f>
        <v/>
      </c>
      <c r="BV637">
        <f>IF(SUMIFS(T_PlannedOrders[EffectiveQty],T_PlannedOrders[Part Name],$A619,T_PlannedOrders[WeekIndex],71)=0,"",SUMIFS(T_PlannedOrders[EffectiveQty],T_PlannedOrders[Part Name],$A619,T_PlannedOrders[WeekIndex],71)&amp;" ("&amp;TEXT(SUMPRODUCT(MAX((T_PlannedOrders[Part Name]=$A619)*(T_PlannedOrders[WeekIndex]=71)*(T_PlannedOrders[EffectiveQty]&gt;0)*T_PlannedOrders[Order_Month])),"m月")&amp;"発注)")</f>
        <v/>
      </c>
      <c r="BW637">
        <f>IF(SUMIFS(T_PlannedOrders[EffectiveQty],T_PlannedOrders[Part Name],$A619,T_PlannedOrders[WeekIndex],72)=0,"",SUMIFS(T_PlannedOrders[EffectiveQty],T_PlannedOrders[Part Name],$A619,T_PlannedOrders[WeekIndex],72)&amp;" ("&amp;TEXT(SUMPRODUCT(MAX((T_PlannedOrders[Part Name]=$A619)*(T_PlannedOrders[WeekIndex]=72)*(T_PlannedOrders[EffectiveQty]&gt;0)*T_PlannedOrders[Order_Month])),"m月")&amp;"発注)")</f>
        <v/>
      </c>
      <c r="BX637">
        <f>IF(SUMIFS(T_PlannedOrders[EffectiveQty],T_PlannedOrders[Part Name],$A619,T_PlannedOrders[WeekIndex],73)=0,"",SUMIFS(T_PlannedOrders[EffectiveQty],T_PlannedOrders[Part Name],$A619,T_PlannedOrders[WeekIndex],73)&amp;" ("&amp;TEXT(SUMPRODUCT(MAX((T_PlannedOrders[Part Name]=$A619)*(T_PlannedOrders[WeekIndex]=73)*(T_PlannedOrders[EffectiveQty]&gt;0)*T_PlannedOrders[Order_Month])),"m月")&amp;"発注)")</f>
        <v/>
      </c>
      <c r="BY637">
        <f>IF(SUMIFS(T_PlannedOrders[EffectiveQty],T_PlannedOrders[Part Name],$A619,T_PlannedOrders[WeekIndex],74)=0,"",SUMIFS(T_PlannedOrders[EffectiveQty],T_PlannedOrders[Part Name],$A619,T_PlannedOrders[WeekIndex],74)&amp;" ("&amp;TEXT(SUMPRODUCT(MAX((T_PlannedOrders[Part Name]=$A619)*(T_PlannedOrders[WeekIndex]=74)*(T_PlannedOrders[EffectiveQty]&gt;0)*T_PlannedOrders[Order_Month])),"m月")&amp;"発注)")</f>
        <v/>
      </c>
      <c r="BZ637">
        <f>IF(SUMIFS(T_PlannedOrders[EffectiveQty],T_PlannedOrders[Part Name],$A619,T_PlannedOrders[WeekIndex],75)=0,"",SUMIFS(T_PlannedOrders[EffectiveQty],T_PlannedOrders[Part Name],$A619,T_PlannedOrders[WeekIndex],75)&amp;" ("&amp;TEXT(SUMPRODUCT(MAX((T_PlannedOrders[Part Name]=$A619)*(T_PlannedOrders[WeekIndex]=75)*(T_PlannedOrders[EffectiveQty]&gt;0)*T_PlannedOrders[Order_Month])),"m月")&amp;"発注)")</f>
        <v/>
      </c>
      <c r="CA637">
        <f>IF(SUMIFS(T_PlannedOrders[EffectiveQty],T_PlannedOrders[Part Name],$A619,T_PlannedOrders[WeekIndex],76)=0,"",SUMIFS(T_PlannedOrders[EffectiveQty],T_PlannedOrders[Part Name],$A619,T_PlannedOrders[WeekIndex],76)&amp;" ("&amp;TEXT(SUMPRODUCT(MAX((T_PlannedOrders[Part Name]=$A619)*(T_PlannedOrders[WeekIndex]=76)*(T_PlannedOrders[EffectiveQty]&gt;0)*T_PlannedOrders[Order_Month])),"m月")&amp;"発注)")</f>
        <v/>
      </c>
      <c r="CB637">
        <f>IF(SUMIFS(T_PlannedOrders[EffectiveQty],T_PlannedOrders[Part Name],$A619,T_PlannedOrders[WeekIndex],77)=0,"",SUMIFS(T_PlannedOrders[EffectiveQty],T_PlannedOrders[Part Name],$A619,T_PlannedOrders[WeekIndex],77)&amp;" ("&amp;TEXT(SUMPRODUCT(MAX((T_PlannedOrders[Part Name]=$A619)*(T_PlannedOrders[WeekIndex]=77)*(T_PlannedOrders[EffectiveQty]&gt;0)*T_PlannedOrders[Order_Month])),"m月")&amp;"発注)")</f>
        <v/>
      </c>
      <c r="CC637">
        <f>IF(SUMIFS(T_PlannedOrders[EffectiveQty],T_PlannedOrders[Part Name],$A619,T_PlannedOrders[WeekIndex],78)=0,"",SUMIFS(T_PlannedOrders[EffectiveQty],T_PlannedOrders[Part Name],$A619,T_PlannedOrders[WeekIndex],78)&amp;" ("&amp;TEXT(SUMPRODUCT(MAX((T_PlannedOrders[Part Name]=$A619)*(T_PlannedOrders[WeekIndex]=78)*(T_PlannedOrders[EffectiveQty]&gt;0)*T_PlannedOrders[Order_Month])),"m月")&amp;"発注)")</f>
        <v/>
      </c>
      <c r="CD637">
        <f>IF(SUMIFS(T_PlannedOrders[EffectiveQty],T_PlannedOrders[Part Name],$A619,T_PlannedOrders[WeekIndex],79)=0,"",SUMIFS(T_PlannedOrders[EffectiveQty],T_PlannedOrders[Part Name],$A619,T_PlannedOrders[WeekIndex],79)&amp;" ("&amp;TEXT(SUMPRODUCT(MAX((T_PlannedOrders[Part Name]=$A619)*(T_PlannedOrders[WeekIndex]=79)*(T_PlannedOrders[EffectiveQty]&gt;0)*T_PlannedOrders[Order_Month])),"m月")&amp;"発注)")</f>
        <v/>
      </c>
      <c r="CE637">
        <f>IF(SUMIFS(T_PlannedOrders[EffectiveQty],T_PlannedOrders[Part Name],$A619,T_PlannedOrders[WeekIndex],80)=0,"",SUMIFS(T_PlannedOrders[EffectiveQty],T_PlannedOrders[Part Name],$A619,T_PlannedOrders[WeekIndex],80)&amp;" ("&amp;TEXT(SUMPRODUCT(MAX((T_PlannedOrders[Part Name]=$A619)*(T_PlannedOrders[WeekIndex]=80)*(T_PlannedOrders[EffectiveQty]&gt;0)*T_PlannedOrders[Order_Month])),"m月")&amp;"発注)")</f>
        <v/>
      </c>
      <c r="CF637">
        <f>IF(SUMIFS(T_PlannedOrders[EffectiveQty],T_PlannedOrders[Part Name],$A619,T_PlannedOrders[WeekIndex],81)=0,"",SUMIFS(T_PlannedOrders[EffectiveQty],T_PlannedOrders[Part Name],$A619,T_PlannedOrders[WeekIndex],81)&amp;" ("&amp;TEXT(SUMPRODUCT(MAX((T_PlannedOrders[Part Name]=$A619)*(T_PlannedOrders[WeekIndex]=81)*(T_PlannedOrders[EffectiveQty]&gt;0)*T_PlannedOrders[Order_Month])),"m月")&amp;"発注)")</f>
        <v/>
      </c>
      <c r="CG637">
        <f>IF(SUMIFS(T_PlannedOrders[EffectiveQty],T_PlannedOrders[Part Name],$A619,T_PlannedOrders[WeekIndex],82)=0,"",SUMIFS(T_PlannedOrders[EffectiveQty],T_PlannedOrders[Part Name],$A619,T_PlannedOrders[WeekIndex],82)&amp;" ("&amp;TEXT(SUMPRODUCT(MAX((T_PlannedOrders[Part Name]=$A619)*(T_PlannedOrders[WeekIndex]=82)*(T_PlannedOrders[EffectiveQty]&gt;0)*T_PlannedOrders[Order_Month])),"m月")&amp;"発注)")</f>
        <v/>
      </c>
      <c r="CH637">
        <f>IF(SUMIFS(T_PlannedOrders[EffectiveQty],T_PlannedOrders[Part Name],$A619,T_PlannedOrders[WeekIndex],83)=0,"",SUMIFS(T_PlannedOrders[EffectiveQty],T_PlannedOrders[Part Name],$A619,T_PlannedOrders[WeekIndex],83)&amp;" ("&amp;TEXT(SUMPRODUCT(MAX((T_PlannedOrders[Part Name]=$A619)*(T_PlannedOrders[WeekIndex]=83)*(T_PlannedOrders[EffectiveQty]&gt;0)*T_PlannedOrders[Order_Month])),"m月")&amp;"発注)")</f>
        <v/>
      </c>
      <c r="CI637">
        <f>IF(SUMIFS(T_PlannedOrders[EffectiveQty],T_PlannedOrders[Part Name],$A619,T_PlannedOrders[WeekIndex],84)=0,"",SUMIFS(T_PlannedOrders[EffectiveQty],T_PlannedOrders[Part Name],$A619,T_PlannedOrders[WeekIndex],84)&amp;" ("&amp;TEXT(SUMPRODUCT(MAX((T_PlannedOrders[Part Name]=$A619)*(T_PlannedOrders[WeekIndex]=84)*(T_PlannedOrders[EffectiveQty]&gt;0)*T_PlannedOrders[Order_Month])),"m月")&amp;"発注)")</f>
        <v/>
      </c>
      <c r="CJ637">
        <f>IF(SUMIFS(T_PlannedOrders[EffectiveQty],T_PlannedOrders[Part Name],$A619,T_PlannedOrders[WeekIndex],85)=0,"",SUMIFS(T_PlannedOrders[EffectiveQty],T_PlannedOrders[Part Name],$A619,T_PlannedOrders[WeekIndex],85)&amp;" ("&amp;TEXT(SUMPRODUCT(MAX((T_PlannedOrders[Part Name]=$A619)*(T_PlannedOrders[WeekIndex]=85)*(T_PlannedOrders[EffectiveQty]&gt;0)*T_PlannedOrders[Order_Month])),"m月")&amp;"発注)")</f>
        <v/>
      </c>
      <c r="CK637">
        <f>IF(SUMIFS(T_PlannedOrders[EffectiveQty],T_PlannedOrders[Part Name],$A619,T_PlannedOrders[WeekIndex],86)=0,"",SUMIFS(T_PlannedOrders[EffectiveQty],T_PlannedOrders[Part Name],$A619,T_PlannedOrders[WeekIndex],86)&amp;" ("&amp;TEXT(SUMPRODUCT(MAX((T_PlannedOrders[Part Name]=$A619)*(T_PlannedOrders[WeekIndex]=86)*(T_PlannedOrders[EffectiveQty]&gt;0)*T_PlannedOrders[Order_Month])),"m月")&amp;"発注)")</f>
        <v/>
      </c>
      <c r="CL637">
        <f>IF(SUMIFS(T_PlannedOrders[EffectiveQty],T_PlannedOrders[Part Name],$A619,T_PlannedOrders[WeekIndex],87)=0,"",SUMIFS(T_PlannedOrders[EffectiveQty],T_PlannedOrders[Part Name],$A619,T_PlannedOrders[WeekIndex],87)&amp;" ("&amp;TEXT(SUMPRODUCT(MAX((T_PlannedOrders[Part Name]=$A619)*(T_PlannedOrders[WeekIndex]=87)*(T_PlannedOrders[EffectiveQty]&gt;0)*T_PlannedOrders[Order_Month])),"m月")&amp;"発注)")</f>
        <v/>
      </c>
      <c r="CM637">
        <f>IF(SUMIFS(T_PlannedOrders[EffectiveQty],T_PlannedOrders[Part Name],$A619,T_PlannedOrders[WeekIndex],88)=0,"",SUMIFS(T_PlannedOrders[EffectiveQty],T_PlannedOrders[Part Name],$A619,T_PlannedOrders[WeekIndex],88)&amp;" ("&amp;TEXT(SUMPRODUCT(MAX((T_PlannedOrders[Part Name]=$A619)*(T_PlannedOrders[WeekIndex]=88)*(T_PlannedOrders[EffectiveQty]&gt;0)*T_PlannedOrders[Order_Month])),"m月")&amp;"発注)")</f>
        <v/>
      </c>
      <c r="CN637">
        <f>IF(SUMIFS(T_PlannedOrders[EffectiveQty],T_PlannedOrders[Part Name],$A619,T_PlannedOrders[WeekIndex],89)=0,"",SUMIFS(T_PlannedOrders[EffectiveQty],T_PlannedOrders[Part Name],$A619,T_PlannedOrders[WeekIndex],89)&amp;" ("&amp;TEXT(SUMPRODUCT(MAX((T_PlannedOrders[Part Name]=$A619)*(T_PlannedOrders[WeekIndex]=89)*(T_PlannedOrders[EffectiveQty]&gt;0)*T_PlannedOrders[Order_Month])),"m月")&amp;"発注)")</f>
        <v/>
      </c>
      <c r="CO637">
        <f>IF(SUMIFS(T_PlannedOrders[EffectiveQty],T_PlannedOrders[Part Name],$A619,T_PlannedOrders[WeekIndex],90)=0,"",SUMIFS(T_PlannedOrders[EffectiveQty],T_PlannedOrders[Part Name],$A619,T_PlannedOrders[WeekIndex],90)&amp;" ("&amp;TEXT(SUMPRODUCT(MAX((T_PlannedOrders[Part Name]=$A619)*(T_PlannedOrders[WeekIndex]=90)*(T_PlannedOrders[EffectiveQty]&gt;0)*T_PlannedOrders[Order_Month])),"m月")&amp;"発注)")</f>
        <v/>
      </c>
      <c r="CP637">
        <f>IF(SUMIFS(T_PlannedOrders[EffectiveQty],T_PlannedOrders[Part Name],$A619,T_PlannedOrders[WeekIndex],91)=0,"",SUMIFS(T_PlannedOrders[EffectiveQty],T_PlannedOrders[Part Name],$A619,T_PlannedOrders[WeekIndex],91)&amp;" ("&amp;TEXT(SUMPRODUCT(MAX((T_PlannedOrders[Part Name]=$A619)*(T_PlannedOrders[WeekIndex]=91)*(T_PlannedOrders[EffectiveQty]&gt;0)*T_PlannedOrders[Order_Month])),"m月")&amp;"発注)")</f>
        <v/>
      </c>
      <c r="CQ637">
        <f>IF(SUMIFS(T_PlannedOrders[EffectiveQty],T_PlannedOrders[Part Name],$A619,T_PlannedOrders[WeekIndex],92)=0,"",SUMIFS(T_PlannedOrders[EffectiveQty],T_PlannedOrders[Part Name],$A619,T_PlannedOrders[WeekIndex],92)&amp;" ("&amp;TEXT(SUMPRODUCT(MAX((T_PlannedOrders[Part Name]=$A619)*(T_PlannedOrders[WeekIndex]=92)*(T_PlannedOrders[EffectiveQty]&gt;0)*T_PlannedOrders[Order_Month])),"m月")&amp;"発注)")</f>
        <v/>
      </c>
      <c r="CR637">
        <f>IF(SUMIFS(T_PlannedOrders[EffectiveQty],T_PlannedOrders[Part Name],$A619,T_PlannedOrders[WeekIndex],93)=0,"",SUMIFS(T_PlannedOrders[EffectiveQty],T_PlannedOrders[Part Name],$A619,T_PlannedOrders[WeekIndex],93)&amp;" ("&amp;TEXT(SUMPRODUCT(MAX((T_PlannedOrders[Part Name]=$A619)*(T_PlannedOrders[WeekIndex]=93)*(T_PlannedOrders[EffectiveQty]&gt;0)*T_PlannedOrders[Order_Month])),"m月")&amp;"発注)")</f>
        <v/>
      </c>
      <c r="CS637">
        <f>IF(SUMIFS(T_PlannedOrders[EffectiveQty],T_PlannedOrders[Part Name],$A619,T_PlannedOrders[WeekIndex],94)=0,"",SUMIFS(T_PlannedOrders[EffectiveQty],T_PlannedOrders[Part Name],$A619,T_PlannedOrders[WeekIndex],94)&amp;" ("&amp;TEXT(SUMPRODUCT(MAX((T_PlannedOrders[Part Name]=$A619)*(T_PlannedOrders[WeekIndex]=94)*(T_PlannedOrders[EffectiveQty]&gt;0)*T_PlannedOrders[Order_Month])),"m月")&amp;"発注)")</f>
        <v/>
      </c>
      <c r="CT637">
        <f>IF(SUMIFS(T_PlannedOrders[EffectiveQty],T_PlannedOrders[Part Name],$A619,T_PlannedOrders[WeekIndex],95)=0,"",SUMIFS(T_PlannedOrders[EffectiveQty],T_PlannedOrders[Part Name],$A619,T_PlannedOrders[WeekIndex],95)&amp;" ("&amp;TEXT(SUMPRODUCT(MAX((T_PlannedOrders[Part Name]=$A619)*(T_PlannedOrders[WeekIndex]=95)*(T_PlannedOrders[EffectiveQty]&gt;0)*T_PlannedOrders[Order_Month])),"m月")&amp;"発注)")</f>
        <v/>
      </c>
      <c r="CU637">
        <f>IF(SUMIFS(T_PlannedOrders[EffectiveQty],T_PlannedOrders[Part Name],$A619,T_PlannedOrders[WeekIndex],96)=0,"",SUMIFS(T_PlannedOrders[EffectiveQty],T_PlannedOrders[Part Name],$A619,T_PlannedOrders[WeekIndex],96)&amp;" ("&amp;TEXT(SUMPRODUCT(MAX((T_PlannedOrders[Part Name]=$A619)*(T_PlannedOrders[WeekIndex]=96)*(T_PlannedOrders[EffectiveQty]&gt;0)*T_PlannedOrders[Order_Month])),"m月")&amp;"発注)")</f>
        <v/>
      </c>
      <c r="CV637">
        <f>IF(SUMIFS(T_PlannedOrders[EffectiveQty],T_PlannedOrders[Part Name],$A619,T_PlannedOrders[WeekIndex],97)=0,"",SUMIFS(T_PlannedOrders[EffectiveQty],T_PlannedOrders[Part Name],$A619,T_PlannedOrders[WeekIndex],97)&amp;" ("&amp;TEXT(SUMPRODUCT(MAX((T_PlannedOrders[Part Name]=$A619)*(T_PlannedOrders[WeekIndex]=97)*(T_PlannedOrders[EffectiveQty]&gt;0)*T_PlannedOrders[Order_Month])),"m月")&amp;"発注)")</f>
        <v/>
      </c>
      <c r="CW637">
        <f>IF(SUMIFS(T_PlannedOrders[EffectiveQty],T_PlannedOrders[Part Name],$A619,T_PlannedOrders[WeekIndex],98)=0,"",SUMIFS(T_PlannedOrders[EffectiveQty],T_PlannedOrders[Part Name],$A619,T_PlannedOrders[WeekIndex],98)&amp;" ("&amp;TEXT(SUMPRODUCT(MAX((T_PlannedOrders[Part Name]=$A619)*(T_PlannedOrders[WeekIndex]=98)*(T_PlannedOrders[EffectiveQty]&gt;0)*T_PlannedOrders[Order_Month])),"m月")&amp;"発注)")</f>
        <v/>
      </c>
      <c r="CX637">
        <f>IF(SUMIFS(T_PlannedOrders[EffectiveQty],T_PlannedOrders[Part Name],$A619,T_PlannedOrders[WeekIndex],99)=0,"",SUMIFS(T_PlannedOrders[EffectiveQty],T_PlannedOrders[Part Name],$A619,T_PlannedOrders[WeekIndex],99)&amp;" ("&amp;TEXT(SUMPRODUCT(MAX((T_PlannedOrders[Part Name]=$A619)*(T_PlannedOrders[WeekIndex]=99)*(T_PlannedOrders[EffectiveQty]&gt;0)*T_PlannedOrders[Order_Month])),"m月")&amp;"発注)")</f>
        <v/>
      </c>
      <c r="CY637">
        <f>IF(SUMIFS(T_PlannedOrders[EffectiveQty],T_PlannedOrders[Part Name],$A619,T_PlannedOrders[WeekIndex],100)=0,"",SUMIFS(T_PlannedOrders[EffectiveQty],T_PlannedOrders[Part Name],$A619,T_PlannedOrders[WeekIndex],100)&amp;" ("&amp;TEXT(SUMPRODUCT(MAX((T_PlannedOrders[Part Name]=$A619)*(T_PlannedOrders[WeekIndex]=100)*(T_PlannedOrders[EffectiveQty]&gt;0)*T_PlannedOrders[Order_Month])),"m月")&amp;"発注)")</f>
        <v/>
      </c>
      <c r="CZ637">
        <f>IF(SUMIFS(T_PlannedOrders[EffectiveQty],T_PlannedOrders[Part Name],$A619,T_PlannedOrders[WeekIndex],101)=0,"",SUMIFS(T_PlannedOrders[EffectiveQty],T_PlannedOrders[Part Name],$A619,T_PlannedOrders[WeekIndex],101)&amp;" ("&amp;TEXT(SUMPRODUCT(MAX((T_PlannedOrders[Part Name]=$A619)*(T_PlannedOrders[WeekIndex]=101)*(T_PlannedOrders[EffectiveQty]&gt;0)*T_PlannedOrders[Order_Month])),"m月")&amp;"発注)")</f>
        <v/>
      </c>
      <c r="DA637">
        <f>IF(SUMIFS(T_PlannedOrders[EffectiveQty],T_PlannedOrders[Part Name],$A619,T_PlannedOrders[WeekIndex],102)=0,"",SUMIFS(T_PlannedOrders[EffectiveQty],T_PlannedOrders[Part Name],$A619,T_PlannedOrders[WeekIndex],102)&amp;" ("&amp;TEXT(SUMPRODUCT(MAX((T_PlannedOrders[Part Name]=$A619)*(T_PlannedOrders[WeekIndex]=102)*(T_PlannedOrders[EffectiveQty]&gt;0)*T_PlannedOrders[Order_Month])),"m月")&amp;"発注)")</f>
        <v/>
      </c>
      <c r="DB637">
        <f>IF(SUMIFS(T_PlannedOrders[EffectiveQty],T_PlannedOrders[Part Name],$A619,T_PlannedOrders[WeekIndex],103)=0,"",SUMIFS(T_PlannedOrders[EffectiveQty],T_PlannedOrders[Part Name],$A619,T_PlannedOrders[WeekIndex],103)&amp;" ("&amp;TEXT(SUMPRODUCT(MAX((T_PlannedOrders[Part Name]=$A619)*(T_PlannedOrders[WeekIndex]=103)*(T_PlannedOrders[EffectiveQty]&gt;0)*T_PlannedOrders[Order_Month])),"m月")&amp;"発注)")</f>
        <v/>
      </c>
      <c r="DC637">
        <f>IF(SUMIFS(T_PlannedOrders[EffectiveQty],T_PlannedOrders[Part Name],$A619,T_PlannedOrders[WeekIndex],104)=0,"",SUMIFS(T_PlannedOrders[EffectiveQty],T_PlannedOrders[Part Name],$A619,T_PlannedOrders[WeekIndex],104)&amp;" ("&amp;TEXT(SUMPRODUCT(MAX((T_PlannedOrders[Part Name]=$A619)*(T_PlannedOrders[WeekIndex]=104)*(T_PlannedOrders[EffectiveQty]&gt;0)*T_PlannedOrders[Order_Month])),"m月")&amp;"発注)")</f>
        <v/>
      </c>
    </row>
    <row r="638">
      <c r="B638" s="5" t="inlineStr">
        <is>
          <t>合計在庫(週末時点,kg)</t>
        </is>
      </c>
      <c r="D638">
        <f>'Grid_Stock'!B35</f>
        <v/>
      </c>
      <c r="E638">
        <f>'Grid_Stock'!C35</f>
        <v/>
      </c>
      <c r="F638">
        <f>'Grid_Stock'!D35</f>
        <v/>
      </c>
      <c r="G638">
        <f>'Grid_Stock'!E35</f>
        <v/>
      </c>
      <c r="H638">
        <f>'Grid_Stock'!F35</f>
        <v/>
      </c>
      <c r="I638">
        <f>'Grid_Stock'!G35</f>
        <v/>
      </c>
      <c r="J638">
        <f>'Grid_Stock'!H35</f>
        <v/>
      </c>
      <c r="K638">
        <f>'Grid_Stock'!I35</f>
        <v/>
      </c>
      <c r="L638">
        <f>'Grid_Stock'!J35</f>
        <v/>
      </c>
      <c r="M638">
        <f>'Grid_Stock'!K35</f>
        <v/>
      </c>
      <c r="N638">
        <f>'Grid_Stock'!L35</f>
        <v/>
      </c>
      <c r="O638">
        <f>'Grid_Stock'!M35</f>
        <v/>
      </c>
      <c r="P638">
        <f>'Grid_Stock'!N35</f>
        <v/>
      </c>
      <c r="Q638">
        <f>'Grid_Stock'!O35</f>
        <v/>
      </c>
      <c r="R638">
        <f>'Grid_Stock'!P35</f>
        <v/>
      </c>
      <c r="S638">
        <f>'Grid_Stock'!Q35</f>
        <v/>
      </c>
      <c r="T638">
        <f>'Grid_Stock'!R35</f>
        <v/>
      </c>
      <c r="U638">
        <f>'Grid_Stock'!S35</f>
        <v/>
      </c>
      <c r="V638">
        <f>'Grid_Stock'!T35</f>
        <v/>
      </c>
      <c r="W638">
        <f>'Grid_Stock'!U35</f>
        <v/>
      </c>
      <c r="X638">
        <f>'Grid_Stock'!V35</f>
        <v/>
      </c>
      <c r="Y638">
        <f>'Grid_Stock'!W35</f>
        <v/>
      </c>
      <c r="Z638">
        <f>'Grid_Stock'!X35</f>
        <v/>
      </c>
      <c r="AA638">
        <f>'Grid_Stock'!Y35</f>
        <v/>
      </c>
      <c r="AB638">
        <f>'Grid_Stock'!Z35</f>
        <v/>
      </c>
      <c r="AC638">
        <f>'Grid_Stock'!AA35</f>
        <v/>
      </c>
      <c r="AD638">
        <f>'Grid_Stock'!AB35</f>
        <v/>
      </c>
      <c r="AE638">
        <f>'Grid_Stock'!AC35</f>
        <v/>
      </c>
      <c r="AF638">
        <f>'Grid_Stock'!AD35</f>
        <v/>
      </c>
      <c r="AG638">
        <f>'Grid_Stock'!AE35</f>
        <v/>
      </c>
      <c r="AH638">
        <f>'Grid_Stock'!AF35</f>
        <v/>
      </c>
      <c r="AI638">
        <f>'Grid_Stock'!AG35</f>
        <v/>
      </c>
      <c r="AJ638">
        <f>'Grid_Stock'!AH35</f>
        <v/>
      </c>
      <c r="AK638">
        <f>'Grid_Stock'!AI35</f>
        <v/>
      </c>
      <c r="AL638">
        <f>'Grid_Stock'!AJ35</f>
        <v/>
      </c>
      <c r="AM638">
        <f>'Grid_Stock'!AK35</f>
        <v/>
      </c>
      <c r="AN638">
        <f>'Grid_Stock'!AL35</f>
        <v/>
      </c>
      <c r="AO638">
        <f>'Grid_Stock'!AM35</f>
        <v/>
      </c>
      <c r="AP638">
        <f>'Grid_Stock'!AN35</f>
        <v/>
      </c>
      <c r="AQ638">
        <f>'Grid_Stock'!AO35</f>
        <v/>
      </c>
      <c r="AR638">
        <f>'Grid_Stock'!AP35</f>
        <v/>
      </c>
      <c r="AS638">
        <f>'Grid_Stock'!AQ35</f>
        <v/>
      </c>
      <c r="AT638">
        <f>'Grid_Stock'!AR35</f>
        <v/>
      </c>
      <c r="AU638">
        <f>'Grid_Stock'!AS35</f>
        <v/>
      </c>
      <c r="AV638">
        <f>'Grid_Stock'!AT35</f>
        <v/>
      </c>
      <c r="AW638">
        <f>'Grid_Stock'!AU35</f>
        <v/>
      </c>
      <c r="AX638">
        <f>'Grid_Stock'!AV35</f>
        <v/>
      </c>
      <c r="AY638">
        <f>'Grid_Stock'!AW35</f>
        <v/>
      </c>
      <c r="AZ638">
        <f>'Grid_Stock'!AX35</f>
        <v/>
      </c>
      <c r="BA638">
        <f>'Grid_Stock'!AY35</f>
        <v/>
      </c>
      <c r="BB638">
        <f>'Grid_Stock'!AZ35</f>
        <v/>
      </c>
      <c r="BC638">
        <f>'Grid_Stock'!BA35</f>
        <v/>
      </c>
      <c r="BD638">
        <f>'Grid_Stock'!BB35</f>
        <v/>
      </c>
      <c r="BE638">
        <f>'Grid_Stock'!BC35</f>
        <v/>
      </c>
      <c r="BF638">
        <f>'Grid_Stock'!BD35</f>
        <v/>
      </c>
      <c r="BG638">
        <f>'Grid_Stock'!BE35</f>
        <v/>
      </c>
      <c r="BH638">
        <f>'Grid_Stock'!BF35</f>
        <v/>
      </c>
      <c r="BI638">
        <f>'Grid_Stock'!BG35</f>
        <v/>
      </c>
      <c r="BJ638">
        <f>'Grid_Stock'!BH35</f>
        <v/>
      </c>
      <c r="BK638">
        <f>'Grid_Stock'!BI35</f>
        <v/>
      </c>
      <c r="BL638">
        <f>'Grid_Stock'!BJ35</f>
        <v/>
      </c>
      <c r="BM638">
        <f>'Grid_Stock'!BK35</f>
        <v/>
      </c>
      <c r="BN638">
        <f>'Grid_Stock'!BL35</f>
        <v/>
      </c>
      <c r="BO638">
        <f>'Grid_Stock'!BM35</f>
        <v/>
      </c>
      <c r="BP638">
        <f>'Grid_Stock'!BN35</f>
        <v/>
      </c>
      <c r="BQ638">
        <f>'Grid_Stock'!BO35</f>
        <v/>
      </c>
      <c r="BR638">
        <f>'Grid_Stock'!BP35</f>
        <v/>
      </c>
      <c r="BS638">
        <f>'Grid_Stock'!BQ35</f>
        <v/>
      </c>
      <c r="BT638">
        <f>'Grid_Stock'!BR35</f>
        <v/>
      </c>
      <c r="BU638">
        <f>'Grid_Stock'!BS35</f>
        <v/>
      </c>
      <c r="BV638">
        <f>'Grid_Stock'!BT35</f>
        <v/>
      </c>
      <c r="BW638">
        <f>'Grid_Stock'!BU35</f>
        <v/>
      </c>
      <c r="BX638">
        <f>'Grid_Stock'!BV35</f>
        <v/>
      </c>
      <c r="BY638">
        <f>'Grid_Stock'!BW35</f>
        <v/>
      </c>
      <c r="BZ638">
        <f>'Grid_Stock'!BX35</f>
        <v/>
      </c>
      <c r="CA638">
        <f>'Grid_Stock'!BY35</f>
        <v/>
      </c>
      <c r="CB638">
        <f>'Grid_Stock'!BZ35</f>
        <v/>
      </c>
      <c r="CC638">
        <f>'Grid_Stock'!CA35</f>
        <v/>
      </c>
      <c r="CD638">
        <f>'Grid_Stock'!CB35</f>
        <v/>
      </c>
      <c r="CE638">
        <f>'Grid_Stock'!CC35</f>
        <v/>
      </c>
      <c r="CF638">
        <f>'Grid_Stock'!CD35</f>
        <v/>
      </c>
      <c r="CG638">
        <f>'Grid_Stock'!CE35</f>
        <v/>
      </c>
      <c r="CH638">
        <f>'Grid_Stock'!CF35</f>
        <v/>
      </c>
      <c r="CI638">
        <f>'Grid_Stock'!CG35</f>
        <v/>
      </c>
      <c r="CJ638">
        <f>'Grid_Stock'!CH35</f>
        <v/>
      </c>
      <c r="CK638">
        <f>'Grid_Stock'!CI35</f>
        <v/>
      </c>
      <c r="CL638">
        <f>'Grid_Stock'!CJ35</f>
        <v/>
      </c>
      <c r="CM638">
        <f>'Grid_Stock'!CK35</f>
        <v/>
      </c>
      <c r="CN638">
        <f>'Grid_Stock'!CL35</f>
        <v/>
      </c>
      <c r="CO638">
        <f>'Grid_Stock'!CM35</f>
        <v/>
      </c>
      <c r="CP638">
        <f>'Grid_Stock'!CN35</f>
        <v/>
      </c>
      <c r="CQ638">
        <f>'Grid_Stock'!CO35</f>
        <v/>
      </c>
      <c r="CR638">
        <f>'Grid_Stock'!CP35</f>
        <v/>
      </c>
      <c r="CS638">
        <f>'Grid_Stock'!CQ35</f>
        <v/>
      </c>
      <c r="CT638">
        <f>'Grid_Stock'!CR35</f>
        <v/>
      </c>
      <c r="CU638">
        <f>'Grid_Stock'!CS35</f>
        <v/>
      </c>
      <c r="CV638">
        <f>'Grid_Stock'!CT35</f>
        <v/>
      </c>
      <c r="CW638">
        <f>'Grid_Stock'!CU35</f>
        <v/>
      </c>
      <c r="CX638">
        <f>'Grid_Stock'!CV35</f>
        <v/>
      </c>
      <c r="CY638">
        <f>'Grid_Stock'!CW35</f>
        <v/>
      </c>
      <c r="CZ638">
        <f>'Grid_Stock'!CX35</f>
        <v/>
      </c>
      <c r="DA638">
        <f>'Grid_Stock'!CY35</f>
        <v/>
      </c>
      <c r="DB638">
        <f>'Grid_Stock'!CZ35</f>
        <v/>
      </c>
      <c r="DC638">
        <f>'Grid_Stock'!DA35</f>
        <v/>
      </c>
    </row>
    <row r="639">
      <c r="B639" s="23" t="inlineStr">
        <is>
          <t>（発注の目安はDashboardの基準在庫[下限/上限]と色分けを参照）</t>
        </is>
      </c>
    </row>
    <row r="641">
      <c r="A641" s="21" t="inlineStr">
        <is>
          <t>CHEM-1420</t>
        </is>
      </c>
      <c r="B641" s="21" t="inlineStr">
        <is>
          <t>HEC SE900</t>
        </is>
      </c>
      <c r="C641" s="22" t="n"/>
      <c r="D641" s="21" t="n"/>
      <c r="E641" s="21" t="n"/>
      <c r="F641" s="21" t="n"/>
      <c r="G641" s="21" t="n"/>
      <c r="H641" s="2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  <c r="AA641" s="21" t="n"/>
      <c r="AB641" s="21" t="n"/>
      <c r="AC641" s="21" t="n"/>
      <c r="AD641" s="21" t="n"/>
      <c r="AE641" s="21" t="n"/>
      <c r="AF641" s="21" t="n"/>
      <c r="AG641" s="21" t="n"/>
      <c r="AH641" s="21" t="n"/>
      <c r="AI641" s="21" t="n"/>
      <c r="AJ641" s="21" t="n"/>
      <c r="AK641" s="21" t="n"/>
      <c r="AL641" s="21" t="n"/>
      <c r="AM641" s="21" t="n"/>
      <c r="AN641" s="21" t="n"/>
      <c r="AO641" s="21" t="n"/>
      <c r="AP641" s="21" t="n"/>
      <c r="AQ641" s="21" t="n"/>
      <c r="AR641" s="21" t="n"/>
      <c r="AS641" s="21" t="n"/>
      <c r="AT641" s="21" t="n"/>
      <c r="AU641" s="21" t="n"/>
      <c r="AV641" s="21" t="n"/>
      <c r="AW641" s="21" t="n"/>
      <c r="AX641" s="21" t="n"/>
      <c r="AY641" s="21" t="n"/>
      <c r="AZ641" s="21" t="n"/>
      <c r="BA641" s="21" t="n"/>
      <c r="BB641" s="21" t="n"/>
      <c r="BC641" s="21" t="n"/>
      <c r="BD641" s="21" t="n"/>
      <c r="BE641" s="21" t="n"/>
      <c r="BF641" s="21" t="n"/>
      <c r="BG641" s="21" t="n"/>
      <c r="BH641" s="21" t="n"/>
      <c r="BI641" s="21" t="n"/>
      <c r="BJ641" s="21" t="n"/>
      <c r="BK641" s="21" t="n"/>
      <c r="BL641" s="21" t="n"/>
      <c r="BM641" s="21" t="n"/>
      <c r="BN641" s="21" t="n"/>
      <c r="BO641" s="21" t="n"/>
      <c r="BP641" s="21" t="n"/>
      <c r="BQ641" s="21" t="n"/>
      <c r="BR641" s="21" t="n"/>
      <c r="BS641" s="21" t="n"/>
      <c r="BT641" s="21" t="n"/>
      <c r="BU641" s="21" t="n"/>
      <c r="BV641" s="21" t="n"/>
      <c r="BW641" s="21" t="n"/>
      <c r="BX641" s="21" t="n"/>
      <c r="BY641" s="21" t="n"/>
      <c r="BZ641" s="21" t="n"/>
      <c r="CA641" s="21" t="n"/>
      <c r="CB641" s="21" t="n"/>
      <c r="CC641" s="21" t="n"/>
      <c r="CD641" s="21" t="n"/>
      <c r="CE641" s="21" t="n"/>
      <c r="CF641" s="21" t="n"/>
      <c r="CG641" s="21" t="n"/>
      <c r="CH641" s="21" t="n"/>
      <c r="CI641" s="21" t="n"/>
      <c r="CJ641" s="21" t="n"/>
      <c r="CK641" s="21" t="n"/>
      <c r="CL641" s="21" t="n"/>
      <c r="CM641" s="21" t="n"/>
      <c r="CN641" s="21" t="n"/>
      <c r="CO641" s="21" t="n"/>
      <c r="CP641" s="21" t="n"/>
      <c r="CQ641" s="21" t="n"/>
      <c r="CR641" s="21" t="n"/>
      <c r="CS641" s="21" t="n"/>
      <c r="CT641" s="21" t="n"/>
      <c r="CU641" s="21" t="n"/>
      <c r="CV641" s="21" t="n"/>
      <c r="CW641" s="21" t="n"/>
      <c r="CX641" s="21" t="n"/>
      <c r="CY641" s="21" t="n"/>
      <c r="CZ641" s="21" t="n"/>
      <c r="DA641" s="21" t="n"/>
      <c r="DB641" s="21" t="n"/>
      <c r="DC641" s="21" t="n"/>
    </row>
    <row r="642">
      <c r="B642" t="inlineStr">
        <is>
          <t>TSP-049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12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Name],$A641)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TSP-050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12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Name],$A641)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t="inlineStr">
        <is>
          <t>TSP-067</t>
        </is>
      </c>
      <c r="C646" t="inlineStr">
        <is>
          <t>No. of batches</t>
        </is>
      </c>
      <c r="D646">
        <f>IFERROR(INDEX(PP_Grid[#Data],$DD646,2),0)</f>
        <v/>
      </c>
      <c r="E646">
        <f>IFERROR(INDEX(PP_Grid[#Data],$DD646,3),0)</f>
        <v/>
      </c>
      <c r="F646">
        <f>IFERROR(INDEX(PP_Grid[#Data],$DD646,4),0)</f>
        <v/>
      </c>
      <c r="G646">
        <f>IFERROR(INDEX(PP_Grid[#Data],$DD646,5),0)</f>
        <v/>
      </c>
      <c r="H646">
        <f>IFERROR(INDEX(PP_Grid[#Data],$DD646,6),0)</f>
        <v/>
      </c>
      <c r="I646">
        <f>IFERROR(INDEX(PP_Grid[#Data],$DD646,7),0)</f>
        <v/>
      </c>
      <c r="J646">
        <f>IFERROR(INDEX(PP_Grid[#Data],$DD646,8),0)</f>
        <v/>
      </c>
      <c r="K646">
        <f>IFERROR(INDEX(PP_Grid[#Data],$DD646,9),0)</f>
        <v/>
      </c>
      <c r="L646">
        <f>IFERROR(INDEX(PP_Grid[#Data],$DD646,10),0)</f>
        <v/>
      </c>
      <c r="M646">
        <f>IFERROR(INDEX(PP_Grid[#Data],$DD646,11),0)</f>
        <v/>
      </c>
      <c r="N646">
        <f>IFERROR(INDEX(PP_Grid[#Data],$DD646,12),0)</f>
        <v/>
      </c>
      <c r="O646">
        <f>IFERROR(INDEX(PP_Grid[#Data],$DD646,13),0)</f>
        <v/>
      </c>
      <c r="P646">
        <f>IFERROR(INDEX(PP_Grid[#Data],$DD646,14),0)</f>
        <v/>
      </c>
      <c r="Q646">
        <f>IFERROR(INDEX(PP_Grid[#Data],$DD646,15),0)</f>
        <v/>
      </c>
      <c r="R646">
        <f>IFERROR(INDEX(PP_Grid[#Data],$DD646,16),0)</f>
        <v/>
      </c>
      <c r="S646">
        <f>IFERROR(INDEX(PP_Grid[#Data],$DD646,17),0)</f>
        <v/>
      </c>
      <c r="T646">
        <f>IFERROR(INDEX(PP_Grid[#Data],$DD646,18),0)</f>
        <v/>
      </c>
      <c r="U646">
        <f>IFERROR(INDEX(PP_Grid[#Data],$DD646,19),0)</f>
        <v/>
      </c>
      <c r="V646">
        <f>IFERROR(INDEX(PP_Grid[#Data],$DD646,20),0)</f>
        <v/>
      </c>
      <c r="W646">
        <f>IFERROR(INDEX(PP_Grid[#Data],$DD646,21),0)</f>
        <v/>
      </c>
      <c r="X646">
        <f>IFERROR(INDEX(PP_Grid[#Data],$DD646,22),0)</f>
        <v/>
      </c>
      <c r="Y646">
        <f>IFERROR(INDEX(PP_Grid[#Data],$DD646,23),0)</f>
        <v/>
      </c>
      <c r="Z646">
        <f>IFERROR(INDEX(PP_Grid[#Data],$DD646,24),0)</f>
        <v/>
      </c>
      <c r="AA646">
        <f>IFERROR(INDEX(PP_Grid[#Data],$DD646,25),0)</f>
        <v/>
      </c>
      <c r="AB646">
        <f>IFERROR(INDEX(PP_Grid[#Data],$DD646,26),0)</f>
        <v/>
      </c>
      <c r="AC646">
        <f>IFERROR(INDEX(PP_Grid[#Data],$DD646,27),0)</f>
        <v/>
      </c>
      <c r="AD646">
        <f>IFERROR(INDEX(PP_Grid[#Data],$DD646,28),0)</f>
        <v/>
      </c>
      <c r="AE646">
        <f>IFERROR(INDEX(PP_Grid[#Data],$DD646,29),0)</f>
        <v/>
      </c>
      <c r="AF646">
        <f>IFERROR(INDEX(PP_Grid[#Data],$DD646,30),0)</f>
        <v/>
      </c>
      <c r="AG646">
        <f>IFERROR(INDEX(PP_Grid[#Data],$DD646,31),0)</f>
        <v/>
      </c>
      <c r="AH646">
        <f>IFERROR(INDEX(PP_Grid[#Data],$DD646,32),0)</f>
        <v/>
      </c>
      <c r="AI646">
        <f>IFERROR(INDEX(PP_Grid[#Data],$DD646,33),0)</f>
        <v/>
      </c>
      <c r="AJ646">
        <f>IFERROR(INDEX(PP_Grid[#Data],$DD646,34),0)</f>
        <v/>
      </c>
      <c r="AK646">
        <f>IFERROR(INDEX(PP_Grid[#Data],$DD646,35),0)</f>
        <v/>
      </c>
      <c r="AL646">
        <f>IFERROR(INDEX(PP_Grid[#Data],$DD646,36),0)</f>
        <v/>
      </c>
      <c r="AM646">
        <f>IFERROR(INDEX(PP_Grid[#Data],$DD646,37),0)</f>
        <v/>
      </c>
      <c r="AN646">
        <f>IFERROR(INDEX(PP_Grid[#Data],$DD646,38),0)</f>
        <v/>
      </c>
      <c r="AO646">
        <f>IFERROR(INDEX(PP_Grid[#Data],$DD646,39),0)</f>
        <v/>
      </c>
      <c r="AP646">
        <f>IFERROR(INDEX(PP_Grid[#Data],$DD646,40),0)</f>
        <v/>
      </c>
      <c r="AQ646">
        <f>IFERROR(INDEX(PP_Grid[#Data],$DD646,41),0)</f>
        <v/>
      </c>
      <c r="AR646">
        <f>IFERROR(INDEX(PP_Grid[#Data],$DD646,42),0)</f>
        <v/>
      </c>
      <c r="AS646">
        <f>IFERROR(INDEX(PP_Grid[#Data],$DD646,43),0)</f>
        <v/>
      </c>
      <c r="AT646">
        <f>IFERROR(INDEX(PP_Grid[#Data],$DD646,44),0)</f>
        <v/>
      </c>
      <c r="AU646">
        <f>IFERROR(INDEX(PP_Grid[#Data],$DD646,45),0)</f>
        <v/>
      </c>
      <c r="AV646">
        <f>IFERROR(INDEX(PP_Grid[#Data],$DD646,46),0)</f>
        <v/>
      </c>
      <c r="AW646">
        <f>IFERROR(INDEX(PP_Grid[#Data],$DD646,47),0)</f>
        <v/>
      </c>
      <c r="AX646">
        <f>IFERROR(INDEX(PP_Grid[#Data],$DD646,48),0)</f>
        <v/>
      </c>
      <c r="AY646">
        <f>IFERROR(INDEX(PP_Grid[#Data],$DD646,49),0)</f>
        <v/>
      </c>
      <c r="AZ646">
        <f>IFERROR(INDEX(PP_Grid[#Data],$DD646,50),0)</f>
        <v/>
      </c>
      <c r="BA646">
        <f>IFERROR(INDEX(PP_Grid[#Data],$DD646,51),0)</f>
        <v/>
      </c>
      <c r="BB646">
        <f>IFERROR(INDEX(PP_Grid[#Data],$DD646,52),0)</f>
        <v/>
      </c>
      <c r="BC646">
        <f>IFERROR(INDEX(PP_Grid[#Data],$DD646,53),0)</f>
        <v/>
      </c>
      <c r="BD646">
        <f>IFERROR(INDEX(PP_Grid[#Data],$DD646,54),0)</f>
        <v/>
      </c>
      <c r="BE646">
        <f>IFERROR(INDEX(PP_Grid[#Data],$DD646,55),0)</f>
        <v/>
      </c>
      <c r="BF646">
        <f>IFERROR(INDEX(PP_Grid[#Data],$DD646,56),0)</f>
        <v/>
      </c>
      <c r="BG646">
        <f>IFERROR(INDEX(PP_Grid[#Data],$DD646,57),0)</f>
        <v/>
      </c>
      <c r="BH646">
        <f>IFERROR(INDEX(PP_Grid[#Data],$DD646,58),0)</f>
        <v/>
      </c>
      <c r="BI646">
        <f>IFERROR(INDEX(PP_Grid[#Data],$DD646,59),0)</f>
        <v/>
      </c>
      <c r="BJ646">
        <f>IFERROR(INDEX(PP_Grid[#Data],$DD646,60),0)</f>
        <v/>
      </c>
      <c r="BK646">
        <f>IFERROR(INDEX(PP_Grid[#Data],$DD646,61),0)</f>
        <v/>
      </c>
      <c r="BL646">
        <f>IFERROR(INDEX(PP_Grid[#Data],$DD646,62),0)</f>
        <v/>
      </c>
      <c r="BM646">
        <f>IFERROR(INDEX(PP_Grid[#Data],$DD646,63),0)</f>
        <v/>
      </c>
      <c r="BN646">
        <f>IFERROR(INDEX(PP_Grid[#Data],$DD646,64),0)</f>
        <v/>
      </c>
      <c r="BO646">
        <f>IFERROR(INDEX(PP_Grid[#Data],$DD646,65),0)</f>
        <v/>
      </c>
      <c r="BP646">
        <f>IFERROR(INDEX(PP_Grid[#Data],$DD646,66),0)</f>
        <v/>
      </c>
      <c r="BQ646">
        <f>IFERROR(INDEX(PP_Grid[#Data],$DD646,67),0)</f>
        <v/>
      </c>
      <c r="BR646">
        <f>IFERROR(INDEX(PP_Grid[#Data],$DD646,68),0)</f>
        <v/>
      </c>
      <c r="BS646">
        <f>IFERROR(INDEX(PP_Grid[#Data],$DD646,69),0)</f>
        <v/>
      </c>
      <c r="BT646">
        <f>IFERROR(INDEX(PP_Grid[#Data],$DD646,70),0)</f>
        <v/>
      </c>
      <c r="BU646">
        <f>IFERROR(INDEX(PP_Grid[#Data],$DD646,71),0)</f>
        <v/>
      </c>
      <c r="BV646">
        <f>IFERROR(INDEX(PP_Grid[#Data],$DD646,72),0)</f>
        <v/>
      </c>
      <c r="BW646">
        <f>IFERROR(INDEX(PP_Grid[#Data],$DD646,73),0)</f>
        <v/>
      </c>
      <c r="BX646">
        <f>IFERROR(INDEX(PP_Grid[#Data],$DD646,74),0)</f>
        <v/>
      </c>
      <c r="BY646">
        <f>IFERROR(INDEX(PP_Grid[#Data],$DD646,75),0)</f>
        <v/>
      </c>
      <c r="BZ646">
        <f>IFERROR(INDEX(PP_Grid[#Data],$DD646,76),0)</f>
        <v/>
      </c>
      <c r="CA646">
        <f>IFERROR(INDEX(PP_Grid[#Data],$DD646,77),0)</f>
        <v/>
      </c>
      <c r="CB646">
        <f>IFERROR(INDEX(PP_Grid[#Data],$DD646,78),0)</f>
        <v/>
      </c>
      <c r="CC646">
        <f>IFERROR(INDEX(PP_Grid[#Data],$DD646,79),0)</f>
        <v/>
      </c>
      <c r="CD646">
        <f>IFERROR(INDEX(PP_Grid[#Data],$DD646,80),0)</f>
        <v/>
      </c>
      <c r="CE646">
        <f>IFERROR(INDEX(PP_Grid[#Data],$DD646,81),0)</f>
        <v/>
      </c>
      <c r="CF646">
        <f>IFERROR(INDEX(PP_Grid[#Data],$DD646,82),0)</f>
        <v/>
      </c>
      <c r="CG646">
        <f>IFERROR(INDEX(PP_Grid[#Data],$DD646,83),0)</f>
        <v/>
      </c>
      <c r="CH646">
        <f>IFERROR(INDEX(PP_Grid[#Data],$DD646,84),0)</f>
        <v/>
      </c>
      <c r="CI646">
        <f>IFERROR(INDEX(PP_Grid[#Data],$DD646,85),0)</f>
        <v/>
      </c>
      <c r="CJ646">
        <f>IFERROR(INDEX(PP_Grid[#Data],$DD646,86),0)</f>
        <v/>
      </c>
      <c r="CK646">
        <f>IFERROR(INDEX(PP_Grid[#Data],$DD646,87),0)</f>
        <v/>
      </c>
      <c r="CL646">
        <f>IFERROR(INDEX(PP_Grid[#Data],$DD646,88),0)</f>
        <v/>
      </c>
      <c r="CM646">
        <f>IFERROR(INDEX(PP_Grid[#Data],$DD646,89),0)</f>
        <v/>
      </c>
      <c r="CN646">
        <f>IFERROR(INDEX(PP_Grid[#Data],$DD646,90),0)</f>
        <v/>
      </c>
      <c r="CO646">
        <f>IFERROR(INDEX(PP_Grid[#Data],$DD646,91),0)</f>
        <v/>
      </c>
      <c r="CP646">
        <f>IFERROR(INDEX(PP_Grid[#Data],$DD646,92),0)</f>
        <v/>
      </c>
      <c r="CQ646">
        <f>IFERROR(INDEX(PP_Grid[#Data],$DD646,93),0)</f>
        <v/>
      </c>
      <c r="CR646">
        <f>IFERROR(INDEX(PP_Grid[#Data],$DD646,94),0)</f>
        <v/>
      </c>
      <c r="CS646">
        <f>IFERROR(INDEX(PP_Grid[#Data],$DD646,95),0)</f>
        <v/>
      </c>
      <c r="CT646">
        <f>IFERROR(INDEX(PP_Grid[#Data],$DD646,96),0)</f>
        <v/>
      </c>
      <c r="CU646">
        <f>IFERROR(INDEX(PP_Grid[#Data],$DD646,97),0)</f>
        <v/>
      </c>
      <c r="CV646">
        <f>IFERROR(INDEX(PP_Grid[#Data],$DD646,98),0)</f>
        <v/>
      </c>
      <c r="CW646">
        <f>IFERROR(INDEX(PP_Grid[#Data],$DD646,99),0)</f>
        <v/>
      </c>
      <c r="CX646">
        <f>IFERROR(INDEX(PP_Grid[#Data],$DD646,100),0)</f>
        <v/>
      </c>
      <c r="CY646">
        <f>IFERROR(INDEX(PP_Grid[#Data],$DD646,101),0)</f>
        <v/>
      </c>
      <c r="CZ646">
        <f>IFERROR(INDEX(PP_Grid[#Data],$DD646,102),0)</f>
        <v/>
      </c>
      <c r="DA646">
        <f>IFERROR(INDEX(PP_Grid[#Data],$DD646,103),0)</f>
        <v/>
      </c>
      <c r="DB646">
        <f>IFERROR(INDEX(PP_Grid[#Data],$DD646,104),0)</f>
        <v/>
      </c>
      <c r="DC646">
        <f>IFERROR(INDEX(PP_Grid[#Data],$DD646,105),0)</f>
        <v/>
      </c>
      <c r="DD646" s="12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SUMIFS(M_BOM[RM_Qty_Per_Batch],M_BOM[Intermediate],$B646,M_BOM[Part Name],$A641)</f>
        <v/>
      </c>
      <c r="D647">
        <f>$C647*D646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</row>
    <row r="648">
      <c r="B648" t="inlineStr">
        <is>
          <t>TSP-069</t>
        </is>
      </c>
      <c r="C648" t="inlineStr">
        <is>
          <t>No. of batches</t>
        </is>
      </c>
      <c r="D648">
        <f>IFERROR(INDEX(PP_Grid[#Data],$DD648,2),0)</f>
        <v/>
      </c>
      <c r="E648">
        <f>IFERROR(INDEX(PP_Grid[#Data],$DD648,3),0)</f>
        <v/>
      </c>
      <c r="F648">
        <f>IFERROR(INDEX(PP_Grid[#Data],$DD648,4),0)</f>
        <v/>
      </c>
      <c r="G648">
        <f>IFERROR(INDEX(PP_Grid[#Data],$DD648,5),0)</f>
        <v/>
      </c>
      <c r="H648">
        <f>IFERROR(INDEX(PP_Grid[#Data],$DD648,6),0)</f>
        <v/>
      </c>
      <c r="I648">
        <f>IFERROR(INDEX(PP_Grid[#Data],$DD648,7),0)</f>
        <v/>
      </c>
      <c r="J648">
        <f>IFERROR(INDEX(PP_Grid[#Data],$DD648,8),0)</f>
        <v/>
      </c>
      <c r="K648">
        <f>IFERROR(INDEX(PP_Grid[#Data],$DD648,9),0)</f>
        <v/>
      </c>
      <c r="L648">
        <f>IFERROR(INDEX(PP_Grid[#Data],$DD648,10),0)</f>
        <v/>
      </c>
      <c r="M648">
        <f>IFERROR(INDEX(PP_Grid[#Data],$DD648,11),0)</f>
        <v/>
      </c>
      <c r="N648">
        <f>IFERROR(INDEX(PP_Grid[#Data],$DD648,12),0)</f>
        <v/>
      </c>
      <c r="O648">
        <f>IFERROR(INDEX(PP_Grid[#Data],$DD648,13),0)</f>
        <v/>
      </c>
      <c r="P648">
        <f>IFERROR(INDEX(PP_Grid[#Data],$DD648,14),0)</f>
        <v/>
      </c>
      <c r="Q648">
        <f>IFERROR(INDEX(PP_Grid[#Data],$DD648,15),0)</f>
        <v/>
      </c>
      <c r="R648">
        <f>IFERROR(INDEX(PP_Grid[#Data],$DD648,16),0)</f>
        <v/>
      </c>
      <c r="S648">
        <f>IFERROR(INDEX(PP_Grid[#Data],$DD648,17),0)</f>
        <v/>
      </c>
      <c r="T648">
        <f>IFERROR(INDEX(PP_Grid[#Data],$DD648,18),0)</f>
        <v/>
      </c>
      <c r="U648">
        <f>IFERROR(INDEX(PP_Grid[#Data],$DD648,19),0)</f>
        <v/>
      </c>
      <c r="V648">
        <f>IFERROR(INDEX(PP_Grid[#Data],$DD648,20),0)</f>
        <v/>
      </c>
      <c r="W648">
        <f>IFERROR(INDEX(PP_Grid[#Data],$DD648,21),0)</f>
        <v/>
      </c>
      <c r="X648">
        <f>IFERROR(INDEX(PP_Grid[#Data],$DD648,22),0)</f>
        <v/>
      </c>
      <c r="Y648">
        <f>IFERROR(INDEX(PP_Grid[#Data],$DD648,23),0)</f>
        <v/>
      </c>
      <c r="Z648">
        <f>IFERROR(INDEX(PP_Grid[#Data],$DD648,24),0)</f>
        <v/>
      </c>
      <c r="AA648">
        <f>IFERROR(INDEX(PP_Grid[#Data],$DD648,25),0)</f>
        <v/>
      </c>
      <c r="AB648">
        <f>IFERROR(INDEX(PP_Grid[#Data],$DD648,26),0)</f>
        <v/>
      </c>
      <c r="AC648">
        <f>IFERROR(INDEX(PP_Grid[#Data],$DD648,27),0)</f>
        <v/>
      </c>
      <c r="AD648">
        <f>IFERROR(INDEX(PP_Grid[#Data],$DD648,28),0)</f>
        <v/>
      </c>
      <c r="AE648">
        <f>IFERROR(INDEX(PP_Grid[#Data],$DD648,29),0)</f>
        <v/>
      </c>
      <c r="AF648">
        <f>IFERROR(INDEX(PP_Grid[#Data],$DD648,30),0)</f>
        <v/>
      </c>
      <c r="AG648">
        <f>IFERROR(INDEX(PP_Grid[#Data],$DD648,31),0)</f>
        <v/>
      </c>
      <c r="AH648">
        <f>IFERROR(INDEX(PP_Grid[#Data],$DD648,32),0)</f>
        <v/>
      </c>
      <c r="AI648">
        <f>IFERROR(INDEX(PP_Grid[#Data],$DD648,33),0)</f>
        <v/>
      </c>
      <c r="AJ648">
        <f>IFERROR(INDEX(PP_Grid[#Data],$DD648,34),0)</f>
        <v/>
      </c>
      <c r="AK648">
        <f>IFERROR(INDEX(PP_Grid[#Data],$DD648,35),0)</f>
        <v/>
      </c>
      <c r="AL648">
        <f>IFERROR(INDEX(PP_Grid[#Data],$DD648,36),0)</f>
        <v/>
      </c>
      <c r="AM648">
        <f>IFERROR(INDEX(PP_Grid[#Data],$DD648,37),0)</f>
        <v/>
      </c>
      <c r="AN648">
        <f>IFERROR(INDEX(PP_Grid[#Data],$DD648,38),0)</f>
        <v/>
      </c>
      <c r="AO648">
        <f>IFERROR(INDEX(PP_Grid[#Data],$DD648,39),0)</f>
        <v/>
      </c>
      <c r="AP648">
        <f>IFERROR(INDEX(PP_Grid[#Data],$DD648,40),0)</f>
        <v/>
      </c>
      <c r="AQ648">
        <f>IFERROR(INDEX(PP_Grid[#Data],$DD648,41),0)</f>
        <v/>
      </c>
      <c r="AR648">
        <f>IFERROR(INDEX(PP_Grid[#Data],$DD648,42),0)</f>
        <v/>
      </c>
      <c r="AS648">
        <f>IFERROR(INDEX(PP_Grid[#Data],$DD648,43),0)</f>
        <v/>
      </c>
      <c r="AT648">
        <f>IFERROR(INDEX(PP_Grid[#Data],$DD648,44),0)</f>
        <v/>
      </c>
      <c r="AU648">
        <f>IFERROR(INDEX(PP_Grid[#Data],$DD648,45),0)</f>
        <v/>
      </c>
      <c r="AV648">
        <f>IFERROR(INDEX(PP_Grid[#Data],$DD648,46),0)</f>
        <v/>
      </c>
      <c r="AW648">
        <f>IFERROR(INDEX(PP_Grid[#Data],$DD648,47),0)</f>
        <v/>
      </c>
      <c r="AX648">
        <f>IFERROR(INDEX(PP_Grid[#Data],$DD648,48),0)</f>
        <v/>
      </c>
      <c r="AY648">
        <f>IFERROR(INDEX(PP_Grid[#Data],$DD648,49),0)</f>
        <v/>
      </c>
      <c r="AZ648">
        <f>IFERROR(INDEX(PP_Grid[#Data],$DD648,50),0)</f>
        <v/>
      </c>
      <c r="BA648">
        <f>IFERROR(INDEX(PP_Grid[#Data],$DD648,51),0)</f>
        <v/>
      </c>
      <c r="BB648">
        <f>IFERROR(INDEX(PP_Grid[#Data],$DD648,52),0)</f>
        <v/>
      </c>
      <c r="BC648">
        <f>IFERROR(INDEX(PP_Grid[#Data],$DD648,53),0)</f>
        <v/>
      </c>
      <c r="BD648">
        <f>IFERROR(INDEX(PP_Grid[#Data],$DD648,54),0)</f>
        <v/>
      </c>
      <c r="BE648">
        <f>IFERROR(INDEX(PP_Grid[#Data],$DD648,55),0)</f>
        <v/>
      </c>
      <c r="BF648">
        <f>IFERROR(INDEX(PP_Grid[#Data],$DD648,56),0)</f>
        <v/>
      </c>
      <c r="BG648">
        <f>IFERROR(INDEX(PP_Grid[#Data],$DD648,57),0)</f>
        <v/>
      </c>
      <c r="BH648">
        <f>IFERROR(INDEX(PP_Grid[#Data],$DD648,58),0)</f>
        <v/>
      </c>
      <c r="BI648">
        <f>IFERROR(INDEX(PP_Grid[#Data],$DD648,59),0)</f>
        <v/>
      </c>
      <c r="BJ648">
        <f>IFERROR(INDEX(PP_Grid[#Data],$DD648,60),0)</f>
        <v/>
      </c>
      <c r="BK648">
        <f>IFERROR(INDEX(PP_Grid[#Data],$DD648,61),0)</f>
        <v/>
      </c>
      <c r="BL648">
        <f>IFERROR(INDEX(PP_Grid[#Data],$DD648,62),0)</f>
        <v/>
      </c>
      <c r="BM648">
        <f>IFERROR(INDEX(PP_Grid[#Data],$DD648,63),0)</f>
        <v/>
      </c>
      <c r="BN648">
        <f>IFERROR(INDEX(PP_Grid[#Data],$DD648,64),0)</f>
        <v/>
      </c>
      <c r="BO648">
        <f>IFERROR(INDEX(PP_Grid[#Data],$DD648,65),0)</f>
        <v/>
      </c>
      <c r="BP648">
        <f>IFERROR(INDEX(PP_Grid[#Data],$DD648,66),0)</f>
        <v/>
      </c>
      <c r="BQ648">
        <f>IFERROR(INDEX(PP_Grid[#Data],$DD648,67),0)</f>
        <v/>
      </c>
      <c r="BR648">
        <f>IFERROR(INDEX(PP_Grid[#Data],$DD648,68),0)</f>
        <v/>
      </c>
      <c r="BS648">
        <f>IFERROR(INDEX(PP_Grid[#Data],$DD648,69),0)</f>
        <v/>
      </c>
      <c r="BT648">
        <f>IFERROR(INDEX(PP_Grid[#Data],$DD648,70),0)</f>
        <v/>
      </c>
      <c r="BU648">
        <f>IFERROR(INDEX(PP_Grid[#Data],$DD648,71),0)</f>
        <v/>
      </c>
      <c r="BV648">
        <f>IFERROR(INDEX(PP_Grid[#Data],$DD648,72),0)</f>
        <v/>
      </c>
      <c r="BW648">
        <f>IFERROR(INDEX(PP_Grid[#Data],$DD648,73),0)</f>
        <v/>
      </c>
      <c r="BX648">
        <f>IFERROR(INDEX(PP_Grid[#Data],$DD648,74),0)</f>
        <v/>
      </c>
      <c r="BY648">
        <f>IFERROR(INDEX(PP_Grid[#Data],$DD648,75),0)</f>
        <v/>
      </c>
      <c r="BZ648">
        <f>IFERROR(INDEX(PP_Grid[#Data],$DD648,76),0)</f>
        <v/>
      </c>
      <c r="CA648">
        <f>IFERROR(INDEX(PP_Grid[#Data],$DD648,77),0)</f>
        <v/>
      </c>
      <c r="CB648">
        <f>IFERROR(INDEX(PP_Grid[#Data],$DD648,78),0)</f>
        <v/>
      </c>
      <c r="CC648">
        <f>IFERROR(INDEX(PP_Grid[#Data],$DD648,79),0)</f>
        <v/>
      </c>
      <c r="CD648">
        <f>IFERROR(INDEX(PP_Grid[#Data],$DD648,80),0)</f>
        <v/>
      </c>
      <c r="CE648">
        <f>IFERROR(INDEX(PP_Grid[#Data],$DD648,81),0)</f>
        <v/>
      </c>
      <c r="CF648">
        <f>IFERROR(INDEX(PP_Grid[#Data],$DD648,82),0)</f>
        <v/>
      </c>
      <c r="CG648">
        <f>IFERROR(INDEX(PP_Grid[#Data],$DD648,83),0)</f>
        <v/>
      </c>
      <c r="CH648">
        <f>IFERROR(INDEX(PP_Grid[#Data],$DD648,84),0)</f>
        <v/>
      </c>
      <c r="CI648">
        <f>IFERROR(INDEX(PP_Grid[#Data],$DD648,85),0)</f>
        <v/>
      </c>
      <c r="CJ648">
        <f>IFERROR(INDEX(PP_Grid[#Data],$DD648,86),0)</f>
        <v/>
      </c>
      <c r="CK648">
        <f>IFERROR(INDEX(PP_Grid[#Data],$DD648,87),0)</f>
        <v/>
      </c>
      <c r="CL648">
        <f>IFERROR(INDEX(PP_Grid[#Data],$DD648,88),0)</f>
        <v/>
      </c>
      <c r="CM648">
        <f>IFERROR(INDEX(PP_Grid[#Data],$DD648,89),0)</f>
        <v/>
      </c>
      <c r="CN648">
        <f>IFERROR(INDEX(PP_Grid[#Data],$DD648,90),0)</f>
        <v/>
      </c>
      <c r="CO648">
        <f>IFERROR(INDEX(PP_Grid[#Data],$DD648,91),0)</f>
        <v/>
      </c>
      <c r="CP648">
        <f>IFERROR(INDEX(PP_Grid[#Data],$DD648,92),0)</f>
        <v/>
      </c>
      <c r="CQ648">
        <f>IFERROR(INDEX(PP_Grid[#Data],$DD648,93),0)</f>
        <v/>
      </c>
      <c r="CR648">
        <f>IFERROR(INDEX(PP_Grid[#Data],$DD648,94),0)</f>
        <v/>
      </c>
      <c r="CS648">
        <f>IFERROR(INDEX(PP_Grid[#Data],$DD648,95),0)</f>
        <v/>
      </c>
      <c r="CT648">
        <f>IFERROR(INDEX(PP_Grid[#Data],$DD648,96),0)</f>
        <v/>
      </c>
      <c r="CU648">
        <f>IFERROR(INDEX(PP_Grid[#Data],$DD648,97),0)</f>
        <v/>
      </c>
      <c r="CV648">
        <f>IFERROR(INDEX(PP_Grid[#Data],$DD648,98),0)</f>
        <v/>
      </c>
      <c r="CW648">
        <f>IFERROR(INDEX(PP_Grid[#Data],$DD648,99),0)</f>
        <v/>
      </c>
      <c r="CX648">
        <f>IFERROR(INDEX(PP_Grid[#Data],$DD648,100),0)</f>
        <v/>
      </c>
      <c r="CY648">
        <f>IFERROR(INDEX(PP_Grid[#Data],$DD648,101),0)</f>
        <v/>
      </c>
      <c r="CZ648">
        <f>IFERROR(INDEX(PP_Grid[#Data],$DD648,102),0)</f>
        <v/>
      </c>
      <c r="DA648">
        <f>IFERROR(INDEX(PP_Grid[#Data],$DD648,103),0)</f>
        <v/>
      </c>
      <c r="DB648">
        <f>IFERROR(INDEX(PP_Grid[#Data],$DD648,104),0)</f>
        <v/>
      </c>
      <c r="DC648">
        <f>IFERROR(INDEX(PP_Grid[#Data],$DD648,105),0)</f>
        <v/>
      </c>
      <c r="DD648" s="12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SUMIFS(M_BOM[RM_Qty_Per_Batch],M_BOM[Intermediate],$B648,M_BOM[Part Name],$A641)</f>
        <v/>
      </c>
      <c r="D649">
        <f>$C649*D648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</row>
    <row r="650">
      <c r="B650" t="inlineStr">
        <is>
          <t>TSP-078</t>
        </is>
      </c>
      <c r="C650" t="inlineStr">
        <is>
          <t>No. of batches</t>
        </is>
      </c>
      <c r="D650">
        <f>IFERROR(INDEX(PP_Grid[#Data],$DD650,2),0)</f>
        <v/>
      </c>
      <c r="E650">
        <f>IFERROR(INDEX(PP_Grid[#Data],$DD650,3),0)</f>
        <v/>
      </c>
      <c r="F650">
        <f>IFERROR(INDEX(PP_Grid[#Data],$DD650,4),0)</f>
        <v/>
      </c>
      <c r="G650">
        <f>IFERROR(INDEX(PP_Grid[#Data],$DD650,5),0)</f>
        <v/>
      </c>
      <c r="H650">
        <f>IFERROR(INDEX(PP_Grid[#Data],$DD650,6),0)</f>
        <v/>
      </c>
      <c r="I650">
        <f>IFERROR(INDEX(PP_Grid[#Data],$DD650,7),0)</f>
        <v/>
      </c>
      <c r="J650">
        <f>IFERROR(INDEX(PP_Grid[#Data],$DD650,8),0)</f>
        <v/>
      </c>
      <c r="K650">
        <f>IFERROR(INDEX(PP_Grid[#Data],$DD650,9),0)</f>
        <v/>
      </c>
      <c r="L650">
        <f>IFERROR(INDEX(PP_Grid[#Data],$DD650,10),0)</f>
        <v/>
      </c>
      <c r="M650">
        <f>IFERROR(INDEX(PP_Grid[#Data],$DD650,11),0)</f>
        <v/>
      </c>
      <c r="N650">
        <f>IFERROR(INDEX(PP_Grid[#Data],$DD650,12),0)</f>
        <v/>
      </c>
      <c r="O650">
        <f>IFERROR(INDEX(PP_Grid[#Data],$DD650,13),0)</f>
        <v/>
      </c>
      <c r="P650">
        <f>IFERROR(INDEX(PP_Grid[#Data],$DD650,14),0)</f>
        <v/>
      </c>
      <c r="Q650">
        <f>IFERROR(INDEX(PP_Grid[#Data],$DD650,15),0)</f>
        <v/>
      </c>
      <c r="R650">
        <f>IFERROR(INDEX(PP_Grid[#Data],$DD650,16),0)</f>
        <v/>
      </c>
      <c r="S650">
        <f>IFERROR(INDEX(PP_Grid[#Data],$DD650,17),0)</f>
        <v/>
      </c>
      <c r="T650">
        <f>IFERROR(INDEX(PP_Grid[#Data],$DD650,18),0)</f>
        <v/>
      </c>
      <c r="U650">
        <f>IFERROR(INDEX(PP_Grid[#Data],$DD650,19),0)</f>
        <v/>
      </c>
      <c r="V650">
        <f>IFERROR(INDEX(PP_Grid[#Data],$DD650,20),0)</f>
        <v/>
      </c>
      <c r="W650">
        <f>IFERROR(INDEX(PP_Grid[#Data],$DD650,21),0)</f>
        <v/>
      </c>
      <c r="X650">
        <f>IFERROR(INDEX(PP_Grid[#Data],$DD650,22),0)</f>
        <v/>
      </c>
      <c r="Y650">
        <f>IFERROR(INDEX(PP_Grid[#Data],$DD650,23),0)</f>
        <v/>
      </c>
      <c r="Z650">
        <f>IFERROR(INDEX(PP_Grid[#Data],$DD650,24),0)</f>
        <v/>
      </c>
      <c r="AA650">
        <f>IFERROR(INDEX(PP_Grid[#Data],$DD650,25),0)</f>
        <v/>
      </c>
      <c r="AB650">
        <f>IFERROR(INDEX(PP_Grid[#Data],$DD650,26),0)</f>
        <v/>
      </c>
      <c r="AC650">
        <f>IFERROR(INDEX(PP_Grid[#Data],$DD650,27),0)</f>
        <v/>
      </c>
      <c r="AD650">
        <f>IFERROR(INDEX(PP_Grid[#Data],$DD650,28),0)</f>
        <v/>
      </c>
      <c r="AE650">
        <f>IFERROR(INDEX(PP_Grid[#Data],$DD650,29),0)</f>
        <v/>
      </c>
      <c r="AF650">
        <f>IFERROR(INDEX(PP_Grid[#Data],$DD650,30),0)</f>
        <v/>
      </c>
      <c r="AG650">
        <f>IFERROR(INDEX(PP_Grid[#Data],$DD650,31),0)</f>
        <v/>
      </c>
      <c r="AH650">
        <f>IFERROR(INDEX(PP_Grid[#Data],$DD650,32),0)</f>
        <v/>
      </c>
      <c r="AI650">
        <f>IFERROR(INDEX(PP_Grid[#Data],$DD650,33),0)</f>
        <v/>
      </c>
      <c r="AJ650">
        <f>IFERROR(INDEX(PP_Grid[#Data],$DD650,34),0)</f>
        <v/>
      </c>
      <c r="AK650">
        <f>IFERROR(INDEX(PP_Grid[#Data],$DD650,35),0)</f>
        <v/>
      </c>
      <c r="AL650">
        <f>IFERROR(INDEX(PP_Grid[#Data],$DD650,36),0)</f>
        <v/>
      </c>
      <c r="AM650">
        <f>IFERROR(INDEX(PP_Grid[#Data],$DD650,37),0)</f>
        <v/>
      </c>
      <c r="AN650">
        <f>IFERROR(INDEX(PP_Grid[#Data],$DD650,38),0)</f>
        <v/>
      </c>
      <c r="AO650">
        <f>IFERROR(INDEX(PP_Grid[#Data],$DD650,39),0)</f>
        <v/>
      </c>
      <c r="AP650">
        <f>IFERROR(INDEX(PP_Grid[#Data],$DD650,40),0)</f>
        <v/>
      </c>
      <c r="AQ650">
        <f>IFERROR(INDEX(PP_Grid[#Data],$DD650,41),0)</f>
        <v/>
      </c>
      <c r="AR650">
        <f>IFERROR(INDEX(PP_Grid[#Data],$DD650,42),0)</f>
        <v/>
      </c>
      <c r="AS650">
        <f>IFERROR(INDEX(PP_Grid[#Data],$DD650,43),0)</f>
        <v/>
      </c>
      <c r="AT650">
        <f>IFERROR(INDEX(PP_Grid[#Data],$DD650,44),0)</f>
        <v/>
      </c>
      <c r="AU650">
        <f>IFERROR(INDEX(PP_Grid[#Data],$DD650,45),0)</f>
        <v/>
      </c>
      <c r="AV650">
        <f>IFERROR(INDEX(PP_Grid[#Data],$DD650,46),0)</f>
        <v/>
      </c>
      <c r="AW650">
        <f>IFERROR(INDEX(PP_Grid[#Data],$DD650,47),0)</f>
        <v/>
      </c>
      <c r="AX650">
        <f>IFERROR(INDEX(PP_Grid[#Data],$DD650,48),0)</f>
        <v/>
      </c>
      <c r="AY650">
        <f>IFERROR(INDEX(PP_Grid[#Data],$DD650,49),0)</f>
        <v/>
      </c>
      <c r="AZ650">
        <f>IFERROR(INDEX(PP_Grid[#Data],$DD650,50),0)</f>
        <v/>
      </c>
      <c r="BA650">
        <f>IFERROR(INDEX(PP_Grid[#Data],$DD650,51),0)</f>
        <v/>
      </c>
      <c r="BB650">
        <f>IFERROR(INDEX(PP_Grid[#Data],$DD650,52),0)</f>
        <v/>
      </c>
      <c r="BC650">
        <f>IFERROR(INDEX(PP_Grid[#Data],$DD650,53),0)</f>
        <v/>
      </c>
      <c r="BD650">
        <f>IFERROR(INDEX(PP_Grid[#Data],$DD650,54),0)</f>
        <v/>
      </c>
      <c r="BE650">
        <f>IFERROR(INDEX(PP_Grid[#Data],$DD650,55),0)</f>
        <v/>
      </c>
      <c r="BF650">
        <f>IFERROR(INDEX(PP_Grid[#Data],$DD650,56),0)</f>
        <v/>
      </c>
      <c r="BG650">
        <f>IFERROR(INDEX(PP_Grid[#Data],$DD650,57),0)</f>
        <v/>
      </c>
      <c r="BH650">
        <f>IFERROR(INDEX(PP_Grid[#Data],$DD650,58),0)</f>
        <v/>
      </c>
      <c r="BI650">
        <f>IFERROR(INDEX(PP_Grid[#Data],$DD650,59),0)</f>
        <v/>
      </c>
      <c r="BJ650">
        <f>IFERROR(INDEX(PP_Grid[#Data],$DD650,60),0)</f>
        <v/>
      </c>
      <c r="BK650">
        <f>IFERROR(INDEX(PP_Grid[#Data],$DD650,61),0)</f>
        <v/>
      </c>
      <c r="BL650">
        <f>IFERROR(INDEX(PP_Grid[#Data],$DD650,62),0)</f>
        <v/>
      </c>
      <c r="BM650">
        <f>IFERROR(INDEX(PP_Grid[#Data],$DD650,63),0)</f>
        <v/>
      </c>
      <c r="BN650">
        <f>IFERROR(INDEX(PP_Grid[#Data],$DD650,64),0)</f>
        <v/>
      </c>
      <c r="BO650">
        <f>IFERROR(INDEX(PP_Grid[#Data],$DD650,65),0)</f>
        <v/>
      </c>
      <c r="BP650">
        <f>IFERROR(INDEX(PP_Grid[#Data],$DD650,66),0)</f>
        <v/>
      </c>
      <c r="BQ650">
        <f>IFERROR(INDEX(PP_Grid[#Data],$DD650,67),0)</f>
        <v/>
      </c>
      <c r="BR650">
        <f>IFERROR(INDEX(PP_Grid[#Data],$DD650,68),0)</f>
        <v/>
      </c>
      <c r="BS650">
        <f>IFERROR(INDEX(PP_Grid[#Data],$DD650,69),0)</f>
        <v/>
      </c>
      <c r="BT650">
        <f>IFERROR(INDEX(PP_Grid[#Data],$DD650,70),0)</f>
        <v/>
      </c>
      <c r="BU650">
        <f>IFERROR(INDEX(PP_Grid[#Data],$DD650,71),0)</f>
        <v/>
      </c>
      <c r="BV650">
        <f>IFERROR(INDEX(PP_Grid[#Data],$DD650,72),0)</f>
        <v/>
      </c>
      <c r="BW650">
        <f>IFERROR(INDEX(PP_Grid[#Data],$DD650,73),0)</f>
        <v/>
      </c>
      <c r="BX650">
        <f>IFERROR(INDEX(PP_Grid[#Data],$DD650,74),0)</f>
        <v/>
      </c>
      <c r="BY650">
        <f>IFERROR(INDEX(PP_Grid[#Data],$DD650,75),0)</f>
        <v/>
      </c>
      <c r="BZ650">
        <f>IFERROR(INDEX(PP_Grid[#Data],$DD650,76),0)</f>
        <v/>
      </c>
      <c r="CA650">
        <f>IFERROR(INDEX(PP_Grid[#Data],$DD650,77),0)</f>
        <v/>
      </c>
      <c r="CB650">
        <f>IFERROR(INDEX(PP_Grid[#Data],$DD650,78),0)</f>
        <v/>
      </c>
      <c r="CC650">
        <f>IFERROR(INDEX(PP_Grid[#Data],$DD650,79),0)</f>
        <v/>
      </c>
      <c r="CD650">
        <f>IFERROR(INDEX(PP_Grid[#Data],$DD650,80),0)</f>
        <v/>
      </c>
      <c r="CE650">
        <f>IFERROR(INDEX(PP_Grid[#Data],$DD650,81),0)</f>
        <v/>
      </c>
      <c r="CF650">
        <f>IFERROR(INDEX(PP_Grid[#Data],$DD650,82),0)</f>
        <v/>
      </c>
      <c r="CG650">
        <f>IFERROR(INDEX(PP_Grid[#Data],$DD650,83),0)</f>
        <v/>
      </c>
      <c r="CH650">
        <f>IFERROR(INDEX(PP_Grid[#Data],$DD650,84),0)</f>
        <v/>
      </c>
      <c r="CI650">
        <f>IFERROR(INDEX(PP_Grid[#Data],$DD650,85),0)</f>
        <v/>
      </c>
      <c r="CJ650">
        <f>IFERROR(INDEX(PP_Grid[#Data],$DD650,86),0)</f>
        <v/>
      </c>
      <c r="CK650">
        <f>IFERROR(INDEX(PP_Grid[#Data],$DD650,87),0)</f>
        <v/>
      </c>
      <c r="CL650">
        <f>IFERROR(INDEX(PP_Grid[#Data],$DD650,88),0)</f>
        <v/>
      </c>
      <c r="CM650">
        <f>IFERROR(INDEX(PP_Grid[#Data],$DD650,89),0)</f>
        <v/>
      </c>
      <c r="CN650">
        <f>IFERROR(INDEX(PP_Grid[#Data],$DD650,90),0)</f>
        <v/>
      </c>
      <c r="CO650">
        <f>IFERROR(INDEX(PP_Grid[#Data],$DD650,91),0)</f>
        <v/>
      </c>
      <c r="CP650">
        <f>IFERROR(INDEX(PP_Grid[#Data],$DD650,92),0)</f>
        <v/>
      </c>
      <c r="CQ650">
        <f>IFERROR(INDEX(PP_Grid[#Data],$DD650,93),0)</f>
        <v/>
      </c>
      <c r="CR650">
        <f>IFERROR(INDEX(PP_Grid[#Data],$DD650,94),0)</f>
        <v/>
      </c>
      <c r="CS650">
        <f>IFERROR(INDEX(PP_Grid[#Data],$DD650,95),0)</f>
        <v/>
      </c>
      <c r="CT650">
        <f>IFERROR(INDEX(PP_Grid[#Data],$DD650,96),0)</f>
        <v/>
      </c>
      <c r="CU650">
        <f>IFERROR(INDEX(PP_Grid[#Data],$DD650,97),0)</f>
        <v/>
      </c>
      <c r="CV650">
        <f>IFERROR(INDEX(PP_Grid[#Data],$DD650,98),0)</f>
        <v/>
      </c>
      <c r="CW650">
        <f>IFERROR(INDEX(PP_Grid[#Data],$DD650,99),0)</f>
        <v/>
      </c>
      <c r="CX650">
        <f>IFERROR(INDEX(PP_Grid[#Data],$DD650,100),0)</f>
        <v/>
      </c>
      <c r="CY650">
        <f>IFERROR(INDEX(PP_Grid[#Data],$DD650,101),0)</f>
        <v/>
      </c>
      <c r="CZ650">
        <f>IFERROR(INDEX(PP_Grid[#Data],$DD650,102),0)</f>
        <v/>
      </c>
      <c r="DA650">
        <f>IFERROR(INDEX(PP_Grid[#Data],$DD650,103),0)</f>
        <v/>
      </c>
      <c r="DB650">
        <f>IFERROR(INDEX(PP_Grid[#Data],$DD650,104),0)</f>
        <v/>
      </c>
      <c r="DC650">
        <f>IFERROR(INDEX(PP_Grid[#Data],$DD650,105),0)</f>
        <v/>
      </c>
      <c r="DD650" s="12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SUMIFS(M_BOM[RM_Qty_Per_Batch],M_BOM[Intermediate],$B650,M_BOM[Part Name],$A641)</f>
        <v/>
      </c>
      <c r="D651">
        <f>$C651*D650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</row>
    <row r="652">
      <c r="B652" t="inlineStr">
        <is>
          <t>TSP-080</t>
        </is>
      </c>
      <c r="C652" t="inlineStr">
        <is>
          <t>No. of batches</t>
        </is>
      </c>
      <c r="D652">
        <f>IFERROR(INDEX(PP_Grid[#Data],$DD652,2),0)</f>
        <v/>
      </c>
      <c r="E652">
        <f>IFERROR(INDEX(PP_Grid[#Data],$DD652,3),0)</f>
        <v/>
      </c>
      <c r="F652">
        <f>IFERROR(INDEX(PP_Grid[#Data],$DD652,4),0)</f>
        <v/>
      </c>
      <c r="G652">
        <f>IFERROR(INDEX(PP_Grid[#Data],$DD652,5),0)</f>
        <v/>
      </c>
      <c r="H652">
        <f>IFERROR(INDEX(PP_Grid[#Data],$DD652,6),0)</f>
        <v/>
      </c>
      <c r="I652">
        <f>IFERROR(INDEX(PP_Grid[#Data],$DD652,7),0)</f>
        <v/>
      </c>
      <c r="J652">
        <f>IFERROR(INDEX(PP_Grid[#Data],$DD652,8),0)</f>
        <v/>
      </c>
      <c r="K652">
        <f>IFERROR(INDEX(PP_Grid[#Data],$DD652,9),0)</f>
        <v/>
      </c>
      <c r="L652">
        <f>IFERROR(INDEX(PP_Grid[#Data],$DD652,10),0)</f>
        <v/>
      </c>
      <c r="M652">
        <f>IFERROR(INDEX(PP_Grid[#Data],$DD652,11),0)</f>
        <v/>
      </c>
      <c r="N652">
        <f>IFERROR(INDEX(PP_Grid[#Data],$DD652,12),0)</f>
        <v/>
      </c>
      <c r="O652">
        <f>IFERROR(INDEX(PP_Grid[#Data],$DD652,13),0)</f>
        <v/>
      </c>
      <c r="P652">
        <f>IFERROR(INDEX(PP_Grid[#Data],$DD652,14),0)</f>
        <v/>
      </c>
      <c r="Q652">
        <f>IFERROR(INDEX(PP_Grid[#Data],$DD652,15),0)</f>
        <v/>
      </c>
      <c r="R652">
        <f>IFERROR(INDEX(PP_Grid[#Data],$DD652,16),0)</f>
        <v/>
      </c>
      <c r="S652">
        <f>IFERROR(INDEX(PP_Grid[#Data],$DD652,17),0)</f>
        <v/>
      </c>
      <c r="T652">
        <f>IFERROR(INDEX(PP_Grid[#Data],$DD652,18),0)</f>
        <v/>
      </c>
      <c r="U652">
        <f>IFERROR(INDEX(PP_Grid[#Data],$DD652,19),0)</f>
        <v/>
      </c>
      <c r="V652">
        <f>IFERROR(INDEX(PP_Grid[#Data],$DD652,20),0)</f>
        <v/>
      </c>
      <c r="W652">
        <f>IFERROR(INDEX(PP_Grid[#Data],$DD652,21),0)</f>
        <v/>
      </c>
      <c r="X652">
        <f>IFERROR(INDEX(PP_Grid[#Data],$DD652,22),0)</f>
        <v/>
      </c>
      <c r="Y652">
        <f>IFERROR(INDEX(PP_Grid[#Data],$DD652,23),0)</f>
        <v/>
      </c>
      <c r="Z652">
        <f>IFERROR(INDEX(PP_Grid[#Data],$DD652,24),0)</f>
        <v/>
      </c>
      <c r="AA652">
        <f>IFERROR(INDEX(PP_Grid[#Data],$DD652,25),0)</f>
        <v/>
      </c>
      <c r="AB652">
        <f>IFERROR(INDEX(PP_Grid[#Data],$DD652,26),0)</f>
        <v/>
      </c>
      <c r="AC652">
        <f>IFERROR(INDEX(PP_Grid[#Data],$DD652,27),0)</f>
        <v/>
      </c>
      <c r="AD652">
        <f>IFERROR(INDEX(PP_Grid[#Data],$DD652,28),0)</f>
        <v/>
      </c>
      <c r="AE652">
        <f>IFERROR(INDEX(PP_Grid[#Data],$DD652,29),0)</f>
        <v/>
      </c>
      <c r="AF652">
        <f>IFERROR(INDEX(PP_Grid[#Data],$DD652,30),0)</f>
        <v/>
      </c>
      <c r="AG652">
        <f>IFERROR(INDEX(PP_Grid[#Data],$DD652,31),0)</f>
        <v/>
      </c>
      <c r="AH652">
        <f>IFERROR(INDEX(PP_Grid[#Data],$DD652,32),0)</f>
        <v/>
      </c>
      <c r="AI652">
        <f>IFERROR(INDEX(PP_Grid[#Data],$DD652,33),0)</f>
        <v/>
      </c>
      <c r="AJ652">
        <f>IFERROR(INDEX(PP_Grid[#Data],$DD652,34),0)</f>
        <v/>
      </c>
      <c r="AK652">
        <f>IFERROR(INDEX(PP_Grid[#Data],$DD652,35),0)</f>
        <v/>
      </c>
      <c r="AL652">
        <f>IFERROR(INDEX(PP_Grid[#Data],$DD652,36),0)</f>
        <v/>
      </c>
      <c r="AM652">
        <f>IFERROR(INDEX(PP_Grid[#Data],$DD652,37),0)</f>
        <v/>
      </c>
      <c r="AN652">
        <f>IFERROR(INDEX(PP_Grid[#Data],$DD652,38),0)</f>
        <v/>
      </c>
      <c r="AO652">
        <f>IFERROR(INDEX(PP_Grid[#Data],$DD652,39),0)</f>
        <v/>
      </c>
      <c r="AP652">
        <f>IFERROR(INDEX(PP_Grid[#Data],$DD652,40),0)</f>
        <v/>
      </c>
      <c r="AQ652">
        <f>IFERROR(INDEX(PP_Grid[#Data],$DD652,41),0)</f>
        <v/>
      </c>
      <c r="AR652">
        <f>IFERROR(INDEX(PP_Grid[#Data],$DD652,42),0)</f>
        <v/>
      </c>
      <c r="AS652">
        <f>IFERROR(INDEX(PP_Grid[#Data],$DD652,43),0)</f>
        <v/>
      </c>
      <c r="AT652">
        <f>IFERROR(INDEX(PP_Grid[#Data],$DD652,44),0)</f>
        <v/>
      </c>
      <c r="AU652">
        <f>IFERROR(INDEX(PP_Grid[#Data],$DD652,45),0)</f>
        <v/>
      </c>
      <c r="AV652">
        <f>IFERROR(INDEX(PP_Grid[#Data],$DD652,46),0)</f>
        <v/>
      </c>
      <c r="AW652">
        <f>IFERROR(INDEX(PP_Grid[#Data],$DD652,47),0)</f>
        <v/>
      </c>
      <c r="AX652">
        <f>IFERROR(INDEX(PP_Grid[#Data],$DD652,48),0)</f>
        <v/>
      </c>
      <c r="AY652">
        <f>IFERROR(INDEX(PP_Grid[#Data],$DD652,49),0)</f>
        <v/>
      </c>
      <c r="AZ652">
        <f>IFERROR(INDEX(PP_Grid[#Data],$DD652,50),0)</f>
        <v/>
      </c>
      <c r="BA652">
        <f>IFERROR(INDEX(PP_Grid[#Data],$DD652,51),0)</f>
        <v/>
      </c>
      <c r="BB652">
        <f>IFERROR(INDEX(PP_Grid[#Data],$DD652,52),0)</f>
        <v/>
      </c>
      <c r="BC652">
        <f>IFERROR(INDEX(PP_Grid[#Data],$DD652,53),0)</f>
        <v/>
      </c>
      <c r="BD652">
        <f>IFERROR(INDEX(PP_Grid[#Data],$DD652,54),0)</f>
        <v/>
      </c>
      <c r="BE652">
        <f>IFERROR(INDEX(PP_Grid[#Data],$DD652,55),0)</f>
        <v/>
      </c>
      <c r="BF652">
        <f>IFERROR(INDEX(PP_Grid[#Data],$DD652,56),0)</f>
        <v/>
      </c>
      <c r="BG652">
        <f>IFERROR(INDEX(PP_Grid[#Data],$DD652,57),0)</f>
        <v/>
      </c>
      <c r="BH652">
        <f>IFERROR(INDEX(PP_Grid[#Data],$DD652,58),0)</f>
        <v/>
      </c>
      <c r="BI652">
        <f>IFERROR(INDEX(PP_Grid[#Data],$DD652,59),0)</f>
        <v/>
      </c>
      <c r="BJ652">
        <f>IFERROR(INDEX(PP_Grid[#Data],$DD652,60),0)</f>
        <v/>
      </c>
      <c r="BK652">
        <f>IFERROR(INDEX(PP_Grid[#Data],$DD652,61),0)</f>
        <v/>
      </c>
      <c r="BL652">
        <f>IFERROR(INDEX(PP_Grid[#Data],$DD652,62),0)</f>
        <v/>
      </c>
      <c r="BM652">
        <f>IFERROR(INDEX(PP_Grid[#Data],$DD652,63),0)</f>
        <v/>
      </c>
      <c r="BN652">
        <f>IFERROR(INDEX(PP_Grid[#Data],$DD652,64),0)</f>
        <v/>
      </c>
      <c r="BO652">
        <f>IFERROR(INDEX(PP_Grid[#Data],$DD652,65),0)</f>
        <v/>
      </c>
      <c r="BP652">
        <f>IFERROR(INDEX(PP_Grid[#Data],$DD652,66),0)</f>
        <v/>
      </c>
      <c r="BQ652">
        <f>IFERROR(INDEX(PP_Grid[#Data],$DD652,67),0)</f>
        <v/>
      </c>
      <c r="BR652">
        <f>IFERROR(INDEX(PP_Grid[#Data],$DD652,68),0)</f>
        <v/>
      </c>
      <c r="BS652">
        <f>IFERROR(INDEX(PP_Grid[#Data],$DD652,69),0)</f>
        <v/>
      </c>
      <c r="BT652">
        <f>IFERROR(INDEX(PP_Grid[#Data],$DD652,70),0)</f>
        <v/>
      </c>
      <c r="BU652">
        <f>IFERROR(INDEX(PP_Grid[#Data],$DD652,71),0)</f>
        <v/>
      </c>
      <c r="BV652">
        <f>IFERROR(INDEX(PP_Grid[#Data],$DD652,72),0)</f>
        <v/>
      </c>
      <c r="BW652">
        <f>IFERROR(INDEX(PP_Grid[#Data],$DD652,73),0)</f>
        <v/>
      </c>
      <c r="BX652">
        <f>IFERROR(INDEX(PP_Grid[#Data],$DD652,74),0)</f>
        <v/>
      </c>
      <c r="BY652">
        <f>IFERROR(INDEX(PP_Grid[#Data],$DD652,75),0)</f>
        <v/>
      </c>
      <c r="BZ652">
        <f>IFERROR(INDEX(PP_Grid[#Data],$DD652,76),0)</f>
        <v/>
      </c>
      <c r="CA652">
        <f>IFERROR(INDEX(PP_Grid[#Data],$DD652,77),0)</f>
        <v/>
      </c>
      <c r="CB652">
        <f>IFERROR(INDEX(PP_Grid[#Data],$DD652,78),0)</f>
        <v/>
      </c>
      <c r="CC652">
        <f>IFERROR(INDEX(PP_Grid[#Data],$DD652,79),0)</f>
        <v/>
      </c>
      <c r="CD652">
        <f>IFERROR(INDEX(PP_Grid[#Data],$DD652,80),0)</f>
        <v/>
      </c>
      <c r="CE652">
        <f>IFERROR(INDEX(PP_Grid[#Data],$DD652,81),0)</f>
        <v/>
      </c>
      <c r="CF652">
        <f>IFERROR(INDEX(PP_Grid[#Data],$DD652,82),0)</f>
        <v/>
      </c>
      <c r="CG652">
        <f>IFERROR(INDEX(PP_Grid[#Data],$DD652,83),0)</f>
        <v/>
      </c>
      <c r="CH652">
        <f>IFERROR(INDEX(PP_Grid[#Data],$DD652,84),0)</f>
        <v/>
      </c>
      <c r="CI652">
        <f>IFERROR(INDEX(PP_Grid[#Data],$DD652,85),0)</f>
        <v/>
      </c>
      <c r="CJ652">
        <f>IFERROR(INDEX(PP_Grid[#Data],$DD652,86),0)</f>
        <v/>
      </c>
      <c r="CK652">
        <f>IFERROR(INDEX(PP_Grid[#Data],$DD652,87),0)</f>
        <v/>
      </c>
      <c r="CL652">
        <f>IFERROR(INDEX(PP_Grid[#Data],$DD652,88),0)</f>
        <v/>
      </c>
      <c r="CM652">
        <f>IFERROR(INDEX(PP_Grid[#Data],$DD652,89),0)</f>
        <v/>
      </c>
      <c r="CN652">
        <f>IFERROR(INDEX(PP_Grid[#Data],$DD652,90),0)</f>
        <v/>
      </c>
      <c r="CO652">
        <f>IFERROR(INDEX(PP_Grid[#Data],$DD652,91),0)</f>
        <v/>
      </c>
      <c r="CP652">
        <f>IFERROR(INDEX(PP_Grid[#Data],$DD652,92),0)</f>
        <v/>
      </c>
      <c r="CQ652">
        <f>IFERROR(INDEX(PP_Grid[#Data],$DD652,93),0)</f>
        <v/>
      </c>
      <c r="CR652">
        <f>IFERROR(INDEX(PP_Grid[#Data],$DD652,94),0)</f>
        <v/>
      </c>
      <c r="CS652">
        <f>IFERROR(INDEX(PP_Grid[#Data],$DD652,95),0)</f>
        <v/>
      </c>
      <c r="CT652">
        <f>IFERROR(INDEX(PP_Grid[#Data],$DD652,96),0)</f>
        <v/>
      </c>
      <c r="CU652">
        <f>IFERROR(INDEX(PP_Grid[#Data],$DD652,97),0)</f>
        <v/>
      </c>
      <c r="CV652">
        <f>IFERROR(INDEX(PP_Grid[#Data],$DD652,98),0)</f>
        <v/>
      </c>
      <c r="CW652">
        <f>IFERROR(INDEX(PP_Grid[#Data],$DD652,99),0)</f>
        <v/>
      </c>
      <c r="CX652">
        <f>IFERROR(INDEX(PP_Grid[#Data],$DD652,100),0)</f>
        <v/>
      </c>
      <c r="CY652">
        <f>IFERROR(INDEX(PP_Grid[#Data],$DD652,101),0)</f>
        <v/>
      </c>
      <c r="CZ652">
        <f>IFERROR(INDEX(PP_Grid[#Data],$DD652,102),0)</f>
        <v/>
      </c>
      <c r="DA652">
        <f>IFERROR(INDEX(PP_Grid[#Data],$DD652,103),0)</f>
        <v/>
      </c>
      <c r="DB652">
        <f>IFERROR(INDEX(PP_Grid[#Data],$DD652,104),0)</f>
        <v/>
      </c>
      <c r="DC652">
        <f>IFERROR(INDEX(PP_Grid[#Data],$DD652,105),0)</f>
        <v/>
      </c>
      <c r="DD652" s="12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SUMIFS(M_BOM[RM_Qty_Per_Batch],M_BOM[Intermediate],$B652,M_BOM[Part Name],$A641)</f>
        <v/>
      </c>
      <c r="D653">
        <f>$C653*D652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</row>
    <row r="654">
      <c r="B654" t="inlineStr">
        <is>
          <t>TSP-104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12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Name],$A641)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TSP-105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12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Name],$A641)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TSP-1388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12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Name],$A641)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TSP-1444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12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Name],$A641)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TSP-1445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12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Name],$A641)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TSP-1446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12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Name],$A641)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TSP-1448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12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Name],$A641)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TSP-1449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12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Name],$A641)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t="inlineStr">
        <is>
          <t>TSP-1499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12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Name],$A641)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TSP-1555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12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Name],$A641)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t="inlineStr">
        <is>
          <t>TSP-1558</t>
        </is>
      </c>
      <c r="C674" t="inlineStr">
        <is>
          <t>No. of batches</t>
        </is>
      </c>
      <c r="D674">
        <f>IFERROR(INDEX(PP_Grid[#Data],$DD674,2),0)</f>
        <v/>
      </c>
      <c r="E674">
        <f>IFERROR(INDEX(PP_Grid[#Data],$DD674,3),0)</f>
        <v/>
      </c>
      <c r="F674">
        <f>IFERROR(INDEX(PP_Grid[#Data],$DD674,4),0)</f>
        <v/>
      </c>
      <c r="G674">
        <f>IFERROR(INDEX(PP_Grid[#Data],$DD674,5),0)</f>
        <v/>
      </c>
      <c r="H674">
        <f>IFERROR(INDEX(PP_Grid[#Data],$DD674,6),0)</f>
        <v/>
      </c>
      <c r="I674">
        <f>IFERROR(INDEX(PP_Grid[#Data],$DD674,7),0)</f>
        <v/>
      </c>
      <c r="J674">
        <f>IFERROR(INDEX(PP_Grid[#Data],$DD674,8),0)</f>
        <v/>
      </c>
      <c r="K674">
        <f>IFERROR(INDEX(PP_Grid[#Data],$DD674,9),0)</f>
        <v/>
      </c>
      <c r="L674">
        <f>IFERROR(INDEX(PP_Grid[#Data],$DD674,10),0)</f>
        <v/>
      </c>
      <c r="M674">
        <f>IFERROR(INDEX(PP_Grid[#Data],$DD674,11),0)</f>
        <v/>
      </c>
      <c r="N674">
        <f>IFERROR(INDEX(PP_Grid[#Data],$DD674,12),0)</f>
        <v/>
      </c>
      <c r="O674">
        <f>IFERROR(INDEX(PP_Grid[#Data],$DD674,13),0)</f>
        <v/>
      </c>
      <c r="P674">
        <f>IFERROR(INDEX(PP_Grid[#Data],$DD674,14),0)</f>
        <v/>
      </c>
      <c r="Q674">
        <f>IFERROR(INDEX(PP_Grid[#Data],$DD674,15),0)</f>
        <v/>
      </c>
      <c r="R674">
        <f>IFERROR(INDEX(PP_Grid[#Data],$DD674,16),0)</f>
        <v/>
      </c>
      <c r="S674">
        <f>IFERROR(INDEX(PP_Grid[#Data],$DD674,17),0)</f>
        <v/>
      </c>
      <c r="T674">
        <f>IFERROR(INDEX(PP_Grid[#Data],$DD674,18),0)</f>
        <v/>
      </c>
      <c r="U674">
        <f>IFERROR(INDEX(PP_Grid[#Data],$DD674,19),0)</f>
        <v/>
      </c>
      <c r="V674">
        <f>IFERROR(INDEX(PP_Grid[#Data],$DD674,20),0)</f>
        <v/>
      </c>
      <c r="W674">
        <f>IFERROR(INDEX(PP_Grid[#Data],$DD674,21),0)</f>
        <v/>
      </c>
      <c r="X674">
        <f>IFERROR(INDEX(PP_Grid[#Data],$DD674,22),0)</f>
        <v/>
      </c>
      <c r="Y674">
        <f>IFERROR(INDEX(PP_Grid[#Data],$DD674,23),0)</f>
        <v/>
      </c>
      <c r="Z674">
        <f>IFERROR(INDEX(PP_Grid[#Data],$DD674,24),0)</f>
        <v/>
      </c>
      <c r="AA674">
        <f>IFERROR(INDEX(PP_Grid[#Data],$DD674,25),0)</f>
        <v/>
      </c>
      <c r="AB674">
        <f>IFERROR(INDEX(PP_Grid[#Data],$DD674,26),0)</f>
        <v/>
      </c>
      <c r="AC674">
        <f>IFERROR(INDEX(PP_Grid[#Data],$DD674,27),0)</f>
        <v/>
      </c>
      <c r="AD674">
        <f>IFERROR(INDEX(PP_Grid[#Data],$DD674,28),0)</f>
        <v/>
      </c>
      <c r="AE674">
        <f>IFERROR(INDEX(PP_Grid[#Data],$DD674,29),0)</f>
        <v/>
      </c>
      <c r="AF674">
        <f>IFERROR(INDEX(PP_Grid[#Data],$DD674,30),0)</f>
        <v/>
      </c>
      <c r="AG674">
        <f>IFERROR(INDEX(PP_Grid[#Data],$DD674,31),0)</f>
        <v/>
      </c>
      <c r="AH674">
        <f>IFERROR(INDEX(PP_Grid[#Data],$DD674,32),0)</f>
        <v/>
      </c>
      <c r="AI674">
        <f>IFERROR(INDEX(PP_Grid[#Data],$DD674,33),0)</f>
        <v/>
      </c>
      <c r="AJ674">
        <f>IFERROR(INDEX(PP_Grid[#Data],$DD674,34),0)</f>
        <v/>
      </c>
      <c r="AK674">
        <f>IFERROR(INDEX(PP_Grid[#Data],$DD674,35),0)</f>
        <v/>
      </c>
      <c r="AL674">
        <f>IFERROR(INDEX(PP_Grid[#Data],$DD674,36),0)</f>
        <v/>
      </c>
      <c r="AM674">
        <f>IFERROR(INDEX(PP_Grid[#Data],$DD674,37),0)</f>
        <v/>
      </c>
      <c r="AN674">
        <f>IFERROR(INDEX(PP_Grid[#Data],$DD674,38),0)</f>
        <v/>
      </c>
      <c r="AO674">
        <f>IFERROR(INDEX(PP_Grid[#Data],$DD674,39),0)</f>
        <v/>
      </c>
      <c r="AP674">
        <f>IFERROR(INDEX(PP_Grid[#Data],$DD674,40),0)</f>
        <v/>
      </c>
      <c r="AQ674">
        <f>IFERROR(INDEX(PP_Grid[#Data],$DD674,41),0)</f>
        <v/>
      </c>
      <c r="AR674">
        <f>IFERROR(INDEX(PP_Grid[#Data],$DD674,42),0)</f>
        <v/>
      </c>
      <c r="AS674">
        <f>IFERROR(INDEX(PP_Grid[#Data],$DD674,43),0)</f>
        <v/>
      </c>
      <c r="AT674">
        <f>IFERROR(INDEX(PP_Grid[#Data],$DD674,44),0)</f>
        <v/>
      </c>
      <c r="AU674">
        <f>IFERROR(INDEX(PP_Grid[#Data],$DD674,45),0)</f>
        <v/>
      </c>
      <c r="AV674">
        <f>IFERROR(INDEX(PP_Grid[#Data],$DD674,46),0)</f>
        <v/>
      </c>
      <c r="AW674">
        <f>IFERROR(INDEX(PP_Grid[#Data],$DD674,47),0)</f>
        <v/>
      </c>
      <c r="AX674">
        <f>IFERROR(INDEX(PP_Grid[#Data],$DD674,48),0)</f>
        <v/>
      </c>
      <c r="AY674">
        <f>IFERROR(INDEX(PP_Grid[#Data],$DD674,49),0)</f>
        <v/>
      </c>
      <c r="AZ674">
        <f>IFERROR(INDEX(PP_Grid[#Data],$DD674,50),0)</f>
        <v/>
      </c>
      <c r="BA674">
        <f>IFERROR(INDEX(PP_Grid[#Data],$DD674,51),0)</f>
        <v/>
      </c>
      <c r="BB674">
        <f>IFERROR(INDEX(PP_Grid[#Data],$DD674,52),0)</f>
        <v/>
      </c>
      <c r="BC674">
        <f>IFERROR(INDEX(PP_Grid[#Data],$DD674,53),0)</f>
        <v/>
      </c>
      <c r="BD674">
        <f>IFERROR(INDEX(PP_Grid[#Data],$DD674,54),0)</f>
        <v/>
      </c>
      <c r="BE674">
        <f>IFERROR(INDEX(PP_Grid[#Data],$DD674,55),0)</f>
        <v/>
      </c>
      <c r="BF674">
        <f>IFERROR(INDEX(PP_Grid[#Data],$DD674,56),0)</f>
        <v/>
      </c>
      <c r="BG674">
        <f>IFERROR(INDEX(PP_Grid[#Data],$DD674,57),0)</f>
        <v/>
      </c>
      <c r="BH674">
        <f>IFERROR(INDEX(PP_Grid[#Data],$DD674,58),0)</f>
        <v/>
      </c>
      <c r="BI674">
        <f>IFERROR(INDEX(PP_Grid[#Data],$DD674,59),0)</f>
        <v/>
      </c>
      <c r="BJ674">
        <f>IFERROR(INDEX(PP_Grid[#Data],$DD674,60),0)</f>
        <v/>
      </c>
      <c r="BK674">
        <f>IFERROR(INDEX(PP_Grid[#Data],$DD674,61),0)</f>
        <v/>
      </c>
      <c r="BL674">
        <f>IFERROR(INDEX(PP_Grid[#Data],$DD674,62),0)</f>
        <v/>
      </c>
      <c r="BM674">
        <f>IFERROR(INDEX(PP_Grid[#Data],$DD674,63),0)</f>
        <v/>
      </c>
      <c r="BN674">
        <f>IFERROR(INDEX(PP_Grid[#Data],$DD674,64),0)</f>
        <v/>
      </c>
      <c r="BO674">
        <f>IFERROR(INDEX(PP_Grid[#Data],$DD674,65),0)</f>
        <v/>
      </c>
      <c r="BP674">
        <f>IFERROR(INDEX(PP_Grid[#Data],$DD674,66),0)</f>
        <v/>
      </c>
      <c r="BQ674">
        <f>IFERROR(INDEX(PP_Grid[#Data],$DD674,67),0)</f>
        <v/>
      </c>
      <c r="BR674">
        <f>IFERROR(INDEX(PP_Grid[#Data],$DD674,68),0)</f>
        <v/>
      </c>
      <c r="BS674">
        <f>IFERROR(INDEX(PP_Grid[#Data],$DD674,69),0)</f>
        <v/>
      </c>
      <c r="BT674">
        <f>IFERROR(INDEX(PP_Grid[#Data],$DD674,70),0)</f>
        <v/>
      </c>
      <c r="BU674">
        <f>IFERROR(INDEX(PP_Grid[#Data],$DD674,71),0)</f>
        <v/>
      </c>
      <c r="BV674">
        <f>IFERROR(INDEX(PP_Grid[#Data],$DD674,72),0)</f>
        <v/>
      </c>
      <c r="BW674">
        <f>IFERROR(INDEX(PP_Grid[#Data],$DD674,73),0)</f>
        <v/>
      </c>
      <c r="BX674">
        <f>IFERROR(INDEX(PP_Grid[#Data],$DD674,74),0)</f>
        <v/>
      </c>
      <c r="BY674">
        <f>IFERROR(INDEX(PP_Grid[#Data],$DD674,75),0)</f>
        <v/>
      </c>
      <c r="BZ674">
        <f>IFERROR(INDEX(PP_Grid[#Data],$DD674,76),0)</f>
        <v/>
      </c>
      <c r="CA674">
        <f>IFERROR(INDEX(PP_Grid[#Data],$DD674,77),0)</f>
        <v/>
      </c>
      <c r="CB674">
        <f>IFERROR(INDEX(PP_Grid[#Data],$DD674,78),0)</f>
        <v/>
      </c>
      <c r="CC674">
        <f>IFERROR(INDEX(PP_Grid[#Data],$DD674,79),0)</f>
        <v/>
      </c>
      <c r="CD674">
        <f>IFERROR(INDEX(PP_Grid[#Data],$DD674,80),0)</f>
        <v/>
      </c>
      <c r="CE674">
        <f>IFERROR(INDEX(PP_Grid[#Data],$DD674,81),0)</f>
        <v/>
      </c>
      <c r="CF674">
        <f>IFERROR(INDEX(PP_Grid[#Data],$DD674,82),0)</f>
        <v/>
      </c>
      <c r="CG674">
        <f>IFERROR(INDEX(PP_Grid[#Data],$DD674,83),0)</f>
        <v/>
      </c>
      <c r="CH674">
        <f>IFERROR(INDEX(PP_Grid[#Data],$DD674,84),0)</f>
        <v/>
      </c>
      <c r="CI674">
        <f>IFERROR(INDEX(PP_Grid[#Data],$DD674,85),0)</f>
        <v/>
      </c>
      <c r="CJ674">
        <f>IFERROR(INDEX(PP_Grid[#Data],$DD674,86),0)</f>
        <v/>
      </c>
      <c r="CK674">
        <f>IFERROR(INDEX(PP_Grid[#Data],$DD674,87),0)</f>
        <v/>
      </c>
      <c r="CL674">
        <f>IFERROR(INDEX(PP_Grid[#Data],$DD674,88),0)</f>
        <v/>
      </c>
      <c r="CM674">
        <f>IFERROR(INDEX(PP_Grid[#Data],$DD674,89),0)</f>
        <v/>
      </c>
      <c r="CN674">
        <f>IFERROR(INDEX(PP_Grid[#Data],$DD674,90),0)</f>
        <v/>
      </c>
      <c r="CO674">
        <f>IFERROR(INDEX(PP_Grid[#Data],$DD674,91),0)</f>
        <v/>
      </c>
      <c r="CP674">
        <f>IFERROR(INDEX(PP_Grid[#Data],$DD674,92),0)</f>
        <v/>
      </c>
      <c r="CQ674">
        <f>IFERROR(INDEX(PP_Grid[#Data],$DD674,93),0)</f>
        <v/>
      </c>
      <c r="CR674">
        <f>IFERROR(INDEX(PP_Grid[#Data],$DD674,94),0)</f>
        <v/>
      </c>
      <c r="CS674">
        <f>IFERROR(INDEX(PP_Grid[#Data],$DD674,95),0)</f>
        <v/>
      </c>
      <c r="CT674">
        <f>IFERROR(INDEX(PP_Grid[#Data],$DD674,96),0)</f>
        <v/>
      </c>
      <c r="CU674">
        <f>IFERROR(INDEX(PP_Grid[#Data],$DD674,97),0)</f>
        <v/>
      </c>
      <c r="CV674">
        <f>IFERROR(INDEX(PP_Grid[#Data],$DD674,98),0)</f>
        <v/>
      </c>
      <c r="CW674">
        <f>IFERROR(INDEX(PP_Grid[#Data],$DD674,99),0)</f>
        <v/>
      </c>
      <c r="CX674">
        <f>IFERROR(INDEX(PP_Grid[#Data],$DD674,100),0)</f>
        <v/>
      </c>
      <c r="CY674">
        <f>IFERROR(INDEX(PP_Grid[#Data],$DD674,101),0)</f>
        <v/>
      </c>
      <c r="CZ674">
        <f>IFERROR(INDEX(PP_Grid[#Data],$DD674,102),0)</f>
        <v/>
      </c>
      <c r="DA674">
        <f>IFERROR(INDEX(PP_Grid[#Data],$DD674,103),0)</f>
        <v/>
      </c>
      <c r="DB674">
        <f>IFERROR(INDEX(PP_Grid[#Data],$DD674,104),0)</f>
        <v/>
      </c>
      <c r="DC674">
        <f>IFERROR(INDEX(PP_Grid[#Data],$DD674,105),0)</f>
        <v/>
      </c>
      <c r="DD674" s="12">
        <f>IFERROR(MATCH($B674,PP_Grid[Intermediate],0),99999)</f>
        <v/>
      </c>
    </row>
    <row r="675">
      <c r="B675" t="inlineStr">
        <is>
          <t>使用量(kg)</t>
        </is>
      </c>
      <c r="C675">
        <f>SUMIFS(M_BOM[RM_Qty_Per_Batch],M_BOM[Intermediate],$B674,M_BOM[Part Name],$A641)</f>
        <v/>
      </c>
      <c r="D675">
        <f>$C675*D674</f>
        <v/>
      </c>
      <c r="E675">
        <f>$C675*E674</f>
        <v/>
      </c>
      <c r="F675">
        <f>$C675*F674</f>
        <v/>
      </c>
      <c r="G675">
        <f>$C675*G674</f>
        <v/>
      </c>
      <c r="H675">
        <f>$C675*H674</f>
        <v/>
      </c>
      <c r="I675">
        <f>$C675*I674</f>
        <v/>
      </c>
      <c r="J675">
        <f>$C675*J674</f>
        <v/>
      </c>
      <c r="K675">
        <f>$C675*K674</f>
        <v/>
      </c>
      <c r="L675">
        <f>$C675*L674</f>
        <v/>
      </c>
      <c r="M675">
        <f>$C675*M674</f>
        <v/>
      </c>
      <c r="N675">
        <f>$C675*N674</f>
        <v/>
      </c>
      <c r="O675">
        <f>$C675*O674</f>
        <v/>
      </c>
      <c r="P675">
        <f>$C675*P674</f>
        <v/>
      </c>
      <c r="Q675">
        <f>$C675*Q674</f>
        <v/>
      </c>
      <c r="R675">
        <f>$C675*R674</f>
        <v/>
      </c>
      <c r="S675">
        <f>$C675*S674</f>
        <v/>
      </c>
      <c r="T675">
        <f>$C675*T674</f>
        <v/>
      </c>
      <c r="U675">
        <f>$C675*U674</f>
        <v/>
      </c>
      <c r="V675">
        <f>$C675*V674</f>
        <v/>
      </c>
      <c r="W675">
        <f>$C675*W674</f>
        <v/>
      </c>
      <c r="X675">
        <f>$C675*X674</f>
        <v/>
      </c>
      <c r="Y675">
        <f>$C675*Y674</f>
        <v/>
      </c>
      <c r="Z675">
        <f>$C675*Z674</f>
        <v/>
      </c>
      <c r="AA675">
        <f>$C675*AA674</f>
        <v/>
      </c>
      <c r="AB675">
        <f>$C675*AB674</f>
        <v/>
      </c>
      <c r="AC675">
        <f>$C675*AC674</f>
        <v/>
      </c>
      <c r="AD675">
        <f>$C675*AD674</f>
        <v/>
      </c>
      <c r="AE675">
        <f>$C675*AE674</f>
        <v/>
      </c>
      <c r="AF675">
        <f>$C675*AF674</f>
        <v/>
      </c>
      <c r="AG675">
        <f>$C675*AG674</f>
        <v/>
      </c>
      <c r="AH675">
        <f>$C675*AH674</f>
        <v/>
      </c>
      <c r="AI675">
        <f>$C675*AI674</f>
        <v/>
      </c>
      <c r="AJ675">
        <f>$C675*AJ674</f>
        <v/>
      </c>
      <c r="AK675">
        <f>$C675*AK674</f>
        <v/>
      </c>
      <c r="AL675">
        <f>$C675*AL674</f>
        <v/>
      </c>
      <c r="AM675">
        <f>$C675*AM674</f>
        <v/>
      </c>
      <c r="AN675">
        <f>$C675*AN674</f>
        <v/>
      </c>
      <c r="AO675">
        <f>$C675*AO674</f>
        <v/>
      </c>
      <c r="AP675">
        <f>$C675*AP674</f>
        <v/>
      </c>
      <c r="AQ675">
        <f>$C675*AQ674</f>
        <v/>
      </c>
      <c r="AR675">
        <f>$C675*AR674</f>
        <v/>
      </c>
      <c r="AS675">
        <f>$C675*AS674</f>
        <v/>
      </c>
      <c r="AT675">
        <f>$C675*AT674</f>
        <v/>
      </c>
      <c r="AU675">
        <f>$C675*AU674</f>
        <v/>
      </c>
      <c r="AV675">
        <f>$C675*AV674</f>
        <v/>
      </c>
      <c r="AW675">
        <f>$C675*AW674</f>
        <v/>
      </c>
      <c r="AX675">
        <f>$C675*AX674</f>
        <v/>
      </c>
      <c r="AY675">
        <f>$C675*AY674</f>
        <v/>
      </c>
      <c r="AZ675">
        <f>$C675*AZ674</f>
        <v/>
      </c>
      <c r="BA675">
        <f>$C675*BA674</f>
        <v/>
      </c>
      <c r="BB675">
        <f>$C675*BB674</f>
        <v/>
      </c>
      <c r="BC675">
        <f>$C675*BC674</f>
        <v/>
      </c>
      <c r="BD675">
        <f>$C675*BD674</f>
        <v/>
      </c>
      <c r="BE675">
        <f>$C675*BE674</f>
        <v/>
      </c>
      <c r="BF675">
        <f>$C675*BF674</f>
        <v/>
      </c>
      <c r="BG675">
        <f>$C675*BG674</f>
        <v/>
      </c>
      <c r="BH675">
        <f>$C675*BH674</f>
        <v/>
      </c>
      <c r="BI675">
        <f>$C675*BI674</f>
        <v/>
      </c>
      <c r="BJ675">
        <f>$C675*BJ674</f>
        <v/>
      </c>
      <c r="BK675">
        <f>$C675*BK674</f>
        <v/>
      </c>
      <c r="BL675">
        <f>$C675*BL674</f>
        <v/>
      </c>
      <c r="BM675">
        <f>$C675*BM674</f>
        <v/>
      </c>
      <c r="BN675">
        <f>$C675*BN674</f>
        <v/>
      </c>
      <c r="BO675">
        <f>$C675*BO674</f>
        <v/>
      </c>
      <c r="BP675">
        <f>$C675*BP674</f>
        <v/>
      </c>
      <c r="BQ675">
        <f>$C675*BQ674</f>
        <v/>
      </c>
      <c r="BR675">
        <f>$C675*BR674</f>
        <v/>
      </c>
      <c r="BS675">
        <f>$C675*BS674</f>
        <v/>
      </c>
      <c r="BT675">
        <f>$C675*BT674</f>
        <v/>
      </c>
      <c r="BU675">
        <f>$C675*BU674</f>
        <v/>
      </c>
      <c r="BV675">
        <f>$C675*BV674</f>
        <v/>
      </c>
      <c r="BW675">
        <f>$C675*BW674</f>
        <v/>
      </c>
      <c r="BX675">
        <f>$C675*BX674</f>
        <v/>
      </c>
      <c r="BY675">
        <f>$C675*BY674</f>
        <v/>
      </c>
      <c r="BZ675">
        <f>$C675*BZ674</f>
        <v/>
      </c>
      <c r="CA675">
        <f>$C675*CA674</f>
        <v/>
      </c>
      <c r="CB675">
        <f>$C675*CB674</f>
        <v/>
      </c>
      <c r="CC675">
        <f>$C675*CC674</f>
        <v/>
      </c>
      <c r="CD675">
        <f>$C675*CD674</f>
        <v/>
      </c>
      <c r="CE675">
        <f>$C675*CE674</f>
        <v/>
      </c>
      <c r="CF675">
        <f>$C675*CF674</f>
        <v/>
      </c>
      <c r="CG675">
        <f>$C675*CG674</f>
        <v/>
      </c>
      <c r="CH675">
        <f>$C675*CH674</f>
        <v/>
      </c>
      <c r="CI675">
        <f>$C675*CI674</f>
        <v/>
      </c>
      <c r="CJ675">
        <f>$C675*CJ674</f>
        <v/>
      </c>
      <c r="CK675">
        <f>$C675*CK674</f>
        <v/>
      </c>
      <c r="CL675">
        <f>$C675*CL674</f>
        <v/>
      </c>
      <c r="CM675">
        <f>$C675*CM674</f>
        <v/>
      </c>
      <c r="CN675">
        <f>$C675*CN674</f>
        <v/>
      </c>
      <c r="CO675">
        <f>$C675*CO674</f>
        <v/>
      </c>
      <c r="CP675">
        <f>$C675*CP674</f>
        <v/>
      </c>
      <c r="CQ675">
        <f>$C675*CQ674</f>
        <v/>
      </c>
      <c r="CR675">
        <f>$C675*CR674</f>
        <v/>
      </c>
      <c r="CS675">
        <f>$C675*CS674</f>
        <v/>
      </c>
      <c r="CT675">
        <f>$C675*CT674</f>
        <v/>
      </c>
      <c r="CU675">
        <f>$C675*CU674</f>
        <v/>
      </c>
      <c r="CV675">
        <f>$C675*CV674</f>
        <v/>
      </c>
      <c r="CW675">
        <f>$C675*CW674</f>
        <v/>
      </c>
      <c r="CX675">
        <f>$C675*CX674</f>
        <v/>
      </c>
      <c r="CY675">
        <f>$C675*CY674</f>
        <v/>
      </c>
      <c r="CZ675">
        <f>$C675*CZ674</f>
        <v/>
      </c>
      <c r="DA675">
        <f>$C675*DA674</f>
        <v/>
      </c>
      <c r="DB675">
        <f>$C675*DB674</f>
        <v/>
      </c>
      <c r="DC675">
        <f>$C675*DC674</f>
        <v/>
      </c>
    </row>
    <row r="676">
      <c r="B676" t="inlineStr">
        <is>
          <t>TSP-1559</t>
        </is>
      </c>
      <c r="C676" t="inlineStr">
        <is>
          <t>No. of batches</t>
        </is>
      </c>
      <c r="D676">
        <f>IFERROR(INDEX(PP_Grid[#Data],$DD676,2),0)</f>
        <v/>
      </c>
      <c r="E676">
        <f>IFERROR(INDEX(PP_Grid[#Data],$DD676,3),0)</f>
        <v/>
      </c>
      <c r="F676">
        <f>IFERROR(INDEX(PP_Grid[#Data],$DD676,4),0)</f>
        <v/>
      </c>
      <c r="G676">
        <f>IFERROR(INDEX(PP_Grid[#Data],$DD676,5),0)</f>
        <v/>
      </c>
      <c r="H676">
        <f>IFERROR(INDEX(PP_Grid[#Data],$DD676,6),0)</f>
        <v/>
      </c>
      <c r="I676">
        <f>IFERROR(INDEX(PP_Grid[#Data],$DD676,7),0)</f>
        <v/>
      </c>
      <c r="J676">
        <f>IFERROR(INDEX(PP_Grid[#Data],$DD676,8),0)</f>
        <v/>
      </c>
      <c r="K676">
        <f>IFERROR(INDEX(PP_Grid[#Data],$DD676,9),0)</f>
        <v/>
      </c>
      <c r="L676">
        <f>IFERROR(INDEX(PP_Grid[#Data],$DD676,10),0)</f>
        <v/>
      </c>
      <c r="M676">
        <f>IFERROR(INDEX(PP_Grid[#Data],$DD676,11),0)</f>
        <v/>
      </c>
      <c r="N676">
        <f>IFERROR(INDEX(PP_Grid[#Data],$DD676,12),0)</f>
        <v/>
      </c>
      <c r="O676">
        <f>IFERROR(INDEX(PP_Grid[#Data],$DD676,13),0)</f>
        <v/>
      </c>
      <c r="P676">
        <f>IFERROR(INDEX(PP_Grid[#Data],$DD676,14),0)</f>
        <v/>
      </c>
      <c r="Q676">
        <f>IFERROR(INDEX(PP_Grid[#Data],$DD676,15),0)</f>
        <v/>
      </c>
      <c r="R676">
        <f>IFERROR(INDEX(PP_Grid[#Data],$DD676,16),0)</f>
        <v/>
      </c>
      <c r="S676">
        <f>IFERROR(INDEX(PP_Grid[#Data],$DD676,17),0)</f>
        <v/>
      </c>
      <c r="T676">
        <f>IFERROR(INDEX(PP_Grid[#Data],$DD676,18),0)</f>
        <v/>
      </c>
      <c r="U676">
        <f>IFERROR(INDEX(PP_Grid[#Data],$DD676,19),0)</f>
        <v/>
      </c>
      <c r="V676">
        <f>IFERROR(INDEX(PP_Grid[#Data],$DD676,20),0)</f>
        <v/>
      </c>
      <c r="W676">
        <f>IFERROR(INDEX(PP_Grid[#Data],$DD676,21),0)</f>
        <v/>
      </c>
      <c r="X676">
        <f>IFERROR(INDEX(PP_Grid[#Data],$DD676,22),0)</f>
        <v/>
      </c>
      <c r="Y676">
        <f>IFERROR(INDEX(PP_Grid[#Data],$DD676,23),0)</f>
        <v/>
      </c>
      <c r="Z676">
        <f>IFERROR(INDEX(PP_Grid[#Data],$DD676,24),0)</f>
        <v/>
      </c>
      <c r="AA676">
        <f>IFERROR(INDEX(PP_Grid[#Data],$DD676,25),0)</f>
        <v/>
      </c>
      <c r="AB676">
        <f>IFERROR(INDEX(PP_Grid[#Data],$DD676,26),0)</f>
        <v/>
      </c>
      <c r="AC676">
        <f>IFERROR(INDEX(PP_Grid[#Data],$DD676,27),0)</f>
        <v/>
      </c>
      <c r="AD676">
        <f>IFERROR(INDEX(PP_Grid[#Data],$DD676,28),0)</f>
        <v/>
      </c>
      <c r="AE676">
        <f>IFERROR(INDEX(PP_Grid[#Data],$DD676,29),0)</f>
        <v/>
      </c>
      <c r="AF676">
        <f>IFERROR(INDEX(PP_Grid[#Data],$DD676,30),0)</f>
        <v/>
      </c>
      <c r="AG676">
        <f>IFERROR(INDEX(PP_Grid[#Data],$DD676,31),0)</f>
        <v/>
      </c>
      <c r="AH676">
        <f>IFERROR(INDEX(PP_Grid[#Data],$DD676,32),0)</f>
        <v/>
      </c>
      <c r="AI676">
        <f>IFERROR(INDEX(PP_Grid[#Data],$DD676,33),0)</f>
        <v/>
      </c>
      <c r="AJ676">
        <f>IFERROR(INDEX(PP_Grid[#Data],$DD676,34),0)</f>
        <v/>
      </c>
      <c r="AK676">
        <f>IFERROR(INDEX(PP_Grid[#Data],$DD676,35),0)</f>
        <v/>
      </c>
      <c r="AL676">
        <f>IFERROR(INDEX(PP_Grid[#Data],$DD676,36),0)</f>
        <v/>
      </c>
      <c r="AM676">
        <f>IFERROR(INDEX(PP_Grid[#Data],$DD676,37),0)</f>
        <v/>
      </c>
      <c r="AN676">
        <f>IFERROR(INDEX(PP_Grid[#Data],$DD676,38),0)</f>
        <v/>
      </c>
      <c r="AO676">
        <f>IFERROR(INDEX(PP_Grid[#Data],$DD676,39),0)</f>
        <v/>
      </c>
      <c r="AP676">
        <f>IFERROR(INDEX(PP_Grid[#Data],$DD676,40),0)</f>
        <v/>
      </c>
      <c r="AQ676">
        <f>IFERROR(INDEX(PP_Grid[#Data],$DD676,41),0)</f>
        <v/>
      </c>
      <c r="AR676">
        <f>IFERROR(INDEX(PP_Grid[#Data],$DD676,42),0)</f>
        <v/>
      </c>
      <c r="AS676">
        <f>IFERROR(INDEX(PP_Grid[#Data],$DD676,43),0)</f>
        <v/>
      </c>
      <c r="AT676">
        <f>IFERROR(INDEX(PP_Grid[#Data],$DD676,44),0)</f>
        <v/>
      </c>
      <c r="AU676">
        <f>IFERROR(INDEX(PP_Grid[#Data],$DD676,45),0)</f>
        <v/>
      </c>
      <c r="AV676">
        <f>IFERROR(INDEX(PP_Grid[#Data],$DD676,46),0)</f>
        <v/>
      </c>
      <c r="AW676">
        <f>IFERROR(INDEX(PP_Grid[#Data],$DD676,47),0)</f>
        <v/>
      </c>
      <c r="AX676">
        <f>IFERROR(INDEX(PP_Grid[#Data],$DD676,48),0)</f>
        <v/>
      </c>
      <c r="AY676">
        <f>IFERROR(INDEX(PP_Grid[#Data],$DD676,49),0)</f>
        <v/>
      </c>
      <c r="AZ676">
        <f>IFERROR(INDEX(PP_Grid[#Data],$DD676,50),0)</f>
        <v/>
      </c>
      <c r="BA676">
        <f>IFERROR(INDEX(PP_Grid[#Data],$DD676,51),0)</f>
        <v/>
      </c>
      <c r="BB676">
        <f>IFERROR(INDEX(PP_Grid[#Data],$DD676,52),0)</f>
        <v/>
      </c>
      <c r="BC676">
        <f>IFERROR(INDEX(PP_Grid[#Data],$DD676,53),0)</f>
        <v/>
      </c>
      <c r="BD676">
        <f>IFERROR(INDEX(PP_Grid[#Data],$DD676,54),0)</f>
        <v/>
      </c>
      <c r="BE676">
        <f>IFERROR(INDEX(PP_Grid[#Data],$DD676,55),0)</f>
        <v/>
      </c>
      <c r="BF676">
        <f>IFERROR(INDEX(PP_Grid[#Data],$DD676,56),0)</f>
        <v/>
      </c>
      <c r="BG676">
        <f>IFERROR(INDEX(PP_Grid[#Data],$DD676,57),0)</f>
        <v/>
      </c>
      <c r="BH676">
        <f>IFERROR(INDEX(PP_Grid[#Data],$DD676,58),0)</f>
        <v/>
      </c>
      <c r="BI676">
        <f>IFERROR(INDEX(PP_Grid[#Data],$DD676,59),0)</f>
        <v/>
      </c>
      <c r="BJ676">
        <f>IFERROR(INDEX(PP_Grid[#Data],$DD676,60),0)</f>
        <v/>
      </c>
      <c r="BK676">
        <f>IFERROR(INDEX(PP_Grid[#Data],$DD676,61),0)</f>
        <v/>
      </c>
      <c r="BL676">
        <f>IFERROR(INDEX(PP_Grid[#Data],$DD676,62),0)</f>
        <v/>
      </c>
      <c r="BM676">
        <f>IFERROR(INDEX(PP_Grid[#Data],$DD676,63),0)</f>
        <v/>
      </c>
      <c r="BN676">
        <f>IFERROR(INDEX(PP_Grid[#Data],$DD676,64),0)</f>
        <v/>
      </c>
      <c r="BO676">
        <f>IFERROR(INDEX(PP_Grid[#Data],$DD676,65),0)</f>
        <v/>
      </c>
      <c r="BP676">
        <f>IFERROR(INDEX(PP_Grid[#Data],$DD676,66),0)</f>
        <v/>
      </c>
      <c r="BQ676">
        <f>IFERROR(INDEX(PP_Grid[#Data],$DD676,67),0)</f>
        <v/>
      </c>
      <c r="BR676">
        <f>IFERROR(INDEX(PP_Grid[#Data],$DD676,68),0)</f>
        <v/>
      </c>
      <c r="BS676">
        <f>IFERROR(INDEX(PP_Grid[#Data],$DD676,69),0)</f>
        <v/>
      </c>
      <c r="BT676">
        <f>IFERROR(INDEX(PP_Grid[#Data],$DD676,70),0)</f>
        <v/>
      </c>
      <c r="BU676">
        <f>IFERROR(INDEX(PP_Grid[#Data],$DD676,71),0)</f>
        <v/>
      </c>
      <c r="BV676">
        <f>IFERROR(INDEX(PP_Grid[#Data],$DD676,72),0)</f>
        <v/>
      </c>
      <c r="BW676">
        <f>IFERROR(INDEX(PP_Grid[#Data],$DD676,73),0)</f>
        <v/>
      </c>
      <c r="BX676">
        <f>IFERROR(INDEX(PP_Grid[#Data],$DD676,74),0)</f>
        <v/>
      </c>
      <c r="BY676">
        <f>IFERROR(INDEX(PP_Grid[#Data],$DD676,75),0)</f>
        <v/>
      </c>
      <c r="BZ676">
        <f>IFERROR(INDEX(PP_Grid[#Data],$DD676,76),0)</f>
        <v/>
      </c>
      <c r="CA676">
        <f>IFERROR(INDEX(PP_Grid[#Data],$DD676,77),0)</f>
        <v/>
      </c>
      <c r="CB676">
        <f>IFERROR(INDEX(PP_Grid[#Data],$DD676,78),0)</f>
        <v/>
      </c>
      <c r="CC676">
        <f>IFERROR(INDEX(PP_Grid[#Data],$DD676,79),0)</f>
        <v/>
      </c>
      <c r="CD676">
        <f>IFERROR(INDEX(PP_Grid[#Data],$DD676,80),0)</f>
        <v/>
      </c>
      <c r="CE676">
        <f>IFERROR(INDEX(PP_Grid[#Data],$DD676,81),0)</f>
        <v/>
      </c>
      <c r="CF676">
        <f>IFERROR(INDEX(PP_Grid[#Data],$DD676,82),0)</f>
        <v/>
      </c>
      <c r="CG676">
        <f>IFERROR(INDEX(PP_Grid[#Data],$DD676,83),0)</f>
        <v/>
      </c>
      <c r="CH676">
        <f>IFERROR(INDEX(PP_Grid[#Data],$DD676,84),0)</f>
        <v/>
      </c>
      <c r="CI676">
        <f>IFERROR(INDEX(PP_Grid[#Data],$DD676,85),0)</f>
        <v/>
      </c>
      <c r="CJ676">
        <f>IFERROR(INDEX(PP_Grid[#Data],$DD676,86),0)</f>
        <v/>
      </c>
      <c r="CK676">
        <f>IFERROR(INDEX(PP_Grid[#Data],$DD676,87),0)</f>
        <v/>
      </c>
      <c r="CL676">
        <f>IFERROR(INDEX(PP_Grid[#Data],$DD676,88),0)</f>
        <v/>
      </c>
      <c r="CM676">
        <f>IFERROR(INDEX(PP_Grid[#Data],$DD676,89),0)</f>
        <v/>
      </c>
      <c r="CN676">
        <f>IFERROR(INDEX(PP_Grid[#Data],$DD676,90),0)</f>
        <v/>
      </c>
      <c r="CO676">
        <f>IFERROR(INDEX(PP_Grid[#Data],$DD676,91),0)</f>
        <v/>
      </c>
      <c r="CP676">
        <f>IFERROR(INDEX(PP_Grid[#Data],$DD676,92),0)</f>
        <v/>
      </c>
      <c r="CQ676">
        <f>IFERROR(INDEX(PP_Grid[#Data],$DD676,93),0)</f>
        <v/>
      </c>
      <c r="CR676">
        <f>IFERROR(INDEX(PP_Grid[#Data],$DD676,94),0)</f>
        <v/>
      </c>
      <c r="CS676">
        <f>IFERROR(INDEX(PP_Grid[#Data],$DD676,95),0)</f>
        <v/>
      </c>
      <c r="CT676">
        <f>IFERROR(INDEX(PP_Grid[#Data],$DD676,96),0)</f>
        <v/>
      </c>
      <c r="CU676">
        <f>IFERROR(INDEX(PP_Grid[#Data],$DD676,97),0)</f>
        <v/>
      </c>
      <c r="CV676">
        <f>IFERROR(INDEX(PP_Grid[#Data],$DD676,98),0)</f>
        <v/>
      </c>
      <c r="CW676">
        <f>IFERROR(INDEX(PP_Grid[#Data],$DD676,99),0)</f>
        <v/>
      </c>
      <c r="CX676">
        <f>IFERROR(INDEX(PP_Grid[#Data],$DD676,100),0)</f>
        <v/>
      </c>
      <c r="CY676">
        <f>IFERROR(INDEX(PP_Grid[#Data],$DD676,101),0)</f>
        <v/>
      </c>
      <c r="CZ676">
        <f>IFERROR(INDEX(PP_Grid[#Data],$DD676,102),0)</f>
        <v/>
      </c>
      <c r="DA676">
        <f>IFERROR(INDEX(PP_Grid[#Data],$DD676,103),0)</f>
        <v/>
      </c>
      <c r="DB676">
        <f>IFERROR(INDEX(PP_Grid[#Data],$DD676,104),0)</f>
        <v/>
      </c>
      <c r="DC676">
        <f>IFERROR(INDEX(PP_Grid[#Data],$DD676,105),0)</f>
        <v/>
      </c>
      <c r="DD676" s="12">
        <f>IFERROR(MATCH($B676,PP_Grid[Intermediate],0),99999)</f>
        <v/>
      </c>
    </row>
    <row r="677">
      <c r="B677" t="inlineStr">
        <is>
          <t>使用量(kg)</t>
        </is>
      </c>
      <c r="C677">
        <f>SUMIFS(M_BOM[RM_Qty_Per_Batch],M_BOM[Intermediate],$B676,M_BOM[Part Name],$A641)</f>
        <v/>
      </c>
      <c r="D677">
        <f>$C677*D676</f>
        <v/>
      </c>
      <c r="E677">
        <f>$C677*E676</f>
        <v/>
      </c>
      <c r="F677">
        <f>$C677*F676</f>
        <v/>
      </c>
      <c r="G677">
        <f>$C677*G676</f>
        <v/>
      </c>
      <c r="H677">
        <f>$C677*H676</f>
        <v/>
      </c>
      <c r="I677">
        <f>$C677*I676</f>
        <v/>
      </c>
      <c r="J677">
        <f>$C677*J676</f>
        <v/>
      </c>
      <c r="K677">
        <f>$C677*K676</f>
        <v/>
      </c>
      <c r="L677">
        <f>$C677*L676</f>
        <v/>
      </c>
      <c r="M677">
        <f>$C677*M676</f>
        <v/>
      </c>
      <c r="N677">
        <f>$C677*N676</f>
        <v/>
      </c>
      <c r="O677">
        <f>$C677*O676</f>
        <v/>
      </c>
      <c r="P677">
        <f>$C677*P676</f>
        <v/>
      </c>
      <c r="Q677">
        <f>$C677*Q676</f>
        <v/>
      </c>
      <c r="R677">
        <f>$C677*R676</f>
        <v/>
      </c>
      <c r="S677">
        <f>$C677*S676</f>
        <v/>
      </c>
      <c r="T677">
        <f>$C677*T676</f>
        <v/>
      </c>
      <c r="U677">
        <f>$C677*U676</f>
        <v/>
      </c>
      <c r="V677">
        <f>$C677*V676</f>
        <v/>
      </c>
      <c r="W677">
        <f>$C677*W676</f>
        <v/>
      </c>
      <c r="X677">
        <f>$C677*X676</f>
        <v/>
      </c>
      <c r="Y677">
        <f>$C677*Y676</f>
        <v/>
      </c>
      <c r="Z677">
        <f>$C677*Z676</f>
        <v/>
      </c>
      <c r="AA677">
        <f>$C677*AA676</f>
        <v/>
      </c>
      <c r="AB677">
        <f>$C677*AB676</f>
        <v/>
      </c>
      <c r="AC677">
        <f>$C677*AC676</f>
        <v/>
      </c>
      <c r="AD677">
        <f>$C677*AD676</f>
        <v/>
      </c>
      <c r="AE677">
        <f>$C677*AE676</f>
        <v/>
      </c>
      <c r="AF677">
        <f>$C677*AF676</f>
        <v/>
      </c>
      <c r="AG677">
        <f>$C677*AG676</f>
        <v/>
      </c>
      <c r="AH677">
        <f>$C677*AH676</f>
        <v/>
      </c>
      <c r="AI677">
        <f>$C677*AI676</f>
        <v/>
      </c>
      <c r="AJ677">
        <f>$C677*AJ676</f>
        <v/>
      </c>
      <c r="AK677">
        <f>$C677*AK676</f>
        <v/>
      </c>
      <c r="AL677">
        <f>$C677*AL676</f>
        <v/>
      </c>
      <c r="AM677">
        <f>$C677*AM676</f>
        <v/>
      </c>
      <c r="AN677">
        <f>$C677*AN676</f>
        <v/>
      </c>
      <c r="AO677">
        <f>$C677*AO676</f>
        <v/>
      </c>
      <c r="AP677">
        <f>$C677*AP676</f>
        <v/>
      </c>
      <c r="AQ677">
        <f>$C677*AQ676</f>
        <v/>
      </c>
      <c r="AR677">
        <f>$C677*AR676</f>
        <v/>
      </c>
      <c r="AS677">
        <f>$C677*AS676</f>
        <v/>
      </c>
      <c r="AT677">
        <f>$C677*AT676</f>
        <v/>
      </c>
      <c r="AU677">
        <f>$C677*AU676</f>
        <v/>
      </c>
      <c r="AV677">
        <f>$C677*AV676</f>
        <v/>
      </c>
      <c r="AW677">
        <f>$C677*AW676</f>
        <v/>
      </c>
      <c r="AX677">
        <f>$C677*AX676</f>
        <v/>
      </c>
      <c r="AY677">
        <f>$C677*AY676</f>
        <v/>
      </c>
      <c r="AZ677">
        <f>$C677*AZ676</f>
        <v/>
      </c>
      <c r="BA677">
        <f>$C677*BA676</f>
        <v/>
      </c>
      <c r="BB677">
        <f>$C677*BB676</f>
        <v/>
      </c>
      <c r="BC677">
        <f>$C677*BC676</f>
        <v/>
      </c>
      <c r="BD677">
        <f>$C677*BD676</f>
        <v/>
      </c>
      <c r="BE677">
        <f>$C677*BE676</f>
        <v/>
      </c>
      <c r="BF677">
        <f>$C677*BF676</f>
        <v/>
      </c>
      <c r="BG677">
        <f>$C677*BG676</f>
        <v/>
      </c>
      <c r="BH677">
        <f>$C677*BH676</f>
        <v/>
      </c>
      <c r="BI677">
        <f>$C677*BI676</f>
        <v/>
      </c>
      <c r="BJ677">
        <f>$C677*BJ676</f>
        <v/>
      </c>
      <c r="BK677">
        <f>$C677*BK676</f>
        <v/>
      </c>
      <c r="BL677">
        <f>$C677*BL676</f>
        <v/>
      </c>
      <c r="BM677">
        <f>$C677*BM676</f>
        <v/>
      </c>
      <c r="BN677">
        <f>$C677*BN676</f>
        <v/>
      </c>
      <c r="BO677">
        <f>$C677*BO676</f>
        <v/>
      </c>
      <c r="BP677">
        <f>$C677*BP676</f>
        <v/>
      </c>
      <c r="BQ677">
        <f>$C677*BQ676</f>
        <v/>
      </c>
      <c r="BR677">
        <f>$C677*BR676</f>
        <v/>
      </c>
      <c r="BS677">
        <f>$C677*BS676</f>
        <v/>
      </c>
      <c r="BT677">
        <f>$C677*BT676</f>
        <v/>
      </c>
      <c r="BU677">
        <f>$C677*BU676</f>
        <v/>
      </c>
      <c r="BV677">
        <f>$C677*BV676</f>
        <v/>
      </c>
      <c r="BW677">
        <f>$C677*BW676</f>
        <v/>
      </c>
      <c r="BX677">
        <f>$C677*BX676</f>
        <v/>
      </c>
      <c r="BY677">
        <f>$C677*BY676</f>
        <v/>
      </c>
      <c r="BZ677">
        <f>$C677*BZ676</f>
        <v/>
      </c>
      <c r="CA677">
        <f>$C677*CA676</f>
        <v/>
      </c>
      <c r="CB677">
        <f>$C677*CB676</f>
        <v/>
      </c>
      <c r="CC677">
        <f>$C677*CC676</f>
        <v/>
      </c>
      <c r="CD677">
        <f>$C677*CD676</f>
        <v/>
      </c>
      <c r="CE677">
        <f>$C677*CE676</f>
        <v/>
      </c>
      <c r="CF677">
        <f>$C677*CF676</f>
        <v/>
      </c>
      <c r="CG677">
        <f>$C677*CG676</f>
        <v/>
      </c>
      <c r="CH677">
        <f>$C677*CH676</f>
        <v/>
      </c>
      <c r="CI677">
        <f>$C677*CI676</f>
        <v/>
      </c>
      <c r="CJ677">
        <f>$C677*CJ676</f>
        <v/>
      </c>
      <c r="CK677">
        <f>$C677*CK676</f>
        <v/>
      </c>
      <c r="CL677">
        <f>$C677*CL676</f>
        <v/>
      </c>
      <c r="CM677">
        <f>$C677*CM676</f>
        <v/>
      </c>
      <c r="CN677">
        <f>$C677*CN676</f>
        <v/>
      </c>
      <c r="CO677">
        <f>$C677*CO676</f>
        <v/>
      </c>
      <c r="CP677">
        <f>$C677*CP676</f>
        <v/>
      </c>
      <c r="CQ677">
        <f>$C677*CQ676</f>
        <v/>
      </c>
      <c r="CR677">
        <f>$C677*CR676</f>
        <v/>
      </c>
      <c r="CS677">
        <f>$C677*CS676</f>
        <v/>
      </c>
      <c r="CT677">
        <f>$C677*CT676</f>
        <v/>
      </c>
      <c r="CU677">
        <f>$C677*CU676</f>
        <v/>
      </c>
      <c r="CV677">
        <f>$C677*CV676</f>
        <v/>
      </c>
      <c r="CW677">
        <f>$C677*CW676</f>
        <v/>
      </c>
      <c r="CX677">
        <f>$C677*CX676</f>
        <v/>
      </c>
      <c r="CY677">
        <f>$C677*CY676</f>
        <v/>
      </c>
      <c r="CZ677">
        <f>$C677*CZ676</f>
        <v/>
      </c>
      <c r="DA677">
        <f>$C677*DA676</f>
        <v/>
      </c>
      <c r="DB677">
        <f>$C677*DB676</f>
        <v/>
      </c>
      <c r="DC677">
        <f>$C677*DC676</f>
        <v/>
      </c>
    </row>
    <row r="678">
      <c r="B678" t="inlineStr">
        <is>
          <t>TSP-199</t>
        </is>
      </c>
      <c r="C678" t="inlineStr">
        <is>
          <t>No. of batches</t>
        </is>
      </c>
      <c r="D678">
        <f>IFERROR(INDEX(PP_Grid[#Data],$DD678,2),0)</f>
        <v/>
      </c>
      <c r="E678">
        <f>IFERROR(INDEX(PP_Grid[#Data],$DD678,3),0)</f>
        <v/>
      </c>
      <c r="F678">
        <f>IFERROR(INDEX(PP_Grid[#Data],$DD678,4),0)</f>
        <v/>
      </c>
      <c r="G678">
        <f>IFERROR(INDEX(PP_Grid[#Data],$DD678,5),0)</f>
        <v/>
      </c>
      <c r="H678">
        <f>IFERROR(INDEX(PP_Grid[#Data],$DD678,6),0)</f>
        <v/>
      </c>
      <c r="I678">
        <f>IFERROR(INDEX(PP_Grid[#Data],$DD678,7),0)</f>
        <v/>
      </c>
      <c r="J678">
        <f>IFERROR(INDEX(PP_Grid[#Data],$DD678,8),0)</f>
        <v/>
      </c>
      <c r="K678">
        <f>IFERROR(INDEX(PP_Grid[#Data],$DD678,9),0)</f>
        <v/>
      </c>
      <c r="L678">
        <f>IFERROR(INDEX(PP_Grid[#Data],$DD678,10),0)</f>
        <v/>
      </c>
      <c r="M678">
        <f>IFERROR(INDEX(PP_Grid[#Data],$DD678,11),0)</f>
        <v/>
      </c>
      <c r="N678">
        <f>IFERROR(INDEX(PP_Grid[#Data],$DD678,12),0)</f>
        <v/>
      </c>
      <c r="O678">
        <f>IFERROR(INDEX(PP_Grid[#Data],$DD678,13),0)</f>
        <v/>
      </c>
      <c r="P678">
        <f>IFERROR(INDEX(PP_Grid[#Data],$DD678,14),0)</f>
        <v/>
      </c>
      <c r="Q678">
        <f>IFERROR(INDEX(PP_Grid[#Data],$DD678,15),0)</f>
        <v/>
      </c>
      <c r="R678">
        <f>IFERROR(INDEX(PP_Grid[#Data],$DD678,16),0)</f>
        <v/>
      </c>
      <c r="S678">
        <f>IFERROR(INDEX(PP_Grid[#Data],$DD678,17),0)</f>
        <v/>
      </c>
      <c r="T678">
        <f>IFERROR(INDEX(PP_Grid[#Data],$DD678,18),0)</f>
        <v/>
      </c>
      <c r="U678">
        <f>IFERROR(INDEX(PP_Grid[#Data],$DD678,19),0)</f>
        <v/>
      </c>
      <c r="V678">
        <f>IFERROR(INDEX(PP_Grid[#Data],$DD678,20),0)</f>
        <v/>
      </c>
      <c r="W678">
        <f>IFERROR(INDEX(PP_Grid[#Data],$DD678,21),0)</f>
        <v/>
      </c>
      <c r="X678">
        <f>IFERROR(INDEX(PP_Grid[#Data],$DD678,22),0)</f>
        <v/>
      </c>
      <c r="Y678">
        <f>IFERROR(INDEX(PP_Grid[#Data],$DD678,23),0)</f>
        <v/>
      </c>
      <c r="Z678">
        <f>IFERROR(INDEX(PP_Grid[#Data],$DD678,24),0)</f>
        <v/>
      </c>
      <c r="AA678">
        <f>IFERROR(INDEX(PP_Grid[#Data],$DD678,25),0)</f>
        <v/>
      </c>
      <c r="AB678">
        <f>IFERROR(INDEX(PP_Grid[#Data],$DD678,26),0)</f>
        <v/>
      </c>
      <c r="AC678">
        <f>IFERROR(INDEX(PP_Grid[#Data],$DD678,27),0)</f>
        <v/>
      </c>
      <c r="AD678">
        <f>IFERROR(INDEX(PP_Grid[#Data],$DD678,28),0)</f>
        <v/>
      </c>
      <c r="AE678">
        <f>IFERROR(INDEX(PP_Grid[#Data],$DD678,29),0)</f>
        <v/>
      </c>
      <c r="AF678">
        <f>IFERROR(INDEX(PP_Grid[#Data],$DD678,30),0)</f>
        <v/>
      </c>
      <c r="AG678">
        <f>IFERROR(INDEX(PP_Grid[#Data],$DD678,31),0)</f>
        <v/>
      </c>
      <c r="AH678">
        <f>IFERROR(INDEX(PP_Grid[#Data],$DD678,32),0)</f>
        <v/>
      </c>
      <c r="AI678">
        <f>IFERROR(INDEX(PP_Grid[#Data],$DD678,33),0)</f>
        <v/>
      </c>
      <c r="AJ678">
        <f>IFERROR(INDEX(PP_Grid[#Data],$DD678,34),0)</f>
        <v/>
      </c>
      <c r="AK678">
        <f>IFERROR(INDEX(PP_Grid[#Data],$DD678,35),0)</f>
        <v/>
      </c>
      <c r="AL678">
        <f>IFERROR(INDEX(PP_Grid[#Data],$DD678,36),0)</f>
        <v/>
      </c>
      <c r="AM678">
        <f>IFERROR(INDEX(PP_Grid[#Data],$DD678,37),0)</f>
        <v/>
      </c>
      <c r="AN678">
        <f>IFERROR(INDEX(PP_Grid[#Data],$DD678,38),0)</f>
        <v/>
      </c>
      <c r="AO678">
        <f>IFERROR(INDEX(PP_Grid[#Data],$DD678,39),0)</f>
        <v/>
      </c>
      <c r="AP678">
        <f>IFERROR(INDEX(PP_Grid[#Data],$DD678,40),0)</f>
        <v/>
      </c>
      <c r="AQ678">
        <f>IFERROR(INDEX(PP_Grid[#Data],$DD678,41),0)</f>
        <v/>
      </c>
      <c r="AR678">
        <f>IFERROR(INDEX(PP_Grid[#Data],$DD678,42),0)</f>
        <v/>
      </c>
      <c r="AS678">
        <f>IFERROR(INDEX(PP_Grid[#Data],$DD678,43),0)</f>
        <v/>
      </c>
      <c r="AT678">
        <f>IFERROR(INDEX(PP_Grid[#Data],$DD678,44),0)</f>
        <v/>
      </c>
      <c r="AU678">
        <f>IFERROR(INDEX(PP_Grid[#Data],$DD678,45),0)</f>
        <v/>
      </c>
      <c r="AV678">
        <f>IFERROR(INDEX(PP_Grid[#Data],$DD678,46),0)</f>
        <v/>
      </c>
      <c r="AW678">
        <f>IFERROR(INDEX(PP_Grid[#Data],$DD678,47),0)</f>
        <v/>
      </c>
      <c r="AX678">
        <f>IFERROR(INDEX(PP_Grid[#Data],$DD678,48),0)</f>
        <v/>
      </c>
      <c r="AY678">
        <f>IFERROR(INDEX(PP_Grid[#Data],$DD678,49),0)</f>
        <v/>
      </c>
      <c r="AZ678">
        <f>IFERROR(INDEX(PP_Grid[#Data],$DD678,50),0)</f>
        <v/>
      </c>
      <c r="BA678">
        <f>IFERROR(INDEX(PP_Grid[#Data],$DD678,51),0)</f>
        <v/>
      </c>
      <c r="BB678">
        <f>IFERROR(INDEX(PP_Grid[#Data],$DD678,52),0)</f>
        <v/>
      </c>
      <c r="BC678">
        <f>IFERROR(INDEX(PP_Grid[#Data],$DD678,53),0)</f>
        <v/>
      </c>
      <c r="BD678">
        <f>IFERROR(INDEX(PP_Grid[#Data],$DD678,54),0)</f>
        <v/>
      </c>
      <c r="BE678">
        <f>IFERROR(INDEX(PP_Grid[#Data],$DD678,55),0)</f>
        <v/>
      </c>
      <c r="BF678">
        <f>IFERROR(INDEX(PP_Grid[#Data],$DD678,56),0)</f>
        <v/>
      </c>
      <c r="BG678">
        <f>IFERROR(INDEX(PP_Grid[#Data],$DD678,57),0)</f>
        <v/>
      </c>
      <c r="BH678">
        <f>IFERROR(INDEX(PP_Grid[#Data],$DD678,58),0)</f>
        <v/>
      </c>
      <c r="BI678">
        <f>IFERROR(INDEX(PP_Grid[#Data],$DD678,59),0)</f>
        <v/>
      </c>
      <c r="BJ678">
        <f>IFERROR(INDEX(PP_Grid[#Data],$DD678,60),0)</f>
        <v/>
      </c>
      <c r="BK678">
        <f>IFERROR(INDEX(PP_Grid[#Data],$DD678,61),0)</f>
        <v/>
      </c>
      <c r="BL678">
        <f>IFERROR(INDEX(PP_Grid[#Data],$DD678,62),0)</f>
        <v/>
      </c>
      <c r="BM678">
        <f>IFERROR(INDEX(PP_Grid[#Data],$DD678,63),0)</f>
        <v/>
      </c>
      <c r="BN678">
        <f>IFERROR(INDEX(PP_Grid[#Data],$DD678,64),0)</f>
        <v/>
      </c>
      <c r="BO678">
        <f>IFERROR(INDEX(PP_Grid[#Data],$DD678,65),0)</f>
        <v/>
      </c>
      <c r="BP678">
        <f>IFERROR(INDEX(PP_Grid[#Data],$DD678,66),0)</f>
        <v/>
      </c>
      <c r="BQ678">
        <f>IFERROR(INDEX(PP_Grid[#Data],$DD678,67),0)</f>
        <v/>
      </c>
      <c r="BR678">
        <f>IFERROR(INDEX(PP_Grid[#Data],$DD678,68),0)</f>
        <v/>
      </c>
      <c r="BS678">
        <f>IFERROR(INDEX(PP_Grid[#Data],$DD678,69),0)</f>
        <v/>
      </c>
      <c r="BT678">
        <f>IFERROR(INDEX(PP_Grid[#Data],$DD678,70),0)</f>
        <v/>
      </c>
      <c r="BU678">
        <f>IFERROR(INDEX(PP_Grid[#Data],$DD678,71),0)</f>
        <v/>
      </c>
      <c r="BV678">
        <f>IFERROR(INDEX(PP_Grid[#Data],$DD678,72),0)</f>
        <v/>
      </c>
      <c r="BW678">
        <f>IFERROR(INDEX(PP_Grid[#Data],$DD678,73),0)</f>
        <v/>
      </c>
      <c r="BX678">
        <f>IFERROR(INDEX(PP_Grid[#Data],$DD678,74),0)</f>
        <v/>
      </c>
      <c r="BY678">
        <f>IFERROR(INDEX(PP_Grid[#Data],$DD678,75),0)</f>
        <v/>
      </c>
      <c r="BZ678">
        <f>IFERROR(INDEX(PP_Grid[#Data],$DD678,76),0)</f>
        <v/>
      </c>
      <c r="CA678">
        <f>IFERROR(INDEX(PP_Grid[#Data],$DD678,77),0)</f>
        <v/>
      </c>
      <c r="CB678">
        <f>IFERROR(INDEX(PP_Grid[#Data],$DD678,78),0)</f>
        <v/>
      </c>
      <c r="CC678">
        <f>IFERROR(INDEX(PP_Grid[#Data],$DD678,79),0)</f>
        <v/>
      </c>
      <c r="CD678">
        <f>IFERROR(INDEX(PP_Grid[#Data],$DD678,80),0)</f>
        <v/>
      </c>
      <c r="CE678">
        <f>IFERROR(INDEX(PP_Grid[#Data],$DD678,81),0)</f>
        <v/>
      </c>
      <c r="CF678">
        <f>IFERROR(INDEX(PP_Grid[#Data],$DD678,82),0)</f>
        <v/>
      </c>
      <c r="CG678">
        <f>IFERROR(INDEX(PP_Grid[#Data],$DD678,83),0)</f>
        <v/>
      </c>
      <c r="CH678">
        <f>IFERROR(INDEX(PP_Grid[#Data],$DD678,84),0)</f>
        <v/>
      </c>
      <c r="CI678">
        <f>IFERROR(INDEX(PP_Grid[#Data],$DD678,85),0)</f>
        <v/>
      </c>
      <c r="CJ678">
        <f>IFERROR(INDEX(PP_Grid[#Data],$DD678,86),0)</f>
        <v/>
      </c>
      <c r="CK678">
        <f>IFERROR(INDEX(PP_Grid[#Data],$DD678,87),0)</f>
        <v/>
      </c>
      <c r="CL678">
        <f>IFERROR(INDEX(PP_Grid[#Data],$DD678,88),0)</f>
        <v/>
      </c>
      <c r="CM678">
        <f>IFERROR(INDEX(PP_Grid[#Data],$DD678,89),0)</f>
        <v/>
      </c>
      <c r="CN678">
        <f>IFERROR(INDEX(PP_Grid[#Data],$DD678,90),0)</f>
        <v/>
      </c>
      <c r="CO678">
        <f>IFERROR(INDEX(PP_Grid[#Data],$DD678,91),0)</f>
        <v/>
      </c>
      <c r="CP678">
        <f>IFERROR(INDEX(PP_Grid[#Data],$DD678,92),0)</f>
        <v/>
      </c>
      <c r="CQ678">
        <f>IFERROR(INDEX(PP_Grid[#Data],$DD678,93),0)</f>
        <v/>
      </c>
      <c r="CR678">
        <f>IFERROR(INDEX(PP_Grid[#Data],$DD678,94),0)</f>
        <v/>
      </c>
      <c r="CS678">
        <f>IFERROR(INDEX(PP_Grid[#Data],$DD678,95),0)</f>
        <v/>
      </c>
      <c r="CT678">
        <f>IFERROR(INDEX(PP_Grid[#Data],$DD678,96),0)</f>
        <v/>
      </c>
      <c r="CU678">
        <f>IFERROR(INDEX(PP_Grid[#Data],$DD678,97),0)</f>
        <v/>
      </c>
      <c r="CV678">
        <f>IFERROR(INDEX(PP_Grid[#Data],$DD678,98),0)</f>
        <v/>
      </c>
      <c r="CW678">
        <f>IFERROR(INDEX(PP_Grid[#Data],$DD678,99),0)</f>
        <v/>
      </c>
      <c r="CX678">
        <f>IFERROR(INDEX(PP_Grid[#Data],$DD678,100),0)</f>
        <v/>
      </c>
      <c r="CY678">
        <f>IFERROR(INDEX(PP_Grid[#Data],$DD678,101),0)</f>
        <v/>
      </c>
      <c r="CZ678">
        <f>IFERROR(INDEX(PP_Grid[#Data],$DD678,102),0)</f>
        <v/>
      </c>
      <c r="DA678">
        <f>IFERROR(INDEX(PP_Grid[#Data],$DD678,103),0)</f>
        <v/>
      </c>
      <c r="DB678">
        <f>IFERROR(INDEX(PP_Grid[#Data],$DD678,104),0)</f>
        <v/>
      </c>
      <c r="DC678">
        <f>IFERROR(INDEX(PP_Grid[#Data],$DD678,105),0)</f>
        <v/>
      </c>
      <c r="DD678" s="12">
        <f>IFERROR(MATCH($B678,PP_Grid[Intermediate],0),99999)</f>
        <v/>
      </c>
    </row>
    <row r="679">
      <c r="B679" t="inlineStr">
        <is>
          <t>使用量(kg)</t>
        </is>
      </c>
      <c r="C679">
        <f>SUMIFS(M_BOM[RM_Qty_Per_Batch],M_BOM[Intermediate],$B678,M_BOM[Part Name],$A641)</f>
        <v/>
      </c>
      <c r="D679">
        <f>$C679*D678</f>
        <v/>
      </c>
      <c r="E679">
        <f>$C679*E678</f>
        <v/>
      </c>
      <c r="F679">
        <f>$C679*F678</f>
        <v/>
      </c>
      <c r="G679">
        <f>$C679*G678</f>
        <v/>
      </c>
      <c r="H679">
        <f>$C679*H678</f>
        <v/>
      </c>
      <c r="I679">
        <f>$C679*I678</f>
        <v/>
      </c>
      <c r="J679">
        <f>$C679*J678</f>
        <v/>
      </c>
      <c r="K679">
        <f>$C679*K678</f>
        <v/>
      </c>
      <c r="L679">
        <f>$C679*L678</f>
        <v/>
      </c>
      <c r="M679">
        <f>$C679*M678</f>
        <v/>
      </c>
      <c r="N679">
        <f>$C679*N678</f>
        <v/>
      </c>
      <c r="O679">
        <f>$C679*O678</f>
        <v/>
      </c>
      <c r="P679">
        <f>$C679*P678</f>
        <v/>
      </c>
      <c r="Q679">
        <f>$C679*Q678</f>
        <v/>
      </c>
      <c r="R679">
        <f>$C679*R678</f>
        <v/>
      </c>
      <c r="S679">
        <f>$C679*S678</f>
        <v/>
      </c>
      <c r="T679">
        <f>$C679*T678</f>
        <v/>
      </c>
      <c r="U679">
        <f>$C679*U678</f>
        <v/>
      </c>
      <c r="V679">
        <f>$C679*V678</f>
        <v/>
      </c>
      <c r="W679">
        <f>$C679*W678</f>
        <v/>
      </c>
      <c r="X679">
        <f>$C679*X678</f>
        <v/>
      </c>
      <c r="Y679">
        <f>$C679*Y678</f>
        <v/>
      </c>
      <c r="Z679">
        <f>$C679*Z678</f>
        <v/>
      </c>
      <c r="AA679">
        <f>$C679*AA678</f>
        <v/>
      </c>
      <c r="AB679">
        <f>$C679*AB678</f>
        <v/>
      </c>
      <c r="AC679">
        <f>$C679*AC678</f>
        <v/>
      </c>
      <c r="AD679">
        <f>$C679*AD678</f>
        <v/>
      </c>
      <c r="AE679">
        <f>$C679*AE678</f>
        <v/>
      </c>
      <c r="AF679">
        <f>$C679*AF678</f>
        <v/>
      </c>
      <c r="AG679">
        <f>$C679*AG678</f>
        <v/>
      </c>
      <c r="AH679">
        <f>$C679*AH678</f>
        <v/>
      </c>
      <c r="AI679">
        <f>$C679*AI678</f>
        <v/>
      </c>
      <c r="AJ679">
        <f>$C679*AJ678</f>
        <v/>
      </c>
      <c r="AK679">
        <f>$C679*AK678</f>
        <v/>
      </c>
      <c r="AL679">
        <f>$C679*AL678</f>
        <v/>
      </c>
      <c r="AM679">
        <f>$C679*AM678</f>
        <v/>
      </c>
      <c r="AN679">
        <f>$C679*AN678</f>
        <v/>
      </c>
      <c r="AO679">
        <f>$C679*AO678</f>
        <v/>
      </c>
      <c r="AP679">
        <f>$C679*AP678</f>
        <v/>
      </c>
      <c r="AQ679">
        <f>$C679*AQ678</f>
        <v/>
      </c>
      <c r="AR679">
        <f>$C679*AR678</f>
        <v/>
      </c>
      <c r="AS679">
        <f>$C679*AS678</f>
        <v/>
      </c>
      <c r="AT679">
        <f>$C679*AT678</f>
        <v/>
      </c>
      <c r="AU679">
        <f>$C679*AU678</f>
        <v/>
      </c>
      <c r="AV679">
        <f>$C679*AV678</f>
        <v/>
      </c>
      <c r="AW679">
        <f>$C679*AW678</f>
        <v/>
      </c>
      <c r="AX679">
        <f>$C679*AX678</f>
        <v/>
      </c>
      <c r="AY679">
        <f>$C679*AY678</f>
        <v/>
      </c>
      <c r="AZ679">
        <f>$C679*AZ678</f>
        <v/>
      </c>
      <c r="BA679">
        <f>$C679*BA678</f>
        <v/>
      </c>
      <c r="BB679">
        <f>$C679*BB678</f>
        <v/>
      </c>
      <c r="BC679">
        <f>$C679*BC678</f>
        <v/>
      </c>
      <c r="BD679">
        <f>$C679*BD678</f>
        <v/>
      </c>
      <c r="BE679">
        <f>$C679*BE678</f>
        <v/>
      </c>
      <c r="BF679">
        <f>$C679*BF678</f>
        <v/>
      </c>
      <c r="BG679">
        <f>$C679*BG678</f>
        <v/>
      </c>
      <c r="BH679">
        <f>$C679*BH678</f>
        <v/>
      </c>
      <c r="BI679">
        <f>$C679*BI678</f>
        <v/>
      </c>
      <c r="BJ679">
        <f>$C679*BJ678</f>
        <v/>
      </c>
      <c r="BK679">
        <f>$C679*BK678</f>
        <v/>
      </c>
      <c r="BL679">
        <f>$C679*BL678</f>
        <v/>
      </c>
      <c r="BM679">
        <f>$C679*BM678</f>
        <v/>
      </c>
      <c r="BN679">
        <f>$C679*BN678</f>
        <v/>
      </c>
      <c r="BO679">
        <f>$C679*BO678</f>
        <v/>
      </c>
      <c r="BP679">
        <f>$C679*BP678</f>
        <v/>
      </c>
      <c r="BQ679">
        <f>$C679*BQ678</f>
        <v/>
      </c>
      <c r="BR679">
        <f>$C679*BR678</f>
        <v/>
      </c>
      <c r="BS679">
        <f>$C679*BS678</f>
        <v/>
      </c>
      <c r="BT679">
        <f>$C679*BT678</f>
        <v/>
      </c>
      <c r="BU679">
        <f>$C679*BU678</f>
        <v/>
      </c>
      <c r="BV679">
        <f>$C679*BV678</f>
        <v/>
      </c>
      <c r="BW679">
        <f>$C679*BW678</f>
        <v/>
      </c>
      <c r="BX679">
        <f>$C679*BX678</f>
        <v/>
      </c>
      <c r="BY679">
        <f>$C679*BY678</f>
        <v/>
      </c>
      <c r="BZ679">
        <f>$C679*BZ678</f>
        <v/>
      </c>
      <c r="CA679">
        <f>$C679*CA678</f>
        <v/>
      </c>
      <c r="CB679">
        <f>$C679*CB678</f>
        <v/>
      </c>
      <c r="CC679">
        <f>$C679*CC678</f>
        <v/>
      </c>
      <c r="CD679">
        <f>$C679*CD678</f>
        <v/>
      </c>
      <c r="CE679">
        <f>$C679*CE678</f>
        <v/>
      </c>
      <c r="CF679">
        <f>$C679*CF678</f>
        <v/>
      </c>
      <c r="CG679">
        <f>$C679*CG678</f>
        <v/>
      </c>
      <c r="CH679">
        <f>$C679*CH678</f>
        <v/>
      </c>
      <c r="CI679">
        <f>$C679*CI678</f>
        <v/>
      </c>
      <c r="CJ679">
        <f>$C679*CJ678</f>
        <v/>
      </c>
      <c r="CK679">
        <f>$C679*CK678</f>
        <v/>
      </c>
      <c r="CL679">
        <f>$C679*CL678</f>
        <v/>
      </c>
      <c r="CM679">
        <f>$C679*CM678</f>
        <v/>
      </c>
      <c r="CN679">
        <f>$C679*CN678</f>
        <v/>
      </c>
      <c r="CO679">
        <f>$C679*CO678</f>
        <v/>
      </c>
      <c r="CP679">
        <f>$C679*CP678</f>
        <v/>
      </c>
      <c r="CQ679">
        <f>$C679*CQ678</f>
        <v/>
      </c>
      <c r="CR679">
        <f>$C679*CR678</f>
        <v/>
      </c>
      <c r="CS679">
        <f>$C679*CS678</f>
        <v/>
      </c>
      <c r="CT679">
        <f>$C679*CT678</f>
        <v/>
      </c>
      <c r="CU679">
        <f>$C679*CU678</f>
        <v/>
      </c>
      <c r="CV679">
        <f>$C679*CV678</f>
        <v/>
      </c>
      <c r="CW679">
        <f>$C679*CW678</f>
        <v/>
      </c>
      <c r="CX679">
        <f>$C679*CX678</f>
        <v/>
      </c>
      <c r="CY679">
        <f>$C679*CY678</f>
        <v/>
      </c>
      <c r="CZ679">
        <f>$C679*CZ678</f>
        <v/>
      </c>
      <c r="DA679">
        <f>$C679*DA678</f>
        <v/>
      </c>
      <c r="DB679">
        <f>$C679*DB678</f>
        <v/>
      </c>
      <c r="DC679">
        <f>$C679*DC678</f>
        <v/>
      </c>
    </row>
    <row r="680">
      <c r="B680" t="inlineStr">
        <is>
          <t>TSP-205</t>
        </is>
      </c>
      <c r="C680" t="inlineStr">
        <is>
          <t>No. of batches</t>
        </is>
      </c>
      <c r="D680">
        <f>IFERROR(INDEX(PP_Grid[#Data],$DD680,2),0)</f>
        <v/>
      </c>
      <c r="E680">
        <f>IFERROR(INDEX(PP_Grid[#Data],$DD680,3),0)</f>
        <v/>
      </c>
      <c r="F680">
        <f>IFERROR(INDEX(PP_Grid[#Data],$DD680,4),0)</f>
        <v/>
      </c>
      <c r="G680">
        <f>IFERROR(INDEX(PP_Grid[#Data],$DD680,5),0)</f>
        <v/>
      </c>
      <c r="H680">
        <f>IFERROR(INDEX(PP_Grid[#Data],$DD680,6),0)</f>
        <v/>
      </c>
      <c r="I680">
        <f>IFERROR(INDEX(PP_Grid[#Data],$DD680,7),0)</f>
        <v/>
      </c>
      <c r="J680">
        <f>IFERROR(INDEX(PP_Grid[#Data],$DD680,8),0)</f>
        <v/>
      </c>
      <c r="K680">
        <f>IFERROR(INDEX(PP_Grid[#Data],$DD680,9),0)</f>
        <v/>
      </c>
      <c r="L680">
        <f>IFERROR(INDEX(PP_Grid[#Data],$DD680,10),0)</f>
        <v/>
      </c>
      <c r="M680">
        <f>IFERROR(INDEX(PP_Grid[#Data],$DD680,11),0)</f>
        <v/>
      </c>
      <c r="N680">
        <f>IFERROR(INDEX(PP_Grid[#Data],$DD680,12),0)</f>
        <v/>
      </c>
      <c r="O680">
        <f>IFERROR(INDEX(PP_Grid[#Data],$DD680,13),0)</f>
        <v/>
      </c>
      <c r="P680">
        <f>IFERROR(INDEX(PP_Grid[#Data],$DD680,14),0)</f>
        <v/>
      </c>
      <c r="Q680">
        <f>IFERROR(INDEX(PP_Grid[#Data],$DD680,15),0)</f>
        <v/>
      </c>
      <c r="R680">
        <f>IFERROR(INDEX(PP_Grid[#Data],$DD680,16),0)</f>
        <v/>
      </c>
      <c r="S680">
        <f>IFERROR(INDEX(PP_Grid[#Data],$DD680,17),0)</f>
        <v/>
      </c>
      <c r="T680">
        <f>IFERROR(INDEX(PP_Grid[#Data],$DD680,18),0)</f>
        <v/>
      </c>
      <c r="U680">
        <f>IFERROR(INDEX(PP_Grid[#Data],$DD680,19),0)</f>
        <v/>
      </c>
      <c r="V680">
        <f>IFERROR(INDEX(PP_Grid[#Data],$DD680,20),0)</f>
        <v/>
      </c>
      <c r="W680">
        <f>IFERROR(INDEX(PP_Grid[#Data],$DD680,21),0)</f>
        <v/>
      </c>
      <c r="X680">
        <f>IFERROR(INDEX(PP_Grid[#Data],$DD680,22),0)</f>
        <v/>
      </c>
      <c r="Y680">
        <f>IFERROR(INDEX(PP_Grid[#Data],$DD680,23),0)</f>
        <v/>
      </c>
      <c r="Z680">
        <f>IFERROR(INDEX(PP_Grid[#Data],$DD680,24),0)</f>
        <v/>
      </c>
      <c r="AA680">
        <f>IFERROR(INDEX(PP_Grid[#Data],$DD680,25),0)</f>
        <v/>
      </c>
      <c r="AB680">
        <f>IFERROR(INDEX(PP_Grid[#Data],$DD680,26),0)</f>
        <v/>
      </c>
      <c r="AC680">
        <f>IFERROR(INDEX(PP_Grid[#Data],$DD680,27),0)</f>
        <v/>
      </c>
      <c r="AD680">
        <f>IFERROR(INDEX(PP_Grid[#Data],$DD680,28),0)</f>
        <v/>
      </c>
      <c r="AE680">
        <f>IFERROR(INDEX(PP_Grid[#Data],$DD680,29),0)</f>
        <v/>
      </c>
      <c r="AF680">
        <f>IFERROR(INDEX(PP_Grid[#Data],$DD680,30),0)</f>
        <v/>
      </c>
      <c r="AG680">
        <f>IFERROR(INDEX(PP_Grid[#Data],$DD680,31),0)</f>
        <v/>
      </c>
      <c r="AH680">
        <f>IFERROR(INDEX(PP_Grid[#Data],$DD680,32),0)</f>
        <v/>
      </c>
      <c r="AI680">
        <f>IFERROR(INDEX(PP_Grid[#Data],$DD680,33),0)</f>
        <v/>
      </c>
      <c r="AJ680">
        <f>IFERROR(INDEX(PP_Grid[#Data],$DD680,34),0)</f>
        <v/>
      </c>
      <c r="AK680">
        <f>IFERROR(INDEX(PP_Grid[#Data],$DD680,35),0)</f>
        <v/>
      </c>
      <c r="AL680">
        <f>IFERROR(INDEX(PP_Grid[#Data],$DD680,36),0)</f>
        <v/>
      </c>
      <c r="AM680">
        <f>IFERROR(INDEX(PP_Grid[#Data],$DD680,37),0)</f>
        <v/>
      </c>
      <c r="AN680">
        <f>IFERROR(INDEX(PP_Grid[#Data],$DD680,38),0)</f>
        <v/>
      </c>
      <c r="AO680">
        <f>IFERROR(INDEX(PP_Grid[#Data],$DD680,39),0)</f>
        <v/>
      </c>
      <c r="AP680">
        <f>IFERROR(INDEX(PP_Grid[#Data],$DD680,40),0)</f>
        <v/>
      </c>
      <c r="AQ680">
        <f>IFERROR(INDEX(PP_Grid[#Data],$DD680,41),0)</f>
        <v/>
      </c>
      <c r="AR680">
        <f>IFERROR(INDEX(PP_Grid[#Data],$DD680,42),0)</f>
        <v/>
      </c>
      <c r="AS680">
        <f>IFERROR(INDEX(PP_Grid[#Data],$DD680,43),0)</f>
        <v/>
      </c>
      <c r="AT680">
        <f>IFERROR(INDEX(PP_Grid[#Data],$DD680,44),0)</f>
        <v/>
      </c>
      <c r="AU680">
        <f>IFERROR(INDEX(PP_Grid[#Data],$DD680,45),0)</f>
        <v/>
      </c>
      <c r="AV680">
        <f>IFERROR(INDEX(PP_Grid[#Data],$DD680,46),0)</f>
        <v/>
      </c>
      <c r="AW680">
        <f>IFERROR(INDEX(PP_Grid[#Data],$DD680,47),0)</f>
        <v/>
      </c>
      <c r="AX680">
        <f>IFERROR(INDEX(PP_Grid[#Data],$DD680,48),0)</f>
        <v/>
      </c>
      <c r="AY680">
        <f>IFERROR(INDEX(PP_Grid[#Data],$DD680,49),0)</f>
        <v/>
      </c>
      <c r="AZ680">
        <f>IFERROR(INDEX(PP_Grid[#Data],$DD680,50),0)</f>
        <v/>
      </c>
      <c r="BA680">
        <f>IFERROR(INDEX(PP_Grid[#Data],$DD680,51),0)</f>
        <v/>
      </c>
      <c r="BB680">
        <f>IFERROR(INDEX(PP_Grid[#Data],$DD680,52),0)</f>
        <v/>
      </c>
      <c r="BC680">
        <f>IFERROR(INDEX(PP_Grid[#Data],$DD680,53),0)</f>
        <v/>
      </c>
      <c r="BD680">
        <f>IFERROR(INDEX(PP_Grid[#Data],$DD680,54),0)</f>
        <v/>
      </c>
      <c r="BE680">
        <f>IFERROR(INDEX(PP_Grid[#Data],$DD680,55),0)</f>
        <v/>
      </c>
      <c r="BF680">
        <f>IFERROR(INDEX(PP_Grid[#Data],$DD680,56),0)</f>
        <v/>
      </c>
      <c r="BG680">
        <f>IFERROR(INDEX(PP_Grid[#Data],$DD680,57),0)</f>
        <v/>
      </c>
      <c r="BH680">
        <f>IFERROR(INDEX(PP_Grid[#Data],$DD680,58),0)</f>
        <v/>
      </c>
      <c r="BI680">
        <f>IFERROR(INDEX(PP_Grid[#Data],$DD680,59),0)</f>
        <v/>
      </c>
      <c r="BJ680">
        <f>IFERROR(INDEX(PP_Grid[#Data],$DD680,60),0)</f>
        <v/>
      </c>
      <c r="BK680">
        <f>IFERROR(INDEX(PP_Grid[#Data],$DD680,61),0)</f>
        <v/>
      </c>
      <c r="BL680">
        <f>IFERROR(INDEX(PP_Grid[#Data],$DD680,62),0)</f>
        <v/>
      </c>
      <c r="BM680">
        <f>IFERROR(INDEX(PP_Grid[#Data],$DD680,63),0)</f>
        <v/>
      </c>
      <c r="BN680">
        <f>IFERROR(INDEX(PP_Grid[#Data],$DD680,64),0)</f>
        <v/>
      </c>
      <c r="BO680">
        <f>IFERROR(INDEX(PP_Grid[#Data],$DD680,65),0)</f>
        <v/>
      </c>
      <c r="BP680">
        <f>IFERROR(INDEX(PP_Grid[#Data],$DD680,66),0)</f>
        <v/>
      </c>
      <c r="BQ680">
        <f>IFERROR(INDEX(PP_Grid[#Data],$DD680,67),0)</f>
        <v/>
      </c>
      <c r="BR680">
        <f>IFERROR(INDEX(PP_Grid[#Data],$DD680,68),0)</f>
        <v/>
      </c>
      <c r="BS680">
        <f>IFERROR(INDEX(PP_Grid[#Data],$DD680,69),0)</f>
        <v/>
      </c>
      <c r="BT680">
        <f>IFERROR(INDEX(PP_Grid[#Data],$DD680,70),0)</f>
        <v/>
      </c>
      <c r="BU680">
        <f>IFERROR(INDEX(PP_Grid[#Data],$DD680,71),0)</f>
        <v/>
      </c>
      <c r="BV680">
        <f>IFERROR(INDEX(PP_Grid[#Data],$DD680,72),0)</f>
        <v/>
      </c>
      <c r="BW680">
        <f>IFERROR(INDEX(PP_Grid[#Data],$DD680,73),0)</f>
        <v/>
      </c>
      <c r="BX680">
        <f>IFERROR(INDEX(PP_Grid[#Data],$DD680,74),0)</f>
        <v/>
      </c>
      <c r="BY680">
        <f>IFERROR(INDEX(PP_Grid[#Data],$DD680,75),0)</f>
        <v/>
      </c>
      <c r="BZ680">
        <f>IFERROR(INDEX(PP_Grid[#Data],$DD680,76),0)</f>
        <v/>
      </c>
      <c r="CA680">
        <f>IFERROR(INDEX(PP_Grid[#Data],$DD680,77),0)</f>
        <v/>
      </c>
      <c r="CB680">
        <f>IFERROR(INDEX(PP_Grid[#Data],$DD680,78),0)</f>
        <v/>
      </c>
      <c r="CC680">
        <f>IFERROR(INDEX(PP_Grid[#Data],$DD680,79),0)</f>
        <v/>
      </c>
      <c r="CD680">
        <f>IFERROR(INDEX(PP_Grid[#Data],$DD680,80),0)</f>
        <v/>
      </c>
      <c r="CE680">
        <f>IFERROR(INDEX(PP_Grid[#Data],$DD680,81),0)</f>
        <v/>
      </c>
      <c r="CF680">
        <f>IFERROR(INDEX(PP_Grid[#Data],$DD680,82),0)</f>
        <v/>
      </c>
      <c r="CG680">
        <f>IFERROR(INDEX(PP_Grid[#Data],$DD680,83),0)</f>
        <v/>
      </c>
      <c r="CH680">
        <f>IFERROR(INDEX(PP_Grid[#Data],$DD680,84),0)</f>
        <v/>
      </c>
      <c r="CI680">
        <f>IFERROR(INDEX(PP_Grid[#Data],$DD680,85),0)</f>
        <v/>
      </c>
      <c r="CJ680">
        <f>IFERROR(INDEX(PP_Grid[#Data],$DD680,86),0)</f>
        <v/>
      </c>
      <c r="CK680">
        <f>IFERROR(INDEX(PP_Grid[#Data],$DD680,87),0)</f>
        <v/>
      </c>
      <c r="CL680">
        <f>IFERROR(INDEX(PP_Grid[#Data],$DD680,88),0)</f>
        <v/>
      </c>
      <c r="CM680">
        <f>IFERROR(INDEX(PP_Grid[#Data],$DD680,89),0)</f>
        <v/>
      </c>
      <c r="CN680">
        <f>IFERROR(INDEX(PP_Grid[#Data],$DD680,90),0)</f>
        <v/>
      </c>
      <c r="CO680">
        <f>IFERROR(INDEX(PP_Grid[#Data],$DD680,91),0)</f>
        <v/>
      </c>
      <c r="CP680">
        <f>IFERROR(INDEX(PP_Grid[#Data],$DD680,92),0)</f>
        <v/>
      </c>
      <c r="CQ680">
        <f>IFERROR(INDEX(PP_Grid[#Data],$DD680,93),0)</f>
        <v/>
      </c>
      <c r="CR680">
        <f>IFERROR(INDEX(PP_Grid[#Data],$DD680,94),0)</f>
        <v/>
      </c>
      <c r="CS680">
        <f>IFERROR(INDEX(PP_Grid[#Data],$DD680,95),0)</f>
        <v/>
      </c>
      <c r="CT680">
        <f>IFERROR(INDEX(PP_Grid[#Data],$DD680,96),0)</f>
        <v/>
      </c>
      <c r="CU680">
        <f>IFERROR(INDEX(PP_Grid[#Data],$DD680,97),0)</f>
        <v/>
      </c>
      <c r="CV680">
        <f>IFERROR(INDEX(PP_Grid[#Data],$DD680,98),0)</f>
        <v/>
      </c>
      <c r="CW680">
        <f>IFERROR(INDEX(PP_Grid[#Data],$DD680,99),0)</f>
        <v/>
      </c>
      <c r="CX680">
        <f>IFERROR(INDEX(PP_Grid[#Data],$DD680,100),0)</f>
        <v/>
      </c>
      <c r="CY680">
        <f>IFERROR(INDEX(PP_Grid[#Data],$DD680,101),0)</f>
        <v/>
      </c>
      <c r="CZ680">
        <f>IFERROR(INDEX(PP_Grid[#Data],$DD680,102),0)</f>
        <v/>
      </c>
      <c r="DA680">
        <f>IFERROR(INDEX(PP_Grid[#Data],$DD680,103),0)</f>
        <v/>
      </c>
      <c r="DB680">
        <f>IFERROR(INDEX(PP_Grid[#Data],$DD680,104),0)</f>
        <v/>
      </c>
      <c r="DC680">
        <f>IFERROR(INDEX(PP_Grid[#Data],$DD680,105),0)</f>
        <v/>
      </c>
      <c r="DD680" s="12">
        <f>IFERROR(MATCH($B680,PP_Grid[Intermediate],0),99999)</f>
        <v/>
      </c>
    </row>
    <row r="681">
      <c r="B681" t="inlineStr">
        <is>
          <t>使用量(kg)</t>
        </is>
      </c>
      <c r="C681">
        <f>SUMIFS(M_BOM[RM_Qty_Per_Batch],M_BOM[Intermediate],$B680,M_BOM[Part Name],$A641)</f>
        <v/>
      </c>
      <c r="D681">
        <f>$C681*D680</f>
        <v/>
      </c>
      <c r="E681">
        <f>$C681*E680</f>
        <v/>
      </c>
      <c r="F681">
        <f>$C681*F680</f>
        <v/>
      </c>
      <c r="G681">
        <f>$C681*G680</f>
        <v/>
      </c>
      <c r="H681">
        <f>$C681*H680</f>
        <v/>
      </c>
      <c r="I681">
        <f>$C681*I680</f>
        <v/>
      </c>
      <c r="J681">
        <f>$C681*J680</f>
        <v/>
      </c>
      <c r="K681">
        <f>$C681*K680</f>
        <v/>
      </c>
      <c r="L681">
        <f>$C681*L680</f>
        <v/>
      </c>
      <c r="M681">
        <f>$C681*M680</f>
        <v/>
      </c>
      <c r="N681">
        <f>$C681*N680</f>
        <v/>
      </c>
      <c r="O681">
        <f>$C681*O680</f>
        <v/>
      </c>
      <c r="P681">
        <f>$C681*P680</f>
        <v/>
      </c>
      <c r="Q681">
        <f>$C681*Q680</f>
        <v/>
      </c>
      <c r="R681">
        <f>$C681*R680</f>
        <v/>
      </c>
      <c r="S681">
        <f>$C681*S680</f>
        <v/>
      </c>
      <c r="T681">
        <f>$C681*T680</f>
        <v/>
      </c>
      <c r="U681">
        <f>$C681*U680</f>
        <v/>
      </c>
      <c r="V681">
        <f>$C681*V680</f>
        <v/>
      </c>
      <c r="W681">
        <f>$C681*W680</f>
        <v/>
      </c>
      <c r="X681">
        <f>$C681*X680</f>
        <v/>
      </c>
      <c r="Y681">
        <f>$C681*Y680</f>
        <v/>
      </c>
      <c r="Z681">
        <f>$C681*Z680</f>
        <v/>
      </c>
      <c r="AA681">
        <f>$C681*AA680</f>
        <v/>
      </c>
      <c r="AB681">
        <f>$C681*AB680</f>
        <v/>
      </c>
      <c r="AC681">
        <f>$C681*AC680</f>
        <v/>
      </c>
      <c r="AD681">
        <f>$C681*AD680</f>
        <v/>
      </c>
      <c r="AE681">
        <f>$C681*AE680</f>
        <v/>
      </c>
      <c r="AF681">
        <f>$C681*AF680</f>
        <v/>
      </c>
      <c r="AG681">
        <f>$C681*AG680</f>
        <v/>
      </c>
      <c r="AH681">
        <f>$C681*AH680</f>
        <v/>
      </c>
      <c r="AI681">
        <f>$C681*AI680</f>
        <v/>
      </c>
      <c r="AJ681">
        <f>$C681*AJ680</f>
        <v/>
      </c>
      <c r="AK681">
        <f>$C681*AK680</f>
        <v/>
      </c>
      <c r="AL681">
        <f>$C681*AL680</f>
        <v/>
      </c>
      <c r="AM681">
        <f>$C681*AM680</f>
        <v/>
      </c>
      <c r="AN681">
        <f>$C681*AN680</f>
        <v/>
      </c>
      <c r="AO681">
        <f>$C681*AO680</f>
        <v/>
      </c>
      <c r="AP681">
        <f>$C681*AP680</f>
        <v/>
      </c>
      <c r="AQ681">
        <f>$C681*AQ680</f>
        <v/>
      </c>
      <c r="AR681">
        <f>$C681*AR680</f>
        <v/>
      </c>
      <c r="AS681">
        <f>$C681*AS680</f>
        <v/>
      </c>
      <c r="AT681">
        <f>$C681*AT680</f>
        <v/>
      </c>
      <c r="AU681">
        <f>$C681*AU680</f>
        <v/>
      </c>
      <c r="AV681">
        <f>$C681*AV680</f>
        <v/>
      </c>
      <c r="AW681">
        <f>$C681*AW680</f>
        <v/>
      </c>
      <c r="AX681">
        <f>$C681*AX680</f>
        <v/>
      </c>
      <c r="AY681">
        <f>$C681*AY680</f>
        <v/>
      </c>
      <c r="AZ681">
        <f>$C681*AZ680</f>
        <v/>
      </c>
      <c r="BA681">
        <f>$C681*BA680</f>
        <v/>
      </c>
      <c r="BB681">
        <f>$C681*BB680</f>
        <v/>
      </c>
      <c r="BC681">
        <f>$C681*BC680</f>
        <v/>
      </c>
      <c r="BD681">
        <f>$C681*BD680</f>
        <v/>
      </c>
      <c r="BE681">
        <f>$C681*BE680</f>
        <v/>
      </c>
      <c r="BF681">
        <f>$C681*BF680</f>
        <v/>
      </c>
      <c r="BG681">
        <f>$C681*BG680</f>
        <v/>
      </c>
      <c r="BH681">
        <f>$C681*BH680</f>
        <v/>
      </c>
      <c r="BI681">
        <f>$C681*BI680</f>
        <v/>
      </c>
      <c r="BJ681">
        <f>$C681*BJ680</f>
        <v/>
      </c>
      <c r="BK681">
        <f>$C681*BK680</f>
        <v/>
      </c>
      <c r="BL681">
        <f>$C681*BL680</f>
        <v/>
      </c>
      <c r="BM681">
        <f>$C681*BM680</f>
        <v/>
      </c>
      <c r="BN681">
        <f>$C681*BN680</f>
        <v/>
      </c>
      <c r="BO681">
        <f>$C681*BO680</f>
        <v/>
      </c>
      <c r="BP681">
        <f>$C681*BP680</f>
        <v/>
      </c>
      <c r="BQ681">
        <f>$C681*BQ680</f>
        <v/>
      </c>
      <c r="BR681">
        <f>$C681*BR680</f>
        <v/>
      </c>
      <c r="BS681">
        <f>$C681*BS680</f>
        <v/>
      </c>
      <c r="BT681">
        <f>$C681*BT680</f>
        <v/>
      </c>
      <c r="BU681">
        <f>$C681*BU680</f>
        <v/>
      </c>
      <c r="BV681">
        <f>$C681*BV680</f>
        <v/>
      </c>
      <c r="BW681">
        <f>$C681*BW680</f>
        <v/>
      </c>
      <c r="BX681">
        <f>$C681*BX680</f>
        <v/>
      </c>
      <c r="BY681">
        <f>$C681*BY680</f>
        <v/>
      </c>
      <c r="BZ681">
        <f>$C681*BZ680</f>
        <v/>
      </c>
      <c r="CA681">
        <f>$C681*CA680</f>
        <v/>
      </c>
      <c r="CB681">
        <f>$C681*CB680</f>
        <v/>
      </c>
      <c r="CC681">
        <f>$C681*CC680</f>
        <v/>
      </c>
      <c r="CD681">
        <f>$C681*CD680</f>
        <v/>
      </c>
      <c r="CE681">
        <f>$C681*CE680</f>
        <v/>
      </c>
      <c r="CF681">
        <f>$C681*CF680</f>
        <v/>
      </c>
      <c r="CG681">
        <f>$C681*CG680</f>
        <v/>
      </c>
      <c r="CH681">
        <f>$C681*CH680</f>
        <v/>
      </c>
      <c r="CI681">
        <f>$C681*CI680</f>
        <v/>
      </c>
      <c r="CJ681">
        <f>$C681*CJ680</f>
        <v/>
      </c>
      <c r="CK681">
        <f>$C681*CK680</f>
        <v/>
      </c>
      <c r="CL681">
        <f>$C681*CL680</f>
        <v/>
      </c>
      <c r="CM681">
        <f>$C681*CM680</f>
        <v/>
      </c>
      <c r="CN681">
        <f>$C681*CN680</f>
        <v/>
      </c>
      <c r="CO681">
        <f>$C681*CO680</f>
        <v/>
      </c>
      <c r="CP681">
        <f>$C681*CP680</f>
        <v/>
      </c>
      <c r="CQ681">
        <f>$C681*CQ680</f>
        <v/>
      </c>
      <c r="CR681">
        <f>$C681*CR680</f>
        <v/>
      </c>
      <c r="CS681">
        <f>$C681*CS680</f>
        <v/>
      </c>
      <c r="CT681">
        <f>$C681*CT680</f>
        <v/>
      </c>
      <c r="CU681">
        <f>$C681*CU680</f>
        <v/>
      </c>
      <c r="CV681">
        <f>$C681*CV680</f>
        <v/>
      </c>
      <c r="CW681">
        <f>$C681*CW680</f>
        <v/>
      </c>
      <c r="CX681">
        <f>$C681*CX680</f>
        <v/>
      </c>
      <c r="CY681">
        <f>$C681*CY680</f>
        <v/>
      </c>
      <c r="CZ681">
        <f>$C681*CZ680</f>
        <v/>
      </c>
      <c r="DA681">
        <f>$C681*DA680</f>
        <v/>
      </c>
      <c r="DB681">
        <f>$C681*DB680</f>
        <v/>
      </c>
      <c r="DC681">
        <f>$C681*DC680</f>
        <v/>
      </c>
    </row>
    <row r="682">
      <c r="B682" t="inlineStr">
        <is>
          <t>TSP-206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12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Name],$A641)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TSP-224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12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Name],$A641)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TSP-225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12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Name],$A641)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TSP-360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12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Name],$A641)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TSP-367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12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Name],$A641)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TSP-369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12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Name],$A641)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TSP-402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12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Name],$A641)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TSP-403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12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Name],$A641)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TSP-404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12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Name],$A641)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TSP-405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12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Name],$A641)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TSP-544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12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Name],$A641)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t="inlineStr">
        <is>
          <t>TSP-558</t>
        </is>
      </c>
      <c r="C704" t="inlineStr">
        <is>
          <t>No. of batches</t>
        </is>
      </c>
      <c r="D704">
        <f>IFERROR(INDEX(PP_Grid[#Data],$DD704,2),0)</f>
        <v/>
      </c>
      <c r="E704">
        <f>IFERROR(INDEX(PP_Grid[#Data],$DD704,3),0)</f>
        <v/>
      </c>
      <c r="F704">
        <f>IFERROR(INDEX(PP_Grid[#Data],$DD704,4),0)</f>
        <v/>
      </c>
      <c r="G704">
        <f>IFERROR(INDEX(PP_Grid[#Data],$DD704,5),0)</f>
        <v/>
      </c>
      <c r="H704">
        <f>IFERROR(INDEX(PP_Grid[#Data],$DD704,6),0)</f>
        <v/>
      </c>
      <c r="I704">
        <f>IFERROR(INDEX(PP_Grid[#Data],$DD704,7),0)</f>
        <v/>
      </c>
      <c r="J704">
        <f>IFERROR(INDEX(PP_Grid[#Data],$DD704,8),0)</f>
        <v/>
      </c>
      <c r="K704">
        <f>IFERROR(INDEX(PP_Grid[#Data],$DD704,9),0)</f>
        <v/>
      </c>
      <c r="L704">
        <f>IFERROR(INDEX(PP_Grid[#Data],$DD704,10),0)</f>
        <v/>
      </c>
      <c r="M704">
        <f>IFERROR(INDEX(PP_Grid[#Data],$DD704,11),0)</f>
        <v/>
      </c>
      <c r="N704">
        <f>IFERROR(INDEX(PP_Grid[#Data],$DD704,12),0)</f>
        <v/>
      </c>
      <c r="O704">
        <f>IFERROR(INDEX(PP_Grid[#Data],$DD704,13),0)</f>
        <v/>
      </c>
      <c r="P704">
        <f>IFERROR(INDEX(PP_Grid[#Data],$DD704,14),0)</f>
        <v/>
      </c>
      <c r="Q704">
        <f>IFERROR(INDEX(PP_Grid[#Data],$DD704,15),0)</f>
        <v/>
      </c>
      <c r="R704">
        <f>IFERROR(INDEX(PP_Grid[#Data],$DD704,16),0)</f>
        <v/>
      </c>
      <c r="S704">
        <f>IFERROR(INDEX(PP_Grid[#Data],$DD704,17),0)</f>
        <v/>
      </c>
      <c r="T704">
        <f>IFERROR(INDEX(PP_Grid[#Data],$DD704,18),0)</f>
        <v/>
      </c>
      <c r="U704">
        <f>IFERROR(INDEX(PP_Grid[#Data],$DD704,19),0)</f>
        <v/>
      </c>
      <c r="V704">
        <f>IFERROR(INDEX(PP_Grid[#Data],$DD704,20),0)</f>
        <v/>
      </c>
      <c r="W704">
        <f>IFERROR(INDEX(PP_Grid[#Data],$DD704,21),0)</f>
        <v/>
      </c>
      <c r="X704">
        <f>IFERROR(INDEX(PP_Grid[#Data],$DD704,22),0)</f>
        <v/>
      </c>
      <c r="Y704">
        <f>IFERROR(INDEX(PP_Grid[#Data],$DD704,23),0)</f>
        <v/>
      </c>
      <c r="Z704">
        <f>IFERROR(INDEX(PP_Grid[#Data],$DD704,24),0)</f>
        <v/>
      </c>
      <c r="AA704">
        <f>IFERROR(INDEX(PP_Grid[#Data],$DD704,25),0)</f>
        <v/>
      </c>
      <c r="AB704">
        <f>IFERROR(INDEX(PP_Grid[#Data],$DD704,26),0)</f>
        <v/>
      </c>
      <c r="AC704">
        <f>IFERROR(INDEX(PP_Grid[#Data],$DD704,27),0)</f>
        <v/>
      </c>
      <c r="AD704">
        <f>IFERROR(INDEX(PP_Grid[#Data],$DD704,28),0)</f>
        <v/>
      </c>
      <c r="AE704">
        <f>IFERROR(INDEX(PP_Grid[#Data],$DD704,29),0)</f>
        <v/>
      </c>
      <c r="AF704">
        <f>IFERROR(INDEX(PP_Grid[#Data],$DD704,30),0)</f>
        <v/>
      </c>
      <c r="AG704">
        <f>IFERROR(INDEX(PP_Grid[#Data],$DD704,31),0)</f>
        <v/>
      </c>
      <c r="AH704">
        <f>IFERROR(INDEX(PP_Grid[#Data],$DD704,32),0)</f>
        <v/>
      </c>
      <c r="AI704">
        <f>IFERROR(INDEX(PP_Grid[#Data],$DD704,33),0)</f>
        <v/>
      </c>
      <c r="AJ704">
        <f>IFERROR(INDEX(PP_Grid[#Data],$DD704,34),0)</f>
        <v/>
      </c>
      <c r="AK704">
        <f>IFERROR(INDEX(PP_Grid[#Data],$DD704,35),0)</f>
        <v/>
      </c>
      <c r="AL704">
        <f>IFERROR(INDEX(PP_Grid[#Data],$DD704,36),0)</f>
        <v/>
      </c>
      <c r="AM704">
        <f>IFERROR(INDEX(PP_Grid[#Data],$DD704,37),0)</f>
        <v/>
      </c>
      <c r="AN704">
        <f>IFERROR(INDEX(PP_Grid[#Data],$DD704,38),0)</f>
        <v/>
      </c>
      <c r="AO704">
        <f>IFERROR(INDEX(PP_Grid[#Data],$DD704,39),0)</f>
        <v/>
      </c>
      <c r="AP704">
        <f>IFERROR(INDEX(PP_Grid[#Data],$DD704,40),0)</f>
        <v/>
      </c>
      <c r="AQ704">
        <f>IFERROR(INDEX(PP_Grid[#Data],$DD704,41),0)</f>
        <v/>
      </c>
      <c r="AR704">
        <f>IFERROR(INDEX(PP_Grid[#Data],$DD704,42),0)</f>
        <v/>
      </c>
      <c r="AS704">
        <f>IFERROR(INDEX(PP_Grid[#Data],$DD704,43),0)</f>
        <v/>
      </c>
      <c r="AT704">
        <f>IFERROR(INDEX(PP_Grid[#Data],$DD704,44),0)</f>
        <v/>
      </c>
      <c r="AU704">
        <f>IFERROR(INDEX(PP_Grid[#Data],$DD704,45),0)</f>
        <v/>
      </c>
      <c r="AV704">
        <f>IFERROR(INDEX(PP_Grid[#Data],$DD704,46),0)</f>
        <v/>
      </c>
      <c r="AW704">
        <f>IFERROR(INDEX(PP_Grid[#Data],$DD704,47),0)</f>
        <v/>
      </c>
      <c r="AX704">
        <f>IFERROR(INDEX(PP_Grid[#Data],$DD704,48),0)</f>
        <v/>
      </c>
      <c r="AY704">
        <f>IFERROR(INDEX(PP_Grid[#Data],$DD704,49),0)</f>
        <v/>
      </c>
      <c r="AZ704">
        <f>IFERROR(INDEX(PP_Grid[#Data],$DD704,50),0)</f>
        <v/>
      </c>
      <c r="BA704">
        <f>IFERROR(INDEX(PP_Grid[#Data],$DD704,51),0)</f>
        <v/>
      </c>
      <c r="BB704">
        <f>IFERROR(INDEX(PP_Grid[#Data],$DD704,52),0)</f>
        <v/>
      </c>
      <c r="BC704">
        <f>IFERROR(INDEX(PP_Grid[#Data],$DD704,53),0)</f>
        <v/>
      </c>
      <c r="BD704">
        <f>IFERROR(INDEX(PP_Grid[#Data],$DD704,54),0)</f>
        <v/>
      </c>
      <c r="BE704">
        <f>IFERROR(INDEX(PP_Grid[#Data],$DD704,55),0)</f>
        <v/>
      </c>
      <c r="BF704">
        <f>IFERROR(INDEX(PP_Grid[#Data],$DD704,56),0)</f>
        <v/>
      </c>
      <c r="BG704">
        <f>IFERROR(INDEX(PP_Grid[#Data],$DD704,57),0)</f>
        <v/>
      </c>
      <c r="BH704">
        <f>IFERROR(INDEX(PP_Grid[#Data],$DD704,58),0)</f>
        <v/>
      </c>
      <c r="BI704">
        <f>IFERROR(INDEX(PP_Grid[#Data],$DD704,59),0)</f>
        <v/>
      </c>
      <c r="BJ704">
        <f>IFERROR(INDEX(PP_Grid[#Data],$DD704,60),0)</f>
        <v/>
      </c>
      <c r="BK704">
        <f>IFERROR(INDEX(PP_Grid[#Data],$DD704,61),0)</f>
        <v/>
      </c>
      <c r="BL704">
        <f>IFERROR(INDEX(PP_Grid[#Data],$DD704,62),0)</f>
        <v/>
      </c>
      <c r="BM704">
        <f>IFERROR(INDEX(PP_Grid[#Data],$DD704,63),0)</f>
        <v/>
      </c>
      <c r="BN704">
        <f>IFERROR(INDEX(PP_Grid[#Data],$DD704,64),0)</f>
        <v/>
      </c>
      <c r="BO704">
        <f>IFERROR(INDEX(PP_Grid[#Data],$DD704,65),0)</f>
        <v/>
      </c>
      <c r="BP704">
        <f>IFERROR(INDEX(PP_Grid[#Data],$DD704,66),0)</f>
        <v/>
      </c>
      <c r="BQ704">
        <f>IFERROR(INDEX(PP_Grid[#Data],$DD704,67),0)</f>
        <v/>
      </c>
      <c r="BR704">
        <f>IFERROR(INDEX(PP_Grid[#Data],$DD704,68),0)</f>
        <v/>
      </c>
      <c r="BS704">
        <f>IFERROR(INDEX(PP_Grid[#Data],$DD704,69),0)</f>
        <v/>
      </c>
      <c r="BT704">
        <f>IFERROR(INDEX(PP_Grid[#Data],$DD704,70),0)</f>
        <v/>
      </c>
      <c r="BU704">
        <f>IFERROR(INDEX(PP_Grid[#Data],$DD704,71),0)</f>
        <v/>
      </c>
      <c r="BV704">
        <f>IFERROR(INDEX(PP_Grid[#Data],$DD704,72),0)</f>
        <v/>
      </c>
      <c r="BW704">
        <f>IFERROR(INDEX(PP_Grid[#Data],$DD704,73),0)</f>
        <v/>
      </c>
      <c r="BX704">
        <f>IFERROR(INDEX(PP_Grid[#Data],$DD704,74),0)</f>
        <v/>
      </c>
      <c r="BY704">
        <f>IFERROR(INDEX(PP_Grid[#Data],$DD704,75),0)</f>
        <v/>
      </c>
      <c r="BZ704">
        <f>IFERROR(INDEX(PP_Grid[#Data],$DD704,76),0)</f>
        <v/>
      </c>
      <c r="CA704">
        <f>IFERROR(INDEX(PP_Grid[#Data],$DD704,77),0)</f>
        <v/>
      </c>
      <c r="CB704">
        <f>IFERROR(INDEX(PP_Grid[#Data],$DD704,78),0)</f>
        <v/>
      </c>
      <c r="CC704">
        <f>IFERROR(INDEX(PP_Grid[#Data],$DD704,79),0)</f>
        <v/>
      </c>
      <c r="CD704">
        <f>IFERROR(INDEX(PP_Grid[#Data],$DD704,80),0)</f>
        <v/>
      </c>
      <c r="CE704">
        <f>IFERROR(INDEX(PP_Grid[#Data],$DD704,81),0)</f>
        <v/>
      </c>
      <c r="CF704">
        <f>IFERROR(INDEX(PP_Grid[#Data],$DD704,82),0)</f>
        <v/>
      </c>
      <c r="CG704">
        <f>IFERROR(INDEX(PP_Grid[#Data],$DD704,83),0)</f>
        <v/>
      </c>
      <c r="CH704">
        <f>IFERROR(INDEX(PP_Grid[#Data],$DD704,84),0)</f>
        <v/>
      </c>
      <c r="CI704">
        <f>IFERROR(INDEX(PP_Grid[#Data],$DD704,85),0)</f>
        <v/>
      </c>
      <c r="CJ704">
        <f>IFERROR(INDEX(PP_Grid[#Data],$DD704,86),0)</f>
        <v/>
      </c>
      <c r="CK704">
        <f>IFERROR(INDEX(PP_Grid[#Data],$DD704,87),0)</f>
        <v/>
      </c>
      <c r="CL704">
        <f>IFERROR(INDEX(PP_Grid[#Data],$DD704,88),0)</f>
        <v/>
      </c>
      <c r="CM704">
        <f>IFERROR(INDEX(PP_Grid[#Data],$DD704,89),0)</f>
        <v/>
      </c>
      <c r="CN704">
        <f>IFERROR(INDEX(PP_Grid[#Data],$DD704,90),0)</f>
        <v/>
      </c>
      <c r="CO704">
        <f>IFERROR(INDEX(PP_Grid[#Data],$DD704,91),0)</f>
        <v/>
      </c>
      <c r="CP704">
        <f>IFERROR(INDEX(PP_Grid[#Data],$DD704,92),0)</f>
        <v/>
      </c>
      <c r="CQ704">
        <f>IFERROR(INDEX(PP_Grid[#Data],$DD704,93),0)</f>
        <v/>
      </c>
      <c r="CR704">
        <f>IFERROR(INDEX(PP_Grid[#Data],$DD704,94),0)</f>
        <v/>
      </c>
      <c r="CS704">
        <f>IFERROR(INDEX(PP_Grid[#Data],$DD704,95),0)</f>
        <v/>
      </c>
      <c r="CT704">
        <f>IFERROR(INDEX(PP_Grid[#Data],$DD704,96),0)</f>
        <v/>
      </c>
      <c r="CU704">
        <f>IFERROR(INDEX(PP_Grid[#Data],$DD704,97),0)</f>
        <v/>
      </c>
      <c r="CV704">
        <f>IFERROR(INDEX(PP_Grid[#Data],$DD704,98),0)</f>
        <v/>
      </c>
      <c r="CW704">
        <f>IFERROR(INDEX(PP_Grid[#Data],$DD704,99),0)</f>
        <v/>
      </c>
      <c r="CX704">
        <f>IFERROR(INDEX(PP_Grid[#Data],$DD704,100),0)</f>
        <v/>
      </c>
      <c r="CY704">
        <f>IFERROR(INDEX(PP_Grid[#Data],$DD704,101),0)</f>
        <v/>
      </c>
      <c r="CZ704">
        <f>IFERROR(INDEX(PP_Grid[#Data],$DD704,102),0)</f>
        <v/>
      </c>
      <c r="DA704">
        <f>IFERROR(INDEX(PP_Grid[#Data],$DD704,103),0)</f>
        <v/>
      </c>
      <c r="DB704">
        <f>IFERROR(INDEX(PP_Grid[#Data],$DD704,104),0)</f>
        <v/>
      </c>
      <c r="DC704">
        <f>IFERROR(INDEX(PP_Grid[#Data],$DD704,105),0)</f>
        <v/>
      </c>
      <c r="DD704" s="12">
        <f>IFERROR(MATCH($B704,PP_Grid[Intermediate],0),99999)</f>
        <v/>
      </c>
    </row>
    <row r="705">
      <c r="B705" t="inlineStr">
        <is>
          <t>使用量(kg)</t>
        </is>
      </c>
      <c r="C705">
        <f>SUMIFS(M_BOM[RM_Qty_Per_Batch],M_BOM[Intermediate],$B704,M_BOM[Part Name],$A641)</f>
        <v/>
      </c>
      <c r="D705">
        <f>$C705*D704</f>
        <v/>
      </c>
      <c r="E705">
        <f>$C705*E704</f>
        <v/>
      </c>
      <c r="F705">
        <f>$C705*F704</f>
        <v/>
      </c>
      <c r="G705">
        <f>$C705*G704</f>
        <v/>
      </c>
      <c r="H705">
        <f>$C705*H704</f>
        <v/>
      </c>
      <c r="I705">
        <f>$C705*I704</f>
        <v/>
      </c>
      <c r="J705">
        <f>$C705*J704</f>
        <v/>
      </c>
      <c r="K705">
        <f>$C705*K704</f>
        <v/>
      </c>
      <c r="L705">
        <f>$C705*L704</f>
        <v/>
      </c>
      <c r="M705">
        <f>$C705*M704</f>
        <v/>
      </c>
      <c r="N705">
        <f>$C705*N704</f>
        <v/>
      </c>
      <c r="O705">
        <f>$C705*O704</f>
        <v/>
      </c>
      <c r="P705">
        <f>$C705*P704</f>
        <v/>
      </c>
      <c r="Q705">
        <f>$C705*Q704</f>
        <v/>
      </c>
      <c r="R705">
        <f>$C705*R704</f>
        <v/>
      </c>
      <c r="S705">
        <f>$C705*S704</f>
        <v/>
      </c>
      <c r="T705">
        <f>$C705*T704</f>
        <v/>
      </c>
      <c r="U705">
        <f>$C705*U704</f>
        <v/>
      </c>
      <c r="V705">
        <f>$C705*V704</f>
        <v/>
      </c>
      <c r="W705">
        <f>$C705*W704</f>
        <v/>
      </c>
      <c r="X705">
        <f>$C705*X704</f>
        <v/>
      </c>
      <c r="Y705">
        <f>$C705*Y704</f>
        <v/>
      </c>
      <c r="Z705">
        <f>$C705*Z704</f>
        <v/>
      </c>
      <c r="AA705">
        <f>$C705*AA704</f>
        <v/>
      </c>
      <c r="AB705">
        <f>$C705*AB704</f>
        <v/>
      </c>
      <c r="AC705">
        <f>$C705*AC704</f>
        <v/>
      </c>
      <c r="AD705">
        <f>$C705*AD704</f>
        <v/>
      </c>
      <c r="AE705">
        <f>$C705*AE704</f>
        <v/>
      </c>
      <c r="AF705">
        <f>$C705*AF704</f>
        <v/>
      </c>
      <c r="AG705">
        <f>$C705*AG704</f>
        <v/>
      </c>
      <c r="AH705">
        <f>$C705*AH704</f>
        <v/>
      </c>
      <c r="AI705">
        <f>$C705*AI704</f>
        <v/>
      </c>
      <c r="AJ705">
        <f>$C705*AJ704</f>
        <v/>
      </c>
      <c r="AK705">
        <f>$C705*AK704</f>
        <v/>
      </c>
      <c r="AL705">
        <f>$C705*AL704</f>
        <v/>
      </c>
      <c r="AM705">
        <f>$C705*AM704</f>
        <v/>
      </c>
      <c r="AN705">
        <f>$C705*AN704</f>
        <v/>
      </c>
      <c r="AO705">
        <f>$C705*AO704</f>
        <v/>
      </c>
      <c r="AP705">
        <f>$C705*AP704</f>
        <v/>
      </c>
      <c r="AQ705">
        <f>$C705*AQ704</f>
        <v/>
      </c>
      <c r="AR705">
        <f>$C705*AR704</f>
        <v/>
      </c>
      <c r="AS705">
        <f>$C705*AS704</f>
        <v/>
      </c>
      <c r="AT705">
        <f>$C705*AT704</f>
        <v/>
      </c>
      <c r="AU705">
        <f>$C705*AU704</f>
        <v/>
      </c>
      <c r="AV705">
        <f>$C705*AV704</f>
        <v/>
      </c>
      <c r="AW705">
        <f>$C705*AW704</f>
        <v/>
      </c>
      <c r="AX705">
        <f>$C705*AX704</f>
        <v/>
      </c>
      <c r="AY705">
        <f>$C705*AY704</f>
        <v/>
      </c>
      <c r="AZ705">
        <f>$C705*AZ704</f>
        <v/>
      </c>
      <c r="BA705">
        <f>$C705*BA704</f>
        <v/>
      </c>
      <c r="BB705">
        <f>$C705*BB704</f>
        <v/>
      </c>
      <c r="BC705">
        <f>$C705*BC704</f>
        <v/>
      </c>
      <c r="BD705">
        <f>$C705*BD704</f>
        <v/>
      </c>
      <c r="BE705">
        <f>$C705*BE704</f>
        <v/>
      </c>
      <c r="BF705">
        <f>$C705*BF704</f>
        <v/>
      </c>
      <c r="BG705">
        <f>$C705*BG704</f>
        <v/>
      </c>
      <c r="BH705">
        <f>$C705*BH704</f>
        <v/>
      </c>
      <c r="BI705">
        <f>$C705*BI704</f>
        <v/>
      </c>
      <c r="BJ705">
        <f>$C705*BJ704</f>
        <v/>
      </c>
      <c r="BK705">
        <f>$C705*BK704</f>
        <v/>
      </c>
      <c r="BL705">
        <f>$C705*BL704</f>
        <v/>
      </c>
      <c r="BM705">
        <f>$C705*BM704</f>
        <v/>
      </c>
      <c r="BN705">
        <f>$C705*BN704</f>
        <v/>
      </c>
      <c r="BO705">
        <f>$C705*BO704</f>
        <v/>
      </c>
      <c r="BP705">
        <f>$C705*BP704</f>
        <v/>
      </c>
      <c r="BQ705">
        <f>$C705*BQ704</f>
        <v/>
      </c>
      <c r="BR705">
        <f>$C705*BR704</f>
        <v/>
      </c>
      <c r="BS705">
        <f>$C705*BS704</f>
        <v/>
      </c>
      <c r="BT705">
        <f>$C705*BT704</f>
        <v/>
      </c>
      <c r="BU705">
        <f>$C705*BU704</f>
        <v/>
      </c>
      <c r="BV705">
        <f>$C705*BV704</f>
        <v/>
      </c>
      <c r="BW705">
        <f>$C705*BW704</f>
        <v/>
      </c>
      <c r="BX705">
        <f>$C705*BX704</f>
        <v/>
      </c>
      <c r="BY705">
        <f>$C705*BY704</f>
        <v/>
      </c>
      <c r="BZ705">
        <f>$C705*BZ704</f>
        <v/>
      </c>
      <c r="CA705">
        <f>$C705*CA704</f>
        <v/>
      </c>
      <c r="CB705">
        <f>$C705*CB704</f>
        <v/>
      </c>
      <c r="CC705">
        <f>$C705*CC704</f>
        <v/>
      </c>
      <c r="CD705">
        <f>$C705*CD704</f>
        <v/>
      </c>
      <c r="CE705">
        <f>$C705*CE704</f>
        <v/>
      </c>
      <c r="CF705">
        <f>$C705*CF704</f>
        <v/>
      </c>
      <c r="CG705">
        <f>$C705*CG704</f>
        <v/>
      </c>
      <c r="CH705">
        <f>$C705*CH704</f>
        <v/>
      </c>
      <c r="CI705">
        <f>$C705*CI704</f>
        <v/>
      </c>
      <c r="CJ705">
        <f>$C705*CJ704</f>
        <v/>
      </c>
      <c r="CK705">
        <f>$C705*CK704</f>
        <v/>
      </c>
      <c r="CL705">
        <f>$C705*CL704</f>
        <v/>
      </c>
      <c r="CM705">
        <f>$C705*CM704</f>
        <v/>
      </c>
      <c r="CN705">
        <f>$C705*CN704</f>
        <v/>
      </c>
      <c r="CO705">
        <f>$C705*CO704</f>
        <v/>
      </c>
      <c r="CP705">
        <f>$C705*CP704</f>
        <v/>
      </c>
      <c r="CQ705">
        <f>$C705*CQ704</f>
        <v/>
      </c>
      <c r="CR705">
        <f>$C705*CR704</f>
        <v/>
      </c>
      <c r="CS705">
        <f>$C705*CS704</f>
        <v/>
      </c>
      <c r="CT705">
        <f>$C705*CT704</f>
        <v/>
      </c>
      <c r="CU705">
        <f>$C705*CU704</f>
        <v/>
      </c>
      <c r="CV705">
        <f>$C705*CV704</f>
        <v/>
      </c>
      <c r="CW705">
        <f>$C705*CW704</f>
        <v/>
      </c>
      <c r="CX705">
        <f>$C705*CX704</f>
        <v/>
      </c>
      <c r="CY705">
        <f>$C705*CY704</f>
        <v/>
      </c>
      <c r="CZ705">
        <f>$C705*CZ704</f>
        <v/>
      </c>
      <c r="DA705">
        <f>$C705*DA704</f>
        <v/>
      </c>
      <c r="DB705">
        <f>$C705*DB704</f>
        <v/>
      </c>
      <c r="DC705">
        <f>$C705*DC704</f>
        <v/>
      </c>
    </row>
    <row r="706">
      <c r="B706" t="inlineStr">
        <is>
          <t>TSP-618</t>
        </is>
      </c>
      <c r="C706" t="inlineStr">
        <is>
          <t>No. of batches</t>
        </is>
      </c>
      <c r="D706">
        <f>IFERROR(INDEX(PP_Grid[#Data],$DD706,2),0)</f>
        <v/>
      </c>
      <c r="E706">
        <f>IFERROR(INDEX(PP_Grid[#Data],$DD706,3),0)</f>
        <v/>
      </c>
      <c r="F706">
        <f>IFERROR(INDEX(PP_Grid[#Data],$DD706,4),0)</f>
        <v/>
      </c>
      <c r="G706">
        <f>IFERROR(INDEX(PP_Grid[#Data],$DD706,5),0)</f>
        <v/>
      </c>
      <c r="H706">
        <f>IFERROR(INDEX(PP_Grid[#Data],$DD706,6),0)</f>
        <v/>
      </c>
      <c r="I706">
        <f>IFERROR(INDEX(PP_Grid[#Data],$DD706,7),0)</f>
        <v/>
      </c>
      <c r="J706">
        <f>IFERROR(INDEX(PP_Grid[#Data],$DD706,8),0)</f>
        <v/>
      </c>
      <c r="K706">
        <f>IFERROR(INDEX(PP_Grid[#Data],$DD706,9),0)</f>
        <v/>
      </c>
      <c r="L706">
        <f>IFERROR(INDEX(PP_Grid[#Data],$DD706,10),0)</f>
        <v/>
      </c>
      <c r="M706">
        <f>IFERROR(INDEX(PP_Grid[#Data],$DD706,11),0)</f>
        <v/>
      </c>
      <c r="N706">
        <f>IFERROR(INDEX(PP_Grid[#Data],$DD706,12),0)</f>
        <v/>
      </c>
      <c r="O706">
        <f>IFERROR(INDEX(PP_Grid[#Data],$DD706,13),0)</f>
        <v/>
      </c>
      <c r="P706">
        <f>IFERROR(INDEX(PP_Grid[#Data],$DD706,14),0)</f>
        <v/>
      </c>
      <c r="Q706">
        <f>IFERROR(INDEX(PP_Grid[#Data],$DD706,15),0)</f>
        <v/>
      </c>
      <c r="R706">
        <f>IFERROR(INDEX(PP_Grid[#Data],$DD706,16),0)</f>
        <v/>
      </c>
      <c r="S706">
        <f>IFERROR(INDEX(PP_Grid[#Data],$DD706,17),0)</f>
        <v/>
      </c>
      <c r="T706">
        <f>IFERROR(INDEX(PP_Grid[#Data],$DD706,18),0)</f>
        <v/>
      </c>
      <c r="U706">
        <f>IFERROR(INDEX(PP_Grid[#Data],$DD706,19),0)</f>
        <v/>
      </c>
      <c r="V706">
        <f>IFERROR(INDEX(PP_Grid[#Data],$DD706,20),0)</f>
        <v/>
      </c>
      <c r="W706">
        <f>IFERROR(INDEX(PP_Grid[#Data],$DD706,21),0)</f>
        <v/>
      </c>
      <c r="X706">
        <f>IFERROR(INDEX(PP_Grid[#Data],$DD706,22),0)</f>
        <v/>
      </c>
      <c r="Y706">
        <f>IFERROR(INDEX(PP_Grid[#Data],$DD706,23),0)</f>
        <v/>
      </c>
      <c r="Z706">
        <f>IFERROR(INDEX(PP_Grid[#Data],$DD706,24),0)</f>
        <v/>
      </c>
      <c r="AA706">
        <f>IFERROR(INDEX(PP_Grid[#Data],$DD706,25),0)</f>
        <v/>
      </c>
      <c r="AB706">
        <f>IFERROR(INDEX(PP_Grid[#Data],$DD706,26),0)</f>
        <v/>
      </c>
      <c r="AC706">
        <f>IFERROR(INDEX(PP_Grid[#Data],$DD706,27),0)</f>
        <v/>
      </c>
      <c r="AD706">
        <f>IFERROR(INDEX(PP_Grid[#Data],$DD706,28),0)</f>
        <v/>
      </c>
      <c r="AE706">
        <f>IFERROR(INDEX(PP_Grid[#Data],$DD706,29),0)</f>
        <v/>
      </c>
      <c r="AF706">
        <f>IFERROR(INDEX(PP_Grid[#Data],$DD706,30),0)</f>
        <v/>
      </c>
      <c r="AG706">
        <f>IFERROR(INDEX(PP_Grid[#Data],$DD706,31),0)</f>
        <v/>
      </c>
      <c r="AH706">
        <f>IFERROR(INDEX(PP_Grid[#Data],$DD706,32),0)</f>
        <v/>
      </c>
      <c r="AI706">
        <f>IFERROR(INDEX(PP_Grid[#Data],$DD706,33),0)</f>
        <v/>
      </c>
      <c r="AJ706">
        <f>IFERROR(INDEX(PP_Grid[#Data],$DD706,34),0)</f>
        <v/>
      </c>
      <c r="AK706">
        <f>IFERROR(INDEX(PP_Grid[#Data],$DD706,35),0)</f>
        <v/>
      </c>
      <c r="AL706">
        <f>IFERROR(INDEX(PP_Grid[#Data],$DD706,36),0)</f>
        <v/>
      </c>
      <c r="AM706">
        <f>IFERROR(INDEX(PP_Grid[#Data],$DD706,37),0)</f>
        <v/>
      </c>
      <c r="AN706">
        <f>IFERROR(INDEX(PP_Grid[#Data],$DD706,38),0)</f>
        <v/>
      </c>
      <c r="AO706">
        <f>IFERROR(INDEX(PP_Grid[#Data],$DD706,39),0)</f>
        <v/>
      </c>
      <c r="AP706">
        <f>IFERROR(INDEX(PP_Grid[#Data],$DD706,40),0)</f>
        <v/>
      </c>
      <c r="AQ706">
        <f>IFERROR(INDEX(PP_Grid[#Data],$DD706,41),0)</f>
        <v/>
      </c>
      <c r="AR706">
        <f>IFERROR(INDEX(PP_Grid[#Data],$DD706,42),0)</f>
        <v/>
      </c>
      <c r="AS706">
        <f>IFERROR(INDEX(PP_Grid[#Data],$DD706,43),0)</f>
        <v/>
      </c>
      <c r="AT706">
        <f>IFERROR(INDEX(PP_Grid[#Data],$DD706,44),0)</f>
        <v/>
      </c>
      <c r="AU706">
        <f>IFERROR(INDEX(PP_Grid[#Data],$DD706,45),0)</f>
        <v/>
      </c>
      <c r="AV706">
        <f>IFERROR(INDEX(PP_Grid[#Data],$DD706,46),0)</f>
        <v/>
      </c>
      <c r="AW706">
        <f>IFERROR(INDEX(PP_Grid[#Data],$DD706,47),0)</f>
        <v/>
      </c>
      <c r="AX706">
        <f>IFERROR(INDEX(PP_Grid[#Data],$DD706,48),0)</f>
        <v/>
      </c>
      <c r="AY706">
        <f>IFERROR(INDEX(PP_Grid[#Data],$DD706,49),0)</f>
        <v/>
      </c>
      <c r="AZ706">
        <f>IFERROR(INDEX(PP_Grid[#Data],$DD706,50),0)</f>
        <v/>
      </c>
      <c r="BA706">
        <f>IFERROR(INDEX(PP_Grid[#Data],$DD706,51),0)</f>
        <v/>
      </c>
      <c r="BB706">
        <f>IFERROR(INDEX(PP_Grid[#Data],$DD706,52),0)</f>
        <v/>
      </c>
      <c r="BC706">
        <f>IFERROR(INDEX(PP_Grid[#Data],$DD706,53),0)</f>
        <v/>
      </c>
      <c r="BD706">
        <f>IFERROR(INDEX(PP_Grid[#Data],$DD706,54),0)</f>
        <v/>
      </c>
      <c r="BE706">
        <f>IFERROR(INDEX(PP_Grid[#Data],$DD706,55),0)</f>
        <v/>
      </c>
      <c r="BF706">
        <f>IFERROR(INDEX(PP_Grid[#Data],$DD706,56),0)</f>
        <v/>
      </c>
      <c r="BG706">
        <f>IFERROR(INDEX(PP_Grid[#Data],$DD706,57),0)</f>
        <v/>
      </c>
      <c r="BH706">
        <f>IFERROR(INDEX(PP_Grid[#Data],$DD706,58),0)</f>
        <v/>
      </c>
      <c r="BI706">
        <f>IFERROR(INDEX(PP_Grid[#Data],$DD706,59),0)</f>
        <v/>
      </c>
      <c r="BJ706">
        <f>IFERROR(INDEX(PP_Grid[#Data],$DD706,60),0)</f>
        <v/>
      </c>
      <c r="BK706">
        <f>IFERROR(INDEX(PP_Grid[#Data],$DD706,61),0)</f>
        <v/>
      </c>
      <c r="BL706">
        <f>IFERROR(INDEX(PP_Grid[#Data],$DD706,62),0)</f>
        <v/>
      </c>
      <c r="BM706">
        <f>IFERROR(INDEX(PP_Grid[#Data],$DD706,63),0)</f>
        <v/>
      </c>
      <c r="BN706">
        <f>IFERROR(INDEX(PP_Grid[#Data],$DD706,64),0)</f>
        <v/>
      </c>
      <c r="BO706">
        <f>IFERROR(INDEX(PP_Grid[#Data],$DD706,65),0)</f>
        <v/>
      </c>
      <c r="BP706">
        <f>IFERROR(INDEX(PP_Grid[#Data],$DD706,66),0)</f>
        <v/>
      </c>
      <c r="BQ706">
        <f>IFERROR(INDEX(PP_Grid[#Data],$DD706,67),0)</f>
        <v/>
      </c>
      <c r="BR706">
        <f>IFERROR(INDEX(PP_Grid[#Data],$DD706,68),0)</f>
        <v/>
      </c>
      <c r="BS706">
        <f>IFERROR(INDEX(PP_Grid[#Data],$DD706,69),0)</f>
        <v/>
      </c>
      <c r="BT706">
        <f>IFERROR(INDEX(PP_Grid[#Data],$DD706,70),0)</f>
        <v/>
      </c>
      <c r="BU706">
        <f>IFERROR(INDEX(PP_Grid[#Data],$DD706,71),0)</f>
        <v/>
      </c>
      <c r="BV706">
        <f>IFERROR(INDEX(PP_Grid[#Data],$DD706,72),0)</f>
        <v/>
      </c>
      <c r="BW706">
        <f>IFERROR(INDEX(PP_Grid[#Data],$DD706,73),0)</f>
        <v/>
      </c>
      <c r="BX706">
        <f>IFERROR(INDEX(PP_Grid[#Data],$DD706,74),0)</f>
        <v/>
      </c>
      <c r="BY706">
        <f>IFERROR(INDEX(PP_Grid[#Data],$DD706,75),0)</f>
        <v/>
      </c>
      <c r="BZ706">
        <f>IFERROR(INDEX(PP_Grid[#Data],$DD706,76),0)</f>
        <v/>
      </c>
      <c r="CA706">
        <f>IFERROR(INDEX(PP_Grid[#Data],$DD706,77),0)</f>
        <v/>
      </c>
      <c r="CB706">
        <f>IFERROR(INDEX(PP_Grid[#Data],$DD706,78),0)</f>
        <v/>
      </c>
      <c r="CC706">
        <f>IFERROR(INDEX(PP_Grid[#Data],$DD706,79),0)</f>
        <v/>
      </c>
      <c r="CD706">
        <f>IFERROR(INDEX(PP_Grid[#Data],$DD706,80),0)</f>
        <v/>
      </c>
      <c r="CE706">
        <f>IFERROR(INDEX(PP_Grid[#Data],$DD706,81),0)</f>
        <v/>
      </c>
      <c r="CF706">
        <f>IFERROR(INDEX(PP_Grid[#Data],$DD706,82),0)</f>
        <v/>
      </c>
      <c r="CG706">
        <f>IFERROR(INDEX(PP_Grid[#Data],$DD706,83),0)</f>
        <v/>
      </c>
      <c r="CH706">
        <f>IFERROR(INDEX(PP_Grid[#Data],$DD706,84),0)</f>
        <v/>
      </c>
      <c r="CI706">
        <f>IFERROR(INDEX(PP_Grid[#Data],$DD706,85),0)</f>
        <v/>
      </c>
      <c r="CJ706">
        <f>IFERROR(INDEX(PP_Grid[#Data],$DD706,86),0)</f>
        <v/>
      </c>
      <c r="CK706">
        <f>IFERROR(INDEX(PP_Grid[#Data],$DD706,87),0)</f>
        <v/>
      </c>
      <c r="CL706">
        <f>IFERROR(INDEX(PP_Grid[#Data],$DD706,88),0)</f>
        <v/>
      </c>
      <c r="CM706">
        <f>IFERROR(INDEX(PP_Grid[#Data],$DD706,89),0)</f>
        <v/>
      </c>
      <c r="CN706">
        <f>IFERROR(INDEX(PP_Grid[#Data],$DD706,90),0)</f>
        <v/>
      </c>
      <c r="CO706">
        <f>IFERROR(INDEX(PP_Grid[#Data],$DD706,91),0)</f>
        <v/>
      </c>
      <c r="CP706">
        <f>IFERROR(INDEX(PP_Grid[#Data],$DD706,92),0)</f>
        <v/>
      </c>
      <c r="CQ706">
        <f>IFERROR(INDEX(PP_Grid[#Data],$DD706,93),0)</f>
        <v/>
      </c>
      <c r="CR706">
        <f>IFERROR(INDEX(PP_Grid[#Data],$DD706,94),0)</f>
        <v/>
      </c>
      <c r="CS706">
        <f>IFERROR(INDEX(PP_Grid[#Data],$DD706,95),0)</f>
        <v/>
      </c>
      <c r="CT706">
        <f>IFERROR(INDEX(PP_Grid[#Data],$DD706,96),0)</f>
        <v/>
      </c>
      <c r="CU706">
        <f>IFERROR(INDEX(PP_Grid[#Data],$DD706,97),0)</f>
        <v/>
      </c>
      <c r="CV706">
        <f>IFERROR(INDEX(PP_Grid[#Data],$DD706,98),0)</f>
        <v/>
      </c>
      <c r="CW706">
        <f>IFERROR(INDEX(PP_Grid[#Data],$DD706,99),0)</f>
        <v/>
      </c>
      <c r="CX706">
        <f>IFERROR(INDEX(PP_Grid[#Data],$DD706,100),0)</f>
        <v/>
      </c>
      <c r="CY706">
        <f>IFERROR(INDEX(PP_Grid[#Data],$DD706,101),0)</f>
        <v/>
      </c>
      <c r="CZ706">
        <f>IFERROR(INDEX(PP_Grid[#Data],$DD706,102),0)</f>
        <v/>
      </c>
      <c r="DA706">
        <f>IFERROR(INDEX(PP_Grid[#Data],$DD706,103),0)</f>
        <v/>
      </c>
      <c r="DB706">
        <f>IFERROR(INDEX(PP_Grid[#Data],$DD706,104),0)</f>
        <v/>
      </c>
      <c r="DC706">
        <f>IFERROR(INDEX(PP_Grid[#Data],$DD706,105),0)</f>
        <v/>
      </c>
      <c r="DD706" s="12">
        <f>IFERROR(MATCH($B706,PP_Grid[Intermediate],0),99999)</f>
        <v/>
      </c>
    </row>
    <row r="707">
      <c r="B707" t="inlineStr">
        <is>
          <t>使用量(kg)</t>
        </is>
      </c>
      <c r="C707">
        <f>SUMIFS(M_BOM[RM_Qty_Per_Batch],M_BOM[Intermediate],$B706,M_BOM[Part Name],$A641)</f>
        <v/>
      </c>
      <c r="D707">
        <f>$C707*D706</f>
        <v/>
      </c>
      <c r="E707">
        <f>$C707*E706</f>
        <v/>
      </c>
      <c r="F707">
        <f>$C707*F706</f>
        <v/>
      </c>
      <c r="G707">
        <f>$C707*G706</f>
        <v/>
      </c>
      <c r="H707">
        <f>$C707*H706</f>
        <v/>
      </c>
      <c r="I707">
        <f>$C707*I706</f>
        <v/>
      </c>
      <c r="J707">
        <f>$C707*J706</f>
        <v/>
      </c>
      <c r="K707">
        <f>$C707*K706</f>
        <v/>
      </c>
      <c r="L707">
        <f>$C707*L706</f>
        <v/>
      </c>
      <c r="M707">
        <f>$C707*M706</f>
        <v/>
      </c>
      <c r="N707">
        <f>$C707*N706</f>
        <v/>
      </c>
      <c r="O707">
        <f>$C707*O706</f>
        <v/>
      </c>
      <c r="P707">
        <f>$C707*P706</f>
        <v/>
      </c>
      <c r="Q707">
        <f>$C707*Q706</f>
        <v/>
      </c>
      <c r="R707">
        <f>$C707*R706</f>
        <v/>
      </c>
      <c r="S707">
        <f>$C707*S706</f>
        <v/>
      </c>
      <c r="T707">
        <f>$C707*T706</f>
        <v/>
      </c>
      <c r="U707">
        <f>$C707*U706</f>
        <v/>
      </c>
      <c r="V707">
        <f>$C707*V706</f>
        <v/>
      </c>
      <c r="W707">
        <f>$C707*W706</f>
        <v/>
      </c>
      <c r="X707">
        <f>$C707*X706</f>
        <v/>
      </c>
      <c r="Y707">
        <f>$C707*Y706</f>
        <v/>
      </c>
      <c r="Z707">
        <f>$C707*Z706</f>
        <v/>
      </c>
      <c r="AA707">
        <f>$C707*AA706</f>
        <v/>
      </c>
      <c r="AB707">
        <f>$C707*AB706</f>
        <v/>
      </c>
      <c r="AC707">
        <f>$C707*AC706</f>
        <v/>
      </c>
      <c r="AD707">
        <f>$C707*AD706</f>
        <v/>
      </c>
      <c r="AE707">
        <f>$C707*AE706</f>
        <v/>
      </c>
      <c r="AF707">
        <f>$C707*AF706</f>
        <v/>
      </c>
      <c r="AG707">
        <f>$C707*AG706</f>
        <v/>
      </c>
      <c r="AH707">
        <f>$C707*AH706</f>
        <v/>
      </c>
      <c r="AI707">
        <f>$C707*AI706</f>
        <v/>
      </c>
      <c r="AJ707">
        <f>$C707*AJ706</f>
        <v/>
      </c>
      <c r="AK707">
        <f>$C707*AK706</f>
        <v/>
      </c>
      <c r="AL707">
        <f>$C707*AL706</f>
        <v/>
      </c>
      <c r="AM707">
        <f>$C707*AM706</f>
        <v/>
      </c>
      <c r="AN707">
        <f>$C707*AN706</f>
        <v/>
      </c>
      <c r="AO707">
        <f>$C707*AO706</f>
        <v/>
      </c>
      <c r="AP707">
        <f>$C707*AP706</f>
        <v/>
      </c>
      <c r="AQ707">
        <f>$C707*AQ706</f>
        <v/>
      </c>
      <c r="AR707">
        <f>$C707*AR706</f>
        <v/>
      </c>
      <c r="AS707">
        <f>$C707*AS706</f>
        <v/>
      </c>
      <c r="AT707">
        <f>$C707*AT706</f>
        <v/>
      </c>
      <c r="AU707">
        <f>$C707*AU706</f>
        <v/>
      </c>
      <c r="AV707">
        <f>$C707*AV706</f>
        <v/>
      </c>
      <c r="AW707">
        <f>$C707*AW706</f>
        <v/>
      </c>
      <c r="AX707">
        <f>$C707*AX706</f>
        <v/>
      </c>
      <c r="AY707">
        <f>$C707*AY706</f>
        <v/>
      </c>
      <c r="AZ707">
        <f>$C707*AZ706</f>
        <v/>
      </c>
      <c r="BA707">
        <f>$C707*BA706</f>
        <v/>
      </c>
      <c r="BB707">
        <f>$C707*BB706</f>
        <v/>
      </c>
      <c r="BC707">
        <f>$C707*BC706</f>
        <v/>
      </c>
      <c r="BD707">
        <f>$C707*BD706</f>
        <v/>
      </c>
      <c r="BE707">
        <f>$C707*BE706</f>
        <v/>
      </c>
      <c r="BF707">
        <f>$C707*BF706</f>
        <v/>
      </c>
      <c r="BG707">
        <f>$C707*BG706</f>
        <v/>
      </c>
      <c r="BH707">
        <f>$C707*BH706</f>
        <v/>
      </c>
      <c r="BI707">
        <f>$C707*BI706</f>
        <v/>
      </c>
      <c r="BJ707">
        <f>$C707*BJ706</f>
        <v/>
      </c>
      <c r="BK707">
        <f>$C707*BK706</f>
        <v/>
      </c>
      <c r="BL707">
        <f>$C707*BL706</f>
        <v/>
      </c>
      <c r="BM707">
        <f>$C707*BM706</f>
        <v/>
      </c>
      <c r="BN707">
        <f>$C707*BN706</f>
        <v/>
      </c>
      <c r="BO707">
        <f>$C707*BO706</f>
        <v/>
      </c>
      <c r="BP707">
        <f>$C707*BP706</f>
        <v/>
      </c>
      <c r="BQ707">
        <f>$C707*BQ706</f>
        <v/>
      </c>
      <c r="BR707">
        <f>$C707*BR706</f>
        <v/>
      </c>
      <c r="BS707">
        <f>$C707*BS706</f>
        <v/>
      </c>
      <c r="BT707">
        <f>$C707*BT706</f>
        <v/>
      </c>
      <c r="BU707">
        <f>$C707*BU706</f>
        <v/>
      </c>
      <c r="BV707">
        <f>$C707*BV706</f>
        <v/>
      </c>
      <c r="BW707">
        <f>$C707*BW706</f>
        <v/>
      </c>
      <c r="BX707">
        <f>$C707*BX706</f>
        <v/>
      </c>
      <c r="BY707">
        <f>$C707*BY706</f>
        <v/>
      </c>
      <c r="BZ707">
        <f>$C707*BZ706</f>
        <v/>
      </c>
      <c r="CA707">
        <f>$C707*CA706</f>
        <v/>
      </c>
      <c r="CB707">
        <f>$C707*CB706</f>
        <v/>
      </c>
      <c r="CC707">
        <f>$C707*CC706</f>
        <v/>
      </c>
      <c r="CD707">
        <f>$C707*CD706</f>
        <v/>
      </c>
      <c r="CE707">
        <f>$C707*CE706</f>
        <v/>
      </c>
      <c r="CF707">
        <f>$C707*CF706</f>
        <v/>
      </c>
      <c r="CG707">
        <f>$C707*CG706</f>
        <v/>
      </c>
      <c r="CH707">
        <f>$C707*CH706</f>
        <v/>
      </c>
      <c r="CI707">
        <f>$C707*CI706</f>
        <v/>
      </c>
      <c r="CJ707">
        <f>$C707*CJ706</f>
        <v/>
      </c>
      <c r="CK707">
        <f>$C707*CK706</f>
        <v/>
      </c>
      <c r="CL707">
        <f>$C707*CL706</f>
        <v/>
      </c>
      <c r="CM707">
        <f>$C707*CM706</f>
        <v/>
      </c>
      <c r="CN707">
        <f>$C707*CN706</f>
        <v/>
      </c>
      <c r="CO707">
        <f>$C707*CO706</f>
        <v/>
      </c>
      <c r="CP707">
        <f>$C707*CP706</f>
        <v/>
      </c>
      <c r="CQ707">
        <f>$C707*CQ706</f>
        <v/>
      </c>
      <c r="CR707">
        <f>$C707*CR706</f>
        <v/>
      </c>
      <c r="CS707">
        <f>$C707*CS706</f>
        <v/>
      </c>
      <c r="CT707">
        <f>$C707*CT706</f>
        <v/>
      </c>
      <c r="CU707">
        <f>$C707*CU706</f>
        <v/>
      </c>
      <c r="CV707">
        <f>$C707*CV706</f>
        <v/>
      </c>
      <c r="CW707">
        <f>$C707*CW706</f>
        <v/>
      </c>
      <c r="CX707">
        <f>$C707*CX706</f>
        <v/>
      </c>
      <c r="CY707">
        <f>$C707*CY706</f>
        <v/>
      </c>
      <c r="CZ707">
        <f>$C707*CZ706</f>
        <v/>
      </c>
      <c r="DA707">
        <f>$C707*DA706</f>
        <v/>
      </c>
      <c r="DB707">
        <f>$C707*DB706</f>
        <v/>
      </c>
      <c r="DC707">
        <f>$C707*DC706</f>
        <v/>
      </c>
    </row>
    <row r="708">
      <c r="B708" t="inlineStr">
        <is>
          <t>TSP-620</t>
        </is>
      </c>
      <c r="C708" t="inlineStr">
        <is>
          <t>No. of batches</t>
        </is>
      </c>
      <c r="D708">
        <f>IFERROR(INDEX(PP_Grid[#Data],$DD708,2),0)</f>
        <v/>
      </c>
      <c r="E708">
        <f>IFERROR(INDEX(PP_Grid[#Data],$DD708,3),0)</f>
        <v/>
      </c>
      <c r="F708">
        <f>IFERROR(INDEX(PP_Grid[#Data],$DD708,4),0)</f>
        <v/>
      </c>
      <c r="G708">
        <f>IFERROR(INDEX(PP_Grid[#Data],$DD708,5),0)</f>
        <v/>
      </c>
      <c r="H708">
        <f>IFERROR(INDEX(PP_Grid[#Data],$DD708,6),0)</f>
        <v/>
      </c>
      <c r="I708">
        <f>IFERROR(INDEX(PP_Grid[#Data],$DD708,7),0)</f>
        <v/>
      </c>
      <c r="J708">
        <f>IFERROR(INDEX(PP_Grid[#Data],$DD708,8),0)</f>
        <v/>
      </c>
      <c r="K708">
        <f>IFERROR(INDEX(PP_Grid[#Data],$DD708,9),0)</f>
        <v/>
      </c>
      <c r="L708">
        <f>IFERROR(INDEX(PP_Grid[#Data],$DD708,10),0)</f>
        <v/>
      </c>
      <c r="M708">
        <f>IFERROR(INDEX(PP_Grid[#Data],$DD708,11),0)</f>
        <v/>
      </c>
      <c r="N708">
        <f>IFERROR(INDEX(PP_Grid[#Data],$DD708,12),0)</f>
        <v/>
      </c>
      <c r="O708">
        <f>IFERROR(INDEX(PP_Grid[#Data],$DD708,13),0)</f>
        <v/>
      </c>
      <c r="P708">
        <f>IFERROR(INDEX(PP_Grid[#Data],$DD708,14),0)</f>
        <v/>
      </c>
      <c r="Q708">
        <f>IFERROR(INDEX(PP_Grid[#Data],$DD708,15),0)</f>
        <v/>
      </c>
      <c r="R708">
        <f>IFERROR(INDEX(PP_Grid[#Data],$DD708,16),0)</f>
        <v/>
      </c>
      <c r="S708">
        <f>IFERROR(INDEX(PP_Grid[#Data],$DD708,17),0)</f>
        <v/>
      </c>
      <c r="T708">
        <f>IFERROR(INDEX(PP_Grid[#Data],$DD708,18),0)</f>
        <v/>
      </c>
      <c r="U708">
        <f>IFERROR(INDEX(PP_Grid[#Data],$DD708,19),0)</f>
        <v/>
      </c>
      <c r="V708">
        <f>IFERROR(INDEX(PP_Grid[#Data],$DD708,20),0)</f>
        <v/>
      </c>
      <c r="W708">
        <f>IFERROR(INDEX(PP_Grid[#Data],$DD708,21),0)</f>
        <v/>
      </c>
      <c r="X708">
        <f>IFERROR(INDEX(PP_Grid[#Data],$DD708,22),0)</f>
        <v/>
      </c>
      <c r="Y708">
        <f>IFERROR(INDEX(PP_Grid[#Data],$DD708,23),0)</f>
        <v/>
      </c>
      <c r="Z708">
        <f>IFERROR(INDEX(PP_Grid[#Data],$DD708,24),0)</f>
        <v/>
      </c>
      <c r="AA708">
        <f>IFERROR(INDEX(PP_Grid[#Data],$DD708,25),0)</f>
        <v/>
      </c>
      <c r="AB708">
        <f>IFERROR(INDEX(PP_Grid[#Data],$DD708,26),0)</f>
        <v/>
      </c>
      <c r="AC708">
        <f>IFERROR(INDEX(PP_Grid[#Data],$DD708,27),0)</f>
        <v/>
      </c>
      <c r="AD708">
        <f>IFERROR(INDEX(PP_Grid[#Data],$DD708,28),0)</f>
        <v/>
      </c>
      <c r="AE708">
        <f>IFERROR(INDEX(PP_Grid[#Data],$DD708,29),0)</f>
        <v/>
      </c>
      <c r="AF708">
        <f>IFERROR(INDEX(PP_Grid[#Data],$DD708,30),0)</f>
        <v/>
      </c>
      <c r="AG708">
        <f>IFERROR(INDEX(PP_Grid[#Data],$DD708,31),0)</f>
        <v/>
      </c>
      <c r="AH708">
        <f>IFERROR(INDEX(PP_Grid[#Data],$DD708,32),0)</f>
        <v/>
      </c>
      <c r="AI708">
        <f>IFERROR(INDEX(PP_Grid[#Data],$DD708,33),0)</f>
        <v/>
      </c>
      <c r="AJ708">
        <f>IFERROR(INDEX(PP_Grid[#Data],$DD708,34),0)</f>
        <v/>
      </c>
      <c r="AK708">
        <f>IFERROR(INDEX(PP_Grid[#Data],$DD708,35),0)</f>
        <v/>
      </c>
      <c r="AL708">
        <f>IFERROR(INDEX(PP_Grid[#Data],$DD708,36),0)</f>
        <v/>
      </c>
      <c r="AM708">
        <f>IFERROR(INDEX(PP_Grid[#Data],$DD708,37),0)</f>
        <v/>
      </c>
      <c r="AN708">
        <f>IFERROR(INDEX(PP_Grid[#Data],$DD708,38),0)</f>
        <v/>
      </c>
      <c r="AO708">
        <f>IFERROR(INDEX(PP_Grid[#Data],$DD708,39),0)</f>
        <v/>
      </c>
      <c r="AP708">
        <f>IFERROR(INDEX(PP_Grid[#Data],$DD708,40),0)</f>
        <v/>
      </c>
      <c r="AQ708">
        <f>IFERROR(INDEX(PP_Grid[#Data],$DD708,41),0)</f>
        <v/>
      </c>
      <c r="AR708">
        <f>IFERROR(INDEX(PP_Grid[#Data],$DD708,42),0)</f>
        <v/>
      </c>
      <c r="AS708">
        <f>IFERROR(INDEX(PP_Grid[#Data],$DD708,43),0)</f>
        <v/>
      </c>
      <c r="AT708">
        <f>IFERROR(INDEX(PP_Grid[#Data],$DD708,44),0)</f>
        <v/>
      </c>
      <c r="AU708">
        <f>IFERROR(INDEX(PP_Grid[#Data],$DD708,45),0)</f>
        <v/>
      </c>
      <c r="AV708">
        <f>IFERROR(INDEX(PP_Grid[#Data],$DD708,46),0)</f>
        <v/>
      </c>
      <c r="AW708">
        <f>IFERROR(INDEX(PP_Grid[#Data],$DD708,47),0)</f>
        <v/>
      </c>
      <c r="AX708">
        <f>IFERROR(INDEX(PP_Grid[#Data],$DD708,48),0)</f>
        <v/>
      </c>
      <c r="AY708">
        <f>IFERROR(INDEX(PP_Grid[#Data],$DD708,49),0)</f>
        <v/>
      </c>
      <c r="AZ708">
        <f>IFERROR(INDEX(PP_Grid[#Data],$DD708,50),0)</f>
        <v/>
      </c>
      <c r="BA708">
        <f>IFERROR(INDEX(PP_Grid[#Data],$DD708,51),0)</f>
        <v/>
      </c>
      <c r="BB708">
        <f>IFERROR(INDEX(PP_Grid[#Data],$DD708,52),0)</f>
        <v/>
      </c>
      <c r="BC708">
        <f>IFERROR(INDEX(PP_Grid[#Data],$DD708,53),0)</f>
        <v/>
      </c>
      <c r="BD708">
        <f>IFERROR(INDEX(PP_Grid[#Data],$DD708,54),0)</f>
        <v/>
      </c>
      <c r="BE708">
        <f>IFERROR(INDEX(PP_Grid[#Data],$DD708,55),0)</f>
        <v/>
      </c>
      <c r="BF708">
        <f>IFERROR(INDEX(PP_Grid[#Data],$DD708,56),0)</f>
        <v/>
      </c>
      <c r="BG708">
        <f>IFERROR(INDEX(PP_Grid[#Data],$DD708,57),0)</f>
        <v/>
      </c>
      <c r="BH708">
        <f>IFERROR(INDEX(PP_Grid[#Data],$DD708,58),0)</f>
        <v/>
      </c>
      <c r="BI708">
        <f>IFERROR(INDEX(PP_Grid[#Data],$DD708,59),0)</f>
        <v/>
      </c>
      <c r="BJ708">
        <f>IFERROR(INDEX(PP_Grid[#Data],$DD708,60),0)</f>
        <v/>
      </c>
      <c r="BK708">
        <f>IFERROR(INDEX(PP_Grid[#Data],$DD708,61),0)</f>
        <v/>
      </c>
      <c r="BL708">
        <f>IFERROR(INDEX(PP_Grid[#Data],$DD708,62),0)</f>
        <v/>
      </c>
      <c r="BM708">
        <f>IFERROR(INDEX(PP_Grid[#Data],$DD708,63),0)</f>
        <v/>
      </c>
      <c r="BN708">
        <f>IFERROR(INDEX(PP_Grid[#Data],$DD708,64),0)</f>
        <v/>
      </c>
      <c r="BO708">
        <f>IFERROR(INDEX(PP_Grid[#Data],$DD708,65),0)</f>
        <v/>
      </c>
      <c r="BP708">
        <f>IFERROR(INDEX(PP_Grid[#Data],$DD708,66),0)</f>
        <v/>
      </c>
      <c r="BQ708">
        <f>IFERROR(INDEX(PP_Grid[#Data],$DD708,67),0)</f>
        <v/>
      </c>
      <c r="BR708">
        <f>IFERROR(INDEX(PP_Grid[#Data],$DD708,68),0)</f>
        <v/>
      </c>
      <c r="BS708">
        <f>IFERROR(INDEX(PP_Grid[#Data],$DD708,69),0)</f>
        <v/>
      </c>
      <c r="BT708">
        <f>IFERROR(INDEX(PP_Grid[#Data],$DD708,70),0)</f>
        <v/>
      </c>
      <c r="BU708">
        <f>IFERROR(INDEX(PP_Grid[#Data],$DD708,71),0)</f>
        <v/>
      </c>
      <c r="BV708">
        <f>IFERROR(INDEX(PP_Grid[#Data],$DD708,72),0)</f>
        <v/>
      </c>
      <c r="BW708">
        <f>IFERROR(INDEX(PP_Grid[#Data],$DD708,73),0)</f>
        <v/>
      </c>
      <c r="BX708">
        <f>IFERROR(INDEX(PP_Grid[#Data],$DD708,74),0)</f>
        <v/>
      </c>
      <c r="BY708">
        <f>IFERROR(INDEX(PP_Grid[#Data],$DD708,75),0)</f>
        <v/>
      </c>
      <c r="BZ708">
        <f>IFERROR(INDEX(PP_Grid[#Data],$DD708,76),0)</f>
        <v/>
      </c>
      <c r="CA708">
        <f>IFERROR(INDEX(PP_Grid[#Data],$DD708,77),0)</f>
        <v/>
      </c>
      <c r="CB708">
        <f>IFERROR(INDEX(PP_Grid[#Data],$DD708,78),0)</f>
        <v/>
      </c>
      <c r="CC708">
        <f>IFERROR(INDEX(PP_Grid[#Data],$DD708,79),0)</f>
        <v/>
      </c>
      <c r="CD708">
        <f>IFERROR(INDEX(PP_Grid[#Data],$DD708,80),0)</f>
        <v/>
      </c>
      <c r="CE708">
        <f>IFERROR(INDEX(PP_Grid[#Data],$DD708,81),0)</f>
        <v/>
      </c>
      <c r="CF708">
        <f>IFERROR(INDEX(PP_Grid[#Data],$DD708,82),0)</f>
        <v/>
      </c>
      <c r="CG708">
        <f>IFERROR(INDEX(PP_Grid[#Data],$DD708,83),0)</f>
        <v/>
      </c>
      <c r="CH708">
        <f>IFERROR(INDEX(PP_Grid[#Data],$DD708,84),0)</f>
        <v/>
      </c>
      <c r="CI708">
        <f>IFERROR(INDEX(PP_Grid[#Data],$DD708,85),0)</f>
        <v/>
      </c>
      <c r="CJ708">
        <f>IFERROR(INDEX(PP_Grid[#Data],$DD708,86),0)</f>
        <v/>
      </c>
      <c r="CK708">
        <f>IFERROR(INDEX(PP_Grid[#Data],$DD708,87),0)</f>
        <v/>
      </c>
      <c r="CL708">
        <f>IFERROR(INDEX(PP_Grid[#Data],$DD708,88),0)</f>
        <v/>
      </c>
      <c r="CM708">
        <f>IFERROR(INDEX(PP_Grid[#Data],$DD708,89),0)</f>
        <v/>
      </c>
      <c r="CN708">
        <f>IFERROR(INDEX(PP_Grid[#Data],$DD708,90),0)</f>
        <v/>
      </c>
      <c r="CO708">
        <f>IFERROR(INDEX(PP_Grid[#Data],$DD708,91),0)</f>
        <v/>
      </c>
      <c r="CP708">
        <f>IFERROR(INDEX(PP_Grid[#Data],$DD708,92),0)</f>
        <v/>
      </c>
      <c r="CQ708">
        <f>IFERROR(INDEX(PP_Grid[#Data],$DD708,93),0)</f>
        <v/>
      </c>
      <c r="CR708">
        <f>IFERROR(INDEX(PP_Grid[#Data],$DD708,94),0)</f>
        <v/>
      </c>
      <c r="CS708">
        <f>IFERROR(INDEX(PP_Grid[#Data],$DD708,95),0)</f>
        <v/>
      </c>
      <c r="CT708">
        <f>IFERROR(INDEX(PP_Grid[#Data],$DD708,96),0)</f>
        <v/>
      </c>
      <c r="CU708">
        <f>IFERROR(INDEX(PP_Grid[#Data],$DD708,97),0)</f>
        <v/>
      </c>
      <c r="CV708">
        <f>IFERROR(INDEX(PP_Grid[#Data],$DD708,98),0)</f>
        <v/>
      </c>
      <c r="CW708">
        <f>IFERROR(INDEX(PP_Grid[#Data],$DD708,99),0)</f>
        <v/>
      </c>
      <c r="CX708">
        <f>IFERROR(INDEX(PP_Grid[#Data],$DD708,100),0)</f>
        <v/>
      </c>
      <c r="CY708">
        <f>IFERROR(INDEX(PP_Grid[#Data],$DD708,101),0)</f>
        <v/>
      </c>
      <c r="CZ708">
        <f>IFERROR(INDEX(PP_Grid[#Data],$DD708,102),0)</f>
        <v/>
      </c>
      <c r="DA708">
        <f>IFERROR(INDEX(PP_Grid[#Data],$DD708,103),0)</f>
        <v/>
      </c>
      <c r="DB708">
        <f>IFERROR(INDEX(PP_Grid[#Data],$DD708,104),0)</f>
        <v/>
      </c>
      <c r="DC708">
        <f>IFERROR(INDEX(PP_Grid[#Data],$DD708,105),0)</f>
        <v/>
      </c>
      <c r="DD708" s="12">
        <f>IFERROR(MATCH($B708,PP_Grid[Intermediate],0),99999)</f>
        <v/>
      </c>
    </row>
    <row r="709">
      <c r="B709" t="inlineStr">
        <is>
          <t>使用量(kg)</t>
        </is>
      </c>
      <c r="C709">
        <f>SUMIFS(M_BOM[RM_Qty_Per_Batch],M_BOM[Intermediate],$B708,M_BOM[Part Name],$A641)</f>
        <v/>
      </c>
      <c r="D709">
        <f>$C709*D708</f>
        <v/>
      </c>
      <c r="E709">
        <f>$C709*E708</f>
        <v/>
      </c>
      <c r="F709">
        <f>$C709*F708</f>
        <v/>
      </c>
      <c r="G709">
        <f>$C709*G708</f>
        <v/>
      </c>
      <c r="H709">
        <f>$C709*H708</f>
        <v/>
      </c>
      <c r="I709">
        <f>$C709*I708</f>
        <v/>
      </c>
      <c r="J709">
        <f>$C709*J708</f>
        <v/>
      </c>
      <c r="K709">
        <f>$C709*K708</f>
        <v/>
      </c>
      <c r="L709">
        <f>$C709*L708</f>
        <v/>
      </c>
      <c r="M709">
        <f>$C709*M708</f>
        <v/>
      </c>
      <c r="N709">
        <f>$C709*N708</f>
        <v/>
      </c>
      <c r="O709">
        <f>$C709*O708</f>
        <v/>
      </c>
      <c r="P709">
        <f>$C709*P708</f>
        <v/>
      </c>
      <c r="Q709">
        <f>$C709*Q708</f>
        <v/>
      </c>
      <c r="R709">
        <f>$C709*R708</f>
        <v/>
      </c>
      <c r="S709">
        <f>$C709*S708</f>
        <v/>
      </c>
      <c r="T709">
        <f>$C709*T708</f>
        <v/>
      </c>
      <c r="U709">
        <f>$C709*U708</f>
        <v/>
      </c>
      <c r="V709">
        <f>$C709*V708</f>
        <v/>
      </c>
      <c r="W709">
        <f>$C709*W708</f>
        <v/>
      </c>
      <c r="X709">
        <f>$C709*X708</f>
        <v/>
      </c>
      <c r="Y709">
        <f>$C709*Y708</f>
        <v/>
      </c>
      <c r="Z709">
        <f>$C709*Z708</f>
        <v/>
      </c>
      <c r="AA709">
        <f>$C709*AA708</f>
        <v/>
      </c>
      <c r="AB709">
        <f>$C709*AB708</f>
        <v/>
      </c>
      <c r="AC709">
        <f>$C709*AC708</f>
        <v/>
      </c>
      <c r="AD709">
        <f>$C709*AD708</f>
        <v/>
      </c>
      <c r="AE709">
        <f>$C709*AE708</f>
        <v/>
      </c>
      <c r="AF709">
        <f>$C709*AF708</f>
        <v/>
      </c>
      <c r="AG709">
        <f>$C709*AG708</f>
        <v/>
      </c>
      <c r="AH709">
        <f>$C709*AH708</f>
        <v/>
      </c>
      <c r="AI709">
        <f>$C709*AI708</f>
        <v/>
      </c>
      <c r="AJ709">
        <f>$C709*AJ708</f>
        <v/>
      </c>
      <c r="AK709">
        <f>$C709*AK708</f>
        <v/>
      </c>
      <c r="AL709">
        <f>$C709*AL708</f>
        <v/>
      </c>
      <c r="AM709">
        <f>$C709*AM708</f>
        <v/>
      </c>
      <c r="AN709">
        <f>$C709*AN708</f>
        <v/>
      </c>
      <c r="AO709">
        <f>$C709*AO708</f>
        <v/>
      </c>
      <c r="AP709">
        <f>$C709*AP708</f>
        <v/>
      </c>
      <c r="AQ709">
        <f>$C709*AQ708</f>
        <v/>
      </c>
      <c r="AR709">
        <f>$C709*AR708</f>
        <v/>
      </c>
      <c r="AS709">
        <f>$C709*AS708</f>
        <v/>
      </c>
      <c r="AT709">
        <f>$C709*AT708</f>
        <v/>
      </c>
      <c r="AU709">
        <f>$C709*AU708</f>
        <v/>
      </c>
      <c r="AV709">
        <f>$C709*AV708</f>
        <v/>
      </c>
      <c r="AW709">
        <f>$C709*AW708</f>
        <v/>
      </c>
      <c r="AX709">
        <f>$C709*AX708</f>
        <v/>
      </c>
      <c r="AY709">
        <f>$C709*AY708</f>
        <v/>
      </c>
      <c r="AZ709">
        <f>$C709*AZ708</f>
        <v/>
      </c>
      <c r="BA709">
        <f>$C709*BA708</f>
        <v/>
      </c>
      <c r="BB709">
        <f>$C709*BB708</f>
        <v/>
      </c>
      <c r="BC709">
        <f>$C709*BC708</f>
        <v/>
      </c>
      <c r="BD709">
        <f>$C709*BD708</f>
        <v/>
      </c>
      <c r="BE709">
        <f>$C709*BE708</f>
        <v/>
      </c>
      <c r="BF709">
        <f>$C709*BF708</f>
        <v/>
      </c>
      <c r="BG709">
        <f>$C709*BG708</f>
        <v/>
      </c>
      <c r="BH709">
        <f>$C709*BH708</f>
        <v/>
      </c>
      <c r="BI709">
        <f>$C709*BI708</f>
        <v/>
      </c>
      <c r="BJ709">
        <f>$C709*BJ708</f>
        <v/>
      </c>
      <c r="BK709">
        <f>$C709*BK708</f>
        <v/>
      </c>
      <c r="BL709">
        <f>$C709*BL708</f>
        <v/>
      </c>
      <c r="BM709">
        <f>$C709*BM708</f>
        <v/>
      </c>
      <c r="BN709">
        <f>$C709*BN708</f>
        <v/>
      </c>
      <c r="BO709">
        <f>$C709*BO708</f>
        <v/>
      </c>
      <c r="BP709">
        <f>$C709*BP708</f>
        <v/>
      </c>
      <c r="BQ709">
        <f>$C709*BQ708</f>
        <v/>
      </c>
      <c r="BR709">
        <f>$C709*BR708</f>
        <v/>
      </c>
      <c r="BS709">
        <f>$C709*BS708</f>
        <v/>
      </c>
      <c r="BT709">
        <f>$C709*BT708</f>
        <v/>
      </c>
      <c r="BU709">
        <f>$C709*BU708</f>
        <v/>
      </c>
      <c r="BV709">
        <f>$C709*BV708</f>
        <v/>
      </c>
      <c r="BW709">
        <f>$C709*BW708</f>
        <v/>
      </c>
      <c r="BX709">
        <f>$C709*BX708</f>
        <v/>
      </c>
      <c r="BY709">
        <f>$C709*BY708</f>
        <v/>
      </c>
      <c r="BZ709">
        <f>$C709*BZ708</f>
        <v/>
      </c>
      <c r="CA709">
        <f>$C709*CA708</f>
        <v/>
      </c>
      <c r="CB709">
        <f>$C709*CB708</f>
        <v/>
      </c>
      <c r="CC709">
        <f>$C709*CC708</f>
        <v/>
      </c>
      <c r="CD709">
        <f>$C709*CD708</f>
        <v/>
      </c>
      <c r="CE709">
        <f>$C709*CE708</f>
        <v/>
      </c>
      <c r="CF709">
        <f>$C709*CF708</f>
        <v/>
      </c>
      <c r="CG709">
        <f>$C709*CG708</f>
        <v/>
      </c>
      <c r="CH709">
        <f>$C709*CH708</f>
        <v/>
      </c>
      <c r="CI709">
        <f>$C709*CI708</f>
        <v/>
      </c>
      <c r="CJ709">
        <f>$C709*CJ708</f>
        <v/>
      </c>
      <c r="CK709">
        <f>$C709*CK708</f>
        <v/>
      </c>
      <c r="CL709">
        <f>$C709*CL708</f>
        <v/>
      </c>
      <c r="CM709">
        <f>$C709*CM708</f>
        <v/>
      </c>
      <c r="CN709">
        <f>$C709*CN708</f>
        <v/>
      </c>
      <c r="CO709">
        <f>$C709*CO708</f>
        <v/>
      </c>
      <c r="CP709">
        <f>$C709*CP708</f>
        <v/>
      </c>
      <c r="CQ709">
        <f>$C709*CQ708</f>
        <v/>
      </c>
      <c r="CR709">
        <f>$C709*CR708</f>
        <v/>
      </c>
      <c r="CS709">
        <f>$C709*CS708</f>
        <v/>
      </c>
      <c r="CT709">
        <f>$C709*CT708</f>
        <v/>
      </c>
      <c r="CU709">
        <f>$C709*CU708</f>
        <v/>
      </c>
      <c r="CV709">
        <f>$C709*CV708</f>
        <v/>
      </c>
      <c r="CW709">
        <f>$C709*CW708</f>
        <v/>
      </c>
      <c r="CX709">
        <f>$C709*CX708</f>
        <v/>
      </c>
      <c r="CY709">
        <f>$C709*CY708</f>
        <v/>
      </c>
      <c r="CZ709">
        <f>$C709*CZ708</f>
        <v/>
      </c>
      <c r="DA709">
        <f>$C709*DA708</f>
        <v/>
      </c>
      <c r="DB709">
        <f>$C709*DB708</f>
        <v/>
      </c>
      <c r="DC709">
        <f>$C709*DC708</f>
        <v/>
      </c>
    </row>
    <row r="710">
      <c r="B710" t="inlineStr">
        <is>
          <t>TSP-623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12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Name],$A641)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TSP-655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12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Name],$A641)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TSP-656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12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Name],$A641)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t="inlineStr">
        <is>
          <t>TSP-668</t>
        </is>
      </c>
      <c r="C716" t="inlineStr">
        <is>
          <t>No. of batches</t>
        </is>
      </c>
      <c r="D716">
        <f>IFERROR(INDEX(PP_Grid[#Data],$DD716,2),0)</f>
        <v/>
      </c>
      <c r="E716">
        <f>IFERROR(INDEX(PP_Grid[#Data],$DD716,3),0)</f>
        <v/>
      </c>
      <c r="F716">
        <f>IFERROR(INDEX(PP_Grid[#Data],$DD716,4),0)</f>
        <v/>
      </c>
      <c r="G716">
        <f>IFERROR(INDEX(PP_Grid[#Data],$DD716,5),0)</f>
        <v/>
      </c>
      <c r="H716">
        <f>IFERROR(INDEX(PP_Grid[#Data],$DD716,6),0)</f>
        <v/>
      </c>
      <c r="I716">
        <f>IFERROR(INDEX(PP_Grid[#Data],$DD716,7),0)</f>
        <v/>
      </c>
      <c r="J716">
        <f>IFERROR(INDEX(PP_Grid[#Data],$DD716,8),0)</f>
        <v/>
      </c>
      <c r="K716">
        <f>IFERROR(INDEX(PP_Grid[#Data],$DD716,9),0)</f>
        <v/>
      </c>
      <c r="L716">
        <f>IFERROR(INDEX(PP_Grid[#Data],$DD716,10),0)</f>
        <v/>
      </c>
      <c r="M716">
        <f>IFERROR(INDEX(PP_Grid[#Data],$DD716,11),0)</f>
        <v/>
      </c>
      <c r="N716">
        <f>IFERROR(INDEX(PP_Grid[#Data],$DD716,12),0)</f>
        <v/>
      </c>
      <c r="O716">
        <f>IFERROR(INDEX(PP_Grid[#Data],$DD716,13),0)</f>
        <v/>
      </c>
      <c r="P716">
        <f>IFERROR(INDEX(PP_Grid[#Data],$DD716,14),0)</f>
        <v/>
      </c>
      <c r="Q716">
        <f>IFERROR(INDEX(PP_Grid[#Data],$DD716,15),0)</f>
        <v/>
      </c>
      <c r="R716">
        <f>IFERROR(INDEX(PP_Grid[#Data],$DD716,16),0)</f>
        <v/>
      </c>
      <c r="S716">
        <f>IFERROR(INDEX(PP_Grid[#Data],$DD716,17),0)</f>
        <v/>
      </c>
      <c r="T716">
        <f>IFERROR(INDEX(PP_Grid[#Data],$DD716,18),0)</f>
        <v/>
      </c>
      <c r="U716">
        <f>IFERROR(INDEX(PP_Grid[#Data],$DD716,19),0)</f>
        <v/>
      </c>
      <c r="V716">
        <f>IFERROR(INDEX(PP_Grid[#Data],$DD716,20),0)</f>
        <v/>
      </c>
      <c r="W716">
        <f>IFERROR(INDEX(PP_Grid[#Data],$DD716,21),0)</f>
        <v/>
      </c>
      <c r="X716">
        <f>IFERROR(INDEX(PP_Grid[#Data],$DD716,22),0)</f>
        <v/>
      </c>
      <c r="Y716">
        <f>IFERROR(INDEX(PP_Grid[#Data],$DD716,23),0)</f>
        <v/>
      </c>
      <c r="Z716">
        <f>IFERROR(INDEX(PP_Grid[#Data],$DD716,24),0)</f>
        <v/>
      </c>
      <c r="AA716">
        <f>IFERROR(INDEX(PP_Grid[#Data],$DD716,25),0)</f>
        <v/>
      </c>
      <c r="AB716">
        <f>IFERROR(INDEX(PP_Grid[#Data],$DD716,26),0)</f>
        <v/>
      </c>
      <c r="AC716">
        <f>IFERROR(INDEX(PP_Grid[#Data],$DD716,27),0)</f>
        <v/>
      </c>
      <c r="AD716">
        <f>IFERROR(INDEX(PP_Grid[#Data],$DD716,28),0)</f>
        <v/>
      </c>
      <c r="AE716">
        <f>IFERROR(INDEX(PP_Grid[#Data],$DD716,29),0)</f>
        <v/>
      </c>
      <c r="AF716">
        <f>IFERROR(INDEX(PP_Grid[#Data],$DD716,30),0)</f>
        <v/>
      </c>
      <c r="AG716">
        <f>IFERROR(INDEX(PP_Grid[#Data],$DD716,31),0)</f>
        <v/>
      </c>
      <c r="AH716">
        <f>IFERROR(INDEX(PP_Grid[#Data],$DD716,32),0)</f>
        <v/>
      </c>
      <c r="AI716">
        <f>IFERROR(INDEX(PP_Grid[#Data],$DD716,33),0)</f>
        <v/>
      </c>
      <c r="AJ716">
        <f>IFERROR(INDEX(PP_Grid[#Data],$DD716,34),0)</f>
        <v/>
      </c>
      <c r="AK716">
        <f>IFERROR(INDEX(PP_Grid[#Data],$DD716,35),0)</f>
        <v/>
      </c>
      <c r="AL716">
        <f>IFERROR(INDEX(PP_Grid[#Data],$DD716,36),0)</f>
        <v/>
      </c>
      <c r="AM716">
        <f>IFERROR(INDEX(PP_Grid[#Data],$DD716,37),0)</f>
        <v/>
      </c>
      <c r="AN716">
        <f>IFERROR(INDEX(PP_Grid[#Data],$DD716,38),0)</f>
        <v/>
      </c>
      <c r="AO716">
        <f>IFERROR(INDEX(PP_Grid[#Data],$DD716,39),0)</f>
        <v/>
      </c>
      <c r="AP716">
        <f>IFERROR(INDEX(PP_Grid[#Data],$DD716,40),0)</f>
        <v/>
      </c>
      <c r="AQ716">
        <f>IFERROR(INDEX(PP_Grid[#Data],$DD716,41),0)</f>
        <v/>
      </c>
      <c r="AR716">
        <f>IFERROR(INDEX(PP_Grid[#Data],$DD716,42),0)</f>
        <v/>
      </c>
      <c r="AS716">
        <f>IFERROR(INDEX(PP_Grid[#Data],$DD716,43),0)</f>
        <v/>
      </c>
      <c r="AT716">
        <f>IFERROR(INDEX(PP_Grid[#Data],$DD716,44),0)</f>
        <v/>
      </c>
      <c r="AU716">
        <f>IFERROR(INDEX(PP_Grid[#Data],$DD716,45),0)</f>
        <v/>
      </c>
      <c r="AV716">
        <f>IFERROR(INDEX(PP_Grid[#Data],$DD716,46),0)</f>
        <v/>
      </c>
      <c r="AW716">
        <f>IFERROR(INDEX(PP_Grid[#Data],$DD716,47),0)</f>
        <v/>
      </c>
      <c r="AX716">
        <f>IFERROR(INDEX(PP_Grid[#Data],$DD716,48),0)</f>
        <v/>
      </c>
      <c r="AY716">
        <f>IFERROR(INDEX(PP_Grid[#Data],$DD716,49),0)</f>
        <v/>
      </c>
      <c r="AZ716">
        <f>IFERROR(INDEX(PP_Grid[#Data],$DD716,50),0)</f>
        <v/>
      </c>
      <c r="BA716">
        <f>IFERROR(INDEX(PP_Grid[#Data],$DD716,51),0)</f>
        <v/>
      </c>
      <c r="BB716">
        <f>IFERROR(INDEX(PP_Grid[#Data],$DD716,52),0)</f>
        <v/>
      </c>
      <c r="BC716">
        <f>IFERROR(INDEX(PP_Grid[#Data],$DD716,53),0)</f>
        <v/>
      </c>
      <c r="BD716">
        <f>IFERROR(INDEX(PP_Grid[#Data],$DD716,54),0)</f>
        <v/>
      </c>
      <c r="BE716">
        <f>IFERROR(INDEX(PP_Grid[#Data],$DD716,55),0)</f>
        <v/>
      </c>
      <c r="BF716">
        <f>IFERROR(INDEX(PP_Grid[#Data],$DD716,56),0)</f>
        <v/>
      </c>
      <c r="BG716">
        <f>IFERROR(INDEX(PP_Grid[#Data],$DD716,57),0)</f>
        <v/>
      </c>
      <c r="BH716">
        <f>IFERROR(INDEX(PP_Grid[#Data],$DD716,58),0)</f>
        <v/>
      </c>
      <c r="BI716">
        <f>IFERROR(INDEX(PP_Grid[#Data],$DD716,59),0)</f>
        <v/>
      </c>
      <c r="BJ716">
        <f>IFERROR(INDEX(PP_Grid[#Data],$DD716,60),0)</f>
        <v/>
      </c>
      <c r="BK716">
        <f>IFERROR(INDEX(PP_Grid[#Data],$DD716,61),0)</f>
        <v/>
      </c>
      <c r="BL716">
        <f>IFERROR(INDEX(PP_Grid[#Data],$DD716,62),0)</f>
        <v/>
      </c>
      <c r="BM716">
        <f>IFERROR(INDEX(PP_Grid[#Data],$DD716,63),0)</f>
        <v/>
      </c>
      <c r="BN716">
        <f>IFERROR(INDEX(PP_Grid[#Data],$DD716,64),0)</f>
        <v/>
      </c>
      <c r="BO716">
        <f>IFERROR(INDEX(PP_Grid[#Data],$DD716,65),0)</f>
        <v/>
      </c>
      <c r="BP716">
        <f>IFERROR(INDEX(PP_Grid[#Data],$DD716,66),0)</f>
        <v/>
      </c>
      <c r="BQ716">
        <f>IFERROR(INDEX(PP_Grid[#Data],$DD716,67),0)</f>
        <v/>
      </c>
      <c r="BR716">
        <f>IFERROR(INDEX(PP_Grid[#Data],$DD716,68),0)</f>
        <v/>
      </c>
      <c r="BS716">
        <f>IFERROR(INDEX(PP_Grid[#Data],$DD716,69),0)</f>
        <v/>
      </c>
      <c r="BT716">
        <f>IFERROR(INDEX(PP_Grid[#Data],$DD716,70),0)</f>
        <v/>
      </c>
      <c r="BU716">
        <f>IFERROR(INDEX(PP_Grid[#Data],$DD716,71),0)</f>
        <v/>
      </c>
      <c r="BV716">
        <f>IFERROR(INDEX(PP_Grid[#Data],$DD716,72),0)</f>
        <v/>
      </c>
      <c r="BW716">
        <f>IFERROR(INDEX(PP_Grid[#Data],$DD716,73),0)</f>
        <v/>
      </c>
      <c r="BX716">
        <f>IFERROR(INDEX(PP_Grid[#Data],$DD716,74),0)</f>
        <v/>
      </c>
      <c r="BY716">
        <f>IFERROR(INDEX(PP_Grid[#Data],$DD716,75),0)</f>
        <v/>
      </c>
      <c r="BZ716">
        <f>IFERROR(INDEX(PP_Grid[#Data],$DD716,76),0)</f>
        <v/>
      </c>
      <c r="CA716">
        <f>IFERROR(INDEX(PP_Grid[#Data],$DD716,77),0)</f>
        <v/>
      </c>
      <c r="CB716">
        <f>IFERROR(INDEX(PP_Grid[#Data],$DD716,78),0)</f>
        <v/>
      </c>
      <c r="CC716">
        <f>IFERROR(INDEX(PP_Grid[#Data],$DD716,79),0)</f>
        <v/>
      </c>
      <c r="CD716">
        <f>IFERROR(INDEX(PP_Grid[#Data],$DD716,80),0)</f>
        <v/>
      </c>
      <c r="CE716">
        <f>IFERROR(INDEX(PP_Grid[#Data],$DD716,81),0)</f>
        <v/>
      </c>
      <c r="CF716">
        <f>IFERROR(INDEX(PP_Grid[#Data],$DD716,82),0)</f>
        <v/>
      </c>
      <c r="CG716">
        <f>IFERROR(INDEX(PP_Grid[#Data],$DD716,83),0)</f>
        <v/>
      </c>
      <c r="CH716">
        <f>IFERROR(INDEX(PP_Grid[#Data],$DD716,84),0)</f>
        <v/>
      </c>
      <c r="CI716">
        <f>IFERROR(INDEX(PP_Grid[#Data],$DD716,85),0)</f>
        <v/>
      </c>
      <c r="CJ716">
        <f>IFERROR(INDEX(PP_Grid[#Data],$DD716,86),0)</f>
        <v/>
      </c>
      <c r="CK716">
        <f>IFERROR(INDEX(PP_Grid[#Data],$DD716,87),0)</f>
        <v/>
      </c>
      <c r="CL716">
        <f>IFERROR(INDEX(PP_Grid[#Data],$DD716,88),0)</f>
        <v/>
      </c>
      <c r="CM716">
        <f>IFERROR(INDEX(PP_Grid[#Data],$DD716,89),0)</f>
        <v/>
      </c>
      <c r="CN716">
        <f>IFERROR(INDEX(PP_Grid[#Data],$DD716,90),0)</f>
        <v/>
      </c>
      <c r="CO716">
        <f>IFERROR(INDEX(PP_Grid[#Data],$DD716,91),0)</f>
        <v/>
      </c>
      <c r="CP716">
        <f>IFERROR(INDEX(PP_Grid[#Data],$DD716,92),0)</f>
        <v/>
      </c>
      <c r="CQ716">
        <f>IFERROR(INDEX(PP_Grid[#Data],$DD716,93),0)</f>
        <v/>
      </c>
      <c r="CR716">
        <f>IFERROR(INDEX(PP_Grid[#Data],$DD716,94),0)</f>
        <v/>
      </c>
      <c r="CS716">
        <f>IFERROR(INDEX(PP_Grid[#Data],$DD716,95),0)</f>
        <v/>
      </c>
      <c r="CT716">
        <f>IFERROR(INDEX(PP_Grid[#Data],$DD716,96),0)</f>
        <v/>
      </c>
      <c r="CU716">
        <f>IFERROR(INDEX(PP_Grid[#Data],$DD716,97),0)</f>
        <v/>
      </c>
      <c r="CV716">
        <f>IFERROR(INDEX(PP_Grid[#Data],$DD716,98),0)</f>
        <v/>
      </c>
      <c r="CW716">
        <f>IFERROR(INDEX(PP_Grid[#Data],$DD716,99),0)</f>
        <v/>
      </c>
      <c r="CX716">
        <f>IFERROR(INDEX(PP_Grid[#Data],$DD716,100),0)</f>
        <v/>
      </c>
      <c r="CY716">
        <f>IFERROR(INDEX(PP_Grid[#Data],$DD716,101),0)</f>
        <v/>
      </c>
      <c r="CZ716">
        <f>IFERROR(INDEX(PP_Grid[#Data],$DD716,102),0)</f>
        <v/>
      </c>
      <c r="DA716">
        <f>IFERROR(INDEX(PP_Grid[#Data],$DD716,103),0)</f>
        <v/>
      </c>
      <c r="DB716">
        <f>IFERROR(INDEX(PP_Grid[#Data],$DD716,104),0)</f>
        <v/>
      </c>
      <c r="DC716">
        <f>IFERROR(INDEX(PP_Grid[#Data],$DD716,105),0)</f>
        <v/>
      </c>
      <c r="DD716" s="12">
        <f>IFERROR(MATCH($B716,PP_Grid[Intermediate],0),99999)</f>
        <v/>
      </c>
    </row>
    <row r="717">
      <c r="B717" t="inlineStr">
        <is>
          <t>使用量(kg)</t>
        </is>
      </c>
      <c r="C717">
        <f>SUMIFS(M_BOM[RM_Qty_Per_Batch],M_BOM[Intermediate],$B716,M_BOM[Part Name],$A641)</f>
        <v/>
      </c>
      <c r="D717">
        <f>$C717*D716</f>
        <v/>
      </c>
      <c r="E717">
        <f>$C717*E716</f>
        <v/>
      </c>
      <c r="F717">
        <f>$C717*F716</f>
        <v/>
      </c>
      <c r="G717">
        <f>$C717*G716</f>
        <v/>
      </c>
      <c r="H717">
        <f>$C717*H716</f>
        <v/>
      </c>
      <c r="I717">
        <f>$C717*I716</f>
        <v/>
      </c>
      <c r="J717">
        <f>$C717*J716</f>
        <v/>
      </c>
      <c r="K717">
        <f>$C717*K716</f>
        <v/>
      </c>
      <c r="L717">
        <f>$C717*L716</f>
        <v/>
      </c>
      <c r="M717">
        <f>$C717*M716</f>
        <v/>
      </c>
      <c r="N717">
        <f>$C717*N716</f>
        <v/>
      </c>
      <c r="O717">
        <f>$C717*O716</f>
        <v/>
      </c>
      <c r="P717">
        <f>$C717*P716</f>
        <v/>
      </c>
      <c r="Q717">
        <f>$C717*Q716</f>
        <v/>
      </c>
      <c r="R717">
        <f>$C717*R716</f>
        <v/>
      </c>
      <c r="S717">
        <f>$C717*S716</f>
        <v/>
      </c>
      <c r="T717">
        <f>$C717*T716</f>
        <v/>
      </c>
      <c r="U717">
        <f>$C717*U716</f>
        <v/>
      </c>
      <c r="V717">
        <f>$C717*V716</f>
        <v/>
      </c>
      <c r="W717">
        <f>$C717*W716</f>
        <v/>
      </c>
      <c r="X717">
        <f>$C717*X716</f>
        <v/>
      </c>
      <c r="Y717">
        <f>$C717*Y716</f>
        <v/>
      </c>
      <c r="Z717">
        <f>$C717*Z716</f>
        <v/>
      </c>
      <c r="AA717">
        <f>$C717*AA716</f>
        <v/>
      </c>
      <c r="AB717">
        <f>$C717*AB716</f>
        <v/>
      </c>
      <c r="AC717">
        <f>$C717*AC716</f>
        <v/>
      </c>
      <c r="AD717">
        <f>$C717*AD716</f>
        <v/>
      </c>
      <c r="AE717">
        <f>$C717*AE716</f>
        <v/>
      </c>
      <c r="AF717">
        <f>$C717*AF716</f>
        <v/>
      </c>
      <c r="AG717">
        <f>$C717*AG716</f>
        <v/>
      </c>
      <c r="AH717">
        <f>$C717*AH716</f>
        <v/>
      </c>
      <c r="AI717">
        <f>$C717*AI716</f>
        <v/>
      </c>
      <c r="AJ717">
        <f>$C717*AJ716</f>
        <v/>
      </c>
      <c r="AK717">
        <f>$C717*AK716</f>
        <v/>
      </c>
      <c r="AL717">
        <f>$C717*AL716</f>
        <v/>
      </c>
      <c r="AM717">
        <f>$C717*AM716</f>
        <v/>
      </c>
      <c r="AN717">
        <f>$C717*AN716</f>
        <v/>
      </c>
      <c r="AO717">
        <f>$C717*AO716</f>
        <v/>
      </c>
      <c r="AP717">
        <f>$C717*AP716</f>
        <v/>
      </c>
      <c r="AQ717">
        <f>$C717*AQ716</f>
        <v/>
      </c>
      <c r="AR717">
        <f>$C717*AR716</f>
        <v/>
      </c>
      <c r="AS717">
        <f>$C717*AS716</f>
        <v/>
      </c>
      <c r="AT717">
        <f>$C717*AT716</f>
        <v/>
      </c>
      <c r="AU717">
        <f>$C717*AU716</f>
        <v/>
      </c>
      <c r="AV717">
        <f>$C717*AV716</f>
        <v/>
      </c>
      <c r="AW717">
        <f>$C717*AW716</f>
        <v/>
      </c>
      <c r="AX717">
        <f>$C717*AX716</f>
        <v/>
      </c>
      <c r="AY717">
        <f>$C717*AY716</f>
        <v/>
      </c>
      <c r="AZ717">
        <f>$C717*AZ716</f>
        <v/>
      </c>
      <c r="BA717">
        <f>$C717*BA716</f>
        <v/>
      </c>
      <c r="BB717">
        <f>$C717*BB716</f>
        <v/>
      </c>
      <c r="BC717">
        <f>$C717*BC716</f>
        <v/>
      </c>
      <c r="BD717">
        <f>$C717*BD716</f>
        <v/>
      </c>
      <c r="BE717">
        <f>$C717*BE716</f>
        <v/>
      </c>
      <c r="BF717">
        <f>$C717*BF716</f>
        <v/>
      </c>
      <c r="BG717">
        <f>$C717*BG716</f>
        <v/>
      </c>
      <c r="BH717">
        <f>$C717*BH716</f>
        <v/>
      </c>
      <c r="BI717">
        <f>$C717*BI716</f>
        <v/>
      </c>
      <c r="BJ717">
        <f>$C717*BJ716</f>
        <v/>
      </c>
      <c r="BK717">
        <f>$C717*BK716</f>
        <v/>
      </c>
      <c r="BL717">
        <f>$C717*BL716</f>
        <v/>
      </c>
      <c r="BM717">
        <f>$C717*BM716</f>
        <v/>
      </c>
      <c r="BN717">
        <f>$C717*BN716</f>
        <v/>
      </c>
      <c r="BO717">
        <f>$C717*BO716</f>
        <v/>
      </c>
      <c r="BP717">
        <f>$C717*BP716</f>
        <v/>
      </c>
      <c r="BQ717">
        <f>$C717*BQ716</f>
        <v/>
      </c>
      <c r="BR717">
        <f>$C717*BR716</f>
        <v/>
      </c>
      <c r="BS717">
        <f>$C717*BS716</f>
        <v/>
      </c>
      <c r="BT717">
        <f>$C717*BT716</f>
        <v/>
      </c>
      <c r="BU717">
        <f>$C717*BU716</f>
        <v/>
      </c>
      <c r="BV717">
        <f>$C717*BV716</f>
        <v/>
      </c>
      <c r="BW717">
        <f>$C717*BW716</f>
        <v/>
      </c>
      <c r="BX717">
        <f>$C717*BX716</f>
        <v/>
      </c>
      <c r="BY717">
        <f>$C717*BY716</f>
        <v/>
      </c>
      <c r="BZ717">
        <f>$C717*BZ716</f>
        <v/>
      </c>
      <c r="CA717">
        <f>$C717*CA716</f>
        <v/>
      </c>
      <c r="CB717">
        <f>$C717*CB716</f>
        <v/>
      </c>
      <c r="CC717">
        <f>$C717*CC716</f>
        <v/>
      </c>
      <c r="CD717">
        <f>$C717*CD716</f>
        <v/>
      </c>
      <c r="CE717">
        <f>$C717*CE716</f>
        <v/>
      </c>
      <c r="CF717">
        <f>$C717*CF716</f>
        <v/>
      </c>
      <c r="CG717">
        <f>$C717*CG716</f>
        <v/>
      </c>
      <c r="CH717">
        <f>$C717*CH716</f>
        <v/>
      </c>
      <c r="CI717">
        <f>$C717*CI716</f>
        <v/>
      </c>
      <c r="CJ717">
        <f>$C717*CJ716</f>
        <v/>
      </c>
      <c r="CK717">
        <f>$C717*CK716</f>
        <v/>
      </c>
      <c r="CL717">
        <f>$C717*CL716</f>
        <v/>
      </c>
      <c r="CM717">
        <f>$C717*CM716</f>
        <v/>
      </c>
      <c r="CN717">
        <f>$C717*CN716</f>
        <v/>
      </c>
      <c r="CO717">
        <f>$C717*CO716</f>
        <v/>
      </c>
      <c r="CP717">
        <f>$C717*CP716</f>
        <v/>
      </c>
      <c r="CQ717">
        <f>$C717*CQ716</f>
        <v/>
      </c>
      <c r="CR717">
        <f>$C717*CR716</f>
        <v/>
      </c>
      <c r="CS717">
        <f>$C717*CS716</f>
        <v/>
      </c>
      <c r="CT717">
        <f>$C717*CT716</f>
        <v/>
      </c>
      <c r="CU717">
        <f>$C717*CU716</f>
        <v/>
      </c>
      <c r="CV717">
        <f>$C717*CV716</f>
        <v/>
      </c>
      <c r="CW717">
        <f>$C717*CW716</f>
        <v/>
      </c>
      <c r="CX717">
        <f>$C717*CX716</f>
        <v/>
      </c>
      <c r="CY717">
        <f>$C717*CY716</f>
        <v/>
      </c>
      <c r="CZ717">
        <f>$C717*CZ716</f>
        <v/>
      </c>
      <c r="DA717">
        <f>$C717*DA716</f>
        <v/>
      </c>
      <c r="DB717">
        <f>$C717*DB716</f>
        <v/>
      </c>
      <c r="DC717">
        <f>$C717*DC716</f>
        <v/>
      </c>
    </row>
    <row r="718">
      <c r="B718" t="inlineStr">
        <is>
          <t>TSP-669</t>
        </is>
      </c>
      <c r="C718" t="inlineStr">
        <is>
          <t>No. of batches</t>
        </is>
      </c>
      <c r="D718">
        <f>IFERROR(INDEX(PP_Grid[#Data],$DD718,2),0)</f>
        <v/>
      </c>
      <c r="E718">
        <f>IFERROR(INDEX(PP_Grid[#Data],$DD718,3),0)</f>
        <v/>
      </c>
      <c r="F718">
        <f>IFERROR(INDEX(PP_Grid[#Data],$DD718,4),0)</f>
        <v/>
      </c>
      <c r="G718">
        <f>IFERROR(INDEX(PP_Grid[#Data],$DD718,5),0)</f>
        <v/>
      </c>
      <c r="H718">
        <f>IFERROR(INDEX(PP_Grid[#Data],$DD718,6),0)</f>
        <v/>
      </c>
      <c r="I718">
        <f>IFERROR(INDEX(PP_Grid[#Data],$DD718,7),0)</f>
        <v/>
      </c>
      <c r="J718">
        <f>IFERROR(INDEX(PP_Grid[#Data],$DD718,8),0)</f>
        <v/>
      </c>
      <c r="K718">
        <f>IFERROR(INDEX(PP_Grid[#Data],$DD718,9),0)</f>
        <v/>
      </c>
      <c r="L718">
        <f>IFERROR(INDEX(PP_Grid[#Data],$DD718,10),0)</f>
        <v/>
      </c>
      <c r="M718">
        <f>IFERROR(INDEX(PP_Grid[#Data],$DD718,11),0)</f>
        <v/>
      </c>
      <c r="N718">
        <f>IFERROR(INDEX(PP_Grid[#Data],$DD718,12),0)</f>
        <v/>
      </c>
      <c r="O718">
        <f>IFERROR(INDEX(PP_Grid[#Data],$DD718,13),0)</f>
        <v/>
      </c>
      <c r="P718">
        <f>IFERROR(INDEX(PP_Grid[#Data],$DD718,14),0)</f>
        <v/>
      </c>
      <c r="Q718">
        <f>IFERROR(INDEX(PP_Grid[#Data],$DD718,15),0)</f>
        <v/>
      </c>
      <c r="R718">
        <f>IFERROR(INDEX(PP_Grid[#Data],$DD718,16),0)</f>
        <v/>
      </c>
      <c r="S718">
        <f>IFERROR(INDEX(PP_Grid[#Data],$DD718,17),0)</f>
        <v/>
      </c>
      <c r="T718">
        <f>IFERROR(INDEX(PP_Grid[#Data],$DD718,18),0)</f>
        <v/>
      </c>
      <c r="U718">
        <f>IFERROR(INDEX(PP_Grid[#Data],$DD718,19),0)</f>
        <v/>
      </c>
      <c r="V718">
        <f>IFERROR(INDEX(PP_Grid[#Data],$DD718,20),0)</f>
        <v/>
      </c>
      <c r="W718">
        <f>IFERROR(INDEX(PP_Grid[#Data],$DD718,21),0)</f>
        <v/>
      </c>
      <c r="X718">
        <f>IFERROR(INDEX(PP_Grid[#Data],$DD718,22),0)</f>
        <v/>
      </c>
      <c r="Y718">
        <f>IFERROR(INDEX(PP_Grid[#Data],$DD718,23),0)</f>
        <v/>
      </c>
      <c r="Z718">
        <f>IFERROR(INDEX(PP_Grid[#Data],$DD718,24),0)</f>
        <v/>
      </c>
      <c r="AA718">
        <f>IFERROR(INDEX(PP_Grid[#Data],$DD718,25),0)</f>
        <v/>
      </c>
      <c r="AB718">
        <f>IFERROR(INDEX(PP_Grid[#Data],$DD718,26),0)</f>
        <v/>
      </c>
      <c r="AC718">
        <f>IFERROR(INDEX(PP_Grid[#Data],$DD718,27),0)</f>
        <v/>
      </c>
      <c r="AD718">
        <f>IFERROR(INDEX(PP_Grid[#Data],$DD718,28),0)</f>
        <v/>
      </c>
      <c r="AE718">
        <f>IFERROR(INDEX(PP_Grid[#Data],$DD718,29),0)</f>
        <v/>
      </c>
      <c r="AF718">
        <f>IFERROR(INDEX(PP_Grid[#Data],$DD718,30),0)</f>
        <v/>
      </c>
      <c r="AG718">
        <f>IFERROR(INDEX(PP_Grid[#Data],$DD718,31),0)</f>
        <v/>
      </c>
      <c r="AH718">
        <f>IFERROR(INDEX(PP_Grid[#Data],$DD718,32),0)</f>
        <v/>
      </c>
      <c r="AI718">
        <f>IFERROR(INDEX(PP_Grid[#Data],$DD718,33),0)</f>
        <v/>
      </c>
      <c r="AJ718">
        <f>IFERROR(INDEX(PP_Grid[#Data],$DD718,34),0)</f>
        <v/>
      </c>
      <c r="AK718">
        <f>IFERROR(INDEX(PP_Grid[#Data],$DD718,35),0)</f>
        <v/>
      </c>
      <c r="AL718">
        <f>IFERROR(INDEX(PP_Grid[#Data],$DD718,36),0)</f>
        <v/>
      </c>
      <c r="AM718">
        <f>IFERROR(INDEX(PP_Grid[#Data],$DD718,37),0)</f>
        <v/>
      </c>
      <c r="AN718">
        <f>IFERROR(INDEX(PP_Grid[#Data],$DD718,38),0)</f>
        <v/>
      </c>
      <c r="AO718">
        <f>IFERROR(INDEX(PP_Grid[#Data],$DD718,39),0)</f>
        <v/>
      </c>
      <c r="AP718">
        <f>IFERROR(INDEX(PP_Grid[#Data],$DD718,40),0)</f>
        <v/>
      </c>
      <c r="AQ718">
        <f>IFERROR(INDEX(PP_Grid[#Data],$DD718,41),0)</f>
        <v/>
      </c>
      <c r="AR718">
        <f>IFERROR(INDEX(PP_Grid[#Data],$DD718,42),0)</f>
        <v/>
      </c>
      <c r="AS718">
        <f>IFERROR(INDEX(PP_Grid[#Data],$DD718,43),0)</f>
        <v/>
      </c>
      <c r="AT718">
        <f>IFERROR(INDEX(PP_Grid[#Data],$DD718,44),0)</f>
        <v/>
      </c>
      <c r="AU718">
        <f>IFERROR(INDEX(PP_Grid[#Data],$DD718,45),0)</f>
        <v/>
      </c>
      <c r="AV718">
        <f>IFERROR(INDEX(PP_Grid[#Data],$DD718,46),0)</f>
        <v/>
      </c>
      <c r="AW718">
        <f>IFERROR(INDEX(PP_Grid[#Data],$DD718,47),0)</f>
        <v/>
      </c>
      <c r="AX718">
        <f>IFERROR(INDEX(PP_Grid[#Data],$DD718,48),0)</f>
        <v/>
      </c>
      <c r="AY718">
        <f>IFERROR(INDEX(PP_Grid[#Data],$DD718,49),0)</f>
        <v/>
      </c>
      <c r="AZ718">
        <f>IFERROR(INDEX(PP_Grid[#Data],$DD718,50),0)</f>
        <v/>
      </c>
      <c r="BA718">
        <f>IFERROR(INDEX(PP_Grid[#Data],$DD718,51),0)</f>
        <v/>
      </c>
      <c r="BB718">
        <f>IFERROR(INDEX(PP_Grid[#Data],$DD718,52),0)</f>
        <v/>
      </c>
      <c r="BC718">
        <f>IFERROR(INDEX(PP_Grid[#Data],$DD718,53),0)</f>
        <v/>
      </c>
      <c r="BD718">
        <f>IFERROR(INDEX(PP_Grid[#Data],$DD718,54),0)</f>
        <v/>
      </c>
      <c r="BE718">
        <f>IFERROR(INDEX(PP_Grid[#Data],$DD718,55),0)</f>
        <v/>
      </c>
      <c r="BF718">
        <f>IFERROR(INDEX(PP_Grid[#Data],$DD718,56),0)</f>
        <v/>
      </c>
      <c r="BG718">
        <f>IFERROR(INDEX(PP_Grid[#Data],$DD718,57),0)</f>
        <v/>
      </c>
      <c r="BH718">
        <f>IFERROR(INDEX(PP_Grid[#Data],$DD718,58),0)</f>
        <v/>
      </c>
      <c r="BI718">
        <f>IFERROR(INDEX(PP_Grid[#Data],$DD718,59),0)</f>
        <v/>
      </c>
      <c r="BJ718">
        <f>IFERROR(INDEX(PP_Grid[#Data],$DD718,60),0)</f>
        <v/>
      </c>
      <c r="BK718">
        <f>IFERROR(INDEX(PP_Grid[#Data],$DD718,61),0)</f>
        <v/>
      </c>
      <c r="BL718">
        <f>IFERROR(INDEX(PP_Grid[#Data],$DD718,62),0)</f>
        <v/>
      </c>
      <c r="BM718">
        <f>IFERROR(INDEX(PP_Grid[#Data],$DD718,63),0)</f>
        <v/>
      </c>
      <c r="BN718">
        <f>IFERROR(INDEX(PP_Grid[#Data],$DD718,64),0)</f>
        <v/>
      </c>
      <c r="BO718">
        <f>IFERROR(INDEX(PP_Grid[#Data],$DD718,65),0)</f>
        <v/>
      </c>
      <c r="BP718">
        <f>IFERROR(INDEX(PP_Grid[#Data],$DD718,66),0)</f>
        <v/>
      </c>
      <c r="BQ718">
        <f>IFERROR(INDEX(PP_Grid[#Data],$DD718,67),0)</f>
        <v/>
      </c>
      <c r="BR718">
        <f>IFERROR(INDEX(PP_Grid[#Data],$DD718,68),0)</f>
        <v/>
      </c>
      <c r="BS718">
        <f>IFERROR(INDEX(PP_Grid[#Data],$DD718,69),0)</f>
        <v/>
      </c>
      <c r="BT718">
        <f>IFERROR(INDEX(PP_Grid[#Data],$DD718,70),0)</f>
        <v/>
      </c>
      <c r="BU718">
        <f>IFERROR(INDEX(PP_Grid[#Data],$DD718,71),0)</f>
        <v/>
      </c>
      <c r="BV718">
        <f>IFERROR(INDEX(PP_Grid[#Data],$DD718,72),0)</f>
        <v/>
      </c>
      <c r="BW718">
        <f>IFERROR(INDEX(PP_Grid[#Data],$DD718,73),0)</f>
        <v/>
      </c>
      <c r="BX718">
        <f>IFERROR(INDEX(PP_Grid[#Data],$DD718,74),0)</f>
        <v/>
      </c>
      <c r="BY718">
        <f>IFERROR(INDEX(PP_Grid[#Data],$DD718,75),0)</f>
        <v/>
      </c>
      <c r="BZ718">
        <f>IFERROR(INDEX(PP_Grid[#Data],$DD718,76),0)</f>
        <v/>
      </c>
      <c r="CA718">
        <f>IFERROR(INDEX(PP_Grid[#Data],$DD718,77),0)</f>
        <v/>
      </c>
      <c r="CB718">
        <f>IFERROR(INDEX(PP_Grid[#Data],$DD718,78),0)</f>
        <v/>
      </c>
      <c r="CC718">
        <f>IFERROR(INDEX(PP_Grid[#Data],$DD718,79),0)</f>
        <v/>
      </c>
      <c r="CD718">
        <f>IFERROR(INDEX(PP_Grid[#Data],$DD718,80),0)</f>
        <v/>
      </c>
      <c r="CE718">
        <f>IFERROR(INDEX(PP_Grid[#Data],$DD718,81),0)</f>
        <v/>
      </c>
      <c r="CF718">
        <f>IFERROR(INDEX(PP_Grid[#Data],$DD718,82),0)</f>
        <v/>
      </c>
      <c r="CG718">
        <f>IFERROR(INDEX(PP_Grid[#Data],$DD718,83),0)</f>
        <v/>
      </c>
      <c r="CH718">
        <f>IFERROR(INDEX(PP_Grid[#Data],$DD718,84),0)</f>
        <v/>
      </c>
      <c r="CI718">
        <f>IFERROR(INDEX(PP_Grid[#Data],$DD718,85),0)</f>
        <v/>
      </c>
      <c r="CJ718">
        <f>IFERROR(INDEX(PP_Grid[#Data],$DD718,86),0)</f>
        <v/>
      </c>
      <c r="CK718">
        <f>IFERROR(INDEX(PP_Grid[#Data],$DD718,87),0)</f>
        <v/>
      </c>
      <c r="CL718">
        <f>IFERROR(INDEX(PP_Grid[#Data],$DD718,88),0)</f>
        <v/>
      </c>
      <c r="CM718">
        <f>IFERROR(INDEX(PP_Grid[#Data],$DD718,89),0)</f>
        <v/>
      </c>
      <c r="CN718">
        <f>IFERROR(INDEX(PP_Grid[#Data],$DD718,90),0)</f>
        <v/>
      </c>
      <c r="CO718">
        <f>IFERROR(INDEX(PP_Grid[#Data],$DD718,91),0)</f>
        <v/>
      </c>
      <c r="CP718">
        <f>IFERROR(INDEX(PP_Grid[#Data],$DD718,92),0)</f>
        <v/>
      </c>
      <c r="CQ718">
        <f>IFERROR(INDEX(PP_Grid[#Data],$DD718,93),0)</f>
        <v/>
      </c>
      <c r="CR718">
        <f>IFERROR(INDEX(PP_Grid[#Data],$DD718,94),0)</f>
        <v/>
      </c>
      <c r="CS718">
        <f>IFERROR(INDEX(PP_Grid[#Data],$DD718,95),0)</f>
        <v/>
      </c>
      <c r="CT718">
        <f>IFERROR(INDEX(PP_Grid[#Data],$DD718,96),0)</f>
        <v/>
      </c>
      <c r="CU718">
        <f>IFERROR(INDEX(PP_Grid[#Data],$DD718,97),0)</f>
        <v/>
      </c>
      <c r="CV718">
        <f>IFERROR(INDEX(PP_Grid[#Data],$DD718,98),0)</f>
        <v/>
      </c>
      <c r="CW718">
        <f>IFERROR(INDEX(PP_Grid[#Data],$DD718,99),0)</f>
        <v/>
      </c>
      <c r="CX718">
        <f>IFERROR(INDEX(PP_Grid[#Data],$DD718,100),0)</f>
        <v/>
      </c>
      <c r="CY718">
        <f>IFERROR(INDEX(PP_Grid[#Data],$DD718,101),0)</f>
        <v/>
      </c>
      <c r="CZ718">
        <f>IFERROR(INDEX(PP_Grid[#Data],$DD718,102),0)</f>
        <v/>
      </c>
      <c r="DA718">
        <f>IFERROR(INDEX(PP_Grid[#Data],$DD718,103),0)</f>
        <v/>
      </c>
      <c r="DB718">
        <f>IFERROR(INDEX(PP_Grid[#Data],$DD718,104),0)</f>
        <v/>
      </c>
      <c r="DC718">
        <f>IFERROR(INDEX(PP_Grid[#Data],$DD718,105),0)</f>
        <v/>
      </c>
      <c r="DD718" s="12">
        <f>IFERROR(MATCH($B718,PP_Grid[Intermediate],0),99999)</f>
        <v/>
      </c>
    </row>
    <row r="719">
      <c r="B719" t="inlineStr">
        <is>
          <t>使用量(kg)</t>
        </is>
      </c>
      <c r="C719">
        <f>SUMIFS(M_BOM[RM_Qty_Per_Batch],M_BOM[Intermediate],$B718,M_BOM[Part Name],$A641)</f>
        <v/>
      </c>
      <c r="D719">
        <f>$C719*D718</f>
        <v/>
      </c>
      <c r="E719">
        <f>$C719*E718</f>
        <v/>
      </c>
      <c r="F719">
        <f>$C719*F718</f>
        <v/>
      </c>
      <c r="G719">
        <f>$C719*G718</f>
        <v/>
      </c>
      <c r="H719">
        <f>$C719*H718</f>
        <v/>
      </c>
      <c r="I719">
        <f>$C719*I718</f>
        <v/>
      </c>
      <c r="J719">
        <f>$C719*J718</f>
        <v/>
      </c>
      <c r="K719">
        <f>$C719*K718</f>
        <v/>
      </c>
      <c r="L719">
        <f>$C719*L718</f>
        <v/>
      </c>
      <c r="M719">
        <f>$C719*M718</f>
        <v/>
      </c>
      <c r="N719">
        <f>$C719*N718</f>
        <v/>
      </c>
      <c r="O719">
        <f>$C719*O718</f>
        <v/>
      </c>
      <c r="P719">
        <f>$C719*P718</f>
        <v/>
      </c>
      <c r="Q719">
        <f>$C719*Q718</f>
        <v/>
      </c>
      <c r="R719">
        <f>$C719*R718</f>
        <v/>
      </c>
      <c r="S719">
        <f>$C719*S718</f>
        <v/>
      </c>
      <c r="T719">
        <f>$C719*T718</f>
        <v/>
      </c>
      <c r="U719">
        <f>$C719*U718</f>
        <v/>
      </c>
      <c r="V719">
        <f>$C719*V718</f>
        <v/>
      </c>
      <c r="W719">
        <f>$C719*W718</f>
        <v/>
      </c>
      <c r="X719">
        <f>$C719*X718</f>
        <v/>
      </c>
      <c r="Y719">
        <f>$C719*Y718</f>
        <v/>
      </c>
      <c r="Z719">
        <f>$C719*Z718</f>
        <v/>
      </c>
      <c r="AA719">
        <f>$C719*AA718</f>
        <v/>
      </c>
      <c r="AB719">
        <f>$C719*AB718</f>
        <v/>
      </c>
      <c r="AC719">
        <f>$C719*AC718</f>
        <v/>
      </c>
      <c r="AD719">
        <f>$C719*AD718</f>
        <v/>
      </c>
      <c r="AE719">
        <f>$C719*AE718</f>
        <v/>
      </c>
      <c r="AF719">
        <f>$C719*AF718</f>
        <v/>
      </c>
      <c r="AG719">
        <f>$C719*AG718</f>
        <v/>
      </c>
      <c r="AH719">
        <f>$C719*AH718</f>
        <v/>
      </c>
      <c r="AI719">
        <f>$C719*AI718</f>
        <v/>
      </c>
      <c r="AJ719">
        <f>$C719*AJ718</f>
        <v/>
      </c>
      <c r="AK719">
        <f>$C719*AK718</f>
        <v/>
      </c>
      <c r="AL719">
        <f>$C719*AL718</f>
        <v/>
      </c>
      <c r="AM719">
        <f>$C719*AM718</f>
        <v/>
      </c>
      <c r="AN719">
        <f>$C719*AN718</f>
        <v/>
      </c>
      <c r="AO719">
        <f>$C719*AO718</f>
        <v/>
      </c>
      <c r="AP719">
        <f>$C719*AP718</f>
        <v/>
      </c>
      <c r="AQ719">
        <f>$C719*AQ718</f>
        <v/>
      </c>
      <c r="AR719">
        <f>$C719*AR718</f>
        <v/>
      </c>
      <c r="AS719">
        <f>$C719*AS718</f>
        <v/>
      </c>
      <c r="AT719">
        <f>$C719*AT718</f>
        <v/>
      </c>
      <c r="AU719">
        <f>$C719*AU718</f>
        <v/>
      </c>
      <c r="AV719">
        <f>$C719*AV718</f>
        <v/>
      </c>
      <c r="AW719">
        <f>$C719*AW718</f>
        <v/>
      </c>
      <c r="AX719">
        <f>$C719*AX718</f>
        <v/>
      </c>
      <c r="AY719">
        <f>$C719*AY718</f>
        <v/>
      </c>
      <c r="AZ719">
        <f>$C719*AZ718</f>
        <v/>
      </c>
      <c r="BA719">
        <f>$C719*BA718</f>
        <v/>
      </c>
      <c r="BB719">
        <f>$C719*BB718</f>
        <v/>
      </c>
      <c r="BC719">
        <f>$C719*BC718</f>
        <v/>
      </c>
      <c r="BD719">
        <f>$C719*BD718</f>
        <v/>
      </c>
      <c r="BE719">
        <f>$C719*BE718</f>
        <v/>
      </c>
      <c r="BF719">
        <f>$C719*BF718</f>
        <v/>
      </c>
      <c r="BG719">
        <f>$C719*BG718</f>
        <v/>
      </c>
      <c r="BH719">
        <f>$C719*BH718</f>
        <v/>
      </c>
      <c r="BI719">
        <f>$C719*BI718</f>
        <v/>
      </c>
      <c r="BJ719">
        <f>$C719*BJ718</f>
        <v/>
      </c>
      <c r="BK719">
        <f>$C719*BK718</f>
        <v/>
      </c>
      <c r="BL719">
        <f>$C719*BL718</f>
        <v/>
      </c>
      <c r="BM719">
        <f>$C719*BM718</f>
        <v/>
      </c>
      <c r="BN719">
        <f>$C719*BN718</f>
        <v/>
      </c>
      <c r="BO719">
        <f>$C719*BO718</f>
        <v/>
      </c>
      <c r="BP719">
        <f>$C719*BP718</f>
        <v/>
      </c>
      <c r="BQ719">
        <f>$C719*BQ718</f>
        <v/>
      </c>
      <c r="BR719">
        <f>$C719*BR718</f>
        <v/>
      </c>
      <c r="BS719">
        <f>$C719*BS718</f>
        <v/>
      </c>
      <c r="BT719">
        <f>$C719*BT718</f>
        <v/>
      </c>
      <c r="BU719">
        <f>$C719*BU718</f>
        <v/>
      </c>
      <c r="BV719">
        <f>$C719*BV718</f>
        <v/>
      </c>
      <c r="BW719">
        <f>$C719*BW718</f>
        <v/>
      </c>
      <c r="BX719">
        <f>$C719*BX718</f>
        <v/>
      </c>
      <c r="BY719">
        <f>$C719*BY718</f>
        <v/>
      </c>
      <c r="BZ719">
        <f>$C719*BZ718</f>
        <v/>
      </c>
      <c r="CA719">
        <f>$C719*CA718</f>
        <v/>
      </c>
      <c r="CB719">
        <f>$C719*CB718</f>
        <v/>
      </c>
      <c r="CC719">
        <f>$C719*CC718</f>
        <v/>
      </c>
      <c r="CD719">
        <f>$C719*CD718</f>
        <v/>
      </c>
      <c r="CE719">
        <f>$C719*CE718</f>
        <v/>
      </c>
      <c r="CF719">
        <f>$C719*CF718</f>
        <v/>
      </c>
      <c r="CG719">
        <f>$C719*CG718</f>
        <v/>
      </c>
      <c r="CH719">
        <f>$C719*CH718</f>
        <v/>
      </c>
      <c r="CI719">
        <f>$C719*CI718</f>
        <v/>
      </c>
      <c r="CJ719">
        <f>$C719*CJ718</f>
        <v/>
      </c>
      <c r="CK719">
        <f>$C719*CK718</f>
        <v/>
      </c>
      <c r="CL719">
        <f>$C719*CL718</f>
        <v/>
      </c>
      <c r="CM719">
        <f>$C719*CM718</f>
        <v/>
      </c>
      <c r="CN719">
        <f>$C719*CN718</f>
        <v/>
      </c>
      <c r="CO719">
        <f>$C719*CO718</f>
        <v/>
      </c>
      <c r="CP719">
        <f>$C719*CP718</f>
        <v/>
      </c>
      <c r="CQ719">
        <f>$C719*CQ718</f>
        <v/>
      </c>
      <c r="CR719">
        <f>$C719*CR718</f>
        <v/>
      </c>
      <c r="CS719">
        <f>$C719*CS718</f>
        <v/>
      </c>
      <c r="CT719">
        <f>$C719*CT718</f>
        <v/>
      </c>
      <c r="CU719">
        <f>$C719*CU718</f>
        <v/>
      </c>
      <c r="CV719">
        <f>$C719*CV718</f>
        <v/>
      </c>
      <c r="CW719">
        <f>$C719*CW718</f>
        <v/>
      </c>
      <c r="CX719">
        <f>$C719*CX718</f>
        <v/>
      </c>
      <c r="CY719">
        <f>$C719*CY718</f>
        <v/>
      </c>
      <c r="CZ719">
        <f>$C719*CZ718</f>
        <v/>
      </c>
      <c r="DA719">
        <f>$C719*DA718</f>
        <v/>
      </c>
      <c r="DB719">
        <f>$C719*DB718</f>
        <v/>
      </c>
      <c r="DC719">
        <f>$C719*DC718</f>
        <v/>
      </c>
    </row>
    <row r="720">
      <c r="B720" t="inlineStr">
        <is>
          <t>TSP-670</t>
        </is>
      </c>
      <c r="C720" t="inlineStr">
        <is>
          <t>No. of batches</t>
        </is>
      </c>
      <c r="D720">
        <f>IFERROR(INDEX(PP_Grid[#Data],$DD720,2),0)</f>
        <v/>
      </c>
      <c r="E720">
        <f>IFERROR(INDEX(PP_Grid[#Data],$DD720,3),0)</f>
        <v/>
      </c>
      <c r="F720">
        <f>IFERROR(INDEX(PP_Grid[#Data],$DD720,4),0)</f>
        <v/>
      </c>
      <c r="G720">
        <f>IFERROR(INDEX(PP_Grid[#Data],$DD720,5),0)</f>
        <v/>
      </c>
      <c r="H720">
        <f>IFERROR(INDEX(PP_Grid[#Data],$DD720,6),0)</f>
        <v/>
      </c>
      <c r="I720">
        <f>IFERROR(INDEX(PP_Grid[#Data],$DD720,7),0)</f>
        <v/>
      </c>
      <c r="J720">
        <f>IFERROR(INDEX(PP_Grid[#Data],$DD720,8),0)</f>
        <v/>
      </c>
      <c r="K720">
        <f>IFERROR(INDEX(PP_Grid[#Data],$DD720,9),0)</f>
        <v/>
      </c>
      <c r="L720">
        <f>IFERROR(INDEX(PP_Grid[#Data],$DD720,10),0)</f>
        <v/>
      </c>
      <c r="M720">
        <f>IFERROR(INDEX(PP_Grid[#Data],$DD720,11),0)</f>
        <v/>
      </c>
      <c r="N720">
        <f>IFERROR(INDEX(PP_Grid[#Data],$DD720,12),0)</f>
        <v/>
      </c>
      <c r="O720">
        <f>IFERROR(INDEX(PP_Grid[#Data],$DD720,13),0)</f>
        <v/>
      </c>
      <c r="P720">
        <f>IFERROR(INDEX(PP_Grid[#Data],$DD720,14),0)</f>
        <v/>
      </c>
      <c r="Q720">
        <f>IFERROR(INDEX(PP_Grid[#Data],$DD720,15),0)</f>
        <v/>
      </c>
      <c r="R720">
        <f>IFERROR(INDEX(PP_Grid[#Data],$DD720,16),0)</f>
        <v/>
      </c>
      <c r="S720">
        <f>IFERROR(INDEX(PP_Grid[#Data],$DD720,17),0)</f>
        <v/>
      </c>
      <c r="T720">
        <f>IFERROR(INDEX(PP_Grid[#Data],$DD720,18),0)</f>
        <v/>
      </c>
      <c r="U720">
        <f>IFERROR(INDEX(PP_Grid[#Data],$DD720,19),0)</f>
        <v/>
      </c>
      <c r="V720">
        <f>IFERROR(INDEX(PP_Grid[#Data],$DD720,20),0)</f>
        <v/>
      </c>
      <c r="W720">
        <f>IFERROR(INDEX(PP_Grid[#Data],$DD720,21),0)</f>
        <v/>
      </c>
      <c r="X720">
        <f>IFERROR(INDEX(PP_Grid[#Data],$DD720,22),0)</f>
        <v/>
      </c>
      <c r="Y720">
        <f>IFERROR(INDEX(PP_Grid[#Data],$DD720,23),0)</f>
        <v/>
      </c>
      <c r="Z720">
        <f>IFERROR(INDEX(PP_Grid[#Data],$DD720,24),0)</f>
        <v/>
      </c>
      <c r="AA720">
        <f>IFERROR(INDEX(PP_Grid[#Data],$DD720,25),0)</f>
        <v/>
      </c>
      <c r="AB720">
        <f>IFERROR(INDEX(PP_Grid[#Data],$DD720,26),0)</f>
        <v/>
      </c>
      <c r="AC720">
        <f>IFERROR(INDEX(PP_Grid[#Data],$DD720,27),0)</f>
        <v/>
      </c>
      <c r="AD720">
        <f>IFERROR(INDEX(PP_Grid[#Data],$DD720,28),0)</f>
        <v/>
      </c>
      <c r="AE720">
        <f>IFERROR(INDEX(PP_Grid[#Data],$DD720,29),0)</f>
        <v/>
      </c>
      <c r="AF720">
        <f>IFERROR(INDEX(PP_Grid[#Data],$DD720,30),0)</f>
        <v/>
      </c>
      <c r="AG720">
        <f>IFERROR(INDEX(PP_Grid[#Data],$DD720,31),0)</f>
        <v/>
      </c>
      <c r="AH720">
        <f>IFERROR(INDEX(PP_Grid[#Data],$DD720,32),0)</f>
        <v/>
      </c>
      <c r="AI720">
        <f>IFERROR(INDEX(PP_Grid[#Data],$DD720,33),0)</f>
        <v/>
      </c>
      <c r="AJ720">
        <f>IFERROR(INDEX(PP_Grid[#Data],$DD720,34),0)</f>
        <v/>
      </c>
      <c r="AK720">
        <f>IFERROR(INDEX(PP_Grid[#Data],$DD720,35),0)</f>
        <v/>
      </c>
      <c r="AL720">
        <f>IFERROR(INDEX(PP_Grid[#Data],$DD720,36),0)</f>
        <v/>
      </c>
      <c r="AM720">
        <f>IFERROR(INDEX(PP_Grid[#Data],$DD720,37),0)</f>
        <v/>
      </c>
      <c r="AN720">
        <f>IFERROR(INDEX(PP_Grid[#Data],$DD720,38),0)</f>
        <v/>
      </c>
      <c r="AO720">
        <f>IFERROR(INDEX(PP_Grid[#Data],$DD720,39),0)</f>
        <v/>
      </c>
      <c r="AP720">
        <f>IFERROR(INDEX(PP_Grid[#Data],$DD720,40),0)</f>
        <v/>
      </c>
      <c r="AQ720">
        <f>IFERROR(INDEX(PP_Grid[#Data],$DD720,41),0)</f>
        <v/>
      </c>
      <c r="AR720">
        <f>IFERROR(INDEX(PP_Grid[#Data],$DD720,42),0)</f>
        <v/>
      </c>
      <c r="AS720">
        <f>IFERROR(INDEX(PP_Grid[#Data],$DD720,43),0)</f>
        <v/>
      </c>
      <c r="AT720">
        <f>IFERROR(INDEX(PP_Grid[#Data],$DD720,44),0)</f>
        <v/>
      </c>
      <c r="AU720">
        <f>IFERROR(INDEX(PP_Grid[#Data],$DD720,45),0)</f>
        <v/>
      </c>
      <c r="AV720">
        <f>IFERROR(INDEX(PP_Grid[#Data],$DD720,46),0)</f>
        <v/>
      </c>
      <c r="AW720">
        <f>IFERROR(INDEX(PP_Grid[#Data],$DD720,47),0)</f>
        <v/>
      </c>
      <c r="AX720">
        <f>IFERROR(INDEX(PP_Grid[#Data],$DD720,48),0)</f>
        <v/>
      </c>
      <c r="AY720">
        <f>IFERROR(INDEX(PP_Grid[#Data],$DD720,49),0)</f>
        <v/>
      </c>
      <c r="AZ720">
        <f>IFERROR(INDEX(PP_Grid[#Data],$DD720,50),0)</f>
        <v/>
      </c>
      <c r="BA720">
        <f>IFERROR(INDEX(PP_Grid[#Data],$DD720,51),0)</f>
        <v/>
      </c>
      <c r="BB720">
        <f>IFERROR(INDEX(PP_Grid[#Data],$DD720,52),0)</f>
        <v/>
      </c>
      <c r="BC720">
        <f>IFERROR(INDEX(PP_Grid[#Data],$DD720,53),0)</f>
        <v/>
      </c>
      <c r="BD720">
        <f>IFERROR(INDEX(PP_Grid[#Data],$DD720,54),0)</f>
        <v/>
      </c>
      <c r="BE720">
        <f>IFERROR(INDEX(PP_Grid[#Data],$DD720,55),0)</f>
        <v/>
      </c>
      <c r="BF720">
        <f>IFERROR(INDEX(PP_Grid[#Data],$DD720,56),0)</f>
        <v/>
      </c>
      <c r="BG720">
        <f>IFERROR(INDEX(PP_Grid[#Data],$DD720,57),0)</f>
        <v/>
      </c>
      <c r="BH720">
        <f>IFERROR(INDEX(PP_Grid[#Data],$DD720,58),0)</f>
        <v/>
      </c>
      <c r="BI720">
        <f>IFERROR(INDEX(PP_Grid[#Data],$DD720,59),0)</f>
        <v/>
      </c>
      <c r="BJ720">
        <f>IFERROR(INDEX(PP_Grid[#Data],$DD720,60),0)</f>
        <v/>
      </c>
      <c r="BK720">
        <f>IFERROR(INDEX(PP_Grid[#Data],$DD720,61),0)</f>
        <v/>
      </c>
      <c r="BL720">
        <f>IFERROR(INDEX(PP_Grid[#Data],$DD720,62),0)</f>
        <v/>
      </c>
      <c r="BM720">
        <f>IFERROR(INDEX(PP_Grid[#Data],$DD720,63),0)</f>
        <v/>
      </c>
      <c r="BN720">
        <f>IFERROR(INDEX(PP_Grid[#Data],$DD720,64),0)</f>
        <v/>
      </c>
      <c r="BO720">
        <f>IFERROR(INDEX(PP_Grid[#Data],$DD720,65),0)</f>
        <v/>
      </c>
      <c r="BP720">
        <f>IFERROR(INDEX(PP_Grid[#Data],$DD720,66),0)</f>
        <v/>
      </c>
      <c r="BQ720">
        <f>IFERROR(INDEX(PP_Grid[#Data],$DD720,67),0)</f>
        <v/>
      </c>
      <c r="BR720">
        <f>IFERROR(INDEX(PP_Grid[#Data],$DD720,68),0)</f>
        <v/>
      </c>
      <c r="BS720">
        <f>IFERROR(INDEX(PP_Grid[#Data],$DD720,69),0)</f>
        <v/>
      </c>
      <c r="BT720">
        <f>IFERROR(INDEX(PP_Grid[#Data],$DD720,70),0)</f>
        <v/>
      </c>
      <c r="BU720">
        <f>IFERROR(INDEX(PP_Grid[#Data],$DD720,71),0)</f>
        <v/>
      </c>
      <c r="BV720">
        <f>IFERROR(INDEX(PP_Grid[#Data],$DD720,72),0)</f>
        <v/>
      </c>
      <c r="BW720">
        <f>IFERROR(INDEX(PP_Grid[#Data],$DD720,73),0)</f>
        <v/>
      </c>
      <c r="BX720">
        <f>IFERROR(INDEX(PP_Grid[#Data],$DD720,74),0)</f>
        <v/>
      </c>
      <c r="BY720">
        <f>IFERROR(INDEX(PP_Grid[#Data],$DD720,75),0)</f>
        <v/>
      </c>
      <c r="BZ720">
        <f>IFERROR(INDEX(PP_Grid[#Data],$DD720,76),0)</f>
        <v/>
      </c>
      <c r="CA720">
        <f>IFERROR(INDEX(PP_Grid[#Data],$DD720,77),0)</f>
        <v/>
      </c>
      <c r="CB720">
        <f>IFERROR(INDEX(PP_Grid[#Data],$DD720,78),0)</f>
        <v/>
      </c>
      <c r="CC720">
        <f>IFERROR(INDEX(PP_Grid[#Data],$DD720,79),0)</f>
        <v/>
      </c>
      <c r="CD720">
        <f>IFERROR(INDEX(PP_Grid[#Data],$DD720,80),0)</f>
        <v/>
      </c>
      <c r="CE720">
        <f>IFERROR(INDEX(PP_Grid[#Data],$DD720,81),0)</f>
        <v/>
      </c>
      <c r="CF720">
        <f>IFERROR(INDEX(PP_Grid[#Data],$DD720,82),0)</f>
        <v/>
      </c>
      <c r="CG720">
        <f>IFERROR(INDEX(PP_Grid[#Data],$DD720,83),0)</f>
        <v/>
      </c>
      <c r="CH720">
        <f>IFERROR(INDEX(PP_Grid[#Data],$DD720,84),0)</f>
        <v/>
      </c>
      <c r="CI720">
        <f>IFERROR(INDEX(PP_Grid[#Data],$DD720,85),0)</f>
        <v/>
      </c>
      <c r="CJ720">
        <f>IFERROR(INDEX(PP_Grid[#Data],$DD720,86),0)</f>
        <v/>
      </c>
      <c r="CK720">
        <f>IFERROR(INDEX(PP_Grid[#Data],$DD720,87),0)</f>
        <v/>
      </c>
      <c r="CL720">
        <f>IFERROR(INDEX(PP_Grid[#Data],$DD720,88),0)</f>
        <v/>
      </c>
      <c r="CM720">
        <f>IFERROR(INDEX(PP_Grid[#Data],$DD720,89),0)</f>
        <v/>
      </c>
      <c r="CN720">
        <f>IFERROR(INDEX(PP_Grid[#Data],$DD720,90),0)</f>
        <v/>
      </c>
      <c r="CO720">
        <f>IFERROR(INDEX(PP_Grid[#Data],$DD720,91),0)</f>
        <v/>
      </c>
      <c r="CP720">
        <f>IFERROR(INDEX(PP_Grid[#Data],$DD720,92),0)</f>
        <v/>
      </c>
      <c r="CQ720">
        <f>IFERROR(INDEX(PP_Grid[#Data],$DD720,93),0)</f>
        <v/>
      </c>
      <c r="CR720">
        <f>IFERROR(INDEX(PP_Grid[#Data],$DD720,94),0)</f>
        <v/>
      </c>
      <c r="CS720">
        <f>IFERROR(INDEX(PP_Grid[#Data],$DD720,95),0)</f>
        <v/>
      </c>
      <c r="CT720">
        <f>IFERROR(INDEX(PP_Grid[#Data],$DD720,96),0)</f>
        <v/>
      </c>
      <c r="CU720">
        <f>IFERROR(INDEX(PP_Grid[#Data],$DD720,97),0)</f>
        <v/>
      </c>
      <c r="CV720">
        <f>IFERROR(INDEX(PP_Grid[#Data],$DD720,98),0)</f>
        <v/>
      </c>
      <c r="CW720">
        <f>IFERROR(INDEX(PP_Grid[#Data],$DD720,99),0)</f>
        <v/>
      </c>
      <c r="CX720">
        <f>IFERROR(INDEX(PP_Grid[#Data],$DD720,100),0)</f>
        <v/>
      </c>
      <c r="CY720">
        <f>IFERROR(INDEX(PP_Grid[#Data],$DD720,101),0)</f>
        <v/>
      </c>
      <c r="CZ720">
        <f>IFERROR(INDEX(PP_Grid[#Data],$DD720,102),0)</f>
        <v/>
      </c>
      <c r="DA720">
        <f>IFERROR(INDEX(PP_Grid[#Data],$DD720,103),0)</f>
        <v/>
      </c>
      <c r="DB720">
        <f>IFERROR(INDEX(PP_Grid[#Data],$DD720,104),0)</f>
        <v/>
      </c>
      <c r="DC720">
        <f>IFERROR(INDEX(PP_Grid[#Data],$DD720,105),0)</f>
        <v/>
      </c>
      <c r="DD720" s="12">
        <f>IFERROR(MATCH($B720,PP_Grid[Intermediate],0),99999)</f>
        <v/>
      </c>
    </row>
    <row r="721">
      <c r="B721" t="inlineStr">
        <is>
          <t>使用量(kg)</t>
        </is>
      </c>
      <c r="C721">
        <f>SUMIFS(M_BOM[RM_Qty_Per_Batch],M_BOM[Intermediate],$B720,M_BOM[Part Name],$A641)</f>
        <v/>
      </c>
      <c r="D721">
        <f>$C721*D720</f>
        <v/>
      </c>
      <c r="E721">
        <f>$C721*E720</f>
        <v/>
      </c>
      <c r="F721">
        <f>$C721*F720</f>
        <v/>
      </c>
      <c r="G721">
        <f>$C721*G720</f>
        <v/>
      </c>
      <c r="H721">
        <f>$C721*H720</f>
        <v/>
      </c>
      <c r="I721">
        <f>$C721*I720</f>
        <v/>
      </c>
      <c r="J721">
        <f>$C721*J720</f>
        <v/>
      </c>
      <c r="K721">
        <f>$C721*K720</f>
        <v/>
      </c>
      <c r="L721">
        <f>$C721*L720</f>
        <v/>
      </c>
      <c r="M721">
        <f>$C721*M720</f>
        <v/>
      </c>
      <c r="N721">
        <f>$C721*N720</f>
        <v/>
      </c>
      <c r="O721">
        <f>$C721*O720</f>
        <v/>
      </c>
      <c r="P721">
        <f>$C721*P720</f>
        <v/>
      </c>
      <c r="Q721">
        <f>$C721*Q720</f>
        <v/>
      </c>
      <c r="R721">
        <f>$C721*R720</f>
        <v/>
      </c>
      <c r="S721">
        <f>$C721*S720</f>
        <v/>
      </c>
      <c r="T721">
        <f>$C721*T720</f>
        <v/>
      </c>
      <c r="U721">
        <f>$C721*U720</f>
        <v/>
      </c>
      <c r="V721">
        <f>$C721*V720</f>
        <v/>
      </c>
      <c r="W721">
        <f>$C721*W720</f>
        <v/>
      </c>
      <c r="X721">
        <f>$C721*X720</f>
        <v/>
      </c>
      <c r="Y721">
        <f>$C721*Y720</f>
        <v/>
      </c>
      <c r="Z721">
        <f>$C721*Z720</f>
        <v/>
      </c>
      <c r="AA721">
        <f>$C721*AA720</f>
        <v/>
      </c>
      <c r="AB721">
        <f>$C721*AB720</f>
        <v/>
      </c>
      <c r="AC721">
        <f>$C721*AC720</f>
        <v/>
      </c>
      <c r="AD721">
        <f>$C721*AD720</f>
        <v/>
      </c>
      <c r="AE721">
        <f>$C721*AE720</f>
        <v/>
      </c>
      <c r="AF721">
        <f>$C721*AF720</f>
        <v/>
      </c>
      <c r="AG721">
        <f>$C721*AG720</f>
        <v/>
      </c>
      <c r="AH721">
        <f>$C721*AH720</f>
        <v/>
      </c>
      <c r="AI721">
        <f>$C721*AI720</f>
        <v/>
      </c>
      <c r="AJ721">
        <f>$C721*AJ720</f>
        <v/>
      </c>
      <c r="AK721">
        <f>$C721*AK720</f>
        <v/>
      </c>
      <c r="AL721">
        <f>$C721*AL720</f>
        <v/>
      </c>
      <c r="AM721">
        <f>$C721*AM720</f>
        <v/>
      </c>
      <c r="AN721">
        <f>$C721*AN720</f>
        <v/>
      </c>
      <c r="AO721">
        <f>$C721*AO720</f>
        <v/>
      </c>
      <c r="AP721">
        <f>$C721*AP720</f>
        <v/>
      </c>
      <c r="AQ721">
        <f>$C721*AQ720</f>
        <v/>
      </c>
      <c r="AR721">
        <f>$C721*AR720</f>
        <v/>
      </c>
      <c r="AS721">
        <f>$C721*AS720</f>
        <v/>
      </c>
      <c r="AT721">
        <f>$C721*AT720</f>
        <v/>
      </c>
      <c r="AU721">
        <f>$C721*AU720</f>
        <v/>
      </c>
      <c r="AV721">
        <f>$C721*AV720</f>
        <v/>
      </c>
      <c r="AW721">
        <f>$C721*AW720</f>
        <v/>
      </c>
      <c r="AX721">
        <f>$C721*AX720</f>
        <v/>
      </c>
      <c r="AY721">
        <f>$C721*AY720</f>
        <v/>
      </c>
      <c r="AZ721">
        <f>$C721*AZ720</f>
        <v/>
      </c>
      <c r="BA721">
        <f>$C721*BA720</f>
        <v/>
      </c>
      <c r="BB721">
        <f>$C721*BB720</f>
        <v/>
      </c>
      <c r="BC721">
        <f>$C721*BC720</f>
        <v/>
      </c>
      <c r="BD721">
        <f>$C721*BD720</f>
        <v/>
      </c>
      <c r="BE721">
        <f>$C721*BE720</f>
        <v/>
      </c>
      <c r="BF721">
        <f>$C721*BF720</f>
        <v/>
      </c>
      <c r="BG721">
        <f>$C721*BG720</f>
        <v/>
      </c>
      <c r="BH721">
        <f>$C721*BH720</f>
        <v/>
      </c>
      <c r="BI721">
        <f>$C721*BI720</f>
        <v/>
      </c>
      <c r="BJ721">
        <f>$C721*BJ720</f>
        <v/>
      </c>
      <c r="BK721">
        <f>$C721*BK720</f>
        <v/>
      </c>
      <c r="BL721">
        <f>$C721*BL720</f>
        <v/>
      </c>
      <c r="BM721">
        <f>$C721*BM720</f>
        <v/>
      </c>
      <c r="BN721">
        <f>$C721*BN720</f>
        <v/>
      </c>
      <c r="BO721">
        <f>$C721*BO720</f>
        <v/>
      </c>
      <c r="BP721">
        <f>$C721*BP720</f>
        <v/>
      </c>
      <c r="BQ721">
        <f>$C721*BQ720</f>
        <v/>
      </c>
      <c r="BR721">
        <f>$C721*BR720</f>
        <v/>
      </c>
      <c r="BS721">
        <f>$C721*BS720</f>
        <v/>
      </c>
      <c r="BT721">
        <f>$C721*BT720</f>
        <v/>
      </c>
      <c r="BU721">
        <f>$C721*BU720</f>
        <v/>
      </c>
      <c r="BV721">
        <f>$C721*BV720</f>
        <v/>
      </c>
      <c r="BW721">
        <f>$C721*BW720</f>
        <v/>
      </c>
      <c r="BX721">
        <f>$C721*BX720</f>
        <v/>
      </c>
      <c r="BY721">
        <f>$C721*BY720</f>
        <v/>
      </c>
      <c r="BZ721">
        <f>$C721*BZ720</f>
        <v/>
      </c>
      <c r="CA721">
        <f>$C721*CA720</f>
        <v/>
      </c>
      <c r="CB721">
        <f>$C721*CB720</f>
        <v/>
      </c>
      <c r="CC721">
        <f>$C721*CC720</f>
        <v/>
      </c>
      <c r="CD721">
        <f>$C721*CD720</f>
        <v/>
      </c>
      <c r="CE721">
        <f>$C721*CE720</f>
        <v/>
      </c>
      <c r="CF721">
        <f>$C721*CF720</f>
        <v/>
      </c>
      <c r="CG721">
        <f>$C721*CG720</f>
        <v/>
      </c>
      <c r="CH721">
        <f>$C721*CH720</f>
        <v/>
      </c>
      <c r="CI721">
        <f>$C721*CI720</f>
        <v/>
      </c>
      <c r="CJ721">
        <f>$C721*CJ720</f>
        <v/>
      </c>
      <c r="CK721">
        <f>$C721*CK720</f>
        <v/>
      </c>
      <c r="CL721">
        <f>$C721*CL720</f>
        <v/>
      </c>
      <c r="CM721">
        <f>$C721*CM720</f>
        <v/>
      </c>
      <c r="CN721">
        <f>$C721*CN720</f>
        <v/>
      </c>
      <c r="CO721">
        <f>$C721*CO720</f>
        <v/>
      </c>
      <c r="CP721">
        <f>$C721*CP720</f>
        <v/>
      </c>
      <c r="CQ721">
        <f>$C721*CQ720</f>
        <v/>
      </c>
      <c r="CR721">
        <f>$C721*CR720</f>
        <v/>
      </c>
      <c r="CS721">
        <f>$C721*CS720</f>
        <v/>
      </c>
      <c r="CT721">
        <f>$C721*CT720</f>
        <v/>
      </c>
      <c r="CU721">
        <f>$C721*CU720</f>
        <v/>
      </c>
      <c r="CV721">
        <f>$C721*CV720</f>
        <v/>
      </c>
      <c r="CW721">
        <f>$C721*CW720</f>
        <v/>
      </c>
      <c r="CX721">
        <f>$C721*CX720</f>
        <v/>
      </c>
      <c r="CY721">
        <f>$C721*CY720</f>
        <v/>
      </c>
      <c r="CZ721">
        <f>$C721*CZ720</f>
        <v/>
      </c>
      <c r="DA721">
        <f>$C721*DA720</f>
        <v/>
      </c>
      <c r="DB721">
        <f>$C721*DB720</f>
        <v/>
      </c>
      <c r="DC721">
        <f>$C721*DC720</f>
        <v/>
      </c>
    </row>
    <row r="722">
      <c r="B722" t="inlineStr">
        <is>
          <t>TSP-710</t>
        </is>
      </c>
      <c r="C722" t="inlineStr">
        <is>
          <t>No. of batches</t>
        </is>
      </c>
      <c r="D722">
        <f>IFERROR(INDEX(PP_Grid[#Data],$DD722,2),0)</f>
        <v/>
      </c>
      <c r="E722">
        <f>IFERROR(INDEX(PP_Grid[#Data],$DD722,3),0)</f>
        <v/>
      </c>
      <c r="F722">
        <f>IFERROR(INDEX(PP_Grid[#Data],$DD722,4),0)</f>
        <v/>
      </c>
      <c r="G722">
        <f>IFERROR(INDEX(PP_Grid[#Data],$DD722,5),0)</f>
        <v/>
      </c>
      <c r="H722">
        <f>IFERROR(INDEX(PP_Grid[#Data],$DD722,6),0)</f>
        <v/>
      </c>
      <c r="I722">
        <f>IFERROR(INDEX(PP_Grid[#Data],$DD722,7),0)</f>
        <v/>
      </c>
      <c r="J722">
        <f>IFERROR(INDEX(PP_Grid[#Data],$DD722,8),0)</f>
        <v/>
      </c>
      <c r="K722">
        <f>IFERROR(INDEX(PP_Grid[#Data],$DD722,9),0)</f>
        <v/>
      </c>
      <c r="L722">
        <f>IFERROR(INDEX(PP_Grid[#Data],$DD722,10),0)</f>
        <v/>
      </c>
      <c r="M722">
        <f>IFERROR(INDEX(PP_Grid[#Data],$DD722,11),0)</f>
        <v/>
      </c>
      <c r="N722">
        <f>IFERROR(INDEX(PP_Grid[#Data],$DD722,12),0)</f>
        <v/>
      </c>
      <c r="O722">
        <f>IFERROR(INDEX(PP_Grid[#Data],$DD722,13),0)</f>
        <v/>
      </c>
      <c r="P722">
        <f>IFERROR(INDEX(PP_Grid[#Data],$DD722,14),0)</f>
        <v/>
      </c>
      <c r="Q722">
        <f>IFERROR(INDEX(PP_Grid[#Data],$DD722,15),0)</f>
        <v/>
      </c>
      <c r="R722">
        <f>IFERROR(INDEX(PP_Grid[#Data],$DD722,16),0)</f>
        <v/>
      </c>
      <c r="S722">
        <f>IFERROR(INDEX(PP_Grid[#Data],$DD722,17),0)</f>
        <v/>
      </c>
      <c r="T722">
        <f>IFERROR(INDEX(PP_Grid[#Data],$DD722,18),0)</f>
        <v/>
      </c>
      <c r="U722">
        <f>IFERROR(INDEX(PP_Grid[#Data],$DD722,19),0)</f>
        <v/>
      </c>
      <c r="V722">
        <f>IFERROR(INDEX(PP_Grid[#Data],$DD722,20),0)</f>
        <v/>
      </c>
      <c r="W722">
        <f>IFERROR(INDEX(PP_Grid[#Data],$DD722,21),0)</f>
        <v/>
      </c>
      <c r="X722">
        <f>IFERROR(INDEX(PP_Grid[#Data],$DD722,22),0)</f>
        <v/>
      </c>
      <c r="Y722">
        <f>IFERROR(INDEX(PP_Grid[#Data],$DD722,23),0)</f>
        <v/>
      </c>
      <c r="Z722">
        <f>IFERROR(INDEX(PP_Grid[#Data],$DD722,24),0)</f>
        <v/>
      </c>
      <c r="AA722">
        <f>IFERROR(INDEX(PP_Grid[#Data],$DD722,25),0)</f>
        <v/>
      </c>
      <c r="AB722">
        <f>IFERROR(INDEX(PP_Grid[#Data],$DD722,26),0)</f>
        <v/>
      </c>
      <c r="AC722">
        <f>IFERROR(INDEX(PP_Grid[#Data],$DD722,27),0)</f>
        <v/>
      </c>
      <c r="AD722">
        <f>IFERROR(INDEX(PP_Grid[#Data],$DD722,28),0)</f>
        <v/>
      </c>
      <c r="AE722">
        <f>IFERROR(INDEX(PP_Grid[#Data],$DD722,29),0)</f>
        <v/>
      </c>
      <c r="AF722">
        <f>IFERROR(INDEX(PP_Grid[#Data],$DD722,30),0)</f>
        <v/>
      </c>
      <c r="AG722">
        <f>IFERROR(INDEX(PP_Grid[#Data],$DD722,31),0)</f>
        <v/>
      </c>
      <c r="AH722">
        <f>IFERROR(INDEX(PP_Grid[#Data],$DD722,32),0)</f>
        <v/>
      </c>
      <c r="AI722">
        <f>IFERROR(INDEX(PP_Grid[#Data],$DD722,33),0)</f>
        <v/>
      </c>
      <c r="AJ722">
        <f>IFERROR(INDEX(PP_Grid[#Data],$DD722,34),0)</f>
        <v/>
      </c>
      <c r="AK722">
        <f>IFERROR(INDEX(PP_Grid[#Data],$DD722,35),0)</f>
        <v/>
      </c>
      <c r="AL722">
        <f>IFERROR(INDEX(PP_Grid[#Data],$DD722,36),0)</f>
        <v/>
      </c>
      <c r="AM722">
        <f>IFERROR(INDEX(PP_Grid[#Data],$DD722,37),0)</f>
        <v/>
      </c>
      <c r="AN722">
        <f>IFERROR(INDEX(PP_Grid[#Data],$DD722,38),0)</f>
        <v/>
      </c>
      <c r="AO722">
        <f>IFERROR(INDEX(PP_Grid[#Data],$DD722,39),0)</f>
        <v/>
      </c>
      <c r="AP722">
        <f>IFERROR(INDEX(PP_Grid[#Data],$DD722,40),0)</f>
        <v/>
      </c>
      <c r="AQ722">
        <f>IFERROR(INDEX(PP_Grid[#Data],$DD722,41),0)</f>
        <v/>
      </c>
      <c r="AR722">
        <f>IFERROR(INDEX(PP_Grid[#Data],$DD722,42),0)</f>
        <v/>
      </c>
      <c r="AS722">
        <f>IFERROR(INDEX(PP_Grid[#Data],$DD722,43),0)</f>
        <v/>
      </c>
      <c r="AT722">
        <f>IFERROR(INDEX(PP_Grid[#Data],$DD722,44),0)</f>
        <v/>
      </c>
      <c r="AU722">
        <f>IFERROR(INDEX(PP_Grid[#Data],$DD722,45),0)</f>
        <v/>
      </c>
      <c r="AV722">
        <f>IFERROR(INDEX(PP_Grid[#Data],$DD722,46),0)</f>
        <v/>
      </c>
      <c r="AW722">
        <f>IFERROR(INDEX(PP_Grid[#Data],$DD722,47),0)</f>
        <v/>
      </c>
      <c r="AX722">
        <f>IFERROR(INDEX(PP_Grid[#Data],$DD722,48),0)</f>
        <v/>
      </c>
      <c r="AY722">
        <f>IFERROR(INDEX(PP_Grid[#Data],$DD722,49),0)</f>
        <v/>
      </c>
      <c r="AZ722">
        <f>IFERROR(INDEX(PP_Grid[#Data],$DD722,50),0)</f>
        <v/>
      </c>
      <c r="BA722">
        <f>IFERROR(INDEX(PP_Grid[#Data],$DD722,51),0)</f>
        <v/>
      </c>
      <c r="BB722">
        <f>IFERROR(INDEX(PP_Grid[#Data],$DD722,52),0)</f>
        <v/>
      </c>
      <c r="BC722">
        <f>IFERROR(INDEX(PP_Grid[#Data],$DD722,53),0)</f>
        <v/>
      </c>
      <c r="BD722">
        <f>IFERROR(INDEX(PP_Grid[#Data],$DD722,54),0)</f>
        <v/>
      </c>
      <c r="BE722">
        <f>IFERROR(INDEX(PP_Grid[#Data],$DD722,55),0)</f>
        <v/>
      </c>
      <c r="BF722">
        <f>IFERROR(INDEX(PP_Grid[#Data],$DD722,56),0)</f>
        <v/>
      </c>
      <c r="BG722">
        <f>IFERROR(INDEX(PP_Grid[#Data],$DD722,57),0)</f>
        <v/>
      </c>
      <c r="BH722">
        <f>IFERROR(INDEX(PP_Grid[#Data],$DD722,58),0)</f>
        <v/>
      </c>
      <c r="BI722">
        <f>IFERROR(INDEX(PP_Grid[#Data],$DD722,59),0)</f>
        <v/>
      </c>
      <c r="BJ722">
        <f>IFERROR(INDEX(PP_Grid[#Data],$DD722,60),0)</f>
        <v/>
      </c>
      <c r="BK722">
        <f>IFERROR(INDEX(PP_Grid[#Data],$DD722,61),0)</f>
        <v/>
      </c>
      <c r="BL722">
        <f>IFERROR(INDEX(PP_Grid[#Data],$DD722,62),0)</f>
        <v/>
      </c>
      <c r="BM722">
        <f>IFERROR(INDEX(PP_Grid[#Data],$DD722,63),0)</f>
        <v/>
      </c>
      <c r="BN722">
        <f>IFERROR(INDEX(PP_Grid[#Data],$DD722,64),0)</f>
        <v/>
      </c>
      <c r="BO722">
        <f>IFERROR(INDEX(PP_Grid[#Data],$DD722,65),0)</f>
        <v/>
      </c>
      <c r="BP722">
        <f>IFERROR(INDEX(PP_Grid[#Data],$DD722,66),0)</f>
        <v/>
      </c>
      <c r="BQ722">
        <f>IFERROR(INDEX(PP_Grid[#Data],$DD722,67),0)</f>
        <v/>
      </c>
      <c r="BR722">
        <f>IFERROR(INDEX(PP_Grid[#Data],$DD722,68),0)</f>
        <v/>
      </c>
      <c r="BS722">
        <f>IFERROR(INDEX(PP_Grid[#Data],$DD722,69),0)</f>
        <v/>
      </c>
      <c r="BT722">
        <f>IFERROR(INDEX(PP_Grid[#Data],$DD722,70),0)</f>
        <v/>
      </c>
      <c r="BU722">
        <f>IFERROR(INDEX(PP_Grid[#Data],$DD722,71),0)</f>
        <v/>
      </c>
      <c r="BV722">
        <f>IFERROR(INDEX(PP_Grid[#Data],$DD722,72),0)</f>
        <v/>
      </c>
      <c r="BW722">
        <f>IFERROR(INDEX(PP_Grid[#Data],$DD722,73),0)</f>
        <v/>
      </c>
      <c r="BX722">
        <f>IFERROR(INDEX(PP_Grid[#Data],$DD722,74),0)</f>
        <v/>
      </c>
      <c r="BY722">
        <f>IFERROR(INDEX(PP_Grid[#Data],$DD722,75),0)</f>
        <v/>
      </c>
      <c r="BZ722">
        <f>IFERROR(INDEX(PP_Grid[#Data],$DD722,76),0)</f>
        <v/>
      </c>
      <c r="CA722">
        <f>IFERROR(INDEX(PP_Grid[#Data],$DD722,77),0)</f>
        <v/>
      </c>
      <c r="CB722">
        <f>IFERROR(INDEX(PP_Grid[#Data],$DD722,78),0)</f>
        <v/>
      </c>
      <c r="CC722">
        <f>IFERROR(INDEX(PP_Grid[#Data],$DD722,79),0)</f>
        <v/>
      </c>
      <c r="CD722">
        <f>IFERROR(INDEX(PP_Grid[#Data],$DD722,80),0)</f>
        <v/>
      </c>
      <c r="CE722">
        <f>IFERROR(INDEX(PP_Grid[#Data],$DD722,81),0)</f>
        <v/>
      </c>
      <c r="CF722">
        <f>IFERROR(INDEX(PP_Grid[#Data],$DD722,82),0)</f>
        <v/>
      </c>
      <c r="CG722">
        <f>IFERROR(INDEX(PP_Grid[#Data],$DD722,83),0)</f>
        <v/>
      </c>
      <c r="CH722">
        <f>IFERROR(INDEX(PP_Grid[#Data],$DD722,84),0)</f>
        <v/>
      </c>
      <c r="CI722">
        <f>IFERROR(INDEX(PP_Grid[#Data],$DD722,85),0)</f>
        <v/>
      </c>
      <c r="CJ722">
        <f>IFERROR(INDEX(PP_Grid[#Data],$DD722,86),0)</f>
        <v/>
      </c>
      <c r="CK722">
        <f>IFERROR(INDEX(PP_Grid[#Data],$DD722,87),0)</f>
        <v/>
      </c>
      <c r="CL722">
        <f>IFERROR(INDEX(PP_Grid[#Data],$DD722,88),0)</f>
        <v/>
      </c>
      <c r="CM722">
        <f>IFERROR(INDEX(PP_Grid[#Data],$DD722,89),0)</f>
        <v/>
      </c>
      <c r="CN722">
        <f>IFERROR(INDEX(PP_Grid[#Data],$DD722,90),0)</f>
        <v/>
      </c>
      <c r="CO722">
        <f>IFERROR(INDEX(PP_Grid[#Data],$DD722,91),0)</f>
        <v/>
      </c>
      <c r="CP722">
        <f>IFERROR(INDEX(PP_Grid[#Data],$DD722,92),0)</f>
        <v/>
      </c>
      <c r="CQ722">
        <f>IFERROR(INDEX(PP_Grid[#Data],$DD722,93),0)</f>
        <v/>
      </c>
      <c r="CR722">
        <f>IFERROR(INDEX(PP_Grid[#Data],$DD722,94),0)</f>
        <v/>
      </c>
      <c r="CS722">
        <f>IFERROR(INDEX(PP_Grid[#Data],$DD722,95),0)</f>
        <v/>
      </c>
      <c r="CT722">
        <f>IFERROR(INDEX(PP_Grid[#Data],$DD722,96),0)</f>
        <v/>
      </c>
      <c r="CU722">
        <f>IFERROR(INDEX(PP_Grid[#Data],$DD722,97),0)</f>
        <v/>
      </c>
      <c r="CV722">
        <f>IFERROR(INDEX(PP_Grid[#Data],$DD722,98),0)</f>
        <v/>
      </c>
      <c r="CW722">
        <f>IFERROR(INDEX(PP_Grid[#Data],$DD722,99),0)</f>
        <v/>
      </c>
      <c r="CX722">
        <f>IFERROR(INDEX(PP_Grid[#Data],$DD722,100),0)</f>
        <v/>
      </c>
      <c r="CY722">
        <f>IFERROR(INDEX(PP_Grid[#Data],$DD722,101),0)</f>
        <v/>
      </c>
      <c r="CZ722">
        <f>IFERROR(INDEX(PP_Grid[#Data],$DD722,102),0)</f>
        <v/>
      </c>
      <c r="DA722">
        <f>IFERROR(INDEX(PP_Grid[#Data],$DD722,103),0)</f>
        <v/>
      </c>
      <c r="DB722">
        <f>IFERROR(INDEX(PP_Grid[#Data],$DD722,104),0)</f>
        <v/>
      </c>
      <c r="DC722">
        <f>IFERROR(INDEX(PP_Grid[#Data],$DD722,105),0)</f>
        <v/>
      </c>
      <c r="DD722" s="12">
        <f>IFERROR(MATCH($B722,PP_Grid[Intermediate],0),99999)</f>
        <v/>
      </c>
    </row>
    <row r="723">
      <c r="B723" t="inlineStr">
        <is>
          <t>使用量(kg)</t>
        </is>
      </c>
      <c r="C723">
        <f>SUMIFS(M_BOM[RM_Qty_Per_Batch],M_BOM[Intermediate],$B722,M_BOM[Part Name],$A641)</f>
        <v/>
      </c>
      <c r="D723">
        <f>$C723*D722</f>
        <v/>
      </c>
      <c r="E723">
        <f>$C723*E722</f>
        <v/>
      </c>
      <c r="F723">
        <f>$C723*F722</f>
        <v/>
      </c>
      <c r="G723">
        <f>$C723*G722</f>
        <v/>
      </c>
      <c r="H723">
        <f>$C723*H722</f>
        <v/>
      </c>
      <c r="I723">
        <f>$C723*I722</f>
        <v/>
      </c>
      <c r="J723">
        <f>$C723*J722</f>
        <v/>
      </c>
      <c r="K723">
        <f>$C723*K722</f>
        <v/>
      </c>
      <c r="L723">
        <f>$C723*L722</f>
        <v/>
      </c>
      <c r="M723">
        <f>$C723*M722</f>
        <v/>
      </c>
      <c r="N723">
        <f>$C723*N722</f>
        <v/>
      </c>
      <c r="O723">
        <f>$C723*O722</f>
        <v/>
      </c>
      <c r="P723">
        <f>$C723*P722</f>
        <v/>
      </c>
      <c r="Q723">
        <f>$C723*Q722</f>
        <v/>
      </c>
      <c r="R723">
        <f>$C723*R722</f>
        <v/>
      </c>
      <c r="S723">
        <f>$C723*S722</f>
        <v/>
      </c>
      <c r="T723">
        <f>$C723*T722</f>
        <v/>
      </c>
      <c r="U723">
        <f>$C723*U722</f>
        <v/>
      </c>
      <c r="V723">
        <f>$C723*V722</f>
        <v/>
      </c>
      <c r="W723">
        <f>$C723*W722</f>
        <v/>
      </c>
      <c r="X723">
        <f>$C723*X722</f>
        <v/>
      </c>
      <c r="Y723">
        <f>$C723*Y722</f>
        <v/>
      </c>
      <c r="Z723">
        <f>$C723*Z722</f>
        <v/>
      </c>
      <c r="AA723">
        <f>$C723*AA722</f>
        <v/>
      </c>
      <c r="AB723">
        <f>$C723*AB722</f>
        <v/>
      </c>
      <c r="AC723">
        <f>$C723*AC722</f>
        <v/>
      </c>
      <c r="AD723">
        <f>$C723*AD722</f>
        <v/>
      </c>
      <c r="AE723">
        <f>$C723*AE722</f>
        <v/>
      </c>
      <c r="AF723">
        <f>$C723*AF722</f>
        <v/>
      </c>
      <c r="AG723">
        <f>$C723*AG722</f>
        <v/>
      </c>
      <c r="AH723">
        <f>$C723*AH722</f>
        <v/>
      </c>
      <c r="AI723">
        <f>$C723*AI722</f>
        <v/>
      </c>
      <c r="AJ723">
        <f>$C723*AJ722</f>
        <v/>
      </c>
      <c r="AK723">
        <f>$C723*AK722</f>
        <v/>
      </c>
      <c r="AL723">
        <f>$C723*AL722</f>
        <v/>
      </c>
      <c r="AM723">
        <f>$C723*AM722</f>
        <v/>
      </c>
      <c r="AN723">
        <f>$C723*AN722</f>
        <v/>
      </c>
      <c r="AO723">
        <f>$C723*AO722</f>
        <v/>
      </c>
      <c r="AP723">
        <f>$C723*AP722</f>
        <v/>
      </c>
      <c r="AQ723">
        <f>$C723*AQ722</f>
        <v/>
      </c>
      <c r="AR723">
        <f>$C723*AR722</f>
        <v/>
      </c>
      <c r="AS723">
        <f>$C723*AS722</f>
        <v/>
      </c>
      <c r="AT723">
        <f>$C723*AT722</f>
        <v/>
      </c>
      <c r="AU723">
        <f>$C723*AU722</f>
        <v/>
      </c>
      <c r="AV723">
        <f>$C723*AV722</f>
        <v/>
      </c>
      <c r="AW723">
        <f>$C723*AW722</f>
        <v/>
      </c>
      <c r="AX723">
        <f>$C723*AX722</f>
        <v/>
      </c>
      <c r="AY723">
        <f>$C723*AY722</f>
        <v/>
      </c>
      <c r="AZ723">
        <f>$C723*AZ722</f>
        <v/>
      </c>
      <c r="BA723">
        <f>$C723*BA722</f>
        <v/>
      </c>
      <c r="BB723">
        <f>$C723*BB722</f>
        <v/>
      </c>
      <c r="BC723">
        <f>$C723*BC722</f>
        <v/>
      </c>
      <c r="BD723">
        <f>$C723*BD722</f>
        <v/>
      </c>
      <c r="BE723">
        <f>$C723*BE722</f>
        <v/>
      </c>
      <c r="BF723">
        <f>$C723*BF722</f>
        <v/>
      </c>
      <c r="BG723">
        <f>$C723*BG722</f>
        <v/>
      </c>
      <c r="BH723">
        <f>$C723*BH722</f>
        <v/>
      </c>
      <c r="BI723">
        <f>$C723*BI722</f>
        <v/>
      </c>
      <c r="BJ723">
        <f>$C723*BJ722</f>
        <v/>
      </c>
      <c r="BK723">
        <f>$C723*BK722</f>
        <v/>
      </c>
      <c r="BL723">
        <f>$C723*BL722</f>
        <v/>
      </c>
      <c r="BM723">
        <f>$C723*BM722</f>
        <v/>
      </c>
      <c r="BN723">
        <f>$C723*BN722</f>
        <v/>
      </c>
      <c r="BO723">
        <f>$C723*BO722</f>
        <v/>
      </c>
      <c r="BP723">
        <f>$C723*BP722</f>
        <v/>
      </c>
      <c r="BQ723">
        <f>$C723*BQ722</f>
        <v/>
      </c>
      <c r="BR723">
        <f>$C723*BR722</f>
        <v/>
      </c>
      <c r="BS723">
        <f>$C723*BS722</f>
        <v/>
      </c>
      <c r="BT723">
        <f>$C723*BT722</f>
        <v/>
      </c>
      <c r="BU723">
        <f>$C723*BU722</f>
        <v/>
      </c>
      <c r="BV723">
        <f>$C723*BV722</f>
        <v/>
      </c>
      <c r="BW723">
        <f>$C723*BW722</f>
        <v/>
      </c>
      <c r="BX723">
        <f>$C723*BX722</f>
        <v/>
      </c>
      <c r="BY723">
        <f>$C723*BY722</f>
        <v/>
      </c>
      <c r="BZ723">
        <f>$C723*BZ722</f>
        <v/>
      </c>
      <c r="CA723">
        <f>$C723*CA722</f>
        <v/>
      </c>
      <c r="CB723">
        <f>$C723*CB722</f>
        <v/>
      </c>
      <c r="CC723">
        <f>$C723*CC722</f>
        <v/>
      </c>
      <c r="CD723">
        <f>$C723*CD722</f>
        <v/>
      </c>
      <c r="CE723">
        <f>$C723*CE722</f>
        <v/>
      </c>
      <c r="CF723">
        <f>$C723*CF722</f>
        <v/>
      </c>
      <c r="CG723">
        <f>$C723*CG722</f>
        <v/>
      </c>
      <c r="CH723">
        <f>$C723*CH722</f>
        <v/>
      </c>
      <c r="CI723">
        <f>$C723*CI722</f>
        <v/>
      </c>
      <c r="CJ723">
        <f>$C723*CJ722</f>
        <v/>
      </c>
      <c r="CK723">
        <f>$C723*CK722</f>
        <v/>
      </c>
      <c r="CL723">
        <f>$C723*CL722</f>
        <v/>
      </c>
      <c r="CM723">
        <f>$C723*CM722</f>
        <v/>
      </c>
      <c r="CN723">
        <f>$C723*CN722</f>
        <v/>
      </c>
      <c r="CO723">
        <f>$C723*CO722</f>
        <v/>
      </c>
      <c r="CP723">
        <f>$C723*CP722</f>
        <v/>
      </c>
      <c r="CQ723">
        <f>$C723*CQ722</f>
        <v/>
      </c>
      <c r="CR723">
        <f>$C723*CR722</f>
        <v/>
      </c>
      <c r="CS723">
        <f>$C723*CS722</f>
        <v/>
      </c>
      <c r="CT723">
        <f>$C723*CT722</f>
        <v/>
      </c>
      <c r="CU723">
        <f>$C723*CU722</f>
        <v/>
      </c>
      <c r="CV723">
        <f>$C723*CV722</f>
        <v/>
      </c>
      <c r="CW723">
        <f>$C723*CW722</f>
        <v/>
      </c>
      <c r="CX723">
        <f>$C723*CX722</f>
        <v/>
      </c>
      <c r="CY723">
        <f>$C723*CY722</f>
        <v/>
      </c>
      <c r="CZ723">
        <f>$C723*CZ722</f>
        <v/>
      </c>
      <c r="DA723">
        <f>$C723*DA722</f>
        <v/>
      </c>
      <c r="DB723">
        <f>$C723*DB722</f>
        <v/>
      </c>
      <c r="DC723">
        <f>$C723*DC722</f>
        <v/>
      </c>
    </row>
    <row r="724">
      <c r="B724" t="inlineStr">
        <is>
          <t>TSP-828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12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Name],$A641)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TSP-903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12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Name],$A641)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TSP-924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12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Name],$A641)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TSP-925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12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Name],$A641)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TSP-927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12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Name],$A641)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TSP-928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12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Name],$A641)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TSP-929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12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Name],$A641)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TSP-930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12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Name],$A641)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TSP-934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12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Name],$A641)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TSP-935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12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Name],$A641)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TSP-936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12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Name],$A641)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TSP-937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12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Name],$A641)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TSP-959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12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Name],$A641)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TSP-966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12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Name],$A641)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TVS-267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12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Name],$A641)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TVS-500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12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Name],$A641)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TVS-664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12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Name],$A641)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TVS-833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12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Name],$A641)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VSP-600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12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Name],$A641)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VSP-601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12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Name],$A641)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VSP-602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12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Name],$A641)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VSP-820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12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Name],$A641)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VSP-822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12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Name],$A641)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VSP-910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12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Name],$A641)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VSP-989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12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Name],$A641)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VSP-990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12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Name],$A641)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s="5" t="inlineStr">
        <is>
          <t>合計使用量(kg)/週</t>
        </is>
      </c>
      <c r="D776">
        <f>'Grid_Requirement'!B36</f>
        <v/>
      </c>
      <c r="E776">
        <f>'Grid_Requirement'!C36</f>
        <v/>
      </c>
      <c r="F776">
        <f>'Grid_Requirement'!D36</f>
        <v/>
      </c>
      <c r="G776">
        <f>'Grid_Requirement'!E36</f>
        <v/>
      </c>
      <c r="H776">
        <f>'Grid_Requirement'!F36</f>
        <v/>
      </c>
      <c r="I776">
        <f>'Grid_Requirement'!G36</f>
        <v/>
      </c>
      <c r="J776">
        <f>'Grid_Requirement'!H36</f>
        <v/>
      </c>
      <c r="K776">
        <f>'Grid_Requirement'!I36</f>
        <v/>
      </c>
      <c r="L776">
        <f>'Grid_Requirement'!J36</f>
        <v/>
      </c>
      <c r="M776">
        <f>'Grid_Requirement'!K36</f>
        <v/>
      </c>
      <c r="N776">
        <f>'Grid_Requirement'!L36</f>
        <v/>
      </c>
      <c r="O776">
        <f>'Grid_Requirement'!M36</f>
        <v/>
      </c>
      <c r="P776">
        <f>'Grid_Requirement'!N36</f>
        <v/>
      </c>
      <c r="Q776">
        <f>'Grid_Requirement'!O36</f>
        <v/>
      </c>
      <c r="R776">
        <f>'Grid_Requirement'!P36</f>
        <v/>
      </c>
      <c r="S776">
        <f>'Grid_Requirement'!Q36</f>
        <v/>
      </c>
      <c r="T776">
        <f>'Grid_Requirement'!R36</f>
        <v/>
      </c>
      <c r="U776">
        <f>'Grid_Requirement'!S36</f>
        <v/>
      </c>
      <c r="V776">
        <f>'Grid_Requirement'!T36</f>
        <v/>
      </c>
      <c r="W776">
        <f>'Grid_Requirement'!U36</f>
        <v/>
      </c>
      <c r="X776">
        <f>'Grid_Requirement'!V36</f>
        <v/>
      </c>
      <c r="Y776">
        <f>'Grid_Requirement'!W36</f>
        <v/>
      </c>
      <c r="Z776">
        <f>'Grid_Requirement'!X36</f>
        <v/>
      </c>
      <c r="AA776">
        <f>'Grid_Requirement'!Y36</f>
        <v/>
      </c>
      <c r="AB776">
        <f>'Grid_Requirement'!Z36</f>
        <v/>
      </c>
      <c r="AC776">
        <f>'Grid_Requirement'!AA36</f>
        <v/>
      </c>
      <c r="AD776">
        <f>'Grid_Requirement'!AB36</f>
        <v/>
      </c>
      <c r="AE776">
        <f>'Grid_Requirement'!AC36</f>
        <v/>
      </c>
      <c r="AF776">
        <f>'Grid_Requirement'!AD36</f>
        <v/>
      </c>
      <c r="AG776">
        <f>'Grid_Requirement'!AE36</f>
        <v/>
      </c>
      <c r="AH776">
        <f>'Grid_Requirement'!AF36</f>
        <v/>
      </c>
      <c r="AI776">
        <f>'Grid_Requirement'!AG36</f>
        <v/>
      </c>
      <c r="AJ776">
        <f>'Grid_Requirement'!AH36</f>
        <v/>
      </c>
      <c r="AK776">
        <f>'Grid_Requirement'!AI36</f>
        <v/>
      </c>
      <c r="AL776">
        <f>'Grid_Requirement'!AJ36</f>
        <v/>
      </c>
      <c r="AM776">
        <f>'Grid_Requirement'!AK36</f>
        <v/>
      </c>
      <c r="AN776">
        <f>'Grid_Requirement'!AL36</f>
        <v/>
      </c>
      <c r="AO776">
        <f>'Grid_Requirement'!AM36</f>
        <v/>
      </c>
      <c r="AP776">
        <f>'Grid_Requirement'!AN36</f>
        <v/>
      </c>
      <c r="AQ776">
        <f>'Grid_Requirement'!AO36</f>
        <v/>
      </c>
      <c r="AR776">
        <f>'Grid_Requirement'!AP36</f>
        <v/>
      </c>
      <c r="AS776">
        <f>'Grid_Requirement'!AQ36</f>
        <v/>
      </c>
      <c r="AT776">
        <f>'Grid_Requirement'!AR36</f>
        <v/>
      </c>
      <c r="AU776">
        <f>'Grid_Requirement'!AS36</f>
        <v/>
      </c>
      <c r="AV776">
        <f>'Grid_Requirement'!AT36</f>
        <v/>
      </c>
      <c r="AW776">
        <f>'Grid_Requirement'!AU36</f>
        <v/>
      </c>
      <c r="AX776">
        <f>'Grid_Requirement'!AV36</f>
        <v/>
      </c>
      <c r="AY776">
        <f>'Grid_Requirement'!AW36</f>
        <v/>
      </c>
      <c r="AZ776">
        <f>'Grid_Requirement'!AX36</f>
        <v/>
      </c>
      <c r="BA776">
        <f>'Grid_Requirement'!AY36</f>
        <v/>
      </c>
      <c r="BB776">
        <f>'Grid_Requirement'!AZ36</f>
        <v/>
      </c>
      <c r="BC776">
        <f>'Grid_Requirement'!BA36</f>
        <v/>
      </c>
      <c r="BD776">
        <f>'Grid_Requirement'!BB36</f>
        <v/>
      </c>
      <c r="BE776">
        <f>'Grid_Requirement'!BC36</f>
        <v/>
      </c>
      <c r="BF776">
        <f>'Grid_Requirement'!BD36</f>
        <v/>
      </c>
      <c r="BG776">
        <f>'Grid_Requirement'!BE36</f>
        <v/>
      </c>
      <c r="BH776">
        <f>'Grid_Requirement'!BF36</f>
        <v/>
      </c>
      <c r="BI776">
        <f>'Grid_Requirement'!BG36</f>
        <v/>
      </c>
      <c r="BJ776">
        <f>'Grid_Requirement'!BH36</f>
        <v/>
      </c>
      <c r="BK776">
        <f>'Grid_Requirement'!BI36</f>
        <v/>
      </c>
      <c r="BL776">
        <f>'Grid_Requirement'!BJ36</f>
        <v/>
      </c>
      <c r="BM776">
        <f>'Grid_Requirement'!BK36</f>
        <v/>
      </c>
      <c r="BN776">
        <f>'Grid_Requirement'!BL36</f>
        <v/>
      </c>
      <c r="BO776">
        <f>'Grid_Requirement'!BM36</f>
        <v/>
      </c>
      <c r="BP776">
        <f>'Grid_Requirement'!BN36</f>
        <v/>
      </c>
      <c r="BQ776">
        <f>'Grid_Requirement'!BO36</f>
        <v/>
      </c>
      <c r="BR776">
        <f>'Grid_Requirement'!BP36</f>
        <v/>
      </c>
      <c r="BS776">
        <f>'Grid_Requirement'!BQ36</f>
        <v/>
      </c>
      <c r="BT776">
        <f>'Grid_Requirement'!BR36</f>
        <v/>
      </c>
      <c r="BU776">
        <f>'Grid_Requirement'!BS36</f>
        <v/>
      </c>
      <c r="BV776">
        <f>'Grid_Requirement'!BT36</f>
        <v/>
      </c>
      <c r="BW776">
        <f>'Grid_Requirement'!BU36</f>
        <v/>
      </c>
      <c r="BX776">
        <f>'Grid_Requirement'!BV36</f>
        <v/>
      </c>
      <c r="BY776">
        <f>'Grid_Requirement'!BW36</f>
        <v/>
      </c>
      <c r="BZ776">
        <f>'Grid_Requirement'!BX36</f>
        <v/>
      </c>
      <c r="CA776">
        <f>'Grid_Requirement'!BY36</f>
        <v/>
      </c>
      <c r="CB776">
        <f>'Grid_Requirement'!BZ36</f>
        <v/>
      </c>
      <c r="CC776">
        <f>'Grid_Requirement'!CA36</f>
        <v/>
      </c>
      <c r="CD776">
        <f>'Grid_Requirement'!CB36</f>
        <v/>
      </c>
      <c r="CE776">
        <f>'Grid_Requirement'!CC36</f>
        <v/>
      </c>
      <c r="CF776">
        <f>'Grid_Requirement'!CD36</f>
        <v/>
      </c>
      <c r="CG776">
        <f>'Grid_Requirement'!CE36</f>
        <v/>
      </c>
      <c r="CH776">
        <f>'Grid_Requirement'!CF36</f>
        <v/>
      </c>
      <c r="CI776">
        <f>'Grid_Requirement'!CG36</f>
        <v/>
      </c>
      <c r="CJ776">
        <f>'Grid_Requirement'!CH36</f>
        <v/>
      </c>
      <c r="CK776">
        <f>'Grid_Requirement'!CI36</f>
        <v/>
      </c>
      <c r="CL776">
        <f>'Grid_Requirement'!CJ36</f>
        <v/>
      </c>
      <c r="CM776">
        <f>'Grid_Requirement'!CK36</f>
        <v/>
      </c>
      <c r="CN776">
        <f>'Grid_Requirement'!CL36</f>
        <v/>
      </c>
      <c r="CO776">
        <f>'Grid_Requirement'!CM36</f>
        <v/>
      </c>
      <c r="CP776">
        <f>'Grid_Requirement'!CN36</f>
        <v/>
      </c>
      <c r="CQ776">
        <f>'Grid_Requirement'!CO36</f>
        <v/>
      </c>
      <c r="CR776">
        <f>'Grid_Requirement'!CP36</f>
        <v/>
      </c>
      <c r="CS776">
        <f>'Grid_Requirement'!CQ36</f>
        <v/>
      </c>
      <c r="CT776">
        <f>'Grid_Requirement'!CR36</f>
        <v/>
      </c>
      <c r="CU776">
        <f>'Grid_Requirement'!CS36</f>
        <v/>
      </c>
      <c r="CV776">
        <f>'Grid_Requirement'!CT36</f>
        <v/>
      </c>
      <c r="CW776">
        <f>'Grid_Requirement'!CU36</f>
        <v/>
      </c>
      <c r="CX776">
        <f>'Grid_Requirement'!CV36</f>
        <v/>
      </c>
      <c r="CY776">
        <f>'Grid_Requirement'!CW36</f>
        <v/>
      </c>
      <c r="CZ776">
        <f>'Grid_Requirement'!CX36</f>
        <v/>
      </c>
      <c r="DA776">
        <f>'Grid_Requirement'!CY36</f>
        <v/>
      </c>
      <c r="DB776">
        <f>'Grid_Requirement'!CZ36</f>
        <v/>
      </c>
      <c r="DC776">
        <f>'Grid_Requirement'!DA36</f>
        <v/>
      </c>
    </row>
    <row r="777">
      <c r="B777" t="inlineStr">
        <is>
          <t>TTAF在庫(実績,kg)</t>
        </is>
      </c>
      <c r="D777">
        <f>'T_TTAFStock'!B40</f>
        <v/>
      </c>
      <c r="E777">
        <f>'T_TTAFStock'!C40</f>
        <v/>
      </c>
      <c r="F777">
        <f>'T_TTAFStock'!D40</f>
        <v/>
      </c>
      <c r="G777">
        <f>'T_TTAFStock'!E40</f>
        <v/>
      </c>
      <c r="H777">
        <f>'T_TTAFStock'!F40</f>
        <v/>
      </c>
      <c r="I777">
        <f>'T_TTAFStock'!G40</f>
        <v/>
      </c>
      <c r="J777">
        <f>'T_TTAFStock'!H40</f>
        <v/>
      </c>
      <c r="K777">
        <f>'T_TTAFStock'!I40</f>
        <v/>
      </c>
      <c r="L777">
        <f>'T_TTAFStock'!J40</f>
        <v/>
      </c>
      <c r="M777">
        <f>'T_TTAFStock'!K40</f>
        <v/>
      </c>
      <c r="N777">
        <f>'T_TTAFStock'!L40</f>
        <v/>
      </c>
      <c r="O777">
        <f>'T_TTAFStock'!M40</f>
        <v/>
      </c>
      <c r="P777">
        <f>'T_TTAFStock'!N40</f>
        <v/>
      </c>
      <c r="Q777">
        <f>'T_TTAFStock'!O40</f>
        <v/>
      </c>
      <c r="R777">
        <f>'T_TTAFStock'!P40</f>
        <v/>
      </c>
      <c r="S777">
        <f>'T_TTAFStock'!Q40</f>
        <v/>
      </c>
      <c r="T777">
        <f>'T_TTAFStock'!R40</f>
        <v/>
      </c>
      <c r="U777">
        <f>'T_TTAFStock'!S40</f>
        <v/>
      </c>
      <c r="V777">
        <f>'T_TTAFStock'!T40</f>
        <v/>
      </c>
      <c r="W777">
        <f>'T_TTAFStock'!U40</f>
        <v/>
      </c>
      <c r="X777">
        <f>'T_TTAFStock'!V40</f>
        <v/>
      </c>
      <c r="Y777">
        <f>'T_TTAFStock'!W40</f>
        <v/>
      </c>
      <c r="Z777">
        <f>'T_TTAFStock'!X40</f>
        <v/>
      </c>
      <c r="AA777">
        <f>'T_TTAFStock'!Y40</f>
        <v/>
      </c>
      <c r="AB777">
        <f>'T_TTAFStock'!Z40</f>
        <v/>
      </c>
      <c r="AC777">
        <f>'T_TTAFStock'!AA40</f>
        <v/>
      </c>
      <c r="AD777">
        <f>'T_TTAFStock'!AB40</f>
        <v/>
      </c>
      <c r="AE777">
        <f>'T_TTAFStock'!AC40</f>
        <v/>
      </c>
      <c r="AF777">
        <f>'T_TTAFStock'!AD40</f>
        <v/>
      </c>
      <c r="AG777">
        <f>'T_TTAFStock'!AE40</f>
        <v/>
      </c>
      <c r="AH777">
        <f>'T_TTAFStock'!AF40</f>
        <v/>
      </c>
      <c r="AI777">
        <f>'T_TTAFStock'!AG40</f>
        <v/>
      </c>
      <c r="AJ777">
        <f>'T_TTAFStock'!AH40</f>
        <v/>
      </c>
      <c r="AK777">
        <f>'T_TTAFStock'!AI40</f>
        <v/>
      </c>
      <c r="AL777">
        <f>'T_TTAFStock'!AJ40</f>
        <v/>
      </c>
      <c r="AM777">
        <f>'T_TTAFStock'!AK40</f>
        <v/>
      </c>
      <c r="AN777">
        <f>'T_TTAFStock'!AL40</f>
        <v/>
      </c>
      <c r="AO777">
        <f>'T_TTAFStock'!AM40</f>
        <v/>
      </c>
      <c r="AP777">
        <f>'T_TTAFStock'!AN40</f>
        <v/>
      </c>
      <c r="AQ777">
        <f>'T_TTAFStock'!AO40</f>
        <v/>
      </c>
      <c r="AR777">
        <f>'T_TTAFStock'!AP40</f>
        <v/>
      </c>
      <c r="AS777">
        <f>'T_TTAFStock'!AQ40</f>
        <v/>
      </c>
      <c r="AT777">
        <f>'T_TTAFStock'!AR40</f>
        <v/>
      </c>
      <c r="AU777">
        <f>'T_TTAFStock'!AS40</f>
        <v/>
      </c>
      <c r="AV777">
        <f>'T_TTAFStock'!AT40</f>
        <v/>
      </c>
      <c r="AW777">
        <f>'T_TTAFStock'!AU40</f>
        <v/>
      </c>
      <c r="AX777">
        <f>'T_TTAFStock'!AV40</f>
        <v/>
      </c>
      <c r="AY777">
        <f>'T_TTAFStock'!AW40</f>
        <v/>
      </c>
      <c r="AZ777">
        <f>'T_TTAFStock'!AX40</f>
        <v/>
      </c>
      <c r="BA777">
        <f>'T_TTAFStock'!AY40</f>
        <v/>
      </c>
      <c r="BB777">
        <f>'T_TTAFStock'!AZ40</f>
        <v/>
      </c>
      <c r="BC777">
        <f>'T_TTAFStock'!BA40</f>
        <v/>
      </c>
      <c r="BD777">
        <f>'T_TTAFStock'!BB40</f>
        <v/>
      </c>
      <c r="BE777">
        <f>'T_TTAFStock'!BC40</f>
        <v/>
      </c>
      <c r="BF777">
        <f>'T_TTAFStock'!BD40</f>
        <v/>
      </c>
      <c r="BG777">
        <f>'T_TTAFStock'!BE40</f>
        <v/>
      </c>
      <c r="BH777">
        <f>'T_TTAFStock'!BF40</f>
        <v/>
      </c>
      <c r="BI777">
        <f>'T_TTAFStock'!BG40</f>
        <v/>
      </c>
      <c r="BJ777">
        <f>'T_TTAFStock'!BH40</f>
        <v/>
      </c>
      <c r="BK777">
        <f>'T_TTAFStock'!BI40</f>
        <v/>
      </c>
      <c r="BL777">
        <f>'T_TTAFStock'!BJ40</f>
        <v/>
      </c>
      <c r="BM777">
        <f>'T_TTAFStock'!BK40</f>
        <v/>
      </c>
      <c r="BN777">
        <f>'T_TTAFStock'!BL40</f>
        <v/>
      </c>
      <c r="BO777">
        <f>'T_TTAFStock'!BM40</f>
        <v/>
      </c>
      <c r="BP777">
        <f>'T_TTAFStock'!BN40</f>
        <v/>
      </c>
      <c r="BQ777">
        <f>'T_TTAFStock'!BO40</f>
        <v/>
      </c>
      <c r="BR777">
        <f>'T_TTAFStock'!BP40</f>
        <v/>
      </c>
      <c r="BS777">
        <f>'T_TTAFStock'!BQ40</f>
        <v/>
      </c>
      <c r="BT777">
        <f>'T_TTAFStock'!BR40</f>
        <v/>
      </c>
      <c r="BU777">
        <f>'T_TTAFStock'!BS40</f>
        <v/>
      </c>
      <c r="BV777">
        <f>'T_TTAFStock'!BT40</f>
        <v/>
      </c>
      <c r="BW777">
        <f>'T_TTAFStock'!BU40</f>
        <v/>
      </c>
      <c r="BX777">
        <f>'T_TTAFStock'!BV40</f>
        <v/>
      </c>
      <c r="BY777">
        <f>'T_TTAFStock'!BW40</f>
        <v/>
      </c>
      <c r="BZ777">
        <f>'T_TTAFStock'!BX40</f>
        <v/>
      </c>
      <c r="CA777">
        <f>'T_TTAFStock'!BY40</f>
        <v/>
      </c>
      <c r="CB777">
        <f>'T_TTAFStock'!BZ40</f>
        <v/>
      </c>
      <c r="CC777">
        <f>'T_TTAFStock'!CA40</f>
        <v/>
      </c>
      <c r="CD777">
        <f>'T_TTAFStock'!CB40</f>
        <v/>
      </c>
      <c r="CE777">
        <f>'T_TTAFStock'!CC40</f>
        <v/>
      </c>
      <c r="CF777">
        <f>'T_TTAFStock'!CD40</f>
        <v/>
      </c>
      <c r="CG777">
        <f>'T_TTAFStock'!CE40</f>
        <v/>
      </c>
      <c r="CH777">
        <f>'T_TTAFStock'!CF40</f>
        <v/>
      </c>
      <c r="CI777">
        <f>'T_TTAFStock'!CG40</f>
        <v/>
      </c>
      <c r="CJ777">
        <f>'T_TTAFStock'!CH40</f>
        <v/>
      </c>
      <c r="CK777">
        <f>'T_TTAFStock'!CI40</f>
        <v/>
      </c>
      <c r="CL777">
        <f>'T_TTAFStock'!CJ40</f>
        <v/>
      </c>
      <c r="CM777">
        <f>'T_TTAFStock'!CK40</f>
        <v/>
      </c>
      <c r="CN777">
        <f>'T_TTAFStock'!CL40</f>
        <v/>
      </c>
      <c r="CO777">
        <f>'T_TTAFStock'!CM40</f>
        <v/>
      </c>
      <c r="CP777">
        <f>'T_TTAFStock'!CN40</f>
        <v/>
      </c>
      <c r="CQ777">
        <f>'T_TTAFStock'!CO40</f>
        <v/>
      </c>
      <c r="CR777">
        <f>'T_TTAFStock'!CP40</f>
        <v/>
      </c>
      <c r="CS777">
        <f>'T_TTAFStock'!CQ40</f>
        <v/>
      </c>
      <c r="CT777">
        <f>'T_TTAFStock'!CR40</f>
        <v/>
      </c>
      <c r="CU777">
        <f>'T_TTAFStock'!CS40</f>
        <v/>
      </c>
      <c r="CV777">
        <f>'T_TTAFStock'!CT40</f>
        <v/>
      </c>
      <c r="CW777">
        <f>'T_TTAFStock'!CU40</f>
        <v/>
      </c>
      <c r="CX777">
        <f>'T_TTAFStock'!CV40</f>
        <v/>
      </c>
      <c r="CY777">
        <f>'T_TTAFStock'!CW40</f>
        <v/>
      </c>
      <c r="CZ777">
        <f>'T_TTAFStock'!CX40</f>
        <v/>
      </c>
      <c r="DA777">
        <f>'T_TTAFStock'!CY40</f>
        <v/>
      </c>
      <c r="DB777">
        <f>'T_TTAFStock'!CZ40</f>
        <v/>
      </c>
      <c r="DC777">
        <f>'T_TTAFStock'!DA40</f>
        <v/>
      </c>
    </row>
    <row r="778">
      <c r="B778" t="inlineStr">
        <is>
          <t>自社在庫(実績,kg)</t>
        </is>
      </c>
      <c r="D778">
        <f>'T_SelfStock'!B40</f>
        <v/>
      </c>
      <c r="E778">
        <f>'T_SelfStock'!C40</f>
        <v/>
      </c>
      <c r="F778">
        <f>'T_SelfStock'!D40</f>
        <v/>
      </c>
      <c r="G778">
        <f>'T_SelfStock'!E40</f>
        <v/>
      </c>
      <c r="H778">
        <f>'T_SelfStock'!F40</f>
        <v/>
      </c>
      <c r="I778">
        <f>'T_SelfStock'!G40</f>
        <v/>
      </c>
      <c r="J778">
        <f>'T_SelfStock'!H40</f>
        <v/>
      </c>
      <c r="K778">
        <f>'T_SelfStock'!I40</f>
        <v/>
      </c>
      <c r="L778">
        <f>'T_SelfStock'!J40</f>
        <v/>
      </c>
      <c r="M778">
        <f>'T_SelfStock'!K40</f>
        <v/>
      </c>
      <c r="N778">
        <f>'T_SelfStock'!L40</f>
        <v/>
      </c>
      <c r="O778">
        <f>'T_SelfStock'!M40</f>
        <v/>
      </c>
      <c r="P778">
        <f>'T_SelfStock'!N40</f>
        <v/>
      </c>
      <c r="Q778">
        <f>'T_SelfStock'!O40</f>
        <v/>
      </c>
      <c r="R778">
        <f>'T_SelfStock'!P40</f>
        <v/>
      </c>
      <c r="S778">
        <f>'T_SelfStock'!Q40</f>
        <v/>
      </c>
      <c r="T778">
        <f>'T_SelfStock'!R40</f>
        <v/>
      </c>
      <c r="U778">
        <f>'T_SelfStock'!S40</f>
        <v/>
      </c>
      <c r="V778">
        <f>'T_SelfStock'!T40</f>
        <v/>
      </c>
      <c r="W778">
        <f>'T_SelfStock'!U40</f>
        <v/>
      </c>
      <c r="X778">
        <f>'T_SelfStock'!V40</f>
        <v/>
      </c>
      <c r="Y778">
        <f>'T_SelfStock'!W40</f>
        <v/>
      </c>
      <c r="Z778">
        <f>'T_SelfStock'!X40</f>
        <v/>
      </c>
      <c r="AA778">
        <f>'T_SelfStock'!Y40</f>
        <v/>
      </c>
      <c r="AB778">
        <f>'T_SelfStock'!Z40</f>
        <v/>
      </c>
      <c r="AC778">
        <f>'T_SelfStock'!AA40</f>
        <v/>
      </c>
      <c r="AD778">
        <f>'T_SelfStock'!AB40</f>
        <v/>
      </c>
      <c r="AE778">
        <f>'T_SelfStock'!AC40</f>
        <v/>
      </c>
      <c r="AF778">
        <f>'T_SelfStock'!AD40</f>
        <v/>
      </c>
      <c r="AG778">
        <f>'T_SelfStock'!AE40</f>
        <v/>
      </c>
      <c r="AH778">
        <f>'T_SelfStock'!AF40</f>
        <v/>
      </c>
      <c r="AI778">
        <f>'T_SelfStock'!AG40</f>
        <v/>
      </c>
      <c r="AJ778">
        <f>'T_SelfStock'!AH40</f>
        <v/>
      </c>
      <c r="AK778">
        <f>'T_SelfStock'!AI40</f>
        <v/>
      </c>
      <c r="AL778">
        <f>'T_SelfStock'!AJ40</f>
        <v/>
      </c>
      <c r="AM778">
        <f>'T_SelfStock'!AK40</f>
        <v/>
      </c>
      <c r="AN778">
        <f>'T_SelfStock'!AL40</f>
        <v/>
      </c>
      <c r="AO778">
        <f>'T_SelfStock'!AM40</f>
        <v/>
      </c>
      <c r="AP778">
        <f>'T_SelfStock'!AN40</f>
        <v/>
      </c>
      <c r="AQ778">
        <f>'T_SelfStock'!AO40</f>
        <v/>
      </c>
      <c r="AR778">
        <f>'T_SelfStock'!AP40</f>
        <v/>
      </c>
      <c r="AS778">
        <f>'T_SelfStock'!AQ40</f>
        <v/>
      </c>
      <c r="AT778">
        <f>'T_SelfStock'!AR40</f>
        <v/>
      </c>
      <c r="AU778">
        <f>'T_SelfStock'!AS40</f>
        <v/>
      </c>
      <c r="AV778">
        <f>'T_SelfStock'!AT40</f>
        <v/>
      </c>
      <c r="AW778">
        <f>'T_SelfStock'!AU40</f>
        <v/>
      </c>
      <c r="AX778">
        <f>'T_SelfStock'!AV40</f>
        <v/>
      </c>
      <c r="AY778">
        <f>'T_SelfStock'!AW40</f>
        <v/>
      </c>
      <c r="AZ778">
        <f>'T_SelfStock'!AX40</f>
        <v/>
      </c>
      <c r="BA778">
        <f>'T_SelfStock'!AY40</f>
        <v/>
      </c>
      <c r="BB778">
        <f>'T_SelfStock'!AZ40</f>
        <v/>
      </c>
      <c r="BC778">
        <f>'T_SelfStock'!BA40</f>
        <v/>
      </c>
      <c r="BD778">
        <f>'T_SelfStock'!BB40</f>
        <v/>
      </c>
      <c r="BE778">
        <f>'T_SelfStock'!BC40</f>
        <v/>
      </c>
      <c r="BF778">
        <f>'T_SelfStock'!BD40</f>
        <v/>
      </c>
      <c r="BG778">
        <f>'T_SelfStock'!BE40</f>
        <v/>
      </c>
      <c r="BH778">
        <f>'T_SelfStock'!BF40</f>
        <v/>
      </c>
      <c r="BI778">
        <f>'T_SelfStock'!BG40</f>
        <v/>
      </c>
      <c r="BJ778">
        <f>'T_SelfStock'!BH40</f>
        <v/>
      </c>
      <c r="BK778">
        <f>'T_SelfStock'!BI40</f>
        <v/>
      </c>
      <c r="BL778">
        <f>'T_SelfStock'!BJ40</f>
        <v/>
      </c>
      <c r="BM778">
        <f>'T_SelfStock'!BK40</f>
        <v/>
      </c>
      <c r="BN778">
        <f>'T_SelfStock'!BL40</f>
        <v/>
      </c>
      <c r="BO778">
        <f>'T_SelfStock'!BM40</f>
        <v/>
      </c>
      <c r="BP778">
        <f>'T_SelfStock'!BN40</f>
        <v/>
      </c>
      <c r="BQ778">
        <f>'T_SelfStock'!BO40</f>
        <v/>
      </c>
      <c r="BR778">
        <f>'T_SelfStock'!BP40</f>
        <v/>
      </c>
      <c r="BS778">
        <f>'T_SelfStock'!BQ40</f>
        <v/>
      </c>
      <c r="BT778">
        <f>'T_SelfStock'!BR40</f>
        <v/>
      </c>
      <c r="BU778">
        <f>'T_SelfStock'!BS40</f>
        <v/>
      </c>
      <c r="BV778">
        <f>'T_SelfStock'!BT40</f>
        <v/>
      </c>
      <c r="BW778">
        <f>'T_SelfStock'!BU40</f>
        <v/>
      </c>
      <c r="BX778">
        <f>'T_SelfStock'!BV40</f>
        <v/>
      </c>
      <c r="BY778">
        <f>'T_SelfStock'!BW40</f>
        <v/>
      </c>
      <c r="BZ778">
        <f>'T_SelfStock'!BX40</f>
        <v/>
      </c>
      <c r="CA778">
        <f>'T_SelfStock'!BY40</f>
        <v/>
      </c>
      <c r="CB778">
        <f>'T_SelfStock'!BZ40</f>
        <v/>
      </c>
      <c r="CC778">
        <f>'T_SelfStock'!CA40</f>
        <v/>
      </c>
      <c r="CD778">
        <f>'T_SelfStock'!CB40</f>
        <v/>
      </c>
      <c r="CE778">
        <f>'T_SelfStock'!CC40</f>
        <v/>
      </c>
      <c r="CF778">
        <f>'T_SelfStock'!CD40</f>
        <v/>
      </c>
      <c r="CG778">
        <f>'T_SelfStock'!CE40</f>
        <v/>
      </c>
      <c r="CH778">
        <f>'T_SelfStock'!CF40</f>
        <v/>
      </c>
      <c r="CI778">
        <f>'T_SelfStock'!CG40</f>
        <v/>
      </c>
      <c r="CJ778">
        <f>'T_SelfStock'!CH40</f>
        <v/>
      </c>
      <c r="CK778">
        <f>'T_SelfStock'!CI40</f>
        <v/>
      </c>
      <c r="CL778">
        <f>'T_SelfStock'!CJ40</f>
        <v/>
      </c>
      <c r="CM778">
        <f>'T_SelfStock'!CK40</f>
        <v/>
      </c>
      <c r="CN778">
        <f>'T_SelfStock'!CL40</f>
        <v/>
      </c>
      <c r="CO778">
        <f>'T_SelfStock'!CM40</f>
        <v/>
      </c>
      <c r="CP778">
        <f>'T_SelfStock'!CN40</f>
        <v/>
      </c>
      <c r="CQ778">
        <f>'T_SelfStock'!CO40</f>
        <v/>
      </c>
      <c r="CR778">
        <f>'T_SelfStock'!CP40</f>
        <v/>
      </c>
      <c r="CS778">
        <f>'T_SelfStock'!CQ40</f>
        <v/>
      </c>
      <c r="CT778">
        <f>'T_SelfStock'!CR40</f>
        <v/>
      </c>
      <c r="CU778">
        <f>'T_SelfStock'!CS40</f>
        <v/>
      </c>
      <c r="CV778">
        <f>'T_SelfStock'!CT40</f>
        <v/>
      </c>
      <c r="CW778">
        <f>'T_SelfStock'!CU40</f>
        <v/>
      </c>
      <c r="CX778">
        <f>'T_SelfStock'!CV40</f>
        <v/>
      </c>
      <c r="CY778">
        <f>'T_SelfStock'!CW40</f>
        <v/>
      </c>
      <c r="CZ778">
        <f>'T_SelfStock'!CX40</f>
        <v/>
      </c>
      <c r="DA778">
        <f>'T_SelfStock'!CY40</f>
        <v/>
      </c>
      <c r="DB778">
        <f>'T_SelfStock'!CZ40</f>
        <v/>
      </c>
      <c r="DC778">
        <f>'T_SelfStock'!DA40</f>
        <v/>
      </c>
    </row>
    <row r="779">
      <c r="B779" t="inlineStr">
        <is>
          <t>Order(発注予定,kg)</t>
        </is>
      </c>
      <c r="D779">
        <f>IF(SUMIFS(T_PlannedOrders[EffectiveQty],T_PlannedOrders[Part Name],$A641,T_PlannedOrders[WeekIndex],1)=0,"",SUMIFS(T_PlannedOrders[EffectiveQty],T_PlannedOrders[Part Name],$A641,T_PlannedOrders[WeekIndex],1)&amp;" ("&amp;TEXT(SUMPRODUCT(MAX((T_PlannedOrders[Part Name]=$A641)*(T_PlannedOrders[WeekIndex]=1)*(T_PlannedOrders[EffectiveQty]&gt;0)*T_PlannedOrders[Order_Month])),"m月")&amp;"発注)")</f>
        <v/>
      </c>
      <c r="E779">
        <f>IF(SUMIFS(T_PlannedOrders[EffectiveQty],T_PlannedOrders[Part Name],$A641,T_PlannedOrders[WeekIndex],2)=0,"",SUMIFS(T_PlannedOrders[EffectiveQty],T_PlannedOrders[Part Name],$A641,T_PlannedOrders[WeekIndex],2)&amp;" ("&amp;TEXT(SUMPRODUCT(MAX((T_PlannedOrders[Part Name]=$A641)*(T_PlannedOrders[WeekIndex]=2)*(T_PlannedOrders[EffectiveQty]&gt;0)*T_PlannedOrders[Order_Month])),"m月")&amp;"発注)")</f>
        <v/>
      </c>
      <c r="F779">
        <f>IF(SUMIFS(T_PlannedOrders[EffectiveQty],T_PlannedOrders[Part Name],$A641,T_PlannedOrders[WeekIndex],3)=0,"",SUMIFS(T_PlannedOrders[EffectiveQty],T_PlannedOrders[Part Name],$A641,T_PlannedOrders[WeekIndex],3)&amp;" ("&amp;TEXT(SUMPRODUCT(MAX((T_PlannedOrders[Part Name]=$A641)*(T_PlannedOrders[WeekIndex]=3)*(T_PlannedOrders[EffectiveQty]&gt;0)*T_PlannedOrders[Order_Month])),"m月")&amp;"発注)")</f>
        <v/>
      </c>
      <c r="G779">
        <f>IF(SUMIFS(T_PlannedOrders[EffectiveQty],T_PlannedOrders[Part Name],$A641,T_PlannedOrders[WeekIndex],4)=0,"",SUMIFS(T_PlannedOrders[EffectiveQty],T_PlannedOrders[Part Name],$A641,T_PlannedOrders[WeekIndex],4)&amp;" ("&amp;TEXT(SUMPRODUCT(MAX((T_PlannedOrders[Part Name]=$A641)*(T_PlannedOrders[WeekIndex]=4)*(T_PlannedOrders[EffectiveQty]&gt;0)*T_PlannedOrders[Order_Month])),"m月")&amp;"発注)")</f>
        <v/>
      </c>
      <c r="H779">
        <f>IF(SUMIFS(T_PlannedOrders[EffectiveQty],T_PlannedOrders[Part Name],$A641,T_PlannedOrders[WeekIndex],5)=0,"",SUMIFS(T_PlannedOrders[EffectiveQty],T_PlannedOrders[Part Name],$A641,T_PlannedOrders[WeekIndex],5)&amp;" ("&amp;TEXT(SUMPRODUCT(MAX((T_PlannedOrders[Part Name]=$A641)*(T_PlannedOrders[WeekIndex]=5)*(T_PlannedOrders[EffectiveQty]&gt;0)*T_PlannedOrders[Order_Month])),"m月")&amp;"発注)")</f>
        <v/>
      </c>
      <c r="I779">
        <f>IF(SUMIFS(T_PlannedOrders[EffectiveQty],T_PlannedOrders[Part Name],$A641,T_PlannedOrders[WeekIndex],6)=0,"",SUMIFS(T_PlannedOrders[EffectiveQty],T_PlannedOrders[Part Name],$A641,T_PlannedOrders[WeekIndex],6)&amp;" ("&amp;TEXT(SUMPRODUCT(MAX((T_PlannedOrders[Part Name]=$A641)*(T_PlannedOrders[WeekIndex]=6)*(T_PlannedOrders[EffectiveQty]&gt;0)*T_PlannedOrders[Order_Month])),"m月")&amp;"発注)")</f>
        <v/>
      </c>
      <c r="J779">
        <f>IF(SUMIFS(T_PlannedOrders[EffectiveQty],T_PlannedOrders[Part Name],$A641,T_PlannedOrders[WeekIndex],7)=0,"",SUMIFS(T_PlannedOrders[EffectiveQty],T_PlannedOrders[Part Name],$A641,T_PlannedOrders[WeekIndex],7)&amp;" ("&amp;TEXT(SUMPRODUCT(MAX((T_PlannedOrders[Part Name]=$A641)*(T_PlannedOrders[WeekIndex]=7)*(T_PlannedOrders[EffectiveQty]&gt;0)*T_PlannedOrders[Order_Month])),"m月")&amp;"発注)")</f>
        <v/>
      </c>
      <c r="K779">
        <f>IF(SUMIFS(T_PlannedOrders[EffectiveQty],T_PlannedOrders[Part Name],$A641,T_PlannedOrders[WeekIndex],8)=0,"",SUMIFS(T_PlannedOrders[EffectiveQty],T_PlannedOrders[Part Name],$A641,T_PlannedOrders[WeekIndex],8)&amp;" ("&amp;TEXT(SUMPRODUCT(MAX((T_PlannedOrders[Part Name]=$A641)*(T_PlannedOrders[WeekIndex]=8)*(T_PlannedOrders[EffectiveQty]&gt;0)*T_PlannedOrders[Order_Month])),"m月")&amp;"発注)")</f>
        <v/>
      </c>
      <c r="L779">
        <f>IF(SUMIFS(T_PlannedOrders[EffectiveQty],T_PlannedOrders[Part Name],$A641,T_PlannedOrders[WeekIndex],9)=0,"",SUMIFS(T_PlannedOrders[EffectiveQty],T_PlannedOrders[Part Name],$A641,T_PlannedOrders[WeekIndex],9)&amp;" ("&amp;TEXT(SUMPRODUCT(MAX((T_PlannedOrders[Part Name]=$A641)*(T_PlannedOrders[WeekIndex]=9)*(T_PlannedOrders[EffectiveQty]&gt;0)*T_PlannedOrders[Order_Month])),"m月")&amp;"発注)")</f>
        <v/>
      </c>
      <c r="M779">
        <f>IF(SUMIFS(T_PlannedOrders[EffectiveQty],T_PlannedOrders[Part Name],$A641,T_PlannedOrders[WeekIndex],10)=0,"",SUMIFS(T_PlannedOrders[EffectiveQty],T_PlannedOrders[Part Name],$A641,T_PlannedOrders[WeekIndex],10)&amp;" ("&amp;TEXT(SUMPRODUCT(MAX((T_PlannedOrders[Part Name]=$A641)*(T_PlannedOrders[WeekIndex]=10)*(T_PlannedOrders[EffectiveQty]&gt;0)*T_PlannedOrders[Order_Month])),"m月")&amp;"発注)")</f>
        <v/>
      </c>
      <c r="N779">
        <f>IF(SUMIFS(T_PlannedOrders[EffectiveQty],T_PlannedOrders[Part Name],$A641,T_PlannedOrders[WeekIndex],11)=0,"",SUMIFS(T_PlannedOrders[EffectiveQty],T_PlannedOrders[Part Name],$A641,T_PlannedOrders[WeekIndex],11)&amp;" ("&amp;TEXT(SUMPRODUCT(MAX((T_PlannedOrders[Part Name]=$A641)*(T_PlannedOrders[WeekIndex]=11)*(T_PlannedOrders[EffectiveQty]&gt;0)*T_PlannedOrders[Order_Month])),"m月")&amp;"発注)")</f>
        <v/>
      </c>
      <c r="O779">
        <f>IF(SUMIFS(T_PlannedOrders[EffectiveQty],T_PlannedOrders[Part Name],$A641,T_PlannedOrders[WeekIndex],12)=0,"",SUMIFS(T_PlannedOrders[EffectiveQty],T_PlannedOrders[Part Name],$A641,T_PlannedOrders[WeekIndex],12)&amp;" ("&amp;TEXT(SUMPRODUCT(MAX((T_PlannedOrders[Part Name]=$A641)*(T_PlannedOrders[WeekIndex]=12)*(T_PlannedOrders[EffectiveQty]&gt;0)*T_PlannedOrders[Order_Month])),"m月")&amp;"発注)")</f>
        <v/>
      </c>
      <c r="P779">
        <f>IF(SUMIFS(T_PlannedOrders[EffectiveQty],T_PlannedOrders[Part Name],$A641,T_PlannedOrders[WeekIndex],13)=0,"",SUMIFS(T_PlannedOrders[EffectiveQty],T_PlannedOrders[Part Name],$A641,T_PlannedOrders[WeekIndex],13)&amp;" ("&amp;TEXT(SUMPRODUCT(MAX((T_PlannedOrders[Part Name]=$A641)*(T_PlannedOrders[WeekIndex]=13)*(T_PlannedOrders[EffectiveQty]&gt;0)*T_PlannedOrders[Order_Month])),"m月")&amp;"発注)")</f>
        <v/>
      </c>
      <c r="Q779">
        <f>IF(SUMIFS(T_PlannedOrders[EffectiveQty],T_PlannedOrders[Part Name],$A641,T_PlannedOrders[WeekIndex],14)=0,"",SUMIFS(T_PlannedOrders[EffectiveQty],T_PlannedOrders[Part Name],$A641,T_PlannedOrders[WeekIndex],14)&amp;" ("&amp;TEXT(SUMPRODUCT(MAX((T_PlannedOrders[Part Name]=$A641)*(T_PlannedOrders[WeekIndex]=14)*(T_PlannedOrders[EffectiveQty]&gt;0)*T_PlannedOrders[Order_Month])),"m月")&amp;"発注)")</f>
        <v/>
      </c>
      <c r="R779">
        <f>IF(SUMIFS(T_PlannedOrders[EffectiveQty],T_PlannedOrders[Part Name],$A641,T_PlannedOrders[WeekIndex],15)=0,"",SUMIFS(T_PlannedOrders[EffectiveQty],T_PlannedOrders[Part Name],$A641,T_PlannedOrders[WeekIndex],15)&amp;" ("&amp;TEXT(SUMPRODUCT(MAX((T_PlannedOrders[Part Name]=$A641)*(T_PlannedOrders[WeekIndex]=15)*(T_PlannedOrders[EffectiveQty]&gt;0)*T_PlannedOrders[Order_Month])),"m月")&amp;"発注)")</f>
        <v/>
      </c>
      <c r="S779">
        <f>IF(SUMIFS(T_PlannedOrders[EffectiveQty],T_PlannedOrders[Part Name],$A641,T_PlannedOrders[WeekIndex],16)=0,"",SUMIFS(T_PlannedOrders[EffectiveQty],T_PlannedOrders[Part Name],$A641,T_PlannedOrders[WeekIndex],16)&amp;" ("&amp;TEXT(SUMPRODUCT(MAX((T_PlannedOrders[Part Name]=$A641)*(T_PlannedOrders[WeekIndex]=16)*(T_PlannedOrders[EffectiveQty]&gt;0)*T_PlannedOrders[Order_Month])),"m月")&amp;"発注)")</f>
        <v/>
      </c>
      <c r="T779">
        <f>IF(SUMIFS(T_PlannedOrders[EffectiveQty],T_PlannedOrders[Part Name],$A641,T_PlannedOrders[WeekIndex],17)=0,"",SUMIFS(T_PlannedOrders[EffectiveQty],T_PlannedOrders[Part Name],$A641,T_PlannedOrders[WeekIndex],17)&amp;" ("&amp;TEXT(SUMPRODUCT(MAX((T_PlannedOrders[Part Name]=$A641)*(T_PlannedOrders[WeekIndex]=17)*(T_PlannedOrders[EffectiveQty]&gt;0)*T_PlannedOrders[Order_Month])),"m月")&amp;"発注)")</f>
        <v/>
      </c>
      <c r="U779">
        <f>IF(SUMIFS(T_PlannedOrders[EffectiveQty],T_PlannedOrders[Part Name],$A641,T_PlannedOrders[WeekIndex],18)=0,"",SUMIFS(T_PlannedOrders[EffectiveQty],T_PlannedOrders[Part Name],$A641,T_PlannedOrders[WeekIndex],18)&amp;" ("&amp;TEXT(SUMPRODUCT(MAX((T_PlannedOrders[Part Name]=$A641)*(T_PlannedOrders[WeekIndex]=18)*(T_PlannedOrders[EffectiveQty]&gt;0)*T_PlannedOrders[Order_Month])),"m月")&amp;"発注)")</f>
        <v/>
      </c>
      <c r="V779">
        <f>IF(SUMIFS(T_PlannedOrders[EffectiveQty],T_PlannedOrders[Part Name],$A641,T_PlannedOrders[WeekIndex],19)=0,"",SUMIFS(T_PlannedOrders[EffectiveQty],T_PlannedOrders[Part Name],$A641,T_PlannedOrders[WeekIndex],19)&amp;" ("&amp;TEXT(SUMPRODUCT(MAX((T_PlannedOrders[Part Name]=$A641)*(T_PlannedOrders[WeekIndex]=19)*(T_PlannedOrders[EffectiveQty]&gt;0)*T_PlannedOrders[Order_Month])),"m月")&amp;"発注)")</f>
        <v/>
      </c>
      <c r="W779">
        <f>IF(SUMIFS(T_PlannedOrders[EffectiveQty],T_PlannedOrders[Part Name],$A641,T_PlannedOrders[WeekIndex],20)=0,"",SUMIFS(T_PlannedOrders[EffectiveQty],T_PlannedOrders[Part Name],$A641,T_PlannedOrders[WeekIndex],20)&amp;" ("&amp;TEXT(SUMPRODUCT(MAX((T_PlannedOrders[Part Name]=$A641)*(T_PlannedOrders[WeekIndex]=20)*(T_PlannedOrders[EffectiveQty]&gt;0)*T_PlannedOrders[Order_Month])),"m月")&amp;"発注)")</f>
        <v/>
      </c>
      <c r="X779">
        <f>IF(SUMIFS(T_PlannedOrders[EffectiveQty],T_PlannedOrders[Part Name],$A641,T_PlannedOrders[WeekIndex],21)=0,"",SUMIFS(T_PlannedOrders[EffectiveQty],T_PlannedOrders[Part Name],$A641,T_PlannedOrders[WeekIndex],21)&amp;" ("&amp;TEXT(SUMPRODUCT(MAX((T_PlannedOrders[Part Name]=$A641)*(T_PlannedOrders[WeekIndex]=21)*(T_PlannedOrders[EffectiveQty]&gt;0)*T_PlannedOrders[Order_Month])),"m月")&amp;"発注)")</f>
        <v/>
      </c>
      <c r="Y779">
        <f>IF(SUMIFS(T_PlannedOrders[EffectiveQty],T_PlannedOrders[Part Name],$A641,T_PlannedOrders[WeekIndex],22)=0,"",SUMIFS(T_PlannedOrders[EffectiveQty],T_PlannedOrders[Part Name],$A641,T_PlannedOrders[WeekIndex],22)&amp;" ("&amp;TEXT(SUMPRODUCT(MAX((T_PlannedOrders[Part Name]=$A641)*(T_PlannedOrders[WeekIndex]=22)*(T_PlannedOrders[EffectiveQty]&gt;0)*T_PlannedOrders[Order_Month])),"m月")&amp;"発注)")</f>
        <v/>
      </c>
      <c r="Z779">
        <f>IF(SUMIFS(T_PlannedOrders[EffectiveQty],T_PlannedOrders[Part Name],$A641,T_PlannedOrders[WeekIndex],23)=0,"",SUMIFS(T_PlannedOrders[EffectiveQty],T_PlannedOrders[Part Name],$A641,T_PlannedOrders[WeekIndex],23)&amp;" ("&amp;TEXT(SUMPRODUCT(MAX((T_PlannedOrders[Part Name]=$A641)*(T_PlannedOrders[WeekIndex]=23)*(T_PlannedOrders[EffectiveQty]&gt;0)*T_PlannedOrders[Order_Month])),"m月")&amp;"発注)")</f>
        <v/>
      </c>
      <c r="AA779">
        <f>IF(SUMIFS(T_PlannedOrders[EffectiveQty],T_PlannedOrders[Part Name],$A641,T_PlannedOrders[WeekIndex],24)=0,"",SUMIFS(T_PlannedOrders[EffectiveQty],T_PlannedOrders[Part Name],$A641,T_PlannedOrders[WeekIndex],24)&amp;" ("&amp;TEXT(SUMPRODUCT(MAX((T_PlannedOrders[Part Name]=$A641)*(T_PlannedOrders[WeekIndex]=24)*(T_PlannedOrders[EffectiveQty]&gt;0)*T_PlannedOrders[Order_Month])),"m月")&amp;"発注)")</f>
        <v/>
      </c>
      <c r="AB779">
        <f>IF(SUMIFS(T_PlannedOrders[EffectiveQty],T_PlannedOrders[Part Name],$A641,T_PlannedOrders[WeekIndex],25)=0,"",SUMIFS(T_PlannedOrders[EffectiveQty],T_PlannedOrders[Part Name],$A641,T_PlannedOrders[WeekIndex],25)&amp;" ("&amp;TEXT(SUMPRODUCT(MAX((T_PlannedOrders[Part Name]=$A641)*(T_PlannedOrders[WeekIndex]=25)*(T_PlannedOrders[EffectiveQty]&gt;0)*T_PlannedOrders[Order_Month])),"m月")&amp;"発注)")</f>
        <v/>
      </c>
      <c r="AC779">
        <f>IF(SUMIFS(T_PlannedOrders[EffectiveQty],T_PlannedOrders[Part Name],$A641,T_PlannedOrders[WeekIndex],26)=0,"",SUMIFS(T_PlannedOrders[EffectiveQty],T_PlannedOrders[Part Name],$A641,T_PlannedOrders[WeekIndex],26)&amp;" ("&amp;TEXT(SUMPRODUCT(MAX((T_PlannedOrders[Part Name]=$A641)*(T_PlannedOrders[WeekIndex]=26)*(T_PlannedOrders[EffectiveQty]&gt;0)*T_PlannedOrders[Order_Month])),"m月")&amp;"発注)")</f>
        <v/>
      </c>
      <c r="AD779">
        <f>IF(SUMIFS(T_PlannedOrders[EffectiveQty],T_PlannedOrders[Part Name],$A641,T_PlannedOrders[WeekIndex],27)=0,"",SUMIFS(T_PlannedOrders[EffectiveQty],T_PlannedOrders[Part Name],$A641,T_PlannedOrders[WeekIndex],27)&amp;" ("&amp;TEXT(SUMPRODUCT(MAX((T_PlannedOrders[Part Name]=$A641)*(T_PlannedOrders[WeekIndex]=27)*(T_PlannedOrders[EffectiveQty]&gt;0)*T_PlannedOrders[Order_Month])),"m月")&amp;"発注)")</f>
        <v/>
      </c>
      <c r="AE779">
        <f>IF(SUMIFS(T_PlannedOrders[EffectiveQty],T_PlannedOrders[Part Name],$A641,T_PlannedOrders[WeekIndex],28)=0,"",SUMIFS(T_PlannedOrders[EffectiveQty],T_PlannedOrders[Part Name],$A641,T_PlannedOrders[WeekIndex],28)&amp;" ("&amp;TEXT(SUMPRODUCT(MAX((T_PlannedOrders[Part Name]=$A641)*(T_PlannedOrders[WeekIndex]=28)*(T_PlannedOrders[EffectiveQty]&gt;0)*T_PlannedOrders[Order_Month])),"m月")&amp;"発注)")</f>
        <v/>
      </c>
      <c r="AF779">
        <f>IF(SUMIFS(T_PlannedOrders[EffectiveQty],T_PlannedOrders[Part Name],$A641,T_PlannedOrders[WeekIndex],29)=0,"",SUMIFS(T_PlannedOrders[EffectiveQty],T_PlannedOrders[Part Name],$A641,T_PlannedOrders[WeekIndex],29)&amp;" ("&amp;TEXT(SUMPRODUCT(MAX((T_PlannedOrders[Part Name]=$A641)*(T_PlannedOrders[WeekIndex]=29)*(T_PlannedOrders[EffectiveQty]&gt;0)*T_PlannedOrders[Order_Month])),"m月")&amp;"発注)")</f>
        <v/>
      </c>
      <c r="AG779">
        <f>IF(SUMIFS(T_PlannedOrders[EffectiveQty],T_PlannedOrders[Part Name],$A641,T_PlannedOrders[WeekIndex],30)=0,"",SUMIFS(T_PlannedOrders[EffectiveQty],T_PlannedOrders[Part Name],$A641,T_PlannedOrders[WeekIndex],30)&amp;" ("&amp;TEXT(SUMPRODUCT(MAX((T_PlannedOrders[Part Name]=$A641)*(T_PlannedOrders[WeekIndex]=30)*(T_PlannedOrders[EffectiveQty]&gt;0)*T_PlannedOrders[Order_Month])),"m月")&amp;"発注)")</f>
        <v/>
      </c>
      <c r="AH779">
        <f>IF(SUMIFS(T_PlannedOrders[EffectiveQty],T_PlannedOrders[Part Name],$A641,T_PlannedOrders[WeekIndex],31)=0,"",SUMIFS(T_PlannedOrders[EffectiveQty],T_PlannedOrders[Part Name],$A641,T_PlannedOrders[WeekIndex],31)&amp;" ("&amp;TEXT(SUMPRODUCT(MAX((T_PlannedOrders[Part Name]=$A641)*(T_PlannedOrders[WeekIndex]=31)*(T_PlannedOrders[EffectiveQty]&gt;0)*T_PlannedOrders[Order_Month])),"m月")&amp;"発注)")</f>
        <v/>
      </c>
      <c r="AI779">
        <f>IF(SUMIFS(T_PlannedOrders[EffectiveQty],T_PlannedOrders[Part Name],$A641,T_PlannedOrders[WeekIndex],32)=0,"",SUMIFS(T_PlannedOrders[EffectiveQty],T_PlannedOrders[Part Name],$A641,T_PlannedOrders[WeekIndex],32)&amp;" ("&amp;TEXT(SUMPRODUCT(MAX((T_PlannedOrders[Part Name]=$A641)*(T_PlannedOrders[WeekIndex]=32)*(T_PlannedOrders[EffectiveQty]&gt;0)*T_PlannedOrders[Order_Month])),"m月")&amp;"発注)")</f>
        <v/>
      </c>
      <c r="AJ779">
        <f>IF(SUMIFS(T_PlannedOrders[EffectiveQty],T_PlannedOrders[Part Name],$A641,T_PlannedOrders[WeekIndex],33)=0,"",SUMIFS(T_PlannedOrders[EffectiveQty],T_PlannedOrders[Part Name],$A641,T_PlannedOrders[WeekIndex],33)&amp;" ("&amp;TEXT(SUMPRODUCT(MAX((T_PlannedOrders[Part Name]=$A641)*(T_PlannedOrders[WeekIndex]=33)*(T_PlannedOrders[EffectiveQty]&gt;0)*T_PlannedOrders[Order_Month])),"m月")&amp;"発注)")</f>
        <v/>
      </c>
      <c r="AK779">
        <f>IF(SUMIFS(T_PlannedOrders[EffectiveQty],T_PlannedOrders[Part Name],$A641,T_PlannedOrders[WeekIndex],34)=0,"",SUMIFS(T_PlannedOrders[EffectiveQty],T_PlannedOrders[Part Name],$A641,T_PlannedOrders[WeekIndex],34)&amp;" ("&amp;TEXT(SUMPRODUCT(MAX((T_PlannedOrders[Part Name]=$A641)*(T_PlannedOrders[WeekIndex]=34)*(T_PlannedOrders[EffectiveQty]&gt;0)*T_PlannedOrders[Order_Month])),"m月")&amp;"発注)")</f>
        <v/>
      </c>
      <c r="AL779">
        <f>IF(SUMIFS(T_PlannedOrders[EffectiveQty],T_PlannedOrders[Part Name],$A641,T_PlannedOrders[WeekIndex],35)=0,"",SUMIFS(T_PlannedOrders[EffectiveQty],T_PlannedOrders[Part Name],$A641,T_PlannedOrders[WeekIndex],35)&amp;" ("&amp;TEXT(SUMPRODUCT(MAX((T_PlannedOrders[Part Name]=$A641)*(T_PlannedOrders[WeekIndex]=35)*(T_PlannedOrders[EffectiveQty]&gt;0)*T_PlannedOrders[Order_Month])),"m月")&amp;"発注)")</f>
        <v/>
      </c>
      <c r="AM779">
        <f>IF(SUMIFS(T_PlannedOrders[EffectiveQty],T_PlannedOrders[Part Name],$A641,T_PlannedOrders[WeekIndex],36)=0,"",SUMIFS(T_PlannedOrders[EffectiveQty],T_PlannedOrders[Part Name],$A641,T_PlannedOrders[WeekIndex],36)&amp;" ("&amp;TEXT(SUMPRODUCT(MAX((T_PlannedOrders[Part Name]=$A641)*(T_PlannedOrders[WeekIndex]=36)*(T_PlannedOrders[EffectiveQty]&gt;0)*T_PlannedOrders[Order_Month])),"m月")&amp;"発注)")</f>
        <v/>
      </c>
      <c r="AN779">
        <f>IF(SUMIFS(T_PlannedOrders[EffectiveQty],T_PlannedOrders[Part Name],$A641,T_PlannedOrders[WeekIndex],37)=0,"",SUMIFS(T_PlannedOrders[EffectiveQty],T_PlannedOrders[Part Name],$A641,T_PlannedOrders[WeekIndex],37)&amp;" ("&amp;TEXT(SUMPRODUCT(MAX((T_PlannedOrders[Part Name]=$A641)*(T_PlannedOrders[WeekIndex]=37)*(T_PlannedOrders[EffectiveQty]&gt;0)*T_PlannedOrders[Order_Month])),"m月")&amp;"発注)")</f>
        <v/>
      </c>
      <c r="AO779">
        <f>IF(SUMIFS(T_PlannedOrders[EffectiveQty],T_PlannedOrders[Part Name],$A641,T_PlannedOrders[WeekIndex],38)=0,"",SUMIFS(T_PlannedOrders[EffectiveQty],T_PlannedOrders[Part Name],$A641,T_PlannedOrders[WeekIndex],38)&amp;" ("&amp;TEXT(SUMPRODUCT(MAX((T_PlannedOrders[Part Name]=$A641)*(T_PlannedOrders[WeekIndex]=38)*(T_PlannedOrders[EffectiveQty]&gt;0)*T_PlannedOrders[Order_Month])),"m月")&amp;"発注)")</f>
        <v/>
      </c>
      <c r="AP779">
        <f>IF(SUMIFS(T_PlannedOrders[EffectiveQty],T_PlannedOrders[Part Name],$A641,T_PlannedOrders[WeekIndex],39)=0,"",SUMIFS(T_PlannedOrders[EffectiveQty],T_PlannedOrders[Part Name],$A641,T_PlannedOrders[WeekIndex],39)&amp;" ("&amp;TEXT(SUMPRODUCT(MAX((T_PlannedOrders[Part Name]=$A641)*(T_PlannedOrders[WeekIndex]=39)*(T_PlannedOrders[EffectiveQty]&gt;0)*T_PlannedOrders[Order_Month])),"m月")&amp;"発注)")</f>
        <v/>
      </c>
      <c r="AQ779">
        <f>IF(SUMIFS(T_PlannedOrders[EffectiveQty],T_PlannedOrders[Part Name],$A641,T_PlannedOrders[WeekIndex],40)=0,"",SUMIFS(T_PlannedOrders[EffectiveQty],T_PlannedOrders[Part Name],$A641,T_PlannedOrders[WeekIndex],40)&amp;" ("&amp;TEXT(SUMPRODUCT(MAX((T_PlannedOrders[Part Name]=$A641)*(T_PlannedOrders[WeekIndex]=40)*(T_PlannedOrders[EffectiveQty]&gt;0)*T_PlannedOrders[Order_Month])),"m月")&amp;"発注)")</f>
        <v/>
      </c>
      <c r="AR779">
        <f>IF(SUMIFS(T_PlannedOrders[EffectiveQty],T_PlannedOrders[Part Name],$A641,T_PlannedOrders[WeekIndex],41)=0,"",SUMIFS(T_PlannedOrders[EffectiveQty],T_PlannedOrders[Part Name],$A641,T_PlannedOrders[WeekIndex],41)&amp;" ("&amp;TEXT(SUMPRODUCT(MAX((T_PlannedOrders[Part Name]=$A641)*(T_PlannedOrders[WeekIndex]=41)*(T_PlannedOrders[EffectiveQty]&gt;0)*T_PlannedOrders[Order_Month])),"m月")&amp;"発注)")</f>
        <v/>
      </c>
      <c r="AS779">
        <f>IF(SUMIFS(T_PlannedOrders[EffectiveQty],T_PlannedOrders[Part Name],$A641,T_PlannedOrders[WeekIndex],42)=0,"",SUMIFS(T_PlannedOrders[EffectiveQty],T_PlannedOrders[Part Name],$A641,T_PlannedOrders[WeekIndex],42)&amp;" ("&amp;TEXT(SUMPRODUCT(MAX((T_PlannedOrders[Part Name]=$A641)*(T_PlannedOrders[WeekIndex]=42)*(T_PlannedOrders[EffectiveQty]&gt;0)*T_PlannedOrders[Order_Month])),"m月")&amp;"発注)")</f>
        <v/>
      </c>
      <c r="AT779">
        <f>IF(SUMIFS(T_PlannedOrders[EffectiveQty],T_PlannedOrders[Part Name],$A641,T_PlannedOrders[WeekIndex],43)=0,"",SUMIFS(T_PlannedOrders[EffectiveQty],T_PlannedOrders[Part Name],$A641,T_PlannedOrders[WeekIndex],43)&amp;" ("&amp;TEXT(SUMPRODUCT(MAX((T_PlannedOrders[Part Name]=$A641)*(T_PlannedOrders[WeekIndex]=43)*(T_PlannedOrders[EffectiveQty]&gt;0)*T_PlannedOrders[Order_Month])),"m月")&amp;"発注)")</f>
        <v/>
      </c>
      <c r="AU779">
        <f>IF(SUMIFS(T_PlannedOrders[EffectiveQty],T_PlannedOrders[Part Name],$A641,T_PlannedOrders[WeekIndex],44)=0,"",SUMIFS(T_PlannedOrders[EffectiveQty],T_PlannedOrders[Part Name],$A641,T_PlannedOrders[WeekIndex],44)&amp;" ("&amp;TEXT(SUMPRODUCT(MAX((T_PlannedOrders[Part Name]=$A641)*(T_PlannedOrders[WeekIndex]=44)*(T_PlannedOrders[EffectiveQty]&gt;0)*T_PlannedOrders[Order_Month])),"m月")&amp;"発注)")</f>
        <v/>
      </c>
      <c r="AV779">
        <f>IF(SUMIFS(T_PlannedOrders[EffectiveQty],T_PlannedOrders[Part Name],$A641,T_PlannedOrders[WeekIndex],45)=0,"",SUMIFS(T_PlannedOrders[EffectiveQty],T_PlannedOrders[Part Name],$A641,T_PlannedOrders[WeekIndex],45)&amp;" ("&amp;TEXT(SUMPRODUCT(MAX((T_PlannedOrders[Part Name]=$A641)*(T_PlannedOrders[WeekIndex]=45)*(T_PlannedOrders[EffectiveQty]&gt;0)*T_PlannedOrders[Order_Month])),"m月")&amp;"発注)")</f>
        <v/>
      </c>
      <c r="AW779">
        <f>IF(SUMIFS(T_PlannedOrders[EffectiveQty],T_PlannedOrders[Part Name],$A641,T_PlannedOrders[WeekIndex],46)=0,"",SUMIFS(T_PlannedOrders[EffectiveQty],T_PlannedOrders[Part Name],$A641,T_PlannedOrders[WeekIndex],46)&amp;" ("&amp;TEXT(SUMPRODUCT(MAX((T_PlannedOrders[Part Name]=$A641)*(T_PlannedOrders[WeekIndex]=46)*(T_PlannedOrders[EffectiveQty]&gt;0)*T_PlannedOrders[Order_Month])),"m月")&amp;"発注)")</f>
        <v/>
      </c>
      <c r="AX779">
        <f>IF(SUMIFS(T_PlannedOrders[EffectiveQty],T_PlannedOrders[Part Name],$A641,T_PlannedOrders[WeekIndex],47)=0,"",SUMIFS(T_PlannedOrders[EffectiveQty],T_PlannedOrders[Part Name],$A641,T_PlannedOrders[WeekIndex],47)&amp;" ("&amp;TEXT(SUMPRODUCT(MAX((T_PlannedOrders[Part Name]=$A641)*(T_PlannedOrders[WeekIndex]=47)*(T_PlannedOrders[EffectiveQty]&gt;0)*T_PlannedOrders[Order_Month])),"m月")&amp;"発注)")</f>
        <v/>
      </c>
      <c r="AY779">
        <f>IF(SUMIFS(T_PlannedOrders[EffectiveQty],T_PlannedOrders[Part Name],$A641,T_PlannedOrders[WeekIndex],48)=0,"",SUMIFS(T_PlannedOrders[EffectiveQty],T_PlannedOrders[Part Name],$A641,T_PlannedOrders[WeekIndex],48)&amp;" ("&amp;TEXT(SUMPRODUCT(MAX((T_PlannedOrders[Part Name]=$A641)*(T_PlannedOrders[WeekIndex]=48)*(T_PlannedOrders[EffectiveQty]&gt;0)*T_PlannedOrders[Order_Month])),"m月")&amp;"発注)")</f>
        <v/>
      </c>
      <c r="AZ779">
        <f>IF(SUMIFS(T_PlannedOrders[EffectiveQty],T_PlannedOrders[Part Name],$A641,T_PlannedOrders[WeekIndex],49)=0,"",SUMIFS(T_PlannedOrders[EffectiveQty],T_PlannedOrders[Part Name],$A641,T_PlannedOrders[WeekIndex],49)&amp;" ("&amp;TEXT(SUMPRODUCT(MAX((T_PlannedOrders[Part Name]=$A641)*(T_PlannedOrders[WeekIndex]=49)*(T_PlannedOrders[EffectiveQty]&gt;0)*T_PlannedOrders[Order_Month])),"m月")&amp;"発注)")</f>
        <v/>
      </c>
      <c r="BA779">
        <f>IF(SUMIFS(T_PlannedOrders[EffectiveQty],T_PlannedOrders[Part Name],$A641,T_PlannedOrders[WeekIndex],50)=0,"",SUMIFS(T_PlannedOrders[EffectiveQty],T_PlannedOrders[Part Name],$A641,T_PlannedOrders[WeekIndex],50)&amp;" ("&amp;TEXT(SUMPRODUCT(MAX((T_PlannedOrders[Part Name]=$A641)*(T_PlannedOrders[WeekIndex]=50)*(T_PlannedOrders[EffectiveQty]&gt;0)*T_PlannedOrders[Order_Month])),"m月")&amp;"発注)")</f>
        <v/>
      </c>
      <c r="BB779">
        <f>IF(SUMIFS(T_PlannedOrders[EffectiveQty],T_PlannedOrders[Part Name],$A641,T_PlannedOrders[WeekIndex],51)=0,"",SUMIFS(T_PlannedOrders[EffectiveQty],T_PlannedOrders[Part Name],$A641,T_PlannedOrders[WeekIndex],51)&amp;" ("&amp;TEXT(SUMPRODUCT(MAX((T_PlannedOrders[Part Name]=$A641)*(T_PlannedOrders[WeekIndex]=51)*(T_PlannedOrders[EffectiveQty]&gt;0)*T_PlannedOrders[Order_Month])),"m月")&amp;"発注)")</f>
        <v/>
      </c>
      <c r="BC779">
        <f>IF(SUMIFS(T_PlannedOrders[EffectiveQty],T_PlannedOrders[Part Name],$A641,T_PlannedOrders[WeekIndex],52)=0,"",SUMIFS(T_PlannedOrders[EffectiveQty],T_PlannedOrders[Part Name],$A641,T_PlannedOrders[WeekIndex],52)&amp;" ("&amp;TEXT(SUMPRODUCT(MAX((T_PlannedOrders[Part Name]=$A641)*(T_PlannedOrders[WeekIndex]=52)*(T_PlannedOrders[EffectiveQty]&gt;0)*T_PlannedOrders[Order_Month])),"m月")&amp;"発注)")</f>
        <v/>
      </c>
      <c r="BD779">
        <f>IF(SUMIFS(T_PlannedOrders[EffectiveQty],T_PlannedOrders[Part Name],$A641,T_PlannedOrders[WeekIndex],53)=0,"",SUMIFS(T_PlannedOrders[EffectiveQty],T_PlannedOrders[Part Name],$A641,T_PlannedOrders[WeekIndex],53)&amp;" ("&amp;TEXT(SUMPRODUCT(MAX((T_PlannedOrders[Part Name]=$A641)*(T_PlannedOrders[WeekIndex]=53)*(T_PlannedOrders[EffectiveQty]&gt;0)*T_PlannedOrders[Order_Month])),"m月")&amp;"発注)")</f>
        <v/>
      </c>
      <c r="BE779">
        <f>IF(SUMIFS(T_PlannedOrders[EffectiveQty],T_PlannedOrders[Part Name],$A641,T_PlannedOrders[WeekIndex],54)=0,"",SUMIFS(T_PlannedOrders[EffectiveQty],T_PlannedOrders[Part Name],$A641,T_PlannedOrders[WeekIndex],54)&amp;" ("&amp;TEXT(SUMPRODUCT(MAX((T_PlannedOrders[Part Name]=$A641)*(T_PlannedOrders[WeekIndex]=54)*(T_PlannedOrders[EffectiveQty]&gt;0)*T_PlannedOrders[Order_Month])),"m月")&amp;"発注)")</f>
        <v/>
      </c>
      <c r="BF779">
        <f>IF(SUMIFS(T_PlannedOrders[EffectiveQty],T_PlannedOrders[Part Name],$A641,T_PlannedOrders[WeekIndex],55)=0,"",SUMIFS(T_PlannedOrders[EffectiveQty],T_PlannedOrders[Part Name],$A641,T_PlannedOrders[WeekIndex],55)&amp;" ("&amp;TEXT(SUMPRODUCT(MAX((T_PlannedOrders[Part Name]=$A641)*(T_PlannedOrders[WeekIndex]=55)*(T_PlannedOrders[EffectiveQty]&gt;0)*T_PlannedOrders[Order_Month])),"m月")&amp;"発注)")</f>
        <v/>
      </c>
      <c r="BG779">
        <f>IF(SUMIFS(T_PlannedOrders[EffectiveQty],T_PlannedOrders[Part Name],$A641,T_PlannedOrders[WeekIndex],56)=0,"",SUMIFS(T_PlannedOrders[EffectiveQty],T_PlannedOrders[Part Name],$A641,T_PlannedOrders[WeekIndex],56)&amp;" ("&amp;TEXT(SUMPRODUCT(MAX((T_PlannedOrders[Part Name]=$A641)*(T_PlannedOrders[WeekIndex]=56)*(T_PlannedOrders[EffectiveQty]&gt;0)*T_PlannedOrders[Order_Month])),"m月")&amp;"発注)")</f>
        <v/>
      </c>
      <c r="BH779">
        <f>IF(SUMIFS(T_PlannedOrders[EffectiveQty],T_PlannedOrders[Part Name],$A641,T_PlannedOrders[WeekIndex],57)=0,"",SUMIFS(T_PlannedOrders[EffectiveQty],T_PlannedOrders[Part Name],$A641,T_PlannedOrders[WeekIndex],57)&amp;" ("&amp;TEXT(SUMPRODUCT(MAX((T_PlannedOrders[Part Name]=$A641)*(T_PlannedOrders[WeekIndex]=57)*(T_PlannedOrders[EffectiveQty]&gt;0)*T_PlannedOrders[Order_Month])),"m月")&amp;"発注)")</f>
        <v/>
      </c>
      <c r="BI779">
        <f>IF(SUMIFS(T_PlannedOrders[EffectiveQty],T_PlannedOrders[Part Name],$A641,T_PlannedOrders[WeekIndex],58)=0,"",SUMIFS(T_PlannedOrders[EffectiveQty],T_PlannedOrders[Part Name],$A641,T_PlannedOrders[WeekIndex],58)&amp;" ("&amp;TEXT(SUMPRODUCT(MAX((T_PlannedOrders[Part Name]=$A641)*(T_PlannedOrders[WeekIndex]=58)*(T_PlannedOrders[EffectiveQty]&gt;0)*T_PlannedOrders[Order_Month])),"m月")&amp;"発注)")</f>
        <v/>
      </c>
      <c r="BJ779">
        <f>IF(SUMIFS(T_PlannedOrders[EffectiveQty],T_PlannedOrders[Part Name],$A641,T_PlannedOrders[WeekIndex],59)=0,"",SUMIFS(T_PlannedOrders[EffectiveQty],T_PlannedOrders[Part Name],$A641,T_PlannedOrders[WeekIndex],59)&amp;" ("&amp;TEXT(SUMPRODUCT(MAX((T_PlannedOrders[Part Name]=$A641)*(T_PlannedOrders[WeekIndex]=59)*(T_PlannedOrders[EffectiveQty]&gt;0)*T_PlannedOrders[Order_Month])),"m月")&amp;"発注)")</f>
        <v/>
      </c>
      <c r="BK779">
        <f>IF(SUMIFS(T_PlannedOrders[EffectiveQty],T_PlannedOrders[Part Name],$A641,T_PlannedOrders[WeekIndex],60)=0,"",SUMIFS(T_PlannedOrders[EffectiveQty],T_PlannedOrders[Part Name],$A641,T_PlannedOrders[WeekIndex],60)&amp;" ("&amp;TEXT(SUMPRODUCT(MAX((T_PlannedOrders[Part Name]=$A641)*(T_PlannedOrders[WeekIndex]=60)*(T_PlannedOrders[EffectiveQty]&gt;0)*T_PlannedOrders[Order_Month])),"m月")&amp;"発注)")</f>
        <v/>
      </c>
      <c r="BL779">
        <f>IF(SUMIFS(T_PlannedOrders[EffectiveQty],T_PlannedOrders[Part Name],$A641,T_PlannedOrders[WeekIndex],61)=0,"",SUMIFS(T_PlannedOrders[EffectiveQty],T_PlannedOrders[Part Name],$A641,T_PlannedOrders[WeekIndex],61)&amp;" ("&amp;TEXT(SUMPRODUCT(MAX((T_PlannedOrders[Part Name]=$A641)*(T_PlannedOrders[WeekIndex]=61)*(T_PlannedOrders[EffectiveQty]&gt;0)*T_PlannedOrders[Order_Month])),"m月")&amp;"発注)")</f>
        <v/>
      </c>
      <c r="BM779">
        <f>IF(SUMIFS(T_PlannedOrders[EffectiveQty],T_PlannedOrders[Part Name],$A641,T_PlannedOrders[WeekIndex],62)=0,"",SUMIFS(T_PlannedOrders[EffectiveQty],T_PlannedOrders[Part Name],$A641,T_PlannedOrders[WeekIndex],62)&amp;" ("&amp;TEXT(SUMPRODUCT(MAX((T_PlannedOrders[Part Name]=$A641)*(T_PlannedOrders[WeekIndex]=62)*(T_PlannedOrders[EffectiveQty]&gt;0)*T_PlannedOrders[Order_Month])),"m月")&amp;"発注)")</f>
        <v/>
      </c>
      <c r="BN779">
        <f>IF(SUMIFS(T_PlannedOrders[EffectiveQty],T_PlannedOrders[Part Name],$A641,T_PlannedOrders[WeekIndex],63)=0,"",SUMIFS(T_PlannedOrders[EffectiveQty],T_PlannedOrders[Part Name],$A641,T_PlannedOrders[WeekIndex],63)&amp;" ("&amp;TEXT(SUMPRODUCT(MAX((T_PlannedOrders[Part Name]=$A641)*(T_PlannedOrders[WeekIndex]=63)*(T_PlannedOrders[EffectiveQty]&gt;0)*T_PlannedOrders[Order_Month])),"m月")&amp;"発注)")</f>
        <v/>
      </c>
      <c r="BO779">
        <f>IF(SUMIFS(T_PlannedOrders[EffectiveQty],T_PlannedOrders[Part Name],$A641,T_PlannedOrders[WeekIndex],64)=0,"",SUMIFS(T_PlannedOrders[EffectiveQty],T_PlannedOrders[Part Name],$A641,T_PlannedOrders[WeekIndex],64)&amp;" ("&amp;TEXT(SUMPRODUCT(MAX((T_PlannedOrders[Part Name]=$A641)*(T_PlannedOrders[WeekIndex]=64)*(T_PlannedOrders[EffectiveQty]&gt;0)*T_PlannedOrders[Order_Month])),"m月")&amp;"発注)")</f>
        <v/>
      </c>
      <c r="BP779">
        <f>IF(SUMIFS(T_PlannedOrders[EffectiveQty],T_PlannedOrders[Part Name],$A641,T_PlannedOrders[WeekIndex],65)=0,"",SUMIFS(T_PlannedOrders[EffectiveQty],T_PlannedOrders[Part Name],$A641,T_PlannedOrders[WeekIndex],65)&amp;" ("&amp;TEXT(SUMPRODUCT(MAX((T_PlannedOrders[Part Name]=$A641)*(T_PlannedOrders[WeekIndex]=65)*(T_PlannedOrders[EffectiveQty]&gt;0)*T_PlannedOrders[Order_Month])),"m月")&amp;"発注)")</f>
        <v/>
      </c>
      <c r="BQ779">
        <f>IF(SUMIFS(T_PlannedOrders[EffectiveQty],T_PlannedOrders[Part Name],$A641,T_PlannedOrders[WeekIndex],66)=0,"",SUMIFS(T_PlannedOrders[EffectiveQty],T_PlannedOrders[Part Name],$A641,T_PlannedOrders[WeekIndex],66)&amp;" ("&amp;TEXT(SUMPRODUCT(MAX((T_PlannedOrders[Part Name]=$A641)*(T_PlannedOrders[WeekIndex]=66)*(T_PlannedOrders[EffectiveQty]&gt;0)*T_PlannedOrders[Order_Month])),"m月")&amp;"発注)")</f>
        <v/>
      </c>
      <c r="BR779">
        <f>IF(SUMIFS(T_PlannedOrders[EffectiveQty],T_PlannedOrders[Part Name],$A641,T_PlannedOrders[WeekIndex],67)=0,"",SUMIFS(T_PlannedOrders[EffectiveQty],T_PlannedOrders[Part Name],$A641,T_PlannedOrders[WeekIndex],67)&amp;" ("&amp;TEXT(SUMPRODUCT(MAX((T_PlannedOrders[Part Name]=$A641)*(T_PlannedOrders[WeekIndex]=67)*(T_PlannedOrders[EffectiveQty]&gt;0)*T_PlannedOrders[Order_Month])),"m月")&amp;"発注)")</f>
        <v/>
      </c>
      <c r="BS779">
        <f>IF(SUMIFS(T_PlannedOrders[EffectiveQty],T_PlannedOrders[Part Name],$A641,T_PlannedOrders[WeekIndex],68)=0,"",SUMIFS(T_PlannedOrders[EffectiveQty],T_PlannedOrders[Part Name],$A641,T_PlannedOrders[WeekIndex],68)&amp;" ("&amp;TEXT(SUMPRODUCT(MAX((T_PlannedOrders[Part Name]=$A641)*(T_PlannedOrders[WeekIndex]=68)*(T_PlannedOrders[EffectiveQty]&gt;0)*T_PlannedOrders[Order_Month])),"m月")&amp;"発注)")</f>
        <v/>
      </c>
      <c r="BT779">
        <f>IF(SUMIFS(T_PlannedOrders[EffectiveQty],T_PlannedOrders[Part Name],$A641,T_PlannedOrders[WeekIndex],69)=0,"",SUMIFS(T_PlannedOrders[EffectiveQty],T_PlannedOrders[Part Name],$A641,T_PlannedOrders[WeekIndex],69)&amp;" ("&amp;TEXT(SUMPRODUCT(MAX((T_PlannedOrders[Part Name]=$A641)*(T_PlannedOrders[WeekIndex]=69)*(T_PlannedOrders[EffectiveQty]&gt;0)*T_PlannedOrders[Order_Month])),"m月")&amp;"発注)")</f>
        <v/>
      </c>
      <c r="BU779">
        <f>IF(SUMIFS(T_PlannedOrders[EffectiveQty],T_PlannedOrders[Part Name],$A641,T_PlannedOrders[WeekIndex],70)=0,"",SUMIFS(T_PlannedOrders[EffectiveQty],T_PlannedOrders[Part Name],$A641,T_PlannedOrders[WeekIndex],70)&amp;" ("&amp;TEXT(SUMPRODUCT(MAX((T_PlannedOrders[Part Name]=$A641)*(T_PlannedOrders[WeekIndex]=70)*(T_PlannedOrders[EffectiveQty]&gt;0)*T_PlannedOrders[Order_Month])),"m月")&amp;"発注)")</f>
        <v/>
      </c>
      <c r="BV779">
        <f>IF(SUMIFS(T_PlannedOrders[EffectiveQty],T_PlannedOrders[Part Name],$A641,T_PlannedOrders[WeekIndex],71)=0,"",SUMIFS(T_PlannedOrders[EffectiveQty],T_PlannedOrders[Part Name],$A641,T_PlannedOrders[WeekIndex],71)&amp;" ("&amp;TEXT(SUMPRODUCT(MAX((T_PlannedOrders[Part Name]=$A641)*(T_PlannedOrders[WeekIndex]=71)*(T_PlannedOrders[EffectiveQty]&gt;0)*T_PlannedOrders[Order_Month])),"m月")&amp;"発注)")</f>
        <v/>
      </c>
      <c r="BW779">
        <f>IF(SUMIFS(T_PlannedOrders[EffectiveQty],T_PlannedOrders[Part Name],$A641,T_PlannedOrders[WeekIndex],72)=0,"",SUMIFS(T_PlannedOrders[EffectiveQty],T_PlannedOrders[Part Name],$A641,T_PlannedOrders[WeekIndex],72)&amp;" ("&amp;TEXT(SUMPRODUCT(MAX((T_PlannedOrders[Part Name]=$A641)*(T_PlannedOrders[WeekIndex]=72)*(T_PlannedOrders[EffectiveQty]&gt;0)*T_PlannedOrders[Order_Month])),"m月")&amp;"発注)")</f>
        <v/>
      </c>
      <c r="BX779">
        <f>IF(SUMIFS(T_PlannedOrders[EffectiveQty],T_PlannedOrders[Part Name],$A641,T_PlannedOrders[WeekIndex],73)=0,"",SUMIFS(T_PlannedOrders[EffectiveQty],T_PlannedOrders[Part Name],$A641,T_PlannedOrders[WeekIndex],73)&amp;" ("&amp;TEXT(SUMPRODUCT(MAX((T_PlannedOrders[Part Name]=$A641)*(T_PlannedOrders[WeekIndex]=73)*(T_PlannedOrders[EffectiveQty]&gt;0)*T_PlannedOrders[Order_Month])),"m月")&amp;"発注)")</f>
        <v/>
      </c>
      <c r="BY779">
        <f>IF(SUMIFS(T_PlannedOrders[EffectiveQty],T_PlannedOrders[Part Name],$A641,T_PlannedOrders[WeekIndex],74)=0,"",SUMIFS(T_PlannedOrders[EffectiveQty],T_PlannedOrders[Part Name],$A641,T_PlannedOrders[WeekIndex],74)&amp;" ("&amp;TEXT(SUMPRODUCT(MAX((T_PlannedOrders[Part Name]=$A641)*(T_PlannedOrders[WeekIndex]=74)*(T_PlannedOrders[EffectiveQty]&gt;0)*T_PlannedOrders[Order_Month])),"m月")&amp;"発注)")</f>
        <v/>
      </c>
      <c r="BZ779">
        <f>IF(SUMIFS(T_PlannedOrders[EffectiveQty],T_PlannedOrders[Part Name],$A641,T_PlannedOrders[WeekIndex],75)=0,"",SUMIFS(T_PlannedOrders[EffectiveQty],T_PlannedOrders[Part Name],$A641,T_PlannedOrders[WeekIndex],75)&amp;" ("&amp;TEXT(SUMPRODUCT(MAX((T_PlannedOrders[Part Name]=$A641)*(T_PlannedOrders[WeekIndex]=75)*(T_PlannedOrders[EffectiveQty]&gt;0)*T_PlannedOrders[Order_Month])),"m月")&amp;"発注)")</f>
        <v/>
      </c>
      <c r="CA779">
        <f>IF(SUMIFS(T_PlannedOrders[EffectiveQty],T_PlannedOrders[Part Name],$A641,T_PlannedOrders[WeekIndex],76)=0,"",SUMIFS(T_PlannedOrders[EffectiveQty],T_PlannedOrders[Part Name],$A641,T_PlannedOrders[WeekIndex],76)&amp;" ("&amp;TEXT(SUMPRODUCT(MAX((T_PlannedOrders[Part Name]=$A641)*(T_PlannedOrders[WeekIndex]=76)*(T_PlannedOrders[EffectiveQty]&gt;0)*T_PlannedOrders[Order_Month])),"m月")&amp;"発注)")</f>
        <v/>
      </c>
      <c r="CB779">
        <f>IF(SUMIFS(T_PlannedOrders[EffectiveQty],T_PlannedOrders[Part Name],$A641,T_PlannedOrders[WeekIndex],77)=0,"",SUMIFS(T_PlannedOrders[EffectiveQty],T_PlannedOrders[Part Name],$A641,T_PlannedOrders[WeekIndex],77)&amp;" ("&amp;TEXT(SUMPRODUCT(MAX((T_PlannedOrders[Part Name]=$A641)*(T_PlannedOrders[WeekIndex]=77)*(T_PlannedOrders[EffectiveQty]&gt;0)*T_PlannedOrders[Order_Month])),"m月")&amp;"発注)")</f>
        <v/>
      </c>
      <c r="CC779">
        <f>IF(SUMIFS(T_PlannedOrders[EffectiveQty],T_PlannedOrders[Part Name],$A641,T_PlannedOrders[WeekIndex],78)=0,"",SUMIFS(T_PlannedOrders[EffectiveQty],T_PlannedOrders[Part Name],$A641,T_PlannedOrders[WeekIndex],78)&amp;" ("&amp;TEXT(SUMPRODUCT(MAX((T_PlannedOrders[Part Name]=$A641)*(T_PlannedOrders[WeekIndex]=78)*(T_PlannedOrders[EffectiveQty]&gt;0)*T_PlannedOrders[Order_Month])),"m月")&amp;"発注)")</f>
        <v/>
      </c>
      <c r="CD779">
        <f>IF(SUMIFS(T_PlannedOrders[EffectiveQty],T_PlannedOrders[Part Name],$A641,T_PlannedOrders[WeekIndex],79)=0,"",SUMIFS(T_PlannedOrders[EffectiveQty],T_PlannedOrders[Part Name],$A641,T_PlannedOrders[WeekIndex],79)&amp;" ("&amp;TEXT(SUMPRODUCT(MAX((T_PlannedOrders[Part Name]=$A641)*(T_PlannedOrders[WeekIndex]=79)*(T_PlannedOrders[EffectiveQty]&gt;0)*T_PlannedOrders[Order_Month])),"m月")&amp;"発注)")</f>
        <v/>
      </c>
      <c r="CE779">
        <f>IF(SUMIFS(T_PlannedOrders[EffectiveQty],T_PlannedOrders[Part Name],$A641,T_PlannedOrders[WeekIndex],80)=0,"",SUMIFS(T_PlannedOrders[EffectiveQty],T_PlannedOrders[Part Name],$A641,T_PlannedOrders[WeekIndex],80)&amp;" ("&amp;TEXT(SUMPRODUCT(MAX((T_PlannedOrders[Part Name]=$A641)*(T_PlannedOrders[WeekIndex]=80)*(T_PlannedOrders[EffectiveQty]&gt;0)*T_PlannedOrders[Order_Month])),"m月")&amp;"発注)")</f>
        <v/>
      </c>
      <c r="CF779">
        <f>IF(SUMIFS(T_PlannedOrders[EffectiveQty],T_PlannedOrders[Part Name],$A641,T_PlannedOrders[WeekIndex],81)=0,"",SUMIFS(T_PlannedOrders[EffectiveQty],T_PlannedOrders[Part Name],$A641,T_PlannedOrders[WeekIndex],81)&amp;" ("&amp;TEXT(SUMPRODUCT(MAX((T_PlannedOrders[Part Name]=$A641)*(T_PlannedOrders[WeekIndex]=81)*(T_PlannedOrders[EffectiveQty]&gt;0)*T_PlannedOrders[Order_Month])),"m月")&amp;"発注)")</f>
        <v/>
      </c>
      <c r="CG779">
        <f>IF(SUMIFS(T_PlannedOrders[EffectiveQty],T_PlannedOrders[Part Name],$A641,T_PlannedOrders[WeekIndex],82)=0,"",SUMIFS(T_PlannedOrders[EffectiveQty],T_PlannedOrders[Part Name],$A641,T_PlannedOrders[WeekIndex],82)&amp;" ("&amp;TEXT(SUMPRODUCT(MAX((T_PlannedOrders[Part Name]=$A641)*(T_PlannedOrders[WeekIndex]=82)*(T_PlannedOrders[EffectiveQty]&gt;0)*T_PlannedOrders[Order_Month])),"m月")&amp;"発注)")</f>
        <v/>
      </c>
      <c r="CH779">
        <f>IF(SUMIFS(T_PlannedOrders[EffectiveQty],T_PlannedOrders[Part Name],$A641,T_PlannedOrders[WeekIndex],83)=0,"",SUMIFS(T_PlannedOrders[EffectiveQty],T_PlannedOrders[Part Name],$A641,T_PlannedOrders[WeekIndex],83)&amp;" ("&amp;TEXT(SUMPRODUCT(MAX((T_PlannedOrders[Part Name]=$A641)*(T_PlannedOrders[WeekIndex]=83)*(T_PlannedOrders[EffectiveQty]&gt;0)*T_PlannedOrders[Order_Month])),"m月")&amp;"発注)")</f>
        <v/>
      </c>
      <c r="CI779">
        <f>IF(SUMIFS(T_PlannedOrders[EffectiveQty],T_PlannedOrders[Part Name],$A641,T_PlannedOrders[WeekIndex],84)=0,"",SUMIFS(T_PlannedOrders[EffectiveQty],T_PlannedOrders[Part Name],$A641,T_PlannedOrders[WeekIndex],84)&amp;" ("&amp;TEXT(SUMPRODUCT(MAX((T_PlannedOrders[Part Name]=$A641)*(T_PlannedOrders[WeekIndex]=84)*(T_PlannedOrders[EffectiveQty]&gt;0)*T_PlannedOrders[Order_Month])),"m月")&amp;"発注)")</f>
        <v/>
      </c>
      <c r="CJ779">
        <f>IF(SUMIFS(T_PlannedOrders[EffectiveQty],T_PlannedOrders[Part Name],$A641,T_PlannedOrders[WeekIndex],85)=0,"",SUMIFS(T_PlannedOrders[EffectiveQty],T_PlannedOrders[Part Name],$A641,T_PlannedOrders[WeekIndex],85)&amp;" ("&amp;TEXT(SUMPRODUCT(MAX((T_PlannedOrders[Part Name]=$A641)*(T_PlannedOrders[WeekIndex]=85)*(T_PlannedOrders[EffectiveQty]&gt;0)*T_PlannedOrders[Order_Month])),"m月")&amp;"発注)")</f>
        <v/>
      </c>
      <c r="CK779">
        <f>IF(SUMIFS(T_PlannedOrders[EffectiveQty],T_PlannedOrders[Part Name],$A641,T_PlannedOrders[WeekIndex],86)=0,"",SUMIFS(T_PlannedOrders[EffectiveQty],T_PlannedOrders[Part Name],$A641,T_PlannedOrders[WeekIndex],86)&amp;" ("&amp;TEXT(SUMPRODUCT(MAX((T_PlannedOrders[Part Name]=$A641)*(T_PlannedOrders[WeekIndex]=86)*(T_PlannedOrders[EffectiveQty]&gt;0)*T_PlannedOrders[Order_Month])),"m月")&amp;"発注)")</f>
        <v/>
      </c>
      <c r="CL779">
        <f>IF(SUMIFS(T_PlannedOrders[EffectiveQty],T_PlannedOrders[Part Name],$A641,T_PlannedOrders[WeekIndex],87)=0,"",SUMIFS(T_PlannedOrders[EffectiveQty],T_PlannedOrders[Part Name],$A641,T_PlannedOrders[WeekIndex],87)&amp;" ("&amp;TEXT(SUMPRODUCT(MAX((T_PlannedOrders[Part Name]=$A641)*(T_PlannedOrders[WeekIndex]=87)*(T_PlannedOrders[EffectiveQty]&gt;0)*T_PlannedOrders[Order_Month])),"m月")&amp;"発注)")</f>
        <v/>
      </c>
      <c r="CM779">
        <f>IF(SUMIFS(T_PlannedOrders[EffectiveQty],T_PlannedOrders[Part Name],$A641,T_PlannedOrders[WeekIndex],88)=0,"",SUMIFS(T_PlannedOrders[EffectiveQty],T_PlannedOrders[Part Name],$A641,T_PlannedOrders[WeekIndex],88)&amp;" ("&amp;TEXT(SUMPRODUCT(MAX((T_PlannedOrders[Part Name]=$A641)*(T_PlannedOrders[WeekIndex]=88)*(T_PlannedOrders[EffectiveQty]&gt;0)*T_PlannedOrders[Order_Month])),"m月")&amp;"発注)")</f>
        <v/>
      </c>
      <c r="CN779">
        <f>IF(SUMIFS(T_PlannedOrders[EffectiveQty],T_PlannedOrders[Part Name],$A641,T_PlannedOrders[WeekIndex],89)=0,"",SUMIFS(T_PlannedOrders[EffectiveQty],T_PlannedOrders[Part Name],$A641,T_PlannedOrders[WeekIndex],89)&amp;" ("&amp;TEXT(SUMPRODUCT(MAX((T_PlannedOrders[Part Name]=$A641)*(T_PlannedOrders[WeekIndex]=89)*(T_PlannedOrders[EffectiveQty]&gt;0)*T_PlannedOrders[Order_Month])),"m月")&amp;"発注)")</f>
        <v/>
      </c>
      <c r="CO779">
        <f>IF(SUMIFS(T_PlannedOrders[EffectiveQty],T_PlannedOrders[Part Name],$A641,T_PlannedOrders[WeekIndex],90)=0,"",SUMIFS(T_PlannedOrders[EffectiveQty],T_PlannedOrders[Part Name],$A641,T_PlannedOrders[WeekIndex],90)&amp;" ("&amp;TEXT(SUMPRODUCT(MAX((T_PlannedOrders[Part Name]=$A641)*(T_PlannedOrders[WeekIndex]=90)*(T_PlannedOrders[EffectiveQty]&gt;0)*T_PlannedOrders[Order_Month])),"m月")&amp;"発注)")</f>
        <v/>
      </c>
      <c r="CP779">
        <f>IF(SUMIFS(T_PlannedOrders[EffectiveQty],T_PlannedOrders[Part Name],$A641,T_PlannedOrders[WeekIndex],91)=0,"",SUMIFS(T_PlannedOrders[EffectiveQty],T_PlannedOrders[Part Name],$A641,T_PlannedOrders[WeekIndex],91)&amp;" ("&amp;TEXT(SUMPRODUCT(MAX((T_PlannedOrders[Part Name]=$A641)*(T_PlannedOrders[WeekIndex]=91)*(T_PlannedOrders[EffectiveQty]&gt;0)*T_PlannedOrders[Order_Month])),"m月")&amp;"発注)")</f>
        <v/>
      </c>
      <c r="CQ779">
        <f>IF(SUMIFS(T_PlannedOrders[EffectiveQty],T_PlannedOrders[Part Name],$A641,T_PlannedOrders[WeekIndex],92)=0,"",SUMIFS(T_PlannedOrders[EffectiveQty],T_PlannedOrders[Part Name],$A641,T_PlannedOrders[WeekIndex],92)&amp;" ("&amp;TEXT(SUMPRODUCT(MAX((T_PlannedOrders[Part Name]=$A641)*(T_PlannedOrders[WeekIndex]=92)*(T_PlannedOrders[EffectiveQty]&gt;0)*T_PlannedOrders[Order_Month])),"m月")&amp;"発注)")</f>
        <v/>
      </c>
      <c r="CR779">
        <f>IF(SUMIFS(T_PlannedOrders[EffectiveQty],T_PlannedOrders[Part Name],$A641,T_PlannedOrders[WeekIndex],93)=0,"",SUMIFS(T_PlannedOrders[EffectiveQty],T_PlannedOrders[Part Name],$A641,T_PlannedOrders[WeekIndex],93)&amp;" ("&amp;TEXT(SUMPRODUCT(MAX((T_PlannedOrders[Part Name]=$A641)*(T_PlannedOrders[WeekIndex]=93)*(T_PlannedOrders[EffectiveQty]&gt;0)*T_PlannedOrders[Order_Month])),"m月")&amp;"発注)")</f>
        <v/>
      </c>
      <c r="CS779">
        <f>IF(SUMIFS(T_PlannedOrders[EffectiveQty],T_PlannedOrders[Part Name],$A641,T_PlannedOrders[WeekIndex],94)=0,"",SUMIFS(T_PlannedOrders[EffectiveQty],T_PlannedOrders[Part Name],$A641,T_PlannedOrders[WeekIndex],94)&amp;" ("&amp;TEXT(SUMPRODUCT(MAX((T_PlannedOrders[Part Name]=$A641)*(T_PlannedOrders[WeekIndex]=94)*(T_PlannedOrders[EffectiveQty]&gt;0)*T_PlannedOrders[Order_Month])),"m月")&amp;"発注)")</f>
        <v/>
      </c>
      <c r="CT779">
        <f>IF(SUMIFS(T_PlannedOrders[EffectiveQty],T_PlannedOrders[Part Name],$A641,T_PlannedOrders[WeekIndex],95)=0,"",SUMIFS(T_PlannedOrders[EffectiveQty],T_PlannedOrders[Part Name],$A641,T_PlannedOrders[WeekIndex],95)&amp;" ("&amp;TEXT(SUMPRODUCT(MAX((T_PlannedOrders[Part Name]=$A641)*(T_PlannedOrders[WeekIndex]=95)*(T_PlannedOrders[EffectiveQty]&gt;0)*T_PlannedOrders[Order_Month])),"m月")&amp;"発注)")</f>
        <v/>
      </c>
      <c r="CU779">
        <f>IF(SUMIFS(T_PlannedOrders[EffectiveQty],T_PlannedOrders[Part Name],$A641,T_PlannedOrders[WeekIndex],96)=0,"",SUMIFS(T_PlannedOrders[EffectiveQty],T_PlannedOrders[Part Name],$A641,T_PlannedOrders[WeekIndex],96)&amp;" ("&amp;TEXT(SUMPRODUCT(MAX((T_PlannedOrders[Part Name]=$A641)*(T_PlannedOrders[WeekIndex]=96)*(T_PlannedOrders[EffectiveQty]&gt;0)*T_PlannedOrders[Order_Month])),"m月")&amp;"発注)")</f>
        <v/>
      </c>
      <c r="CV779">
        <f>IF(SUMIFS(T_PlannedOrders[EffectiveQty],T_PlannedOrders[Part Name],$A641,T_PlannedOrders[WeekIndex],97)=0,"",SUMIFS(T_PlannedOrders[EffectiveQty],T_PlannedOrders[Part Name],$A641,T_PlannedOrders[WeekIndex],97)&amp;" ("&amp;TEXT(SUMPRODUCT(MAX((T_PlannedOrders[Part Name]=$A641)*(T_PlannedOrders[WeekIndex]=97)*(T_PlannedOrders[EffectiveQty]&gt;0)*T_PlannedOrders[Order_Month])),"m月")&amp;"発注)")</f>
        <v/>
      </c>
      <c r="CW779">
        <f>IF(SUMIFS(T_PlannedOrders[EffectiveQty],T_PlannedOrders[Part Name],$A641,T_PlannedOrders[WeekIndex],98)=0,"",SUMIFS(T_PlannedOrders[EffectiveQty],T_PlannedOrders[Part Name],$A641,T_PlannedOrders[WeekIndex],98)&amp;" ("&amp;TEXT(SUMPRODUCT(MAX((T_PlannedOrders[Part Name]=$A641)*(T_PlannedOrders[WeekIndex]=98)*(T_PlannedOrders[EffectiveQty]&gt;0)*T_PlannedOrders[Order_Month])),"m月")&amp;"発注)")</f>
        <v/>
      </c>
      <c r="CX779">
        <f>IF(SUMIFS(T_PlannedOrders[EffectiveQty],T_PlannedOrders[Part Name],$A641,T_PlannedOrders[WeekIndex],99)=0,"",SUMIFS(T_PlannedOrders[EffectiveQty],T_PlannedOrders[Part Name],$A641,T_PlannedOrders[WeekIndex],99)&amp;" ("&amp;TEXT(SUMPRODUCT(MAX((T_PlannedOrders[Part Name]=$A641)*(T_PlannedOrders[WeekIndex]=99)*(T_PlannedOrders[EffectiveQty]&gt;0)*T_PlannedOrders[Order_Month])),"m月")&amp;"発注)")</f>
        <v/>
      </c>
      <c r="CY779">
        <f>IF(SUMIFS(T_PlannedOrders[EffectiveQty],T_PlannedOrders[Part Name],$A641,T_PlannedOrders[WeekIndex],100)=0,"",SUMIFS(T_PlannedOrders[EffectiveQty],T_PlannedOrders[Part Name],$A641,T_PlannedOrders[WeekIndex],100)&amp;" ("&amp;TEXT(SUMPRODUCT(MAX((T_PlannedOrders[Part Name]=$A641)*(T_PlannedOrders[WeekIndex]=100)*(T_PlannedOrders[EffectiveQty]&gt;0)*T_PlannedOrders[Order_Month])),"m月")&amp;"発注)")</f>
        <v/>
      </c>
      <c r="CZ779">
        <f>IF(SUMIFS(T_PlannedOrders[EffectiveQty],T_PlannedOrders[Part Name],$A641,T_PlannedOrders[WeekIndex],101)=0,"",SUMIFS(T_PlannedOrders[EffectiveQty],T_PlannedOrders[Part Name],$A641,T_PlannedOrders[WeekIndex],101)&amp;" ("&amp;TEXT(SUMPRODUCT(MAX((T_PlannedOrders[Part Name]=$A641)*(T_PlannedOrders[WeekIndex]=101)*(T_PlannedOrders[EffectiveQty]&gt;0)*T_PlannedOrders[Order_Month])),"m月")&amp;"発注)")</f>
        <v/>
      </c>
      <c r="DA779">
        <f>IF(SUMIFS(T_PlannedOrders[EffectiveQty],T_PlannedOrders[Part Name],$A641,T_PlannedOrders[WeekIndex],102)=0,"",SUMIFS(T_PlannedOrders[EffectiveQty],T_PlannedOrders[Part Name],$A641,T_PlannedOrders[WeekIndex],102)&amp;" ("&amp;TEXT(SUMPRODUCT(MAX((T_PlannedOrders[Part Name]=$A641)*(T_PlannedOrders[WeekIndex]=102)*(T_PlannedOrders[EffectiveQty]&gt;0)*T_PlannedOrders[Order_Month])),"m月")&amp;"発注)")</f>
        <v/>
      </c>
      <c r="DB779">
        <f>IF(SUMIFS(T_PlannedOrders[EffectiveQty],T_PlannedOrders[Part Name],$A641,T_PlannedOrders[WeekIndex],103)=0,"",SUMIFS(T_PlannedOrders[EffectiveQty],T_PlannedOrders[Part Name],$A641,T_PlannedOrders[WeekIndex],103)&amp;" ("&amp;TEXT(SUMPRODUCT(MAX((T_PlannedOrders[Part Name]=$A641)*(T_PlannedOrders[WeekIndex]=103)*(T_PlannedOrders[EffectiveQty]&gt;0)*T_PlannedOrders[Order_Month])),"m月")&amp;"発注)")</f>
        <v/>
      </c>
      <c r="DC779">
        <f>IF(SUMIFS(T_PlannedOrders[EffectiveQty],T_PlannedOrders[Part Name],$A641,T_PlannedOrders[WeekIndex],104)=0,"",SUMIFS(T_PlannedOrders[EffectiveQty],T_PlannedOrders[Part Name],$A641,T_PlannedOrders[WeekIndex],104)&amp;" ("&amp;TEXT(SUMPRODUCT(MAX((T_PlannedOrders[Part Name]=$A641)*(T_PlannedOrders[WeekIndex]=104)*(T_PlannedOrders[EffectiveQty]&gt;0)*T_PlannedOrders[Order_Month])),"m月")&amp;"発注)")</f>
        <v/>
      </c>
    </row>
    <row r="780">
      <c r="B780" s="5" t="inlineStr">
        <is>
          <t>合計在庫(週末時点,kg)</t>
        </is>
      </c>
      <c r="D780">
        <f>'Grid_Stock'!B36</f>
        <v/>
      </c>
      <c r="E780">
        <f>'Grid_Stock'!C36</f>
        <v/>
      </c>
      <c r="F780">
        <f>'Grid_Stock'!D36</f>
        <v/>
      </c>
      <c r="G780">
        <f>'Grid_Stock'!E36</f>
        <v/>
      </c>
      <c r="H780">
        <f>'Grid_Stock'!F36</f>
        <v/>
      </c>
      <c r="I780">
        <f>'Grid_Stock'!G36</f>
        <v/>
      </c>
      <c r="J780">
        <f>'Grid_Stock'!H36</f>
        <v/>
      </c>
      <c r="K780">
        <f>'Grid_Stock'!I36</f>
        <v/>
      </c>
      <c r="L780">
        <f>'Grid_Stock'!J36</f>
        <v/>
      </c>
      <c r="M780">
        <f>'Grid_Stock'!K36</f>
        <v/>
      </c>
      <c r="N780">
        <f>'Grid_Stock'!L36</f>
        <v/>
      </c>
      <c r="O780">
        <f>'Grid_Stock'!M36</f>
        <v/>
      </c>
      <c r="P780">
        <f>'Grid_Stock'!N36</f>
        <v/>
      </c>
      <c r="Q780">
        <f>'Grid_Stock'!O36</f>
        <v/>
      </c>
      <c r="R780">
        <f>'Grid_Stock'!P36</f>
        <v/>
      </c>
      <c r="S780">
        <f>'Grid_Stock'!Q36</f>
        <v/>
      </c>
      <c r="T780">
        <f>'Grid_Stock'!R36</f>
        <v/>
      </c>
      <c r="U780">
        <f>'Grid_Stock'!S36</f>
        <v/>
      </c>
      <c r="V780">
        <f>'Grid_Stock'!T36</f>
        <v/>
      </c>
      <c r="W780">
        <f>'Grid_Stock'!U36</f>
        <v/>
      </c>
      <c r="X780">
        <f>'Grid_Stock'!V36</f>
        <v/>
      </c>
      <c r="Y780">
        <f>'Grid_Stock'!W36</f>
        <v/>
      </c>
      <c r="Z780">
        <f>'Grid_Stock'!X36</f>
        <v/>
      </c>
      <c r="AA780">
        <f>'Grid_Stock'!Y36</f>
        <v/>
      </c>
      <c r="AB780">
        <f>'Grid_Stock'!Z36</f>
        <v/>
      </c>
      <c r="AC780">
        <f>'Grid_Stock'!AA36</f>
        <v/>
      </c>
      <c r="AD780">
        <f>'Grid_Stock'!AB36</f>
        <v/>
      </c>
      <c r="AE780">
        <f>'Grid_Stock'!AC36</f>
        <v/>
      </c>
      <c r="AF780">
        <f>'Grid_Stock'!AD36</f>
        <v/>
      </c>
      <c r="AG780">
        <f>'Grid_Stock'!AE36</f>
        <v/>
      </c>
      <c r="AH780">
        <f>'Grid_Stock'!AF36</f>
        <v/>
      </c>
      <c r="AI780">
        <f>'Grid_Stock'!AG36</f>
        <v/>
      </c>
      <c r="AJ780">
        <f>'Grid_Stock'!AH36</f>
        <v/>
      </c>
      <c r="AK780">
        <f>'Grid_Stock'!AI36</f>
        <v/>
      </c>
      <c r="AL780">
        <f>'Grid_Stock'!AJ36</f>
        <v/>
      </c>
      <c r="AM780">
        <f>'Grid_Stock'!AK36</f>
        <v/>
      </c>
      <c r="AN780">
        <f>'Grid_Stock'!AL36</f>
        <v/>
      </c>
      <c r="AO780">
        <f>'Grid_Stock'!AM36</f>
        <v/>
      </c>
      <c r="AP780">
        <f>'Grid_Stock'!AN36</f>
        <v/>
      </c>
      <c r="AQ780">
        <f>'Grid_Stock'!AO36</f>
        <v/>
      </c>
      <c r="AR780">
        <f>'Grid_Stock'!AP36</f>
        <v/>
      </c>
      <c r="AS780">
        <f>'Grid_Stock'!AQ36</f>
        <v/>
      </c>
      <c r="AT780">
        <f>'Grid_Stock'!AR36</f>
        <v/>
      </c>
      <c r="AU780">
        <f>'Grid_Stock'!AS36</f>
        <v/>
      </c>
      <c r="AV780">
        <f>'Grid_Stock'!AT36</f>
        <v/>
      </c>
      <c r="AW780">
        <f>'Grid_Stock'!AU36</f>
        <v/>
      </c>
      <c r="AX780">
        <f>'Grid_Stock'!AV36</f>
        <v/>
      </c>
      <c r="AY780">
        <f>'Grid_Stock'!AW36</f>
        <v/>
      </c>
      <c r="AZ780">
        <f>'Grid_Stock'!AX36</f>
        <v/>
      </c>
      <c r="BA780">
        <f>'Grid_Stock'!AY36</f>
        <v/>
      </c>
      <c r="BB780">
        <f>'Grid_Stock'!AZ36</f>
        <v/>
      </c>
      <c r="BC780">
        <f>'Grid_Stock'!BA36</f>
        <v/>
      </c>
      <c r="BD780">
        <f>'Grid_Stock'!BB36</f>
        <v/>
      </c>
      <c r="BE780">
        <f>'Grid_Stock'!BC36</f>
        <v/>
      </c>
      <c r="BF780">
        <f>'Grid_Stock'!BD36</f>
        <v/>
      </c>
      <c r="BG780">
        <f>'Grid_Stock'!BE36</f>
        <v/>
      </c>
      <c r="BH780">
        <f>'Grid_Stock'!BF36</f>
        <v/>
      </c>
      <c r="BI780">
        <f>'Grid_Stock'!BG36</f>
        <v/>
      </c>
      <c r="BJ780">
        <f>'Grid_Stock'!BH36</f>
        <v/>
      </c>
      <c r="BK780">
        <f>'Grid_Stock'!BI36</f>
        <v/>
      </c>
      <c r="BL780">
        <f>'Grid_Stock'!BJ36</f>
        <v/>
      </c>
      <c r="BM780">
        <f>'Grid_Stock'!BK36</f>
        <v/>
      </c>
      <c r="BN780">
        <f>'Grid_Stock'!BL36</f>
        <v/>
      </c>
      <c r="BO780">
        <f>'Grid_Stock'!BM36</f>
        <v/>
      </c>
      <c r="BP780">
        <f>'Grid_Stock'!BN36</f>
        <v/>
      </c>
      <c r="BQ780">
        <f>'Grid_Stock'!BO36</f>
        <v/>
      </c>
      <c r="BR780">
        <f>'Grid_Stock'!BP36</f>
        <v/>
      </c>
      <c r="BS780">
        <f>'Grid_Stock'!BQ36</f>
        <v/>
      </c>
      <c r="BT780">
        <f>'Grid_Stock'!BR36</f>
        <v/>
      </c>
      <c r="BU780">
        <f>'Grid_Stock'!BS36</f>
        <v/>
      </c>
      <c r="BV780">
        <f>'Grid_Stock'!BT36</f>
        <v/>
      </c>
      <c r="BW780">
        <f>'Grid_Stock'!BU36</f>
        <v/>
      </c>
      <c r="BX780">
        <f>'Grid_Stock'!BV36</f>
        <v/>
      </c>
      <c r="BY780">
        <f>'Grid_Stock'!BW36</f>
        <v/>
      </c>
      <c r="BZ780">
        <f>'Grid_Stock'!BX36</f>
        <v/>
      </c>
      <c r="CA780">
        <f>'Grid_Stock'!BY36</f>
        <v/>
      </c>
      <c r="CB780">
        <f>'Grid_Stock'!BZ36</f>
        <v/>
      </c>
      <c r="CC780">
        <f>'Grid_Stock'!CA36</f>
        <v/>
      </c>
      <c r="CD780">
        <f>'Grid_Stock'!CB36</f>
        <v/>
      </c>
      <c r="CE780">
        <f>'Grid_Stock'!CC36</f>
        <v/>
      </c>
      <c r="CF780">
        <f>'Grid_Stock'!CD36</f>
        <v/>
      </c>
      <c r="CG780">
        <f>'Grid_Stock'!CE36</f>
        <v/>
      </c>
      <c r="CH780">
        <f>'Grid_Stock'!CF36</f>
        <v/>
      </c>
      <c r="CI780">
        <f>'Grid_Stock'!CG36</f>
        <v/>
      </c>
      <c r="CJ780">
        <f>'Grid_Stock'!CH36</f>
        <v/>
      </c>
      <c r="CK780">
        <f>'Grid_Stock'!CI36</f>
        <v/>
      </c>
      <c r="CL780">
        <f>'Grid_Stock'!CJ36</f>
        <v/>
      </c>
      <c r="CM780">
        <f>'Grid_Stock'!CK36</f>
        <v/>
      </c>
      <c r="CN780">
        <f>'Grid_Stock'!CL36</f>
        <v/>
      </c>
      <c r="CO780">
        <f>'Grid_Stock'!CM36</f>
        <v/>
      </c>
      <c r="CP780">
        <f>'Grid_Stock'!CN36</f>
        <v/>
      </c>
      <c r="CQ780">
        <f>'Grid_Stock'!CO36</f>
        <v/>
      </c>
      <c r="CR780">
        <f>'Grid_Stock'!CP36</f>
        <v/>
      </c>
      <c r="CS780">
        <f>'Grid_Stock'!CQ36</f>
        <v/>
      </c>
      <c r="CT780">
        <f>'Grid_Stock'!CR36</f>
        <v/>
      </c>
      <c r="CU780">
        <f>'Grid_Stock'!CS36</f>
        <v/>
      </c>
      <c r="CV780">
        <f>'Grid_Stock'!CT36</f>
        <v/>
      </c>
      <c r="CW780">
        <f>'Grid_Stock'!CU36</f>
        <v/>
      </c>
      <c r="CX780">
        <f>'Grid_Stock'!CV36</f>
        <v/>
      </c>
      <c r="CY780">
        <f>'Grid_Stock'!CW36</f>
        <v/>
      </c>
      <c r="CZ780">
        <f>'Grid_Stock'!CX36</f>
        <v/>
      </c>
      <c r="DA780">
        <f>'Grid_Stock'!CY36</f>
        <v/>
      </c>
      <c r="DB780">
        <f>'Grid_Stock'!CZ36</f>
        <v/>
      </c>
      <c r="DC780">
        <f>'Grid_Stock'!DA36</f>
        <v/>
      </c>
    </row>
    <row r="781">
      <c r="B781" s="23" t="inlineStr">
        <is>
          <t>（発注の目安はDashboardの基準在庫[下限/上限]と色分けを参照）</t>
        </is>
      </c>
    </row>
    <row r="783">
      <c r="A783" s="21" t="inlineStr">
        <is>
          <t>CHEM-1530</t>
        </is>
      </c>
      <c r="B783" s="21" t="inlineStr">
        <is>
          <t>JCK-97</t>
        </is>
      </c>
      <c r="C783" s="22" t="n"/>
      <c r="D783" s="21" t="n"/>
      <c r="E783" s="21" t="n"/>
      <c r="F783" s="21" t="n"/>
      <c r="G783" s="21" t="n"/>
      <c r="H783" s="2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  <c r="AA783" s="21" t="n"/>
      <c r="AB783" s="21" t="n"/>
      <c r="AC783" s="21" t="n"/>
      <c r="AD783" s="21" t="n"/>
      <c r="AE783" s="21" t="n"/>
      <c r="AF783" s="21" t="n"/>
      <c r="AG783" s="21" t="n"/>
      <c r="AH783" s="21" t="n"/>
      <c r="AI783" s="21" t="n"/>
      <c r="AJ783" s="21" t="n"/>
      <c r="AK783" s="21" t="n"/>
      <c r="AL783" s="21" t="n"/>
      <c r="AM783" s="21" t="n"/>
      <c r="AN783" s="21" t="n"/>
      <c r="AO783" s="21" t="n"/>
      <c r="AP783" s="21" t="n"/>
      <c r="AQ783" s="21" t="n"/>
      <c r="AR783" s="21" t="n"/>
      <c r="AS783" s="21" t="n"/>
      <c r="AT783" s="21" t="n"/>
      <c r="AU783" s="21" t="n"/>
      <c r="AV783" s="21" t="n"/>
      <c r="AW783" s="21" t="n"/>
      <c r="AX783" s="21" t="n"/>
      <c r="AY783" s="21" t="n"/>
      <c r="AZ783" s="21" t="n"/>
      <c r="BA783" s="21" t="n"/>
      <c r="BB783" s="21" t="n"/>
      <c r="BC783" s="21" t="n"/>
      <c r="BD783" s="21" t="n"/>
      <c r="BE783" s="21" t="n"/>
      <c r="BF783" s="21" t="n"/>
      <c r="BG783" s="21" t="n"/>
      <c r="BH783" s="21" t="n"/>
      <c r="BI783" s="21" t="n"/>
      <c r="BJ783" s="21" t="n"/>
      <c r="BK783" s="21" t="n"/>
      <c r="BL783" s="21" t="n"/>
      <c r="BM783" s="21" t="n"/>
      <c r="BN783" s="21" t="n"/>
      <c r="BO783" s="21" t="n"/>
      <c r="BP783" s="21" t="n"/>
      <c r="BQ783" s="21" t="n"/>
      <c r="BR783" s="21" t="n"/>
      <c r="BS783" s="21" t="n"/>
      <c r="BT783" s="21" t="n"/>
      <c r="BU783" s="21" t="n"/>
      <c r="BV783" s="21" t="n"/>
      <c r="BW783" s="21" t="n"/>
      <c r="BX783" s="21" t="n"/>
      <c r="BY783" s="21" t="n"/>
      <c r="BZ783" s="21" t="n"/>
      <c r="CA783" s="21" t="n"/>
      <c r="CB783" s="21" t="n"/>
      <c r="CC783" s="21" t="n"/>
      <c r="CD783" s="21" t="n"/>
      <c r="CE783" s="21" t="n"/>
      <c r="CF783" s="21" t="n"/>
      <c r="CG783" s="21" t="n"/>
      <c r="CH783" s="21" t="n"/>
      <c r="CI783" s="21" t="n"/>
      <c r="CJ783" s="21" t="n"/>
      <c r="CK783" s="21" t="n"/>
      <c r="CL783" s="21" t="n"/>
      <c r="CM783" s="21" t="n"/>
      <c r="CN783" s="21" t="n"/>
      <c r="CO783" s="21" t="n"/>
      <c r="CP783" s="21" t="n"/>
      <c r="CQ783" s="21" t="n"/>
      <c r="CR783" s="21" t="n"/>
      <c r="CS783" s="21" t="n"/>
      <c r="CT783" s="21" t="n"/>
      <c r="CU783" s="21" t="n"/>
      <c r="CV783" s="21" t="n"/>
      <c r="CW783" s="21" t="n"/>
      <c r="CX783" s="21" t="n"/>
      <c r="CY783" s="21" t="n"/>
      <c r="CZ783" s="21" t="n"/>
      <c r="DA783" s="21" t="n"/>
      <c r="DB783" s="21" t="n"/>
      <c r="DC783" s="21" t="n"/>
    </row>
    <row r="784">
      <c r="B784" t="inlineStr">
        <is>
          <t>TPP-650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12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Name],$A783)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TSP-1499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12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Name],$A783)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TSP-1555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12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Name],$A783)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TSP-402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12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Name],$A783)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TSP-403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12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Name],$A783)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TSP-404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12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Name],$A783)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TSP-405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12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Name],$A783)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TSP-655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12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Name],$A783)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TSP-656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12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Name],$A783)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TSP-903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12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Name],$A783)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TSP-959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12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Name],$A783)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VSP-602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12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Name],$A783)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VSP-822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12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Name],$A783)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VSP-910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12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Name],$A783)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VSP-990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12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Name],$A783)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s="5" t="inlineStr">
        <is>
          <t>合計使用量(kg)/週</t>
        </is>
      </c>
      <c r="D814">
        <f>'Grid_Requirement'!B37</f>
        <v/>
      </c>
      <c r="E814">
        <f>'Grid_Requirement'!C37</f>
        <v/>
      </c>
      <c r="F814">
        <f>'Grid_Requirement'!D37</f>
        <v/>
      </c>
      <c r="G814">
        <f>'Grid_Requirement'!E37</f>
        <v/>
      </c>
      <c r="H814">
        <f>'Grid_Requirement'!F37</f>
        <v/>
      </c>
      <c r="I814">
        <f>'Grid_Requirement'!G37</f>
        <v/>
      </c>
      <c r="J814">
        <f>'Grid_Requirement'!H37</f>
        <v/>
      </c>
      <c r="K814">
        <f>'Grid_Requirement'!I37</f>
        <v/>
      </c>
      <c r="L814">
        <f>'Grid_Requirement'!J37</f>
        <v/>
      </c>
      <c r="M814">
        <f>'Grid_Requirement'!K37</f>
        <v/>
      </c>
      <c r="N814">
        <f>'Grid_Requirement'!L37</f>
        <v/>
      </c>
      <c r="O814">
        <f>'Grid_Requirement'!M37</f>
        <v/>
      </c>
      <c r="P814">
        <f>'Grid_Requirement'!N37</f>
        <v/>
      </c>
      <c r="Q814">
        <f>'Grid_Requirement'!O37</f>
        <v/>
      </c>
      <c r="R814">
        <f>'Grid_Requirement'!P37</f>
        <v/>
      </c>
      <c r="S814">
        <f>'Grid_Requirement'!Q37</f>
        <v/>
      </c>
      <c r="T814">
        <f>'Grid_Requirement'!R37</f>
        <v/>
      </c>
      <c r="U814">
        <f>'Grid_Requirement'!S37</f>
        <v/>
      </c>
      <c r="V814">
        <f>'Grid_Requirement'!T37</f>
        <v/>
      </c>
      <c r="W814">
        <f>'Grid_Requirement'!U37</f>
        <v/>
      </c>
      <c r="X814">
        <f>'Grid_Requirement'!V37</f>
        <v/>
      </c>
      <c r="Y814">
        <f>'Grid_Requirement'!W37</f>
        <v/>
      </c>
      <c r="Z814">
        <f>'Grid_Requirement'!X37</f>
        <v/>
      </c>
      <c r="AA814">
        <f>'Grid_Requirement'!Y37</f>
        <v/>
      </c>
      <c r="AB814">
        <f>'Grid_Requirement'!Z37</f>
        <v/>
      </c>
      <c r="AC814">
        <f>'Grid_Requirement'!AA37</f>
        <v/>
      </c>
      <c r="AD814">
        <f>'Grid_Requirement'!AB37</f>
        <v/>
      </c>
      <c r="AE814">
        <f>'Grid_Requirement'!AC37</f>
        <v/>
      </c>
      <c r="AF814">
        <f>'Grid_Requirement'!AD37</f>
        <v/>
      </c>
      <c r="AG814">
        <f>'Grid_Requirement'!AE37</f>
        <v/>
      </c>
      <c r="AH814">
        <f>'Grid_Requirement'!AF37</f>
        <v/>
      </c>
      <c r="AI814">
        <f>'Grid_Requirement'!AG37</f>
        <v/>
      </c>
      <c r="AJ814">
        <f>'Grid_Requirement'!AH37</f>
        <v/>
      </c>
      <c r="AK814">
        <f>'Grid_Requirement'!AI37</f>
        <v/>
      </c>
      <c r="AL814">
        <f>'Grid_Requirement'!AJ37</f>
        <v/>
      </c>
      <c r="AM814">
        <f>'Grid_Requirement'!AK37</f>
        <v/>
      </c>
      <c r="AN814">
        <f>'Grid_Requirement'!AL37</f>
        <v/>
      </c>
      <c r="AO814">
        <f>'Grid_Requirement'!AM37</f>
        <v/>
      </c>
      <c r="AP814">
        <f>'Grid_Requirement'!AN37</f>
        <v/>
      </c>
      <c r="AQ814">
        <f>'Grid_Requirement'!AO37</f>
        <v/>
      </c>
      <c r="AR814">
        <f>'Grid_Requirement'!AP37</f>
        <v/>
      </c>
      <c r="AS814">
        <f>'Grid_Requirement'!AQ37</f>
        <v/>
      </c>
      <c r="AT814">
        <f>'Grid_Requirement'!AR37</f>
        <v/>
      </c>
      <c r="AU814">
        <f>'Grid_Requirement'!AS37</f>
        <v/>
      </c>
      <c r="AV814">
        <f>'Grid_Requirement'!AT37</f>
        <v/>
      </c>
      <c r="AW814">
        <f>'Grid_Requirement'!AU37</f>
        <v/>
      </c>
      <c r="AX814">
        <f>'Grid_Requirement'!AV37</f>
        <v/>
      </c>
      <c r="AY814">
        <f>'Grid_Requirement'!AW37</f>
        <v/>
      </c>
      <c r="AZ814">
        <f>'Grid_Requirement'!AX37</f>
        <v/>
      </c>
      <c r="BA814">
        <f>'Grid_Requirement'!AY37</f>
        <v/>
      </c>
      <c r="BB814">
        <f>'Grid_Requirement'!AZ37</f>
        <v/>
      </c>
      <c r="BC814">
        <f>'Grid_Requirement'!BA37</f>
        <v/>
      </c>
      <c r="BD814">
        <f>'Grid_Requirement'!BB37</f>
        <v/>
      </c>
      <c r="BE814">
        <f>'Grid_Requirement'!BC37</f>
        <v/>
      </c>
      <c r="BF814">
        <f>'Grid_Requirement'!BD37</f>
        <v/>
      </c>
      <c r="BG814">
        <f>'Grid_Requirement'!BE37</f>
        <v/>
      </c>
      <c r="BH814">
        <f>'Grid_Requirement'!BF37</f>
        <v/>
      </c>
      <c r="BI814">
        <f>'Grid_Requirement'!BG37</f>
        <v/>
      </c>
      <c r="BJ814">
        <f>'Grid_Requirement'!BH37</f>
        <v/>
      </c>
      <c r="BK814">
        <f>'Grid_Requirement'!BI37</f>
        <v/>
      </c>
      <c r="BL814">
        <f>'Grid_Requirement'!BJ37</f>
        <v/>
      </c>
      <c r="BM814">
        <f>'Grid_Requirement'!BK37</f>
        <v/>
      </c>
      <c r="BN814">
        <f>'Grid_Requirement'!BL37</f>
        <v/>
      </c>
      <c r="BO814">
        <f>'Grid_Requirement'!BM37</f>
        <v/>
      </c>
      <c r="BP814">
        <f>'Grid_Requirement'!BN37</f>
        <v/>
      </c>
      <c r="BQ814">
        <f>'Grid_Requirement'!BO37</f>
        <v/>
      </c>
      <c r="BR814">
        <f>'Grid_Requirement'!BP37</f>
        <v/>
      </c>
      <c r="BS814">
        <f>'Grid_Requirement'!BQ37</f>
        <v/>
      </c>
      <c r="BT814">
        <f>'Grid_Requirement'!BR37</f>
        <v/>
      </c>
      <c r="BU814">
        <f>'Grid_Requirement'!BS37</f>
        <v/>
      </c>
      <c r="BV814">
        <f>'Grid_Requirement'!BT37</f>
        <v/>
      </c>
      <c r="BW814">
        <f>'Grid_Requirement'!BU37</f>
        <v/>
      </c>
      <c r="BX814">
        <f>'Grid_Requirement'!BV37</f>
        <v/>
      </c>
      <c r="BY814">
        <f>'Grid_Requirement'!BW37</f>
        <v/>
      </c>
      <c r="BZ814">
        <f>'Grid_Requirement'!BX37</f>
        <v/>
      </c>
      <c r="CA814">
        <f>'Grid_Requirement'!BY37</f>
        <v/>
      </c>
      <c r="CB814">
        <f>'Grid_Requirement'!BZ37</f>
        <v/>
      </c>
      <c r="CC814">
        <f>'Grid_Requirement'!CA37</f>
        <v/>
      </c>
      <c r="CD814">
        <f>'Grid_Requirement'!CB37</f>
        <v/>
      </c>
      <c r="CE814">
        <f>'Grid_Requirement'!CC37</f>
        <v/>
      </c>
      <c r="CF814">
        <f>'Grid_Requirement'!CD37</f>
        <v/>
      </c>
      <c r="CG814">
        <f>'Grid_Requirement'!CE37</f>
        <v/>
      </c>
      <c r="CH814">
        <f>'Grid_Requirement'!CF37</f>
        <v/>
      </c>
      <c r="CI814">
        <f>'Grid_Requirement'!CG37</f>
        <v/>
      </c>
      <c r="CJ814">
        <f>'Grid_Requirement'!CH37</f>
        <v/>
      </c>
      <c r="CK814">
        <f>'Grid_Requirement'!CI37</f>
        <v/>
      </c>
      <c r="CL814">
        <f>'Grid_Requirement'!CJ37</f>
        <v/>
      </c>
      <c r="CM814">
        <f>'Grid_Requirement'!CK37</f>
        <v/>
      </c>
      <c r="CN814">
        <f>'Grid_Requirement'!CL37</f>
        <v/>
      </c>
      <c r="CO814">
        <f>'Grid_Requirement'!CM37</f>
        <v/>
      </c>
      <c r="CP814">
        <f>'Grid_Requirement'!CN37</f>
        <v/>
      </c>
      <c r="CQ814">
        <f>'Grid_Requirement'!CO37</f>
        <v/>
      </c>
      <c r="CR814">
        <f>'Grid_Requirement'!CP37</f>
        <v/>
      </c>
      <c r="CS814">
        <f>'Grid_Requirement'!CQ37</f>
        <v/>
      </c>
      <c r="CT814">
        <f>'Grid_Requirement'!CR37</f>
        <v/>
      </c>
      <c r="CU814">
        <f>'Grid_Requirement'!CS37</f>
        <v/>
      </c>
      <c r="CV814">
        <f>'Grid_Requirement'!CT37</f>
        <v/>
      </c>
      <c r="CW814">
        <f>'Grid_Requirement'!CU37</f>
        <v/>
      </c>
      <c r="CX814">
        <f>'Grid_Requirement'!CV37</f>
        <v/>
      </c>
      <c r="CY814">
        <f>'Grid_Requirement'!CW37</f>
        <v/>
      </c>
      <c r="CZ814">
        <f>'Grid_Requirement'!CX37</f>
        <v/>
      </c>
      <c r="DA814">
        <f>'Grid_Requirement'!CY37</f>
        <v/>
      </c>
      <c r="DB814">
        <f>'Grid_Requirement'!CZ37</f>
        <v/>
      </c>
      <c r="DC814">
        <f>'Grid_Requirement'!DA37</f>
        <v/>
      </c>
    </row>
    <row r="815">
      <c r="B815" t="inlineStr">
        <is>
          <t>TTAF在庫(実績,kg)</t>
        </is>
      </c>
      <c r="D815">
        <f>'T_TTAFStock'!B41</f>
        <v/>
      </c>
      <c r="E815">
        <f>'T_TTAFStock'!C41</f>
        <v/>
      </c>
      <c r="F815">
        <f>'T_TTAFStock'!D41</f>
        <v/>
      </c>
      <c r="G815">
        <f>'T_TTAFStock'!E41</f>
        <v/>
      </c>
      <c r="H815">
        <f>'T_TTAFStock'!F41</f>
        <v/>
      </c>
      <c r="I815">
        <f>'T_TTAFStock'!G41</f>
        <v/>
      </c>
      <c r="J815">
        <f>'T_TTAFStock'!H41</f>
        <v/>
      </c>
      <c r="K815">
        <f>'T_TTAFStock'!I41</f>
        <v/>
      </c>
      <c r="L815">
        <f>'T_TTAFStock'!J41</f>
        <v/>
      </c>
      <c r="M815">
        <f>'T_TTAFStock'!K41</f>
        <v/>
      </c>
      <c r="N815">
        <f>'T_TTAFStock'!L41</f>
        <v/>
      </c>
      <c r="O815">
        <f>'T_TTAFStock'!M41</f>
        <v/>
      </c>
      <c r="P815">
        <f>'T_TTAFStock'!N41</f>
        <v/>
      </c>
      <c r="Q815">
        <f>'T_TTAFStock'!O41</f>
        <v/>
      </c>
      <c r="R815">
        <f>'T_TTAFStock'!P41</f>
        <v/>
      </c>
      <c r="S815">
        <f>'T_TTAFStock'!Q41</f>
        <v/>
      </c>
      <c r="T815">
        <f>'T_TTAFStock'!R41</f>
        <v/>
      </c>
      <c r="U815">
        <f>'T_TTAFStock'!S41</f>
        <v/>
      </c>
      <c r="V815">
        <f>'T_TTAFStock'!T41</f>
        <v/>
      </c>
      <c r="W815">
        <f>'T_TTAFStock'!U41</f>
        <v/>
      </c>
      <c r="X815">
        <f>'T_TTAFStock'!V41</f>
        <v/>
      </c>
      <c r="Y815">
        <f>'T_TTAFStock'!W41</f>
        <v/>
      </c>
      <c r="Z815">
        <f>'T_TTAFStock'!X41</f>
        <v/>
      </c>
      <c r="AA815">
        <f>'T_TTAFStock'!Y41</f>
        <v/>
      </c>
      <c r="AB815">
        <f>'T_TTAFStock'!Z41</f>
        <v/>
      </c>
      <c r="AC815">
        <f>'T_TTAFStock'!AA41</f>
        <v/>
      </c>
      <c r="AD815">
        <f>'T_TTAFStock'!AB41</f>
        <v/>
      </c>
      <c r="AE815">
        <f>'T_TTAFStock'!AC41</f>
        <v/>
      </c>
      <c r="AF815">
        <f>'T_TTAFStock'!AD41</f>
        <v/>
      </c>
      <c r="AG815">
        <f>'T_TTAFStock'!AE41</f>
        <v/>
      </c>
      <c r="AH815">
        <f>'T_TTAFStock'!AF41</f>
        <v/>
      </c>
      <c r="AI815">
        <f>'T_TTAFStock'!AG41</f>
        <v/>
      </c>
      <c r="AJ815">
        <f>'T_TTAFStock'!AH41</f>
        <v/>
      </c>
      <c r="AK815">
        <f>'T_TTAFStock'!AI41</f>
        <v/>
      </c>
      <c r="AL815">
        <f>'T_TTAFStock'!AJ41</f>
        <v/>
      </c>
      <c r="AM815">
        <f>'T_TTAFStock'!AK41</f>
        <v/>
      </c>
      <c r="AN815">
        <f>'T_TTAFStock'!AL41</f>
        <v/>
      </c>
      <c r="AO815">
        <f>'T_TTAFStock'!AM41</f>
        <v/>
      </c>
      <c r="AP815">
        <f>'T_TTAFStock'!AN41</f>
        <v/>
      </c>
      <c r="AQ815">
        <f>'T_TTAFStock'!AO41</f>
        <v/>
      </c>
      <c r="AR815">
        <f>'T_TTAFStock'!AP41</f>
        <v/>
      </c>
      <c r="AS815">
        <f>'T_TTAFStock'!AQ41</f>
        <v/>
      </c>
      <c r="AT815">
        <f>'T_TTAFStock'!AR41</f>
        <v/>
      </c>
      <c r="AU815">
        <f>'T_TTAFStock'!AS41</f>
        <v/>
      </c>
      <c r="AV815">
        <f>'T_TTAFStock'!AT41</f>
        <v/>
      </c>
      <c r="AW815">
        <f>'T_TTAFStock'!AU41</f>
        <v/>
      </c>
      <c r="AX815">
        <f>'T_TTAFStock'!AV41</f>
        <v/>
      </c>
      <c r="AY815">
        <f>'T_TTAFStock'!AW41</f>
        <v/>
      </c>
      <c r="AZ815">
        <f>'T_TTAFStock'!AX41</f>
        <v/>
      </c>
      <c r="BA815">
        <f>'T_TTAFStock'!AY41</f>
        <v/>
      </c>
      <c r="BB815">
        <f>'T_TTAFStock'!AZ41</f>
        <v/>
      </c>
      <c r="BC815">
        <f>'T_TTAFStock'!BA41</f>
        <v/>
      </c>
      <c r="BD815">
        <f>'T_TTAFStock'!BB41</f>
        <v/>
      </c>
      <c r="BE815">
        <f>'T_TTAFStock'!BC41</f>
        <v/>
      </c>
      <c r="BF815">
        <f>'T_TTAFStock'!BD41</f>
        <v/>
      </c>
      <c r="BG815">
        <f>'T_TTAFStock'!BE41</f>
        <v/>
      </c>
      <c r="BH815">
        <f>'T_TTAFStock'!BF41</f>
        <v/>
      </c>
      <c r="BI815">
        <f>'T_TTAFStock'!BG41</f>
        <v/>
      </c>
      <c r="BJ815">
        <f>'T_TTAFStock'!BH41</f>
        <v/>
      </c>
      <c r="BK815">
        <f>'T_TTAFStock'!BI41</f>
        <v/>
      </c>
      <c r="BL815">
        <f>'T_TTAFStock'!BJ41</f>
        <v/>
      </c>
      <c r="BM815">
        <f>'T_TTAFStock'!BK41</f>
        <v/>
      </c>
      <c r="BN815">
        <f>'T_TTAFStock'!BL41</f>
        <v/>
      </c>
      <c r="BO815">
        <f>'T_TTAFStock'!BM41</f>
        <v/>
      </c>
      <c r="BP815">
        <f>'T_TTAFStock'!BN41</f>
        <v/>
      </c>
      <c r="BQ815">
        <f>'T_TTAFStock'!BO41</f>
        <v/>
      </c>
      <c r="BR815">
        <f>'T_TTAFStock'!BP41</f>
        <v/>
      </c>
      <c r="BS815">
        <f>'T_TTAFStock'!BQ41</f>
        <v/>
      </c>
      <c r="BT815">
        <f>'T_TTAFStock'!BR41</f>
        <v/>
      </c>
      <c r="BU815">
        <f>'T_TTAFStock'!BS41</f>
        <v/>
      </c>
      <c r="BV815">
        <f>'T_TTAFStock'!BT41</f>
        <v/>
      </c>
      <c r="BW815">
        <f>'T_TTAFStock'!BU41</f>
        <v/>
      </c>
      <c r="BX815">
        <f>'T_TTAFStock'!BV41</f>
        <v/>
      </c>
      <c r="BY815">
        <f>'T_TTAFStock'!BW41</f>
        <v/>
      </c>
      <c r="BZ815">
        <f>'T_TTAFStock'!BX41</f>
        <v/>
      </c>
      <c r="CA815">
        <f>'T_TTAFStock'!BY41</f>
        <v/>
      </c>
      <c r="CB815">
        <f>'T_TTAFStock'!BZ41</f>
        <v/>
      </c>
      <c r="CC815">
        <f>'T_TTAFStock'!CA41</f>
        <v/>
      </c>
      <c r="CD815">
        <f>'T_TTAFStock'!CB41</f>
        <v/>
      </c>
      <c r="CE815">
        <f>'T_TTAFStock'!CC41</f>
        <v/>
      </c>
      <c r="CF815">
        <f>'T_TTAFStock'!CD41</f>
        <v/>
      </c>
      <c r="CG815">
        <f>'T_TTAFStock'!CE41</f>
        <v/>
      </c>
      <c r="CH815">
        <f>'T_TTAFStock'!CF41</f>
        <v/>
      </c>
      <c r="CI815">
        <f>'T_TTAFStock'!CG41</f>
        <v/>
      </c>
      <c r="CJ815">
        <f>'T_TTAFStock'!CH41</f>
        <v/>
      </c>
      <c r="CK815">
        <f>'T_TTAFStock'!CI41</f>
        <v/>
      </c>
      <c r="CL815">
        <f>'T_TTAFStock'!CJ41</f>
        <v/>
      </c>
      <c r="CM815">
        <f>'T_TTAFStock'!CK41</f>
        <v/>
      </c>
      <c r="CN815">
        <f>'T_TTAFStock'!CL41</f>
        <v/>
      </c>
      <c r="CO815">
        <f>'T_TTAFStock'!CM41</f>
        <v/>
      </c>
      <c r="CP815">
        <f>'T_TTAFStock'!CN41</f>
        <v/>
      </c>
      <c r="CQ815">
        <f>'T_TTAFStock'!CO41</f>
        <v/>
      </c>
      <c r="CR815">
        <f>'T_TTAFStock'!CP41</f>
        <v/>
      </c>
      <c r="CS815">
        <f>'T_TTAFStock'!CQ41</f>
        <v/>
      </c>
      <c r="CT815">
        <f>'T_TTAFStock'!CR41</f>
        <v/>
      </c>
      <c r="CU815">
        <f>'T_TTAFStock'!CS41</f>
        <v/>
      </c>
      <c r="CV815">
        <f>'T_TTAFStock'!CT41</f>
        <v/>
      </c>
      <c r="CW815">
        <f>'T_TTAFStock'!CU41</f>
        <v/>
      </c>
      <c r="CX815">
        <f>'T_TTAFStock'!CV41</f>
        <v/>
      </c>
      <c r="CY815">
        <f>'T_TTAFStock'!CW41</f>
        <v/>
      </c>
      <c r="CZ815">
        <f>'T_TTAFStock'!CX41</f>
        <v/>
      </c>
      <c r="DA815">
        <f>'T_TTAFStock'!CY41</f>
        <v/>
      </c>
      <c r="DB815">
        <f>'T_TTAFStock'!CZ41</f>
        <v/>
      </c>
      <c r="DC815">
        <f>'T_TTAFStock'!DA41</f>
        <v/>
      </c>
    </row>
    <row r="816">
      <c r="B816" t="inlineStr">
        <is>
          <t>自社在庫(実績,kg)</t>
        </is>
      </c>
      <c r="D816">
        <f>'T_SelfStock'!B41</f>
        <v/>
      </c>
      <c r="E816">
        <f>'T_SelfStock'!C41</f>
        <v/>
      </c>
      <c r="F816">
        <f>'T_SelfStock'!D41</f>
        <v/>
      </c>
      <c r="G816">
        <f>'T_SelfStock'!E41</f>
        <v/>
      </c>
      <c r="H816">
        <f>'T_SelfStock'!F41</f>
        <v/>
      </c>
      <c r="I816">
        <f>'T_SelfStock'!G41</f>
        <v/>
      </c>
      <c r="J816">
        <f>'T_SelfStock'!H41</f>
        <v/>
      </c>
      <c r="K816">
        <f>'T_SelfStock'!I41</f>
        <v/>
      </c>
      <c r="L816">
        <f>'T_SelfStock'!J41</f>
        <v/>
      </c>
      <c r="M816">
        <f>'T_SelfStock'!K41</f>
        <v/>
      </c>
      <c r="N816">
        <f>'T_SelfStock'!L41</f>
        <v/>
      </c>
      <c r="O816">
        <f>'T_SelfStock'!M41</f>
        <v/>
      </c>
      <c r="P816">
        <f>'T_SelfStock'!N41</f>
        <v/>
      </c>
      <c r="Q816">
        <f>'T_SelfStock'!O41</f>
        <v/>
      </c>
      <c r="R816">
        <f>'T_SelfStock'!P41</f>
        <v/>
      </c>
      <c r="S816">
        <f>'T_SelfStock'!Q41</f>
        <v/>
      </c>
      <c r="T816">
        <f>'T_SelfStock'!R41</f>
        <v/>
      </c>
      <c r="U816">
        <f>'T_SelfStock'!S41</f>
        <v/>
      </c>
      <c r="V816">
        <f>'T_SelfStock'!T41</f>
        <v/>
      </c>
      <c r="W816">
        <f>'T_SelfStock'!U41</f>
        <v/>
      </c>
      <c r="X816">
        <f>'T_SelfStock'!V41</f>
        <v/>
      </c>
      <c r="Y816">
        <f>'T_SelfStock'!W41</f>
        <v/>
      </c>
      <c r="Z816">
        <f>'T_SelfStock'!X41</f>
        <v/>
      </c>
      <c r="AA816">
        <f>'T_SelfStock'!Y41</f>
        <v/>
      </c>
      <c r="AB816">
        <f>'T_SelfStock'!Z41</f>
        <v/>
      </c>
      <c r="AC816">
        <f>'T_SelfStock'!AA41</f>
        <v/>
      </c>
      <c r="AD816">
        <f>'T_SelfStock'!AB41</f>
        <v/>
      </c>
      <c r="AE816">
        <f>'T_SelfStock'!AC41</f>
        <v/>
      </c>
      <c r="AF816">
        <f>'T_SelfStock'!AD41</f>
        <v/>
      </c>
      <c r="AG816">
        <f>'T_SelfStock'!AE41</f>
        <v/>
      </c>
      <c r="AH816">
        <f>'T_SelfStock'!AF41</f>
        <v/>
      </c>
      <c r="AI816">
        <f>'T_SelfStock'!AG41</f>
        <v/>
      </c>
      <c r="AJ816">
        <f>'T_SelfStock'!AH41</f>
        <v/>
      </c>
      <c r="AK816">
        <f>'T_SelfStock'!AI41</f>
        <v/>
      </c>
      <c r="AL816">
        <f>'T_SelfStock'!AJ41</f>
        <v/>
      </c>
      <c r="AM816">
        <f>'T_SelfStock'!AK41</f>
        <v/>
      </c>
      <c r="AN816">
        <f>'T_SelfStock'!AL41</f>
        <v/>
      </c>
      <c r="AO816">
        <f>'T_SelfStock'!AM41</f>
        <v/>
      </c>
      <c r="AP816">
        <f>'T_SelfStock'!AN41</f>
        <v/>
      </c>
      <c r="AQ816">
        <f>'T_SelfStock'!AO41</f>
        <v/>
      </c>
      <c r="AR816">
        <f>'T_SelfStock'!AP41</f>
        <v/>
      </c>
      <c r="AS816">
        <f>'T_SelfStock'!AQ41</f>
        <v/>
      </c>
      <c r="AT816">
        <f>'T_SelfStock'!AR41</f>
        <v/>
      </c>
      <c r="AU816">
        <f>'T_SelfStock'!AS41</f>
        <v/>
      </c>
      <c r="AV816">
        <f>'T_SelfStock'!AT41</f>
        <v/>
      </c>
      <c r="AW816">
        <f>'T_SelfStock'!AU41</f>
        <v/>
      </c>
      <c r="AX816">
        <f>'T_SelfStock'!AV41</f>
        <v/>
      </c>
      <c r="AY816">
        <f>'T_SelfStock'!AW41</f>
        <v/>
      </c>
      <c r="AZ816">
        <f>'T_SelfStock'!AX41</f>
        <v/>
      </c>
      <c r="BA816">
        <f>'T_SelfStock'!AY41</f>
        <v/>
      </c>
      <c r="BB816">
        <f>'T_SelfStock'!AZ41</f>
        <v/>
      </c>
      <c r="BC816">
        <f>'T_SelfStock'!BA41</f>
        <v/>
      </c>
      <c r="BD816">
        <f>'T_SelfStock'!BB41</f>
        <v/>
      </c>
      <c r="BE816">
        <f>'T_SelfStock'!BC41</f>
        <v/>
      </c>
      <c r="BF816">
        <f>'T_SelfStock'!BD41</f>
        <v/>
      </c>
      <c r="BG816">
        <f>'T_SelfStock'!BE41</f>
        <v/>
      </c>
      <c r="BH816">
        <f>'T_SelfStock'!BF41</f>
        <v/>
      </c>
      <c r="BI816">
        <f>'T_SelfStock'!BG41</f>
        <v/>
      </c>
      <c r="BJ816">
        <f>'T_SelfStock'!BH41</f>
        <v/>
      </c>
      <c r="BK816">
        <f>'T_SelfStock'!BI41</f>
        <v/>
      </c>
      <c r="BL816">
        <f>'T_SelfStock'!BJ41</f>
        <v/>
      </c>
      <c r="BM816">
        <f>'T_SelfStock'!BK41</f>
        <v/>
      </c>
      <c r="BN816">
        <f>'T_SelfStock'!BL41</f>
        <v/>
      </c>
      <c r="BO816">
        <f>'T_SelfStock'!BM41</f>
        <v/>
      </c>
      <c r="BP816">
        <f>'T_SelfStock'!BN41</f>
        <v/>
      </c>
      <c r="BQ816">
        <f>'T_SelfStock'!BO41</f>
        <v/>
      </c>
      <c r="BR816">
        <f>'T_SelfStock'!BP41</f>
        <v/>
      </c>
      <c r="BS816">
        <f>'T_SelfStock'!BQ41</f>
        <v/>
      </c>
      <c r="BT816">
        <f>'T_SelfStock'!BR41</f>
        <v/>
      </c>
      <c r="BU816">
        <f>'T_SelfStock'!BS41</f>
        <v/>
      </c>
      <c r="BV816">
        <f>'T_SelfStock'!BT41</f>
        <v/>
      </c>
      <c r="BW816">
        <f>'T_SelfStock'!BU41</f>
        <v/>
      </c>
      <c r="BX816">
        <f>'T_SelfStock'!BV41</f>
        <v/>
      </c>
      <c r="BY816">
        <f>'T_SelfStock'!BW41</f>
        <v/>
      </c>
      <c r="BZ816">
        <f>'T_SelfStock'!BX41</f>
        <v/>
      </c>
      <c r="CA816">
        <f>'T_SelfStock'!BY41</f>
        <v/>
      </c>
      <c r="CB816">
        <f>'T_SelfStock'!BZ41</f>
        <v/>
      </c>
      <c r="CC816">
        <f>'T_SelfStock'!CA41</f>
        <v/>
      </c>
      <c r="CD816">
        <f>'T_SelfStock'!CB41</f>
        <v/>
      </c>
      <c r="CE816">
        <f>'T_SelfStock'!CC41</f>
        <v/>
      </c>
      <c r="CF816">
        <f>'T_SelfStock'!CD41</f>
        <v/>
      </c>
      <c r="CG816">
        <f>'T_SelfStock'!CE41</f>
        <v/>
      </c>
      <c r="CH816">
        <f>'T_SelfStock'!CF41</f>
        <v/>
      </c>
      <c r="CI816">
        <f>'T_SelfStock'!CG41</f>
        <v/>
      </c>
      <c r="CJ816">
        <f>'T_SelfStock'!CH41</f>
        <v/>
      </c>
      <c r="CK816">
        <f>'T_SelfStock'!CI41</f>
        <v/>
      </c>
      <c r="CL816">
        <f>'T_SelfStock'!CJ41</f>
        <v/>
      </c>
      <c r="CM816">
        <f>'T_SelfStock'!CK41</f>
        <v/>
      </c>
      <c r="CN816">
        <f>'T_SelfStock'!CL41</f>
        <v/>
      </c>
      <c r="CO816">
        <f>'T_SelfStock'!CM41</f>
        <v/>
      </c>
      <c r="CP816">
        <f>'T_SelfStock'!CN41</f>
        <v/>
      </c>
      <c r="CQ816">
        <f>'T_SelfStock'!CO41</f>
        <v/>
      </c>
      <c r="CR816">
        <f>'T_SelfStock'!CP41</f>
        <v/>
      </c>
      <c r="CS816">
        <f>'T_SelfStock'!CQ41</f>
        <v/>
      </c>
      <c r="CT816">
        <f>'T_SelfStock'!CR41</f>
        <v/>
      </c>
      <c r="CU816">
        <f>'T_SelfStock'!CS41</f>
        <v/>
      </c>
      <c r="CV816">
        <f>'T_SelfStock'!CT41</f>
        <v/>
      </c>
      <c r="CW816">
        <f>'T_SelfStock'!CU41</f>
        <v/>
      </c>
      <c r="CX816">
        <f>'T_SelfStock'!CV41</f>
        <v/>
      </c>
      <c r="CY816">
        <f>'T_SelfStock'!CW41</f>
        <v/>
      </c>
      <c r="CZ816">
        <f>'T_SelfStock'!CX41</f>
        <v/>
      </c>
      <c r="DA816">
        <f>'T_SelfStock'!CY41</f>
        <v/>
      </c>
      <c r="DB816">
        <f>'T_SelfStock'!CZ41</f>
        <v/>
      </c>
      <c r="DC816">
        <f>'T_SelfStock'!DA41</f>
        <v/>
      </c>
    </row>
    <row r="817">
      <c r="B817" t="inlineStr">
        <is>
          <t>Order(発注予定,kg)</t>
        </is>
      </c>
      <c r="D817">
        <f>IF(SUMIFS(T_PlannedOrders[EffectiveQty],T_PlannedOrders[Part Name],$A783,T_PlannedOrders[WeekIndex],1)=0,"",SUMIFS(T_PlannedOrders[EffectiveQty],T_PlannedOrders[Part Name],$A783,T_PlannedOrders[WeekIndex],1)&amp;" ("&amp;TEXT(SUMPRODUCT(MAX((T_PlannedOrders[Part Name]=$A783)*(T_PlannedOrders[WeekIndex]=1)*(T_PlannedOrders[EffectiveQty]&gt;0)*T_PlannedOrders[Order_Month])),"m月")&amp;"発注)")</f>
        <v/>
      </c>
      <c r="E817">
        <f>IF(SUMIFS(T_PlannedOrders[EffectiveQty],T_PlannedOrders[Part Name],$A783,T_PlannedOrders[WeekIndex],2)=0,"",SUMIFS(T_PlannedOrders[EffectiveQty],T_PlannedOrders[Part Name],$A783,T_PlannedOrders[WeekIndex],2)&amp;" ("&amp;TEXT(SUMPRODUCT(MAX((T_PlannedOrders[Part Name]=$A783)*(T_PlannedOrders[WeekIndex]=2)*(T_PlannedOrders[EffectiveQty]&gt;0)*T_PlannedOrders[Order_Month])),"m月")&amp;"発注)")</f>
        <v/>
      </c>
      <c r="F817">
        <f>IF(SUMIFS(T_PlannedOrders[EffectiveQty],T_PlannedOrders[Part Name],$A783,T_PlannedOrders[WeekIndex],3)=0,"",SUMIFS(T_PlannedOrders[EffectiveQty],T_PlannedOrders[Part Name],$A783,T_PlannedOrders[WeekIndex],3)&amp;" ("&amp;TEXT(SUMPRODUCT(MAX((T_PlannedOrders[Part Name]=$A783)*(T_PlannedOrders[WeekIndex]=3)*(T_PlannedOrders[EffectiveQty]&gt;0)*T_PlannedOrders[Order_Month])),"m月")&amp;"発注)")</f>
        <v/>
      </c>
      <c r="G817">
        <f>IF(SUMIFS(T_PlannedOrders[EffectiveQty],T_PlannedOrders[Part Name],$A783,T_PlannedOrders[WeekIndex],4)=0,"",SUMIFS(T_PlannedOrders[EffectiveQty],T_PlannedOrders[Part Name],$A783,T_PlannedOrders[WeekIndex],4)&amp;" ("&amp;TEXT(SUMPRODUCT(MAX((T_PlannedOrders[Part Name]=$A783)*(T_PlannedOrders[WeekIndex]=4)*(T_PlannedOrders[EffectiveQty]&gt;0)*T_PlannedOrders[Order_Month])),"m月")&amp;"発注)")</f>
        <v/>
      </c>
      <c r="H817">
        <f>IF(SUMIFS(T_PlannedOrders[EffectiveQty],T_PlannedOrders[Part Name],$A783,T_PlannedOrders[WeekIndex],5)=0,"",SUMIFS(T_PlannedOrders[EffectiveQty],T_PlannedOrders[Part Name],$A783,T_PlannedOrders[WeekIndex],5)&amp;" ("&amp;TEXT(SUMPRODUCT(MAX((T_PlannedOrders[Part Name]=$A783)*(T_PlannedOrders[WeekIndex]=5)*(T_PlannedOrders[EffectiveQty]&gt;0)*T_PlannedOrders[Order_Month])),"m月")&amp;"発注)")</f>
        <v/>
      </c>
      <c r="I817">
        <f>IF(SUMIFS(T_PlannedOrders[EffectiveQty],T_PlannedOrders[Part Name],$A783,T_PlannedOrders[WeekIndex],6)=0,"",SUMIFS(T_PlannedOrders[EffectiveQty],T_PlannedOrders[Part Name],$A783,T_PlannedOrders[WeekIndex],6)&amp;" ("&amp;TEXT(SUMPRODUCT(MAX((T_PlannedOrders[Part Name]=$A783)*(T_PlannedOrders[WeekIndex]=6)*(T_PlannedOrders[EffectiveQty]&gt;0)*T_PlannedOrders[Order_Month])),"m月")&amp;"発注)")</f>
        <v/>
      </c>
      <c r="J817">
        <f>IF(SUMIFS(T_PlannedOrders[EffectiveQty],T_PlannedOrders[Part Name],$A783,T_PlannedOrders[WeekIndex],7)=0,"",SUMIFS(T_PlannedOrders[EffectiveQty],T_PlannedOrders[Part Name],$A783,T_PlannedOrders[WeekIndex],7)&amp;" ("&amp;TEXT(SUMPRODUCT(MAX((T_PlannedOrders[Part Name]=$A783)*(T_PlannedOrders[WeekIndex]=7)*(T_PlannedOrders[EffectiveQty]&gt;0)*T_PlannedOrders[Order_Month])),"m月")&amp;"発注)")</f>
        <v/>
      </c>
      <c r="K817">
        <f>IF(SUMIFS(T_PlannedOrders[EffectiveQty],T_PlannedOrders[Part Name],$A783,T_PlannedOrders[WeekIndex],8)=0,"",SUMIFS(T_PlannedOrders[EffectiveQty],T_PlannedOrders[Part Name],$A783,T_PlannedOrders[WeekIndex],8)&amp;" ("&amp;TEXT(SUMPRODUCT(MAX((T_PlannedOrders[Part Name]=$A783)*(T_PlannedOrders[WeekIndex]=8)*(T_PlannedOrders[EffectiveQty]&gt;0)*T_PlannedOrders[Order_Month])),"m月")&amp;"発注)")</f>
        <v/>
      </c>
      <c r="L817">
        <f>IF(SUMIFS(T_PlannedOrders[EffectiveQty],T_PlannedOrders[Part Name],$A783,T_PlannedOrders[WeekIndex],9)=0,"",SUMIFS(T_PlannedOrders[EffectiveQty],T_PlannedOrders[Part Name],$A783,T_PlannedOrders[WeekIndex],9)&amp;" ("&amp;TEXT(SUMPRODUCT(MAX((T_PlannedOrders[Part Name]=$A783)*(T_PlannedOrders[WeekIndex]=9)*(T_PlannedOrders[EffectiveQty]&gt;0)*T_PlannedOrders[Order_Month])),"m月")&amp;"発注)")</f>
        <v/>
      </c>
      <c r="M817">
        <f>IF(SUMIFS(T_PlannedOrders[EffectiveQty],T_PlannedOrders[Part Name],$A783,T_PlannedOrders[WeekIndex],10)=0,"",SUMIFS(T_PlannedOrders[EffectiveQty],T_PlannedOrders[Part Name],$A783,T_PlannedOrders[WeekIndex],10)&amp;" ("&amp;TEXT(SUMPRODUCT(MAX((T_PlannedOrders[Part Name]=$A783)*(T_PlannedOrders[WeekIndex]=10)*(T_PlannedOrders[EffectiveQty]&gt;0)*T_PlannedOrders[Order_Month])),"m月")&amp;"発注)")</f>
        <v/>
      </c>
      <c r="N817">
        <f>IF(SUMIFS(T_PlannedOrders[EffectiveQty],T_PlannedOrders[Part Name],$A783,T_PlannedOrders[WeekIndex],11)=0,"",SUMIFS(T_PlannedOrders[EffectiveQty],T_PlannedOrders[Part Name],$A783,T_PlannedOrders[WeekIndex],11)&amp;" ("&amp;TEXT(SUMPRODUCT(MAX((T_PlannedOrders[Part Name]=$A783)*(T_PlannedOrders[WeekIndex]=11)*(T_PlannedOrders[EffectiveQty]&gt;0)*T_PlannedOrders[Order_Month])),"m月")&amp;"発注)")</f>
        <v/>
      </c>
      <c r="O817">
        <f>IF(SUMIFS(T_PlannedOrders[EffectiveQty],T_PlannedOrders[Part Name],$A783,T_PlannedOrders[WeekIndex],12)=0,"",SUMIFS(T_PlannedOrders[EffectiveQty],T_PlannedOrders[Part Name],$A783,T_PlannedOrders[WeekIndex],12)&amp;" ("&amp;TEXT(SUMPRODUCT(MAX((T_PlannedOrders[Part Name]=$A783)*(T_PlannedOrders[WeekIndex]=12)*(T_PlannedOrders[EffectiveQty]&gt;0)*T_PlannedOrders[Order_Month])),"m月")&amp;"発注)")</f>
        <v/>
      </c>
      <c r="P817">
        <f>IF(SUMIFS(T_PlannedOrders[EffectiveQty],T_PlannedOrders[Part Name],$A783,T_PlannedOrders[WeekIndex],13)=0,"",SUMIFS(T_PlannedOrders[EffectiveQty],T_PlannedOrders[Part Name],$A783,T_PlannedOrders[WeekIndex],13)&amp;" ("&amp;TEXT(SUMPRODUCT(MAX((T_PlannedOrders[Part Name]=$A783)*(T_PlannedOrders[WeekIndex]=13)*(T_PlannedOrders[EffectiveQty]&gt;0)*T_PlannedOrders[Order_Month])),"m月")&amp;"発注)")</f>
        <v/>
      </c>
      <c r="Q817">
        <f>IF(SUMIFS(T_PlannedOrders[EffectiveQty],T_PlannedOrders[Part Name],$A783,T_PlannedOrders[WeekIndex],14)=0,"",SUMIFS(T_PlannedOrders[EffectiveQty],T_PlannedOrders[Part Name],$A783,T_PlannedOrders[WeekIndex],14)&amp;" ("&amp;TEXT(SUMPRODUCT(MAX((T_PlannedOrders[Part Name]=$A783)*(T_PlannedOrders[WeekIndex]=14)*(T_PlannedOrders[EffectiveQty]&gt;0)*T_PlannedOrders[Order_Month])),"m月")&amp;"発注)")</f>
        <v/>
      </c>
      <c r="R817">
        <f>IF(SUMIFS(T_PlannedOrders[EffectiveQty],T_PlannedOrders[Part Name],$A783,T_PlannedOrders[WeekIndex],15)=0,"",SUMIFS(T_PlannedOrders[EffectiveQty],T_PlannedOrders[Part Name],$A783,T_PlannedOrders[WeekIndex],15)&amp;" ("&amp;TEXT(SUMPRODUCT(MAX((T_PlannedOrders[Part Name]=$A783)*(T_PlannedOrders[WeekIndex]=15)*(T_PlannedOrders[EffectiveQty]&gt;0)*T_PlannedOrders[Order_Month])),"m月")&amp;"発注)")</f>
        <v/>
      </c>
      <c r="S817">
        <f>IF(SUMIFS(T_PlannedOrders[EffectiveQty],T_PlannedOrders[Part Name],$A783,T_PlannedOrders[WeekIndex],16)=0,"",SUMIFS(T_PlannedOrders[EffectiveQty],T_PlannedOrders[Part Name],$A783,T_PlannedOrders[WeekIndex],16)&amp;" ("&amp;TEXT(SUMPRODUCT(MAX((T_PlannedOrders[Part Name]=$A783)*(T_PlannedOrders[WeekIndex]=16)*(T_PlannedOrders[EffectiveQty]&gt;0)*T_PlannedOrders[Order_Month])),"m月")&amp;"発注)")</f>
        <v/>
      </c>
      <c r="T817">
        <f>IF(SUMIFS(T_PlannedOrders[EffectiveQty],T_PlannedOrders[Part Name],$A783,T_PlannedOrders[WeekIndex],17)=0,"",SUMIFS(T_PlannedOrders[EffectiveQty],T_PlannedOrders[Part Name],$A783,T_PlannedOrders[WeekIndex],17)&amp;" ("&amp;TEXT(SUMPRODUCT(MAX((T_PlannedOrders[Part Name]=$A783)*(T_PlannedOrders[WeekIndex]=17)*(T_PlannedOrders[EffectiveQty]&gt;0)*T_PlannedOrders[Order_Month])),"m月")&amp;"発注)")</f>
        <v/>
      </c>
      <c r="U817">
        <f>IF(SUMIFS(T_PlannedOrders[EffectiveQty],T_PlannedOrders[Part Name],$A783,T_PlannedOrders[WeekIndex],18)=0,"",SUMIFS(T_PlannedOrders[EffectiveQty],T_PlannedOrders[Part Name],$A783,T_PlannedOrders[WeekIndex],18)&amp;" ("&amp;TEXT(SUMPRODUCT(MAX((T_PlannedOrders[Part Name]=$A783)*(T_PlannedOrders[WeekIndex]=18)*(T_PlannedOrders[EffectiveQty]&gt;0)*T_PlannedOrders[Order_Month])),"m月")&amp;"発注)")</f>
        <v/>
      </c>
      <c r="V817">
        <f>IF(SUMIFS(T_PlannedOrders[EffectiveQty],T_PlannedOrders[Part Name],$A783,T_PlannedOrders[WeekIndex],19)=0,"",SUMIFS(T_PlannedOrders[EffectiveQty],T_PlannedOrders[Part Name],$A783,T_PlannedOrders[WeekIndex],19)&amp;" ("&amp;TEXT(SUMPRODUCT(MAX((T_PlannedOrders[Part Name]=$A783)*(T_PlannedOrders[WeekIndex]=19)*(T_PlannedOrders[EffectiveQty]&gt;0)*T_PlannedOrders[Order_Month])),"m月")&amp;"発注)")</f>
        <v/>
      </c>
      <c r="W817">
        <f>IF(SUMIFS(T_PlannedOrders[EffectiveQty],T_PlannedOrders[Part Name],$A783,T_PlannedOrders[WeekIndex],20)=0,"",SUMIFS(T_PlannedOrders[EffectiveQty],T_PlannedOrders[Part Name],$A783,T_PlannedOrders[WeekIndex],20)&amp;" ("&amp;TEXT(SUMPRODUCT(MAX((T_PlannedOrders[Part Name]=$A783)*(T_PlannedOrders[WeekIndex]=20)*(T_PlannedOrders[EffectiveQty]&gt;0)*T_PlannedOrders[Order_Month])),"m月")&amp;"発注)")</f>
        <v/>
      </c>
      <c r="X817">
        <f>IF(SUMIFS(T_PlannedOrders[EffectiveQty],T_PlannedOrders[Part Name],$A783,T_PlannedOrders[WeekIndex],21)=0,"",SUMIFS(T_PlannedOrders[EffectiveQty],T_PlannedOrders[Part Name],$A783,T_PlannedOrders[WeekIndex],21)&amp;" ("&amp;TEXT(SUMPRODUCT(MAX((T_PlannedOrders[Part Name]=$A783)*(T_PlannedOrders[WeekIndex]=21)*(T_PlannedOrders[EffectiveQty]&gt;0)*T_PlannedOrders[Order_Month])),"m月")&amp;"発注)")</f>
        <v/>
      </c>
      <c r="Y817">
        <f>IF(SUMIFS(T_PlannedOrders[EffectiveQty],T_PlannedOrders[Part Name],$A783,T_PlannedOrders[WeekIndex],22)=0,"",SUMIFS(T_PlannedOrders[EffectiveQty],T_PlannedOrders[Part Name],$A783,T_PlannedOrders[WeekIndex],22)&amp;" ("&amp;TEXT(SUMPRODUCT(MAX((T_PlannedOrders[Part Name]=$A783)*(T_PlannedOrders[WeekIndex]=22)*(T_PlannedOrders[EffectiveQty]&gt;0)*T_PlannedOrders[Order_Month])),"m月")&amp;"発注)")</f>
        <v/>
      </c>
      <c r="Z817">
        <f>IF(SUMIFS(T_PlannedOrders[EffectiveQty],T_PlannedOrders[Part Name],$A783,T_PlannedOrders[WeekIndex],23)=0,"",SUMIFS(T_PlannedOrders[EffectiveQty],T_PlannedOrders[Part Name],$A783,T_PlannedOrders[WeekIndex],23)&amp;" ("&amp;TEXT(SUMPRODUCT(MAX((T_PlannedOrders[Part Name]=$A783)*(T_PlannedOrders[WeekIndex]=23)*(T_PlannedOrders[EffectiveQty]&gt;0)*T_PlannedOrders[Order_Month])),"m月")&amp;"発注)")</f>
        <v/>
      </c>
      <c r="AA817">
        <f>IF(SUMIFS(T_PlannedOrders[EffectiveQty],T_PlannedOrders[Part Name],$A783,T_PlannedOrders[WeekIndex],24)=0,"",SUMIFS(T_PlannedOrders[EffectiveQty],T_PlannedOrders[Part Name],$A783,T_PlannedOrders[WeekIndex],24)&amp;" ("&amp;TEXT(SUMPRODUCT(MAX((T_PlannedOrders[Part Name]=$A783)*(T_PlannedOrders[WeekIndex]=24)*(T_PlannedOrders[EffectiveQty]&gt;0)*T_PlannedOrders[Order_Month])),"m月")&amp;"発注)")</f>
        <v/>
      </c>
      <c r="AB817">
        <f>IF(SUMIFS(T_PlannedOrders[EffectiveQty],T_PlannedOrders[Part Name],$A783,T_PlannedOrders[WeekIndex],25)=0,"",SUMIFS(T_PlannedOrders[EffectiveQty],T_PlannedOrders[Part Name],$A783,T_PlannedOrders[WeekIndex],25)&amp;" ("&amp;TEXT(SUMPRODUCT(MAX((T_PlannedOrders[Part Name]=$A783)*(T_PlannedOrders[WeekIndex]=25)*(T_PlannedOrders[EffectiveQty]&gt;0)*T_PlannedOrders[Order_Month])),"m月")&amp;"発注)")</f>
        <v/>
      </c>
      <c r="AC817">
        <f>IF(SUMIFS(T_PlannedOrders[EffectiveQty],T_PlannedOrders[Part Name],$A783,T_PlannedOrders[WeekIndex],26)=0,"",SUMIFS(T_PlannedOrders[EffectiveQty],T_PlannedOrders[Part Name],$A783,T_PlannedOrders[WeekIndex],26)&amp;" ("&amp;TEXT(SUMPRODUCT(MAX((T_PlannedOrders[Part Name]=$A783)*(T_PlannedOrders[WeekIndex]=26)*(T_PlannedOrders[EffectiveQty]&gt;0)*T_PlannedOrders[Order_Month])),"m月")&amp;"発注)")</f>
        <v/>
      </c>
      <c r="AD817">
        <f>IF(SUMIFS(T_PlannedOrders[EffectiveQty],T_PlannedOrders[Part Name],$A783,T_PlannedOrders[WeekIndex],27)=0,"",SUMIFS(T_PlannedOrders[EffectiveQty],T_PlannedOrders[Part Name],$A783,T_PlannedOrders[WeekIndex],27)&amp;" ("&amp;TEXT(SUMPRODUCT(MAX((T_PlannedOrders[Part Name]=$A783)*(T_PlannedOrders[WeekIndex]=27)*(T_PlannedOrders[EffectiveQty]&gt;0)*T_PlannedOrders[Order_Month])),"m月")&amp;"発注)")</f>
        <v/>
      </c>
      <c r="AE817">
        <f>IF(SUMIFS(T_PlannedOrders[EffectiveQty],T_PlannedOrders[Part Name],$A783,T_PlannedOrders[WeekIndex],28)=0,"",SUMIFS(T_PlannedOrders[EffectiveQty],T_PlannedOrders[Part Name],$A783,T_PlannedOrders[WeekIndex],28)&amp;" ("&amp;TEXT(SUMPRODUCT(MAX((T_PlannedOrders[Part Name]=$A783)*(T_PlannedOrders[WeekIndex]=28)*(T_PlannedOrders[EffectiveQty]&gt;0)*T_PlannedOrders[Order_Month])),"m月")&amp;"発注)")</f>
        <v/>
      </c>
      <c r="AF817">
        <f>IF(SUMIFS(T_PlannedOrders[EffectiveQty],T_PlannedOrders[Part Name],$A783,T_PlannedOrders[WeekIndex],29)=0,"",SUMIFS(T_PlannedOrders[EffectiveQty],T_PlannedOrders[Part Name],$A783,T_PlannedOrders[WeekIndex],29)&amp;" ("&amp;TEXT(SUMPRODUCT(MAX((T_PlannedOrders[Part Name]=$A783)*(T_PlannedOrders[WeekIndex]=29)*(T_PlannedOrders[EffectiveQty]&gt;0)*T_PlannedOrders[Order_Month])),"m月")&amp;"発注)")</f>
        <v/>
      </c>
      <c r="AG817">
        <f>IF(SUMIFS(T_PlannedOrders[EffectiveQty],T_PlannedOrders[Part Name],$A783,T_PlannedOrders[WeekIndex],30)=0,"",SUMIFS(T_PlannedOrders[EffectiveQty],T_PlannedOrders[Part Name],$A783,T_PlannedOrders[WeekIndex],30)&amp;" ("&amp;TEXT(SUMPRODUCT(MAX((T_PlannedOrders[Part Name]=$A783)*(T_PlannedOrders[WeekIndex]=30)*(T_PlannedOrders[EffectiveQty]&gt;0)*T_PlannedOrders[Order_Month])),"m月")&amp;"発注)")</f>
        <v/>
      </c>
      <c r="AH817">
        <f>IF(SUMIFS(T_PlannedOrders[EffectiveQty],T_PlannedOrders[Part Name],$A783,T_PlannedOrders[WeekIndex],31)=0,"",SUMIFS(T_PlannedOrders[EffectiveQty],T_PlannedOrders[Part Name],$A783,T_PlannedOrders[WeekIndex],31)&amp;" ("&amp;TEXT(SUMPRODUCT(MAX((T_PlannedOrders[Part Name]=$A783)*(T_PlannedOrders[WeekIndex]=31)*(T_PlannedOrders[EffectiveQty]&gt;0)*T_PlannedOrders[Order_Month])),"m月")&amp;"発注)")</f>
        <v/>
      </c>
      <c r="AI817">
        <f>IF(SUMIFS(T_PlannedOrders[EffectiveQty],T_PlannedOrders[Part Name],$A783,T_PlannedOrders[WeekIndex],32)=0,"",SUMIFS(T_PlannedOrders[EffectiveQty],T_PlannedOrders[Part Name],$A783,T_PlannedOrders[WeekIndex],32)&amp;" ("&amp;TEXT(SUMPRODUCT(MAX((T_PlannedOrders[Part Name]=$A783)*(T_PlannedOrders[WeekIndex]=32)*(T_PlannedOrders[EffectiveQty]&gt;0)*T_PlannedOrders[Order_Month])),"m月")&amp;"発注)")</f>
        <v/>
      </c>
      <c r="AJ817">
        <f>IF(SUMIFS(T_PlannedOrders[EffectiveQty],T_PlannedOrders[Part Name],$A783,T_PlannedOrders[WeekIndex],33)=0,"",SUMIFS(T_PlannedOrders[EffectiveQty],T_PlannedOrders[Part Name],$A783,T_PlannedOrders[WeekIndex],33)&amp;" ("&amp;TEXT(SUMPRODUCT(MAX((T_PlannedOrders[Part Name]=$A783)*(T_PlannedOrders[WeekIndex]=33)*(T_PlannedOrders[EffectiveQty]&gt;0)*T_PlannedOrders[Order_Month])),"m月")&amp;"発注)")</f>
        <v/>
      </c>
      <c r="AK817">
        <f>IF(SUMIFS(T_PlannedOrders[EffectiveQty],T_PlannedOrders[Part Name],$A783,T_PlannedOrders[WeekIndex],34)=0,"",SUMIFS(T_PlannedOrders[EffectiveQty],T_PlannedOrders[Part Name],$A783,T_PlannedOrders[WeekIndex],34)&amp;" ("&amp;TEXT(SUMPRODUCT(MAX((T_PlannedOrders[Part Name]=$A783)*(T_PlannedOrders[WeekIndex]=34)*(T_PlannedOrders[EffectiveQty]&gt;0)*T_PlannedOrders[Order_Month])),"m月")&amp;"発注)")</f>
        <v/>
      </c>
      <c r="AL817">
        <f>IF(SUMIFS(T_PlannedOrders[EffectiveQty],T_PlannedOrders[Part Name],$A783,T_PlannedOrders[WeekIndex],35)=0,"",SUMIFS(T_PlannedOrders[EffectiveQty],T_PlannedOrders[Part Name],$A783,T_PlannedOrders[WeekIndex],35)&amp;" ("&amp;TEXT(SUMPRODUCT(MAX((T_PlannedOrders[Part Name]=$A783)*(T_PlannedOrders[WeekIndex]=35)*(T_PlannedOrders[EffectiveQty]&gt;0)*T_PlannedOrders[Order_Month])),"m月")&amp;"発注)")</f>
        <v/>
      </c>
      <c r="AM817">
        <f>IF(SUMIFS(T_PlannedOrders[EffectiveQty],T_PlannedOrders[Part Name],$A783,T_PlannedOrders[WeekIndex],36)=0,"",SUMIFS(T_PlannedOrders[EffectiveQty],T_PlannedOrders[Part Name],$A783,T_PlannedOrders[WeekIndex],36)&amp;" ("&amp;TEXT(SUMPRODUCT(MAX((T_PlannedOrders[Part Name]=$A783)*(T_PlannedOrders[WeekIndex]=36)*(T_PlannedOrders[EffectiveQty]&gt;0)*T_PlannedOrders[Order_Month])),"m月")&amp;"発注)")</f>
        <v/>
      </c>
      <c r="AN817">
        <f>IF(SUMIFS(T_PlannedOrders[EffectiveQty],T_PlannedOrders[Part Name],$A783,T_PlannedOrders[WeekIndex],37)=0,"",SUMIFS(T_PlannedOrders[EffectiveQty],T_PlannedOrders[Part Name],$A783,T_PlannedOrders[WeekIndex],37)&amp;" ("&amp;TEXT(SUMPRODUCT(MAX((T_PlannedOrders[Part Name]=$A783)*(T_PlannedOrders[WeekIndex]=37)*(T_PlannedOrders[EffectiveQty]&gt;0)*T_PlannedOrders[Order_Month])),"m月")&amp;"発注)")</f>
        <v/>
      </c>
      <c r="AO817">
        <f>IF(SUMIFS(T_PlannedOrders[EffectiveQty],T_PlannedOrders[Part Name],$A783,T_PlannedOrders[WeekIndex],38)=0,"",SUMIFS(T_PlannedOrders[EffectiveQty],T_PlannedOrders[Part Name],$A783,T_PlannedOrders[WeekIndex],38)&amp;" ("&amp;TEXT(SUMPRODUCT(MAX((T_PlannedOrders[Part Name]=$A783)*(T_PlannedOrders[WeekIndex]=38)*(T_PlannedOrders[EffectiveQty]&gt;0)*T_PlannedOrders[Order_Month])),"m月")&amp;"発注)")</f>
        <v/>
      </c>
      <c r="AP817">
        <f>IF(SUMIFS(T_PlannedOrders[EffectiveQty],T_PlannedOrders[Part Name],$A783,T_PlannedOrders[WeekIndex],39)=0,"",SUMIFS(T_PlannedOrders[EffectiveQty],T_PlannedOrders[Part Name],$A783,T_PlannedOrders[WeekIndex],39)&amp;" ("&amp;TEXT(SUMPRODUCT(MAX((T_PlannedOrders[Part Name]=$A783)*(T_PlannedOrders[WeekIndex]=39)*(T_PlannedOrders[EffectiveQty]&gt;0)*T_PlannedOrders[Order_Month])),"m月")&amp;"発注)")</f>
        <v/>
      </c>
      <c r="AQ817">
        <f>IF(SUMIFS(T_PlannedOrders[EffectiveQty],T_PlannedOrders[Part Name],$A783,T_PlannedOrders[WeekIndex],40)=0,"",SUMIFS(T_PlannedOrders[EffectiveQty],T_PlannedOrders[Part Name],$A783,T_PlannedOrders[WeekIndex],40)&amp;" ("&amp;TEXT(SUMPRODUCT(MAX((T_PlannedOrders[Part Name]=$A783)*(T_PlannedOrders[WeekIndex]=40)*(T_PlannedOrders[EffectiveQty]&gt;0)*T_PlannedOrders[Order_Month])),"m月")&amp;"発注)")</f>
        <v/>
      </c>
      <c r="AR817">
        <f>IF(SUMIFS(T_PlannedOrders[EffectiveQty],T_PlannedOrders[Part Name],$A783,T_PlannedOrders[WeekIndex],41)=0,"",SUMIFS(T_PlannedOrders[EffectiveQty],T_PlannedOrders[Part Name],$A783,T_PlannedOrders[WeekIndex],41)&amp;" ("&amp;TEXT(SUMPRODUCT(MAX((T_PlannedOrders[Part Name]=$A783)*(T_PlannedOrders[WeekIndex]=41)*(T_PlannedOrders[EffectiveQty]&gt;0)*T_PlannedOrders[Order_Month])),"m月")&amp;"発注)")</f>
        <v/>
      </c>
      <c r="AS817">
        <f>IF(SUMIFS(T_PlannedOrders[EffectiveQty],T_PlannedOrders[Part Name],$A783,T_PlannedOrders[WeekIndex],42)=0,"",SUMIFS(T_PlannedOrders[EffectiveQty],T_PlannedOrders[Part Name],$A783,T_PlannedOrders[WeekIndex],42)&amp;" ("&amp;TEXT(SUMPRODUCT(MAX((T_PlannedOrders[Part Name]=$A783)*(T_PlannedOrders[WeekIndex]=42)*(T_PlannedOrders[EffectiveQty]&gt;0)*T_PlannedOrders[Order_Month])),"m月")&amp;"発注)")</f>
        <v/>
      </c>
      <c r="AT817">
        <f>IF(SUMIFS(T_PlannedOrders[EffectiveQty],T_PlannedOrders[Part Name],$A783,T_PlannedOrders[WeekIndex],43)=0,"",SUMIFS(T_PlannedOrders[EffectiveQty],T_PlannedOrders[Part Name],$A783,T_PlannedOrders[WeekIndex],43)&amp;" ("&amp;TEXT(SUMPRODUCT(MAX((T_PlannedOrders[Part Name]=$A783)*(T_PlannedOrders[WeekIndex]=43)*(T_PlannedOrders[EffectiveQty]&gt;0)*T_PlannedOrders[Order_Month])),"m月")&amp;"発注)")</f>
        <v/>
      </c>
      <c r="AU817">
        <f>IF(SUMIFS(T_PlannedOrders[EffectiveQty],T_PlannedOrders[Part Name],$A783,T_PlannedOrders[WeekIndex],44)=0,"",SUMIFS(T_PlannedOrders[EffectiveQty],T_PlannedOrders[Part Name],$A783,T_PlannedOrders[WeekIndex],44)&amp;" ("&amp;TEXT(SUMPRODUCT(MAX((T_PlannedOrders[Part Name]=$A783)*(T_PlannedOrders[WeekIndex]=44)*(T_PlannedOrders[EffectiveQty]&gt;0)*T_PlannedOrders[Order_Month])),"m月")&amp;"発注)")</f>
        <v/>
      </c>
      <c r="AV817">
        <f>IF(SUMIFS(T_PlannedOrders[EffectiveQty],T_PlannedOrders[Part Name],$A783,T_PlannedOrders[WeekIndex],45)=0,"",SUMIFS(T_PlannedOrders[EffectiveQty],T_PlannedOrders[Part Name],$A783,T_PlannedOrders[WeekIndex],45)&amp;" ("&amp;TEXT(SUMPRODUCT(MAX((T_PlannedOrders[Part Name]=$A783)*(T_PlannedOrders[WeekIndex]=45)*(T_PlannedOrders[EffectiveQty]&gt;0)*T_PlannedOrders[Order_Month])),"m月")&amp;"発注)")</f>
        <v/>
      </c>
      <c r="AW817">
        <f>IF(SUMIFS(T_PlannedOrders[EffectiveQty],T_PlannedOrders[Part Name],$A783,T_PlannedOrders[WeekIndex],46)=0,"",SUMIFS(T_PlannedOrders[EffectiveQty],T_PlannedOrders[Part Name],$A783,T_PlannedOrders[WeekIndex],46)&amp;" ("&amp;TEXT(SUMPRODUCT(MAX((T_PlannedOrders[Part Name]=$A783)*(T_PlannedOrders[WeekIndex]=46)*(T_PlannedOrders[EffectiveQty]&gt;0)*T_PlannedOrders[Order_Month])),"m月")&amp;"発注)")</f>
        <v/>
      </c>
      <c r="AX817">
        <f>IF(SUMIFS(T_PlannedOrders[EffectiveQty],T_PlannedOrders[Part Name],$A783,T_PlannedOrders[WeekIndex],47)=0,"",SUMIFS(T_PlannedOrders[EffectiveQty],T_PlannedOrders[Part Name],$A783,T_PlannedOrders[WeekIndex],47)&amp;" ("&amp;TEXT(SUMPRODUCT(MAX((T_PlannedOrders[Part Name]=$A783)*(T_PlannedOrders[WeekIndex]=47)*(T_PlannedOrders[EffectiveQty]&gt;0)*T_PlannedOrders[Order_Month])),"m月")&amp;"発注)")</f>
        <v/>
      </c>
      <c r="AY817">
        <f>IF(SUMIFS(T_PlannedOrders[EffectiveQty],T_PlannedOrders[Part Name],$A783,T_PlannedOrders[WeekIndex],48)=0,"",SUMIFS(T_PlannedOrders[EffectiveQty],T_PlannedOrders[Part Name],$A783,T_PlannedOrders[WeekIndex],48)&amp;" ("&amp;TEXT(SUMPRODUCT(MAX((T_PlannedOrders[Part Name]=$A783)*(T_PlannedOrders[WeekIndex]=48)*(T_PlannedOrders[EffectiveQty]&gt;0)*T_PlannedOrders[Order_Month])),"m月")&amp;"発注)")</f>
        <v/>
      </c>
      <c r="AZ817">
        <f>IF(SUMIFS(T_PlannedOrders[EffectiveQty],T_PlannedOrders[Part Name],$A783,T_PlannedOrders[WeekIndex],49)=0,"",SUMIFS(T_PlannedOrders[EffectiveQty],T_PlannedOrders[Part Name],$A783,T_PlannedOrders[WeekIndex],49)&amp;" ("&amp;TEXT(SUMPRODUCT(MAX((T_PlannedOrders[Part Name]=$A783)*(T_PlannedOrders[WeekIndex]=49)*(T_PlannedOrders[EffectiveQty]&gt;0)*T_PlannedOrders[Order_Month])),"m月")&amp;"発注)")</f>
        <v/>
      </c>
      <c r="BA817">
        <f>IF(SUMIFS(T_PlannedOrders[EffectiveQty],T_PlannedOrders[Part Name],$A783,T_PlannedOrders[WeekIndex],50)=0,"",SUMIFS(T_PlannedOrders[EffectiveQty],T_PlannedOrders[Part Name],$A783,T_PlannedOrders[WeekIndex],50)&amp;" ("&amp;TEXT(SUMPRODUCT(MAX((T_PlannedOrders[Part Name]=$A783)*(T_PlannedOrders[WeekIndex]=50)*(T_PlannedOrders[EffectiveQty]&gt;0)*T_PlannedOrders[Order_Month])),"m月")&amp;"発注)")</f>
        <v/>
      </c>
      <c r="BB817">
        <f>IF(SUMIFS(T_PlannedOrders[EffectiveQty],T_PlannedOrders[Part Name],$A783,T_PlannedOrders[WeekIndex],51)=0,"",SUMIFS(T_PlannedOrders[EffectiveQty],T_PlannedOrders[Part Name],$A783,T_PlannedOrders[WeekIndex],51)&amp;" ("&amp;TEXT(SUMPRODUCT(MAX((T_PlannedOrders[Part Name]=$A783)*(T_PlannedOrders[WeekIndex]=51)*(T_PlannedOrders[EffectiveQty]&gt;0)*T_PlannedOrders[Order_Month])),"m月")&amp;"発注)")</f>
        <v/>
      </c>
      <c r="BC817">
        <f>IF(SUMIFS(T_PlannedOrders[EffectiveQty],T_PlannedOrders[Part Name],$A783,T_PlannedOrders[WeekIndex],52)=0,"",SUMIFS(T_PlannedOrders[EffectiveQty],T_PlannedOrders[Part Name],$A783,T_PlannedOrders[WeekIndex],52)&amp;" ("&amp;TEXT(SUMPRODUCT(MAX((T_PlannedOrders[Part Name]=$A783)*(T_PlannedOrders[WeekIndex]=52)*(T_PlannedOrders[EffectiveQty]&gt;0)*T_PlannedOrders[Order_Month])),"m月")&amp;"発注)")</f>
        <v/>
      </c>
      <c r="BD817">
        <f>IF(SUMIFS(T_PlannedOrders[EffectiveQty],T_PlannedOrders[Part Name],$A783,T_PlannedOrders[WeekIndex],53)=0,"",SUMIFS(T_PlannedOrders[EffectiveQty],T_PlannedOrders[Part Name],$A783,T_PlannedOrders[WeekIndex],53)&amp;" ("&amp;TEXT(SUMPRODUCT(MAX((T_PlannedOrders[Part Name]=$A783)*(T_PlannedOrders[WeekIndex]=53)*(T_PlannedOrders[EffectiveQty]&gt;0)*T_PlannedOrders[Order_Month])),"m月")&amp;"発注)")</f>
        <v/>
      </c>
      <c r="BE817">
        <f>IF(SUMIFS(T_PlannedOrders[EffectiveQty],T_PlannedOrders[Part Name],$A783,T_PlannedOrders[WeekIndex],54)=0,"",SUMIFS(T_PlannedOrders[EffectiveQty],T_PlannedOrders[Part Name],$A783,T_PlannedOrders[WeekIndex],54)&amp;" ("&amp;TEXT(SUMPRODUCT(MAX((T_PlannedOrders[Part Name]=$A783)*(T_PlannedOrders[WeekIndex]=54)*(T_PlannedOrders[EffectiveQty]&gt;0)*T_PlannedOrders[Order_Month])),"m月")&amp;"発注)")</f>
        <v/>
      </c>
      <c r="BF817">
        <f>IF(SUMIFS(T_PlannedOrders[EffectiveQty],T_PlannedOrders[Part Name],$A783,T_PlannedOrders[WeekIndex],55)=0,"",SUMIFS(T_PlannedOrders[EffectiveQty],T_PlannedOrders[Part Name],$A783,T_PlannedOrders[WeekIndex],55)&amp;" ("&amp;TEXT(SUMPRODUCT(MAX((T_PlannedOrders[Part Name]=$A783)*(T_PlannedOrders[WeekIndex]=55)*(T_PlannedOrders[EffectiveQty]&gt;0)*T_PlannedOrders[Order_Month])),"m月")&amp;"発注)")</f>
        <v/>
      </c>
      <c r="BG817">
        <f>IF(SUMIFS(T_PlannedOrders[EffectiveQty],T_PlannedOrders[Part Name],$A783,T_PlannedOrders[WeekIndex],56)=0,"",SUMIFS(T_PlannedOrders[EffectiveQty],T_PlannedOrders[Part Name],$A783,T_PlannedOrders[WeekIndex],56)&amp;" ("&amp;TEXT(SUMPRODUCT(MAX((T_PlannedOrders[Part Name]=$A783)*(T_PlannedOrders[WeekIndex]=56)*(T_PlannedOrders[EffectiveQty]&gt;0)*T_PlannedOrders[Order_Month])),"m月")&amp;"発注)")</f>
        <v/>
      </c>
      <c r="BH817">
        <f>IF(SUMIFS(T_PlannedOrders[EffectiveQty],T_PlannedOrders[Part Name],$A783,T_PlannedOrders[WeekIndex],57)=0,"",SUMIFS(T_PlannedOrders[EffectiveQty],T_PlannedOrders[Part Name],$A783,T_PlannedOrders[WeekIndex],57)&amp;" ("&amp;TEXT(SUMPRODUCT(MAX((T_PlannedOrders[Part Name]=$A783)*(T_PlannedOrders[WeekIndex]=57)*(T_PlannedOrders[EffectiveQty]&gt;0)*T_PlannedOrders[Order_Month])),"m月")&amp;"発注)")</f>
        <v/>
      </c>
      <c r="BI817">
        <f>IF(SUMIFS(T_PlannedOrders[EffectiveQty],T_PlannedOrders[Part Name],$A783,T_PlannedOrders[WeekIndex],58)=0,"",SUMIFS(T_PlannedOrders[EffectiveQty],T_PlannedOrders[Part Name],$A783,T_PlannedOrders[WeekIndex],58)&amp;" ("&amp;TEXT(SUMPRODUCT(MAX((T_PlannedOrders[Part Name]=$A783)*(T_PlannedOrders[WeekIndex]=58)*(T_PlannedOrders[EffectiveQty]&gt;0)*T_PlannedOrders[Order_Month])),"m月")&amp;"発注)")</f>
        <v/>
      </c>
      <c r="BJ817">
        <f>IF(SUMIFS(T_PlannedOrders[EffectiveQty],T_PlannedOrders[Part Name],$A783,T_PlannedOrders[WeekIndex],59)=0,"",SUMIFS(T_PlannedOrders[EffectiveQty],T_PlannedOrders[Part Name],$A783,T_PlannedOrders[WeekIndex],59)&amp;" ("&amp;TEXT(SUMPRODUCT(MAX((T_PlannedOrders[Part Name]=$A783)*(T_PlannedOrders[WeekIndex]=59)*(T_PlannedOrders[EffectiveQty]&gt;0)*T_PlannedOrders[Order_Month])),"m月")&amp;"発注)")</f>
        <v/>
      </c>
      <c r="BK817">
        <f>IF(SUMIFS(T_PlannedOrders[EffectiveQty],T_PlannedOrders[Part Name],$A783,T_PlannedOrders[WeekIndex],60)=0,"",SUMIFS(T_PlannedOrders[EffectiveQty],T_PlannedOrders[Part Name],$A783,T_PlannedOrders[WeekIndex],60)&amp;" ("&amp;TEXT(SUMPRODUCT(MAX((T_PlannedOrders[Part Name]=$A783)*(T_PlannedOrders[WeekIndex]=60)*(T_PlannedOrders[EffectiveQty]&gt;0)*T_PlannedOrders[Order_Month])),"m月")&amp;"発注)")</f>
        <v/>
      </c>
      <c r="BL817">
        <f>IF(SUMIFS(T_PlannedOrders[EffectiveQty],T_PlannedOrders[Part Name],$A783,T_PlannedOrders[WeekIndex],61)=0,"",SUMIFS(T_PlannedOrders[EffectiveQty],T_PlannedOrders[Part Name],$A783,T_PlannedOrders[WeekIndex],61)&amp;" ("&amp;TEXT(SUMPRODUCT(MAX((T_PlannedOrders[Part Name]=$A783)*(T_PlannedOrders[WeekIndex]=61)*(T_PlannedOrders[EffectiveQty]&gt;0)*T_PlannedOrders[Order_Month])),"m月")&amp;"発注)")</f>
        <v/>
      </c>
      <c r="BM817">
        <f>IF(SUMIFS(T_PlannedOrders[EffectiveQty],T_PlannedOrders[Part Name],$A783,T_PlannedOrders[WeekIndex],62)=0,"",SUMIFS(T_PlannedOrders[EffectiveQty],T_PlannedOrders[Part Name],$A783,T_PlannedOrders[WeekIndex],62)&amp;" ("&amp;TEXT(SUMPRODUCT(MAX((T_PlannedOrders[Part Name]=$A783)*(T_PlannedOrders[WeekIndex]=62)*(T_PlannedOrders[EffectiveQty]&gt;0)*T_PlannedOrders[Order_Month])),"m月")&amp;"発注)")</f>
        <v/>
      </c>
      <c r="BN817">
        <f>IF(SUMIFS(T_PlannedOrders[EffectiveQty],T_PlannedOrders[Part Name],$A783,T_PlannedOrders[WeekIndex],63)=0,"",SUMIFS(T_PlannedOrders[EffectiveQty],T_PlannedOrders[Part Name],$A783,T_PlannedOrders[WeekIndex],63)&amp;" ("&amp;TEXT(SUMPRODUCT(MAX((T_PlannedOrders[Part Name]=$A783)*(T_PlannedOrders[WeekIndex]=63)*(T_PlannedOrders[EffectiveQty]&gt;0)*T_PlannedOrders[Order_Month])),"m月")&amp;"発注)")</f>
        <v/>
      </c>
      <c r="BO817">
        <f>IF(SUMIFS(T_PlannedOrders[EffectiveQty],T_PlannedOrders[Part Name],$A783,T_PlannedOrders[WeekIndex],64)=0,"",SUMIFS(T_PlannedOrders[EffectiveQty],T_PlannedOrders[Part Name],$A783,T_PlannedOrders[WeekIndex],64)&amp;" ("&amp;TEXT(SUMPRODUCT(MAX((T_PlannedOrders[Part Name]=$A783)*(T_PlannedOrders[WeekIndex]=64)*(T_PlannedOrders[EffectiveQty]&gt;0)*T_PlannedOrders[Order_Month])),"m月")&amp;"発注)")</f>
        <v/>
      </c>
      <c r="BP817">
        <f>IF(SUMIFS(T_PlannedOrders[EffectiveQty],T_PlannedOrders[Part Name],$A783,T_PlannedOrders[WeekIndex],65)=0,"",SUMIFS(T_PlannedOrders[EffectiveQty],T_PlannedOrders[Part Name],$A783,T_PlannedOrders[WeekIndex],65)&amp;" ("&amp;TEXT(SUMPRODUCT(MAX((T_PlannedOrders[Part Name]=$A783)*(T_PlannedOrders[WeekIndex]=65)*(T_PlannedOrders[EffectiveQty]&gt;0)*T_PlannedOrders[Order_Month])),"m月")&amp;"発注)")</f>
        <v/>
      </c>
      <c r="BQ817">
        <f>IF(SUMIFS(T_PlannedOrders[EffectiveQty],T_PlannedOrders[Part Name],$A783,T_PlannedOrders[WeekIndex],66)=0,"",SUMIFS(T_PlannedOrders[EffectiveQty],T_PlannedOrders[Part Name],$A783,T_PlannedOrders[WeekIndex],66)&amp;" ("&amp;TEXT(SUMPRODUCT(MAX((T_PlannedOrders[Part Name]=$A783)*(T_PlannedOrders[WeekIndex]=66)*(T_PlannedOrders[EffectiveQty]&gt;0)*T_PlannedOrders[Order_Month])),"m月")&amp;"発注)")</f>
        <v/>
      </c>
      <c r="BR817">
        <f>IF(SUMIFS(T_PlannedOrders[EffectiveQty],T_PlannedOrders[Part Name],$A783,T_PlannedOrders[WeekIndex],67)=0,"",SUMIFS(T_PlannedOrders[EffectiveQty],T_PlannedOrders[Part Name],$A783,T_PlannedOrders[WeekIndex],67)&amp;" ("&amp;TEXT(SUMPRODUCT(MAX((T_PlannedOrders[Part Name]=$A783)*(T_PlannedOrders[WeekIndex]=67)*(T_PlannedOrders[EffectiveQty]&gt;0)*T_PlannedOrders[Order_Month])),"m月")&amp;"発注)")</f>
        <v/>
      </c>
      <c r="BS817">
        <f>IF(SUMIFS(T_PlannedOrders[EffectiveQty],T_PlannedOrders[Part Name],$A783,T_PlannedOrders[WeekIndex],68)=0,"",SUMIFS(T_PlannedOrders[EffectiveQty],T_PlannedOrders[Part Name],$A783,T_PlannedOrders[WeekIndex],68)&amp;" ("&amp;TEXT(SUMPRODUCT(MAX((T_PlannedOrders[Part Name]=$A783)*(T_PlannedOrders[WeekIndex]=68)*(T_PlannedOrders[EffectiveQty]&gt;0)*T_PlannedOrders[Order_Month])),"m月")&amp;"発注)")</f>
        <v/>
      </c>
      <c r="BT817">
        <f>IF(SUMIFS(T_PlannedOrders[EffectiveQty],T_PlannedOrders[Part Name],$A783,T_PlannedOrders[WeekIndex],69)=0,"",SUMIFS(T_PlannedOrders[EffectiveQty],T_PlannedOrders[Part Name],$A783,T_PlannedOrders[WeekIndex],69)&amp;" ("&amp;TEXT(SUMPRODUCT(MAX((T_PlannedOrders[Part Name]=$A783)*(T_PlannedOrders[WeekIndex]=69)*(T_PlannedOrders[EffectiveQty]&gt;0)*T_PlannedOrders[Order_Month])),"m月")&amp;"発注)")</f>
        <v/>
      </c>
      <c r="BU817">
        <f>IF(SUMIFS(T_PlannedOrders[EffectiveQty],T_PlannedOrders[Part Name],$A783,T_PlannedOrders[WeekIndex],70)=0,"",SUMIFS(T_PlannedOrders[EffectiveQty],T_PlannedOrders[Part Name],$A783,T_PlannedOrders[WeekIndex],70)&amp;" ("&amp;TEXT(SUMPRODUCT(MAX((T_PlannedOrders[Part Name]=$A783)*(T_PlannedOrders[WeekIndex]=70)*(T_PlannedOrders[EffectiveQty]&gt;0)*T_PlannedOrders[Order_Month])),"m月")&amp;"発注)")</f>
        <v/>
      </c>
      <c r="BV817">
        <f>IF(SUMIFS(T_PlannedOrders[EffectiveQty],T_PlannedOrders[Part Name],$A783,T_PlannedOrders[WeekIndex],71)=0,"",SUMIFS(T_PlannedOrders[EffectiveQty],T_PlannedOrders[Part Name],$A783,T_PlannedOrders[WeekIndex],71)&amp;" ("&amp;TEXT(SUMPRODUCT(MAX((T_PlannedOrders[Part Name]=$A783)*(T_PlannedOrders[WeekIndex]=71)*(T_PlannedOrders[EffectiveQty]&gt;0)*T_PlannedOrders[Order_Month])),"m月")&amp;"発注)")</f>
        <v/>
      </c>
      <c r="BW817">
        <f>IF(SUMIFS(T_PlannedOrders[EffectiveQty],T_PlannedOrders[Part Name],$A783,T_PlannedOrders[WeekIndex],72)=0,"",SUMIFS(T_PlannedOrders[EffectiveQty],T_PlannedOrders[Part Name],$A783,T_PlannedOrders[WeekIndex],72)&amp;" ("&amp;TEXT(SUMPRODUCT(MAX((T_PlannedOrders[Part Name]=$A783)*(T_PlannedOrders[WeekIndex]=72)*(T_PlannedOrders[EffectiveQty]&gt;0)*T_PlannedOrders[Order_Month])),"m月")&amp;"発注)")</f>
        <v/>
      </c>
      <c r="BX817">
        <f>IF(SUMIFS(T_PlannedOrders[EffectiveQty],T_PlannedOrders[Part Name],$A783,T_PlannedOrders[WeekIndex],73)=0,"",SUMIFS(T_PlannedOrders[EffectiveQty],T_PlannedOrders[Part Name],$A783,T_PlannedOrders[WeekIndex],73)&amp;" ("&amp;TEXT(SUMPRODUCT(MAX((T_PlannedOrders[Part Name]=$A783)*(T_PlannedOrders[WeekIndex]=73)*(T_PlannedOrders[EffectiveQty]&gt;0)*T_PlannedOrders[Order_Month])),"m月")&amp;"発注)")</f>
        <v/>
      </c>
      <c r="BY817">
        <f>IF(SUMIFS(T_PlannedOrders[EffectiveQty],T_PlannedOrders[Part Name],$A783,T_PlannedOrders[WeekIndex],74)=0,"",SUMIFS(T_PlannedOrders[EffectiveQty],T_PlannedOrders[Part Name],$A783,T_PlannedOrders[WeekIndex],74)&amp;" ("&amp;TEXT(SUMPRODUCT(MAX((T_PlannedOrders[Part Name]=$A783)*(T_PlannedOrders[WeekIndex]=74)*(T_PlannedOrders[EffectiveQty]&gt;0)*T_PlannedOrders[Order_Month])),"m月")&amp;"発注)")</f>
        <v/>
      </c>
      <c r="BZ817">
        <f>IF(SUMIFS(T_PlannedOrders[EffectiveQty],T_PlannedOrders[Part Name],$A783,T_PlannedOrders[WeekIndex],75)=0,"",SUMIFS(T_PlannedOrders[EffectiveQty],T_PlannedOrders[Part Name],$A783,T_PlannedOrders[WeekIndex],75)&amp;" ("&amp;TEXT(SUMPRODUCT(MAX((T_PlannedOrders[Part Name]=$A783)*(T_PlannedOrders[WeekIndex]=75)*(T_PlannedOrders[EffectiveQty]&gt;0)*T_PlannedOrders[Order_Month])),"m月")&amp;"発注)")</f>
        <v/>
      </c>
      <c r="CA817">
        <f>IF(SUMIFS(T_PlannedOrders[EffectiveQty],T_PlannedOrders[Part Name],$A783,T_PlannedOrders[WeekIndex],76)=0,"",SUMIFS(T_PlannedOrders[EffectiveQty],T_PlannedOrders[Part Name],$A783,T_PlannedOrders[WeekIndex],76)&amp;" ("&amp;TEXT(SUMPRODUCT(MAX((T_PlannedOrders[Part Name]=$A783)*(T_PlannedOrders[WeekIndex]=76)*(T_PlannedOrders[EffectiveQty]&gt;0)*T_PlannedOrders[Order_Month])),"m月")&amp;"発注)")</f>
        <v/>
      </c>
      <c r="CB817">
        <f>IF(SUMIFS(T_PlannedOrders[EffectiveQty],T_PlannedOrders[Part Name],$A783,T_PlannedOrders[WeekIndex],77)=0,"",SUMIFS(T_PlannedOrders[EffectiveQty],T_PlannedOrders[Part Name],$A783,T_PlannedOrders[WeekIndex],77)&amp;" ("&amp;TEXT(SUMPRODUCT(MAX((T_PlannedOrders[Part Name]=$A783)*(T_PlannedOrders[WeekIndex]=77)*(T_PlannedOrders[EffectiveQty]&gt;0)*T_PlannedOrders[Order_Month])),"m月")&amp;"発注)")</f>
        <v/>
      </c>
      <c r="CC817">
        <f>IF(SUMIFS(T_PlannedOrders[EffectiveQty],T_PlannedOrders[Part Name],$A783,T_PlannedOrders[WeekIndex],78)=0,"",SUMIFS(T_PlannedOrders[EffectiveQty],T_PlannedOrders[Part Name],$A783,T_PlannedOrders[WeekIndex],78)&amp;" ("&amp;TEXT(SUMPRODUCT(MAX((T_PlannedOrders[Part Name]=$A783)*(T_PlannedOrders[WeekIndex]=78)*(T_PlannedOrders[EffectiveQty]&gt;0)*T_PlannedOrders[Order_Month])),"m月")&amp;"発注)")</f>
        <v/>
      </c>
      <c r="CD817">
        <f>IF(SUMIFS(T_PlannedOrders[EffectiveQty],T_PlannedOrders[Part Name],$A783,T_PlannedOrders[WeekIndex],79)=0,"",SUMIFS(T_PlannedOrders[EffectiveQty],T_PlannedOrders[Part Name],$A783,T_PlannedOrders[WeekIndex],79)&amp;" ("&amp;TEXT(SUMPRODUCT(MAX((T_PlannedOrders[Part Name]=$A783)*(T_PlannedOrders[WeekIndex]=79)*(T_PlannedOrders[EffectiveQty]&gt;0)*T_PlannedOrders[Order_Month])),"m月")&amp;"発注)")</f>
        <v/>
      </c>
      <c r="CE817">
        <f>IF(SUMIFS(T_PlannedOrders[EffectiveQty],T_PlannedOrders[Part Name],$A783,T_PlannedOrders[WeekIndex],80)=0,"",SUMIFS(T_PlannedOrders[EffectiveQty],T_PlannedOrders[Part Name],$A783,T_PlannedOrders[WeekIndex],80)&amp;" ("&amp;TEXT(SUMPRODUCT(MAX((T_PlannedOrders[Part Name]=$A783)*(T_PlannedOrders[WeekIndex]=80)*(T_PlannedOrders[EffectiveQty]&gt;0)*T_PlannedOrders[Order_Month])),"m月")&amp;"発注)")</f>
        <v/>
      </c>
      <c r="CF817">
        <f>IF(SUMIFS(T_PlannedOrders[EffectiveQty],T_PlannedOrders[Part Name],$A783,T_PlannedOrders[WeekIndex],81)=0,"",SUMIFS(T_PlannedOrders[EffectiveQty],T_PlannedOrders[Part Name],$A783,T_PlannedOrders[WeekIndex],81)&amp;" ("&amp;TEXT(SUMPRODUCT(MAX((T_PlannedOrders[Part Name]=$A783)*(T_PlannedOrders[WeekIndex]=81)*(T_PlannedOrders[EffectiveQty]&gt;0)*T_PlannedOrders[Order_Month])),"m月")&amp;"発注)")</f>
        <v/>
      </c>
      <c r="CG817">
        <f>IF(SUMIFS(T_PlannedOrders[EffectiveQty],T_PlannedOrders[Part Name],$A783,T_PlannedOrders[WeekIndex],82)=0,"",SUMIFS(T_PlannedOrders[EffectiveQty],T_PlannedOrders[Part Name],$A783,T_PlannedOrders[WeekIndex],82)&amp;" ("&amp;TEXT(SUMPRODUCT(MAX((T_PlannedOrders[Part Name]=$A783)*(T_PlannedOrders[WeekIndex]=82)*(T_PlannedOrders[EffectiveQty]&gt;0)*T_PlannedOrders[Order_Month])),"m月")&amp;"発注)")</f>
        <v/>
      </c>
      <c r="CH817">
        <f>IF(SUMIFS(T_PlannedOrders[EffectiveQty],T_PlannedOrders[Part Name],$A783,T_PlannedOrders[WeekIndex],83)=0,"",SUMIFS(T_PlannedOrders[EffectiveQty],T_PlannedOrders[Part Name],$A783,T_PlannedOrders[WeekIndex],83)&amp;" ("&amp;TEXT(SUMPRODUCT(MAX((T_PlannedOrders[Part Name]=$A783)*(T_PlannedOrders[WeekIndex]=83)*(T_PlannedOrders[EffectiveQty]&gt;0)*T_PlannedOrders[Order_Month])),"m月")&amp;"発注)")</f>
        <v/>
      </c>
      <c r="CI817">
        <f>IF(SUMIFS(T_PlannedOrders[EffectiveQty],T_PlannedOrders[Part Name],$A783,T_PlannedOrders[WeekIndex],84)=0,"",SUMIFS(T_PlannedOrders[EffectiveQty],T_PlannedOrders[Part Name],$A783,T_PlannedOrders[WeekIndex],84)&amp;" ("&amp;TEXT(SUMPRODUCT(MAX((T_PlannedOrders[Part Name]=$A783)*(T_PlannedOrders[WeekIndex]=84)*(T_PlannedOrders[EffectiveQty]&gt;0)*T_PlannedOrders[Order_Month])),"m月")&amp;"発注)")</f>
        <v/>
      </c>
      <c r="CJ817">
        <f>IF(SUMIFS(T_PlannedOrders[EffectiveQty],T_PlannedOrders[Part Name],$A783,T_PlannedOrders[WeekIndex],85)=0,"",SUMIFS(T_PlannedOrders[EffectiveQty],T_PlannedOrders[Part Name],$A783,T_PlannedOrders[WeekIndex],85)&amp;" ("&amp;TEXT(SUMPRODUCT(MAX((T_PlannedOrders[Part Name]=$A783)*(T_PlannedOrders[WeekIndex]=85)*(T_PlannedOrders[EffectiveQty]&gt;0)*T_PlannedOrders[Order_Month])),"m月")&amp;"発注)")</f>
        <v/>
      </c>
      <c r="CK817">
        <f>IF(SUMIFS(T_PlannedOrders[EffectiveQty],T_PlannedOrders[Part Name],$A783,T_PlannedOrders[WeekIndex],86)=0,"",SUMIFS(T_PlannedOrders[EffectiveQty],T_PlannedOrders[Part Name],$A783,T_PlannedOrders[WeekIndex],86)&amp;" ("&amp;TEXT(SUMPRODUCT(MAX((T_PlannedOrders[Part Name]=$A783)*(T_PlannedOrders[WeekIndex]=86)*(T_PlannedOrders[EffectiveQty]&gt;0)*T_PlannedOrders[Order_Month])),"m月")&amp;"発注)")</f>
        <v/>
      </c>
      <c r="CL817">
        <f>IF(SUMIFS(T_PlannedOrders[EffectiveQty],T_PlannedOrders[Part Name],$A783,T_PlannedOrders[WeekIndex],87)=0,"",SUMIFS(T_PlannedOrders[EffectiveQty],T_PlannedOrders[Part Name],$A783,T_PlannedOrders[WeekIndex],87)&amp;" ("&amp;TEXT(SUMPRODUCT(MAX((T_PlannedOrders[Part Name]=$A783)*(T_PlannedOrders[WeekIndex]=87)*(T_PlannedOrders[EffectiveQty]&gt;0)*T_PlannedOrders[Order_Month])),"m月")&amp;"発注)")</f>
        <v/>
      </c>
      <c r="CM817">
        <f>IF(SUMIFS(T_PlannedOrders[EffectiveQty],T_PlannedOrders[Part Name],$A783,T_PlannedOrders[WeekIndex],88)=0,"",SUMIFS(T_PlannedOrders[EffectiveQty],T_PlannedOrders[Part Name],$A783,T_PlannedOrders[WeekIndex],88)&amp;" ("&amp;TEXT(SUMPRODUCT(MAX((T_PlannedOrders[Part Name]=$A783)*(T_PlannedOrders[WeekIndex]=88)*(T_PlannedOrders[EffectiveQty]&gt;0)*T_PlannedOrders[Order_Month])),"m月")&amp;"発注)")</f>
        <v/>
      </c>
      <c r="CN817">
        <f>IF(SUMIFS(T_PlannedOrders[EffectiveQty],T_PlannedOrders[Part Name],$A783,T_PlannedOrders[WeekIndex],89)=0,"",SUMIFS(T_PlannedOrders[EffectiveQty],T_PlannedOrders[Part Name],$A783,T_PlannedOrders[WeekIndex],89)&amp;" ("&amp;TEXT(SUMPRODUCT(MAX((T_PlannedOrders[Part Name]=$A783)*(T_PlannedOrders[WeekIndex]=89)*(T_PlannedOrders[EffectiveQty]&gt;0)*T_PlannedOrders[Order_Month])),"m月")&amp;"発注)")</f>
        <v/>
      </c>
      <c r="CO817">
        <f>IF(SUMIFS(T_PlannedOrders[EffectiveQty],T_PlannedOrders[Part Name],$A783,T_PlannedOrders[WeekIndex],90)=0,"",SUMIFS(T_PlannedOrders[EffectiveQty],T_PlannedOrders[Part Name],$A783,T_PlannedOrders[WeekIndex],90)&amp;" ("&amp;TEXT(SUMPRODUCT(MAX((T_PlannedOrders[Part Name]=$A783)*(T_PlannedOrders[WeekIndex]=90)*(T_PlannedOrders[EffectiveQty]&gt;0)*T_PlannedOrders[Order_Month])),"m月")&amp;"発注)")</f>
        <v/>
      </c>
      <c r="CP817">
        <f>IF(SUMIFS(T_PlannedOrders[EffectiveQty],T_PlannedOrders[Part Name],$A783,T_PlannedOrders[WeekIndex],91)=0,"",SUMIFS(T_PlannedOrders[EffectiveQty],T_PlannedOrders[Part Name],$A783,T_PlannedOrders[WeekIndex],91)&amp;" ("&amp;TEXT(SUMPRODUCT(MAX((T_PlannedOrders[Part Name]=$A783)*(T_PlannedOrders[WeekIndex]=91)*(T_PlannedOrders[EffectiveQty]&gt;0)*T_PlannedOrders[Order_Month])),"m月")&amp;"発注)")</f>
        <v/>
      </c>
      <c r="CQ817">
        <f>IF(SUMIFS(T_PlannedOrders[EffectiveQty],T_PlannedOrders[Part Name],$A783,T_PlannedOrders[WeekIndex],92)=0,"",SUMIFS(T_PlannedOrders[EffectiveQty],T_PlannedOrders[Part Name],$A783,T_PlannedOrders[WeekIndex],92)&amp;" ("&amp;TEXT(SUMPRODUCT(MAX((T_PlannedOrders[Part Name]=$A783)*(T_PlannedOrders[WeekIndex]=92)*(T_PlannedOrders[EffectiveQty]&gt;0)*T_PlannedOrders[Order_Month])),"m月")&amp;"発注)")</f>
        <v/>
      </c>
      <c r="CR817">
        <f>IF(SUMIFS(T_PlannedOrders[EffectiveQty],T_PlannedOrders[Part Name],$A783,T_PlannedOrders[WeekIndex],93)=0,"",SUMIFS(T_PlannedOrders[EffectiveQty],T_PlannedOrders[Part Name],$A783,T_PlannedOrders[WeekIndex],93)&amp;" ("&amp;TEXT(SUMPRODUCT(MAX((T_PlannedOrders[Part Name]=$A783)*(T_PlannedOrders[WeekIndex]=93)*(T_PlannedOrders[EffectiveQty]&gt;0)*T_PlannedOrders[Order_Month])),"m月")&amp;"発注)")</f>
        <v/>
      </c>
      <c r="CS817">
        <f>IF(SUMIFS(T_PlannedOrders[EffectiveQty],T_PlannedOrders[Part Name],$A783,T_PlannedOrders[WeekIndex],94)=0,"",SUMIFS(T_PlannedOrders[EffectiveQty],T_PlannedOrders[Part Name],$A783,T_PlannedOrders[WeekIndex],94)&amp;" ("&amp;TEXT(SUMPRODUCT(MAX((T_PlannedOrders[Part Name]=$A783)*(T_PlannedOrders[WeekIndex]=94)*(T_PlannedOrders[EffectiveQty]&gt;0)*T_PlannedOrders[Order_Month])),"m月")&amp;"発注)")</f>
        <v/>
      </c>
      <c r="CT817">
        <f>IF(SUMIFS(T_PlannedOrders[EffectiveQty],T_PlannedOrders[Part Name],$A783,T_PlannedOrders[WeekIndex],95)=0,"",SUMIFS(T_PlannedOrders[EffectiveQty],T_PlannedOrders[Part Name],$A783,T_PlannedOrders[WeekIndex],95)&amp;" ("&amp;TEXT(SUMPRODUCT(MAX((T_PlannedOrders[Part Name]=$A783)*(T_PlannedOrders[WeekIndex]=95)*(T_PlannedOrders[EffectiveQty]&gt;0)*T_PlannedOrders[Order_Month])),"m月")&amp;"発注)")</f>
        <v/>
      </c>
      <c r="CU817">
        <f>IF(SUMIFS(T_PlannedOrders[EffectiveQty],T_PlannedOrders[Part Name],$A783,T_PlannedOrders[WeekIndex],96)=0,"",SUMIFS(T_PlannedOrders[EffectiveQty],T_PlannedOrders[Part Name],$A783,T_PlannedOrders[WeekIndex],96)&amp;" ("&amp;TEXT(SUMPRODUCT(MAX((T_PlannedOrders[Part Name]=$A783)*(T_PlannedOrders[WeekIndex]=96)*(T_PlannedOrders[EffectiveQty]&gt;0)*T_PlannedOrders[Order_Month])),"m月")&amp;"発注)")</f>
        <v/>
      </c>
      <c r="CV817">
        <f>IF(SUMIFS(T_PlannedOrders[EffectiveQty],T_PlannedOrders[Part Name],$A783,T_PlannedOrders[WeekIndex],97)=0,"",SUMIFS(T_PlannedOrders[EffectiveQty],T_PlannedOrders[Part Name],$A783,T_PlannedOrders[WeekIndex],97)&amp;" ("&amp;TEXT(SUMPRODUCT(MAX((T_PlannedOrders[Part Name]=$A783)*(T_PlannedOrders[WeekIndex]=97)*(T_PlannedOrders[EffectiveQty]&gt;0)*T_PlannedOrders[Order_Month])),"m月")&amp;"発注)")</f>
        <v/>
      </c>
      <c r="CW817">
        <f>IF(SUMIFS(T_PlannedOrders[EffectiveQty],T_PlannedOrders[Part Name],$A783,T_PlannedOrders[WeekIndex],98)=0,"",SUMIFS(T_PlannedOrders[EffectiveQty],T_PlannedOrders[Part Name],$A783,T_PlannedOrders[WeekIndex],98)&amp;" ("&amp;TEXT(SUMPRODUCT(MAX((T_PlannedOrders[Part Name]=$A783)*(T_PlannedOrders[WeekIndex]=98)*(T_PlannedOrders[EffectiveQty]&gt;0)*T_PlannedOrders[Order_Month])),"m月")&amp;"発注)")</f>
        <v/>
      </c>
      <c r="CX817">
        <f>IF(SUMIFS(T_PlannedOrders[EffectiveQty],T_PlannedOrders[Part Name],$A783,T_PlannedOrders[WeekIndex],99)=0,"",SUMIFS(T_PlannedOrders[EffectiveQty],T_PlannedOrders[Part Name],$A783,T_PlannedOrders[WeekIndex],99)&amp;" ("&amp;TEXT(SUMPRODUCT(MAX((T_PlannedOrders[Part Name]=$A783)*(T_PlannedOrders[WeekIndex]=99)*(T_PlannedOrders[EffectiveQty]&gt;0)*T_PlannedOrders[Order_Month])),"m月")&amp;"発注)")</f>
        <v/>
      </c>
      <c r="CY817">
        <f>IF(SUMIFS(T_PlannedOrders[EffectiveQty],T_PlannedOrders[Part Name],$A783,T_PlannedOrders[WeekIndex],100)=0,"",SUMIFS(T_PlannedOrders[EffectiveQty],T_PlannedOrders[Part Name],$A783,T_PlannedOrders[WeekIndex],100)&amp;" ("&amp;TEXT(SUMPRODUCT(MAX((T_PlannedOrders[Part Name]=$A783)*(T_PlannedOrders[WeekIndex]=100)*(T_PlannedOrders[EffectiveQty]&gt;0)*T_PlannedOrders[Order_Month])),"m月")&amp;"発注)")</f>
        <v/>
      </c>
      <c r="CZ817">
        <f>IF(SUMIFS(T_PlannedOrders[EffectiveQty],T_PlannedOrders[Part Name],$A783,T_PlannedOrders[WeekIndex],101)=0,"",SUMIFS(T_PlannedOrders[EffectiveQty],T_PlannedOrders[Part Name],$A783,T_PlannedOrders[WeekIndex],101)&amp;" ("&amp;TEXT(SUMPRODUCT(MAX((T_PlannedOrders[Part Name]=$A783)*(T_PlannedOrders[WeekIndex]=101)*(T_PlannedOrders[EffectiveQty]&gt;0)*T_PlannedOrders[Order_Month])),"m月")&amp;"発注)")</f>
        <v/>
      </c>
      <c r="DA817">
        <f>IF(SUMIFS(T_PlannedOrders[EffectiveQty],T_PlannedOrders[Part Name],$A783,T_PlannedOrders[WeekIndex],102)=0,"",SUMIFS(T_PlannedOrders[EffectiveQty],T_PlannedOrders[Part Name],$A783,T_PlannedOrders[WeekIndex],102)&amp;" ("&amp;TEXT(SUMPRODUCT(MAX((T_PlannedOrders[Part Name]=$A783)*(T_PlannedOrders[WeekIndex]=102)*(T_PlannedOrders[EffectiveQty]&gt;0)*T_PlannedOrders[Order_Month])),"m月")&amp;"発注)")</f>
        <v/>
      </c>
      <c r="DB817">
        <f>IF(SUMIFS(T_PlannedOrders[EffectiveQty],T_PlannedOrders[Part Name],$A783,T_PlannedOrders[WeekIndex],103)=0,"",SUMIFS(T_PlannedOrders[EffectiveQty],T_PlannedOrders[Part Name],$A783,T_PlannedOrders[WeekIndex],103)&amp;" ("&amp;TEXT(SUMPRODUCT(MAX((T_PlannedOrders[Part Name]=$A783)*(T_PlannedOrders[WeekIndex]=103)*(T_PlannedOrders[EffectiveQty]&gt;0)*T_PlannedOrders[Order_Month])),"m月")&amp;"発注)")</f>
        <v/>
      </c>
      <c r="DC817">
        <f>IF(SUMIFS(T_PlannedOrders[EffectiveQty],T_PlannedOrders[Part Name],$A783,T_PlannedOrders[WeekIndex],104)=0,"",SUMIFS(T_PlannedOrders[EffectiveQty],T_PlannedOrders[Part Name],$A783,T_PlannedOrders[WeekIndex],104)&amp;" ("&amp;TEXT(SUMPRODUCT(MAX((T_PlannedOrders[Part Name]=$A783)*(T_PlannedOrders[WeekIndex]=104)*(T_PlannedOrders[EffectiveQty]&gt;0)*T_PlannedOrders[Order_Month])),"m月")&amp;"発注)")</f>
        <v/>
      </c>
    </row>
    <row r="818">
      <c r="B818" s="5" t="inlineStr">
        <is>
          <t>合計在庫(週末時点,kg)</t>
        </is>
      </c>
      <c r="D818">
        <f>'Grid_Stock'!B37</f>
        <v/>
      </c>
      <c r="E818">
        <f>'Grid_Stock'!C37</f>
        <v/>
      </c>
      <c r="F818">
        <f>'Grid_Stock'!D37</f>
        <v/>
      </c>
      <c r="G818">
        <f>'Grid_Stock'!E37</f>
        <v/>
      </c>
      <c r="H818">
        <f>'Grid_Stock'!F37</f>
        <v/>
      </c>
      <c r="I818">
        <f>'Grid_Stock'!G37</f>
        <v/>
      </c>
      <c r="J818">
        <f>'Grid_Stock'!H37</f>
        <v/>
      </c>
      <c r="K818">
        <f>'Grid_Stock'!I37</f>
        <v/>
      </c>
      <c r="L818">
        <f>'Grid_Stock'!J37</f>
        <v/>
      </c>
      <c r="M818">
        <f>'Grid_Stock'!K37</f>
        <v/>
      </c>
      <c r="N818">
        <f>'Grid_Stock'!L37</f>
        <v/>
      </c>
      <c r="O818">
        <f>'Grid_Stock'!M37</f>
        <v/>
      </c>
      <c r="P818">
        <f>'Grid_Stock'!N37</f>
        <v/>
      </c>
      <c r="Q818">
        <f>'Grid_Stock'!O37</f>
        <v/>
      </c>
      <c r="R818">
        <f>'Grid_Stock'!P37</f>
        <v/>
      </c>
      <c r="S818">
        <f>'Grid_Stock'!Q37</f>
        <v/>
      </c>
      <c r="T818">
        <f>'Grid_Stock'!R37</f>
        <v/>
      </c>
      <c r="U818">
        <f>'Grid_Stock'!S37</f>
        <v/>
      </c>
      <c r="V818">
        <f>'Grid_Stock'!T37</f>
        <v/>
      </c>
      <c r="W818">
        <f>'Grid_Stock'!U37</f>
        <v/>
      </c>
      <c r="X818">
        <f>'Grid_Stock'!V37</f>
        <v/>
      </c>
      <c r="Y818">
        <f>'Grid_Stock'!W37</f>
        <v/>
      </c>
      <c r="Z818">
        <f>'Grid_Stock'!X37</f>
        <v/>
      </c>
      <c r="AA818">
        <f>'Grid_Stock'!Y37</f>
        <v/>
      </c>
      <c r="AB818">
        <f>'Grid_Stock'!Z37</f>
        <v/>
      </c>
      <c r="AC818">
        <f>'Grid_Stock'!AA37</f>
        <v/>
      </c>
      <c r="AD818">
        <f>'Grid_Stock'!AB37</f>
        <v/>
      </c>
      <c r="AE818">
        <f>'Grid_Stock'!AC37</f>
        <v/>
      </c>
      <c r="AF818">
        <f>'Grid_Stock'!AD37</f>
        <v/>
      </c>
      <c r="AG818">
        <f>'Grid_Stock'!AE37</f>
        <v/>
      </c>
      <c r="AH818">
        <f>'Grid_Stock'!AF37</f>
        <v/>
      </c>
      <c r="AI818">
        <f>'Grid_Stock'!AG37</f>
        <v/>
      </c>
      <c r="AJ818">
        <f>'Grid_Stock'!AH37</f>
        <v/>
      </c>
      <c r="AK818">
        <f>'Grid_Stock'!AI37</f>
        <v/>
      </c>
      <c r="AL818">
        <f>'Grid_Stock'!AJ37</f>
        <v/>
      </c>
      <c r="AM818">
        <f>'Grid_Stock'!AK37</f>
        <v/>
      </c>
      <c r="AN818">
        <f>'Grid_Stock'!AL37</f>
        <v/>
      </c>
      <c r="AO818">
        <f>'Grid_Stock'!AM37</f>
        <v/>
      </c>
      <c r="AP818">
        <f>'Grid_Stock'!AN37</f>
        <v/>
      </c>
      <c r="AQ818">
        <f>'Grid_Stock'!AO37</f>
        <v/>
      </c>
      <c r="AR818">
        <f>'Grid_Stock'!AP37</f>
        <v/>
      </c>
      <c r="AS818">
        <f>'Grid_Stock'!AQ37</f>
        <v/>
      </c>
      <c r="AT818">
        <f>'Grid_Stock'!AR37</f>
        <v/>
      </c>
      <c r="AU818">
        <f>'Grid_Stock'!AS37</f>
        <v/>
      </c>
      <c r="AV818">
        <f>'Grid_Stock'!AT37</f>
        <v/>
      </c>
      <c r="AW818">
        <f>'Grid_Stock'!AU37</f>
        <v/>
      </c>
      <c r="AX818">
        <f>'Grid_Stock'!AV37</f>
        <v/>
      </c>
      <c r="AY818">
        <f>'Grid_Stock'!AW37</f>
        <v/>
      </c>
      <c r="AZ818">
        <f>'Grid_Stock'!AX37</f>
        <v/>
      </c>
      <c r="BA818">
        <f>'Grid_Stock'!AY37</f>
        <v/>
      </c>
      <c r="BB818">
        <f>'Grid_Stock'!AZ37</f>
        <v/>
      </c>
      <c r="BC818">
        <f>'Grid_Stock'!BA37</f>
        <v/>
      </c>
      <c r="BD818">
        <f>'Grid_Stock'!BB37</f>
        <v/>
      </c>
      <c r="BE818">
        <f>'Grid_Stock'!BC37</f>
        <v/>
      </c>
      <c r="BF818">
        <f>'Grid_Stock'!BD37</f>
        <v/>
      </c>
      <c r="BG818">
        <f>'Grid_Stock'!BE37</f>
        <v/>
      </c>
      <c r="BH818">
        <f>'Grid_Stock'!BF37</f>
        <v/>
      </c>
      <c r="BI818">
        <f>'Grid_Stock'!BG37</f>
        <v/>
      </c>
      <c r="BJ818">
        <f>'Grid_Stock'!BH37</f>
        <v/>
      </c>
      <c r="BK818">
        <f>'Grid_Stock'!BI37</f>
        <v/>
      </c>
      <c r="BL818">
        <f>'Grid_Stock'!BJ37</f>
        <v/>
      </c>
      <c r="BM818">
        <f>'Grid_Stock'!BK37</f>
        <v/>
      </c>
      <c r="BN818">
        <f>'Grid_Stock'!BL37</f>
        <v/>
      </c>
      <c r="BO818">
        <f>'Grid_Stock'!BM37</f>
        <v/>
      </c>
      <c r="BP818">
        <f>'Grid_Stock'!BN37</f>
        <v/>
      </c>
      <c r="BQ818">
        <f>'Grid_Stock'!BO37</f>
        <v/>
      </c>
      <c r="BR818">
        <f>'Grid_Stock'!BP37</f>
        <v/>
      </c>
      <c r="BS818">
        <f>'Grid_Stock'!BQ37</f>
        <v/>
      </c>
      <c r="BT818">
        <f>'Grid_Stock'!BR37</f>
        <v/>
      </c>
      <c r="BU818">
        <f>'Grid_Stock'!BS37</f>
        <v/>
      </c>
      <c r="BV818">
        <f>'Grid_Stock'!BT37</f>
        <v/>
      </c>
      <c r="BW818">
        <f>'Grid_Stock'!BU37</f>
        <v/>
      </c>
      <c r="BX818">
        <f>'Grid_Stock'!BV37</f>
        <v/>
      </c>
      <c r="BY818">
        <f>'Grid_Stock'!BW37</f>
        <v/>
      </c>
      <c r="BZ818">
        <f>'Grid_Stock'!BX37</f>
        <v/>
      </c>
      <c r="CA818">
        <f>'Grid_Stock'!BY37</f>
        <v/>
      </c>
      <c r="CB818">
        <f>'Grid_Stock'!BZ37</f>
        <v/>
      </c>
      <c r="CC818">
        <f>'Grid_Stock'!CA37</f>
        <v/>
      </c>
      <c r="CD818">
        <f>'Grid_Stock'!CB37</f>
        <v/>
      </c>
      <c r="CE818">
        <f>'Grid_Stock'!CC37</f>
        <v/>
      </c>
      <c r="CF818">
        <f>'Grid_Stock'!CD37</f>
        <v/>
      </c>
      <c r="CG818">
        <f>'Grid_Stock'!CE37</f>
        <v/>
      </c>
      <c r="CH818">
        <f>'Grid_Stock'!CF37</f>
        <v/>
      </c>
      <c r="CI818">
        <f>'Grid_Stock'!CG37</f>
        <v/>
      </c>
      <c r="CJ818">
        <f>'Grid_Stock'!CH37</f>
        <v/>
      </c>
      <c r="CK818">
        <f>'Grid_Stock'!CI37</f>
        <v/>
      </c>
      <c r="CL818">
        <f>'Grid_Stock'!CJ37</f>
        <v/>
      </c>
      <c r="CM818">
        <f>'Grid_Stock'!CK37</f>
        <v/>
      </c>
      <c r="CN818">
        <f>'Grid_Stock'!CL37</f>
        <v/>
      </c>
      <c r="CO818">
        <f>'Grid_Stock'!CM37</f>
        <v/>
      </c>
      <c r="CP818">
        <f>'Grid_Stock'!CN37</f>
        <v/>
      </c>
      <c r="CQ818">
        <f>'Grid_Stock'!CO37</f>
        <v/>
      </c>
      <c r="CR818">
        <f>'Grid_Stock'!CP37</f>
        <v/>
      </c>
      <c r="CS818">
        <f>'Grid_Stock'!CQ37</f>
        <v/>
      </c>
      <c r="CT818">
        <f>'Grid_Stock'!CR37</f>
        <v/>
      </c>
      <c r="CU818">
        <f>'Grid_Stock'!CS37</f>
        <v/>
      </c>
      <c r="CV818">
        <f>'Grid_Stock'!CT37</f>
        <v/>
      </c>
      <c r="CW818">
        <f>'Grid_Stock'!CU37</f>
        <v/>
      </c>
      <c r="CX818">
        <f>'Grid_Stock'!CV37</f>
        <v/>
      </c>
      <c r="CY818">
        <f>'Grid_Stock'!CW37</f>
        <v/>
      </c>
      <c r="CZ818">
        <f>'Grid_Stock'!CX37</f>
        <v/>
      </c>
      <c r="DA818">
        <f>'Grid_Stock'!CY37</f>
        <v/>
      </c>
      <c r="DB818">
        <f>'Grid_Stock'!CZ37</f>
        <v/>
      </c>
      <c r="DC818">
        <f>'Grid_Stock'!DA37</f>
        <v/>
      </c>
    </row>
    <row r="819">
      <c r="B819" s="23" t="inlineStr">
        <is>
          <t>（発注の目安はDashboardの基準在庫[下限/上限]と色分けを参照）</t>
        </is>
      </c>
    </row>
    <row r="821">
      <c r="A821" s="21" t="inlineStr">
        <is>
          <t>CHEM-1480</t>
        </is>
      </c>
      <c r="B821" s="21" t="inlineStr">
        <is>
          <t>NAT 30</t>
        </is>
      </c>
      <c r="C821" s="22" t="n"/>
      <c r="D821" s="21" t="n"/>
      <c r="E821" s="21" t="n"/>
      <c r="F821" s="21" t="n"/>
      <c r="G821" s="21" t="n"/>
      <c r="H821" s="2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  <c r="AA821" s="21" t="n"/>
      <c r="AB821" s="21" t="n"/>
      <c r="AC821" s="21" t="n"/>
      <c r="AD821" s="21" t="n"/>
      <c r="AE821" s="21" t="n"/>
      <c r="AF821" s="21" t="n"/>
      <c r="AG821" s="21" t="n"/>
      <c r="AH821" s="21" t="n"/>
      <c r="AI821" s="21" t="n"/>
      <c r="AJ821" s="21" t="n"/>
      <c r="AK821" s="21" t="n"/>
      <c r="AL821" s="21" t="n"/>
      <c r="AM821" s="21" t="n"/>
      <c r="AN821" s="21" t="n"/>
      <c r="AO821" s="21" t="n"/>
      <c r="AP821" s="21" t="n"/>
      <c r="AQ821" s="21" t="n"/>
      <c r="AR821" s="21" t="n"/>
      <c r="AS821" s="21" t="n"/>
      <c r="AT821" s="21" t="n"/>
      <c r="AU821" s="21" t="n"/>
      <c r="AV821" s="21" t="n"/>
      <c r="AW821" s="21" t="n"/>
      <c r="AX821" s="21" t="n"/>
      <c r="AY821" s="21" t="n"/>
      <c r="AZ821" s="21" t="n"/>
      <c r="BA821" s="21" t="n"/>
      <c r="BB821" s="21" t="n"/>
      <c r="BC821" s="21" t="n"/>
      <c r="BD821" s="21" t="n"/>
      <c r="BE821" s="21" t="n"/>
      <c r="BF821" s="21" t="n"/>
      <c r="BG821" s="21" t="n"/>
      <c r="BH821" s="21" t="n"/>
      <c r="BI821" s="21" t="n"/>
      <c r="BJ821" s="21" t="n"/>
      <c r="BK821" s="21" t="n"/>
      <c r="BL821" s="21" t="n"/>
      <c r="BM821" s="21" t="n"/>
      <c r="BN821" s="21" t="n"/>
      <c r="BO821" s="21" t="n"/>
      <c r="BP821" s="21" t="n"/>
      <c r="BQ821" s="21" t="n"/>
      <c r="BR821" s="21" t="n"/>
      <c r="BS821" s="21" t="n"/>
      <c r="BT821" s="21" t="n"/>
      <c r="BU821" s="21" t="n"/>
      <c r="BV821" s="21" t="n"/>
      <c r="BW821" s="21" t="n"/>
      <c r="BX821" s="21" t="n"/>
      <c r="BY821" s="21" t="n"/>
      <c r="BZ821" s="21" t="n"/>
      <c r="CA821" s="21" t="n"/>
      <c r="CB821" s="21" t="n"/>
      <c r="CC821" s="21" t="n"/>
      <c r="CD821" s="21" t="n"/>
      <c r="CE821" s="21" t="n"/>
      <c r="CF821" s="21" t="n"/>
      <c r="CG821" s="21" t="n"/>
      <c r="CH821" s="21" t="n"/>
      <c r="CI821" s="21" t="n"/>
      <c r="CJ821" s="21" t="n"/>
      <c r="CK821" s="21" t="n"/>
      <c r="CL821" s="21" t="n"/>
      <c r="CM821" s="21" t="n"/>
      <c r="CN821" s="21" t="n"/>
      <c r="CO821" s="21" t="n"/>
      <c r="CP821" s="21" t="n"/>
      <c r="CQ821" s="21" t="n"/>
      <c r="CR821" s="21" t="n"/>
      <c r="CS821" s="21" t="n"/>
      <c r="CT821" s="21" t="n"/>
      <c r="CU821" s="21" t="n"/>
      <c r="CV821" s="21" t="n"/>
      <c r="CW821" s="21" t="n"/>
      <c r="CX821" s="21" t="n"/>
      <c r="CY821" s="21" t="n"/>
      <c r="CZ821" s="21" t="n"/>
      <c r="DA821" s="21" t="n"/>
      <c r="DB821" s="21" t="n"/>
      <c r="DC821" s="21" t="n"/>
    </row>
    <row r="822">
      <c r="B822" t="inlineStr">
        <is>
          <t>TSP-206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12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Name],$A821)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s="5" t="inlineStr">
        <is>
          <t>合計使用量(kg)/週</t>
        </is>
      </c>
      <c r="D824">
        <f>'Grid_Requirement'!B38</f>
        <v/>
      </c>
      <c r="E824">
        <f>'Grid_Requirement'!C38</f>
        <v/>
      </c>
      <c r="F824">
        <f>'Grid_Requirement'!D38</f>
        <v/>
      </c>
      <c r="G824">
        <f>'Grid_Requirement'!E38</f>
        <v/>
      </c>
      <c r="H824">
        <f>'Grid_Requirement'!F38</f>
        <v/>
      </c>
      <c r="I824">
        <f>'Grid_Requirement'!G38</f>
        <v/>
      </c>
      <c r="J824">
        <f>'Grid_Requirement'!H38</f>
        <v/>
      </c>
      <c r="K824">
        <f>'Grid_Requirement'!I38</f>
        <v/>
      </c>
      <c r="L824">
        <f>'Grid_Requirement'!J38</f>
        <v/>
      </c>
      <c r="M824">
        <f>'Grid_Requirement'!K38</f>
        <v/>
      </c>
      <c r="N824">
        <f>'Grid_Requirement'!L38</f>
        <v/>
      </c>
      <c r="O824">
        <f>'Grid_Requirement'!M38</f>
        <v/>
      </c>
      <c r="P824">
        <f>'Grid_Requirement'!N38</f>
        <v/>
      </c>
      <c r="Q824">
        <f>'Grid_Requirement'!O38</f>
        <v/>
      </c>
      <c r="R824">
        <f>'Grid_Requirement'!P38</f>
        <v/>
      </c>
      <c r="S824">
        <f>'Grid_Requirement'!Q38</f>
        <v/>
      </c>
      <c r="T824">
        <f>'Grid_Requirement'!R38</f>
        <v/>
      </c>
      <c r="U824">
        <f>'Grid_Requirement'!S38</f>
        <v/>
      </c>
      <c r="V824">
        <f>'Grid_Requirement'!T38</f>
        <v/>
      </c>
      <c r="W824">
        <f>'Grid_Requirement'!U38</f>
        <v/>
      </c>
      <c r="X824">
        <f>'Grid_Requirement'!V38</f>
        <v/>
      </c>
      <c r="Y824">
        <f>'Grid_Requirement'!W38</f>
        <v/>
      </c>
      <c r="Z824">
        <f>'Grid_Requirement'!X38</f>
        <v/>
      </c>
      <c r="AA824">
        <f>'Grid_Requirement'!Y38</f>
        <v/>
      </c>
      <c r="AB824">
        <f>'Grid_Requirement'!Z38</f>
        <v/>
      </c>
      <c r="AC824">
        <f>'Grid_Requirement'!AA38</f>
        <v/>
      </c>
      <c r="AD824">
        <f>'Grid_Requirement'!AB38</f>
        <v/>
      </c>
      <c r="AE824">
        <f>'Grid_Requirement'!AC38</f>
        <v/>
      </c>
      <c r="AF824">
        <f>'Grid_Requirement'!AD38</f>
        <v/>
      </c>
      <c r="AG824">
        <f>'Grid_Requirement'!AE38</f>
        <v/>
      </c>
      <c r="AH824">
        <f>'Grid_Requirement'!AF38</f>
        <v/>
      </c>
      <c r="AI824">
        <f>'Grid_Requirement'!AG38</f>
        <v/>
      </c>
      <c r="AJ824">
        <f>'Grid_Requirement'!AH38</f>
        <v/>
      </c>
      <c r="AK824">
        <f>'Grid_Requirement'!AI38</f>
        <v/>
      </c>
      <c r="AL824">
        <f>'Grid_Requirement'!AJ38</f>
        <v/>
      </c>
      <c r="AM824">
        <f>'Grid_Requirement'!AK38</f>
        <v/>
      </c>
      <c r="AN824">
        <f>'Grid_Requirement'!AL38</f>
        <v/>
      </c>
      <c r="AO824">
        <f>'Grid_Requirement'!AM38</f>
        <v/>
      </c>
      <c r="AP824">
        <f>'Grid_Requirement'!AN38</f>
        <v/>
      </c>
      <c r="AQ824">
        <f>'Grid_Requirement'!AO38</f>
        <v/>
      </c>
      <c r="AR824">
        <f>'Grid_Requirement'!AP38</f>
        <v/>
      </c>
      <c r="AS824">
        <f>'Grid_Requirement'!AQ38</f>
        <v/>
      </c>
      <c r="AT824">
        <f>'Grid_Requirement'!AR38</f>
        <v/>
      </c>
      <c r="AU824">
        <f>'Grid_Requirement'!AS38</f>
        <v/>
      </c>
      <c r="AV824">
        <f>'Grid_Requirement'!AT38</f>
        <v/>
      </c>
      <c r="AW824">
        <f>'Grid_Requirement'!AU38</f>
        <v/>
      </c>
      <c r="AX824">
        <f>'Grid_Requirement'!AV38</f>
        <v/>
      </c>
      <c r="AY824">
        <f>'Grid_Requirement'!AW38</f>
        <v/>
      </c>
      <c r="AZ824">
        <f>'Grid_Requirement'!AX38</f>
        <v/>
      </c>
      <c r="BA824">
        <f>'Grid_Requirement'!AY38</f>
        <v/>
      </c>
      <c r="BB824">
        <f>'Grid_Requirement'!AZ38</f>
        <v/>
      </c>
      <c r="BC824">
        <f>'Grid_Requirement'!BA38</f>
        <v/>
      </c>
      <c r="BD824">
        <f>'Grid_Requirement'!BB38</f>
        <v/>
      </c>
      <c r="BE824">
        <f>'Grid_Requirement'!BC38</f>
        <v/>
      </c>
      <c r="BF824">
        <f>'Grid_Requirement'!BD38</f>
        <v/>
      </c>
      <c r="BG824">
        <f>'Grid_Requirement'!BE38</f>
        <v/>
      </c>
      <c r="BH824">
        <f>'Grid_Requirement'!BF38</f>
        <v/>
      </c>
      <c r="BI824">
        <f>'Grid_Requirement'!BG38</f>
        <v/>
      </c>
      <c r="BJ824">
        <f>'Grid_Requirement'!BH38</f>
        <v/>
      </c>
      <c r="BK824">
        <f>'Grid_Requirement'!BI38</f>
        <v/>
      </c>
      <c r="BL824">
        <f>'Grid_Requirement'!BJ38</f>
        <v/>
      </c>
      <c r="BM824">
        <f>'Grid_Requirement'!BK38</f>
        <v/>
      </c>
      <c r="BN824">
        <f>'Grid_Requirement'!BL38</f>
        <v/>
      </c>
      <c r="BO824">
        <f>'Grid_Requirement'!BM38</f>
        <v/>
      </c>
      <c r="BP824">
        <f>'Grid_Requirement'!BN38</f>
        <v/>
      </c>
      <c r="BQ824">
        <f>'Grid_Requirement'!BO38</f>
        <v/>
      </c>
      <c r="BR824">
        <f>'Grid_Requirement'!BP38</f>
        <v/>
      </c>
      <c r="BS824">
        <f>'Grid_Requirement'!BQ38</f>
        <v/>
      </c>
      <c r="BT824">
        <f>'Grid_Requirement'!BR38</f>
        <v/>
      </c>
      <c r="BU824">
        <f>'Grid_Requirement'!BS38</f>
        <v/>
      </c>
      <c r="BV824">
        <f>'Grid_Requirement'!BT38</f>
        <v/>
      </c>
      <c r="BW824">
        <f>'Grid_Requirement'!BU38</f>
        <v/>
      </c>
      <c r="BX824">
        <f>'Grid_Requirement'!BV38</f>
        <v/>
      </c>
      <c r="BY824">
        <f>'Grid_Requirement'!BW38</f>
        <v/>
      </c>
      <c r="BZ824">
        <f>'Grid_Requirement'!BX38</f>
        <v/>
      </c>
      <c r="CA824">
        <f>'Grid_Requirement'!BY38</f>
        <v/>
      </c>
      <c r="CB824">
        <f>'Grid_Requirement'!BZ38</f>
        <v/>
      </c>
      <c r="CC824">
        <f>'Grid_Requirement'!CA38</f>
        <v/>
      </c>
      <c r="CD824">
        <f>'Grid_Requirement'!CB38</f>
        <v/>
      </c>
      <c r="CE824">
        <f>'Grid_Requirement'!CC38</f>
        <v/>
      </c>
      <c r="CF824">
        <f>'Grid_Requirement'!CD38</f>
        <v/>
      </c>
      <c r="CG824">
        <f>'Grid_Requirement'!CE38</f>
        <v/>
      </c>
      <c r="CH824">
        <f>'Grid_Requirement'!CF38</f>
        <v/>
      </c>
      <c r="CI824">
        <f>'Grid_Requirement'!CG38</f>
        <v/>
      </c>
      <c r="CJ824">
        <f>'Grid_Requirement'!CH38</f>
        <v/>
      </c>
      <c r="CK824">
        <f>'Grid_Requirement'!CI38</f>
        <v/>
      </c>
      <c r="CL824">
        <f>'Grid_Requirement'!CJ38</f>
        <v/>
      </c>
      <c r="CM824">
        <f>'Grid_Requirement'!CK38</f>
        <v/>
      </c>
      <c r="CN824">
        <f>'Grid_Requirement'!CL38</f>
        <v/>
      </c>
      <c r="CO824">
        <f>'Grid_Requirement'!CM38</f>
        <v/>
      </c>
      <c r="CP824">
        <f>'Grid_Requirement'!CN38</f>
        <v/>
      </c>
      <c r="CQ824">
        <f>'Grid_Requirement'!CO38</f>
        <v/>
      </c>
      <c r="CR824">
        <f>'Grid_Requirement'!CP38</f>
        <v/>
      </c>
      <c r="CS824">
        <f>'Grid_Requirement'!CQ38</f>
        <v/>
      </c>
      <c r="CT824">
        <f>'Grid_Requirement'!CR38</f>
        <v/>
      </c>
      <c r="CU824">
        <f>'Grid_Requirement'!CS38</f>
        <v/>
      </c>
      <c r="CV824">
        <f>'Grid_Requirement'!CT38</f>
        <v/>
      </c>
      <c r="CW824">
        <f>'Grid_Requirement'!CU38</f>
        <v/>
      </c>
      <c r="CX824">
        <f>'Grid_Requirement'!CV38</f>
        <v/>
      </c>
      <c r="CY824">
        <f>'Grid_Requirement'!CW38</f>
        <v/>
      </c>
      <c r="CZ824">
        <f>'Grid_Requirement'!CX38</f>
        <v/>
      </c>
      <c r="DA824">
        <f>'Grid_Requirement'!CY38</f>
        <v/>
      </c>
      <c r="DB824">
        <f>'Grid_Requirement'!CZ38</f>
        <v/>
      </c>
      <c r="DC824">
        <f>'Grid_Requirement'!DA38</f>
        <v/>
      </c>
    </row>
    <row r="825">
      <c r="B825" t="inlineStr">
        <is>
          <t>TTAF在庫(実績,kg)</t>
        </is>
      </c>
      <c r="D825">
        <f>'T_TTAFStock'!B42</f>
        <v/>
      </c>
      <c r="E825">
        <f>'T_TTAFStock'!C42</f>
        <v/>
      </c>
      <c r="F825">
        <f>'T_TTAFStock'!D42</f>
        <v/>
      </c>
      <c r="G825">
        <f>'T_TTAFStock'!E42</f>
        <v/>
      </c>
      <c r="H825">
        <f>'T_TTAFStock'!F42</f>
        <v/>
      </c>
      <c r="I825">
        <f>'T_TTAFStock'!G42</f>
        <v/>
      </c>
      <c r="J825">
        <f>'T_TTAFStock'!H42</f>
        <v/>
      </c>
      <c r="K825">
        <f>'T_TTAFStock'!I42</f>
        <v/>
      </c>
      <c r="L825">
        <f>'T_TTAFStock'!J42</f>
        <v/>
      </c>
      <c r="M825">
        <f>'T_TTAFStock'!K42</f>
        <v/>
      </c>
      <c r="N825">
        <f>'T_TTAFStock'!L42</f>
        <v/>
      </c>
      <c r="O825">
        <f>'T_TTAFStock'!M42</f>
        <v/>
      </c>
      <c r="P825">
        <f>'T_TTAFStock'!N42</f>
        <v/>
      </c>
      <c r="Q825">
        <f>'T_TTAFStock'!O42</f>
        <v/>
      </c>
      <c r="R825">
        <f>'T_TTAFStock'!P42</f>
        <v/>
      </c>
      <c r="S825">
        <f>'T_TTAFStock'!Q42</f>
        <v/>
      </c>
      <c r="T825">
        <f>'T_TTAFStock'!R42</f>
        <v/>
      </c>
      <c r="U825">
        <f>'T_TTAFStock'!S42</f>
        <v/>
      </c>
      <c r="V825">
        <f>'T_TTAFStock'!T42</f>
        <v/>
      </c>
      <c r="W825">
        <f>'T_TTAFStock'!U42</f>
        <v/>
      </c>
      <c r="X825">
        <f>'T_TTAFStock'!V42</f>
        <v/>
      </c>
      <c r="Y825">
        <f>'T_TTAFStock'!W42</f>
        <v/>
      </c>
      <c r="Z825">
        <f>'T_TTAFStock'!X42</f>
        <v/>
      </c>
      <c r="AA825">
        <f>'T_TTAFStock'!Y42</f>
        <v/>
      </c>
      <c r="AB825">
        <f>'T_TTAFStock'!Z42</f>
        <v/>
      </c>
      <c r="AC825">
        <f>'T_TTAFStock'!AA42</f>
        <v/>
      </c>
      <c r="AD825">
        <f>'T_TTAFStock'!AB42</f>
        <v/>
      </c>
      <c r="AE825">
        <f>'T_TTAFStock'!AC42</f>
        <v/>
      </c>
      <c r="AF825">
        <f>'T_TTAFStock'!AD42</f>
        <v/>
      </c>
      <c r="AG825">
        <f>'T_TTAFStock'!AE42</f>
        <v/>
      </c>
      <c r="AH825">
        <f>'T_TTAFStock'!AF42</f>
        <v/>
      </c>
      <c r="AI825">
        <f>'T_TTAFStock'!AG42</f>
        <v/>
      </c>
      <c r="AJ825">
        <f>'T_TTAFStock'!AH42</f>
        <v/>
      </c>
      <c r="AK825">
        <f>'T_TTAFStock'!AI42</f>
        <v/>
      </c>
      <c r="AL825">
        <f>'T_TTAFStock'!AJ42</f>
        <v/>
      </c>
      <c r="AM825">
        <f>'T_TTAFStock'!AK42</f>
        <v/>
      </c>
      <c r="AN825">
        <f>'T_TTAFStock'!AL42</f>
        <v/>
      </c>
      <c r="AO825">
        <f>'T_TTAFStock'!AM42</f>
        <v/>
      </c>
      <c r="AP825">
        <f>'T_TTAFStock'!AN42</f>
        <v/>
      </c>
      <c r="AQ825">
        <f>'T_TTAFStock'!AO42</f>
        <v/>
      </c>
      <c r="AR825">
        <f>'T_TTAFStock'!AP42</f>
        <v/>
      </c>
      <c r="AS825">
        <f>'T_TTAFStock'!AQ42</f>
        <v/>
      </c>
      <c r="AT825">
        <f>'T_TTAFStock'!AR42</f>
        <v/>
      </c>
      <c r="AU825">
        <f>'T_TTAFStock'!AS42</f>
        <v/>
      </c>
      <c r="AV825">
        <f>'T_TTAFStock'!AT42</f>
        <v/>
      </c>
      <c r="AW825">
        <f>'T_TTAFStock'!AU42</f>
        <v/>
      </c>
      <c r="AX825">
        <f>'T_TTAFStock'!AV42</f>
        <v/>
      </c>
      <c r="AY825">
        <f>'T_TTAFStock'!AW42</f>
        <v/>
      </c>
      <c r="AZ825">
        <f>'T_TTAFStock'!AX42</f>
        <v/>
      </c>
      <c r="BA825">
        <f>'T_TTAFStock'!AY42</f>
        <v/>
      </c>
      <c r="BB825">
        <f>'T_TTAFStock'!AZ42</f>
        <v/>
      </c>
      <c r="BC825">
        <f>'T_TTAFStock'!BA42</f>
        <v/>
      </c>
      <c r="BD825">
        <f>'T_TTAFStock'!BB42</f>
        <v/>
      </c>
      <c r="BE825">
        <f>'T_TTAFStock'!BC42</f>
        <v/>
      </c>
      <c r="BF825">
        <f>'T_TTAFStock'!BD42</f>
        <v/>
      </c>
      <c r="BG825">
        <f>'T_TTAFStock'!BE42</f>
        <v/>
      </c>
      <c r="BH825">
        <f>'T_TTAFStock'!BF42</f>
        <v/>
      </c>
      <c r="BI825">
        <f>'T_TTAFStock'!BG42</f>
        <v/>
      </c>
      <c r="BJ825">
        <f>'T_TTAFStock'!BH42</f>
        <v/>
      </c>
      <c r="BK825">
        <f>'T_TTAFStock'!BI42</f>
        <v/>
      </c>
      <c r="BL825">
        <f>'T_TTAFStock'!BJ42</f>
        <v/>
      </c>
      <c r="BM825">
        <f>'T_TTAFStock'!BK42</f>
        <v/>
      </c>
      <c r="BN825">
        <f>'T_TTAFStock'!BL42</f>
        <v/>
      </c>
      <c r="BO825">
        <f>'T_TTAFStock'!BM42</f>
        <v/>
      </c>
      <c r="BP825">
        <f>'T_TTAFStock'!BN42</f>
        <v/>
      </c>
      <c r="BQ825">
        <f>'T_TTAFStock'!BO42</f>
        <v/>
      </c>
      <c r="BR825">
        <f>'T_TTAFStock'!BP42</f>
        <v/>
      </c>
      <c r="BS825">
        <f>'T_TTAFStock'!BQ42</f>
        <v/>
      </c>
      <c r="BT825">
        <f>'T_TTAFStock'!BR42</f>
        <v/>
      </c>
      <c r="BU825">
        <f>'T_TTAFStock'!BS42</f>
        <v/>
      </c>
      <c r="BV825">
        <f>'T_TTAFStock'!BT42</f>
        <v/>
      </c>
      <c r="BW825">
        <f>'T_TTAFStock'!BU42</f>
        <v/>
      </c>
      <c r="BX825">
        <f>'T_TTAFStock'!BV42</f>
        <v/>
      </c>
      <c r="BY825">
        <f>'T_TTAFStock'!BW42</f>
        <v/>
      </c>
      <c r="BZ825">
        <f>'T_TTAFStock'!BX42</f>
        <v/>
      </c>
      <c r="CA825">
        <f>'T_TTAFStock'!BY42</f>
        <v/>
      </c>
      <c r="CB825">
        <f>'T_TTAFStock'!BZ42</f>
        <v/>
      </c>
      <c r="CC825">
        <f>'T_TTAFStock'!CA42</f>
        <v/>
      </c>
      <c r="CD825">
        <f>'T_TTAFStock'!CB42</f>
        <v/>
      </c>
      <c r="CE825">
        <f>'T_TTAFStock'!CC42</f>
        <v/>
      </c>
      <c r="CF825">
        <f>'T_TTAFStock'!CD42</f>
        <v/>
      </c>
      <c r="CG825">
        <f>'T_TTAFStock'!CE42</f>
        <v/>
      </c>
      <c r="CH825">
        <f>'T_TTAFStock'!CF42</f>
        <v/>
      </c>
      <c r="CI825">
        <f>'T_TTAFStock'!CG42</f>
        <v/>
      </c>
      <c r="CJ825">
        <f>'T_TTAFStock'!CH42</f>
        <v/>
      </c>
      <c r="CK825">
        <f>'T_TTAFStock'!CI42</f>
        <v/>
      </c>
      <c r="CL825">
        <f>'T_TTAFStock'!CJ42</f>
        <v/>
      </c>
      <c r="CM825">
        <f>'T_TTAFStock'!CK42</f>
        <v/>
      </c>
      <c r="CN825">
        <f>'T_TTAFStock'!CL42</f>
        <v/>
      </c>
      <c r="CO825">
        <f>'T_TTAFStock'!CM42</f>
        <v/>
      </c>
      <c r="CP825">
        <f>'T_TTAFStock'!CN42</f>
        <v/>
      </c>
      <c r="CQ825">
        <f>'T_TTAFStock'!CO42</f>
        <v/>
      </c>
      <c r="CR825">
        <f>'T_TTAFStock'!CP42</f>
        <v/>
      </c>
      <c r="CS825">
        <f>'T_TTAFStock'!CQ42</f>
        <v/>
      </c>
      <c r="CT825">
        <f>'T_TTAFStock'!CR42</f>
        <v/>
      </c>
      <c r="CU825">
        <f>'T_TTAFStock'!CS42</f>
        <v/>
      </c>
      <c r="CV825">
        <f>'T_TTAFStock'!CT42</f>
        <v/>
      </c>
      <c r="CW825">
        <f>'T_TTAFStock'!CU42</f>
        <v/>
      </c>
      <c r="CX825">
        <f>'T_TTAFStock'!CV42</f>
        <v/>
      </c>
      <c r="CY825">
        <f>'T_TTAFStock'!CW42</f>
        <v/>
      </c>
      <c r="CZ825">
        <f>'T_TTAFStock'!CX42</f>
        <v/>
      </c>
      <c r="DA825">
        <f>'T_TTAFStock'!CY42</f>
        <v/>
      </c>
      <c r="DB825">
        <f>'T_TTAFStock'!CZ42</f>
        <v/>
      </c>
      <c r="DC825">
        <f>'T_TTAFStock'!DA42</f>
        <v/>
      </c>
    </row>
    <row r="826">
      <c r="B826" t="inlineStr">
        <is>
          <t>自社在庫(実績,kg)</t>
        </is>
      </c>
      <c r="D826">
        <f>'T_SelfStock'!B42</f>
        <v/>
      </c>
      <c r="E826">
        <f>'T_SelfStock'!C42</f>
        <v/>
      </c>
      <c r="F826">
        <f>'T_SelfStock'!D42</f>
        <v/>
      </c>
      <c r="G826">
        <f>'T_SelfStock'!E42</f>
        <v/>
      </c>
      <c r="H826">
        <f>'T_SelfStock'!F42</f>
        <v/>
      </c>
      <c r="I826">
        <f>'T_SelfStock'!G42</f>
        <v/>
      </c>
      <c r="J826">
        <f>'T_SelfStock'!H42</f>
        <v/>
      </c>
      <c r="K826">
        <f>'T_SelfStock'!I42</f>
        <v/>
      </c>
      <c r="L826">
        <f>'T_SelfStock'!J42</f>
        <v/>
      </c>
      <c r="M826">
        <f>'T_SelfStock'!K42</f>
        <v/>
      </c>
      <c r="N826">
        <f>'T_SelfStock'!L42</f>
        <v/>
      </c>
      <c r="O826">
        <f>'T_SelfStock'!M42</f>
        <v/>
      </c>
      <c r="P826">
        <f>'T_SelfStock'!N42</f>
        <v/>
      </c>
      <c r="Q826">
        <f>'T_SelfStock'!O42</f>
        <v/>
      </c>
      <c r="R826">
        <f>'T_SelfStock'!P42</f>
        <v/>
      </c>
      <c r="S826">
        <f>'T_SelfStock'!Q42</f>
        <v/>
      </c>
      <c r="T826">
        <f>'T_SelfStock'!R42</f>
        <v/>
      </c>
      <c r="U826">
        <f>'T_SelfStock'!S42</f>
        <v/>
      </c>
      <c r="V826">
        <f>'T_SelfStock'!T42</f>
        <v/>
      </c>
      <c r="W826">
        <f>'T_SelfStock'!U42</f>
        <v/>
      </c>
      <c r="X826">
        <f>'T_SelfStock'!V42</f>
        <v/>
      </c>
      <c r="Y826">
        <f>'T_SelfStock'!W42</f>
        <v/>
      </c>
      <c r="Z826">
        <f>'T_SelfStock'!X42</f>
        <v/>
      </c>
      <c r="AA826">
        <f>'T_SelfStock'!Y42</f>
        <v/>
      </c>
      <c r="AB826">
        <f>'T_SelfStock'!Z42</f>
        <v/>
      </c>
      <c r="AC826">
        <f>'T_SelfStock'!AA42</f>
        <v/>
      </c>
      <c r="AD826">
        <f>'T_SelfStock'!AB42</f>
        <v/>
      </c>
      <c r="AE826">
        <f>'T_SelfStock'!AC42</f>
        <v/>
      </c>
      <c r="AF826">
        <f>'T_SelfStock'!AD42</f>
        <v/>
      </c>
      <c r="AG826">
        <f>'T_SelfStock'!AE42</f>
        <v/>
      </c>
      <c r="AH826">
        <f>'T_SelfStock'!AF42</f>
        <v/>
      </c>
      <c r="AI826">
        <f>'T_SelfStock'!AG42</f>
        <v/>
      </c>
      <c r="AJ826">
        <f>'T_SelfStock'!AH42</f>
        <v/>
      </c>
      <c r="AK826">
        <f>'T_SelfStock'!AI42</f>
        <v/>
      </c>
      <c r="AL826">
        <f>'T_SelfStock'!AJ42</f>
        <v/>
      </c>
      <c r="AM826">
        <f>'T_SelfStock'!AK42</f>
        <v/>
      </c>
      <c r="AN826">
        <f>'T_SelfStock'!AL42</f>
        <v/>
      </c>
      <c r="AO826">
        <f>'T_SelfStock'!AM42</f>
        <v/>
      </c>
      <c r="AP826">
        <f>'T_SelfStock'!AN42</f>
        <v/>
      </c>
      <c r="AQ826">
        <f>'T_SelfStock'!AO42</f>
        <v/>
      </c>
      <c r="AR826">
        <f>'T_SelfStock'!AP42</f>
        <v/>
      </c>
      <c r="AS826">
        <f>'T_SelfStock'!AQ42</f>
        <v/>
      </c>
      <c r="AT826">
        <f>'T_SelfStock'!AR42</f>
        <v/>
      </c>
      <c r="AU826">
        <f>'T_SelfStock'!AS42</f>
        <v/>
      </c>
      <c r="AV826">
        <f>'T_SelfStock'!AT42</f>
        <v/>
      </c>
      <c r="AW826">
        <f>'T_SelfStock'!AU42</f>
        <v/>
      </c>
      <c r="AX826">
        <f>'T_SelfStock'!AV42</f>
        <v/>
      </c>
      <c r="AY826">
        <f>'T_SelfStock'!AW42</f>
        <v/>
      </c>
      <c r="AZ826">
        <f>'T_SelfStock'!AX42</f>
        <v/>
      </c>
      <c r="BA826">
        <f>'T_SelfStock'!AY42</f>
        <v/>
      </c>
      <c r="BB826">
        <f>'T_SelfStock'!AZ42</f>
        <v/>
      </c>
      <c r="BC826">
        <f>'T_SelfStock'!BA42</f>
        <v/>
      </c>
      <c r="BD826">
        <f>'T_SelfStock'!BB42</f>
        <v/>
      </c>
      <c r="BE826">
        <f>'T_SelfStock'!BC42</f>
        <v/>
      </c>
      <c r="BF826">
        <f>'T_SelfStock'!BD42</f>
        <v/>
      </c>
      <c r="BG826">
        <f>'T_SelfStock'!BE42</f>
        <v/>
      </c>
      <c r="BH826">
        <f>'T_SelfStock'!BF42</f>
        <v/>
      </c>
      <c r="BI826">
        <f>'T_SelfStock'!BG42</f>
        <v/>
      </c>
      <c r="BJ826">
        <f>'T_SelfStock'!BH42</f>
        <v/>
      </c>
      <c r="BK826">
        <f>'T_SelfStock'!BI42</f>
        <v/>
      </c>
      <c r="BL826">
        <f>'T_SelfStock'!BJ42</f>
        <v/>
      </c>
      <c r="BM826">
        <f>'T_SelfStock'!BK42</f>
        <v/>
      </c>
      <c r="BN826">
        <f>'T_SelfStock'!BL42</f>
        <v/>
      </c>
      <c r="BO826">
        <f>'T_SelfStock'!BM42</f>
        <v/>
      </c>
      <c r="BP826">
        <f>'T_SelfStock'!BN42</f>
        <v/>
      </c>
      <c r="BQ826">
        <f>'T_SelfStock'!BO42</f>
        <v/>
      </c>
      <c r="BR826">
        <f>'T_SelfStock'!BP42</f>
        <v/>
      </c>
      <c r="BS826">
        <f>'T_SelfStock'!BQ42</f>
        <v/>
      </c>
      <c r="BT826">
        <f>'T_SelfStock'!BR42</f>
        <v/>
      </c>
      <c r="BU826">
        <f>'T_SelfStock'!BS42</f>
        <v/>
      </c>
      <c r="BV826">
        <f>'T_SelfStock'!BT42</f>
        <v/>
      </c>
      <c r="BW826">
        <f>'T_SelfStock'!BU42</f>
        <v/>
      </c>
      <c r="BX826">
        <f>'T_SelfStock'!BV42</f>
        <v/>
      </c>
      <c r="BY826">
        <f>'T_SelfStock'!BW42</f>
        <v/>
      </c>
      <c r="BZ826">
        <f>'T_SelfStock'!BX42</f>
        <v/>
      </c>
      <c r="CA826">
        <f>'T_SelfStock'!BY42</f>
        <v/>
      </c>
      <c r="CB826">
        <f>'T_SelfStock'!BZ42</f>
        <v/>
      </c>
      <c r="CC826">
        <f>'T_SelfStock'!CA42</f>
        <v/>
      </c>
      <c r="CD826">
        <f>'T_SelfStock'!CB42</f>
        <v/>
      </c>
      <c r="CE826">
        <f>'T_SelfStock'!CC42</f>
        <v/>
      </c>
      <c r="CF826">
        <f>'T_SelfStock'!CD42</f>
        <v/>
      </c>
      <c r="CG826">
        <f>'T_SelfStock'!CE42</f>
        <v/>
      </c>
      <c r="CH826">
        <f>'T_SelfStock'!CF42</f>
        <v/>
      </c>
      <c r="CI826">
        <f>'T_SelfStock'!CG42</f>
        <v/>
      </c>
      <c r="CJ826">
        <f>'T_SelfStock'!CH42</f>
        <v/>
      </c>
      <c r="CK826">
        <f>'T_SelfStock'!CI42</f>
        <v/>
      </c>
      <c r="CL826">
        <f>'T_SelfStock'!CJ42</f>
        <v/>
      </c>
      <c r="CM826">
        <f>'T_SelfStock'!CK42</f>
        <v/>
      </c>
      <c r="CN826">
        <f>'T_SelfStock'!CL42</f>
        <v/>
      </c>
      <c r="CO826">
        <f>'T_SelfStock'!CM42</f>
        <v/>
      </c>
      <c r="CP826">
        <f>'T_SelfStock'!CN42</f>
        <v/>
      </c>
      <c r="CQ826">
        <f>'T_SelfStock'!CO42</f>
        <v/>
      </c>
      <c r="CR826">
        <f>'T_SelfStock'!CP42</f>
        <v/>
      </c>
      <c r="CS826">
        <f>'T_SelfStock'!CQ42</f>
        <v/>
      </c>
      <c r="CT826">
        <f>'T_SelfStock'!CR42</f>
        <v/>
      </c>
      <c r="CU826">
        <f>'T_SelfStock'!CS42</f>
        <v/>
      </c>
      <c r="CV826">
        <f>'T_SelfStock'!CT42</f>
        <v/>
      </c>
      <c r="CW826">
        <f>'T_SelfStock'!CU42</f>
        <v/>
      </c>
      <c r="CX826">
        <f>'T_SelfStock'!CV42</f>
        <v/>
      </c>
      <c r="CY826">
        <f>'T_SelfStock'!CW42</f>
        <v/>
      </c>
      <c r="CZ826">
        <f>'T_SelfStock'!CX42</f>
        <v/>
      </c>
      <c r="DA826">
        <f>'T_SelfStock'!CY42</f>
        <v/>
      </c>
      <c r="DB826">
        <f>'T_SelfStock'!CZ42</f>
        <v/>
      </c>
      <c r="DC826">
        <f>'T_SelfStock'!DA42</f>
        <v/>
      </c>
    </row>
    <row r="827">
      <c r="B827" t="inlineStr">
        <is>
          <t>Order(発注予定,kg)</t>
        </is>
      </c>
      <c r="D827">
        <f>IF(SUMIFS(T_PlannedOrders[EffectiveQty],T_PlannedOrders[Part Name],$A821,T_PlannedOrders[WeekIndex],1)=0,"",SUMIFS(T_PlannedOrders[EffectiveQty],T_PlannedOrders[Part Name],$A821,T_PlannedOrders[WeekIndex],1)&amp;" ("&amp;TEXT(SUMPRODUCT(MAX((T_PlannedOrders[Part Name]=$A821)*(T_PlannedOrders[WeekIndex]=1)*(T_PlannedOrders[EffectiveQty]&gt;0)*T_PlannedOrders[Order_Month])),"m月")&amp;"発注)")</f>
        <v/>
      </c>
      <c r="E827">
        <f>IF(SUMIFS(T_PlannedOrders[EffectiveQty],T_PlannedOrders[Part Name],$A821,T_PlannedOrders[WeekIndex],2)=0,"",SUMIFS(T_PlannedOrders[EffectiveQty],T_PlannedOrders[Part Name],$A821,T_PlannedOrders[WeekIndex],2)&amp;" ("&amp;TEXT(SUMPRODUCT(MAX((T_PlannedOrders[Part Name]=$A821)*(T_PlannedOrders[WeekIndex]=2)*(T_PlannedOrders[EffectiveQty]&gt;0)*T_PlannedOrders[Order_Month])),"m月")&amp;"発注)")</f>
        <v/>
      </c>
      <c r="F827">
        <f>IF(SUMIFS(T_PlannedOrders[EffectiveQty],T_PlannedOrders[Part Name],$A821,T_PlannedOrders[WeekIndex],3)=0,"",SUMIFS(T_PlannedOrders[EffectiveQty],T_PlannedOrders[Part Name],$A821,T_PlannedOrders[WeekIndex],3)&amp;" ("&amp;TEXT(SUMPRODUCT(MAX((T_PlannedOrders[Part Name]=$A821)*(T_PlannedOrders[WeekIndex]=3)*(T_PlannedOrders[EffectiveQty]&gt;0)*T_PlannedOrders[Order_Month])),"m月")&amp;"発注)")</f>
        <v/>
      </c>
      <c r="G827">
        <f>IF(SUMIFS(T_PlannedOrders[EffectiveQty],T_PlannedOrders[Part Name],$A821,T_PlannedOrders[WeekIndex],4)=0,"",SUMIFS(T_PlannedOrders[EffectiveQty],T_PlannedOrders[Part Name],$A821,T_PlannedOrders[WeekIndex],4)&amp;" ("&amp;TEXT(SUMPRODUCT(MAX((T_PlannedOrders[Part Name]=$A821)*(T_PlannedOrders[WeekIndex]=4)*(T_PlannedOrders[EffectiveQty]&gt;0)*T_PlannedOrders[Order_Month])),"m月")&amp;"発注)")</f>
        <v/>
      </c>
      <c r="H827">
        <f>IF(SUMIFS(T_PlannedOrders[EffectiveQty],T_PlannedOrders[Part Name],$A821,T_PlannedOrders[WeekIndex],5)=0,"",SUMIFS(T_PlannedOrders[EffectiveQty],T_PlannedOrders[Part Name],$A821,T_PlannedOrders[WeekIndex],5)&amp;" ("&amp;TEXT(SUMPRODUCT(MAX((T_PlannedOrders[Part Name]=$A821)*(T_PlannedOrders[WeekIndex]=5)*(T_PlannedOrders[EffectiveQty]&gt;0)*T_PlannedOrders[Order_Month])),"m月")&amp;"発注)")</f>
        <v/>
      </c>
      <c r="I827">
        <f>IF(SUMIFS(T_PlannedOrders[EffectiveQty],T_PlannedOrders[Part Name],$A821,T_PlannedOrders[WeekIndex],6)=0,"",SUMIFS(T_PlannedOrders[EffectiveQty],T_PlannedOrders[Part Name],$A821,T_PlannedOrders[WeekIndex],6)&amp;" ("&amp;TEXT(SUMPRODUCT(MAX((T_PlannedOrders[Part Name]=$A821)*(T_PlannedOrders[WeekIndex]=6)*(T_PlannedOrders[EffectiveQty]&gt;0)*T_PlannedOrders[Order_Month])),"m月")&amp;"発注)")</f>
        <v/>
      </c>
      <c r="J827">
        <f>IF(SUMIFS(T_PlannedOrders[EffectiveQty],T_PlannedOrders[Part Name],$A821,T_PlannedOrders[WeekIndex],7)=0,"",SUMIFS(T_PlannedOrders[EffectiveQty],T_PlannedOrders[Part Name],$A821,T_PlannedOrders[WeekIndex],7)&amp;" ("&amp;TEXT(SUMPRODUCT(MAX((T_PlannedOrders[Part Name]=$A821)*(T_PlannedOrders[WeekIndex]=7)*(T_PlannedOrders[EffectiveQty]&gt;0)*T_PlannedOrders[Order_Month])),"m月")&amp;"発注)")</f>
        <v/>
      </c>
      <c r="K827">
        <f>IF(SUMIFS(T_PlannedOrders[EffectiveQty],T_PlannedOrders[Part Name],$A821,T_PlannedOrders[WeekIndex],8)=0,"",SUMIFS(T_PlannedOrders[EffectiveQty],T_PlannedOrders[Part Name],$A821,T_PlannedOrders[WeekIndex],8)&amp;" ("&amp;TEXT(SUMPRODUCT(MAX((T_PlannedOrders[Part Name]=$A821)*(T_PlannedOrders[WeekIndex]=8)*(T_PlannedOrders[EffectiveQty]&gt;0)*T_PlannedOrders[Order_Month])),"m月")&amp;"発注)")</f>
        <v/>
      </c>
      <c r="L827">
        <f>IF(SUMIFS(T_PlannedOrders[EffectiveQty],T_PlannedOrders[Part Name],$A821,T_PlannedOrders[WeekIndex],9)=0,"",SUMIFS(T_PlannedOrders[EffectiveQty],T_PlannedOrders[Part Name],$A821,T_PlannedOrders[WeekIndex],9)&amp;" ("&amp;TEXT(SUMPRODUCT(MAX((T_PlannedOrders[Part Name]=$A821)*(T_PlannedOrders[WeekIndex]=9)*(T_PlannedOrders[EffectiveQty]&gt;0)*T_PlannedOrders[Order_Month])),"m月")&amp;"発注)")</f>
        <v/>
      </c>
      <c r="M827">
        <f>IF(SUMIFS(T_PlannedOrders[EffectiveQty],T_PlannedOrders[Part Name],$A821,T_PlannedOrders[WeekIndex],10)=0,"",SUMIFS(T_PlannedOrders[EffectiveQty],T_PlannedOrders[Part Name],$A821,T_PlannedOrders[WeekIndex],10)&amp;" ("&amp;TEXT(SUMPRODUCT(MAX((T_PlannedOrders[Part Name]=$A821)*(T_PlannedOrders[WeekIndex]=10)*(T_PlannedOrders[EffectiveQty]&gt;0)*T_PlannedOrders[Order_Month])),"m月")&amp;"発注)")</f>
        <v/>
      </c>
      <c r="N827">
        <f>IF(SUMIFS(T_PlannedOrders[EffectiveQty],T_PlannedOrders[Part Name],$A821,T_PlannedOrders[WeekIndex],11)=0,"",SUMIFS(T_PlannedOrders[EffectiveQty],T_PlannedOrders[Part Name],$A821,T_PlannedOrders[WeekIndex],11)&amp;" ("&amp;TEXT(SUMPRODUCT(MAX((T_PlannedOrders[Part Name]=$A821)*(T_PlannedOrders[WeekIndex]=11)*(T_PlannedOrders[EffectiveQty]&gt;0)*T_PlannedOrders[Order_Month])),"m月")&amp;"発注)")</f>
        <v/>
      </c>
      <c r="O827">
        <f>IF(SUMIFS(T_PlannedOrders[EffectiveQty],T_PlannedOrders[Part Name],$A821,T_PlannedOrders[WeekIndex],12)=0,"",SUMIFS(T_PlannedOrders[EffectiveQty],T_PlannedOrders[Part Name],$A821,T_PlannedOrders[WeekIndex],12)&amp;" ("&amp;TEXT(SUMPRODUCT(MAX((T_PlannedOrders[Part Name]=$A821)*(T_PlannedOrders[WeekIndex]=12)*(T_PlannedOrders[EffectiveQty]&gt;0)*T_PlannedOrders[Order_Month])),"m月")&amp;"発注)")</f>
        <v/>
      </c>
      <c r="P827">
        <f>IF(SUMIFS(T_PlannedOrders[EffectiveQty],T_PlannedOrders[Part Name],$A821,T_PlannedOrders[WeekIndex],13)=0,"",SUMIFS(T_PlannedOrders[EffectiveQty],T_PlannedOrders[Part Name],$A821,T_PlannedOrders[WeekIndex],13)&amp;" ("&amp;TEXT(SUMPRODUCT(MAX((T_PlannedOrders[Part Name]=$A821)*(T_PlannedOrders[WeekIndex]=13)*(T_PlannedOrders[EffectiveQty]&gt;0)*T_PlannedOrders[Order_Month])),"m月")&amp;"発注)")</f>
        <v/>
      </c>
      <c r="Q827">
        <f>IF(SUMIFS(T_PlannedOrders[EffectiveQty],T_PlannedOrders[Part Name],$A821,T_PlannedOrders[WeekIndex],14)=0,"",SUMIFS(T_PlannedOrders[EffectiveQty],T_PlannedOrders[Part Name],$A821,T_PlannedOrders[WeekIndex],14)&amp;" ("&amp;TEXT(SUMPRODUCT(MAX((T_PlannedOrders[Part Name]=$A821)*(T_PlannedOrders[WeekIndex]=14)*(T_PlannedOrders[EffectiveQty]&gt;0)*T_PlannedOrders[Order_Month])),"m月")&amp;"発注)")</f>
        <v/>
      </c>
      <c r="R827">
        <f>IF(SUMIFS(T_PlannedOrders[EffectiveQty],T_PlannedOrders[Part Name],$A821,T_PlannedOrders[WeekIndex],15)=0,"",SUMIFS(T_PlannedOrders[EffectiveQty],T_PlannedOrders[Part Name],$A821,T_PlannedOrders[WeekIndex],15)&amp;" ("&amp;TEXT(SUMPRODUCT(MAX((T_PlannedOrders[Part Name]=$A821)*(T_PlannedOrders[WeekIndex]=15)*(T_PlannedOrders[EffectiveQty]&gt;0)*T_PlannedOrders[Order_Month])),"m月")&amp;"発注)")</f>
        <v/>
      </c>
      <c r="S827">
        <f>IF(SUMIFS(T_PlannedOrders[EffectiveQty],T_PlannedOrders[Part Name],$A821,T_PlannedOrders[WeekIndex],16)=0,"",SUMIFS(T_PlannedOrders[EffectiveQty],T_PlannedOrders[Part Name],$A821,T_PlannedOrders[WeekIndex],16)&amp;" ("&amp;TEXT(SUMPRODUCT(MAX((T_PlannedOrders[Part Name]=$A821)*(T_PlannedOrders[WeekIndex]=16)*(T_PlannedOrders[EffectiveQty]&gt;0)*T_PlannedOrders[Order_Month])),"m月")&amp;"発注)")</f>
        <v/>
      </c>
      <c r="T827">
        <f>IF(SUMIFS(T_PlannedOrders[EffectiveQty],T_PlannedOrders[Part Name],$A821,T_PlannedOrders[WeekIndex],17)=0,"",SUMIFS(T_PlannedOrders[EffectiveQty],T_PlannedOrders[Part Name],$A821,T_PlannedOrders[WeekIndex],17)&amp;" ("&amp;TEXT(SUMPRODUCT(MAX((T_PlannedOrders[Part Name]=$A821)*(T_PlannedOrders[WeekIndex]=17)*(T_PlannedOrders[EffectiveQty]&gt;0)*T_PlannedOrders[Order_Month])),"m月")&amp;"発注)")</f>
        <v/>
      </c>
      <c r="U827">
        <f>IF(SUMIFS(T_PlannedOrders[EffectiveQty],T_PlannedOrders[Part Name],$A821,T_PlannedOrders[WeekIndex],18)=0,"",SUMIFS(T_PlannedOrders[EffectiveQty],T_PlannedOrders[Part Name],$A821,T_PlannedOrders[WeekIndex],18)&amp;" ("&amp;TEXT(SUMPRODUCT(MAX((T_PlannedOrders[Part Name]=$A821)*(T_PlannedOrders[WeekIndex]=18)*(T_PlannedOrders[EffectiveQty]&gt;0)*T_PlannedOrders[Order_Month])),"m月")&amp;"発注)")</f>
        <v/>
      </c>
      <c r="V827">
        <f>IF(SUMIFS(T_PlannedOrders[EffectiveQty],T_PlannedOrders[Part Name],$A821,T_PlannedOrders[WeekIndex],19)=0,"",SUMIFS(T_PlannedOrders[EffectiveQty],T_PlannedOrders[Part Name],$A821,T_PlannedOrders[WeekIndex],19)&amp;" ("&amp;TEXT(SUMPRODUCT(MAX((T_PlannedOrders[Part Name]=$A821)*(T_PlannedOrders[WeekIndex]=19)*(T_PlannedOrders[EffectiveQty]&gt;0)*T_PlannedOrders[Order_Month])),"m月")&amp;"発注)")</f>
        <v/>
      </c>
      <c r="W827">
        <f>IF(SUMIFS(T_PlannedOrders[EffectiveQty],T_PlannedOrders[Part Name],$A821,T_PlannedOrders[WeekIndex],20)=0,"",SUMIFS(T_PlannedOrders[EffectiveQty],T_PlannedOrders[Part Name],$A821,T_PlannedOrders[WeekIndex],20)&amp;" ("&amp;TEXT(SUMPRODUCT(MAX((T_PlannedOrders[Part Name]=$A821)*(T_PlannedOrders[WeekIndex]=20)*(T_PlannedOrders[EffectiveQty]&gt;0)*T_PlannedOrders[Order_Month])),"m月")&amp;"発注)")</f>
        <v/>
      </c>
      <c r="X827">
        <f>IF(SUMIFS(T_PlannedOrders[EffectiveQty],T_PlannedOrders[Part Name],$A821,T_PlannedOrders[WeekIndex],21)=0,"",SUMIFS(T_PlannedOrders[EffectiveQty],T_PlannedOrders[Part Name],$A821,T_PlannedOrders[WeekIndex],21)&amp;" ("&amp;TEXT(SUMPRODUCT(MAX((T_PlannedOrders[Part Name]=$A821)*(T_PlannedOrders[WeekIndex]=21)*(T_PlannedOrders[EffectiveQty]&gt;0)*T_PlannedOrders[Order_Month])),"m月")&amp;"発注)")</f>
        <v/>
      </c>
      <c r="Y827">
        <f>IF(SUMIFS(T_PlannedOrders[EffectiveQty],T_PlannedOrders[Part Name],$A821,T_PlannedOrders[WeekIndex],22)=0,"",SUMIFS(T_PlannedOrders[EffectiveQty],T_PlannedOrders[Part Name],$A821,T_PlannedOrders[WeekIndex],22)&amp;" ("&amp;TEXT(SUMPRODUCT(MAX((T_PlannedOrders[Part Name]=$A821)*(T_PlannedOrders[WeekIndex]=22)*(T_PlannedOrders[EffectiveQty]&gt;0)*T_PlannedOrders[Order_Month])),"m月")&amp;"発注)")</f>
        <v/>
      </c>
      <c r="Z827">
        <f>IF(SUMIFS(T_PlannedOrders[EffectiveQty],T_PlannedOrders[Part Name],$A821,T_PlannedOrders[WeekIndex],23)=0,"",SUMIFS(T_PlannedOrders[EffectiveQty],T_PlannedOrders[Part Name],$A821,T_PlannedOrders[WeekIndex],23)&amp;" ("&amp;TEXT(SUMPRODUCT(MAX((T_PlannedOrders[Part Name]=$A821)*(T_PlannedOrders[WeekIndex]=23)*(T_PlannedOrders[EffectiveQty]&gt;0)*T_PlannedOrders[Order_Month])),"m月")&amp;"発注)")</f>
        <v/>
      </c>
      <c r="AA827">
        <f>IF(SUMIFS(T_PlannedOrders[EffectiveQty],T_PlannedOrders[Part Name],$A821,T_PlannedOrders[WeekIndex],24)=0,"",SUMIFS(T_PlannedOrders[EffectiveQty],T_PlannedOrders[Part Name],$A821,T_PlannedOrders[WeekIndex],24)&amp;" ("&amp;TEXT(SUMPRODUCT(MAX((T_PlannedOrders[Part Name]=$A821)*(T_PlannedOrders[WeekIndex]=24)*(T_PlannedOrders[EffectiveQty]&gt;0)*T_PlannedOrders[Order_Month])),"m月")&amp;"発注)")</f>
        <v/>
      </c>
      <c r="AB827">
        <f>IF(SUMIFS(T_PlannedOrders[EffectiveQty],T_PlannedOrders[Part Name],$A821,T_PlannedOrders[WeekIndex],25)=0,"",SUMIFS(T_PlannedOrders[EffectiveQty],T_PlannedOrders[Part Name],$A821,T_PlannedOrders[WeekIndex],25)&amp;" ("&amp;TEXT(SUMPRODUCT(MAX((T_PlannedOrders[Part Name]=$A821)*(T_PlannedOrders[WeekIndex]=25)*(T_PlannedOrders[EffectiveQty]&gt;0)*T_PlannedOrders[Order_Month])),"m月")&amp;"発注)")</f>
        <v/>
      </c>
      <c r="AC827">
        <f>IF(SUMIFS(T_PlannedOrders[EffectiveQty],T_PlannedOrders[Part Name],$A821,T_PlannedOrders[WeekIndex],26)=0,"",SUMIFS(T_PlannedOrders[EffectiveQty],T_PlannedOrders[Part Name],$A821,T_PlannedOrders[WeekIndex],26)&amp;" ("&amp;TEXT(SUMPRODUCT(MAX((T_PlannedOrders[Part Name]=$A821)*(T_PlannedOrders[WeekIndex]=26)*(T_PlannedOrders[EffectiveQty]&gt;0)*T_PlannedOrders[Order_Month])),"m月")&amp;"発注)")</f>
        <v/>
      </c>
      <c r="AD827">
        <f>IF(SUMIFS(T_PlannedOrders[EffectiveQty],T_PlannedOrders[Part Name],$A821,T_PlannedOrders[WeekIndex],27)=0,"",SUMIFS(T_PlannedOrders[EffectiveQty],T_PlannedOrders[Part Name],$A821,T_PlannedOrders[WeekIndex],27)&amp;" ("&amp;TEXT(SUMPRODUCT(MAX((T_PlannedOrders[Part Name]=$A821)*(T_PlannedOrders[WeekIndex]=27)*(T_PlannedOrders[EffectiveQty]&gt;0)*T_PlannedOrders[Order_Month])),"m月")&amp;"発注)")</f>
        <v/>
      </c>
      <c r="AE827">
        <f>IF(SUMIFS(T_PlannedOrders[EffectiveQty],T_PlannedOrders[Part Name],$A821,T_PlannedOrders[WeekIndex],28)=0,"",SUMIFS(T_PlannedOrders[EffectiveQty],T_PlannedOrders[Part Name],$A821,T_PlannedOrders[WeekIndex],28)&amp;" ("&amp;TEXT(SUMPRODUCT(MAX((T_PlannedOrders[Part Name]=$A821)*(T_PlannedOrders[WeekIndex]=28)*(T_PlannedOrders[EffectiveQty]&gt;0)*T_PlannedOrders[Order_Month])),"m月")&amp;"発注)")</f>
        <v/>
      </c>
      <c r="AF827">
        <f>IF(SUMIFS(T_PlannedOrders[EffectiveQty],T_PlannedOrders[Part Name],$A821,T_PlannedOrders[WeekIndex],29)=0,"",SUMIFS(T_PlannedOrders[EffectiveQty],T_PlannedOrders[Part Name],$A821,T_PlannedOrders[WeekIndex],29)&amp;" ("&amp;TEXT(SUMPRODUCT(MAX((T_PlannedOrders[Part Name]=$A821)*(T_PlannedOrders[WeekIndex]=29)*(T_PlannedOrders[EffectiveQty]&gt;0)*T_PlannedOrders[Order_Month])),"m月")&amp;"発注)")</f>
        <v/>
      </c>
      <c r="AG827">
        <f>IF(SUMIFS(T_PlannedOrders[EffectiveQty],T_PlannedOrders[Part Name],$A821,T_PlannedOrders[WeekIndex],30)=0,"",SUMIFS(T_PlannedOrders[EffectiveQty],T_PlannedOrders[Part Name],$A821,T_PlannedOrders[WeekIndex],30)&amp;" ("&amp;TEXT(SUMPRODUCT(MAX((T_PlannedOrders[Part Name]=$A821)*(T_PlannedOrders[WeekIndex]=30)*(T_PlannedOrders[EffectiveQty]&gt;0)*T_PlannedOrders[Order_Month])),"m月")&amp;"発注)")</f>
        <v/>
      </c>
      <c r="AH827">
        <f>IF(SUMIFS(T_PlannedOrders[EffectiveQty],T_PlannedOrders[Part Name],$A821,T_PlannedOrders[WeekIndex],31)=0,"",SUMIFS(T_PlannedOrders[EffectiveQty],T_PlannedOrders[Part Name],$A821,T_PlannedOrders[WeekIndex],31)&amp;" ("&amp;TEXT(SUMPRODUCT(MAX((T_PlannedOrders[Part Name]=$A821)*(T_PlannedOrders[WeekIndex]=31)*(T_PlannedOrders[EffectiveQty]&gt;0)*T_PlannedOrders[Order_Month])),"m月")&amp;"発注)")</f>
        <v/>
      </c>
      <c r="AI827">
        <f>IF(SUMIFS(T_PlannedOrders[EffectiveQty],T_PlannedOrders[Part Name],$A821,T_PlannedOrders[WeekIndex],32)=0,"",SUMIFS(T_PlannedOrders[EffectiveQty],T_PlannedOrders[Part Name],$A821,T_PlannedOrders[WeekIndex],32)&amp;" ("&amp;TEXT(SUMPRODUCT(MAX((T_PlannedOrders[Part Name]=$A821)*(T_PlannedOrders[WeekIndex]=32)*(T_PlannedOrders[EffectiveQty]&gt;0)*T_PlannedOrders[Order_Month])),"m月")&amp;"発注)")</f>
        <v/>
      </c>
      <c r="AJ827">
        <f>IF(SUMIFS(T_PlannedOrders[EffectiveQty],T_PlannedOrders[Part Name],$A821,T_PlannedOrders[WeekIndex],33)=0,"",SUMIFS(T_PlannedOrders[EffectiveQty],T_PlannedOrders[Part Name],$A821,T_PlannedOrders[WeekIndex],33)&amp;" ("&amp;TEXT(SUMPRODUCT(MAX((T_PlannedOrders[Part Name]=$A821)*(T_PlannedOrders[WeekIndex]=33)*(T_PlannedOrders[EffectiveQty]&gt;0)*T_PlannedOrders[Order_Month])),"m月")&amp;"発注)")</f>
        <v/>
      </c>
      <c r="AK827">
        <f>IF(SUMIFS(T_PlannedOrders[EffectiveQty],T_PlannedOrders[Part Name],$A821,T_PlannedOrders[WeekIndex],34)=0,"",SUMIFS(T_PlannedOrders[EffectiveQty],T_PlannedOrders[Part Name],$A821,T_PlannedOrders[WeekIndex],34)&amp;" ("&amp;TEXT(SUMPRODUCT(MAX((T_PlannedOrders[Part Name]=$A821)*(T_PlannedOrders[WeekIndex]=34)*(T_PlannedOrders[EffectiveQty]&gt;0)*T_PlannedOrders[Order_Month])),"m月")&amp;"発注)")</f>
        <v/>
      </c>
      <c r="AL827">
        <f>IF(SUMIFS(T_PlannedOrders[EffectiveQty],T_PlannedOrders[Part Name],$A821,T_PlannedOrders[WeekIndex],35)=0,"",SUMIFS(T_PlannedOrders[EffectiveQty],T_PlannedOrders[Part Name],$A821,T_PlannedOrders[WeekIndex],35)&amp;" ("&amp;TEXT(SUMPRODUCT(MAX((T_PlannedOrders[Part Name]=$A821)*(T_PlannedOrders[WeekIndex]=35)*(T_PlannedOrders[EffectiveQty]&gt;0)*T_PlannedOrders[Order_Month])),"m月")&amp;"発注)")</f>
        <v/>
      </c>
      <c r="AM827">
        <f>IF(SUMIFS(T_PlannedOrders[EffectiveQty],T_PlannedOrders[Part Name],$A821,T_PlannedOrders[WeekIndex],36)=0,"",SUMIFS(T_PlannedOrders[EffectiveQty],T_PlannedOrders[Part Name],$A821,T_PlannedOrders[WeekIndex],36)&amp;" ("&amp;TEXT(SUMPRODUCT(MAX((T_PlannedOrders[Part Name]=$A821)*(T_PlannedOrders[WeekIndex]=36)*(T_PlannedOrders[EffectiveQty]&gt;0)*T_PlannedOrders[Order_Month])),"m月")&amp;"発注)")</f>
        <v/>
      </c>
      <c r="AN827">
        <f>IF(SUMIFS(T_PlannedOrders[EffectiveQty],T_PlannedOrders[Part Name],$A821,T_PlannedOrders[WeekIndex],37)=0,"",SUMIFS(T_PlannedOrders[EffectiveQty],T_PlannedOrders[Part Name],$A821,T_PlannedOrders[WeekIndex],37)&amp;" ("&amp;TEXT(SUMPRODUCT(MAX((T_PlannedOrders[Part Name]=$A821)*(T_PlannedOrders[WeekIndex]=37)*(T_PlannedOrders[EffectiveQty]&gt;0)*T_PlannedOrders[Order_Month])),"m月")&amp;"発注)")</f>
        <v/>
      </c>
      <c r="AO827">
        <f>IF(SUMIFS(T_PlannedOrders[EffectiveQty],T_PlannedOrders[Part Name],$A821,T_PlannedOrders[WeekIndex],38)=0,"",SUMIFS(T_PlannedOrders[EffectiveQty],T_PlannedOrders[Part Name],$A821,T_PlannedOrders[WeekIndex],38)&amp;" ("&amp;TEXT(SUMPRODUCT(MAX((T_PlannedOrders[Part Name]=$A821)*(T_PlannedOrders[WeekIndex]=38)*(T_PlannedOrders[EffectiveQty]&gt;0)*T_PlannedOrders[Order_Month])),"m月")&amp;"発注)")</f>
        <v/>
      </c>
      <c r="AP827">
        <f>IF(SUMIFS(T_PlannedOrders[EffectiveQty],T_PlannedOrders[Part Name],$A821,T_PlannedOrders[WeekIndex],39)=0,"",SUMIFS(T_PlannedOrders[EffectiveQty],T_PlannedOrders[Part Name],$A821,T_PlannedOrders[WeekIndex],39)&amp;" ("&amp;TEXT(SUMPRODUCT(MAX((T_PlannedOrders[Part Name]=$A821)*(T_PlannedOrders[WeekIndex]=39)*(T_PlannedOrders[EffectiveQty]&gt;0)*T_PlannedOrders[Order_Month])),"m月")&amp;"発注)")</f>
        <v/>
      </c>
      <c r="AQ827">
        <f>IF(SUMIFS(T_PlannedOrders[EffectiveQty],T_PlannedOrders[Part Name],$A821,T_PlannedOrders[WeekIndex],40)=0,"",SUMIFS(T_PlannedOrders[EffectiveQty],T_PlannedOrders[Part Name],$A821,T_PlannedOrders[WeekIndex],40)&amp;" ("&amp;TEXT(SUMPRODUCT(MAX((T_PlannedOrders[Part Name]=$A821)*(T_PlannedOrders[WeekIndex]=40)*(T_PlannedOrders[EffectiveQty]&gt;0)*T_PlannedOrders[Order_Month])),"m月")&amp;"発注)")</f>
        <v/>
      </c>
      <c r="AR827">
        <f>IF(SUMIFS(T_PlannedOrders[EffectiveQty],T_PlannedOrders[Part Name],$A821,T_PlannedOrders[WeekIndex],41)=0,"",SUMIFS(T_PlannedOrders[EffectiveQty],T_PlannedOrders[Part Name],$A821,T_PlannedOrders[WeekIndex],41)&amp;" ("&amp;TEXT(SUMPRODUCT(MAX((T_PlannedOrders[Part Name]=$A821)*(T_PlannedOrders[WeekIndex]=41)*(T_PlannedOrders[EffectiveQty]&gt;0)*T_PlannedOrders[Order_Month])),"m月")&amp;"発注)")</f>
        <v/>
      </c>
      <c r="AS827">
        <f>IF(SUMIFS(T_PlannedOrders[EffectiveQty],T_PlannedOrders[Part Name],$A821,T_PlannedOrders[WeekIndex],42)=0,"",SUMIFS(T_PlannedOrders[EffectiveQty],T_PlannedOrders[Part Name],$A821,T_PlannedOrders[WeekIndex],42)&amp;" ("&amp;TEXT(SUMPRODUCT(MAX((T_PlannedOrders[Part Name]=$A821)*(T_PlannedOrders[WeekIndex]=42)*(T_PlannedOrders[EffectiveQty]&gt;0)*T_PlannedOrders[Order_Month])),"m月")&amp;"発注)")</f>
        <v/>
      </c>
      <c r="AT827">
        <f>IF(SUMIFS(T_PlannedOrders[EffectiveQty],T_PlannedOrders[Part Name],$A821,T_PlannedOrders[WeekIndex],43)=0,"",SUMIFS(T_PlannedOrders[EffectiveQty],T_PlannedOrders[Part Name],$A821,T_PlannedOrders[WeekIndex],43)&amp;" ("&amp;TEXT(SUMPRODUCT(MAX((T_PlannedOrders[Part Name]=$A821)*(T_PlannedOrders[WeekIndex]=43)*(T_PlannedOrders[EffectiveQty]&gt;0)*T_PlannedOrders[Order_Month])),"m月")&amp;"発注)")</f>
        <v/>
      </c>
      <c r="AU827">
        <f>IF(SUMIFS(T_PlannedOrders[EffectiveQty],T_PlannedOrders[Part Name],$A821,T_PlannedOrders[WeekIndex],44)=0,"",SUMIFS(T_PlannedOrders[EffectiveQty],T_PlannedOrders[Part Name],$A821,T_PlannedOrders[WeekIndex],44)&amp;" ("&amp;TEXT(SUMPRODUCT(MAX((T_PlannedOrders[Part Name]=$A821)*(T_PlannedOrders[WeekIndex]=44)*(T_PlannedOrders[EffectiveQty]&gt;0)*T_PlannedOrders[Order_Month])),"m月")&amp;"発注)")</f>
        <v/>
      </c>
      <c r="AV827">
        <f>IF(SUMIFS(T_PlannedOrders[EffectiveQty],T_PlannedOrders[Part Name],$A821,T_PlannedOrders[WeekIndex],45)=0,"",SUMIFS(T_PlannedOrders[EffectiveQty],T_PlannedOrders[Part Name],$A821,T_PlannedOrders[WeekIndex],45)&amp;" ("&amp;TEXT(SUMPRODUCT(MAX((T_PlannedOrders[Part Name]=$A821)*(T_PlannedOrders[WeekIndex]=45)*(T_PlannedOrders[EffectiveQty]&gt;0)*T_PlannedOrders[Order_Month])),"m月")&amp;"発注)")</f>
        <v/>
      </c>
      <c r="AW827">
        <f>IF(SUMIFS(T_PlannedOrders[EffectiveQty],T_PlannedOrders[Part Name],$A821,T_PlannedOrders[WeekIndex],46)=0,"",SUMIFS(T_PlannedOrders[EffectiveQty],T_PlannedOrders[Part Name],$A821,T_PlannedOrders[WeekIndex],46)&amp;" ("&amp;TEXT(SUMPRODUCT(MAX((T_PlannedOrders[Part Name]=$A821)*(T_PlannedOrders[WeekIndex]=46)*(T_PlannedOrders[EffectiveQty]&gt;0)*T_PlannedOrders[Order_Month])),"m月")&amp;"発注)")</f>
        <v/>
      </c>
      <c r="AX827">
        <f>IF(SUMIFS(T_PlannedOrders[EffectiveQty],T_PlannedOrders[Part Name],$A821,T_PlannedOrders[WeekIndex],47)=0,"",SUMIFS(T_PlannedOrders[EffectiveQty],T_PlannedOrders[Part Name],$A821,T_PlannedOrders[WeekIndex],47)&amp;" ("&amp;TEXT(SUMPRODUCT(MAX((T_PlannedOrders[Part Name]=$A821)*(T_PlannedOrders[WeekIndex]=47)*(T_PlannedOrders[EffectiveQty]&gt;0)*T_PlannedOrders[Order_Month])),"m月")&amp;"発注)")</f>
        <v/>
      </c>
      <c r="AY827">
        <f>IF(SUMIFS(T_PlannedOrders[EffectiveQty],T_PlannedOrders[Part Name],$A821,T_PlannedOrders[WeekIndex],48)=0,"",SUMIFS(T_PlannedOrders[EffectiveQty],T_PlannedOrders[Part Name],$A821,T_PlannedOrders[WeekIndex],48)&amp;" ("&amp;TEXT(SUMPRODUCT(MAX((T_PlannedOrders[Part Name]=$A821)*(T_PlannedOrders[WeekIndex]=48)*(T_PlannedOrders[EffectiveQty]&gt;0)*T_PlannedOrders[Order_Month])),"m月")&amp;"発注)")</f>
        <v/>
      </c>
      <c r="AZ827">
        <f>IF(SUMIFS(T_PlannedOrders[EffectiveQty],T_PlannedOrders[Part Name],$A821,T_PlannedOrders[WeekIndex],49)=0,"",SUMIFS(T_PlannedOrders[EffectiveQty],T_PlannedOrders[Part Name],$A821,T_PlannedOrders[WeekIndex],49)&amp;" ("&amp;TEXT(SUMPRODUCT(MAX((T_PlannedOrders[Part Name]=$A821)*(T_PlannedOrders[WeekIndex]=49)*(T_PlannedOrders[EffectiveQty]&gt;0)*T_PlannedOrders[Order_Month])),"m月")&amp;"発注)")</f>
        <v/>
      </c>
      <c r="BA827">
        <f>IF(SUMIFS(T_PlannedOrders[EffectiveQty],T_PlannedOrders[Part Name],$A821,T_PlannedOrders[WeekIndex],50)=0,"",SUMIFS(T_PlannedOrders[EffectiveQty],T_PlannedOrders[Part Name],$A821,T_PlannedOrders[WeekIndex],50)&amp;" ("&amp;TEXT(SUMPRODUCT(MAX((T_PlannedOrders[Part Name]=$A821)*(T_PlannedOrders[WeekIndex]=50)*(T_PlannedOrders[EffectiveQty]&gt;0)*T_PlannedOrders[Order_Month])),"m月")&amp;"発注)")</f>
        <v/>
      </c>
      <c r="BB827">
        <f>IF(SUMIFS(T_PlannedOrders[EffectiveQty],T_PlannedOrders[Part Name],$A821,T_PlannedOrders[WeekIndex],51)=0,"",SUMIFS(T_PlannedOrders[EffectiveQty],T_PlannedOrders[Part Name],$A821,T_PlannedOrders[WeekIndex],51)&amp;" ("&amp;TEXT(SUMPRODUCT(MAX((T_PlannedOrders[Part Name]=$A821)*(T_PlannedOrders[WeekIndex]=51)*(T_PlannedOrders[EffectiveQty]&gt;0)*T_PlannedOrders[Order_Month])),"m月")&amp;"発注)")</f>
        <v/>
      </c>
      <c r="BC827">
        <f>IF(SUMIFS(T_PlannedOrders[EffectiveQty],T_PlannedOrders[Part Name],$A821,T_PlannedOrders[WeekIndex],52)=0,"",SUMIFS(T_PlannedOrders[EffectiveQty],T_PlannedOrders[Part Name],$A821,T_PlannedOrders[WeekIndex],52)&amp;" ("&amp;TEXT(SUMPRODUCT(MAX((T_PlannedOrders[Part Name]=$A821)*(T_PlannedOrders[WeekIndex]=52)*(T_PlannedOrders[EffectiveQty]&gt;0)*T_PlannedOrders[Order_Month])),"m月")&amp;"発注)")</f>
        <v/>
      </c>
      <c r="BD827">
        <f>IF(SUMIFS(T_PlannedOrders[EffectiveQty],T_PlannedOrders[Part Name],$A821,T_PlannedOrders[WeekIndex],53)=0,"",SUMIFS(T_PlannedOrders[EffectiveQty],T_PlannedOrders[Part Name],$A821,T_PlannedOrders[WeekIndex],53)&amp;" ("&amp;TEXT(SUMPRODUCT(MAX((T_PlannedOrders[Part Name]=$A821)*(T_PlannedOrders[WeekIndex]=53)*(T_PlannedOrders[EffectiveQty]&gt;0)*T_PlannedOrders[Order_Month])),"m月")&amp;"発注)")</f>
        <v/>
      </c>
      <c r="BE827">
        <f>IF(SUMIFS(T_PlannedOrders[EffectiveQty],T_PlannedOrders[Part Name],$A821,T_PlannedOrders[WeekIndex],54)=0,"",SUMIFS(T_PlannedOrders[EffectiveQty],T_PlannedOrders[Part Name],$A821,T_PlannedOrders[WeekIndex],54)&amp;" ("&amp;TEXT(SUMPRODUCT(MAX((T_PlannedOrders[Part Name]=$A821)*(T_PlannedOrders[WeekIndex]=54)*(T_PlannedOrders[EffectiveQty]&gt;0)*T_PlannedOrders[Order_Month])),"m月")&amp;"発注)")</f>
        <v/>
      </c>
      <c r="BF827">
        <f>IF(SUMIFS(T_PlannedOrders[EffectiveQty],T_PlannedOrders[Part Name],$A821,T_PlannedOrders[WeekIndex],55)=0,"",SUMIFS(T_PlannedOrders[EffectiveQty],T_PlannedOrders[Part Name],$A821,T_PlannedOrders[WeekIndex],55)&amp;" ("&amp;TEXT(SUMPRODUCT(MAX((T_PlannedOrders[Part Name]=$A821)*(T_PlannedOrders[WeekIndex]=55)*(T_PlannedOrders[EffectiveQty]&gt;0)*T_PlannedOrders[Order_Month])),"m月")&amp;"発注)")</f>
        <v/>
      </c>
      <c r="BG827">
        <f>IF(SUMIFS(T_PlannedOrders[EffectiveQty],T_PlannedOrders[Part Name],$A821,T_PlannedOrders[WeekIndex],56)=0,"",SUMIFS(T_PlannedOrders[EffectiveQty],T_PlannedOrders[Part Name],$A821,T_PlannedOrders[WeekIndex],56)&amp;" ("&amp;TEXT(SUMPRODUCT(MAX((T_PlannedOrders[Part Name]=$A821)*(T_PlannedOrders[WeekIndex]=56)*(T_PlannedOrders[EffectiveQty]&gt;0)*T_PlannedOrders[Order_Month])),"m月")&amp;"発注)")</f>
        <v/>
      </c>
      <c r="BH827">
        <f>IF(SUMIFS(T_PlannedOrders[EffectiveQty],T_PlannedOrders[Part Name],$A821,T_PlannedOrders[WeekIndex],57)=0,"",SUMIFS(T_PlannedOrders[EffectiveQty],T_PlannedOrders[Part Name],$A821,T_PlannedOrders[WeekIndex],57)&amp;" ("&amp;TEXT(SUMPRODUCT(MAX((T_PlannedOrders[Part Name]=$A821)*(T_PlannedOrders[WeekIndex]=57)*(T_PlannedOrders[EffectiveQty]&gt;0)*T_PlannedOrders[Order_Month])),"m月")&amp;"発注)")</f>
        <v/>
      </c>
      <c r="BI827">
        <f>IF(SUMIFS(T_PlannedOrders[EffectiveQty],T_PlannedOrders[Part Name],$A821,T_PlannedOrders[WeekIndex],58)=0,"",SUMIFS(T_PlannedOrders[EffectiveQty],T_PlannedOrders[Part Name],$A821,T_PlannedOrders[WeekIndex],58)&amp;" ("&amp;TEXT(SUMPRODUCT(MAX((T_PlannedOrders[Part Name]=$A821)*(T_PlannedOrders[WeekIndex]=58)*(T_PlannedOrders[EffectiveQty]&gt;0)*T_PlannedOrders[Order_Month])),"m月")&amp;"発注)")</f>
        <v/>
      </c>
      <c r="BJ827">
        <f>IF(SUMIFS(T_PlannedOrders[EffectiveQty],T_PlannedOrders[Part Name],$A821,T_PlannedOrders[WeekIndex],59)=0,"",SUMIFS(T_PlannedOrders[EffectiveQty],T_PlannedOrders[Part Name],$A821,T_PlannedOrders[WeekIndex],59)&amp;" ("&amp;TEXT(SUMPRODUCT(MAX((T_PlannedOrders[Part Name]=$A821)*(T_PlannedOrders[WeekIndex]=59)*(T_PlannedOrders[EffectiveQty]&gt;0)*T_PlannedOrders[Order_Month])),"m月")&amp;"発注)")</f>
        <v/>
      </c>
      <c r="BK827">
        <f>IF(SUMIFS(T_PlannedOrders[EffectiveQty],T_PlannedOrders[Part Name],$A821,T_PlannedOrders[WeekIndex],60)=0,"",SUMIFS(T_PlannedOrders[EffectiveQty],T_PlannedOrders[Part Name],$A821,T_PlannedOrders[WeekIndex],60)&amp;" ("&amp;TEXT(SUMPRODUCT(MAX((T_PlannedOrders[Part Name]=$A821)*(T_PlannedOrders[WeekIndex]=60)*(T_PlannedOrders[EffectiveQty]&gt;0)*T_PlannedOrders[Order_Month])),"m月")&amp;"発注)")</f>
        <v/>
      </c>
      <c r="BL827">
        <f>IF(SUMIFS(T_PlannedOrders[EffectiveQty],T_PlannedOrders[Part Name],$A821,T_PlannedOrders[WeekIndex],61)=0,"",SUMIFS(T_PlannedOrders[EffectiveQty],T_PlannedOrders[Part Name],$A821,T_PlannedOrders[WeekIndex],61)&amp;" ("&amp;TEXT(SUMPRODUCT(MAX((T_PlannedOrders[Part Name]=$A821)*(T_PlannedOrders[WeekIndex]=61)*(T_PlannedOrders[EffectiveQty]&gt;0)*T_PlannedOrders[Order_Month])),"m月")&amp;"発注)")</f>
        <v/>
      </c>
      <c r="BM827">
        <f>IF(SUMIFS(T_PlannedOrders[EffectiveQty],T_PlannedOrders[Part Name],$A821,T_PlannedOrders[WeekIndex],62)=0,"",SUMIFS(T_PlannedOrders[EffectiveQty],T_PlannedOrders[Part Name],$A821,T_PlannedOrders[WeekIndex],62)&amp;" ("&amp;TEXT(SUMPRODUCT(MAX((T_PlannedOrders[Part Name]=$A821)*(T_PlannedOrders[WeekIndex]=62)*(T_PlannedOrders[EffectiveQty]&gt;0)*T_PlannedOrders[Order_Month])),"m月")&amp;"発注)")</f>
        <v/>
      </c>
      <c r="BN827">
        <f>IF(SUMIFS(T_PlannedOrders[EffectiveQty],T_PlannedOrders[Part Name],$A821,T_PlannedOrders[WeekIndex],63)=0,"",SUMIFS(T_PlannedOrders[EffectiveQty],T_PlannedOrders[Part Name],$A821,T_PlannedOrders[WeekIndex],63)&amp;" ("&amp;TEXT(SUMPRODUCT(MAX((T_PlannedOrders[Part Name]=$A821)*(T_PlannedOrders[WeekIndex]=63)*(T_PlannedOrders[EffectiveQty]&gt;0)*T_PlannedOrders[Order_Month])),"m月")&amp;"発注)")</f>
        <v/>
      </c>
      <c r="BO827">
        <f>IF(SUMIFS(T_PlannedOrders[EffectiveQty],T_PlannedOrders[Part Name],$A821,T_PlannedOrders[WeekIndex],64)=0,"",SUMIFS(T_PlannedOrders[EffectiveQty],T_PlannedOrders[Part Name],$A821,T_PlannedOrders[WeekIndex],64)&amp;" ("&amp;TEXT(SUMPRODUCT(MAX((T_PlannedOrders[Part Name]=$A821)*(T_PlannedOrders[WeekIndex]=64)*(T_PlannedOrders[EffectiveQty]&gt;0)*T_PlannedOrders[Order_Month])),"m月")&amp;"発注)")</f>
        <v/>
      </c>
      <c r="BP827">
        <f>IF(SUMIFS(T_PlannedOrders[EffectiveQty],T_PlannedOrders[Part Name],$A821,T_PlannedOrders[WeekIndex],65)=0,"",SUMIFS(T_PlannedOrders[EffectiveQty],T_PlannedOrders[Part Name],$A821,T_PlannedOrders[WeekIndex],65)&amp;" ("&amp;TEXT(SUMPRODUCT(MAX((T_PlannedOrders[Part Name]=$A821)*(T_PlannedOrders[WeekIndex]=65)*(T_PlannedOrders[EffectiveQty]&gt;0)*T_PlannedOrders[Order_Month])),"m月")&amp;"発注)")</f>
        <v/>
      </c>
      <c r="BQ827">
        <f>IF(SUMIFS(T_PlannedOrders[EffectiveQty],T_PlannedOrders[Part Name],$A821,T_PlannedOrders[WeekIndex],66)=0,"",SUMIFS(T_PlannedOrders[EffectiveQty],T_PlannedOrders[Part Name],$A821,T_PlannedOrders[WeekIndex],66)&amp;" ("&amp;TEXT(SUMPRODUCT(MAX((T_PlannedOrders[Part Name]=$A821)*(T_PlannedOrders[WeekIndex]=66)*(T_PlannedOrders[EffectiveQty]&gt;0)*T_PlannedOrders[Order_Month])),"m月")&amp;"発注)")</f>
        <v/>
      </c>
      <c r="BR827">
        <f>IF(SUMIFS(T_PlannedOrders[EffectiveQty],T_PlannedOrders[Part Name],$A821,T_PlannedOrders[WeekIndex],67)=0,"",SUMIFS(T_PlannedOrders[EffectiveQty],T_PlannedOrders[Part Name],$A821,T_PlannedOrders[WeekIndex],67)&amp;" ("&amp;TEXT(SUMPRODUCT(MAX((T_PlannedOrders[Part Name]=$A821)*(T_PlannedOrders[WeekIndex]=67)*(T_PlannedOrders[EffectiveQty]&gt;0)*T_PlannedOrders[Order_Month])),"m月")&amp;"発注)")</f>
        <v/>
      </c>
      <c r="BS827">
        <f>IF(SUMIFS(T_PlannedOrders[EffectiveQty],T_PlannedOrders[Part Name],$A821,T_PlannedOrders[WeekIndex],68)=0,"",SUMIFS(T_PlannedOrders[EffectiveQty],T_PlannedOrders[Part Name],$A821,T_PlannedOrders[WeekIndex],68)&amp;" ("&amp;TEXT(SUMPRODUCT(MAX((T_PlannedOrders[Part Name]=$A821)*(T_PlannedOrders[WeekIndex]=68)*(T_PlannedOrders[EffectiveQty]&gt;0)*T_PlannedOrders[Order_Month])),"m月")&amp;"発注)")</f>
        <v/>
      </c>
      <c r="BT827">
        <f>IF(SUMIFS(T_PlannedOrders[EffectiveQty],T_PlannedOrders[Part Name],$A821,T_PlannedOrders[WeekIndex],69)=0,"",SUMIFS(T_PlannedOrders[EffectiveQty],T_PlannedOrders[Part Name],$A821,T_PlannedOrders[WeekIndex],69)&amp;" ("&amp;TEXT(SUMPRODUCT(MAX((T_PlannedOrders[Part Name]=$A821)*(T_PlannedOrders[WeekIndex]=69)*(T_PlannedOrders[EffectiveQty]&gt;0)*T_PlannedOrders[Order_Month])),"m月")&amp;"発注)")</f>
        <v/>
      </c>
      <c r="BU827">
        <f>IF(SUMIFS(T_PlannedOrders[EffectiveQty],T_PlannedOrders[Part Name],$A821,T_PlannedOrders[WeekIndex],70)=0,"",SUMIFS(T_PlannedOrders[EffectiveQty],T_PlannedOrders[Part Name],$A821,T_PlannedOrders[WeekIndex],70)&amp;" ("&amp;TEXT(SUMPRODUCT(MAX((T_PlannedOrders[Part Name]=$A821)*(T_PlannedOrders[WeekIndex]=70)*(T_PlannedOrders[EffectiveQty]&gt;0)*T_PlannedOrders[Order_Month])),"m月")&amp;"発注)")</f>
        <v/>
      </c>
      <c r="BV827">
        <f>IF(SUMIFS(T_PlannedOrders[EffectiveQty],T_PlannedOrders[Part Name],$A821,T_PlannedOrders[WeekIndex],71)=0,"",SUMIFS(T_PlannedOrders[EffectiveQty],T_PlannedOrders[Part Name],$A821,T_PlannedOrders[WeekIndex],71)&amp;" ("&amp;TEXT(SUMPRODUCT(MAX((T_PlannedOrders[Part Name]=$A821)*(T_PlannedOrders[WeekIndex]=71)*(T_PlannedOrders[EffectiveQty]&gt;0)*T_PlannedOrders[Order_Month])),"m月")&amp;"発注)")</f>
        <v/>
      </c>
      <c r="BW827">
        <f>IF(SUMIFS(T_PlannedOrders[EffectiveQty],T_PlannedOrders[Part Name],$A821,T_PlannedOrders[WeekIndex],72)=0,"",SUMIFS(T_PlannedOrders[EffectiveQty],T_PlannedOrders[Part Name],$A821,T_PlannedOrders[WeekIndex],72)&amp;" ("&amp;TEXT(SUMPRODUCT(MAX((T_PlannedOrders[Part Name]=$A821)*(T_PlannedOrders[WeekIndex]=72)*(T_PlannedOrders[EffectiveQty]&gt;0)*T_PlannedOrders[Order_Month])),"m月")&amp;"発注)")</f>
        <v/>
      </c>
      <c r="BX827">
        <f>IF(SUMIFS(T_PlannedOrders[EffectiveQty],T_PlannedOrders[Part Name],$A821,T_PlannedOrders[WeekIndex],73)=0,"",SUMIFS(T_PlannedOrders[EffectiveQty],T_PlannedOrders[Part Name],$A821,T_PlannedOrders[WeekIndex],73)&amp;" ("&amp;TEXT(SUMPRODUCT(MAX((T_PlannedOrders[Part Name]=$A821)*(T_PlannedOrders[WeekIndex]=73)*(T_PlannedOrders[EffectiveQty]&gt;0)*T_PlannedOrders[Order_Month])),"m月")&amp;"発注)")</f>
        <v/>
      </c>
      <c r="BY827">
        <f>IF(SUMIFS(T_PlannedOrders[EffectiveQty],T_PlannedOrders[Part Name],$A821,T_PlannedOrders[WeekIndex],74)=0,"",SUMIFS(T_PlannedOrders[EffectiveQty],T_PlannedOrders[Part Name],$A821,T_PlannedOrders[WeekIndex],74)&amp;" ("&amp;TEXT(SUMPRODUCT(MAX((T_PlannedOrders[Part Name]=$A821)*(T_PlannedOrders[WeekIndex]=74)*(T_PlannedOrders[EffectiveQty]&gt;0)*T_PlannedOrders[Order_Month])),"m月")&amp;"発注)")</f>
        <v/>
      </c>
      <c r="BZ827">
        <f>IF(SUMIFS(T_PlannedOrders[EffectiveQty],T_PlannedOrders[Part Name],$A821,T_PlannedOrders[WeekIndex],75)=0,"",SUMIFS(T_PlannedOrders[EffectiveQty],T_PlannedOrders[Part Name],$A821,T_PlannedOrders[WeekIndex],75)&amp;" ("&amp;TEXT(SUMPRODUCT(MAX((T_PlannedOrders[Part Name]=$A821)*(T_PlannedOrders[WeekIndex]=75)*(T_PlannedOrders[EffectiveQty]&gt;0)*T_PlannedOrders[Order_Month])),"m月")&amp;"発注)")</f>
        <v/>
      </c>
      <c r="CA827">
        <f>IF(SUMIFS(T_PlannedOrders[EffectiveQty],T_PlannedOrders[Part Name],$A821,T_PlannedOrders[WeekIndex],76)=0,"",SUMIFS(T_PlannedOrders[EffectiveQty],T_PlannedOrders[Part Name],$A821,T_PlannedOrders[WeekIndex],76)&amp;" ("&amp;TEXT(SUMPRODUCT(MAX((T_PlannedOrders[Part Name]=$A821)*(T_PlannedOrders[WeekIndex]=76)*(T_PlannedOrders[EffectiveQty]&gt;0)*T_PlannedOrders[Order_Month])),"m月")&amp;"発注)")</f>
        <v/>
      </c>
      <c r="CB827">
        <f>IF(SUMIFS(T_PlannedOrders[EffectiveQty],T_PlannedOrders[Part Name],$A821,T_PlannedOrders[WeekIndex],77)=0,"",SUMIFS(T_PlannedOrders[EffectiveQty],T_PlannedOrders[Part Name],$A821,T_PlannedOrders[WeekIndex],77)&amp;" ("&amp;TEXT(SUMPRODUCT(MAX((T_PlannedOrders[Part Name]=$A821)*(T_PlannedOrders[WeekIndex]=77)*(T_PlannedOrders[EffectiveQty]&gt;0)*T_PlannedOrders[Order_Month])),"m月")&amp;"発注)")</f>
        <v/>
      </c>
      <c r="CC827">
        <f>IF(SUMIFS(T_PlannedOrders[EffectiveQty],T_PlannedOrders[Part Name],$A821,T_PlannedOrders[WeekIndex],78)=0,"",SUMIFS(T_PlannedOrders[EffectiveQty],T_PlannedOrders[Part Name],$A821,T_PlannedOrders[WeekIndex],78)&amp;" ("&amp;TEXT(SUMPRODUCT(MAX((T_PlannedOrders[Part Name]=$A821)*(T_PlannedOrders[WeekIndex]=78)*(T_PlannedOrders[EffectiveQty]&gt;0)*T_PlannedOrders[Order_Month])),"m月")&amp;"発注)")</f>
        <v/>
      </c>
      <c r="CD827">
        <f>IF(SUMIFS(T_PlannedOrders[EffectiveQty],T_PlannedOrders[Part Name],$A821,T_PlannedOrders[WeekIndex],79)=0,"",SUMIFS(T_PlannedOrders[EffectiveQty],T_PlannedOrders[Part Name],$A821,T_PlannedOrders[WeekIndex],79)&amp;" ("&amp;TEXT(SUMPRODUCT(MAX((T_PlannedOrders[Part Name]=$A821)*(T_PlannedOrders[WeekIndex]=79)*(T_PlannedOrders[EffectiveQty]&gt;0)*T_PlannedOrders[Order_Month])),"m月")&amp;"発注)")</f>
        <v/>
      </c>
      <c r="CE827">
        <f>IF(SUMIFS(T_PlannedOrders[EffectiveQty],T_PlannedOrders[Part Name],$A821,T_PlannedOrders[WeekIndex],80)=0,"",SUMIFS(T_PlannedOrders[EffectiveQty],T_PlannedOrders[Part Name],$A821,T_PlannedOrders[WeekIndex],80)&amp;" ("&amp;TEXT(SUMPRODUCT(MAX((T_PlannedOrders[Part Name]=$A821)*(T_PlannedOrders[WeekIndex]=80)*(T_PlannedOrders[EffectiveQty]&gt;0)*T_PlannedOrders[Order_Month])),"m月")&amp;"発注)")</f>
        <v/>
      </c>
      <c r="CF827">
        <f>IF(SUMIFS(T_PlannedOrders[EffectiveQty],T_PlannedOrders[Part Name],$A821,T_PlannedOrders[WeekIndex],81)=0,"",SUMIFS(T_PlannedOrders[EffectiveQty],T_PlannedOrders[Part Name],$A821,T_PlannedOrders[WeekIndex],81)&amp;" ("&amp;TEXT(SUMPRODUCT(MAX((T_PlannedOrders[Part Name]=$A821)*(T_PlannedOrders[WeekIndex]=81)*(T_PlannedOrders[EffectiveQty]&gt;0)*T_PlannedOrders[Order_Month])),"m月")&amp;"発注)")</f>
        <v/>
      </c>
      <c r="CG827">
        <f>IF(SUMIFS(T_PlannedOrders[EffectiveQty],T_PlannedOrders[Part Name],$A821,T_PlannedOrders[WeekIndex],82)=0,"",SUMIFS(T_PlannedOrders[EffectiveQty],T_PlannedOrders[Part Name],$A821,T_PlannedOrders[WeekIndex],82)&amp;" ("&amp;TEXT(SUMPRODUCT(MAX((T_PlannedOrders[Part Name]=$A821)*(T_PlannedOrders[WeekIndex]=82)*(T_PlannedOrders[EffectiveQty]&gt;0)*T_PlannedOrders[Order_Month])),"m月")&amp;"発注)")</f>
        <v/>
      </c>
      <c r="CH827">
        <f>IF(SUMIFS(T_PlannedOrders[EffectiveQty],T_PlannedOrders[Part Name],$A821,T_PlannedOrders[WeekIndex],83)=0,"",SUMIFS(T_PlannedOrders[EffectiveQty],T_PlannedOrders[Part Name],$A821,T_PlannedOrders[WeekIndex],83)&amp;" ("&amp;TEXT(SUMPRODUCT(MAX((T_PlannedOrders[Part Name]=$A821)*(T_PlannedOrders[WeekIndex]=83)*(T_PlannedOrders[EffectiveQty]&gt;0)*T_PlannedOrders[Order_Month])),"m月")&amp;"発注)")</f>
        <v/>
      </c>
      <c r="CI827">
        <f>IF(SUMIFS(T_PlannedOrders[EffectiveQty],T_PlannedOrders[Part Name],$A821,T_PlannedOrders[WeekIndex],84)=0,"",SUMIFS(T_PlannedOrders[EffectiveQty],T_PlannedOrders[Part Name],$A821,T_PlannedOrders[WeekIndex],84)&amp;" ("&amp;TEXT(SUMPRODUCT(MAX((T_PlannedOrders[Part Name]=$A821)*(T_PlannedOrders[WeekIndex]=84)*(T_PlannedOrders[EffectiveQty]&gt;0)*T_PlannedOrders[Order_Month])),"m月")&amp;"発注)")</f>
        <v/>
      </c>
      <c r="CJ827">
        <f>IF(SUMIFS(T_PlannedOrders[EffectiveQty],T_PlannedOrders[Part Name],$A821,T_PlannedOrders[WeekIndex],85)=0,"",SUMIFS(T_PlannedOrders[EffectiveQty],T_PlannedOrders[Part Name],$A821,T_PlannedOrders[WeekIndex],85)&amp;" ("&amp;TEXT(SUMPRODUCT(MAX((T_PlannedOrders[Part Name]=$A821)*(T_PlannedOrders[WeekIndex]=85)*(T_PlannedOrders[EffectiveQty]&gt;0)*T_PlannedOrders[Order_Month])),"m月")&amp;"発注)")</f>
        <v/>
      </c>
      <c r="CK827">
        <f>IF(SUMIFS(T_PlannedOrders[EffectiveQty],T_PlannedOrders[Part Name],$A821,T_PlannedOrders[WeekIndex],86)=0,"",SUMIFS(T_PlannedOrders[EffectiveQty],T_PlannedOrders[Part Name],$A821,T_PlannedOrders[WeekIndex],86)&amp;" ("&amp;TEXT(SUMPRODUCT(MAX((T_PlannedOrders[Part Name]=$A821)*(T_PlannedOrders[WeekIndex]=86)*(T_PlannedOrders[EffectiveQty]&gt;0)*T_PlannedOrders[Order_Month])),"m月")&amp;"発注)")</f>
        <v/>
      </c>
      <c r="CL827">
        <f>IF(SUMIFS(T_PlannedOrders[EffectiveQty],T_PlannedOrders[Part Name],$A821,T_PlannedOrders[WeekIndex],87)=0,"",SUMIFS(T_PlannedOrders[EffectiveQty],T_PlannedOrders[Part Name],$A821,T_PlannedOrders[WeekIndex],87)&amp;" ("&amp;TEXT(SUMPRODUCT(MAX((T_PlannedOrders[Part Name]=$A821)*(T_PlannedOrders[WeekIndex]=87)*(T_PlannedOrders[EffectiveQty]&gt;0)*T_PlannedOrders[Order_Month])),"m月")&amp;"発注)")</f>
        <v/>
      </c>
      <c r="CM827">
        <f>IF(SUMIFS(T_PlannedOrders[EffectiveQty],T_PlannedOrders[Part Name],$A821,T_PlannedOrders[WeekIndex],88)=0,"",SUMIFS(T_PlannedOrders[EffectiveQty],T_PlannedOrders[Part Name],$A821,T_PlannedOrders[WeekIndex],88)&amp;" ("&amp;TEXT(SUMPRODUCT(MAX((T_PlannedOrders[Part Name]=$A821)*(T_PlannedOrders[WeekIndex]=88)*(T_PlannedOrders[EffectiveQty]&gt;0)*T_PlannedOrders[Order_Month])),"m月")&amp;"発注)")</f>
        <v/>
      </c>
      <c r="CN827">
        <f>IF(SUMIFS(T_PlannedOrders[EffectiveQty],T_PlannedOrders[Part Name],$A821,T_PlannedOrders[WeekIndex],89)=0,"",SUMIFS(T_PlannedOrders[EffectiveQty],T_PlannedOrders[Part Name],$A821,T_PlannedOrders[WeekIndex],89)&amp;" ("&amp;TEXT(SUMPRODUCT(MAX((T_PlannedOrders[Part Name]=$A821)*(T_PlannedOrders[WeekIndex]=89)*(T_PlannedOrders[EffectiveQty]&gt;0)*T_PlannedOrders[Order_Month])),"m月")&amp;"発注)")</f>
        <v/>
      </c>
      <c r="CO827">
        <f>IF(SUMIFS(T_PlannedOrders[EffectiveQty],T_PlannedOrders[Part Name],$A821,T_PlannedOrders[WeekIndex],90)=0,"",SUMIFS(T_PlannedOrders[EffectiveQty],T_PlannedOrders[Part Name],$A821,T_PlannedOrders[WeekIndex],90)&amp;" ("&amp;TEXT(SUMPRODUCT(MAX((T_PlannedOrders[Part Name]=$A821)*(T_PlannedOrders[WeekIndex]=90)*(T_PlannedOrders[EffectiveQty]&gt;0)*T_PlannedOrders[Order_Month])),"m月")&amp;"発注)")</f>
        <v/>
      </c>
      <c r="CP827">
        <f>IF(SUMIFS(T_PlannedOrders[EffectiveQty],T_PlannedOrders[Part Name],$A821,T_PlannedOrders[WeekIndex],91)=0,"",SUMIFS(T_PlannedOrders[EffectiveQty],T_PlannedOrders[Part Name],$A821,T_PlannedOrders[WeekIndex],91)&amp;" ("&amp;TEXT(SUMPRODUCT(MAX((T_PlannedOrders[Part Name]=$A821)*(T_PlannedOrders[WeekIndex]=91)*(T_PlannedOrders[EffectiveQty]&gt;0)*T_PlannedOrders[Order_Month])),"m月")&amp;"発注)")</f>
        <v/>
      </c>
      <c r="CQ827">
        <f>IF(SUMIFS(T_PlannedOrders[EffectiveQty],T_PlannedOrders[Part Name],$A821,T_PlannedOrders[WeekIndex],92)=0,"",SUMIFS(T_PlannedOrders[EffectiveQty],T_PlannedOrders[Part Name],$A821,T_PlannedOrders[WeekIndex],92)&amp;" ("&amp;TEXT(SUMPRODUCT(MAX((T_PlannedOrders[Part Name]=$A821)*(T_PlannedOrders[WeekIndex]=92)*(T_PlannedOrders[EffectiveQty]&gt;0)*T_PlannedOrders[Order_Month])),"m月")&amp;"発注)")</f>
        <v/>
      </c>
      <c r="CR827">
        <f>IF(SUMIFS(T_PlannedOrders[EffectiveQty],T_PlannedOrders[Part Name],$A821,T_PlannedOrders[WeekIndex],93)=0,"",SUMIFS(T_PlannedOrders[EffectiveQty],T_PlannedOrders[Part Name],$A821,T_PlannedOrders[WeekIndex],93)&amp;" ("&amp;TEXT(SUMPRODUCT(MAX((T_PlannedOrders[Part Name]=$A821)*(T_PlannedOrders[WeekIndex]=93)*(T_PlannedOrders[EffectiveQty]&gt;0)*T_PlannedOrders[Order_Month])),"m月")&amp;"発注)")</f>
        <v/>
      </c>
      <c r="CS827">
        <f>IF(SUMIFS(T_PlannedOrders[EffectiveQty],T_PlannedOrders[Part Name],$A821,T_PlannedOrders[WeekIndex],94)=0,"",SUMIFS(T_PlannedOrders[EffectiveQty],T_PlannedOrders[Part Name],$A821,T_PlannedOrders[WeekIndex],94)&amp;" ("&amp;TEXT(SUMPRODUCT(MAX((T_PlannedOrders[Part Name]=$A821)*(T_PlannedOrders[WeekIndex]=94)*(T_PlannedOrders[EffectiveQty]&gt;0)*T_PlannedOrders[Order_Month])),"m月")&amp;"発注)")</f>
        <v/>
      </c>
      <c r="CT827">
        <f>IF(SUMIFS(T_PlannedOrders[EffectiveQty],T_PlannedOrders[Part Name],$A821,T_PlannedOrders[WeekIndex],95)=0,"",SUMIFS(T_PlannedOrders[EffectiveQty],T_PlannedOrders[Part Name],$A821,T_PlannedOrders[WeekIndex],95)&amp;" ("&amp;TEXT(SUMPRODUCT(MAX((T_PlannedOrders[Part Name]=$A821)*(T_PlannedOrders[WeekIndex]=95)*(T_PlannedOrders[EffectiveQty]&gt;0)*T_PlannedOrders[Order_Month])),"m月")&amp;"発注)")</f>
        <v/>
      </c>
      <c r="CU827">
        <f>IF(SUMIFS(T_PlannedOrders[EffectiveQty],T_PlannedOrders[Part Name],$A821,T_PlannedOrders[WeekIndex],96)=0,"",SUMIFS(T_PlannedOrders[EffectiveQty],T_PlannedOrders[Part Name],$A821,T_PlannedOrders[WeekIndex],96)&amp;" ("&amp;TEXT(SUMPRODUCT(MAX((T_PlannedOrders[Part Name]=$A821)*(T_PlannedOrders[WeekIndex]=96)*(T_PlannedOrders[EffectiveQty]&gt;0)*T_PlannedOrders[Order_Month])),"m月")&amp;"発注)")</f>
        <v/>
      </c>
      <c r="CV827">
        <f>IF(SUMIFS(T_PlannedOrders[EffectiveQty],T_PlannedOrders[Part Name],$A821,T_PlannedOrders[WeekIndex],97)=0,"",SUMIFS(T_PlannedOrders[EffectiveQty],T_PlannedOrders[Part Name],$A821,T_PlannedOrders[WeekIndex],97)&amp;" ("&amp;TEXT(SUMPRODUCT(MAX((T_PlannedOrders[Part Name]=$A821)*(T_PlannedOrders[WeekIndex]=97)*(T_PlannedOrders[EffectiveQty]&gt;0)*T_PlannedOrders[Order_Month])),"m月")&amp;"発注)")</f>
        <v/>
      </c>
      <c r="CW827">
        <f>IF(SUMIFS(T_PlannedOrders[EffectiveQty],T_PlannedOrders[Part Name],$A821,T_PlannedOrders[WeekIndex],98)=0,"",SUMIFS(T_PlannedOrders[EffectiveQty],T_PlannedOrders[Part Name],$A821,T_PlannedOrders[WeekIndex],98)&amp;" ("&amp;TEXT(SUMPRODUCT(MAX((T_PlannedOrders[Part Name]=$A821)*(T_PlannedOrders[WeekIndex]=98)*(T_PlannedOrders[EffectiveQty]&gt;0)*T_PlannedOrders[Order_Month])),"m月")&amp;"発注)")</f>
        <v/>
      </c>
      <c r="CX827">
        <f>IF(SUMIFS(T_PlannedOrders[EffectiveQty],T_PlannedOrders[Part Name],$A821,T_PlannedOrders[WeekIndex],99)=0,"",SUMIFS(T_PlannedOrders[EffectiveQty],T_PlannedOrders[Part Name],$A821,T_PlannedOrders[WeekIndex],99)&amp;" ("&amp;TEXT(SUMPRODUCT(MAX((T_PlannedOrders[Part Name]=$A821)*(T_PlannedOrders[WeekIndex]=99)*(T_PlannedOrders[EffectiveQty]&gt;0)*T_PlannedOrders[Order_Month])),"m月")&amp;"発注)")</f>
        <v/>
      </c>
      <c r="CY827">
        <f>IF(SUMIFS(T_PlannedOrders[EffectiveQty],T_PlannedOrders[Part Name],$A821,T_PlannedOrders[WeekIndex],100)=0,"",SUMIFS(T_PlannedOrders[EffectiveQty],T_PlannedOrders[Part Name],$A821,T_PlannedOrders[WeekIndex],100)&amp;" ("&amp;TEXT(SUMPRODUCT(MAX((T_PlannedOrders[Part Name]=$A821)*(T_PlannedOrders[WeekIndex]=100)*(T_PlannedOrders[EffectiveQty]&gt;0)*T_PlannedOrders[Order_Month])),"m月")&amp;"発注)")</f>
        <v/>
      </c>
      <c r="CZ827">
        <f>IF(SUMIFS(T_PlannedOrders[EffectiveQty],T_PlannedOrders[Part Name],$A821,T_PlannedOrders[WeekIndex],101)=0,"",SUMIFS(T_PlannedOrders[EffectiveQty],T_PlannedOrders[Part Name],$A821,T_PlannedOrders[WeekIndex],101)&amp;" ("&amp;TEXT(SUMPRODUCT(MAX((T_PlannedOrders[Part Name]=$A821)*(T_PlannedOrders[WeekIndex]=101)*(T_PlannedOrders[EffectiveQty]&gt;0)*T_PlannedOrders[Order_Month])),"m月")&amp;"発注)")</f>
        <v/>
      </c>
      <c r="DA827">
        <f>IF(SUMIFS(T_PlannedOrders[EffectiveQty],T_PlannedOrders[Part Name],$A821,T_PlannedOrders[WeekIndex],102)=0,"",SUMIFS(T_PlannedOrders[EffectiveQty],T_PlannedOrders[Part Name],$A821,T_PlannedOrders[WeekIndex],102)&amp;" ("&amp;TEXT(SUMPRODUCT(MAX((T_PlannedOrders[Part Name]=$A821)*(T_PlannedOrders[WeekIndex]=102)*(T_PlannedOrders[EffectiveQty]&gt;0)*T_PlannedOrders[Order_Month])),"m月")&amp;"発注)")</f>
        <v/>
      </c>
      <c r="DB827">
        <f>IF(SUMIFS(T_PlannedOrders[EffectiveQty],T_PlannedOrders[Part Name],$A821,T_PlannedOrders[WeekIndex],103)=0,"",SUMIFS(T_PlannedOrders[EffectiveQty],T_PlannedOrders[Part Name],$A821,T_PlannedOrders[WeekIndex],103)&amp;" ("&amp;TEXT(SUMPRODUCT(MAX((T_PlannedOrders[Part Name]=$A821)*(T_PlannedOrders[WeekIndex]=103)*(T_PlannedOrders[EffectiveQty]&gt;0)*T_PlannedOrders[Order_Month])),"m月")&amp;"発注)")</f>
        <v/>
      </c>
      <c r="DC827">
        <f>IF(SUMIFS(T_PlannedOrders[EffectiveQty],T_PlannedOrders[Part Name],$A821,T_PlannedOrders[WeekIndex],104)=0,"",SUMIFS(T_PlannedOrders[EffectiveQty],T_PlannedOrders[Part Name],$A821,T_PlannedOrders[WeekIndex],104)&amp;" ("&amp;TEXT(SUMPRODUCT(MAX((T_PlannedOrders[Part Name]=$A821)*(T_PlannedOrders[WeekIndex]=104)*(T_PlannedOrders[EffectiveQty]&gt;0)*T_PlannedOrders[Order_Month])),"m月")&amp;"発注)")</f>
        <v/>
      </c>
    </row>
    <row r="828">
      <c r="B828" s="5" t="inlineStr">
        <is>
          <t>合計在庫(週末時点,kg)</t>
        </is>
      </c>
      <c r="D828">
        <f>'Grid_Stock'!B38</f>
        <v/>
      </c>
      <c r="E828">
        <f>'Grid_Stock'!C38</f>
        <v/>
      </c>
      <c r="F828">
        <f>'Grid_Stock'!D38</f>
        <v/>
      </c>
      <c r="G828">
        <f>'Grid_Stock'!E38</f>
        <v/>
      </c>
      <c r="H828">
        <f>'Grid_Stock'!F38</f>
        <v/>
      </c>
      <c r="I828">
        <f>'Grid_Stock'!G38</f>
        <v/>
      </c>
      <c r="J828">
        <f>'Grid_Stock'!H38</f>
        <v/>
      </c>
      <c r="K828">
        <f>'Grid_Stock'!I38</f>
        <v/>
      </c>
      <c r="L828">
        <f>'Grid_Stock'!J38</f>
        <v/>
      </c>
      <c r="M828">
        <f>'Grid_Stock'!K38</f>
        <v/>
      </c>
      <c r="N828">
        <f>'Grid_Stock'!L38</f>
        <v/>
      </c>
      <c r="O828">
        <f>'Grid_Stock'!M38</f>
        <v/>
      </c>
      <c r="P828">
        <f>'Grid_Stock'!N38</f>
        <v/>
      </c>
      <c r="Q828">
        <f>'Grid_Stock'!O38</f>
        <v/>
      </c>
      <c r="R828">
        <f>'Grid_Stock'!P38</f>
        <v/>
      </c>
      <c r="S828">
        <f>'Grid_Stock'!Q38</f>
        <v/>
      </c>
      <c r="T828">
        <f>'Grid_Stock'!R38</f>
        <v/>
      </c>
      <c r="U828">
        <f>'Grid_Stock'!S38</f>
        <v/>
      </c>
      <c r="V828">
        <f>'Grid_Stock'!T38</f>
        <v/>
      </c>
      <c r="W828">
        <f>'Grid_Stock'!U38</f>
        <v/>
      </c>
      <c r="X828">
        <f>'Grid_Stock'!V38</f>
        <v/>
      </c>
      <c r="Y828">
        <f>'Grid_Stock'!W38</f>
        <v/>
      </c>
      <c r="Z828">
        <f>'Grid_Stock'!X38</f>
        <v/>
      </c>
      <c r="AA828">
        <f>'Grid_Stock'!Y38</f>
        <v/>
      </c>
      <c r="AB828">
        <f>'Grid_Stock'!Z38</f>
        <v/>
      </c>
      <c r="AC828">
        <f>'Grid_Stock'!AA38</f>
        <v/>
      </c>
      <c r="AD828">
        <f>'Grid_Stock'!AB38</f>
        <v/>
      </c>
      <c r="AE828">
        <f>'Grid_Stock'!AC38</f>
        <v/>
      </c>
      <c r="AF828">
        <f>'Grid_Stock'!AD38</f>
        <v/>
      </c>
      <c r="AG828">
        <f>'Grid_Stock'!AE38</f>
        <v/>
      </c>
      <c r="AH828">
        <f>'Grid_Stock'!AF38</f>
        <v/>
      </c>
      <c r="AI828">
        <f>'Grid_Stock'!AG38</f>
        <v/>
      </c>
      <c r="AJ828">
        <f>'Grid_Stock'!AH38</f>
        <v/>
      </c>
      <c r="AK828">
        <f>'Grid_Stock'!AI38</f>
        <v/>
      </c>
      <c r="AL828">
        <f>'Grid_Stock'!AJ38</f>
        <v/>
      </c>
      <c r="AM828">
        <f>'Grid_Stock'!AK38</f>
        <v/>
      </c>
      <c r="AN828">
        <f>'Grid_Stock'!AL38</f>
        <v/>
      </c>
      <c r="AO828">
        <f>'Grid_Stock'!AM38</f>
        <v/>
      </c>
      <c r="AP828">
        <f>'Grid_Stock'!AN38</f>
        <v/>
      </c>
      <c r="AQ828">
        <f>'Grid_Stock'!AO38</f>
        <v/>
      </c>
      <c r="AR828">
        <f>'Grid_Stock'!AP38</f>
        <v/>
      </c>
      <c r="AS828">
        <f>'Grid_Stock'!AQ38</f>
        <v/>
      </c>
      <c r="AT828">
        <f>'Grid_Stock'!AR38</f>
        <v/>
      </c>
      <c r="AU828">
        <f>'Grid_Stock'!AS38</f>
        <v/>
      </c>
      <c r="AV828">
        <f>'Grid_Stock'!AT38</f>
        <v/>
      </c>
      <c r="AW828">
        <f>'Grid_Stock'!AU38</f>
        <v/>
      </c>
      <c r="AX828">
        <f>'Grid_Stock'!AV38</f>
        <v/>
      </c>
      <c r="AY828">
        <f>'Grid_Stock'!AW38</f>
        <v/>
      </c>
      <c r="AZ828">
        <f>'Grid_Stock'!AX38</f>
        <v/>
      </c>
      <c r="BA828">
        <f>'Grid_Stock'!AY38</f>
        <v/>
      </c>
      <c r="BB828">
        <f>'Grid_Stock'!AZ38</f>
        <v/>
      </c>
      <c r="BC828">
        <f>'Grid_Stock'!BA38</f>
        <v/>
      </c>
      <c r="BD828">
        <f>'Grid_Stock'!BB38</f>
        <v/>
      </c>
      <c r="BE828">
        <f>'Grid_Stock'!BC38</f>
        <v/>
      </c>
      <c r="BF828">
        <f>'Grid_Stock'!BD38</f>
        <v/>
      </c>
      <c r="BG828">
        <f>'Grid_Stock'!BE38</f>
        <v/>
      </c>
      <c r="BH828">
        <f>'Grid_Stock'!BF38</f>
        <v/>
      </c>
      <c r="BI828">
        <f>'Grid_Stock'!BG38</f>
        <v/>
      </c>
      <c r="BJ828">
        <f>'Grid_Stock'!BH38</f>
        <v/>
      </c>
      <c r="BK828">
        <f>'Grid_Stock'!BI38</f>
        <v/>
      </c>
      <c r="BL828">
        <f>'Grid_Stock'!BJ38</f>
        <v/>
      </c>
      <c r="BM828">
        <f>'Grid_Stock'!BK38</f>
        <v/>
      </c>
      <c r="BN828">
        <f>'Grid_Stock'!BL38</f>
        <v/>
      </c>
      <c r="BO828">
        <f>'Grid_Stock'!BM38</f>
        <v/>
      </c>
      <c r="BP828">
        <f>'Grid_Stock'!BN38</f>
        <v/>
      </c>
      <c r="BQ828">
        <f>'Grid_Stock'!BO38</f>
        <v/>
      </c>
      <c r="BR828">
        <f>'Grid_Stock'!BP38</f>
        <v/>
      </c>
      <c r="BS828">
        <f>'Grid_Stock'!BQ38</f>
        <v/>
      </c>
      <c r="BT828">
        <f>'Grid_Stock'!BR38</f>
        <v/>
      </c>
      <c r="BU828">
        <f>'Grid_Stock'!BS38</f>
        <v/>
      </c>
      <c r="BV828">
        <f>'Grid_Stock'!BT38</f>
        <v/>
      </c>
      <c r="BW828">
        <f>'Grid_Stock'!BU38</f>
        <v/>
      </c>
      <c r="BX828">
        <f>'Grid_Stock'!BV38</f>
        <v/>
      </c>
      <c r="BY828">
        <f>'Grid_Stock'!BW38</f>
        <v/>
      </c>
      <c r="BZ828">
        <f>'Grid_Stock'!BX38</f>
        <v/>
      </c>
      <c r="CA828">
        <f>'Grid_Stock'!BY38</f>
        <v/>
      </c>
      <c r="CB828">
        <f>'Grid_Stock'!BZ38</f>
        <v/>
      </c>
      <c r="CC828">
        <f>'Grid_Stock'!CA38</f>
        <v/>
      </c>
      <c r="CD828">
        <f>'Grid_Stock'!CB38</f>
        <v/>
      </c>
      <c r="CE828">
        <f>'Grid_Stock'!CC38</f>
        <v/>
      </c>
      <c r="CF828">
        <f>'Grid_Stock'!CD38</f>
        <v/>
      </c>
      <c r="CG828">
        <f>'Grid_Stock'!CE38</f>
        <v/>
      </c>
      <c r="CH828">
        <f>'Grid_Stock'!CF38</f>
        <v/>
      </c>
      <c r="CI828">
        <f>'Grid_Stock'!CG38</f>
        <v/>
      </c>
      <c r="CJ828">
        <f>'Grid_Stock'!CH38</f>
        <v/>
      </c>
      <c r="CK828">
        <f>'Grid_Stock'!CI38</f>
        <v/>
      </c>
      <c r="CL828">
        <f>'Grid_Stock'!CJ38</f>
        <v/>
      </c>
      <c r="CM828">
        <f>'Grid_Stock'!CK38</f>
        <v/>
      </c>
      <c r="CN828">
        <f>'Grid_Stock'!CL38</f>
        <v/>
      </c>
      <c r="CO828">
        <f>'Grid_Stock'!CM38</f>
        <v/>
      </c>
      <c r="CP828">
        <f>'Grid_Stock'!CN38</f>
        <v/>
      </c>
      <c r="CQ828">
        <f>'Grid_Stock'!CO38</f>
        <v/>
      </c>
      <c r="CR828">
        <f>'Grid_Stock'!CP38</f>
        <v/>
      </c>
      <c r="CS828">
        <f>'Grid_Stock'!CQ38</f>
        <v/>
      </c>
      <c r="CT828">
        <f>'Grid_Stock'!CR38</f>
        <v/>
      </c>
      <c r="CU828">
        <f>'Grid_Stock'!CS38</f>
        <v/>
      </c>
      <c r="CV828">
        <f>'Grid_Stock'!CT38</f>
        <v/>
      </c>
      <c r="CW828">
        <f>'Grid_Stock'!CU38</f>
        <v/>
      </c>
      <c r="CX828">
        <f>'Grid_Stock'!CV38</f>
        <v/>
      </c>
      <c r="CY828">
        <f>'Grid_Stock'!CW38</f>
        <v/>
      </c>
      <c r="CZ828">
        <f>'Grid_Stock'!CX38</f>
        <v/>
      </c>
      <c r="DA828">
        <f>'Grid_Stock'!CY38</f>
        <v/>
      </c>
      <c r="DB828">
        <f>'Grid_Stock'!CZ38</f>
        <v/>
      </c>
      <c r="DC828">
        <f>'Grid_Stock'!DA38</f>
        <v/>
      </c>
    </row>
    <row r="829">
      <c r="B829" s="23" t="inlineStr">
        <is>
          <t>（発注の目安はDashboardの基準在庫[下限/上限]と色分けを参照）</t>
        </is>
      </c>
    </row>
    <row r="831">
      <c r="A831" s="21" t="inlineStr">
        <is>
          <t>CHEM-1540</t>
        </is>
      </c>
      <c r="B831" s="21" t="inlineStr">
        <is>
          <t>NAT 35</t>
        </is>
      </c>
      <c r="C831" s="22" t="n"/>
      <c r="D831" s="21" t="n"/>
      <c r="E831" s="21" t="n"/>
      <c r="F831" s="21" t="n"/>
      <c r="G831" s="21" t="n"/>
      <c r="H831" s="2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  <c r="AA831" s="21" t="n"/>
      <c r="AB831" s="21" t="n"/>
      <c r="AC831" s="21" t="n"/>
      <c r="AD831" s="21" t="n"/>
      <c r="AE831" s="21" t="n"/>
      <c r="AF831" s="21" t="n"/>
      <c r="AG831" s="21" t="n"/>
      <c r="AH831" s="21" t="n"/>
      <c r="AI831" s="21" t="n"/>
      <c r="AJ831" s="21" t="n"/>
      <c r="AK831" s="21" t="n"/>
      <c r="AL831" s="21" t="n"/>
      <c r="AM831" s="21" t="n"/>
      <c r="AN831" s="21" t="n"/>
      <c r="AO831" s="21" t="n"/>
      <c r="AP831" s="21" t="n"/>
      <c r="AQ831" s="21" t="n"/>
      <c r="AR831" s="21" t="n"/>
      <c r="AS831" s="21" t="n"/>
      <c r="AT831" s="21" t="n"/>
      <c r="AU831" s="21" t="n"/>
      <c r="AV831" s="21" t="n"/>
      <c r="AW831" s="21" t="n"/>
      <c r="AX831" s="21" t="n"/>
      <c r="AY831" s="21" t="n"/>
      <c r="AZ831" s="21" t="n"/>
      <c r="BA831" s="21" t="n"/>
      <c r="BB831" s="21" t="n"/>
      <c r="BC831" s="21" t="n"/>
      <c r="BD831" s="21" t="n"/>
      <c r="BE831" s="21" t="n"/>
      <c r="BF831" s="21" t="n"/>
      <c r="BG831" s="21" t="n"/>
      <c r="BH831" s="21" t="n"/>
      <c r="BI831" s="21" t="n"/>
      <c r="BJ831" s="21" t="n"/>
      <c r="BK831" s="21" t="n"/>
      <c r="BL831" s="21" t="n"/>
      <c r="BM831" s="21" t="n"/>
      <c r="BN831" s="21" t="n"/>
      <c r="BO831" s="21" t="n"/>
      <c r="BP831" s="21" t="n"/>
      <c r="BQ831" s="21" t="n"/>
      <c r="BR831" s="21" t="n"/>
      <c r="BS831" s="21" t="n"/>
      <c r="BT831" s="21" t="n"/>
      <c r="BU831" s="21" t="n"/>
      <c r="BV831" s="21" t="n"/>
      <c r="BW831" s="21" t="n"/>
      <c r="BX831" s="21" t="n"/>
      <c r="BY831" s="21" t="n"/>
      <c r="BZ831" s="21" t="n"/>
      <c r="CA831" s="21" t="n"/>
      <c r="CB831" s="21" t="n"/>
      <c r="CC831" s="21" t="n"/>
      <c r="CD831" s="21" t="n"/>
      <c r="CE831" s="21" t="n"/>
      <c r="CF831" s="21" t="n"/>
      <c r="CG831" s="21" t="n"/>
      <c r="CH831" s="21" t="n"/>
      <c r="CI831" s="21" t="n"/>
      <c r="CJ831" s="21" t="n"/>
      <c r="CK831" s="21" t="n"/>
      <c r="CL831" s="21" t="n"/>
      <c r="CM831" s="21" t="n"/>
      <c r="CN831" s="21" t="n"/>
      <c r="CO831" s="21" t="n"/>
      <c r="CP831" s="21" t="n"/>
      <c r="CQ831" s="21" t="n"/>
      <c r="CR831" s="21" t="n"/>
      <c r="CS831" s="21" t="n"/>
      <c r="CT831" s="21" t="n"/>
      <c r="CU831" s="21" t="n"/>
      <c r="CV831" s="21" t="n"/>
      <c r="CW831" s="21" t="n"/>
      <c r="CX831" s="21" t="n"/>
      <c r="CY831" s="21" t="n"/>
      <c r="CZ831" s="21" t="n"/>
      <c r="DA831" s="21" t="n"/>
      <c r="DB831" s="21" t="n"/>
      <c r="DC831" s="21" t="n"/>
    </row>
    <row r="832">
      <c r="B832" t="inlineStr">
        <is>
          <t>TPP-358</t>
        </is>
      </c>
      <c r="C832" t="inlineStr">
        <is>
          <t>No. of batches</t>
        </is>
      </c>
      <c r="D832">
        <f>IFERROR(INDEX(PP_Grid[#Data],$DD832,2),0)</f>
        <v/>
      </c>
      <c r="E832">
        <f>IFERROR(INDEX(PP_Grid[#Data],$DD832,3),0)</f>
        <v/>
      </c>
      <c r="F832">
        <f>IFERROR(INDEX(PP_Grid[#Data],$DD832,4),0)</f>
        <v/>
      </c>
      <c r="G832">
        <f>IFERROR(INDEX(PP_Grid[#Data],$DD832,5),0)</f>
        <v/>
      </c>
      <c r="H832">
        <f>IFERROR(INDEX(PP_Grid[#Data],$DD832,6),0)</f>
        <v/>
      </c>
      <c r="I832">
        <f>IFERROR(INDEX(PP_Grid[#Data],$DD832,7),0)</f>
        <v/>
      </c>
      <c r="J832">
        <f>IFERROR(INDEX(PP_Grid[#Data],$DD832,8),0)</f>
        <v/>
      </c>
      <c r="K832">
        <f>IFERROR(INDEX(PP_Grid[#Data],$DD832,9),0)</f>
        <v/>
      </c>
      <c r="L832">
        <f>IFERROR(INDEX(PP_Grid[#Data],$DD832,10),0)</f>
        <v/>
      </c>
      <c r="M832">
        <f>IFERROR(INDEX(PP_Grid[#Data],$DD832,11),0)</f>
        <v/>
      </c>
      <c r="N832">
        <f>IFERROR(INDEX(PP_Grid[#Data],$DD832,12),0)</f>
        <v/>
      </c>
      <c r="O832">
        <f>IFERROR(INDEX(PP_Grid[#Data],$DD832,13),0)</f>
        <v/>
      </c>
      <c r="P832">
        <f>IFERROR(INDEX(PP_Grid[#Data],$DD832,14),0)</f>
        <v/>
      </c>
      <c r="Q832">
        <f>IFERROR(INDEX(PP_Grid[#Data],$DD832,15),0)</f>
        <v/>
      </c>
      <c r="R832">
        <f>IFERROR(INDEX(PP_Grid[#Data],$DD832,16),0)</f>
        <v/>
      </c>
      <c r="S832">
        <f>IFERROR(INDEX(PP_Grid[#Data],$DD832,17),0)</f>
        <v/>
      </c>
      <c r="T832">
        <f>IFERROR(INDEX(PP_Grid[#Data],$DD832,18),0)</f>
        <v/>
      </c>
      <c r="U832">
        <f>IFERROR(INDEX(PP_Grid[#Data],$DD832,19),0)</f>
        <v/>
      </c>
      <c r="V832">
        <f>IFERROR(INDEX(PP_Grid[#Data],$DD832,20),0)</f>
        <v/>
      </c>
      <c r="W832">
        <f>IFERROR(INDEX(PP_Grid[#Data],$DD832,21),0)</f>
        <v/>
      </c>
      <c r="X832">
        <f>IFERROR(INDEX(PP_Grid[#Data],$DD832,22),0)</f>
        <v/>
      </c>
      <c r="Y832">
        <f>IFERROR(INDEX(PP_Grid[#Data],$DD832,23),0)</f>
        <v/>
      </c>
      <c r="Z832">
        <f>IFERROR(INDEX(PP_Grid[#Data],$DD832,24),0)</f>
        <v/>
      </c>
      <c r="AA832">
        <f>IFERROR(INDEX(PP_Grid[#Data],$DD832,25),0)</f>
        <v/>
      </c>
      <c r="AB832">
        <f>IFERROR(INDEX(PP_Grid[#Data],$DD832,26),0)</f>
        <v/>
      </c>
      <c r="AC832">
        <f>IFERROR(INDEX(PP_Grid[#Data],$DD832,27),0)</f>
        <v/>
      </c>
      <c r="AD832">
        <f>IFERROR(INDEX(PP_Grid[#Data],$DD832,28),0)</f>
        <v/>
      </c>
      <c r="AE832">
        <f>IFERROR(INDEX(PP_Grid[#Data],$DD832,29),0)</f>
        <v/>
      </c>
      <c r="AF832">
        <f>IFERROR(INDEX(PP_Grid[#Data],$DD832,30),0)</f>
        <v/>
      </c>
      <c r="AG832">
        <f>IFERROR(INDEX(PP_Grid[#Data],$DD832,31),0)</f>
        <v/>
      </c>
      <c r="AH832">
        <f>IFERROR(INDEX(PP_Grid[#Data],$DD832,32),0)</f>
        <v/>
      </c>
      <c r="AI832">
        <f>IFERROR(INDEX(PP_Grid[#Data],$DD832,33),0)</f>
        <v/>
      </c>
      <c r="AJ832">
        <f>IFERROR(INDEX(PP_Grid[#Data],$DD832,34),0)</f>
        <v/>
      </c>
      <c r="AK832">
        <f>IFERROR(INDEX(PP_Grid[#Data],$DD832,35),0)</f>
        <v/>
      </c>
      <c r="AL832">
        <f>IFERROR(INDEX(PP_Grid[#Data],$DD832,36),0)</f>
        <v/>
      </c>
      <c r="AM832">
        <f>IFERROR(INDEX(PP_Grid[#Data],$DD832,37),0)</f>
        <v/>
      </c>
      <c r="AN832">
        <f>IFERROR(INDEX(PP_Grid[#Data],$DD832,38),0)</f>
        <v/>
      </c>
      <c r="AO832">
        <f>IFERROR(INDEX(PP_Grid[#Data],$DD832,39),0)</f>
        <v/>
      </c>
      <c r="AP832">
        <f>IFERROR(INDEX(PP_Grid[#Data],$DD832,40),0)</f>
        <v/>
      </c>
      <c r="AQ832">
        <f>IFERROR(INDEX(PP_Grid[#Data],$DD832,41),0)</f>
        <v/>
      </c>
      <c r="AR832">
        <f>IFERROR(INDEX(PP_Grid[#Data],$DD832,42),0)</f>
        <v/>
      </c>
      <c r="AS832">
        <f>IFERROR(INDEX(PP_Grid[#Data],$DD832,43),0)</f>
        <v/>
      </c>
      <c r="AT832">
        <f>IFERROR(INDEX(PP_Grid[#Data],$DD832,44),0)</f>
        <v/>
      </c>
      <c r="AU832">
        <f>IFERROR(INDEX(PP_Grid[#Data],$DD832,45),0)</f>
        <v/>
      </c>
      <c r="AV832">
        <f>IFERROR(INDEX(PP_Grid[#Data],$DD832,46),0)</f>
        <v/>
      </c>
      <c r="AW832">
        <f>IFERROR(INDEX(PP_Grid[#Data],$DD832,47),0)</f>
        <v/>
      </c>
      <c r="AX832">
        <f>IFERROR(INDEX(PP_Grid[#Data],$DD832,48),0)</f>
        <v/>
      </c>
      <c r="AY832">
        <f>IFERROR(INDEX(PP_Grid[#Data],$DD832,49),0)</f>
        <v/>
      </c>
      <c r="AZ832">
        <f>IFERROR(INDEX(PP_Grid[#Data],$DD832,50),0)</f>
        <v/>
      </c>
      <c r="BA832">
        <f>IFERROR(INDEX(PP_Grid[#Data],$DD832,51),0)</f>
        <v/>
      </c>
      <c r="BB832">
        <f>IFERROR(INDEX(PP_Grid[#Data],$DD832,52),0)</f>
        <v/>
      </c>
      <c r="BC832">
        <f>IFERROR(INDEX(PP_Grid[#Data],$DD832,53),0)</f>
        <v/>
      </c>
      <c r="BD832">
        <f>IFERROR(INDEX(PP_Grid[#Data],$DD832,54),0)</f>
        <v/>
      </c>
      <c r="BE832">
        <f>IFERROR(INDEX(PP_Grid[#Data],$DD832,55),0)</f>
        <v/>
      </c>
      <c r="BF832">
        <f>IFERROR(INDEX(PP_Grid[#Data],$DD832,56),0)</f>
        <v/>
      </c>
      <c r="BG832">
        <f>IFERROR(INDEX(PP_Grid[#Data],$DD832,57),0)</f>
        <v/>
      </c>
      <c r="BH832">
        <f>IFERROR(INDEX(PP_Grid[#Data],$DD832,58),0)</f>
        <v/>
      </c>
      <c r="BI832">
        <f>IFERROR(INDEX(PP_Grid[#Data],$DD832,59),0)</f>
        <v/>
      </c>
      <c r="BJ832">
        <f>IFERROR(INDEX(PP_Grid[#Data],$DD832,60),0)</f>
        <v/>
      </c>
      <c r="BK832">
        <f>IFERROR(INDEX(PP_Grid[#Data],$DD832,61),0)</f>
        <v/>
      </c>
      <c r="BL832">
        <f>IFERROR(INDEX(PP_Grid[#Data],$DD832,62),0)</f>
        <v/>
      </c>
      <c r="BM832">
        <f>IFERROR(INDEX(PP_Grid[#Data],$DD832,63),0)</f>
        <v/>
      </c>
      <c r="BN832">
        <f>IFERROR(INDEX(PP_Grid[#Data],$DD832,64),0)</f>
        <v/>
      </c>
      <c r="BO832">
        <f>IFERROR(INDEX(PP_Grid[#Data],$DD832,65),0)</f>
        <v/>
      </c>
      <c r="BP832">
        <f>IFERROR(INDEX(PP_Grid[#Data],$DD832,66),0)</f>
        <v/>
      </c>
      <c r="BQ832">
        <f>IFERROR(INDEX(PP_Grid[#Data],$DD832,67),0)</f>
        <v/>
      </c>
      <c r="BR832">
        <f>IFERROR(INDEX(PP_Grid[#Data],$DD832,68),0)</f>
        <v/>
      </c>
      <c r="BS832">
        <f>IFERROR(INDEX(PP_Grid[#Data],$DD832,69),0)</f>
        <v/>
      </c>
      <c r="BT832">
        <f>IFERROR(INDEX(PP_Grid[#Data],$DD832,70),0)</f>
        <v/>
      </c>
      <c r="BU832">
        <f>IFERROR(INDEX(PP_Grid[#Data],$DD832,71),0)</f>
        <v/>
      </c>
      <c r="BV832">
        <f>IFERROR(INDEX(PP_Grid[#Data],$DD832,72),0)</f>
        <v/>
      </c>
      <c r="BW832">
        <f>IFERROR(INDEX(PP_Grid[#Data],$DD832,73),0)</f>
        <v/>
      </c>
      <c r="BX832">
        <f>IFERROR(INDEX(PP_Grid[#Data],$DD832,74),0)</f>
        <v/>
      </c>
      <c r="BY832">
        <f>IFERROR(INDEX(PP_Grid[#Data],$DD832,75),0)</f>
        <v/>
      </c>
      <c r="BZ832">
        <f>IFERROR(INDEX(PP_Grid[#Data],$DD832,76),0)</f>
        <v/>
      </c>
      <c r="CA832">
        <f>IFERROR(INDEX(PP_Grid[#Data],$DD832,77),0)</f>
        <v/>
      </c>
      <c r="CB832">
        <f>IFERROR(INDEX(PP_Grid[#Data],$DD832,78),0)</f>
        <v/>
      </c>
      <c r="CC832">
        <f>IFERROR(INDEX(PP_Grid[#Data],$DD832,79),0)</f>
        <v/>
      </c>
      <c r="CD832">
        <f>IFERROR(INDEX(PP_Grid[#Data],$DD832,80),0)</f>
        <v/>
      </c>
      <c r="CE832">
        <f>IFERROR(INDEX(PP_Grid[#Data],$DD832,81),0)</f>
        <v/>
      </c>
      <c r="CF832">
        <f>IFERROR(INDEX(PP_Grid[#Data],$DD832,82),0)</f>
        <v/>
      </c>
      <c r="CG832">
        <f>IFERROR(INDEX(PP_Grid[#Data],$DD832,83),0)</f>
        <v/>
      </c>
      <c r="CH832">
        <f>IFERROR(INDEX(PP_Grid[#Data],$DD832,84),0)</f>
        <v/>
      </c>
      <c r="CI832">
        <f>IFERROR(INDEX(PP_Grid[#Data],$DD832,85),0)</f>
        <v/>
      </c>
      <c r="CJ832">
        <f>IFERROR(INDEX(PP_Grid[#Data],$DD832,86),0)</f>
        <v/>
      </c>
      <c r="CK832">
        <f>IFERROR(INDEX(PP_Grid[#Data],$DD832,87),0)</f>
        <v/>
      </c>
      <c r="CL832">
        <f>IFERROR(INDEX(PP_Grid[#Data],$DD832,88),0)</f>
        <v/>
      </c>
      <c r="CM832">
        <f>IFERROR(INDEX(PP_Grid[#Data],$DD832,89),0)</f>
        <v/>
      </c>
      <c r="CN832">
        <f>IFERROR(INDEX(PP_Grid[#Data],$DD832,90),0)</f>
        <v/>
      </c>
      <c r="CO832">
        <f>IFERROR(INDEX(PP_Grid[#Data],$DD832,91),0)</f>
        <v/>
      </c>
      <c r="CP832">
        <f>IFERROR(INDEX(PP_Grid[#Data],$DD832,92),0)</f>
        <v/>
      </c>
      <c r="CQ832">
        <f>IFERROR(INDEX(PP_Grid[#Data],$DD832,93),0)</f>
        <v/>
      </c>
      <c r="CR832">
        <f>IFERROR(INDEX(PP_Grid[#Data],$DD832,94),0)</f>
        <v/>
      </c>
      <c r="CS832">
        <f>IFERROR(INDEX(PP_Grid[#Data],$DD832,95),0)</f>
        <v/>
      </c>
      <c r="CT832">
        <f>IFERROR(INDEX(PP_Grid[#Data],$DD832,96),0)</f>
        <v/>
      </c>
      <c r="CU832">
        <f>IFERROR(INDEX(PP_Grid[#Data],$DD832,97),0)</f>
        <v/>
      </c>
      <c r="CV832">
        <f>IFERROR(INDEX(PP_Grid[#Data],$DD832,98),0)</f>
        <v/>
      </c>
      <c r="CW832">
        <f>IFERROR(INDEX(PP_Grid[#Data],$DD832,99),0)</f>
        <v/>
      </c>
      <c r="CX832">
        <f>IFERROR(INDEX(PP_Grid[#Data],$DD832,100),0)</f>
        <v/>
      </c>
      <c r="CY832">
        <f>IFERROR(INDEX(PP_Grid[#Data],$DD832,101),0)</f>
        <v/>
      </c>
      <c r="CZ832">
        <f>IFERROR(INDEX(PP_Grid[#Data],$DD832,102),0)</f>
        <v/>
      </c>
      <c r="DA832">
        <f>IFERROR(INDEX(PP_Grid[#Data],$DD832,103),0)</f>
        <v/>
      </c>
      <c r="DB832">
        <f>IFERROR(INDEX(PP_Grid[#Data],$DD832,104),0)</f>
        <v/>
      </c>
      <c r="DC832">
        <f>IFERROR(INDEX(PP_Grid[#Data],$DD832,105),0)</f>
        <v/>
      </c>
      <c r="DD832" s="12">
        <f>IFERROR(MATCH($B832,PP_Grid[Intermediate],0),99999)</f>
        <v/>
      </c>
    </row>
    <row r="833">
      <c r="B833" t="inlineStr">
        <is>
          <t>使用量(kg)</t>
        </is>
      </c>
      <c r="C833">
        <f>SUMIFS(M_BOM[RM_Qty_Per_Batch],M_BOM[Intermediate],$B832,M_BOM[Part Name],$A831)</f>
        <v/>
      </c>
      <c r="D833">
        <f>$C833*D832</f>
        <v/>
      </c>
      <c r="E833">
        <f>$C833*E832</f>
        <v/>
      </c>
      <c r="F833">
        <f>$C833*F832</f>
        <v/>
      </c>
      <c r="G833">
        <f>$C833*G832</f>
        <v/>
      </c>
      <c r="H833">
        <f>$C833*H832</f>
        <v/>
      </c>
      <c r="I833">
        <f>$C833*I832</f>
        <v/>
      </c>
      <c r="J833">
        <f>$C833*J832</f>
        <v/>
      </c>
      <c r="K833">
        <f>$C833*K832</f>
        <v/>
      </c>
      <c r="L833">
        <f>$C833*L832</f>
        <v/>
      </c>
      <c r="M833">
        <f>$C833*M832</f>
        <v/>
      </c>
      <c r="N833">
        <f>$C833*N832</f>
        <v/>
      </c>
      <c r="O833">
        <f>$C833*O832</f>
        <v/>
      </c>
      <c r="P833">
        <f>$C833*P832</f>
        <v/>
      </c>
      <c r="Q833">
        <f>$C833*Q832</f>
        <v/>
      </c>
      <c r="R833">
        <f>$C833*R832</f>
        <v/>
      </c>
      <c r="S833">
        <f>$C833*S832</f>
        <v/>
      </c>
      <c r="T833">
        <f>$C833*T832</f>
        <v/>
      </c>
      <c r="U833">
        <f>$C833*U832</f>
        <v/>
      </c>
      <c r="V833">
        <f>$C833*V832</f>
        <v/>
      </c>
      <c r="W833">
        <f>$C833*W832</f>
        <v/>
      </c>
      <c r="X833">
        <f>$C833*X832</f>
        <v/>
      </c>
      <c r="Y833">
        <f>$C833*Y832</f>
        <v/>
      </c>
      <c r="Z833">
        <f>$C833*Z832</f>
        <v/>
      </c>
      <c r="AA833">
        <f>$C833*AA832</f>
        <v/>
      </c>
      <c r="AB833">
        <f>$C833*AB832</f>
        <v/>
      </c>
      <c r="AC833">
        <f>$C833*AC832</f>
        <v/>
      </c>
      <c r="AD833">
        <f>$C833*AD832</f>
        <v/>
      </c>
      <c r="AE833">
        <f>$C833*AE832</f>
        <v/>
      </c>
      <c r="AF833">
        <f>$C833*AF832</f>
        <v/>
      </c>
      <c r="AG833">
        <f>$C833*AG832</f>
        <v/>
      </c>
      <c r="AH833">
        <f>$C833*AH832</f>
        <v/>
      </c>
      <c r="AI833">
        <f>$C833*AI832</f>
        <v/>
      </c>
      <c r="AJ833">
        <f>$C833*AJ832</f>
        <v/>
      </c>
      <c r="AK833">
        <f>$C833*AK832</f>
        <v/>
      </c>
      <c r="AL833">
        <f>$C833*AL832</f>
        <v/>
      </c>
      <c r="AM833">
        <f>$C833*AM832</f>
        <v/>
      </c>
      <c r="AN833">
        <f>$C833*AN832</f>
        <v/>
      </c>
      <c r="AO833">
        <f>$C833*AO832</f>
        <v/>
      </c>
      <c r="AP833">
        <f>$C833*AP832</f>
        <v/>
      </c>
      <c r="AQ833">
        <f>$C833*AQ832</f>
        <v/>
      </c>
      <c r="AR833">
        <f>$C833*AR832</f>
        <v/>
      </c>
      <c r="AS833">
        <f>$C833*AS832</f>
        <v/>
      </c>
      <c r="AT833">
        <f>$C833*AT832</f>
        <v/>
      </c>
      <c r="AU833">
        <f>$C833*AU832</f>
        <v/>
      </c>
      <c r="AV833">
        <f>$C833*AV832</f>
        <v/>
      </c>
      <c r="AW833">
        <f>$C833*AW832</f>
        <v/>
      </c>
      <c r="AX833">
        <f>$C833*AX832</f>
        <v/>
      </c>
      <c r="AY833">
        <f>$C833*AY832</f>
        <v/>
      </c>
      <c r="AZ833">
        <f>$C833*AZ832</f>
        <v/>
      </c>
      <c r="BA833">
        <f>$C833*BA832</f>
        <v/>
      </c>
      <c r="BB833">
        <f>$C833*BB832</f>
        <v/>
      </c>
      <c r="BC833">
        <f>$C833*BC832</f>
        <v/>
      </c>
      <c r="BD833">
        <f>$C833*BD832</f>
        <v/>
      </c>
      <c r="BE833">
        <f>$C833*BE832</f>
        <v/>
      </c>
      <c r="BF833">
        <f>$C833*BF832</f>
        <v/>
      </c>
      <c r="BG833">
        <f>$C833*BG832</f>
        <v/>
      </c>
      <c r="BH833">
        <f>$C833*BH832</f>
        <v/>
      </c>
      <c r="BI833">
        <f>$C833*BI832</f>
        <v/>
      </c>
      <c r="BJ833">
        <f>$C833*BJ832</f>
        <v/>
      </c>
      <c r="BK833">
        <f>$C833*BK832</f>
        <v/>
      </c>
      <c r="BL833">
        <f>$C833*BL832</f>
        <v/>
      </c>
      <c r="BM833">
        <f>$C833*BM832</f>
        <v/>
      </c>
      <c r="BN833">
        <f>$C833*BN832</f>
        <v/>
      </c>
      <c r="BO833">
        <f>$C833*BO832</f>
        <v/>
      </c>
      <c r="BP833">
        <f>$C833*BP832</f>
        <v/>
      </c>
      <c r="BQ833">
        <f>$C833*BQ832</f>
        <v/>
      </c>
      <c r="BR833">
        <f>$C833*BR832</f>
        <v/>
      </c>
      <c r="BS833">
        <f>$C833*BS832</f>
        <v/>
      </c>
      <c r="BT833">
        <f>$C833*BT832</f>
        <v/>
      </c>
      <c r="BU833">
        <f>$C833*BU832</f>
        <v/>
      </c>
      <c r="BV833">
        <f>$C833*BV832</f>
        <v/>
      </c>
      <c r="BW833">
        <f>$C833*BW832</f>
        <v/>
      </c>
      <c r="BX833">
        <f>$C833*BX832</f>
        <v/>
      </c>
      <c r="BY833">
        <f>$C833*BY832</f>
        <v/>
      </c>
      <c r="BZ833">
        <f>$C833*BZ832</f>
        <v/>
      </c>
      <c r="CA833">
        <f>$C833*CA832</f>
        <v/>
      </c>
      <c r="CB833">
        <f>$C833*CB832</f>
        <v/>
      </c>
      <c r="CC833">
        <f>$C833*CC832</f>
        <v/>
      </c>
      <c r="CD833">
        <f>$C833*CD832</f>
        <v/>
      </c>
      <c r="CE833">
        <f>$C833*CE832</f>
        <v/>
      </c>
      <c r="CF833">
        <f>$C833*CF832</f>
        <v/>
      </c>
      <c r="CG833">
        <f>$C833*CG832</f>
        <v/>
      </c>
      <c r="CH833">
        <f>$C833*CH832</f>
        <v/>
      </c>
      <c r="CI833">
        <f>$C833*CI832</f>
        <v/>
      </c>
      <c r="CJ833">
        <f>$C833*CJ832</f>
        <v/>
      </c>
      <c r="CK833">
        <f>$C833*CK832</f>
        <v/>
      </c>
      <c r="CL833">
        <f>$C833*CL832</f>
        <v/>
      </c>
      <c r="CM833">
        <f>$C833*CM832</f>
        <v/>
      </c>
      <c r="CN833">
        <f>$C833*CN832</f>
        <v/>
      </c>
      <c r="CO833">
        <f>$C833*CO832</f>
        <v/>
      </c>
      <c r="CP833">
        <f>$C833*CP832</f>
        <v/>
      </c>
      <c r="CQ833">
        <f>$C833*CQ832</f>
        <v/>
      </c>
      <c r="CR833">
        <f>$C833*CR832</f>
        <v/>
      </c>
      <c r="CS833">
        <f>$C833*CS832</f>
        <v/>
      </c>
      <c r="CT833">
        <f>$C833*CT832</f>
        <v/>
      </c>
      <c r="CU833">
        <f>$C833*CU832</f>
        <v/>
      </c>
      <c r="CV833">
        <f>$C833*CV832</f>
        <v/>
      </c>
      <c r="CW833">
        <f>$C833*CW832</f>
        <v/>
      </c>
      <c r="CX833">
        <f>$C833*CX832</f>
        <v/>
      </c>
      <c r="CY833">
        <f>$C833*CY832</f>
        <v/>
      </c>
      <c r="CZ833">
        <f>$C833*CZ832</f>
        <v/>
      </c>
      <c r="DA833">
        <f>$C833*DA832</f>
        <v/>
      </c>
      <c r="DB833">
        <f>$C833*DB832</f>
        <v/>
      </c>
      <c r="DC833">
        <f>$C833*DC832</f>
        <v/>
      </c>
    </row>
    <row r="834">
      <c r="B834" t="inlineStr">
        <is>
          <t>TPP-533</t>
        </is>
      </c>
      <c r="C834" t="inlineStr">
        <is>
          <t>No. of batches</t>
        </is>
      </c>
      <c r="D834">
        <f>IFERROR(INDEX(PP_Grid[#Data],$DD834,2),0)</f>
        <v/>
      </c>
      <c r="E834">
        <f>IFERROR(INDEX(PP_Grid[#Data],$DD834,3),0)</f>
        <v/>
      </c>
      <c r="F834">
        <f>IFERROR(INDEX(PP_Grid[#Data],$DD834,4),0)</f>
        <v/>
      </c>
      <c r="G834">
        <f>IFERROR(INDEX(PP_Grid[#Data],$DD834,5),0)</f>
        <v/>
      </c>
      <c r="H834">
        <f>IFERROR(INDEX(PP_Grid[#Data],$DD834,6),0)</f>
        <v/>
      </c>
      <c r="I834">
        <f>IFERROR(INDEX(PP_Grid[#Data],$DD834,7),0)</f>
        <v/>
      </c>
      <c r="J834">
        <f>IFERROR(INDEX(PP_Grid[#Data],$DD834,8),0)</f>
        <v/>
      </c>
      <c r="K834">
        <f>IFERROR(INDEX(PP_Grid[#Data],$DD834,9),0)</f>
        <v/>
      </c>
      <c r="L834">
        <f>IFERROR(INDEX(PP_Grid[#Data],$DD834,10),0)</f>
        <v/>
      </c>
      <c r="M834">
        <f>IFERROR(INDEX(PP_Grid[#Data],$DD834,11),0)</f>
        <v/>
      </c>
      <c r="N834">
        <f>IFERROR(INDEX(PP_Grid[#Data],$DD834,12),0)</f>
        <v/>
      </c>
      <c r="O834">
        <f>IFERROR(INDEX(PP_Grid[#Data],$DD834,13),0)</f>
        <v/>
      </c>
      <c r="P834">
        <f>IFERROR(INDEX(PP_Grid[#Data],$DD834,14),0)</f>
        <v/>
      </c>
      <c r="Q834">
        <f>IFERROR(INDEX(PP_Grid[#Data],$DD834,15),0)</f>
        <v/>
      </c>
      <c r="R834">
        <f>IFERROR(INDEX(PP_Grid[#Data],$DD834,16),0)</f>
        <v/>
      </c>
      <c r="S834">
        <f>IFERROR(INDEX(PP_Grid[#Data],$DD834,17),0)</f>
        <v/>
      </c>
      <c r="T834">
        <f>IFERROR(INDEX(PP_Grid[#Data],$DD834,18),0)</f>
        <v/>
      </c>
      <c r="U834">
        <f>IFERROR(INDEX(PP_Grid[#Data],$DD834,19),0)</f>
        <v/>
      </c>
      <c r="V834">
        <f>IFERROR(INDEX(PP_Grid[#Data],$DD834,20),0)</f>
        <v/>
      </c>
      <c r="W834">
        <f>IFERROR(INDEX(PP_Grid[#Data],$DD834,21),0)</f>
        <v/>
      </c>
      <c r="X834">
        <f>IFERROR(INDEX(PP_Grid[#Data],$DD834,22),0)</f>
        <v/>
      </c>
      <c r="Y834">
        <f>IFERROR(INDEX(PP_Grid[#Data],$DD834,23),0)</f>
        <v/>
      </c>
      <c r="Z834">
        <f>IFERROR(INDEX(PP_Grid[#Data],$DD834,24),0)</f>
        <v/>
      </c>
      <c r="AA834">
        <f>IFERROR(INDEX(PP_Grid[#Data],$DD834,25),0)</f>
        <v/>
      </c>
      <c r="AB834">
        <f>IFERROR(INDEX(PP_Grid[#Data],$DD834,26),0)</f>
        <v/>
      </c>
      <c r="AC834">
        <f>IFERROR(INDEX(PP_Grid[#Data],$DD834,27),0)</f>
        <v/>
      </c>
      <c r="AD834">
        <f>IFERROR(INDEX(PP_Grid[#Data],$DD834,28),0)</f>
        <v/>
      </c>
      <c r="AE834">
        <f>IFERROR(INDEX(PP_Grid[#Data],$DD834,29),0)</f>
        <v/>
      </c>
      <c r="AF834">
        <f>IFERROR(INDEX(PP_Grid[#Data],$DD834,30),0)</f>
        <v/>
      </c>
      <c r="AG834">
        <f>IFERROR(INDEX(PP_Grid[#Data],$DD834,31),0)</f>
        <v/>
      </c>
      <c r="AH834">
        <f>IFERROR(INDEX(PP_Grid[#Data],$DD834,32),0)</f>
        <v/>
      </c>
      <c r="AI834">
        <f>IFERROR(INDEX(PP_Grid[#Data],$DD834,33),0)</f>
        <v/>
      </c>
      <c r="AJ834">
        <f>IFERROR(INDEX(PP_Grid[#Data],$DD834,34),0)</f>
        <v/>
      </c>
      <c r="AK834">
        <f>IFERROR(INDEX(PP_Grid[#Data],$DD834,35),0)</f>
        <v/>
      </c>
      <c r="AL834">
        <f>IFERROR(INDEX(PP_Grid[#Data],$DD834,36),0)</f>
        <v/>
      </c>
      <c r="AM834">
        <f>IFERROR(INDEX(PP_Grid[#Data],$DD834,37),0)</f>
        <v/>
      </c>
      <c r="AN834">
        <f>IFERROR(INDEX(PP_Grid[#Data],$DD834,38),0)</f>
        <v/>
      </c>
      <c r="AO834">
        <f>IFERROR(INDEX(PP_Grid[#Data],$DD834,39),0)</f>
        <v/>
      </c>
      <c r="AP834">
        <f>IFERROR(INDEX(PP_Grid[#Data],$DD834,40),0)</f>
        <v/>
      </c>
      <c r="AQ834">
        <f>IFERROR(INDEX(PP_Grid[#Data],$DD834,41),0)</f>
        <v/>
      </c>
      <c r="AR834">
        <f>IFERROR(INDEX(PP_Grid[#Data],$DD834,42),0)</f>
        <v/>
      </c>
      <c r="AS834">
        <f>IFERROR(INDEX(PP_Grid[#Data],$DD834,43),0)</f>
        <v/>
      </c>
      <c r="AT834">
        <f>IFERROR(INDEX(PP_Grid[#Data],$DD834,44),0)</f>
        <v/>
      </c>
      <c r="AU834">
        <f>IFERROR(INDEX(PP_Grid[#Data],$DD834,45),0)</f>
        <v/>
      </c>
      <c r="AV834">
        <f>IFERROR(INDEX(PP_Grid[#Data],$DD834,46),0)</f>
        <v/>
      </c>
      <c r="AW834">
        <f>IFERROR(INDEX(PP_Grid[#Data],$DD834,47),0)</f>
        <v/>
      </c>
      <c r="AX834">
        <f>IFERROR(INDEX(PP_Grid[#Data],$DD834,48),0)</f>
        <v/>
      </c>
      <c r="AY834">
        <f>IFERROR(INDEX(PP_Grid[#Data],$DD834,49),0)</f>
        <v/>
      </c>
      <c r="AZ834">
        <f>IFERROR(INDEX(PP_Grid[#Data],$DD834,50),0)</f>
        <v/>
      </c>
      <c r="BA834">
        <f>IFERROR(INDEX(PP_Grid[#Data],$DD834,51),0)</f>
        <v/>
      </c>
      <c r="BB834">
        <f>IFERROR(INDEX(PP_Grid[#Data],$DD834,52),0)</f>
        <v/>
      </c>
      <c r="BC834">
        <f>IFERROR(INDEX(PP_Grid[#Data],$DD834,53),0)</f>
        <v/>
      </c>
      <c r="BD834">
        <f>IFERROR(INDEX(PP_Grid[#Data],$DD834,54),0)</f>
        <v/>
      </c>
      <c r="BE834">
        <f>IFERROR(INDEX(PP_Grid[#Data],$DD834,55),0)</f>
        <v/>
      </c>
      <c r="BF834">
        <f>IFERROR(INDEX(PP_Grid[#Data],$DD834,56),0)</f>
        <v/>
      </c>
      <c r="BG834">
        <f>IFERROR(INDEX(PP_Grid[#Data],$DD834,57),0)</f>
        <v/>
      </c>
      <c r="BH834">
        <f>IFERROR(INDEX(PP_Grid[#Data],$DD834,58),0)</f>
        <v/>
      </c>
      <c r="BI834">
        <f>IFERROR(INDEX(PP_Grid[#Data],$DD834,59),0)</f>
        <v/>
      </c>
      <c r="BJ834">
        <f>IFERROR(INDEX(PP_Grid[#Data],$DD834,60),0)</f>
        <v/>
      </c>
      <c r="BK834">
        <f>IFERROR(INDEX(PP_Grid[#Data],$DD834,61),0)</f>
        <v/>
      </c>
      <c r="BL834">
        <f>IFERROR(INDEX(PP_Grid[#Data],$DD834,62),0)</f>
        <v/>
      </c>
      <c r="BM834">
        <f>IFERROR(INDEX(PP_Grid[#Data],$DD834,63),0)</f>
        <v/>
      </c>
      <c r="BN834">
        <f>IFERROR(INDEX(PP_Grid[#Data],$DD834,64),0)</f>
        <v/>
      </c>
      <c r="BO834">
        <f>IFERROR(INDEX(PP_Grid[#Data],$DD834,65),0)</f>
        <v/>
      </c>
      <c r="BP834">
        <f>IFERROR(INDEX(PP_Grid[#Data],$DD834,66),0)</f>
        <v/>
      </c>
      <c r="BQ834">
        <f>IFERROR(INDEX(PP_Grid[#Data],$DD834,67),0)</f>
        <v/>
      </c>
      <c r="BR834">
        <f>IFERROR(INDEX(PP_Grid[#Data],$DD834,68),0)</f>
        <v/>
      </c>
      <c r="BS834">
        <f>IFERROR(INDEX(PP_Grid[#Data],$DD834,69),0)</f>
        <v/>
      </c>
      <c r="BT834">
        <f>IFERROR(INDEX(PP_Grid[#Data],$DD834,70),0)</f>
        <v/>
      </c>
      <c r="BU834">
        <f>IFERROR(INDEX(PP_Grid[#Data],$DD834,71),0)</f>
        <v/>
      </c>
      <c r="BV834">
        <f>IFERROR(INDEX(PP_Grid[#Data],$DD834,72),0)</f>
        <v/>
      </c>
      <c r="BW834">
        <f>IFERROR(INDEX(PP_Grid[#Data],$DD834,73),0)</f>
        <v/>
      </c>
      <c r="BX834">
        <f>IFERROR(INDEX(PP_Grid[#Data],$DD834,74),0)</f>
        <v/>
      </c>
      <c r="BY834">
        <f>IFERROR(INDEX(PP_Grid[#Data],$DD834,75),0)</f>
        <v/>
      </c>
      <c r="BZ834">
        <f>IFERROR(INDEX(PP_Grid[#Data],$DD834,76),0)</f>
        <v/>
      </c>
      <c r="CA834">
        <f>IFERROR(INDEX(PP_Grid[#Data],$DD834,77),0)</f>
        <v/>
      </c>
      <c r="CB834">
        <f>IFERROR(INDEX(PP_Grid[#Data],$DD834,78),0)</f>
        <v/>
      </c>
      <c r="CC834">
        <f>IFERROR(INDEX(PP_Grid[#Data],$DD834,79),0)</f>
        <v/>
      </c>
      <c r="CD834">
        <f>IFERROR(INDEX(PP_Grid[#Data],$DD834,80),0)</f>
        <v/>
      </c>
      <c r="CE834">
        <f>IFERROR(INDEX(PP_Grid[#Data],$DD834,81),0)</f>
        <v/>
      </c>
      <c r="CF834">
        <f>IFERROR(INDEX(PP_Grid[#Data],$DD834,82),0)</f>
        <v/>
      </c>
      <c r="CG834">
        <f>IFERROR(INDEX(PP_Grid[#Data],$DD834,83),0)</f>
        <v/>
      </c>
      <c r="CH834">
        <f>IFERROR(INDEX(PP_Grid[#Data],$DD834,84),0)</f>
        <v/>
      </c>
      <c r="CI834">
        <f>IFERROR(INDEX(PP_Grid[#Data],$DD834,85),0)</f>
        <v/>
      </c>
      <c r="CJ834">
        <f>IFERROR(INDEX(PP_Grid[#Data],$DD834,86),0)</f>
        <v/>
      </c>
      <c r="CK834">
        <f>IFERROR(INDEX(PP_Grid[#Data],$DD834,87),0)</f>
        <v/>
      </c>
      <c r="CL834">
        <f>IFERROR(INDEX(PP_Grid[#Data],$DD834,88),0)</f>
        <v/>
      </c>
      <c r="CM834">
        <f>IFERROR(INDEX(PP_Grid[#Data],$DD834,89),0)</f>
        <v/>
      </c>
      <c r="CN834">
        <f>IFERROR(INDEX(PP_Grid[#Data],$DD834,90),0)</f>
        <v/>
      </c>
      <c r="CO834">
        <f>IFERROR(INDEX(PP_Grid[#Data],$DD834,91),0)</f>
        <v/>
      </c>
      <c r="CP834">
        <f>IFERROR(INDEX(PP_Grid[#Data],$DD834,92),0)</f>
        <v/>
      </c>
      <c r="CQ834">
        <f>IFERROR(INDEX(PP_Grid[#Data],$DD834,93),0)</f>
        <v/>
      </c>
      <c r="CR834">
        <f>IFERROR(INDEX(PP_Grid[#Data],$DD834,94),0)</f>
        <v/>
      </c>
      <c r="CS834">
        <f>IFERROR(INDEX(PP_Grid[#Data],$DD834,95),0)</f>
        <v/>
      </c>
      <c r="CT834">
        <f>IFERROR(INDEX(PP_Grid[#Data],$DD834,96),0)</f>
        <v/>
      </c>
      <c r="CU834">
        <f>IFERROR(INDEX(PP_Grid[#Data],$DD834,97),0)</f>
        <v/>
      </c>
      <c r="CV834">
        <f>IFERROR(INDEX(PP_Grid[#Data],$DD834,98),0)</f>
        <v/>
      </c>
      <c r="CW834">
        <f>IFERROR(INDEX(PP_Grid[#Data],$DD834,99),0)</f>
        <v/>
      </c>
      <c r="CX834">
        <f>IFERROR(INDEX(PP_Grid[#Data],$DD834,100),0)</f>
        <v/>
      </c>
      <c r="CY834">
        <f>IFERROR(INDEX(PP_Grid[#Data],$DD834,101),0)</f>
        <v/>
      </c>
      <c r="CZ834">
        <f>IFERROR(INDEX(PP_Grid[#Data],$DD834,102),0)</f>
        <v/>
      </c>
      <c r="DA834">
        <f>IFERROR(INDEX(PP_Grid[#Data],$DD834,103),0)</f>
        <v/>
      </c>
      <c r="DB834">
        <f>IFERROR(INDEX(PP_Grid[#Data],$DD834,104),0)</f>
        <v/>
      </c>
      <c r="DC834">
        <f>IFERROR(INDEX(PP_Grid[#Data],$DD834,105),0)</f>
        <v/>
      </c>
      <c r="DD834" s="12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SUMIFS(M_BOM[RM_Qty_Per_Batch],M_BOM[Intermediate],$B834,M_BOM[Part Name],$A831)</f>
        <v/>
      </c>
      <c r="D835">
        <f>$C835*D834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</row>
    <row r="836">
      <c r="B836" t="inlineStr">
        <is>
          <t>TSP-1444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12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Name],$A831)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TSP-1445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12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Name],$A831)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TSP-1446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12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Name],$A831)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t="inlineStr">
        <is>
          <t>TSP-1448</t>
        </is>
      </c>
      <c r="C842" t="inlineStr">
        <is>
          <t>No. of batches</t>
        </is>
      </c>
      <c r="D842">
        <f>IFERROR(INDEX(PP_Grid[#Data],$DD842,2),0)</f>
        <v/>
      </c>
      <c r="E842">
        <f>IFERROR(INDEX(PP_Grid[#Data],$DD842,3),0)</f>
        <v/>
      </c>
      <c r="F842">
        <f>IFERROR(INDEX(PP_Grid[#Data],$DD842,4),0)</f>
        <v/>
      </c>
      <c r="G842">
        <f>IFERROR(INDEX(PP_Grid[#Data],$DD842,5),0)</f>
        <v/>
      </c>
      <c r="H842">
        <f>IFERROR(INDEX(PP_Grid[#Data],$DD842,6),0)</f>
        <v/>
      </c>
      <c r="I842">
        <f>IFERROR(INDEX(PP_Grid[#Data],$DD842,7),0)</f>
        <v/>
      </c>
      <c r="J842">
        <f>IFERROR(INDEX(PP_Grid[#Data],$DD842,8),0)</f>
        <v/>
      </c>
      <c r="K842">
        <f>IFERROR(INDEX(PP_Grid[#Data],$DD842,9),0)</f>
        <v/>
      </c>
      <c r="L842">
        <f>IFERROR(INDEX(PP_Grid[#Data],$DD842,10),0)</f>
        <v/>
      </c>
      <c r="M842">
        <f>IFERROR(INDEX(PP_Grid[#Data],$DD842,11),0)</f>
        <v/>
      </c>
      <c r="N842">
        <f>IFERROR(INDEX(PP_Grid[#Data],$DD842,12),0)</f>
        <v/>
      </c>
      <c r="O842">
        <f>IFERROR(INDEX(PP_Grid[#Data],$DD842,13),0)</f>
        <v/>
      </c>
      <c r="P842">
        <f>IFERROR(INDEX(PP_Grid[#Data],$DD842,14),0)</f>
        <v/>
      </c>
      <c r="Q842">
        <f>IFERROR(INDEX(PP_Grid[#Data],$DD842,15),0)</f>
        <v/>
      </c>
      <c r="R842">
        <f>IFERROR(INDEX(PP_Grid[#Data],$DD842,16),0)</f>
        <v/>
      </c>
      <c r="S842">
        <f>IFERROR(INDEX(PP_Grid[#Data],$DD842,17),0)</f>
        <v/>
      </c>
      <c r="T842">
        <f>IFERROR(INDEX(PP_Grid[#Data],$DD842,18),0)</f>
        <v/>
      </c>
      <c r="U842">
        <f>IFERROR(INDEX(PP_Grid[#Data],$DD842,19),0)</f>
        <v/>
      </c>
      <c r="V842">
        <f>IFERROR(INDEX(PP_Grid[#Data],$DD842,20),0)</f>
        <v/>
      </c>
      <c r="W842">
        <f>IFERROR(INDEX(PP_Grid[#Data],$DD842,21),0)</f>
        <v/>
      </c>
      <c r="X842">
        <f>IFERROR(INDEX(PP_Grid[#Data],$DD842,22),0)</f>
        <v/>
      </c>
      <c r="Y842">
        <f>IFERROR(INDEX(PP_Grid[#Data],$DD842,23),0)</f>
        <v/>
      </c>
      <c r="Z842">
        <f>IFERROR(INDEX(PP_Grid[#Data],$DD842,24),0)</f>
        <v/>
      </c>
      <c r="AA842">
        <f>IFERROR(INDEX(PP_Grid[#Data],$DD842,25),0)</f>
        <v/>
      </c>
      <c r="AB842">
        <f>IFERROR(INDEX(PP_Grid[#Data],$DD842,26),0)</f>
        <v/>
      </c>
      <c r="AC842">
        <f>IFERROR(INDEX(PP_Grid[#Data],$DD842,27),0)</f>
        <v/>
      </c>
      <c r="AD842">
        <f>IFERROR(INDEX(PP_Grid[#Data],$DD842,28),0)</f>
        <v/>
      </c>
      <c r="AE842">
        <f>IFERROR(INDEX(PP_Grid[#Data],$DD842,29),0)</f>
        <v/>
      </c>
      <c r="AF842">
        <f>IFERROR(INDEX(PP_Grid[#Data],$DD842,30),0)</f>
        <v/>
      </c>
      <c r="AG842">
        <f>IFERROR(INDEX(PP_Grid[#Data],$DD842,31),0)</f>
        <v/>
      </c>
      <c r="AH842">
        <f>IFERROR(INDEX(PP_Grid[#Data],$DD842,32),0)</f>
        <v/>
      </c>
      <c r="AI842">
        <f>IFERROR(INDEX(PP_Grid[#Data],$DD842,33),0)</f>
        <v/>
      </c>
      <c r="AJ842">
        <f>IFERROR(INDEX(PP_Grid[#Data],$DD842,34),0)</f>
        <v/>
      </c>
      <c r="AK842">
        <f>IFERROR(INDEX(PP_Grid[#Data],$DD842,35),0)</f>
        <v/>
      </c>
      <c r="AL842">
        <f>IFERROR(INDEX(PP_Grid[#Data],$DD842,36),0)</f>
        <v/>
      </c>
      <c r="AM842">
        <f>IFERROR(INDEX(PP_Grid[#Data],$DD842,37),0)</f>
        <v/>
      </c>
      <c r="AN842">
        <f>IFERROR(INDEX(PP_Grid[#Data],$DD842,38),0)</f>
        <v/>
      </c>
      <c r="AO842">
        <f>IFERROR(INDEX(PP_Grid[#Data],$DD842,39),0)</f>
        <v/>
      </c>
      <c r="AP842">
        <f>IFERROR(INDEX(PP_Grid[#Data],$DD842,40),0)</f>
        <v/>
      </c>
      <c r="AQ842">
        <f>IFERROR(INDEX(PP_Grid[#Data],$DD842,41),0)</f>
        <v/>
      </c>
      <c r="AR842">
        <f>IFERROR(INDEX(PP_Grid[#Data],$DD842,42),0)</f>
        <v/>
      </c>
      <c r="AS842">
        <f>IFERROR(INDEX(PP_Grid[#Data],$DD842,43),0)</f>
        <v/>
      </c>
      <c r="AT842">
        <f>IFERROR(INDEX(PP_Grid[#Data],$DD842,44),0)</f>
        <v/>
      </c>
      <c r="AU842">
        <f>IFERROR(INDEX(PP_Grid[#Data],$DD842,45),0)</f>
        <v/>
      </c>
      <c r="AV842">
        <f>IFERROR(INDEX(PP_Grid[#Data],$DD842,46),0)</f>
        <v/>
      </c>
      <c r="AW842">
        <f>IFERROR(INDEX(PP_Grid[#Data],$DD842,47),0)</f>
        <v/>
      </c>
      <c r="AX842">
        <f>IFERROR(INDEX(PP_Grid[#Data],$DD842,48),0)</f>
        <v/>
      </c>
      <c r="AY842">
        <f>IFERROR(INDEX(PP_Grid[#Data],$DD842,49),0)</f>
        <v/>
      </c>
      <c r="AZ842">
        <f>IFERROR(INDEX(PP_Grid[#Data],$DD842,50),0)</f>
        <v/>
      </c>
      <c r="BA842">
        <f>IFERROR(INDEX(PP_Grid[#Data],$DD842,51),0)</f>
        <v/>
      </c>
      <c r="BB842">
        <f>IFERROR(INDEX(PP_Grid[#Data],$DD842,52),0)</f>
        <v/>
      </c>
      <c r="BC842">
        <f>IFERROR(INDEX(PP_Grid[#Data],$DD842,53),0)</f>
        <v/>
      </c>
      <c r="BD842">
        <f>IFERROR(INDEX(PP_Grid[#Data],$DD842,54),0)</f>
        <v/>
      </c>
      <c r="BE842">
        <f>IFERROR(INDEX(PP_Grid[#Data],$DD842,55),0)</f>
        <v/>
      </c>
      <c r="BF842">
        <f>IFERROR(INDEX(PP_Grid[#Data],$DD842,56),0)</f>
        <v/>
      </c>
      <c r="BG842">
        <f>IFERROR(INDEX(PP_Grid[#Data],$DD842,57),0)</f>
        <v/>
      </c>
      <c r="BH842">
        <f>IFERROR(INDEX(PP_Grid[#Data],$DD842,58),0)</f>
        <v/>
      </c>
      <c r="BI842">
        <f>IFERROR(INDEX(PP_Grid[#Data],$DD842,59),0)</f>
        <v/>
      </c>
      <c r="BJ842">
        <f>IFERROR(INDEX(PP_Grid[#Data],$DD842,60),0)</f>
        <v/>
      </c>
      <c r="BK842">
        <f>IFERROR(INDEX(PP_Grid[#Data],$DD842,61),0)</f>
        <v/>
      </c>
      <c r="BL842">
        <f>IFERROR(INDEX(PP_Grid[#Data],$DD842,62),0)</f>
        <v/>
      </c>
      <c r="BM842">
        <f>IFERROR(INDEX(PP_Grid[#Data],$DD842,63),0)</f>
        <v/>
      </c>
      <c r="BN842">
        <f>IFERROR(INDEX(PP_Grid[#Data],$DD842,64),0)</f>
        <v/>
      </c>
      <c r="BO842">
        <f>IFERROR(INDEX(PP_Grid[#Data],$DD842,65),0)</f>
        <v/>
      </c>
      <c r="BP842">
        <f>IFERROR(INDEX(PP_Grid[#Data],$DD842,66),0)</f>
        <v/>
      </c>
      <c r="BQ842">
        <f>IFERROR(INDEX(PP_Grid[#Data],$DD842,67),0)</f>
        <v/>
      </c>
      <c r="BR842">
        <f>IFERROR(INDEX(PP_Grid[#Data],$DD842,68),0)</f>
        <v/>
      </c>
      <c r="BS842">
        <f>IFERROR(INDEX(PP_Grid[#Data],$DD842,69),0)</f>
        <v/>
      </c>
      <c r="BT842">
        <f>IFERROR(INDEX(PP_Grid[#Data],$DD842,70),0)</f>
        <v/>
      </c>
      <c r="BU842">
        <f>IFERROR(INDEX(PP_Grid[#Data],$DD842,71),0)</f>
        <v/>
      </c>
      <c r="BV842">
        <f>IFERROR(INDEX(PP_Grid[#Data],$DD842,72),0)</f>
        <v/>
      </c>
      <c r="BW842">
        <f>IFERROR(INDEX(PP_Grid[#Data],$DD842,73),0)</f>
        <v/>
      </c>
      <c r="BX842">
        <f>IFERROR(INDEX(PP_Grid[#Data],$DD842,74),0)</f>
        <v/>
      </c>
      <c r="BY842">
        <f>IFERROR(INDEX(PP_Grid[#Data],$DD842,75),0)</f>
        <v/>
      </c>
      <c r="BZ842">
        <f>IFERROR(INDEX(PP_Grid[#Data],$DD842,76),0)</f>
        <v/>
      </c>
      <c r="CA842">
        <f>IFERROR(INDEX(PP_Grid[#Data],$DD842,77),0)</f>
        <v/>
      </c>
      <c r="CB842">
        <f>IFERROR(INDEX(PP_Grid[#Data],$DD842,78),0)</f>
        <v/>
      </c>
      <c r="CC842">
        <f>IFERROR(INDEX(PP_Grid[#Data],$DD842,79),0)</f>
        <v/>
      </c>
      <c r="CD842">
        <f>IFERROR(INDEX(PP_Grid[#Data],$DD842,80),0)</f>
        <v/>
      </c>
      <c r="CE842">
        <f>IFERROR(INDEX(PP_Grid[#Data],$DD842,81),0)</f>
        <v/>
      </c>
      <c r="CF842">
        <f>IFERROR(INDEX(PP_Grid[#Data],$DD842,82),0)</f>
        <v/>
      </c>
      <c r="CG842">
        <f>IFERROR(INDEX(PP_Grid[#Data],$DD842,83),0)</f>
        <v/>
      </c>
      <c r="CH842">
        <f>IFERROR(INDEX(PP_Grid[#Data],$DD842,84),0)</f>
        <v/>
      </c>
      <c r="CI842">
        <f>IFERROR(INDEX(PP_Grid[#Data],$DD842,85),0)</f>
        <v/>
      </c>
      <c r="CJ842">
        <f>IFERROR(INDEX(PP_Grid[#Data],$DD842,86),0)</f>
        <v/>
      </c>
      <c r="CK842">
        <f>IFERROR(INDEX(PP_Grid[#Data],$DD842,87),0)</f>
        <v/>
      </c>
      <c r="CL842">
        <f>IFERROR(INDEX(PP_Grid[#Data],$DD842,88),0)</f>
        <v/>
      </c>
      <c r="CM842">
        <f>IFERROR(INDEX(PP_Grid[#Data],$DD842,89),0)</f>
        <v/>
      </c>
      <c r="CN842">
        <f>IFERROR(INDEX(PP_Grid[#Data],$DD842,90),0)</f>
        <v/>
      </c>
      <c r="CO842">
        <f>IFERROR(INDEX(PP_Grid[#Data],$DD842,91),0)</f>
        <v/>
      </c>
      <c r="CP842">
        <f>IFERROR(INDEX(PP_Grid[#Data],$DD842,92),0)</f>
        <v/>
      </c>
      <c r="CQ842">
        <f>IFERROR(INDEX(PP_Grid[#Data],$DD842,93),0)</f>
        <v/>
      </c>
      <c r="CR842">
        <f>IFERROR(INDEX(PP_Grid[#Data],$DD842,94),0)</f>
        <v/>
      </c>
      <c r="CS842">
        <f>IFERROR(INDEX(PP_Grid[#Data],$DD842,95),0)</f>
        <v/>
      </c>
      <c r="CT842">
        <f>IFERROR(INDEX(PP_Grid[#Data],$DD842,96),0)</f>
        <v/>
      </c>
      <c r="CU842">
        <f>IFERROR(INDEX(PP_Grid[#Data],$DD842,97),0)</f>
        <v/>
      </c>
      <c r="CV842">
        <f>IFERROR(INDEX(PP_Grid[#Data],$DD842,98),0)</f>
        <v/>
      </c>
      <c r="CW842">
        <f>IFERROR(INDEX(PP_Grid[#Data],$DD842,99),0)</f>
        <v/>
      </c>
      <c r="CX842">
        <f>IFERROR(INDEX(PP_Grid[#Data],$DD842,100),0)</f>
        <v/>
      </c>
      <c r="CY842">
        <f>IFERROR(INDEX(PP_Grid[#Data],$DD842,101),0)</f>
        <v/>
      </c>
      <c r="CZ842">
        <f>IFERROR(INDEX(PP_Grid[#Data],$DD842,102),0)</f>
        <v/>
      </c>
      <c r="DA842">
        <f>IFERROR(INDEX(PP_Grid[#Data],$DD842,103),0)</f>
        <v/>
      </c>
      <c r="DB842">
        <f>IFERROR(INDEX(PP_Grid[#Data],$DD842,104),0)</f>
        <v/>
      </c>
      <c r="DC842">
        <f>IFERROR(INDEX(PP_Grid[#Data],$DD842,105),0)</f>
        <v/>
      </c>
      <c r="DD842" s="12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SUMIFS(M_BOM[RM_Qty_Per_Batch],M_BOM[Intermediate],$B842,M_BOM[Part Name],$A831)</f>
        <v/>
      </c>
      <c r="D843">
        <f>$C843*D842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</row>
    <row r="844">
      <c r="B844" t="inlineStr">
        <is>
          <t>TSP-1449</t>
        </is>
      </c>
      <c r="C844" t="inlineStr">
        <is>
          <t>No. of batches</t>
        </is>
      </c>
      <c r="D844">
        <f>IFERROR(INDEX(PP_Grid[#Data],$DD844,2),0)</f>
        <v/>
      </c>
      <c r="E844">
        <f>IFERROR(INDEX(PP_Grid[#Data],$DD844,3),0)</f>
        <v/>
      </c>
      <c r="F844">
        <f>IFERROR(INDEX(PP_Grid[#Data],$DD844,4),0)</f>
        <v/>
      </c>
      <c r="G844">
        <f>IFERROR(INDEX(PP_Grid[#Data],$DD844,5),0)</f>
        <v/>
      </c>
      <c r="H844">
        <f>IFERROR(INDEX(PP_Grid[#Data],$DD844,6),0)</f>
        <v/>
      </c>
      <c r="I844">
        <f>IFERROR(INDEX(PP_Grid[#Data],$DD844,7),0)</f>
        <v/>
      </c>
      <c r="J844">
        <f>IFERROR(INDEX(PP_Grid[#Data],$DD844,8),0)</f>
        <v/>
      </c>
      <c r="K844">
        <f>IFERROR(INDEX(PP_Grid[#Data],$DD844,9),0)</f>
        <v/>
      </c>
      <c r="L844">
        <f>IFERROR(INDEX(PP_Grid[#Data],$DD844,10),0)</f>
        <v/>
      </c>
      <c r="M844">
        <f>IFERROR(INDEX(PP_Grid[#Data],$DD844,11),0)</f>
        <v/>
      </c>
      <c r="N844">
        <f>IFERROR(INDEX(PP_Grid[#Data],$DD844,12),0)</f>
        <v/>
      </c>
      <c r="O844">
        <f>IFERROR(INDEX(PP_Grid[#Data],$DD844,13),0)</f>
        <v/>
      </c>
      <c r="P844">
        <f>IFERROR(INDEX(PP_Grid[#Data],$DD844,14),0)</f>
        <v/>
      </c>
      <c r="Q844">
        <f>IFERROR(INDEX(PP_Grid[#Data],$DD844,15),0)</f>
        <v/>
      </c>
      <c r="R844">
        <f>IFERROR(INDEX(PP_Grid[#Data],$DD844,16),0)</f>
        <v/>
      </c>
      <c r="S844">
        <f>IFERROR(INDEX(PP_Grid[#Data],$DD844,17),0)</f>
        <v/>
      </c>
      <c r="T844">
        <f>IFERROR(INDEX(PP_Grid[#Data],$DD844,18),0)</f>
        <v/>
      </c>
      <c r="U844">
        <f>IFERROR(INDEX(PP_Grid[#Data],$DD844,19),0)</f>
        <v/>
      </c>
      <c r="V844">
        <f>IFERROR(INDEX(PP_Grid[#Data],$DD844,20),0)</f>
        <v/>
      </c>
      <c r="W844">
        <f>IFERROR(INDEX(PP_Grid[#Data],$DD844,21),0)</f>
        <v/>
      </c>
      <c r="X844">
        <f>IFERROR(INDEX(PP_Grid[#Data],$DD844,22),0)</f>
        <v/>
      </c>
      <c r="Y844">
        <f>IFERROR(INDEX(PP_Grid[#Data],$DD844,23),0)</f>
        <v/>
      </c>
      <c r="Z844">
        <f>IFERROR(INDEX(PP_Grid[#Data],$DD844,24),0)</f>
        <v/>
      </c>
      <c r="AA844">
        <f>IFERROR(INDEX(PP_Grid[#Data],$DD844,25),0)</f>
        <v/>
      </c>
      <c r="AB844">
        <f>IFERROR(INDEX(PP_Grid[#Data],$DD844,26),0)</f>
        <v/>
      </c>
      <c r="AC844">
        <f>IFERROR(INDEX(PP_Grid[#Data],$DD844,27),0)</f>
        <v/>
      </c>
      <c r="AD844">
        <f>IFERROR(INDEX(PP_Grid[#Data],$DD844,28),0)</f>
        <v/>
      </c>
      <c r="AE844">
        <f>IFERROR(INDEX(PP_Grid[#Data],$DD844,29),0)</f>
        <v/>
      </c>
      <c r="AF844">
        <f>IFERROR(INDEX(PP_Grid[#Data],$DD844,30),0)</f>
        <v/>
      </c>
      <c r="AG844">
        <f>IFERROR(INDEX(PP_Grid[#Data],$DD844,31),0)</f>
        <v/>
      </c>
      <c r="AH844">
        <f>IFERROR(INDEX(PP_Grid[#Data],$DD844,32),0)</f>
        <v/>
      </c>
      <c r="AI844">
        <f>IFERROR(INDEX(PP_Grid[#Data],$DD844,33),0)</f>
        <v/>
      </c>
      <c r="AJ844">
        <f>IFERROR(INDEX(PP_Grid[#Data],$DD844,34),0)</f>
        <v/>
      </c>
      <c r="AK844">
        <f>IFERROR(INDEX(PP_Grid[#Data],$DD844,35),0)</f>
        <v/>
      </c>
      <c r="AL844">
        <f>IFERROR(INDEX(PP_Grid[#Data],$DD844,36),0)</f>
        <v/>
      </c>
      <c r="AM844">
        <f>IFERROR(INDEX(PP_Grid[#Data],$DD844,37),0)</f>
        <v/>
      </c>
      <c r="AN844">
        <f>IFERROR(INDEX(PP_Grid[#Data],$DD844,38),0)</f>
        <v/>
      </c>
      <c r="AO844">
        <f>IFERROR(INDEX(PP_Grid[#Data],$DD844,39),0)</f>
        <v/>
      </c>
      <c r="AP844">
        <f>IFERROR(INDEX(PP_Grid[#Data],$DD844,40),0)</f>
        <v/>
      </c>
      <c r="AQ844">
        <f>IFERROR(INDEX(PP_Grid[#Data],$DD844,41),0)</f>
        <v/>
      </c>
      <c r="AR844">
        <f>IFERROR(INDEX(PP_Grid[#Data],$DD844,42),0)</f>
        <v/>
      </c>
      <c r="AS844">
        <f>IFERROR(INDEX(PP_Grid[#Data],$DD844,43),0)</f>
        <v/>
      </c>
      <c r="AT844">
        <f>IFERROR(INDEX(PP_Grid[#Data],$DD844,44),0)</f>
        <v/>
      </c>
      <c r="AU844">
        <f>IFERROR(INDEX(PP_Grid[#Data],$DD844,45),0)</f>
        <v/>
      </c>
      <c r="AV844">
        <f>IFERROR(INDEX(PP_Grid[#Data],$DD844,46),0)</f>
        <v/>
      </c>
      <c r="AW844">
        <f>IFERROR(INDEX(PP_Grid[#Data],$DD844,47),0)</f>
        <v/>
      </c>
      <c r="AX844">
        <f>IFERROR(INDEX(PP_Grid[#Data],$DD844,48),0)</f>
        <v/>
      </c>
      <c r="AY844">
        <f>IFERROR(INDEX(PP_Grid[#Data],$DD844,49),0)</f>
        <v/>
      </c>
      <c r="AZ844">
        <f>IFERROR(INDEX(PP_Grid[#Data],$DD844,50),0)</f>
        <v/>
      </c>
      <c r="BA844">
        <f>IFERROR(INDEX(PP_Grid[#Data],$DD844,51),0)</f>
        <v/>
      </c>
      <c r="BB844">
        <f>IFERROR(INDEX(PP_Grid[#Data],$DD844,52),0)</f>
        <v/>
      </c>
      <c r="BC844">
        <f>IFERROR(INDEX(PP_Grid[#Data],$DD844,53),0)</f>
        <v/>
      </c>
      <c r="BD844">
        <f>IFERROR(INDEX(PP_Grid[#Data],$DD844,54),0)</f>
        <v/>
      </c>
      <c r="BE844">
        <f>IFERROR(INDEX(PP_Grid[#Data],$DD844,55),0)</f>
        <v/>
      </c>
      <c r="BF844">
        <f>IFERROR(INDEX(PP_Grid[#Data],$DD844,56),0)</f>
        <v/>
      </c>
      <c r="BG844">
        <f>IFERROR(INDEX(PP_Grid[#Data],$DD844,57),0)</f>
        <v/>
      </c>
      <c r="BH844">
        <f>IFERROR(INDEX(PP_Grid[#Data],$DD844,58),0)</f>
        <v/>
      </c>
      <c r="BI844">
        <f>IFERROR(INDEX(PP_Grid[#Data],$DD844,59),0)</f>
        <v/>
      </c>
      <c r="BJ844">
        <f>IFERROR(INDEX(PP_Grid[#Data],$DD844,60),0)</f>
        <v/>
      </c>
      <c r="BK844">
        <f>IFERROR(INDEX(PP_Grid[#Data],$DD844,61),0)</f>
        <v/>
      </c>
      <c r="BL844">
        <f>IFERROR(INDEX(PP_Grid[#Data],$DD844,62),0)</f>
        <v/>
      </c>
      <c r="BM844">
        <f>IFERROR(INDEX(PP_Grid[#Data],$DD844,63),0)</f>
        <v/>
      </c>
      <c r="BN844">
        <f>IFERROR(INDEX(PP_Grid[#Data],$DD844,64),0)</f>
        <v/>
      </c>
      <c r="BO844">
        <f>IFERROR(INDEX(PP_Grid[#Data],$DD844,65),0)</f>
        <v/>
      </c>
      <c r="BP844">
        <f>IFERROR(INDEX(PP_Grid[#Data],$DD844,66),0)</f>
        <v/>
      </c>
      <c r="BQ844">
        <f>IFERROR(INDEX(PP_Grid[#Data],$DD844,67),0)</f>
        <v/>
      </c>
      <c r="BR844">
        <f>IFERROR(INDEX(PP_Grid[#Data],$DD844,68),0)</f>
        <v/>
      </c>
      <c r="BS844">
        <f>IFERROR(INDEX(PP_Grid[#Data],$DD844,69),0)</f>
        <v/>
      </c>
      <c r="BT844">
        <f>IFERROR(INDEX(PP_Grid[#Data],$DD844,70),0)</f>
        <v/>
      </c>
      <c r="BU844">
        <f>IFERROR(INDEX(PP_Grid[#Data],$DD844,71),0)</f>
        <v/>
      </c>
      <c r="BV844">
        <f>IFERROR(INDEX(PP_Grid[#Data],$DD844,72),0)</f>
        <v/>
      </c>
      <c r="BW844">
        <f>IFERROR(INDEX(PP_Grid[#Data],$DD844,73),0)</f>
        <v/>
      </c>
      <c r="BX844">
        <f>IFERROR(INDEX(PP_Grid[#Data],$DD844,74),0)</f>
        <v/>
      </c>
      <c r="BY844">
        <f>IFERROR(INDEX(PP_Grid[#Data],$DD844,75),0)</f>
        <v/>
      </c>
      <c r="BZ844">
        <f>IFERROR(INDEX(PP_Grid[#Data],$DD844,76),0)</f>
        <v/>
      </c>
      <c r="CA844">
        <f>IFERROR(INDEX(PP_Grid[#Data],$DD844,77),0)</f>
        <v/>
      </c>
      <c r="CB844">
        <f>IFERROR(INDEX(PP_Grid[#Data],$DD844,78),0)</f>
        <v/>
      </c>
      <c r="CC844">
        <f>IFERROR(INDEX(PP_Grid[#Data],$DD844,79),0)</f>
        <v/>
      </c>
      <c r="CD844">
        <f>IFERROR(INDEX(PP_Grid[#Data],$DD844,80),0)</f>
        <v/>
      </c>
      <c r="CE844">
        <f>IFERROR(INDEX(PP_Grid[#Data],$DD844,81),0)</f>
        <v/>
      </c>
      <c r="CF844">
        <f>IFERROR(INDEX(PP_Grid[#Data],$DD844,82),0)</f>
        <v/>
      </c>
      <c r="CG844">
        <f>IFERROR(INDEX(PP_Grid[#Data],$DD844,83),0)</f>
        <v/>
      </c>
      <c r="CH844">
        <f>IFERROR(INDEX(PP_Grid[#Data],$DD844,84),0)</f>
        <v/>
      </c>
      <c r="CI844">
        <f>IFERROR(INDEX(PP_Grid[#Data],$DD844,85),0)</f>
        <v/>
      </c>
      <c r="CJ844">
        <f>IFERROR(INDEX(PP_Grid[#Data],$DD844,86),0)</f>
        <v/>
      </c>
      <c r="CK844">
        <f>IFERROR(INDEX(PP_Grid[#Data],$DD844,87),0)</f>
        <v/>
      </c>
      <c r="CL844">
        <f>IFERROR(INDEX(PP_Grid[#Data],$DD844,88),0)</f>
        <v/>
      </c>
      <c r="CM844">
        <f>IFERROR(INDEX(PP_Grid[#Data],$DD844,89),0)</f>
        <v/>
      </c>
      <c r="CN844">
        <f>IFERROR(INDEX(PP_Grid[#Data],$DD844,90),0)</f>
        <v/>
      </c>
      <c r="CO844">
        <f>IFERROR(INDEX(PP_Grid[#Data],$DD844,91),0)</f>
        <v/>
      </c>
      <c r="CP844">
        <f>IFERROR(INDEX(PP_Grid[#Data],$DD844,92),0)</f>
        <v/>
      </c>
      <c r="CQ844">
        <f>IFERROR(INDEX(PP_Grid[#Data],$DD844,93),0)</f>
        <v/>
      </c>
      <c r="CR844">
        <f>IFERROR(INDEX(PP_Grid[#Data],$DD844,94),0)</f>
        <v/>
      </c>
      <c r="CS844">
        <f>IFERROR(INDEX(PP_Grid[#Data],$DD844,95),0)</f>
        <v/>
      </c>
      <c r="CT844">
        <f>IFERROR(INDEX(PP_Grid[#Data],$DD844,96),0)</f>
        <v/>
      </c>
      <c r="CU844">
        <f>IFERROR(INDEX(PP_Grid[#Data],$DD844,97),0)</f>
        <v/>
      </c>
      <c r="CV844">
        <f>IFERROR(INDEX(PP_Grid[#Data],$DD844,98),0)</f>
        <v/>
      </c>
      <c r="CW844">
        <f>IFERROR(INDEX(PP_Grid[#Data],$DD844,99),0)</f>
        <v/>
      </c>
      <c r="CX844">
        <f>IFERROR(INDEX(PP_Grid[#Data],$DD844,100),0)</f>
        <v/>
      </c>
      <c r="CY844">
        <f>IFERROR(INDEX(PP_Grid[#Data],$DD844,101),0)</f>
        <v/>
      </c>
      <c r="CZ844">
        <f>IFERROR(INDEX(PP_Grid[#Data],$DD844,102),0)</f>
        <v/>
      </c>
      <c r="DA844">
        <f>IFERROR(INDEX(PP_Grid[#Data],$DD844,103),0)</f>
        <v/>
      </c>
      <c r="DB844">
        <f>IFERROR(INDEX(PP_Grid[#Data],$DD844,104),0)</f>
        <v/>
      </c>
      <c r="DC844">
        <f>IFERROR(INDEX(PP_Grid[#Data],$DD844,105),0)</f>
        <v/>
      </c>
      <c r="DD844" s="12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SUMIFS(M_BOM[RM_Qty_Per_Batch],M_BOM[Intermediate],$B844,M_BOM[Part Name],$A831)</f>
        <v/>
      </c>
      <c r="D845">
        <f>$C845*D844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</row>
    <row r="846">
      <c r="B846" t="inlineStr">
        <is>
          <t>TSP-369</t>
        </is>
      </c>
      <c r="C846" t="inlineStr">
        <is>
          <t>No. of batches</t>
        </is>
      </c>
      <c r="D846">
        <f>IFERROR(INDEX(PP_Grid[#Data],$DD846,2),0)</f>
        <v/>
      </c>
      <c r="E846">
        <f>IFERROR(INDEX(PP_Grid[#Data],$DD846,3),0)</f>
        <v/>
      </c>
      <c r="F846">
        <f>IFERROR(INDEX(PP_Grid[#Data],$DD846,4),0)</f>
        <v/>
      </c>
      <c r="G846">
        <f>IFERROR(INDEX(PP_Grid[#Data],$DD846,5),0)</f>
        <v/>
      </c>
      <c r="H846">
        <f>IFERROR(INDEX(PP_Grid[#Data],$DD846,6),0)</f>
        <v/>
      </c>
      <c r="I846">
        <f>IFERROR(INDEX(PP_Grid[#Data],$DD846,7),0)</f>
        <v/>
      </c>
      <c r="J846">
        <f>IFERROR(INDEX(PP_Grid[#Data],$DD846,8),0)</f>
        <v/>
      </c>
      <c r="K846">
        <f>IFERROR(INDEX(PP_Grid[#Data],$DD846,9),0)</f>
        <v/>
      </c>
      <c r="L846">
        <f>IFERROR(INDEX(PP_Grid[#Data],$DD846,10),0)</f>
        <v/>
      </c>
      <c r="M846">
        <f>IFERROR(INDEX(PP_Grid[#Data],$DD846,11),0)</f>
        <v/>
      </c>
      <c r="N846">
        <f>IFERROR(INDEX(PP_Grid[#Data],$DD846,12),0)</f>
        <v/>
      </c>
      <c r="O846">
        <f>IFERROR(INDEX(PP_Grid[#Data],$DD846,13),0)</f>
        <v/>
      </c>
      <c r="P846">
        <f>IFERROR(INDEX(PP_Grid[#Data],$DD846,14),0)</f>
        <v/>
      </c>
      <c r="Q846">
        <f>IFERROR(INDEX(PP_Grid[#Data],$DD846,15),0)</f>
        <v/>
      </c>
      <c r="R846">
        <f>IFERROR(INDEX(PP_Grid[#Data],$DD846,16),0)</f>
        <v/>
      </c>
      <c r="S846">
        <f>IFERROR(INDEX(PP_Grid[#Data],$DD846,17),0)</f>
        <v/>
      </c>
      <c r="T846">
        <f>IFERROR(INDEX(PP_Grid[#Data],$DD846,18),0)</f>
        <v/>
      </c>
      <c r="U846">
        <f>IFERROR(INDEX(PP_Grid[#Data],$DD846,19),0)</f>
        <v/>
      </c>
      <c r="V846">
        <f>IFERROR(INDEX(PP_Grid[#Data],$DD846,20),0)</f>
        <v/>
      </c>
      <c r="W846">
        <f>IFERROR(INDEX(PP_Grid[#Data],$DD846,21),0)</f>
        <v/>
      </c>
      <c r="X846">
        <f>IFERROR(INDEX(PP_Grid[#Data],$DD846,22),0)</f>
        <v/>
      </c>
      <c r="Y846">
        <f>IFERROR(INDEX(PP_Grid[#Data],$DD846,23),0)</f>
        <v/>
      </c>
      <c r="Z846">
        <f>IFERROR(INDEX(PP_Grid[#Data],$DD846,24),0)</f>
        <v/>
      </c>
      <c r="AA846">
        <f>IFERROR(INDEX(PP_Grid[#Data],$DD846,25),0)</f>
        <v/>
      </c>
      <c r="AB846">
        <f>IFERROR(INDEX(PP_Grid[#Data],$DD846,26),0)</f>
        <v/>
      </c>
      <c r="AC846">
        <f>IFERROR(INDEX(PP_Grid[#Data],$DD846,27),0)</f>
        <v/>
      </c>
      <c r="AD846">
        <f>IFERROR(INDEX(PP_Grid[#Data],$DD846,28),0)</f>
        <v/>
      </c>
      <c r="AE846">
        <f>IFERROR(INDEX(PP_Grid[#Data],$DD846,29),0)</f>
        <v/>
      </c>
      <c r="AF846">
        <f>IFERROR(INDEX(PP_Grid[#Data],$DD846,30),0)</f>
        <v/>
      </c>
      <c r="AG846">
        <f>IFERROR(INDEX(PP_Grid[#Data],$DD846,31),0)</f>
        <v/>
      </c>
      <c r="AH846">
        <f>IFERROR(INDEX(PP_Grid[#Data],$DD846,32),0)</f>
        <v/>
      </c>
      <c r="AI846">
        <f>IFERROR(INDEX(PP_Grid[#Data],$DD846,33),0)</f>
        <v/>
      </c>
      <c r="AJ846">
        <f>IFERROR(INDEX(PP_Grid[#Data],$DD846,34),0)</f>
        <v/>
      </c>
      <c r="AK846">
        <f>IFERROR(INDEX(PP_Grid[#Data],$DD846,35),0)</f>
        <v/>
      </c>
      <c r="AL846">
        <f>IFERROR(INDEX(PP_Grid[#Data],$DD846,36),0)</f>
        <v/>
      </c>
      <c r="AM846">
        <f>IFERROR(INDEX(PP_Grid[#Data],$DD846,37),0)</f>
        <v/>
      </c>
      <c r="AN846">
        <f>IFERROR(INDEX(PP_Grid[#Data],$DD846,38),0)</f>
        <v/>
      </c>
      <c r="AO846">
        <f>IFERROR(INDEX(PP_Grid[#Data],$DD846,39),0)</f>
        <v/>
      </c>
      <c r="AP846">
        <f>IFERROR(INDEX(PP_Grid[#Data],$DD846,40),0)</f>
        <v/>
      </c>
      <c r="AQ846">
        <f>IFERROR(INDEX(PP_Grid[#Data],$DD846,41),0)</f>
        <v/>
      </c>
      <c r="AR846">
        <f>IFERROR(INDEX(PP_Grid[#Data],$DD846,42),0)</f>
        <v/>
      </c>
      <c r="AS846">
        <f>IFERROR(INDEX(PP_Grid[#Data],$DD846,43),0)</f>
        <v/>
      </c>
      <c r="AT846">
        <f>IFERROR(INDEX(PP_Grid[#Data],$DD846,44),0)</f>
        <v/>
      </c>
      <c r="AU846">
        <f>IFERROR(INDEX(PP_Grid[#Data],$DD846,45),0)</f>
        <v/>
      </c>
      <c r="AV846">
        <f>IFERROR(INDEX(PP_Grid[#Data],$DD846,46),0)</f>
        <v/>
      </c>
      <c r="AW846">
        <f>IFERROR(INDEX(PP_Grid[#Data],$DD846,47),0)</f>
        <v/>
      </c>
      <c r="AX846">
        <f>IFERROR(INDEX(PP_Grid[#Data],$DD846,48),0)</f>
        <v/>
      </c>
      <c r="AY846">
        <f>IFERROR(INDEX(PP_Grid[#Data],$DD846,49),0)</f>
        <v/>
      </c>
      <c r="AZ846">
        <f>IFERROR(INDEX(PP_Grid[#Data],$DD846,50),0)</f>
        <v/>
      </c>
      <c r="BA846">
        <f>IFERROR(INDEX(PP_Grid[#Data],$DD846,51),0)</f>
        <v/>
      </c>
      <c r="BB846">
        <f>IFERROR(INDEX(PP_Grid[#Data],$DD846,52),0)</f>
        <v/>
      </c>
      <c r="BC846">
        <f>IFERROR(INDEX(PP_Grid[#Data],$DD846,53),0)</f>
        <v/>
      </c>
      <c r="BD846">
        <f>IFERROR(INDEX(PP_Grid[#Data],$DD846,54),0)</f>
        <v/>
      </c>
      <c r="BE846">
        <f>IFERROR(INDEX(PP_Grid[#Data],$DD846,55),0)</f>
        <v/>
      </c>
      <c r="BF846">
        <f>IFERROR(INDEX(PP_Grid[#Data],$DD846,56),0)</f>
        <v/>
      </c>
      <c r="BG846">
        <f>IFERROR(INDEX(PP_Grid[#Data],$DD846,57),0)</f>
        <v/>
      </c>
      <c r="BH846">
        <f>IFERROR(INDEX(PP_Grid[#Data],$DD846,58),0)</f>
        <v/>
      </c>
      <c r="BI846">
        <f>IFERROR(INDEX(PP_Grid[#Data],$DD846,59),0)</f>
        <v/>
      </c>
      <c r="BJ846">
        <f>IFERROR(INDEX(PP_Grid[#Data],$DD846,60),0)</f>
        <v/>
      </c>
      <c r="BK846">
        <f>IFERROR(INDEX(PP_Grid[#Data],$DD846,61),0)</f>
        <v/>
      </c>
      <c r="BL846">
        <f>IFERROR(INDEX(PP_Grid[#Data],$DD846,62),0)</f>
        <v/>
      </c>
      <c r="BM846">
        <f>IFERROR(INDEX(PP_Grid[#Data],$DD846,63),0)</f>
        <v/>
      </c>
      <c r="BN846">
        <f>IFERROR(INDEX(PP_Grid[#Data],$DD846,64),0)</f>
        <v/>
      </c>
      <c r="BO846">
        <f>IFERROR(INDEX(PP_Grid[#Data],$DD846,65),0)</f>
        <v/>
      </c>
      <c r="BP846">
        <f>IFERROR(INDEX(PP_Grid[#Data],$DD846,66),0)</f>
        <v/>
      </c>
      <c r="BQ846">
        <f>IFERROR(INDEX(PP_Grid[#Data],$DD846,67),0)</f>
        <v/>
      </c>
      <c r="BR846">
        <f>IFERROR(INDEX(PP_Grid[#Data],$DD846,68),0)</f>
        <v/>
      </c>
      <c r="BS846">
        <f>IFERROR(INDEX(PP_Grid[#Data],$DD846,69),0)</f>
        <v/>
      </c>
      <c r="BT846">
        <f>IFERROR(INDEX(PP_Grid[#Data],$DD846,70),0)</f>
        <v/>
      </c>
      <c r="BU846">
        <f>IFERROR(INDEX(PP_Grid[#Data],$DD846,71),0)</f>
        <v/>
      </c>
      <c r="BV846">
        <f>IFERROR(INDEX(PP_Grid[#Data],$DD846,72),0)</f>
        <v/>
      </c>
      <c r="BW846">
        <f>IFERROR(INDEX(PP_Grid[#Data],$DD846,73),0)</f>
        <v/>
      </c>
      <c r="BX846">
        <f>IFERROR(INDEX(PP_Grid[#Data],$DD846,74),0)</f>
        <v/>
      </c>
      <c r="BY846">
        <f>IFERROR(INDEX(PP_Grid[#Data],$DD846,75),0)</f>
        <v/>
      </c>
      <c r="BZ846">
        <f>IFERROR(INDEX(PP_Grid[#Data],$DD846,76),0)</f>
        <v/>
      </c>
      <c r="CA846">
        <f>IFERROR(INDEX(PP_Grid[#Data],$DD846,77),0)</f>
        <v/>
      </c>
      <c r="CB846">
        <f>IFERROR(INDEX(PP_Grid[#Data],$DD846,78),0)</f>
        <v/>
      </c>
      <c r="CC846">
        <f>IFERROR(INDEX(PP_Grid[#Data],$DD846,79),0)</f>
        <v/>
      </c>
      <c r="CD846">
        <f>IFERROR(INDEX(PP_Grid[#Data],$DD846,80),0)</f>
        <v/>
      </c>
      <c r="CE846">
        <f>IFERROR(INDEX(PP_Grid[#Data],$DD846,81),0)</f>
        <v/>
      </c>
      <c r="CF846">
        <f>IFERROR(INDEX(PP_Grid[#Data],$DD846,82),0)</f>
        <v/>
      </c>
      <c r="CG846">
        <f>IFERROR(INDEX(PP_Grid[#Data],$DD846,83),0)</f>
        <v/>
      </c>
      <c r="CH846">
        <f>IFERROR(INDEX(PP_Grid[#Data],$DD846,84),0)</f>
        <v/>
      </c>
      <c r="CI846">
        <f>IFERROR(INDEX(PP_Grid[#Data],$DD846,85),0)</f>
        <v/>
      </c>
      <c r="CJ846">
        <f>IFERROR(INDEX(PP_Grid[#Data],$DD846,86),0)</f>
        <v/>
      </c>
      <c r="CK846">
        <f>IFERROR(INDEX(PP_Grid[#Data],$DD846,87),0)</f>
        <v/>
      </c>
      <c r="CL846">
        <f>IFERROR(INDEX(PP_Grid[#Data],$DD846,88),0)</f>
        <v/>
      </c>
      <c r="CM846">
        <f>IFERROR(INDEX(PP_Grid[#Data],$DD846,89),0)</f>
        <v/>
      </c>
      <c r="CN846">
        <f>IFERROR(INDEX(PP_Grid[#Data],$DD846,90),0)</f>
        <v/>
      </c>
      <c r="CO846">
        <f>IFERROR(INDEX(PP_Grid[#Data],$DD846,91),0)</f>
        <v/>
      </c>
      <c r="CP846">
        <f>IFERROR(INDEX(PP_Grid[#Data],$DD846,92),0)</f>
        <v/>
      </c>
      <c r="CQ846">
        <f>IFERROR(INDEX(PP_Grid[#Data],$DD846,93),0)</f>
        <v/>
      </c>
      <c r="CR846">
        <f>IFERROR(INDEX(PP_Grid[#Data],$DD846,94),0)</f>
        <v/>
      </c>
      <c r="CS846">
        <f>IFERROR(INDEX(PP_Grid[#Data],$DD846,95),0)</f>
        <v/>
      </c>
      <c r="CT846">
        <f>IFERROR(INDEX(PP_Grid[#Data],$DD846,96),0)</f>
        <v/>
      </c>
      <c r="CU846">
        <f>IFERROR(INDEX(PP_Grid[#Data],$DD846,97),0)</f>
        <v/>
      </c>
      <c r="CV846">
        <f>IFERROR(INDEX(PP_Grid[#Data],$DD846,98),0)</f>
        <v/>
      </c>
      <c r="CW846">
        <f>IFERROR(INDEX(PP_Grid[#Data],$DD846,99),0)</f>
        <v/>
      </c>
      <c r="CX846">
        <f>IFERROR(INDEX(PP_Grid[#Data],$DD846,100),0)</f>
        <v/>
      </c>
      <c r="CY846">
        <f>IFERROR(INDEX(PP_Grid[#Data],$DD846,101),0)</f>
        <v/>
      </c>
      <c r="CZ846">
        <f>IFERROR(INDEX(PP_Grid[#Data],$DD846,102),0)</f>
        <v/>
      </c>
      <c r="DA846">
        <f>IFERROR(INDEX(PP_Grid[#Data],$DD846,103),0)</f>
        <v/>
      </c>
      <c r="DB846">
        <f>IFERROR(INDEX(PP_Grid[#Data],$DD846,104),0)</f>
        <v/>
      </c>
      <c r="DC846">
        <f>IFERROR(INDEX(PP_Grid[#Data],$DD846,105),0)</f>
        <v/>
      </c>
      <c r="DD846" s="12">
        <f>IFERROR(MATCH($B846,PP_Grid[Intermediate],0),99999)</f>
        <v/>
      </c>
    </row>
    <row r="847">
      <c r="B847" t="inlineStr">
        <is>
          <t>使用量(kg)</t>
        </is>
      </c>
      <c r="C847">
        <f>SUMIFS(M_BOM[RM_Qty_Per_Batch],M_BOM[Intermediate],$B846,M_BOM[Part Name],$A831)</f>
        <v/>
      </c>
      <c r="D847">
        <f>$C847*D846</f>
        <v/>
      </c>
      <c r="E847">
        <f>$C847*E846</f>
        <v/>
      </c>
      <c r="F847">
        <f>$C847*F846</f>
        <v/>
      </c>
      <c r="G847">
        <f>$C847*G846</f>
        <v/>
      </c>
      <c r="H847">
        <f>$C847*H846</f>
        <v/>
      </c>
      <c r="I847">
        <f>$C847*I846</f>
        <v/>
      </c>
      <c r="J847">
        <f>$C847*J846</f>
        <v/>
      </c>
      <c r="K847">
        <f>$C847*K846</f>
        <v/>
      </c>
      <c r="L847">
        <f>$C847*L846</f>
        <v/>
      </c>
      <c r="M847">
        <f>$C847*M846</f>
        <v/>
      </c>
      <c r="N847">
        <f>$C847*N846</f>
        <v/>
      </c>
      <c r="O847">
        <f>$C847*O846</f>
        <v/>
      </c>
      <c r="P847">
        <f>$C847*P846</f>
        <v/>
      </c>
      <c r="Q847">
        <f>$C847*Q846</f>
        <v/>
      </c>
      <c r="R847">
        <f>$C847*R846</f>
        <v/>
      </c>
      <c r="S847">
        <f>$C847*S846</f>
        <v/>
      </c>
      <c r="T847">
        <f>$C847*T846</f>
        <v/>
      </c>
      <c r="U847">
        <f>$C847*U846</f>
        <v/>
      </c>
      <c r="V847">
        <f>$C847*V846</f>
        <v/>
      </c>
      <c r="W847">
        <f>$C847*W846</f>
        <v/>
      </c>
      <c r="X847">
        <f>$C847*X846</f>
        <v/>
      </c>
      <c r="Y847">
        <f>$C847*Y846</f>
        <v/>
      </c>
      <c r="Z847">
        <f>$C847*Z846</f>
        <v/>
      </c>
      <c r="AA847">
        <f>$C847*AA846</f>
        <v/>
      </c>
      <c r="AB847">
        <f>$C847*AB846</f>
        <v/>
      </c>
      <c r="AC847">
        <f>$C847*AC846</f>
        <v/>
      </c>
      <c r="AD847">
        <f>$C847*AD846</f>
        <v/>
      </c>
      <c r="AE847">
        <f>$C847*AE846</f>
        <v/>
      </c>
      <c r="AF847">
        <f>$C847*AF846</f>
        <v/>
      </c>
      <c r="AG847">
        <f>$C847*AG846</f>
        <v/>
      </c>
      <c r="AH847">
        <f>$C847*AH846</f>
        <v/>
      </c>
      <c r="AI847">
        <f>$C847*AI846</f>
        <v/>
      </c>
      <c r="AJ847">
        <f>$C847*AJ846</f>
        <v/>
      </c>
      <c r="AK847">
        <f>$C847*AK846</f>
        <v/>
      </c>
      <c r="AL847">
        <f>$C847*AL846</f>
        <v/>
      </c>
      <c r="AM847">
        <f>$C847*AM846</f>
        <v/>
      </c>
      <c r="AN847">
        <f>$C847*AN846</f>
        <v/>
      </c>
      <c r="AO847">
        <f>$C847*AO846</f>
        <v/>
      </c>
      <c r="AP847">
        <f>$C847*AP846</f>
        <v/>
      </c>
      <c r="AQ847">
        <f>$C847*AQ846</f>
        <v/>
      </c>
      <c r="AR847">
        <f>$C847*AR846</f>
        <v/>
      </c>
      <c r="AS847">
        <f>$C847*AS846</f>
        <v/>
      </c>
      <c r="AT847">
        <f>$C847*AT846</f>
        <v/>
      </c>
      <c r="AU847">
        <f>$C847*AU846</f>
        <v/>
      </c>
      <c r="AV847">
        <f>$C847*AV846</f>
        <v/>
      </c>
      <c r="AW847">
        <f>$C847*AW846</f>
        <v/>
      </c>
      <c r="AX847">
        <f>$C847*AX846</f>
        <v/>
      </c>
      <c r="AY847">
        <f>$C847*AY846</f>
        <v/>
      </c>
      <c r="AZ847">
        <f>$C847*AZ846</f>
        <v/>
      </c>
      <c r="BA847">
        <f>$C847*BA846</f>
        <v/>
      </c>
      <c r="BB847">
        <f>$C847*BB846</f>
        <v/>
      </c>
      <c r="BC847">
        <f>$C847*BC846</f>
        <v/>
      </c>
      <c r="BD847">
        <f>$C847*BD846</f>
        <v/>
      </c>
      <c r="BE847">
        <f>$C847*BE846</f>
        <v/>
      </c>
      <c r="BF847">
        <f>$C847*BF846</f>
        <v/>
      </c>
      <c r="BG847">
        <f>$C847*BG846</f>
        <v/>
      </c>
      <c r="BH847">
        <f>$C847*BH846</f>
        <v/>
      </c>
      <c r="BI847">
        <f>$C847*BI846</f>
        <v/>
      </c>
      <c r="BJ847">
        <f>$C847*BJ846</f>
        <v/>
      </c>
      <c r="BK847">
        <f>$C847*BK846</f>
        <v/>
      </c>
      <c r="BL847">
        <f>$C847*BL846</f>
        <v/>
      </c>
      <c r="BM847">
        <f>$C847*BM846</f>
        <v/>
      </c>
      <c r="BN847">
        <f>$C847*BN846</f>
        <v/>
      </c>
      <c r="BO847">
        <f>$C847*BO846</f>
        <v/>
      </c>
      <c r="BP847">
        <f>$C847*BP846</f>
        <v/>
      </c>
      <c r="BQ847">
        <f>$C847*BQ846</f>
        <v/>
      </c>
      <c r="BR847">
        <f>$C847*BR846</f>
        <v/>
      </c>
      <c r="BS847">
        <f>$C847*BS846</f>
        <v/>
      </c>
      <c r="BT847">
        <f>$C847*BT846</f>
        <v/>
      </c>
      <c r="BU847">
        <f>$C847*BU846</f>
        <v/>
      </c>
      <c r="BV847">
        <f>$C847*BV846</f>
        <v/>
      </c>
      <c r="BW847">
        <f>$C847*BW846</f>
        <v/>
      </c>
      <c r="BX847">
        <f>$C847*BX846</f>
        <v/>
      </c>
      <c r="BY847">
        <f>$C847*BY846</f>
        <v/>
      </c>
      <c r="BZ847">
        <f>$C847*BZ846</f>
        <v/>
      </c>
      <c r="CA847">
        <f>$C847*CA846</f>
        <v/>
      </c>
      <c r="CB847">
        <f>$C847*CB846</f>
        <v/>
      </c>
      <c r="CC847">
        <f>$C847*CC846</f>
        <v/>
      </c>
      <c r="CD847">
        <f>$C847*CD846</f>
        <v/>
      </c>
      <c r="CE847">
        <f>$C847*CE846</f>
        <v/>
      </c>
      <c r="CF847">
        <f>$C847*CF846</f>
        <v/>
      </c>
      <c r="CG847">
        <f>$C847*CG846</f>
        <v/>
      </c>
      <c r="CH847">
        <f>$C847*CH846</f>
        <v/>
      </c>
      <c r="CI847">
        <f>$C847*CI846</f>
        <v/>
      </c>
      <c r="CJ847">
        <f>$C847*CJ846</f>
        <v/>
      </c>
      <c r="CK847">
        <f>$C847*CK846</f>
        <v/>
      </c>
      <c r="CL847">
        <f>$C847*CL846</f>
        <v/>
      </c>
      <c r="CM847">
        <f>$C847*CM846</f>
        <v/>
      </c>
      <c r="CN847">
        <f>$C847*CN846</f>
        <v/>
      </c>
      <c r="CO847">
        <f>$C847*CO846</f>
        <v/>
      </c>
      <c r="CP847">
        <f>$C847*CP846</f>
        <v/>
      </c>
      <c r="CQ847">
        <f>$C847*CQ846</f>
        <v/>
      </c>
      <c r="CR847">
        <f>$C847*CR846</f>
        <v/>
      </c>
      <c r="CS847">
        <f>$C847*CS846</f>
        <v/>
      </c>
      <c r="CT847">
        <f>$C847*CT846</f>
        <v/>
      </c>
      <c r="CU847">
        <f>$C847*CU846</f>
        <v/>
      </c>
      <c r="CV847">
        <f>$C847*CV846</f>
        <v/>
      </c>
      <c r="CW847">
        <f>$C847*CW846</f>
        <v/>
      </c>
      <c r="CX847">
        <f>$C847*CX846</f>
        <v/>
      </c>
      <c r="CY847">
        <f>$C847*CY846</f>
        <v/>
      </c>
      <c r="CZ847">
        <f>$C847*CZ846</f>
        <v/>
      </c>
      <c r="DA847">
        <f>$C847*DA846</f>
        <v/>
      </c>
      <c r="DB847">
        <f>$C847*DB846</f>
        <v/>
      </c>
      <c r="DC847">
        <f>$C847*DC846</f>
        <v/>
      </c>
    </row>
    <row r="848">
      <c r="B848" t="inlineStr">
        <is>
          <t>TSP-558</t>
        </is>
      </c>
      <c r="C848" t="inlineStr">
        <is>
          <t>No. of batches</t>
        </is>
      </c>
      <c r="D848">
        <f>IFERROR(INDEX(PP_Grid[#Data],$DD848,2),0)</f>
        <v/>
      </c>
      <c r="E848">
        <f>IFERROR(INDEX(PP_Grid[#Data],$DD848,3),0)</f>
        <v/>
      </c>
      <c r="F848">
        <f>IFERROR(INDEX(PP_Grid[#Data],$DD848,4),0)</f>
        <v/>
      </c>
      <c r="G848">
        <f>IFERROR(INDEX(PP_Grid[#Data],$DD848,5),0)</f>
        <v/>
      </c>
      <c r="H848">
        <f>IFERROR(INDEX(PP_Grid[#Data],$DD848,6),0)</f>
        <v/>
      </c>
      <c r="I848">
        <f>IFERROR(INDEX(PP_Grid[#Data],$DD848,7),0)</f>
        <v/>
      </c>
      <c r="J848">
        <f>IFERROR(INDEX(PP_Grid[#Data],$DD848,8),0)</f>
        <v/>
      </c>
      <c r="K848">
        <f>IFERROR(INDEX(PP_Grid[#Data],$DD848,9),0)</f>
        <v/>
      </c>
      <c r="L848">
        <f>IFERROR(INDEX(PP_Grid[#Data],$DD848,10),0)</f>
        <v/>
      </c>
      <c r="M848">
        <f>IFERROR(INDEX(PP_Grid[#Data],$DD848,11),0)</f>
        <v/>
      </c>
      <c r="N848">
        <f>IFERROR(INDEX(PP_Grid[#Data],$DD848,12),0)</f>
        <v/>
      </c>
      <c r="O848">
        <f>IFERROR(INDEX(PP_Grid[#Data],$DD848,13),0)</f>
        <v/>
      </c>
      <c r="P848">
        <f>IFERROR(INDEX(PP_Grid[#Data],$DD848,14),0)</f>
        <v/>
      </c>
      <c r="Q848">
        <f>IFERROR(INDEX(PP_Grid[#Data],$DD848,15),0)</f>
        <v/>
      </c>
      <c r="R848">
        <f>IFERROR(INDEX(PP_Grid[#Data],$DD848,16),0)</f>
        <v/>
      </c>
      <c r="S848">
        <f>IFERROR(INDEX(PP_Grid[#Data],$DD848,17),0)</f>
        <v/>
      </c>
      <c r="T848">
        <f>IFERROR(INDEX(PP_Grid[#Data],$DD848,18),0)</f>
        <v/>
      </c>
      <c r="U848">
        <f>IFERROR(INDEX(PP_Grid[#Data],$DD848,19),0)</f>
        <v/>
      </c>
      <c r="V848">
        <f>IFERROR(INDEX(PP_Grid[#Data],$DD848,20),0)</f>
        <v/>
      </c>
      <c r="W848">
        <f>IFERROR(INDEX(PP_Grid[#Data],$DD848,21),0)</f>
        <v/>
      </c>
      <c r="X848">
        <f>IFERROR(INDEX(PP_Grid[#Data],$DD848,22),0)</f>
        <v/>
      </c>
      <c r="Y848">
        <f>IFERROR(INDEX(PP_Grid[#Data],$DD848,23),0)</f>
        <v/>
      </c>
      <c r="Z848">
        <f>IFERROR(INDEX(PP_Grid[#Data],$DD848,24),0)</f>
        <v/>
      </c>
      <c r="AA848">
        <f>IFERROR(INDEX(PP_Grid[#Data],$DD848,25),0)</f>
        <v/>
      </c>
      <c r="AB848">
        <f>IFERROR(INDEX(PP_Grid[#Data],$DD848,26),0)</f>
        <v/>
      </c>
      <c r="AC848">
        <f>IFERROR(INDEX(PP_Grid[#Data],$DD848,27),0)</f>
        <v/>
      </c>
      <c r="AD848">
        <f>IFERROR(INDEX(PP_Grid[#Data],$DD848,28),0)</f>
        <v/>
      </c>
      <c r="AE848">
        <f>IFERROR(INDEX(PP_Grid[#Data],$DD848,29),0)</f>
        <v/>
      </c>
      <c r="AF848">
        <f>IFERROR(INDEX(PP_Grid[#Data],$DD848,30),0)</f>
        <v/>
      </c>
      <c r="AG848">
        <f>IFERROR(INDEX(PP_Grid[#Data],$DD848,31),0)</f>
        <v/>
      </c>
      <c r="AH848">
        <f>IFERROR(INDEX(PP_Grid[#Data],$DD848,32),0)</f>
        <v/>
      </c>
      <c r="AI848">
        <f>IFERROR(INDEX(PP_Grid[#Data],$DD848,33),0)</f>
        <v/>
      </c>
      <c r="AJ848">
        <f>IFERROR(INDEX(PP_Grid[#Data],$DD848,34),0)</f>
        <v/>
      </c>
      <c r="AK848">
        <f>IFERROR(INDEX(PP_Grid[#Data],$DD848,35),0)</f>
        <v/>
      </c>
      <c r="AL848">
        <f>IFERROR(INDEX(PP_Grid[#Data],$DD848,36),0)</f>
        <v/>
      </c>
      <c r="AM848">
        <f>IFERROR(INDEX(PP_Grid[#Data],$DD848,37),0)</f>
        <v/>
      </c>
      <c r="AN848">
        <f>IFERROR(INDEX(PP_Grid[#Data],$DD848,38),0)</f>
        <v/>
      </c>
      <c r="AO848">
        <f>IFERROR(INDEX(PP_Grid[#Data],$DD848,39),0)</f>
        <v/>
      </c>
      <c r="AP848">
        <f>IFERROR(INDEX(PP_Grid[#Data],$DD848,40),0)</f>
        <v/>
      </c>
      <c r="AQ848">
        <f>IFERROR(INDEX(PP_Grid[#Data],$DD848,41),0)</f>
        <v/>
      </c>
      <c r="AR848">
        <f>IFERROR(INDEX(PP_Grid[#Data],$DD848,42),0)</f>
        <v/>
      </c>
      <c r="AS848">
        <f>IFERROR(INDEX(PP_Grid[#Data],$DD848,43),0)</f>
        <v/>
      </c>
      <c r="AT848">
        <f>IFERROR(INDEX(PP_Grid[#Data],$DD848,44),0)</f>
        <v/>
      </c>
      <c r="AU848">
        <f>IFERROR(INDEX(PP_Grid[#Data],$DD848,45),0)</f>
        <v/>
      </c>
      <c r="AV848">
        <f>IFERROR(INDEX(PP_Grid[#Data],$DD848,46),0)</f>
        <v/>
      </c>
      <c r="AW848">
        <f>IFERROR(INDEX(PP_Grid[#Data],$DD848,47),0)</f>
        <v/>
      </c>
      <c r="AX848">
        <f>IFERROR(INDEX(PP_Grid[#Data],$DD848,48),0)</f>
        <v/>
      </c>
      <c r="AY848">
        <f>IFERROR(INDEX(PP_Grid[#Data],$DD848,49),0)</f>
        <v/>
      </c>
      <c r="AZ848">
        <f>IFERROR(INDEX(PP_Grid[#Data],$DD848,50),0)</f>
        <v/>
      </c>
      <c r="BA848">
        <f>IFERROR(INDEX(PP_Grid[#Data],$DD848,51),0)</f>
        <v/>
      </c>
      <c r="BB848">
        <f>IFERROR(INDEX(PP_Grid[#Data],$DD848,52),0)</f>
        <v/>
      </c>
      <c r="BC848">
        <f>IFERROR(INDEX(PP_Grid[#Data],$DD848,53),0)</f>
        <v/>
      </c>
      <c r="BD848">
        <f>IFERROR(INDEX(PP_Grid[#Data],$DD848,54),0)</f>
        <v/>
      </c>
      <c r="BE848">
        <f>IFERROR(INDEX(PP_Grid[#Data],$DD848,55),0)</f>
        <v/>
      </c>
      <c r="BF848">
        <f>IFERROR(INDEX(PP_Grid[#Data],$DD848,56),0)</f>
        <v/>
      </c>
      <c r="BG848">
        <f>IFERROR(INDEX(PP_Grid[#Data],$DD848,57),0)</f>
        <v/>
      </c>
      <c r="BH848">
        <f>IFERROR(INDEX(PP_Grid[#Data],$DD848,58),0)</f>
        <v/>
      </c>
      <c r="BI848">
        <f>IFERROR(INDEX(PP_Grid[#Data],$DD848,59),0)</f>
        <v/>
      </c>
      <c r="BJ848">
        <f>IFERROR(INDEX(PP_Grid[#Data],$DD848,60),0)</f>
        <v/>
      </c>
      <c r="BK848">
        <f>IFERROR(INDEX(PP_Grid[#Data],$DD848,61),0)</f>
        <v/>
      </c>
      <c r="BL848">
        <f>IFERROR(INDEX(PP_Grid[#Data],$DD848,62),0)</f>
        <v/>
      </c>
      <c r="BM848">
        <f>IFERROR(INDEX(PP_Grid[#Data],$DD848,63),0)</f>
        <v/>
      </c>
      <c r="BN848">
        <f>IFERROR(INDEX(PP_Grid[#Data],$DD848,64),0)</f>
        <v/>
      </c>
      <c r="BO848">
        <f>IFERROR(INDEX(PP_Grid[#Data],$DD848,65),0)</f>
        <v/>
      </c>
      <c r="BP848">
        <f>IFERROR(INDEX(PP_Grid[#Data],$DD848,66),0)</f>
        <v/>
      </c>
      <c r="BQ848">
        <f>IFERROR(INDEX(PP_Grid[#Data],$DD848,67),0)</f>
        <v/>
      </c>
      <c r="BR848">
        <f>IFERROR(INDEX(PP_Grid[#Data],$DD848,68),0)</f>
        <v/>
      </c>
      <c r="BS848">
        <f>IFERROR(INDEX(PP_Grid[#Data],$DD848,69),0)</f>
        <v/>
      </c>
      <c r="BT848">
        <f>IFERROR(INDEX(PP_Grid[#Data],$DD848,70),0)</f>
        <v/>
      </c>
      <c r="BU848">
        <f>IFERROR(INDEX(PP_Grid[#Data],$DD848,71),0)</f>
        <v/>
      </c>
      <c r="BV848">
        <f>IFERROR(INDEX(PP_Grid[#Data],$DD848,72),0)</f>
        <v/>
      </c>
      <c r="BW848">
        <f>IFERROR(INDEX(PP_Grid[#Data],$DD848,73),0)</f>
        <v/>
      </c>
      <c r="BX848">
        <f>IFERROR(INDEX(PP_Grid[#Data],$DD848,74),0)</f>
        <v/>
      </c>
      <c r="BY848">
        <f>IFERROR(INDEX(PP_Grid[#Data],$DD848,75),0)</f>
        <v/>
      </c>
      <c r="BZ848">
        <f>IFERROR(INDEX(PP_Grid[#Data],$DD848,76),0)</f>
        <v/>
      </c>
      <c r="CA848">
        <f>IFERROR(INDEX(PP_Grid[#Data],$DD848,77),0)</f>
        <v/>
      </c>
      <c r="CB848">
        <f>IFERROR(INDEX(PP_Grid[#Data],$DD848,78),0)</f>
        <v/>
      </c>
      <c r="CC848">
        <f>IFERROR(INDEX(PP_Grid[#Data],$DD848,79),0)</f>
        <v/>
      </c>
      <c r="CD848">
        <f>IFERROR(INDEX(PP_Grid[#Data],$DD848,80),0)</f>
        <v/>
      </c>
      <c r="CE848">
        <f>IFERROR(INDEX(PP_Grid[#Data],$DD848,81),0)</f>
        <v/>
      </c>
      <c r="CF848">
        <f>IFERROR(INDEX(PP_Grid[#Data],$DD848,82),0)</f>
        <v/>
      </c>
      <c r="CG848">
        <f>IFERROR(INDEX(PP_Grid[#Data],$DD848,83),0)</f>
        <v/>
      </c>
      <c r="CH848">
        <f>IFERROR(INDEX(PP_Grid[#Data],$DD848,84),0)</f>
        <v/>
      </c>
      <c r="CI848">
        <f>IFERROR(INDEX(PP_Grid[#Data],$DD848,85),0)</f>
        <v/>
      </c>
      <c r="CJ848">
        <f>IFERROR(INDEX(PP_Grid[#Data],$DD848,86),0)</f>
        <v/>
      </c>
      <c r="CK848">
        <f>IFERROR(INDEX(PP_Grid[#Data],$DD848,87),0)</f>
        <v/>
      </c>
      <c r="CL848">
        <f>IFERROR(INDEX(PP_Grid[#Data],$DD848,88),0)</f>
        <v/>
      </c>
      <c r="CM848">
        <f>IFERROR(INDEX(PP_Grid[#Data],$DD848,89),0)</f>
        <v/>
      </c>
      <c r="CN848">
        <f>IFERROR(INDEX(PP_Grid[#Data],$DD848,90),0)</f>
        <v/>
      </c>
      <c r="CO848">
        <f>IFERROR(INDEX(PP_Grid[#Data],$DD848,91),0)</f>
        <v/>
      </c>
      <c r="CP848">
        <f>IFERROR(INDEX(PP_Grid[#Data],$DD848,92),0)</f>
        <v/>
      </c>
      <c r="CQ848">
        <f>IFERROR(INDEX(PP_Grid[#Data],$DD848,93),0)</f>
        <v/>
      </c>
      <c r="CR848">
        <f>IFERROR(INDEX(PP_Grid[#Data],$DD848,94),0)</f>
        <v/>
      </c>
      <c r="CS848">
        <f>IFERROR(INDEX(PP_Grid[#Data],$DD848,95),0)</f>
        <v/>
      </c>
      <c r="CT848">
        <f>IFERROR(INDEX(PP_Grid[#Data],$DD848,96),0)</f>
        <v/>
      </c>
      <c r="CU848">
        <f>IFERROR(INDEX(PP_Grid[#Data],$DD848,97),0)</f>
        <v/>
      </c>
      <c r="CV848">
        <f>IFERROR(INDEX(PP_Grid[#Data],$DD848,98),0)</f>
        <v/>
      </c>
      <c r="CW848">
        <f>IFERROR(INDEX(PP_Grid[#Data],$DD848,99),0)</f>
        <v/>
      </c>
      <c r="CX848">
        <f>IFERROR(INDEX(PP_Grid[#Data],$DD848,100),0)</f>
        <v/>
      </c>
      <c r="CY848">
        <f>IFERROR(INDEX(PP_Grid[#Data],$DD848,101),0)</f>
        <v/>
      </c>
      <c r="CZ848">
        <f>IFERROR(INDEX(PP_Grid[#Data],$DD848,102),0)</f>
        <v/>
      </c>
      <c r="DA848">
        <f>IFERROR(INDEX(PP_Grid[#Data],$DD848,103),0)</f>
        <v/>
      </c>
      <c r="DB848">
        <f>IFERROR(INDEX(PP_Grid[#Data],$DD848,104),0)</f>
        <v/>
      </c>
      <c r="DC848">
        <f>IFERROR(INDEX(PP_Grid[#Data],$DD848,105),0)</f>
        <v/>
      </c>
      <c r="DD848" s="12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SUMIFS(M_BOM[RM_Qty_Per_Batch],M_BOM[Intermediate],$B848,M_BOM[Part Name],$A831)</f>
        <v/>
      </c>
      <c r="D849">
        <f>$C849*D848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</row>
    <row r="850">
      <c r="B850" t="inlineStr">
        <is>
          <t>TSP-620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12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Name],$A831)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TSP-623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12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Name],$A831)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TSP-927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12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Name],$A831)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TSP-928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12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Name],$A831)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TSP-929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12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Name],$A831)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TSP-930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12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Name],$A831)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TSP-934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12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Name],$A831)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TSP-935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12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Name],$A831)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TSP-936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12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Name],$A831)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TSP-937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12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Name],$A831)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s="5" t="inlineStr">
        <is>
          <t>合計使用量(kg)/週</t>
        </is>
      </c>
      <c r="D870">
        <f>'Grid_Requirement'!B39</f>
        <v/>
      </c>
      <c r="E870">
        <f>'Grid_Requirement'!C39</f>
        <v/>
      </c>
      <c r="F870">
        <f>'Grid_Requirement'!D39</f>
        <v/>
      </c>
      <c r="G870">
        <f>'Grid_Requirement'!E39</f>
        <v/>
      </c>
      <c r="H870">
        <f>'Grid_Requirement'!F39</f>
        <v/>
      </c>
      <c r="I870">
        <f>'Grid_Requirement'!G39</f>
        <v/>
      </c>
      <c r="J870">
        <f>'Grid_Requirement'!H39</f>
        <v/>
      </c>
      <c r="K870">
        <f>'Grid_Requirement'!I39</f>
        <v/>
      </c>
      <c r="L870">
        <f>'Grid_Requirement'!J39</f>
        <v/>
      </c>
      <c r="M870">
        <f>'Grid_Requirement'!K39</f>
        <v/>
      </c>
      <c r="N870">
        <f>'Grid_Requirement'!L39</f>
        <v/>
      </c>
      <c r="O870">
        <f>'Grid_Requirement'!M39</f>
        <v/>
      </c>
      <c r="P870">
        <f>'Grid_Requirement'!N39</f>
        <v/>
      </c>
      <c r="Q870">
        <f>'Grid_Requirement'!O39</f>
        <v/>
      </c>
      <c r="R870">
        <f>'Grid_Requirement'!P39</f>
        <v/>
      </c>
      <c r="S870">
        <f>'Grid_Requirement'!Q39</f>
        <v/>
      </c>
      <c r="T870">
        <f>'Grid_Requirement'!R39</f>
        <v/>
      </c>
      <c r="U870">
        <f>'Grid_Requirement'!S39</f>
        <v/>
      </c>
      <c r="V870">
        <f>'Grid_Requirement'!T39</f>
        <v/>
      </c>
      <c r="W870">
        <f>'Grid_Requirement'!U39</f>
        <v/>
      </c>
      <c r="X870">
        <f>'Grid_Requirement'!V39</f>
        <v/>
      </c>
      <c r="Y870">
        <f>'Grid_Requirement'!W39</f>
        <v/>
      </c>
      <c r="Z870">
        <f>'Grid_Requirement'!X39</f>
        <v/>
      </c>
      <c r="AA870">
        <f>'Grid_Requirement'!Y39</f>
        <v/>
      </c>
      <c r="AB870">
        <f>'Grid_Requirement'!Z39</f>
        <v/>
      </c>
      <c r="AC870">
        <f>'Grid_Requirement'!AA39</f>
        <v/>
      </c>
      <c r="AD870">
        <f>'Grid_Requirement'!AB39</f>
        <v/>
      </c>
      <c r="AE870">
        <f>'Grid_Requirement'!AC39</f>
        <v/>
      </c>
      <c r="AF870">
        <f>'Grid_Requirement'!AD39</f>
        <v/>
      </c>
      <c r="AG870">
        <f>'Grid_Requirement'!AE39</f>
        <v/>
      </c>
      <c r="AH870">
        <f>'Grid_Requirement'!AF39</f>
        <v/>
      </c>
      <c r="AI870">
        <f>'Grid_Requirement'!AG39</f>
        <v/>
      </c>
      <c r="AJ870">
        <f>'Grid_Requirement'!AH39</f>
        <v/>
      </c>
      <c r="AK870">
        <f>'Grid_Requirement'!AI39</f>
        <v/>
      </c>
      <c r="AL870">
        <f>'Grid_Requirement'!AJ39</f>
        <v/>
      </c>
      <c r="AM870">
        <f>'Grid_Requirement'!AK39</f>
        <v/>
      </c>
      <c r="AN870">
        <f>'Grid_Requirement'!AL39</f>
        <v/>
      </c>
      <c r="AO870">
        <f>'Grid_Requirement'!AM39</f>
        <v/>
      </c>
      <c r="AP870">
        <f>'Grid_Requirement'!AN39</f>
        <v/>
      </c>
      <c r="AQ870">
        <f>'Grid_Requirement'!AO39</f>
        <v/>
      </c>
      <c r="AR870">
        <f>'Grid_Requirement'!AP39</f>
        <v/>
      </c>
      <c r="AS870">
        <f>'Grid_Requirement'!AQ39</f>
        <v/>
      </c>
      <c r="AT870">
        <f>'Grid_Requirement'!AR39</f>
        <v/>
      </c>
      <c r="AU870">
        <f>'Grid_Requirement'!AS39</f>
        <v/>
      </c>
      <c r="AV870">
        <f>'Grid_Requirement'!AT39</f>
        <v/>
      </c>
      <c r="AW870">
        <f>'Grid_Requirement'!AU39</f>
        <v/>
      </c>
      <c r="AX870">
        <f>'Grid_Requirement'!AV39</f>
        <v/>
      </c>
      <c r="AY870">
        <f>'Grid_Requirement'!AW39</f>
        <v/>
      </c>
      <c r="AZ870">
        <f>'Grid_Requirement'!AX39</f>
        <v/>
      </c>
      <c r="BA870">
        <f>'Grid_Requirement'!AY39</f>
        <v/>
      </c>
      <c r="BB870">
        <f>'Grid_Requirement'!AZ39</f>
        <v/>
      </c>
      <c r="BC870">
        <f>'Grid_Requirement'!BA39</f>
        <v/>
      </c>
      <c r="BD870">
        <f>'Grid_Requirement'!BB39</f>
        <v/>
      </c>
      <c r="BE870">
        <f>'Grid_Requirement'!BC39</f>
        <v/>
      </c>
      <c r="BF870">
        <f>'Grid_Requirement'!BD39</f>
        <v/>
      </c>
      <c r="BG870">
        <f>'Grid_Requirement'!BE39</f>
        <v/>
      </c>
      <c r="BH870">
        <f>'Grid_Requirement'!BF39</f>
        <v/>
      </c>
      <c r="BI870">
        <f>'Grid_Requirement'!BG39</f>
        <v/>
      </c>
      <c r="BJ870">
        <f>'Grid_Requirement'!BH39</f>
        <v/>
      </c>
      <c r="BK870">
        <f>'Grid_Requirement'!BI39</f>
        <v/>
      </c>
      <c r="BL870">
        <f>'Grid_Requirement'!BJ39</f>
        <v/>
      </c>
      <c r="BM870">
        <f>'Grid_Requirement'!BK39</f>
        <v/>
      </c>
      <c r="BN870">
        <f>'Grid_Requirement'!BL39</f>
        <v/>
      </c>
      <c r="BO870">
        <f>'Grid_Requirement'!BM39</f>
        <v/>
      </c>
      <c r="BP870">
        <f>'Grid_Requirement'!BN39</f>
        <v/>
      </c>
      <c r="BQ870">
        <f>'Grid_Requirement'!BO39</f>
        <v/>
      </c>
      <c r="BR870">
        <f>'Grid_Requirement'!BP39</f>
        <v/>
      </c>
      <c r="BS870">
        <f>'Grid_Requirement'!BQ39</f>
        <v/>
      </c>
      <c r="BT870">
        <f>'Grid_Requirement'!BR39</f>
        <v/>
      </c>
      <c r="BU870">
        <f>'Grid_Requirement'!BS39</f>
        <v/>
      </c>
      <c r="BV870">
        <f>'Grid_Requirement'!BT39</f>
        <v/>
      </c>
      <c r="BW870">
        <f>'Grid_Requirement'!BU39</f>
        <v/>
      </c>
      <c r="BX870">
        <f>'Grid_Requirement'!BV39</f>
        <v/>
      </c>
      <c r="BY870">
        <f>'Grid_Requirement'!BW39</f>
        <v/>
      </c>
      <c r="BZ870">
        <f>'Grid_Requirement'!BX39</f>
        <v/>
      </c>
      <c r="CA870">
        <f>'Grid_Requirement'!BY39</f>
        <v/>
      </c>
      <c r="CB870">
        <f>'Grid_Requirement'!BZ39</f>
        <v/>
      </c>
      <c r="CC870">
        <f>'Grid_Requirement'!CA39</f>
        <v/>
      </c>
      <c r="CD870">
        <f>'Grid_Requirement'!CB39</f>
        <v/>
      </c>
      <c r="CE870">
        <f>'Grid_Requirement'!CC39</f>
        <v/>
      </c>
      <c r="CF870">
        <f>'Grid_Requirement'!CD39</f>
        <v/>
      </c>
      <c r="CG870">
        <f>'Grid_Requirement'!CE39</f>
        <v/>
      </c>
      <c r="CH870">
        <f>'Grid_Requirement'!CF39</f>
        <v/>
      </c>
      <c r="CI870">
        <f>'Grid_Requirement'!CG39</f>
        <v/>
      </c>
      <c r="CJ870">
        <f>'Grid_Requirement'!CH39</f>
        <v/>
      </c>
      <c r="CK870">
        <f>'Grid_Requirement'!CI39</f>
        <v/>
      </c>
      <c r="CL870">
        <f>'Grid_Requirement'!CJ39</f>
        <v/>
      </c>
      <c r="CM870">
        <f>'Grid_Requirement'!CK39</f>
        <v/>
      </c>
      <c r="CN870">
        <f>'Grid_Requirement'!CL39</f>
        <v/>
      </c>
      <c r="CO870">
        <f>'Grid_Requirement'!CM39</f>
        <v/>
      </c>
      <c r="CP870">
        <f>'Grid_Requirement'!CN39</f>
        <v/>
      </c>
      <c r="CQ870">
        <f>'Grid_Requirement'!CO39</f>
        <v/>
      </c>
      <c r="CR870">
        <f>'Grid_Requirement'!CP39</f>
        <v/>
      </c>
      <c r="CS870">
        <f>'Grid_Requirement'!CQ39</f>
        <v/>
      </c>
      <c r="CT870">
        <f>'Grid_Requirement'!CR39</f>
        <v/>
      </c>
      <c r="CU870">
        <f>'Grid_Requirement'!CS39</f>
        <v/>
      </c>
      <c r="CV870">
        <f>'Grid_Requirement'!CT39</f>
        <v/>
      </c>
      <c r="CW870">
        <f>'Grid_Requirement'!CU39</f>
        <v/>
      </c>
      <c r="CX870">
        <f>'Grid_Requirement'!CV39</f>
        <v/>
      </c>
      <c r="CY870">
        <f>'Grid_Requirement'!CW39</f>
        <v/>
      </c>
      <c r="CZ870">
        <f>'Grid_Requirement'!CX39</f>
        <v/>
      </c>
      <c r="DA870">
        <f>'Grid_Requirement'!CY39</f>
        <v/>
      </c>
      <c r="DB870">
        <f>'Grid_Requirement'!CZ39</f>
        <v/>
      </c>
      <c r="DC870">
        <f>'Grid_Requirement'!DA39</f>
        <v/>
      </c>
    </row>
    <row r="871">
      <c r="B871" t="inlineStr">
        <is>
          <t>TTAF在庫(実績,kg)</t>
        </is>
      </c>
      <c r="D871">
        <f>'T_TTAFStock'!B43</f>
        <v/>
      </c>
      <c r="E871">
        <f>'T_TTAFStock'!C43</f>
        <v/>
      </c>
      <c r="F871">
        <f>'T_TTAFStock'!D43</f>
        <v/>
      </c>
      <c r="G871">
        <f>'T_TTAFStock'!E43</f>
        <v/>
      </c>
      <c r="H871">
        <f>'T_TTAFStock'!F43</f>
        <v/>
      </c>
      <c r="I871">
        <f>'T_TTAFStock'!G43</f>
        <v/>
      </c>
      <c r="J871">
        <f>'T_TTAFStock'!H43</f>
        <v/>
      </c>
      <c r="K871">
        <f>'T_TTAFStock'!I43</f>
        <v/>
      </c>
      <c r="L871">
        <f>'T_TTAFStock'!J43</f>
        <v/>
      </c>
      <c r="M871">
        <f>'T_TTAFStock'!K43</f>
        <v/>
      </c>
      <c r="N871">
        <f>'T_TTAFStock'!L43</f>
        <v/>
      </c>
      <c r="O871">
        <f>'T_TTAFStock'!M43</f>
        <v/>
      </c>
      <c r="P871">
        <f>'T_TTAFStock'!N43</f>
        <v/>
      </c>
      <c r="Q871">
        <f>'T_TTAFStock'!O43</f>
        <v/>
      </c>
      <c r="R871">
        <f>'T_TTAFStock'!P43</f>
        <v/>
      </c>
      <c r="S871">
        <f>'T_TTAFStock'!Q43</f>
        <v/>
      </c>
      <c r="T871">
        <f>'T_TTAFStock'!R43</f>
        <v/>
      </c>
      <c r="U871">
        <f>'T_TTAFStock'!S43</f>
        <v/>
      </c>
      <c r="V871">
        <f>'T_TTAFStock'!T43</f>
        <v/>
      </c>
      <c r="W871">
        <f>'T_TTAFStock'!U43</f>
        <v/>
      </c>
      <c r="X871">
        <f>'T_TTAFStock'!V43</f>
        <v/>
      </c>
      <c r="Y871">
        <f>'T_TTAFStock'!W43</f>
        <v/>
      </c>
      <c r="Z871">
        <f>'T_TTAFStock'!X43</f>
        <v/>
      </c>
      <c r="AA871">
        <f>'T_TTAFStock'!Y43</f>
        <v/>
      </c>
      <c r="AB871">
        <f>'T_TTAFStock'!Z43</f>
        <v/>
      </c>
      <c r="AC871">
        <f>'T_TTAFStock'!AA43</f>
        <v/>
      </c>
      <c r="AD871">
        <f>'T_TTAFStock'!AB43</f>
        <v/>
      </c>
      <c r="AE871">
        <f>'T_TTAFStock'!AC43</f>
        <v/>
      </c>
      <c r="AF871">
        <f>'T_TTAFStock'!AD43</f>
        <v/>
      </c>
      <c r="AG871">
        <f>'T_TTAFStock'!AE43</f>
        <v/>
      </c>
      <c r="AH871">
        <f>'T_TTAFStock'!AF43</f>
        <v/>
      </c>
      <c r="AI871">
        <f>'T_TTAFStock'!AG43</f>
        <v/>
      </c>
      <c r="AJ871">
        <f>'T_TTAFStock'!AH43</f>
        <v/>
      </c>
      <c r="AK871">
        <f>'T_TTAFStock'!AI43</f>
        <v/>
      </c>
      <c r="AL871">
        <f>'T_TTAFStock'!AJ43</f>
        <v/>
      </c>
      <c r="AM871">
        <f>'T_TTAFStock'!AK43</f>
        <v/>
      </c>
      <c r="AN871">
        <f>'T_TTAFStock'!AL43</f>
        <v/>
      </c>
      <c r="AO871">
        <f>'T_TTAFStock'!AM43</f>
        <v/>
      </c>
      <c r="AP871">
        <f>'T_TTAFStock'!AN43</f>
        <v/>
      </c>
      <c r="AQ871">
        <f>'T_TTAFStock'!AO43</f>
        <v/>
      </c>
      <c r="AR871">
        <f>'T_TTAFStock'!AP43</f>
        <v/>
      </c>
      <c r="AS871">
        <f>'T_TTAFStock'!AQ43</f>
        <v/>
      </c>
      <c r="AT871">
        <f>'T_TTAFStock'!AR43</f>
        <v/>
      </c>
      <c r="AU871">
        <f>'T_TTAFStock'!AS43</f>
        <v/>
      </c>
      <c r="AV871">
        <f>'T_TTAFStock'!AT43</f>
        <v/>
      </c>
      <c r="AW871">
        <f>'T_TTAFStock'!AU43</f>
        <v/>
      </c>
      <c r="AX871">
        <f>'T_TTAFStock'!AV43</f>
        <v/>
      </c>
      <c r="AY871">
        <f>'T_TTAFStock'!AW43</f>
        <v/>
      </c>
      <c r="AZ871">
        <f>'T_TTAFStock'!AX43</f>
        <v/>
      </c>
      <c r="BA871">
        <f>'T_TTAFStock'!AY43</f>
        <v/>
      </c>
      <c r="BB871">
        <f>'T_TTAFStock'!AZ43</f>
        <v/>
      </c>
      <c r="BC871">
        <f>'T_TTAFStock'!BA43</f>
        <v/>
      </c>
      <c r="BD871">
        <f>'T_TTAFStock'!BB43</f>
        <v/>
      </c>
      <c r="BE871">
        <f>'T_TTAFStock'!BC43</f>
        <v/>
      </c>
      <c r="BF871">
        <f>'T_TTAFStock'!BD43</f>
        <v/>
      </c>
      <c r="BG871">
        <f>'T_TTAFStock'!BE43</f>
        <v/>
      </c>
      <c r="BH871">
        <f>'T_TTAFStock'!BF43</f>
        <v/>
      </c>
      <c r="BI871">
        <f>'T_TTAFStock'!BG43</f>
        <v/>
      </c>
      <c r="BJ871">
        <f>'T_TTAFStock'!BH43</f>
        <v/>
      </c>
      <c r="BK871">
        <f>'T_TTAFStock'!BI43</f>
        <v/>
      </c>
      <c r="BL871">
        <f>'T_TTAFStock'!BJ43</f>
        <v/>
      </c>
      <c r="BM871">
        <f>'T_TTAFStock'!BK43</f>
        <v/>
      </c>
      <c r="BN871">
        <f>'T_TTAFStock'!BL43</f>
        <v/>
      </c>
      <c r="BO871">
        <f>'T_TTAFStock'!BM43</f>
        <v/>
      </c>
      <c r="BP871">
        <f>'T_TTAFStock'!BN43</f>
        <v/>
      </c>
      <c r="BQ871">
        <f>'T_TTAFStock'!BO43</f>
        <v/>
      </c>
      <c r="BR871">
        <f>'T_TTAFStock'!BP43</f>
        <v/>
      </c>
      <c r="BS871">
        <f>'T_TTAFStock'!BQ43</f>
        <v/>
      </c>
      <c r="BT871">
        <f>'T_TTAFStock'!BR43</f>
        <v/>
      </c>
      <c r="BU871">
        <f>'T_TTAFStock'!BS43</f>
        <v/>
      </c>
      <c r="BV871">
        <f>'T_TTAFStock'!BT43</f>
        <v/>
      </c>
      <c r="BW871">
        <f>'T_TTAFStock'!BU43</f>
        <v/>
      </c>
      <c r="BX871">
        <f>'T_TTAFStock'!BV43</f>
        <v/>
      </c>
      <c r="BY871">
        <f>'T_TTAFStock'!BW43</f>
        <v/>
      </c>
      <c r="BZ871">
        <f>'T_TTAFStock'!BX43</f>
        <v/>
      </c>
      <c r="CA871">
        <f>'T_TTAFStock'!BY43</f>
        <v/>
      </c>
      <c r="CB871">
        <f>'T_TTAFStock'!BZ43</f>
        <v/>
      </c>
      <c r="CC871">
        <f>'T_TTAFStock'!CA43</f>
        <v/>
      </c>
      <c r="CD871">
        <f>'T_TTAFStock'!CB43</f>
        <v/>
      </c>
      <c r="CE871">
        <f>'T_TTAFStock'!CC43</f>
        <v/>
      </c>
      <c r="CF871">
        <f>'T_TTAFStock'!CD43</f>
        <v/>
      </c>
      <c r="CG871">
        <f>'T_TTAFStock'!CE43</f>
        <v/>
      </c>
      <c r="CH871">
        <f>'T_TTAFStock'!CF43</f>
        <v/>
      </c>
      <c r="CI871">
        <f>'T_TTAFStock'!CG43</f>
        <v/>
      </c>
      <c r="CJ871">
        <f>'T_TTAFStock'!CH43</f>
        <v/>
      </c>
      <c r="CK871">
        <f>'T_TTAFStock'!CI43</f>
        <v/>
      </c>
      <c r="CL871">
        <f>'T_TTAFStock'!CJ43</f>
        <v/>
      </c>
      <c r="CM871">
        <f>'T_TTAFStock'!CK43</f>
        <v/>
      </c>
      <c r="CN871">
        <f>'T_TTAFStock'!CL43</f>
        <v/>
      </c>
      <c r="CO871">
        <f>'T_TTAFStock'!CM43</f>
        <v/>
      </c>
      <c r="CP871">
        <f>'T_TTAFStock'!CN43</f>
        <v/>
      </c>
      <c r="CQ871">
        <f>'T_TTAFStock'!CO43</f>
        <v/>
      </c>
      <c r="CR871">
        <f>'T_TTAFStock'!CP43</f>
        <v/>
      </c>
      <c r="CS871">
        <f>'T_TTAFStock'!CQ43</f>
        <v/>
      </c>
      <c r="CT871">
        <f>'T_TTAFStock'!CR43</f>
        <v/>
      </c>
      <c r="CU871">
        <f>'T_TTAFStock'!CS43</f>
        <v/>
      </c>
      <c r="CV871">
        <f>'T_TTAFStock'!CT43</f>
        <v/>
      </c>
      <c r="CW871">
        <f>'T_TTAFStock'!CU43</f>
        <v/>
      </c>
      <c r="CX871">
        <f>'T_TTAFStock'!CV43</f>
        <v/>
      </c>
      <c r="CY871">
        <f>'T_TTAFStock'!CW43</f>
        <v/>
      </c>
      <c r="CZ871">
        <f>'T_TTAFStock'!CX43</f>
        <v/>
      </c>
      <c r="DA871">
        <f>'T_TTAFStock'!CY43</f>
        <v/>
      </c>
      <c r="DB871">
        <f>'T_TTAFStock'!CZ43</f>
        <v/>
      </c>
      <c r="DC871">
        <f>'T_TTAFStock'!DA43</f>
        <v/>
      </c>
    </row>
    <row r="872">
      <c r="B872" t="inlineStr">
        <is>
          <t>自社在庫(実績,kg)</t>
        </is>
      </c>
      <c r="D872">
        <f>'T_SelfStock'!B43</f>
        <v/>
      </c>
      <c r="E872">
        <f>'T_SelfStock'!C43</f>
        <v/>
      </c>
      <c r="F872">
        <f>'T_SelfStock'!D43</f>
        <v/>
      </c>
      <c r="G872">
        <f>'T_SelfStock'!E43</f>
        <v/>
      </c>
      <c r="H872">
        <f>'T_SelfStock'!F43</f>
        <v/>
      </c>
      <c r="I872">
        <f>'T_SelfStock'!G43</f>
        <v/>
      </c>
      <c r="J872">
        <f>'T_SelfStock'!H43</f>
        <v/>
      </c>
      <c r="K872">
        <f>'T_SelfStock'!I43</f>
        <v/>
      </c>
      <c r="L872">
        <f>'T_SelfStock'!J43</f>
        <v/>
      </c>
      <c r="M872">
        <f>'T_SelfStock'!K43</f>
        <v/>
      </c>
      <c r="N872">
        <f>'T_SelfStock'!L43</f>
        <v/>
      </c>
      <c r="O872">
        <f>'T_SelfStock'!M43</f>
        <v/>
      </c>
      <c r="P872">
        <f>'T_SelfStock'!N43</f>
        <v/>
      </c>
      <c r="Q872">
        <f>'T_SelfStock'!O43</f>
        <v/>
      </c>
      <c r="R872">
        <f>'T_SelfStock'!P43</f>
        <v/>
      </c>
      <c r="S872">
        <f>'T_SelfStock'!Q43</f>
        <v/>
      </c>
      <c r="T872">
        <f>'T_SelfStock'!R43</f>
        <v/>
      </c>
      <c r="U872">
        <f>'T_SelfStock'!S43</f>
        <v/>
      </c>
      <c r="V872">
        <f>'T_SelfStock'!T43</f>
        <v/>
      </c>
      <c r="W872">
        <f>'T_SelfStock'!U43</f>
        <v/>
      </c>
      <c r="X872">
        <f>'T_SelfStock'!V43</f>
        <v/>
      </c>
      <c r="Y872">
        <f>'T_SelfStock'!W43</f>
        <v/>
      </c>
      <c r="Z872">
        <f>'T_SelfStock'!X43</f>
        <v/>
      </c>
      <c r="AA872">
        <f>'T_SelfStock'!Y43</f>
        <v/>
      </c>
      <c r="AB872">
        <f>'T_SelfStock'!Z43</f>
        <v/>
      </c>
      <c r="AC872">
        <f>'T_SelfStock'!AA43</f>
        <v/>
      </c>
      <c r="AD872">
        <f>'T_SelfStock'!AB43</f>
        <v/>
      </c>
      <c r="AE872">
        <f>'T_SelfStock'!AC43</f>
        <v/>
      </c>
      <c r="AF872">
        <f>'T_SelfStock'!AD43</f>
        <v/>
      </c>
      <c r="AG872">
        <f>'T_SelfStock'!AE43</f>
        <v/>
      </c>
      <c r="AH872">
        <f>'T_SelfStock'!AF43</f>
        <v/>
      </c>
      <c r="AI872">
        <f>'T_SelfStock'!AG43</f>
        <v/>
      </c>
      <c r="AJ872">
        <f>'T_SelfStock'!AH43</f>
        <v/>
      </c>
      <c r="AK872">
        <f>'T_SelfStock'!AI43</f>
        <v/>
      </c>
      <c r="AL872">
        <f>'T_SelfStock'!AJ43</f>
        <v/>
      </c>
      <c r="AM872">
        <f>'T_SelfStock'!AK43</f>
        <v/>
      </c>
      <c r="AN872">
        <f>'T_SelfStock'!AL43</f>
        <v/>
      </c>
      <c r="AO872">
        <f>'T_SelfStock'!AM43</f>
        <v/>
      </c>
      <c r="AP872">
        <f>'T_SelfStock'!AN43</f>
        <v/>
      </c>
      <c r="AQ872">
        <f>'T_SelfStock'!AO43</f>
        <v/>
      </c>
      <c r="AR872">
        <f>'T_SelfStock'!AP43</f>
        <v/>
      </c>
      <c r="AS872">
        <f>'T_SelfStock'!AQ43</f>
        <v/>
      </c>
      <c r="AT872">
        <f>'T_SelfStock'!AR43</f>
        <v/>
      </c>
      <c r="AU872">
        <f>'T_SelfStock'!AS43</f>
        <v/>
      </c>
      <c r="AV872">
        <f>'T_SelfStock'!AT43</f>
        <v/>
      </c>
      <c r="AW872">
        <f>'T_SelfStock'!AU43</f>
        <v/>
      </c>
      <c r="AX872">
        <f>'T_SelfStock'!AV43</f>
        <v/>
      </c>
      <c r="AY872">
        <f>'T_SelfStock'!AW43</f>
        <v/>
      </c>
      <c r="AZ872">
        <f>'T_SelfStock'!AX43</f>
        <v/>
      </c>
      <c r="BA872">
        <f>'T_SelfStock'!AY43</f>
        <v/>
      </c>
      <c r="BB872">
        <f>'T_SelfStock'!AZ43</f>
        <v/>
      </c>
      <c r="BC872">
        <f>'T_SelfStock'!BA43</f>
        <v/>
      </c>
      <c r="BD872">
        <f>'T_SelfStock'!BB43</f>
        <v/>
      </c>
      <c r="BE872">
        <f>'T_SelfStock'!BC43</f>
        <v/>
      </c>
      <c r="BF872">
        <f>'T_SelfStock'!BD43</f>
        <v/>
      </c>
      <c r="BG872">
        <f>'T_SelfStock'!BE43</f>
        <v/>
      </c>
      <c r="BH872">
        <f>'T_SelfStock'!BF43</f>
        <v/>
      </c>
      <c r="BI872">
        <f>'T_SelfStock'!BG43</f>
        <v/>
      </c>
      <c r="BJ872">
        <f>'T_SelfStock'!BH43</f>
        <v/>
      </c>
      <c r="BK872">
        <f>'T_SelfStock'!BI43</f>
        <v/>
      </c>
      <c r="BL872">
        <f>'T_SelfStock'!BJ43</f>
        <v/>
      </c>
      <c r="BM872">
        <f>'T_SelfStock'!BK43</f>
        <v/>
      </c>
      <c r="BN872">
        <f>'T_SelfStock'!BL43</f>
        <v/>
      </c>
      <c r="BO872">
        <f>'T_SelfStock'!BM43</f>
        <v/>
      </c>
      <c r="BP872">
        <f>'T_SelfStock'!BN43</f>
        <v/>
      </c>
      <c r="BQ872">
        <f>'T_SelfStock'!BO43</f>
        <v/>
      </c>
      <c r="BR872">
        <f>'T_SelfStock'!BP43</f>
        <v/>
      </c>
      <c r="BS872">
        <f>'T_SelfStock'!BQ43</f>
        <v/>
      </c>
      <c r="BT872">
        <f>'T_SelfStock'!BR43</f>
        <v/>
      </c>
      <c r="BU872">
        <f>'T_SelfStock'!BS43</f>
        <v/>
      </c>
      <c r="BV872">
        <f>'T_SelfStock'!BT43</f>
        <v/>
      </c>
      <c r="BW872">
        <f>'T_SelfStock'!BU43</f>
        <v/>
      </c>
      <c r="BX872">
        <f>'T_SelfStock'!BV43</f>
        <v/>
      </c>
      <c r="BY872">
        <f>'T_SelfStock'!BW43</f>
        <v/>
      </c>
      <c r="BZ872">
        <f>'T_SelfStock'!BX43</f>
        <v/>
      </c>
      <c r="CA872">
        <f>'T_SelfStock'!BY43</f>
        <v/>
      </c>
      <c r="CB872">
        <f>'T_SelfStock'!BZ43</f>
        <v/>
      </c>
      <c r="CC872">
        <f>'T_SelfStock'!CA43</f>
        <v/>
      </c>
      <c r="CD872">
        <f>'T_SelfStock'!CB43</f>
        <v/>
      </c>
      <c r="CE872">
        <f>'T_SelfStock'!CC43</f>
        <v/>
      </c>
      <c r="CF872">
        <f>'T_SelfStock'!CD43</f>
        <v/>
      </c>
      <c r="CG872">
        <f>'T_SelfStock'!CE43</f>
        <v/>
      </c>
      <c r="CH872">
        <f>'T_SelfStock'!CF43</f>
        <v/>
      </c>
      <c r="CI872">
        <f>'T_SelfStock'!CG43</f>
        <v/>
      </c>
      <c r="CJ872">
        <f>'T_SelfStock'!CH43</f>
        <v/>
      </c>
      <c r="CK872">
        <f>'T_SelfStock'!CI43</f>
        <v/>
      </c>
      <c r="CL872">
        <f>'T_SelfStock'!CJ43</f>
        <v/>
      </c>
      <c r="CM872">
        <f>'T_SelfStock'!CK43</f>
        <v/>
      </c>
      <c r="CN872">
        <f>'T_SelfStock'!CL43</f>
        <v/>
      </c>
      <c r="CO872">
        <f>'T_SelfStock'!CM43</f>
        <v/>
      </c>
      <c r="CP872">
        <f>'T_SelfStock'!CN43</f>
        <v/>
      </c>
      <c r="CQ872">
        <f>'T_SelfStock'!CO43</f>
        <v/>
      </c>
      <c r="CR872">
        <f>'T_SelfStock'!CP43</f>
        <v/>
      </c>
      <c r="CS872">
        <f>'T_SelfStock'!CQ43</f>
        <v/>
      </c>
      <c r="CT872">
        <f>'T_SelfStock'!CR43</f>
        <v/>
      </c>
      <c r="CU872">
        <f>'T_SelfStock'!CS43</f>
        <v/>
      </c>
      <c r="CV872">
        <f>'T_SelfStock'!CT43</f>
        <v/>
      </c>
      <c r="CW872">
        <f>'T_SelfStock'!CU43</f>
        <v/>
      </c>
      <c r="CX872">
        <f>'T_SelfStock'!CV43</f>
        <v/>
      </c>
      <c r="CY872">
        <f>'T_SelfStock'!CW43</f>
        <v/>
      </c>
      <c r="CZ872">
        <f>'T_SelfStock'!CX43</f>
        <v/>
      </c>
      <c r="DA872">
        <f>'T_SelfStock'!CY43</f>
        <v/>
      </c>
      <c r="DB872">
        <f>'T_SelfStock'!CZ43</f>
        <v/>
      </c>
      <c r="DC872">
        <f>'T_SelfStock'!DA43</f>
        <v/>
      </c>
    </row>
    <row r="873">
      <c r="B873" t="inlineStr">
        <is>
          <t>Order(発注予定,kg)</t>
        </is>
      </c>
      <c r="D873">
        <f>IF(SUMIFS(T_PlannedOrders[EffectiveQty],T_PlannedOrders[Part Name],$A831,T_PlannedOrders[WeekIndex],1)=0,"",SUMIFS(T_PlannedOrders[EffectiveQty],T_PlannedOrders[Part Name],$A831,T_PlannedOrders[WeekIndex],1)&amp;" ("&amp;TEXT(SUMPRODUCT(MAX((T_PlannedOrders[Part Name]=$A831)*(T_PlannedOrders[WeekIndex]=1)*(T_PlannedOrders[EffectiveQty]&gt;0)*T_PlannedOrders[Order_Month])),"m月")&amp;"発注)")</f>
        <v/>
      </c>
      <c r="E873">
        <f>IF(SUMIFS(T_PlannedOrders[EffectiveQty],T_PlannedOrders[Part Name],$A831,T_PlannedOrders[WeekIndex],2)=0,"",SUMIFS(T_PlannedOrders[EffectiveQty],T_PlannedOrders[Part Name],$A831,T_PlannedOrders[WeekIndex],2)&amp;" ("&amp;TEXT(SUMPRODUCT(MAX((T_PlannedOrders[Part Name]=$A831)*(T_PlannedOrders[WeekIndex]=2)*(T_PlannedOrders[EffectiveQty]&gt;0)*T_PlannedOrders[Order_Month])),"m月")&amp;"発注)")</f>
        <v/>
      </c>
      <c r="F873">
        <f>IF(SUMIFS(T_PlannedOrders[EffectiveQty],T_PlannedOrders[Part Name],$A831,T_PlannedOrders[WeekIndex],3)=0,"",SUMIFS(T_PlannedOrders[EffectiveQty],T_PlannedOrders[Part Name],$A831,T_PlannedOrders[WeekIndex],3)&amp;" ("&amp;TEXT(SUMPRODUCT(MAX((T_PlannedOrders[Part Name]=$A831)*(T_PlannedOrders[WeekIndex]=3)*(T_PlannedOrders[EffectiveQty]&gt;0)*T_PlannedOrders[Order_Month])),"m月")&amp;"発注)")</f>
        <v/>
      </c>
      <c r="G873">
        <f>IF(SUMIFS(T_PlannedOrders[EffectiveQty],T_PlannedOrders[Part Name],$A831,T_PlannedOrders[WeekIndex],4)=0,"",SUMIFS(T_PlannedOrders[EffectiveQty],T_PlannedOrders[Part Name],$A831,T_PlannedOrders[WeekIndex],4)&amp;" ("&amp;TEXT(SUMPRODUCT(MAX((T_PlannedOrders[Part Name]=$A831)*(T_PlannedOrders[WeekIndex]=4)*(T_PlannedOrders[EffectiveQty]&gt;0)*T_PlannedOrders[Order_Month])),"m月")&amp;"発注)")</f>
        <v/>
      </c>
      <c r="H873">
        <f>IF(SUMIFS(T_PlannedOrders[EffectiveQty],T_PlannedOrders[Part Name],$A831,T_PlannedOrders[WeekIndex],5)=0,"",SUMIFS(T_PlannedOrders[EffectiveQty],T_PlannedOrders[Part Name],$A831,T_PlannedOrders[WeekIndex],5)&amp;" ("&amp;TEXT(SUMPRODUCT(MAX((T_PlannedOrders[Part Name]=$A831)*(T_PlannedOrders[WeekIndex]=5)*(T_PlannedOrders[EffectiveQty]&gt;0)*T_PlannedOrders[Order_Month])),"m月")&amp;"発注)")</f>
        <v/>
      </c>
      <c r="I873">
        <f>IF(SUMIFS(T_PlannedOrders[EffectiveQty],T_PlannedOrders[Part Name],$A831,T_PlannedOrders[WeekIndex],6)=0,"",SUMIFS(T_PlannedOrders[EffectiveQty],T_PlannedOrders[Part Name],$A831,T_PlannedOrders[WeekIndex],6)&amp;" ("&amp;TEXT(SUMPRODUCT(MAX((T_PlannedOrders[Part Name]=$A831)*(T_PlannedOrders[WeekIndex]=6)*(T_PlannedOrders[EffectiveQty]&gt;0)*T_PlannedOrders[Order_Month])),"m月")&amp;"発注)")</f>
        <v/>
      </c>
      <c r="J873">
        <f>IF(SUMIFS(T_PlannedOrders[EffectiveQty],T_PlannedOrders[Part Name],$A831,T_PlannedOrders[WeekIndex],7)=0,"",SUMIFS(T_PlannedOrders[EffectiveQty],T_PlannedOrders[Part Name],$A831,T_PlannedOrders[WeekIndex],7)&amp;" ("&amp;TEXT(SUMPRODUCT(MAX((T_PlannedOrders[Part Name]=$A831)*(T_PlannedOrders[WeekIndex]=7)*(T_PlannedOrders[EffectiveQty]&gt;0)*T_PlannedOrders[Order_Month])),"m月")&amp;"発注)")</f>
        <v/>
      </c>
      <c r="K873">
        <f>IF(SUMIFS(T_PlannedOrders[EffectiveQty],T_PlannedOrders[Part Name],$A831,T_PlannedOrders[WeekIndex],8)=0,"",SUMIFS(T_PlannedOrders[EffectiveQty],T_PlannedOrders[Part Name],$A831,T_PlannedOrders[WeekIndex],8)&amp;" ("&amp;TEXT(SUMPRODUCT(MAX((T_PlannedOrders[Part Name]=$A831)*(T_PlannedOrders[WeekIndex]=8)*(T_PlannedOrders[EffectiveQty]&gt;0)*T_PlannedOrders[Order_Month])),"m月")&amp;"発注)")</f>
        <v/>
      </c>
      <c r="L873">
        <f>IF(SUMIFS(T_PlannedOrders[EffectiveQty],T_PlannedOrders[Part Name],$A831,T_PlannedOrders[WeekIndex],9)=0,"",SUMIFS(T_PlannedOrders[EffectiveQty],T_PlannedOrders[Part Name],$A831,T_PlannedOrders[WeekIndex],9)&amp;" ("&amp;TEXT(SUMPRODUCT(MAX((T_PlannedOrders[Part Name]=$A831)*(T_PlannedOrders[WeekIndex]=9)*(T_PlannedOrders[EffectiveQty]&gt;0)*T_PlannedOrders[Order_Month])),"m月")&amp;"発注)")</f>
        <v/>
      </c>
      <c r="M873">
        <f>IF(SUMIFS(T_PlannedOrders[EffectiveQty],T_PlannedOrders[Part Name],$A831,T_PlannedOrders[WeekIndex],10)=0,"",SUMIFS(T_PlannedOrders[EffectiveQty],T_PlannedOrders[Part Name],$A831,T_PlannedOrders[WeekIndex],10)&amp;" ("&amp;TEXT(SUMPRODUCT(MAX((T_PlannedOrders[Part Name]=$A831)*(T_PlannedOrders[WeekIndex]=10)*(T_PlannedOrders[EffectiveQty]&gt;0)*T_PlannedOrders[Order_Month])),"m月")&amp;"発注)")</f>
        <v/>
      </c>
      <c r="N873">
        <f>IF(SUMIFS(T_PlannedOrders[EffectiveQty],T_PlannedOrders[Part Name],$A831,T_PlannedOrders[WeekIndex],11)=0,"",SUMIFS(T_PlannedOrders[EffectiveQty],T_PlannedOrders[Part Name],$A831,T_PlannedOrders[WeekIndex],11)&amp;" ("&amp;TEXT(SUMPRODUCT(MAX((T_PlannedOrders[Part Name]=$A831)*(T_PlannedOrders[WeekIndex]=11)*(T_PlannedOrders[EffectiveQty]&gt;0)*T_PlannedOrders[Order_Month])),"m月")&amp;"発注)")</f>
        <v/>
      </c>
      <c r="O873">
        <f>IF(SUMIFS(T_PlannedOrders[EffectiveQty],T_PlannedOrders[Part Name],$A831,T_PlannedOrders[WeekIndex],12)=0,"",SUMIFS(T_PlannedOrders[EffectiveQty],T_PlannedOrders[Part Name],$A831,T_PlannedOrders[WeekIndex],12)&amp;" ("&amp;TEXT(SUMPRODUCT(MAX((T_PlannedOrders[Part Name]=$A831)*(T_PlannedOrders[WeekIndex]=12)*(T_PlannedOrders[EffectiveQty]&gt;0)*T_PlannedOrders[Order_Month])),"m月")&amp;"発注)")</f>
        <v/>
      </c>
      <c r="P873">
        <f>IF(SUMIFS(T_PlannedOrders[EffectiveQty],T_PlannedOrders[Part Name],$A831,T_PlannedOrders[WeekIndex],13)=0,"",SUMIFS(T_PlannedOrders[EffectiveQty],T_PlannedOrders[Part Name],$A831,T_PlannedOrders[WeekIndex],13)&amp;" ("&amp;TEXT(SUMPRODUCT(MAX((T_PlannedOrders[Part Name]=$A831)*(T_PlannedOrders[WeekIndex]=13)*(T_PlannedOrders[EffectiveQty]&gt;0)*T_PlannedOrders[Order_Month])),"m月")&amp;"発注)")</f>
        <v/>
      </c>
      <c r="Q873">
        <f>IF(SUMIFS(T_PlannedOrders[EffectiveQty],T_PlannedOrders[Part Name],$A831,T_PlannedOrders[WeekIndex],14)=0,"",SUMIFS(T_PlannedOrders[EffectiveQty],T_PlannedOrders[Part Name],$A831,T_PlannedOrders[WeekIndex],14)&amp;" ("&amp;TEXT(SUMPRODUCT(MAX((T_PlannedOrders[Part Name]=$A831)*(T_PlannedOrders[WeekIndex]=14)*(T_PlannedOrders[EffectiveQty]&gt;0)*T_PlannedOrders[Order_Month])),"m月")&amp;"発注)")</f>
        <v/>
      </c>
      <c r="R873">
        <f>IF(SUMIFS(T_PlannedOrders[EffectiveQty],T_PlannedOrders[Part Name],$A831,T_PlannedOrders[WeekIndex],15)=0,"",SUMIFS(T_PlannedOrders[EffectiveQty],T_PlannedOrders[Part Name],$A831,T_PlannedOrders[WeekIndex],15)&amp;" ("&amp;TEXT(SUMPRODUCT(MAX((T_PlannedOrders[Part Name]=$A831)*(T_PlannedOrders[WeekIndex]=15)*(T_PlannedOrders[EffectiveQty]&gt;0)*T_PlannedOrders[Order_Month])),"m月")&amp;"発注)")</f>
        <v/>
      </c>
      <c r="S873">
        <f>IF(SUMIFS(T_PlannedOrders[EffectiveQty],T_PlannedOrders[Part Name],$A831,T_PlannedOrders[WeekIndex],16)=0,"",SUMIFS(T_PlannedOrders[EffectiveQty],T_PlannedOrders[Part Name],$A831,T_PlannedOrders[WeekIndex],16)&amp;" ("&amp;TEXT(SUMPRODUCT(MAX((T_PlannedOrders[Part Name]=$A831)*(T_PlannedOrders[WeekIndex]=16)*(T_PlannedOrders[EffectiveQty]&gt;0)*T_PlannedOrders[Order_Month])),"m月")&amp;"発注)")</f>
        <v/>
      </c>
      <c r="T873">
        <f>IF(SUMIFS(T_PlannedOrders[EffectiveQty],T_PlannedOrders[Part Name],$A831,T_PlannedOrders[WeekIndex],17)=0,"",SUMIFS(T_PlannedOrders[EffectiveQty],T_PlannedOrders[Part Name],$A831,T_PlannedOrders[WeekIndex],17)&amp;" ("&amp;TEXT(SUMPRODUCT(MAX((T_PlannedOrders[Part Name]=$A831)*(T_PlannedOrders[WeekIndex]=17)*(T_PlannedOrders[EffectiveQty]&gt;0)*T_PlannedOrders[Order_Month])),"m月")&amp;"発注)")</f>
        <v/>
      </c>
      <c r="U873">
        <f>IF(SUMIFS(T_PlannedOrders[EffectiveQty],T_PlannedOrders[Part Name],$A831,T_PlannedOrders[WeekIndex],18)=0,"",SUMIFS(T_PlannedOrders[EffectiveQty],T_PlannedOrders[Part Name],$A831,T_PlannedOrders[WeekIndex],18)&amp;" ("&amp;TEXT(SUMPRODUCT(MAX((T_PlannedOrders[Part Name]=$A831)*(T_PlannedOrders[WeekIndex]=18)*(T_PlannedOrders[EffectiveQty]&gt;0)*T_PlannedOrders[Order_Month])),"m月")&amp;"発注)")</f>
        <v/>
      </c>
      <c r="V873">
        <f>IF(SUMIFS(T_PlannedOrders[EffectiveQty],T_PlannedOrders[Part Name],$A831,T_PlannedOrders[WeekIndex],19)=0,"",SUMIFS(T_PlannedOrders[EffectiveQty],T_PlannedOrders[Part Name],$A831,T_PlannedOrders[WeekIndex],19)&amp;" ("&amp;TEXT(SUMPRODUCT(MAX((T_PlannedOrders[Part Name]=$A831)*(T_PlannedOrders[WeekIndex]=19)*(T_PlannedOrders[EffectiveQty]&gt;0)*T_PlannedOrders[Order_Month])),"m月")&amp;"発注)")</f>
        <v/>
      </c>
      <c r="W873">
        <f>IF(SUMIFS(T_PlannedOrders[EffectiveQty],T_PlannedOrders[Part Name],$A831,T_PlannedOrders[WeekIndex],20)=0,"",SUMIFS(T_PlannedOrders[EffectiveQty],T_PlannedOrders[Part Name],$A831,T_PlannedOrders[WeekIndex],20)&amp;" ("&amp;TEXT(SUMPRODUCT(MAX((T_PlannedOrders[Part Name]=$A831)*(T_PlannedOrders[WeekIndex]=20)*(T_PlannedOrders[EffectiveQty]&gt;0)*T_PlannedOrders[Order_Month])),"m月")&amp;"発注)")</f>
        <v/>
      </c>
      <c r="X873">
        <f>IF(SUMIFS(T_PlannedOrders[EffectiveQty],T_PlannedOrders[Part Name],$A831,T_PlannedOrders[WeekIndex],21)=0,"",SUMIFS(T_PlannedOrders[EffectiveQty],T_PlannedOrders[Part Name],$A831,T_PlannedOrders[WeekIndex],21)&amp;" ("&amp;TEXT(SUMPRODUCT(MAX((T_PlannedOrders[Part Name]=$A831)*(T_PlannedOrders[WeekIndex]=21)*(T_PlannedOrders[EffectiveQty]&gt;0)*T_PlannedOrders[Order_Month])),"m月")&amp;"発注)")</f>
        <v/>
      </c>
      <c r="Y873">
        <f>IF(SUMIFS(T_PlannedOrders[EffectiveQty],T_PlannedOrders[Part Name],$A831,T_PlannedOrders[WeekIndex],22)=0,"",SUMIFS(T_PlannedOrders[EffectiveQty],T_PlannedOrders[Part Name],$A831,T_PlannedOrders[WeekIndex],22)&amp;" ("&amp;TEXT(SUMPRODUCT(MAX((T_PlannedOrders[Part Name]=$A831)*(T_PlannedOrders[WeekIndex]=22)*(T_PlannedOrders[EffectiveQty]&gt;0)*T_PlannedOrders[Order_Month])),"m月")&amp;"発注)")</f>
        <v/>
      </c>
      <c r="Z873">
        <f>IF(SUMIFS(T_PlannedOrders[EffectiveQty],T_PlannedOrders[Part Name],$A831,T_PlannedOrders[WeekIndex],23)=0,"",SUMIFS(T_PlannedOrders[EffectiveQty],T_PlannedOrders[Part Name],$A831,T_PlannedOrders[WeekIndex],23)&amp;" ("&amp;TEXT(SUMPRODUCT(MAX((T_PlannedOrders[Part Name]=$A831)*(T_PlannedOrders[WeekIndex]=23)*(T_PlannedOrders[EffectiveQty]&gt;0)*T_PlannedOrders[Order_Month])),"m月")&amp;"発注)")</f>
        <v/>
      </c>
      <c r="AA873">
        <f>IF(SUMIFS(T_PlannedOrders[EffectiveQty],T_PlannedOrders[Part Name],$A831,T_PlannedOrders[WeekIndex],24)=0,"",SUMIFS(T_PlannedOrders[EffectiveQty],T_PlannedOrders[Part Name],$A831,T_PlannedOrders[WeekIndex],24)&amp;" ("&amp;TEXT(SUMPRODUCT(MAX((T_PlannedOrders[Part Name]=$A831)*(T_PlannedOrders[WeekIndex]=24)*(T_PlannedOrders[EffectiveQty]&gt;0)*T_PlannedOrders[Order_Month])),"m月")&amp;"発注)")</f>
        <v/>
      </c>
      <c r="AB873">
        <f>IF(SUMIFS(T_PlannedOrders[EffectiveQty],T_PlannedOrders[Part Name],$A831,T_PlannedOrders[WeekIndex],25)=0,"",SUMIFS(T_PlannedOrders[EffectiveQty],T_PlannedOrders[Part Name],$A831,T_PlannedOrders[WeekIndex],25)&amp;" ("&amp;TEXT(SUMPRODUCT(MAX((T_PlannedOrders[Part Name]=$A831)*(T_PlannedOrders[WeekIndex]=25)*(T_PlannedOrders[EffectiveQty]&gt;0)*T_PlannedOrders[Order_Month])),"m月")&amp;"発注)")</f>
        <v/>
      </c>
      <c r="AC873">
        <f>IF(SUMIFS(T_PlannedOrders[EffectiveQty],T_PlannedOrders[Part Name],$A831,T_PlannedOrders[WeekIndex],26)=0,"",SUMIFS(T_PlannedOrders[EffectiveQty],T_PlannedOrders[Part Name],$A831,T_PlannedOrders[WeekIndex],26)&amp;" ("&amp;TEXT(SUMPRODUCT(MAX((T_PlannedOrders[Part Name]=$A831)*(T_PlannedOrders[WeekIndex]=26)*(T_PlannedOrders[EffectiveQty]&gt;0)*T_PlannedOrders[Order_Month])),"m月")&amp;"発注)")</f>
        <v/>
      </c>
      <c r="AD873">
        <f>IF(SUMIFS(T_PlannedOrders[EffectiveQty],T_PlannedOrders[Part Name],$A831,T_PlannedOrders[WeekIndex],27)=0,"",SUMIFS(T_PlannedOrders[EffectiveQty],T_PlannedOrders[Part Name],$A831,T_PlannedOrders[WeekIndex],27)&amp;" ("&amp;TEXT(SUMPRODUCT(MAX((T_PlannedOrders[Part Name]=$A831)*(T_PlannedOrders[WeekIndex]=27)*(T_PlannedOrders[EffectiveQty]&gt;0)*T_PlannedOrders[Order_Month])),"m月")&amp;"発注)")</f>
        <v/>
      </c>
      <c r="AE873">
        <f>IF(SUMIFS(T_PlannedOrders[EffectiveQty],T_PlannedOrders[Part Name],$A831,T_PlannedOrders[WeekIndex],28)=0,"",SUMIFS(T_PlannedOrders[EffectiveQty],T_PlannedOrders[Part Name],$A831,T_PlannedOrders[WeekIndex],28)&amp;" ("&amp;TEXT(SUMPRODUCT(MAX((T_PlannedOrders[Part Name]=$A831)*(T_PlannedOrders[WeekIndex]=28)*(T_PlannedOrders[EffectiveQty]&gt;0)*T_PlannedOrders[Order_Month])),"m月")&amp;"発注)")</f>
        <v/>
      </c>
      <c r="AF873">
        <f>IF(SUMIFS(T_PlannedOrders[EffectiveQty],T_PlannedOrders[Part Name],$A831,T_PlannedOrders[WeekIndex],29)=0,"",SUMIFS(T_PlannedOrders[EffectiveQty],T_PlannedOrders[Part Name],$A831,T_PlannedOrders[WeekIndex],29)&amp;" ("&amp;TEXT(SUMPRODUCT(MAX((T_PlannedOrders[Part Name]=$A831)*(T_PlannedOrders[WeekIndex]=29)*(T_PlannedOrders[EffectiveQty]&gt;0)*T_PlannedOrders[Order_Month])),"m月")&amp;"発注)")</f>
        <v/>
      </c>
      <c r="AG873">
        <f>IF(SUMIFS(T_PlannedOrders[EffectiveQty],T_PlannedOrders[Part Name],$A831,T_PlannedOrders[WeekIndex],30)=0,"",SUMIFS(T_PlannedOrders[EffectiveQty],T_PlannedOrders[Part Name],$A831,T_PlannedOrders[WeekIndex],30)&amp;" ("&amp;TEXT(SUMPRODUCT(MAX((T_PlannedOrders[Part Name]=$A831)*(T_PlannedOrders[WeekIndex]=30)*(T_PlannedOrders[EffectiveQty]&gt;0)*T_PlannedOrders[Order_Month])),"m月")&amp;"発注)")</f>
        <v/>
      </c>
      <c r="AH873">
        <f>IF(SUMIFS(T_PlannedOrders[EffectiveQty],T_PlannedOrders[Part Name],$A831,T_PlannedOrders[WeekIndex],31)=0,"",SUMIFS(T_PlannedOrders[EffectiveQty],T_PlannedOrders[Part Name],$A831,T_PlannedOrders[WeekIndex],31)&amp;" ("&amp;TEXT(SUMPRODUCT(MAX((T_PlannedOrders[Part Name]=$A831)*(T_PlannedOrders[WeekIndex]=31)*(T_PlannedOrders[EffectiveQty]&gt;0)*T_PlannedOrders[Order_Month])),"m月")&amp;"発注)")</f>
        <v/>
      </c>
      <c r="AI873">
        <f>IF(SUMIFS(T_PlannedOrders[EffectiveQty],T_PlannedOrders[Part Name],$A831,T_PlannedOrders[WeekIndex],32)=0,"",SUMIFS(T_PlannedOrders[EffectiveQty],T_PlannedOrders[Part Name],$A831,T_PlannedOrders[WeekIndex],32)&amp;" ("&amp;TEXT(SUMPRODUCT(MAX((T_PlannedOrders[Part Name]=$A831)*(T_PlannedOrders[WeekIndex]=32)*(T_PlannedOrders[EffectiveQty]&gt;0)*T_PlannedOrders[Order_Month])),"m月")&amp;"発注)")</f>
        <v/>
      </c>
      <c r="AJ873">
        <f>IF(SUMIFS(T_PlannedOrders[EffectiveQty],T_PlannedOrders[Part Name],$A831,T_PlannedOrders[WeekIndex],33)=0,"",SUMIFS(T_PlannedOrders[EffectiveQty],T_PlannedOrders[Part Name],$A831,T_PlannedOrders[WeekIndex],33)&amp;" ("&amp;TEXT(SUMPRODUCT(MAX((T_PlannedOrders[Part Name]=$A831)*(T_PlannedOrders[WeekIndex]=33)*(T_PlannedOrders[EffectiveQty]&gt;0)*T_PlannedOrders[Order_Month])),"m月")&amp;"発注)")</f>
        <v/>
      </c>
      <c r="AK873">
        <f>IF(SUMIFS(T_PlannedOrders[EffectiveQty],T_PlannedOrders[Part Name],$A831,T_PlannedOrders[WeekIndex],34)=0,"",SUMIFS(T_PlannedOrders[EffectiveQty],T_PlannedOrders[Part Name],$A831,T_PlannedOrders[WeekIndex],34)&amp;" ("&amp;TEXT(SUMPRODUCT(MAX((T_PlannedOrders[Part Name]=$A831)*(T_PlannedOrders[WeekIndex]=34)*(T_PlannedOrders[EffectiveQty]&gt;0)*T_PlannedOrders[Order_Month])),"m月")&amp;"発注)")</f>
        <v/>
      </c>
      <c r="AL873">
        <f>IF(SUMIFS(T_PlannedOrders[EffectiveQty],T_PlannedOrders[Part Name],$A831,T_PlannedOrders[WeekIndex],35)=0,"",SUMIFS(T_PlannedOrders[EffectiveQty],T_PlannedOrders[Part Name],$A831,T_PlannedOrders[WeekIndex],35)&amp;" ("&amp;TEXT(SUMPRODUCT(MAX((T_PlannedOrders[Part Name]=$A831)*(T_PlannedOrders[WeekIndex]=35)*(T_PlannedOrders[EffectiveQty]&gt;0)*T_PlannedOrders[Order_Month])),"m月")&amp;"発注)")</f>
        <v/>
      </c>
      <c r="AM873">
        <f>IF(SUMIFS(T_PlannedOrders[EffectiveQty],T_PlannedOrders[Part Name],$A831,T_PlannedOrders[WeekIndex],36)=0,"",SUMIFS(T_PlannedOrders[EffectiveQty],T_PlannedOrders[Part Name],$A831,T_PlannedOrders[WeekIndex],36)&amp;" ("&amp;TEXT(SUMPRODUCT(MAX((T_PlannedOrders[Part Name]=$A831)*(T_PlannedOrders[WeekIndex]=36)*(T_PlannedOrders[EffectiveQty]&gt;0)*T_PlannedOrders[Order_Month])),"m月")&amp;"発注)")</f>
        <v/>
      </c>
      <c r="AN873">
        <f>IF(SUMIFS(T_PlannedOrders[EffectiveQty],T_PlannedOrders[Part Name],$A831,T_PlannedOrders[WeekIndex],37)=0,"",SUMIFS(T_PlannedOrders[EffectiveQty],T_PlannedOrders[Part Name],$A831,T_PlannedOrders[WeekIndex],37)&amp;" ("&amp;TEXT(SUMPRODUCT(MAX((T_PlannedOrders[Part Name]=$A831)*(T_PlannedOrders[WeekIndex]=37)*(T_PlannedOrders[EffectiveQty]&gt;0)*T_PlannedOrders[Order_Month])),"m月")&amp;"発注)")</f>
        <v/>
      </c>
      <c r="AO873">
        <f>IF(SUMIFS(T_PlannedOrders[EffectiveQty],T_PlannedOrders[Part Name],$A831,T_PlannedOrders[WeekIndex],38)=0,"",SUMIFS(T_PlannedOrders[EffectiveQty],T_PlannedOrders[Part Name],$A831,T_PlannedOrders[WeekIndex],38)&amp;" ("&amp;TEXT(SUMPRODUCT(MAX((T_PlannedOrders[Part Name]=$A831)*(T_PlannedOrders[WeekIndex]=38)*(T_PlannedOrders[EffectiveQty]&gt;0)*T_PlannedOrders[Order_Month])),"m月")&amp;"発注)")</f>
        <v/>
      </c>
      <c r="AP873">
        <f>IF(SUMIFS(T_PlannedOrders[EffectiveQty],T_PlannedOrders[Part Name],$A831,T_PlannedOrders[WeekIndex],39)=0,"",SUMIFS(T_PlannedOrders[EffectiveQty],T_PlannedOrders[Part Name],$A831,T_PlannedOrders[WeekIndex],39)&amp;" ("&amp;TEXT(SUMPRODUCT(MAX((T_PlannedOrders[Part Name]=$A831)*(T_PlannedOrders[WeekIndex]=39)*(T_PlannedOrders[EffectiveQty]&gt;0)*T_PlannedOrders[Order_Month])),"m月")&amp;"発注)")</f>
        <v/>
      </c>
      <c r="AQ873">
        <f>IF(SUMIFS(T_PlannedOrders[EffectiveQty],T_PlannedOrders[Part Name],$A831,T_PlannedOrders[WeekIndex],40)=0,"",SUMIFS(T_PlannedOrders[EffectiveQty],T_PlannedOrders[Part Name],$A831,T_PlannedOrders[WeekIndex],40)&amp;" ("&amp;TEXT(SUMPRODUCT(MAX((T_PlannedOrders[Part Name]=$A831)*(T_PlannedOrders[WeekIndex]=40)*(T_PlannedOrders[EffectiveQty]&gt;0)*T_PlannedOrders[Order_Month])),"m月")&amp;"発注)")</f>
        <v/>
      </c>
      <c r="AR873">
        <f>IF(SUMIFS(T_PlannedOrders[EffectiveQty],T_PlannedOrders[Part Name],$A831,T_PlannedOrders[WeekIndex],41)=0,"",SUMIFS(T_PlannedOrders[EffectiveQty],T_PlannedOrders[Part Name],$A831,T_PlannedOrders[WeekIndex],41)&amp;" ("&amp;TEXT(SUMPRODUCT(MAX((T_PlannedOrders[Part Name]=$A831)*(T_PlannedOrders[WeekIndex]=41)*(T_PlannedOrders[EffectiveQty]&gt;0)*T_PlannedOrders[Order_Month])),"m月")&amp;"発注)")</f>
        <v/>
      </c>
      <c r="AS873">
        <f>IF(SUMIFS(T_PlannedOrders[EffectiveQty],T_PlannedOrders[Part Name],$A831,T_PlannedOrders[WeekIndex],42)=0,"",SUMIFS(T_PlannedOrders[EffectiveQty],T_PlannedOrders[Part Name],$A831,T_PlannedOrders[WeekIndex],42)&amp;" ("&amp;TEXT(SUMPRODUCT(MAX((T_PlannedOrders[Part Name]=$A831)*(T_PlannedOrders[WeekIndex]=42)*(T_PlannedOrders[EffectiveQty]&gt;0)*T_PlannedOrders[Order_Month])),"m月")&amp;"発注)")</f>
        <v/>
      </c>
      <c r="AT873">
        <f>IF(SUMIFS(T_PlannedOrders[EffectiveQty],T_PlannedOrders[Part Name],$A831,T_PlannedOrders[WeekIndex],43)=0,"",SUMIFS(T_PlannedOrders[EffectiveQty],T_PlannedOrders[Part Name],$A831,T_PlannedOrders[WeekIndex],43)&amp;" ("&amp;TEXT(SUMPRODUCT(MAX((T_PlannedOrders[Part Name]=$A831)*(T_PlannedOrders[WeekIndex]=43)*(T_PlannedOrders[EffectiveQty]&gt;0)*T_PlannedOrders[Order_Month])),"m月")&amp;"発注)")</f>
        <v/>
      </c>
      <c r="AU873">
        <f>IF(SUMIFS(T_PlannedOrders[EffectiveQty],T_PlannedOrders[Part Name],$A831,T_PlannedOrders[WeekIndex],44)=0,"",SUMIFS(T_PlannedOrders[EffectiveQty],T_PlannedOrders[Part Name],$A831,T_PlannedOrders[WeekIndex],44)&amp;" ("&amp;TEXT(SUMPRODUCT(MAX((T_PlannedOrders[Part Name]=$A831)*(T_PlannedOrders[WeekIndex]=44)*(T_PlannedOrders[EffectiveQty]&gt;0)*T_PlannedOrders[Order_Month])),"m月")&amp;"発注)")</f>
        <v/>
      </c>
      <c r="AV873">
        <f>IF(SUMIFS(T_PlannedOrders[EffectiveQty],T_PlannedOrders[Part Name],$A831,T_PlannedOrders[WeekIndex],45)=0,"",SUMIFS(T_PlannedOrders[EffectiveQty],T_PlannedOrders[Part Name],$A831,T_PlannedOrders[WeekIndex],45)&amp;" ("&amp;TEXT(SUMPRODUCT(MAX((T_PlannedOrders[Part Name]=$A831)*(T_PlannedOrders[WeekIndex]=45)*(T_PlannedOrders[EffectiveQty]&gt;0)*T_PlannedOrders[Order_Month])),"m月")&amp;"発注)")</f>
        <v/>
      </c>
      <c r="AW873">
        <f>IF(SUMIFS(T_PlannedOrders[EffectiveQty],T_PlannedOrders[Part Name],$A831,T_PlannedOrders[WeekIndex],46)=0,"",SUMIFS(T_PlannedOrders[EffectiveQty],T_PlannedOrders[Part Name],$A831,T_PlannedOrders[WeekIndex],46)&amp;" ("&amp;TEXT(SUMPRODUCT(MAX((T_PlannedOrders[Part Name]=$A831)*(T_PlannedOrders[WeekIndex]=46)*(T_PlannedOrders[EffectiveQty]&gt;0)*T_PlannedOrders[Order_Month])),"m月")&amp;"発注)")</f>
        <v/>
      </c>
      <c r="AX873">
        <f>IF(SUMIFS(T_PlannedOrders[EffectiveQty],T_PlannedOrders[Part Name],$A831,T_PlannedOrders[WeekIndex],47)=0,"",SUMIFS(T_PlannedOrders[EffectiveQty],T_PlannedOrders[Part Name],$A831,T_PlannedOrders[WeekIndex],47)&amp;" ("&amp;TEXT(SUMPRODUCT(MAX((T_PlannedOrders[Part Name]=$A831)*(T_PlannedOrders[WeekIndex]=47)*(T_PlannedOrders[EffectiveQty]&gt;0)*T_PlannedOrders[Order_Month])),"m月")&amp;"発注)")</f>
        <v/>
      </c>
      <c r="AY873">
        <f>IF(SUMIFS(T_PlannedOrders[EffectiveQty],T_PlannedOrders[Part Name],$A831,T_PlannedOrders[WeekIndex],48)=0,"",SUMIFS(T_PlannedOrders[EffectiveQty],T_PlannedOrders[Part Name],$A831,T_PlannedOrders[WeekIndex],48)&amp;" ("&amp;TEXT(SUMPRODUCT(MAX((T_PlannedOrders[Part Name]=$A831)*(T_PlannedOrders[WeekIndex]=48)*(T_PlannedOrders[EffectiveQty]&gt;0)*T_PlannedOrders[Order_Month])),"m月")&amp;"発注)")</f>
        <v/>
      </c>
      <c r="AZ873">
        <f>IF(SUMIFS(T_PlannedOrders[EffectiveQty],T_PlannedOrders[Part Name],$A831,T_PlannedOrders[WeekIndex],49)=0,"",SUMIFS(T_PlannedOrders[EffectiveQty],T_PlannedOrders[Part Name],$A831,T_PlannedOrders[WeekIndex],49)&amp;" ("&amp;TEXT(SUMPRODUCT(MAX((T_PlannedOrders[Part Name]=$A831)*(T_PlannedOrders[WeekIndex]=49)*(T_PlannedOrders[EffectiveQty]&gt;0)*T_PlannedOrders[Order_Month])),"m月")&amp;"発注)")</f>
        <v/>
      </c>
      <c r="BA873">
        <f>IF(SUMIFS(T_PlannedOrders[EffectiveQty],T_PlannedOrders[Part Name],$A831,T_PlannedOrders[WeekIndex],50)=0,"",SUMIFS(T_PlannedOrders[EffectiveQty],T_PlannedOrders[Part Name],$A831,T_PlannedOrders[WeekIndex],50)&amp;" ("&amp;TEXT(SUMPRODUCT(MAX((T_PlannedOrders[Part Name]=$A831)*(T_PlannedOrders[WeekIndex]=50)*(T_PlannedOrders[EffectiveQty]&gt;0)*T_PlannedOrders[Order_Month])),"m月")&amp;"発注)")</f>
        <v/>
      </c>
      <c r="BB873">
        <f>IF(SUMIFS(T_PlannedOrders[EffectiveQty],T_PlannedOrders[Part Name],$A831,T_PlannedOrders[WeekIndex],51)=0,"",SUMIFS(T_PlannedOrders[EffectiveQty],T_PlannedOrders[Part Name],$A831,T_PlannedOrders[WeekIndex],51)&amp;" ("&amp;TEXT(SUMPRODUCT(MAX((T_PlannedOrders[Part Name]=$A831)*(T_PlannedOrders[WeekIndex]=51)*(T_PlannedOrders[EffectiveQty]&gt;0)*T_PlannedOrders[Order_Month])),"m月")&amp;"発注)")</f>
        <v/>
      </c>
      <c r="BC873">
        <f>IF(SUMIFS(T_PlannedOrders[EffectiveQty],T_PlannedOrders[Part Name],$A831,T_PlannedOrders[WeekIndex],52)=0,"",SUMIFS(T_PlannedOrders[EffectiveQty],T_PlannedOrders[Part Name],$A831,T_PlannedOrders[WeekIndex],52)&amp;" ("&amp;TEXT(SUMPRODUCT(MAX((T_PlannedOrders[Part Name]=$A831)*(T_PlannedOrders[WeekIndex]=52)*(T_PlannedOrders[EffectiveQty]&gt;0)*T_PlannedOrders[Order_Month])),"m月")&amp;"発注)")</f>
        <v/>
      </c>
      <c r="BD873">
        <f>IF(SUMIFS(T_PlannedOrders[EffectiveQty],T_PlannedOrders[Part Name],$A831,T_PlannedOrders[WeekIndex],53)=0,"",SUMIFS(T_PlannedOrders[EffectiveQty],T_PlannedOrders[Part Name],$A831,T_PlannedOrders[WeekIndex],53)&amp;" ("&amp;TEXT(SUMPRODUCT(MAX((T_PlannedOrders[Part Name]=$A831)*(T_PlannedOrders[WeekIndex]=53)*(T_PlannedOrders[EffectiveQty]&gt;0)*T_PlannedOrders[Order_Month])),"m月")&amp;"発注)")</f>
        <v/>
      </c>
      <c r="BE873">
        <f>IF(SUMIFS(T_PlannedOrders[EffectiveQty],T_PlannedOrders[Part Name],$A831,T_PlannedOrders[WeekIndex],54)=0,"",SUMIFS(T_PlannedOrders[EffectiveQty],T_PlannedOrders[Part Name],$A831,T_PlannedOrders[WeekIndex],54)&amp;" ("&amp;TEXT(SUMPRODUCT(MAX((T_PlannedOrders[Part Name]=$A831)*(T_PlannedOrders[WeekIndex]=54)*(T_PlannedOrders[EffectiveQty]&gt;0)*T_PlannedOrders[Order_Month])),"m月")&amp;"発注)")</f>
        <v/>
      </c>
      <c r="BF873">
        <f>IF(SUMIFS(T_PlannedOrders[EffectiveQty],T_PlannedOrders[Part Name],$A831,T_PlannedOrders[WeekIndex],55)=0,"",SUMIFS(T_PlannedOrders[EffectiveQty],T_PlannedOrders[Part Name],$A831,T_PlannedOrders[WeekIndex],55)&amp;" ("&amp;TEXT(SUMPRODUCT(MAX((T_PlannedOrders[Part Name]=$A831)*(T_PlannedOrders[WeekIndex]=55)*(T_PlannedOrders[EffectiveQty]&gt;0)*T_PlannedOrders[Order_Month])),"m月")&amp;"発注)")</f>
        <v/>
      </c>
      <c r="BG873">
        <f>IF(SUMIFS(T_PlannedOrders[EffectiveQty],T_PlannedOrders[Part Name],$A831,T_PlannedOrders[WeekIndex],56)=0,"",SUMIFS(T_PlannedOrders[EffectiveQty],T_PlannedOrders[Part Name],$A831,T_PlannedOrders[WeekIndex],56)&amp;" ("&amp;TEXT(SUMPRODUCT(MAX((T_PlannedOrders[Part Name]=$A831)*(T_PlannedOrders[WeekIndex]=56)*(T_PlannedOrders[EffectiveQty]&gt;0)*T_PlannedOrders[Order_Month])),"m月")&amp;"発注)")</f>
        <v/>
      </c>
      <c r="BH873">
        <f>IF(SUMIFS(T_PlannedOrders[EffectiveQty],T_PlannedOrders[Part Name],$A831,T_PlannedOrders[WeekIndex],57)=0,"",SUMIFS(T_PlannedOrders[EffectiveQty],T_PlannedOrders[Part Name],$A831,T_PlannedOrders[WeekIndex],57)&amp;" ("&amp;TEXT(SUMPRODUCT(MAX((T_PlannedOrders[Part Name]=$A831)*(T_PlannedOrders[WeekIndex]=57)*(T_PlannedOrders[EffectiveQty]&gt;0)*T_PlannedOrders[Order_Month])),"m月")&amp;"発注)")</f>
        <v/>
      </c>
      <c r="BI873">
        <f>IF(SUMIFS(T_PlannedOrders[EffectiveQty],T_PlannedOrders[Part Name],$A831,T_PlannedOrders[WeekIndex],58)=0,"",SUMIFS(T_PlannedOrders[EffectiveQty],T_PlannedOrders[Part Name],$A831,T_PlannedOrders[WeekIndex],58)&amp;" ("&amp;TEXT(SUMPRODUCT(MAX((T_PlannedOrders[Part Name]=$A831)*(T_PlannedOrders[WeekIndex]=58)*(T_PlannedOrders[EffectiveQty]&gt;0)*T_PlannedOrders[Order_Month])),"m月")&amp;"発注)")</f>
        <v/>
      </c>
      <c r="BJ873">
        <f>IF(SUMIFS(T_PlannedOrders[EffectiveQty],T_PlannedOrders[Part Name],$A831,T_PlannedOrders[WeekIndex],59)=0,"",SUMIFS(T_PlannedOrders[EffectiveQty],T_PlannedOrders[Part Name],$A831,T_PlannedOrders[WeekIndex],59)&amp;" ("&amp;TEXT(SUMPRODUCT(MAX((T_PlannedOrders[Part Name]=$A831)*(T_PlannedOrders[WeekIndex]=59)*(T_PlannedOrders[EffectiveQty]&gt;0)*T_PlannedOrders[Order_Month])),"m月")&amp;"発注)")</f>
        <v/>
      </c>
      <c r="BK873">
        <f>IF(SUMIFS(T_PlannedOrders[EffectiveQty],T_PlannedOrders[Part Name],$A831,T_PlannedOrders[WeekIndex],60)=0,"",SUMIFS(T_PlannedOrders[EffectiveQty],T_PlannedOrders[Part Name],$A831,T_PlannedOrders[WeekIndex],60)&amp;" ("&amp;TEXT(SUMPRODUCT(MAX((T_PlannedOrders[Part Name]=$A831)*(T_PlannedOrders[WeekIndex]=60)*(T_PlannedOrders[EffectiveQty]&gt;0)*T_PlannedOrders[Order_Month])),"m月")&amp;"発注)")</f>
        <v/>
      </c>
      <c r="BL873">
        <f>IF(SUMIFS(T_PlannedOrders[EffectiveQty],T_PlannedOrders[Part Name],$A831,T_PlannedOrders[WeekIndex],61)=0,"",SUMIFS(T_PlannedOrders[EffectiveQty],T_PlannedOrders[Part Name],$A831,T_PlannedOrders[WeekIndex],61)&amp;" ("&amp;TEXT(SUMPRODUCT(MAX((T_PlannedOrders[Part Name]=$A831)*(T_PlannedOrders[WeekIndex]=61)*(T_PlannedOrders[EffectiveQty]&gt;0)*T_PlannedOrders[Order_Month])),"m月")&amp;"発注)")</f>
        <v/>
      </c>
      <c r="BM873">
        <f>IF(SUMIFS(T_PlannedOrders[EffectiveQty],T_PlannedOrders[Part Name],$A831,T_PlannedOrders[WeekIndex],62)=0,"",SUMIFS(T_PlannedOrders[EffectiveQty],T_PlannedOrders[Part Name],$A831,T_PlannedOrders[WeekIndex],62)&amp;" ("&amp;TEXT(SUMPRODUCT(MAX((T_PlannedOrders[Part Name]=$A831)*(T_PlannedOrders[WeekIndex]=62)*(T_PlannedOrders[EffectiveQty]&gt;0)*T_PlannedOrders[Order_Month])),"m月")&amp;"発注)")</f>
        <v/>
      </c>
      <c r="BN873">
        <f>IF(SUMIFS(T_PlannedOrders[EffectiveQty],T_PlannedOrders[Part Name],$A831,T_PlannedOrders[WeekIndex],63)=0,"",SUMIFS(T_PlannedOrders[EffectiveQty],T_PlannedOrders[Part Name],$A831,T_PlannedOrders[WeekIndex],63)&amp;" ("&amp;TEXT(SUMPRODUCT(MAX((T_PlannedOrders[Part Name]=$A831)*(T_PlannedOrders[WeekIndex]=63)*(T_PlannedOrders[EffectiveQty]&gt;0)*T_PlannedOrders[Order_Month])),"m月")&amp;"発注)")</f>
        <v/>
      </c>
      <c r="BO873">
        <f>IF(SUMIFS(T_PlannedOrders[EffectiveQty],T_PlannedOrders[Part Name],$A831,T_PlannedOrders[WeekIndex],64)=0,"",SUMIFS(T_PlannedOrders[EffectiveQty],T_PlannedOrders[Part Name],$A831,T_PlannedOrders[WeekIndex],64)&amp;" ("&amp;TEXT(SUMPRODUCT(MAX((T_PlannedOrders[Part Name]=$A831)*(T_PlannedOrders[WeekIndex]=64)*(T_PlannedOrders[EffectiveQty]&gt;0)*T_PlannedOrders[Order_Month])),"m月")&amp;"発注)")</f>
        <v/>
      </c>
      <c r="BP873">
        <f>IF(SUMIFS(T_PlannedOrders[EffectiveQty],T_PlannedOrders[Part Name],$A831,T_PlannedOrders[WeekIndex],65)=0,"",SUMIFS(T_PlannedOrders[EffectiveQty],T_PlannedOrders[Part Name],$A831,T_PlannedOrders[WeekIndex],65)&amp;" ("&amp;TEXT(SUMPRODUCT(MAX((T_PlannedOrders[Part Name]=$A831)*(T_PlannedOrders[WeekIndex]=65)*(T_PlannedOrders[EffectiveQty]&gt;0)*T_PlannedOrders[Order_Month])),"m月")&amp;"発注)")</f>
        <v/>
      </c>
      <c r="BQ873">
        <f>IF(SUMIFS(T_PlannedOrders[EffectiveQty],T_PlannedOrders[Part Name],$A831,T_PlannedOrders[WeekIndex],66)=0,"",SUMIFS(T_PlannedOrders[EffectiveQty],T_PlannedOrders[Part Name],$A831,T_PlannedOrders[WeekIndex],66)&amp;" ("&amp;TEXT(SUMPRODUCT(MAX((T_PlannedOrders[Part Name]=$A831)*(T_PlannedOrders[WeekIndex]=66)*(T_PlannedOrders[EffectiveQty]&gt;0)*T_PlannedOrders[Order_Month])),"m月")&amp;"発注)")</f>
        <v/>
      </c>
      <c r="BR873">
        <f>IF(SUMIFS(T_PlannedOrders[EffectiveQty],T_PlannedOrders[Part Name],$A831,T_PlannedOrders[WeekIndex],67)=0,"",SUMIFS(T_PlannedOrders[EffectiveQty],T_PlannedOrders[Part Name],$A831,T_PlannedOrders[WeekIndex],67)&amp;" ("&amp;TEXT(SUMPRODUCT(MAX((T_PlannedOrders[Part Name]=$A831)*(T_PlannedOrders[WeekIndex]=67)*(T_PlannedOrders[EffectiveQty]&gt;0)*T_PlannedOrders[Order_Month])),"m月")&amp;"発注)")</f>
        <v/>
      </c>
      <c r="BS873">
        <f>IF(SUMIFS(T_PlannedOrders[EffectiveQty],T_PlannedOrders[Part Name],$A831,T_PlannedOrders[WeekIndex],68)=0,"",SUMIFS(T_PlannedOrders[EffectiveQty],T_PlannedOrders[Part Name],$A831,T_PlannedOrders[WeekIndex],68)&amp;" ("&amp;TEXT(SUMPRODUCT(MAX((T_PlannedOrders[Part Name]=$A831)*(T_PlannedOrders[WeekIndex]=68)*(T_PlannedOrders[EffectiveQty]&gt;0)*T_PlannedOrders[Order_Month])),"m月")&amp;"発注)")</f>
        <v/>
      </c>
      <c r="BT873">
        <f>IF(SUMIFS(T_PlannedOrders[EffectiveQty],T_PlannedOrders[Part Name],$A831,T_PlannedOrders[WeekIndex],69)=0,"",SUMIFS(T_PlannedOrders[EffectiveQty],T_PlannedOrders[Part Name],$A831,T_PlannedOrders[WeekIndex],69)&amp;" ("&amp;TEXT(SUMPRODUCT(MAX((T_PlannedOrders[Part Name]=$A831)*(T_PlannedOrders[WeekIndex]=69)*(T_PlannedOrders[EffectiveQty]&gt;0)*T_PlannedOrders[Order_Month])),"m月")&amp;"発注)")</f>
        <v/>
      </c>
      <c r="BU873">
        <f>IF(SUMIFS(T_PlannedOrders[EffectiveQty],T_PlannedOrders[Part Name],$A831,T_PlannedOrders[WeekIndex],70)=0,"",SUMIFS(T_PlannedOrders[EffectiveQty],T_PlannedOrders[Part Name],$A831,T_PlannedOrders[WeekIndex],70)&amp;" ("&amp;TEXT(SUMPRODUCT(MAX((T_PlannedOrders[Part Name]=$A831)*(T_PlannedOrders[WeekIndex]=70)*(T_PlannedOrders[EffectiveQty]&gt;0)*T_PlannedOrders[Order_Month])),"m月")&amp;"発注)")</f>
        <v/>
      </c>
      <c r="BV873">
        <f>IF(SUMIFS(T_PlannedOrders[EffectiveQty],T_PlannedOrders[Part Name],$A831,T_PlannedOrders[WeekIndex],71)=0,"",SUMIFS(T_PlannedOrders[EffectiveQty],T_PlannedOrders[Part Name],$A831,T_PlannedOrders[WeekIndex],71)&amp;" ("&amp;TEXT(SUMPRODUCT(MAX((T_PlannedOrders[Part Name]=$A831)*(T_PlannedOrders[WeekIndex]=71)*(T_PlannedOrders[EffectiveQty]&gt;0)*T_PlannedOrders[Order_Month])),"m月")&amp;"発注)")</f>
        <v/>
      </c>
      <c r="BW873">
        <f>IF(SUMIFS(T_PlannedOrders[EffectiveQty],T_PlannedOrders[Part Name],$A831,T_PlannedOrders[WeekIndex],72)=0,"",SUMIFS(T_PlannedOrders[EffectiveQty],T_PlannedOrders[Part Name],$A831,T_PlannedOrders[WeekIndex],72)&amp;" ("&amp;TEXT(SUMPRODUCT(MAX((T_PlannedOrders[Part Name]=$A831)*(T_PlannedOrders[WeekIndex]=72)*(T_PlannedOrders[EffectiveQty]&gt;0)*T_PlannedOrders[Order_Month])),"m月")&amp;"発注)")</f>
        <v/>
      </c>
      <c r="BX873">
        <f>IF(SUMIFS(T_PlannedOrders[EffectiveQty],T_PlannedOrders[Part Name],$A831,T_PlannedOrders[WeekIndex],73)=0,"",SUMIFS(T_PlannedOrders[EffectiveQty],T_PlannedOrders[Part Name],$A831,T_PlannedOrders[WeekIndex],73)&amp;" ("&amp;TEXT(SUMPRODUCT(MAX((T_PlannedOrders[Part Name]=$A831)*(T_PlannedOrders[WeekIndex]=73)*(T_PlannedOrders[EffectiveQty]&gt;0)*T_PlannedOrders[Order_Month])),"m月")&amp;"発注)")</f>
        <v/>
      </c>
      <c r="BY873">
        <f>IF(SUMIFS(T_PlannedOrders[EffectiveQty],T_PlannedOrders[Part Name],$A831,T_PlannedOrders[WeekIndex],74)=0,"",SUMIFS(T_PlannedOrders[EffectiveQty],T_PlannedOrders[Part Name],$A831,T_PlannedOrders[WeekIndex],74)&amp;" ("&amp;TEXT(SUMPRODUCT(MAX((T_PlannedOrders[Part Name]=$A831)*(T_PlannedOrders[WeekIndex]=74)*(T_PlannedOrders[EffectiveQty]&gt;0)*T_PlannedOrders[Order_Month])),"m月")&amp;"発注)")</f>
        <v/>
      </c>
      <c r="BZ873">
        <f>IF(SUMIFS(T_PlannedOrders[EffectiveQty],T_PlannedOrders[Part Name],$A831,T_PlannedOrders[WeekIndex],75)=0,"",SUMIFS(T_PlannedOrders[EffectiveQty],T_PlannedOrders[Part Name],$A831,T_PlannedOrders[WeekIndex],75)&amp;" ("&amp;TEXT(SUMPRODUCT(MAX((T_PlannedOrders[Part Name]=$A831)*(T_PlannedOrders[WeekIndex]=75)*(T_PlannedOrders[EffectiveQty]&gt;0)*T_PlannedOrders[Order_Month])),"m月")&amp;"発注)")</f>
        <v/>
      </c>
      <c r="CA873">
        <f>IF(SUMIFS(T_PlannedOrders[EffectiveQty],T_PlannedOrders[Part Name],$A831,T_PlannedOrders[WeekIndex],76)=0,"",SUMIFS(T_PlannedOrders[EffectiveQty],T_PlannedOrders[Part Name],$A831,T_PlannedOrders[WeekIndex],76)&amp;" ("&amp;TEXT(SUMPRODUCT(MAX((T_PlannedOrders[Part Name]=$A831)*(T_PlannedOrders[WeekIndex]=76)*(T_PlannedOrders[EffectiveQty]&gt;0)*T_PlannedOrders[Order_Month])),"m月")&amp;"発注)")</f>
        <v/>
      </c>
      <c r="CB873">
        <f>IF(SUMIFS(T_PlannedOrders[EffectiveQty],T_PlannedOrders[Part Name],$A831,T_PlannedOrders[WeekIndex],77)=0,"",SUMIFS(T_PlannedOrders[EffectiveQty],T_PlannedOrders[Part Name],$A831,T_PlannedOrders[WeekIndex],77)&amp;" ("&amp;TEXT(SUMPRODUCT(MAX((T_PlannedOrders[Part Name]=$A831)*(T_PlannedOrders[WeekIndex]=77)*(T_PlannedOrders[EffectiveQty]&gt;0)*T_PlannedOrders[Order_Month])),"m月")&amp;"発注)")</f>
        <v/>
      </c>
      <c r="CC873">
        <f>IF(SUMIFS(T_PlannedOrders[EffectiveQty],T_PlannedOrders[Part Name],$A831,T_PlannedOrders[WeekIndex],78)=0,"",SUMIFS(T_PlannedOrders[EffectiveQty],T_PlannedOrders[Part Name],$A831,T_PlannedOrders[WeekIndex],78)&amp;" ("&amp;TEXT(SUMPRODUCT(MAX((T_PlannedOrders[Part Name]=$A831)*(T_PlannedOrders[WeekIndex]=78)*(T_PlannedOrders[EffectiveQty]&gt;0)*T_PlannedOrders[Order_Month])),"m月")&amp;"発注)")</f>
        <v/>
      </c>
      <c r="CD873">
        <f>IF(SUMIFS(T_PlannedOrders[EffectiveQty],T_PlannedOrders[Part Name],$A831,T_PlannedOrders[WeekIndex],79)=0,"",SUMIFS(T_PlannedOrders[EffectiveQty],T_PlannedOrders[Part Name],$A831,T_PlannedOrders[WeekIndex],79)&amp;" ("&amp;TEXT(SUMPRODUCT(MAX((T_PlannedOrders[Part Name]=$A831)*(T_PlannedOrders[WeekIndex]=79)*(T_PlannedOrders[EffectiveQty]&gt;0)*T_PlannedOrders[Order_Month])),"m月")&amp;"発注)")</f>
        <v/>
      </c>
      <c r="CE873">
        <f>IF(SUMIFS(T_PlannedOrders[EffectiveQty],T_PlannedOrders[Part Name],$A831,T_PlannedOrders[WeekIndex],80)=0,"",SUMIFS(T_PlannedOrders[EffectiveQty],T_PlannedOrders[Part Name],$A831,T_PlannedOrders[WeekIndex],80)&amp;" ("&amp;TEXT(SUMPRODUCT(MAX((T_PlannedOrders[Part Name]=$A831)*(T_PlannedOrders[WeekIndex]=80)*(T_PlannedOrders[EffectiveQty]&gt;0)*T_PlannedOrders[Order_Month])),"m月")&amp;"発注)")</f>
        <v/>
      </c>
      <c r="CF873">
        <f>IF(SUMIFS(T_PlannedOrders[EffectiveQty],T_PlannedOrders[Part Name],$A831,T_PlannedOrders[WeekIndex],81)=0,"",SUMIFS(T_PlannedOrders[EffectiveQty],T_PlannedOrders[Part Name],$A831,T_PlannedOrders[WeekIndex],81)&amp;" ("&amp;TEXT(SUMPRODUCT(MAX((T_PlannedOrders[Part Name]=$A831)*(T_PlannedOrders[WeekIndex]=81)*(T_PlannedOrders[EffectiveQty]&gt;0)*T_PlannedOrders[Order_Month])),"m月")&amp;"発注)")</f>
        <v/>
      </c>
      <c r="CG873">
        <f>IF(SUMIFS(T_PlannedOrders[EffectiveQty],T_PlannedOrders[Part Name],$A831,T_PlannedOrders[WeekIndex],82)=0,"",SUMIFS(T_PlannedOrders[EffectiveQty],T_PlannedOrders[Part Name],$A831,T_PlannedOrders[WeekIndex],82)&amp;" ("&amp;TEXT(SUMPRODUCT(MAX((T_PlannedOrders[Part Name]=$A831)*(T_PlannedOrders[WeekIndex]=82)*(T_PlannedOrders[EffectiveQty]&gt;0)*T_PlannedOrders[Order_Month])),"m月")&amp;"発注)")</f>
        <v/>
      </c>
      <c r="CH873">
        <f>IF(SUMIFS(T_PlannedOrders[EffectiveQty],T_PlannedOrders[Part Name],$A831,T_PlannedOrders[WeekIndex],83)=0,"",SUMIFS(T_PlannedOrders[EffectiveQty],T_PlannedOrders[Part Name],$A831,T_PlannedOrders[WeekIndex],83)&amp;" ("&amp;TEXT(SUMPRODUCT(MAX((T_PlannedOrders[Part Name]=$A831)*(T_PlannedOrders[WeekIndex]=83)*(T_PlannedOrders[EffectiveQty]&gt;0)*T_PlannedOrders[Order_Month])),"m月")&amp;"発注)")</f>
        <v/>
      </c>
      <c r="CI873">
        <f>IF(SUMIFS(T_PlannedOrders[EffectiveQty],T_PlannedOrders[Part Name],$A831,T_PlannedOrders[WeekIndex],84)=0,"",SUMIFS(T_PlannedOrders[EffectiveQty],T_PlannedOrders[Part Name],$A831,T_PlannedOrders[WeekIndex],84)&amp;" ("&amp;TEXT(SUMPRODUCT(MAX((T_PlannedOrders[Part Name]=$A831)*(T_PlannedOrders[WeekIndex]=84)*(T_PlannedOrders[EffectiveQty]&gt;0)*T_PlannedOrders[Order_Month])),"m月")&amp;"発注)")</f>
        <v/>
      </c>
      <c r="CJ873">
        <f>IF(SUMIFS(T_PlannedOrders[EffectiveQty],T_PlannedOrders[Part Name],$A831,T_PlannedOrders[WeekIndex],85)=0,"",SUMIFS(T_PlannedOrders[EffectiveQty],T_PlannedOrders[Part Name],$A831,T_PlannedOrders[WeekIndex],85)&amp;" ("&amp;TEXT(SUMPRODUCT(MAX((T_PlannedOrders[Part Name]=$A831)*(T_PlannedOrders[WeekIndex]=85)*(T_PlannedOrders[EffectiveQty]&gt;0)*T_PlannedOrders[Order_Month])),"m月")&amp;"発注)")</f>
        <v/>
      </c>
      <c r="CK873">
        <f>IF(SUMIFS(T_PlannedOrders[EffectiveQty],T_PlannedOrders[Part Name],$A831,T_PlannedOrders[WeekIndex],86)=0,"",SUMIFS(T_PlannedOrders[EffectiveQty],T_PlannedOrders[Part Name],$A831,T_PlannedOrders[WeekIndex],86)&amp;" ("&amp;TEXT(SUMPRODUCT(MAX((T_PlannedOrders[Part Name]=$A831)*(T_PlannedOrders[WeekIndex]=86)*(T_PlannedOrders[EffectiveQty]&gt;0)*T_PlannedOrders[Order_Month])),"m月")&amp;"発注)")</f>
        <v/>
      </c>
      <c r="CL873">
        <f>IF(SUMIFS(T_PlannedOrders[EffectiveQty],T_PlannedOrders[Part Name],$A831,T_PlannedOrders[WeekIndex],87)=0,"",SUMIFS(T_PlannedOrders[EffectiveQty],T_PlannedOrders[Part Name],$A831,T_PlannedOrders[WeekIndex],87)&amp;" ("&amp;TEXT(SUMPRODUCT(MAX((T_PlannedOrders[Part Name]=$A831)*(T_PlannedOrders[WeekIndex]=87)*(T_PlannedOrders[EffectiveQty]&gt;0)*T_PlannedOrders[Order_Month])),"m月")&amp;"発注)")</f>
        <v/>
      </c>
      <c r="CM873">
        <f>IF(SUMIFS(T_PlannedOrders[EffectiveQty],T_PlannedOrders[Part Name],$A831,T_PlannedOrders[WeekIndex],88)=0,"",SUMIFS(T_PlannedOrders[EffectiveQty],T_PlannedOrders[Part Name],$A831,T_PlannedOrders[WeekIndex],88)&amp;" ("&amp;TEXT(SUMPRODUCT(MAX((T_PlannedOrders[Part Name]=$A831)*(T_PlannedOrders[WeekIndex]=88)*(T_PlannedOrders[EffectiveQty]&gt;0)*T_PlannedOrders[Order_Month])),"m月")&amp;"発注)")</f>
        <v/>
      </c>
      <c r="CN873">
        <f>IF(SUMIFS(T_PlannedOrders[EffectiveQty],T_PlannedOrders[Part Name],$A831,T_PlannedOrders[WeekIndex],89)=0,"",SUMIFS(T_PlannedOrders[EffectiveQty],T_PlannedOrders[Part Name],$A831,T_PlannedOrders[WeekIndex],89)&amp;" ("&amp;TEXT(SUMPRODUCT(MAX((T_PlannedOrders[Part Name]=$A831)*(T_PlannedOrders[WeekIndex]=89)*(T_PlannedOrders[EffectiveQty]&gt;0)*T_PlannedOrders[Order_Month])),"m月")&amp;"発注)")</f>
        <v/>
      </c>
      <c r="CO873">
        <f>IF(SUMIFS(T_PlannedOrders[EffectiveQty],T_PlannedOrders[Part Name],$A831,T_PlannedOrders[WeekIndex],90)=0,"",SUMIFS(T_PlannedOrders[EffectiveQty],T_PlannedOrders[Part Name],$A831,T_PlannedOrders[WeekIndex],90)&amp;" ("&amp;TEXT(SUMPRODUCT(MAX((T_PlannedOrders[Part Name]=$A831)*(T_PlannedOrders[WeekIndex]=90)*(T_PlannedOrders[EffectiveQty]&gt;0)*T_PlannedOrders[Order_Month])),"m月")&amp;"発注)")</f>
        <v/>
      </c>
      <c r="CP873">
        <f>IF(SUMIFS(T_PlannedOrders[EffectiveQty],T_PlannedOrders[Part Name],$A831,T_PlannedOrders[WeekIndex],91)=0,"",SUMIFS(T_PlannedOrders[EffectiveQty],T_PlannedOrders[Part Name],$A831,T_PlannedOrders[WeekIndex],91)&amp;" ("&amp;TEXT(SUMPRODUCT(MAX((T_PlannedOrders[Part Name]=$A831)*(T_PlannedOrders[WeekIndex]=91)*(T_PlannedOrders[EffectiveQty]&gt;0)*T_PlannedOrders[Order_Month])),"m月")&amp;"発注)")</f>
        <v/>
      </c>
      <c r="CQ873">
        <f>IF(SUMIFS(T_PlannedOrders[EffectiveQty],T_PlannedOrders[Part Name],$A831,T_PlannedOrders[WeekIndex],92)=0,"",SUMIFS(T_PlannedOrders[EffectiveQty],T_PlannedOrders[Part Name],$A831,T_PlannedOrders[WeekIndex],92)&amp;" ("&amp;TEXT(SUMPRODUCT(MAX((T_PlannedOrders[Part Name]=$A831)*(T_PlannedOrders[WeekIndex]=92)*(T_PlannedOrders[EffectiveQty]&gt;0)*T_PlannedOrders[Order_Month])),"m月")&amp;"発注)")</f>
        <v/>
      </c>
      <c r="CR873">
        <f>IF(SUMIFS(T_PlannedOrders[EffectiveQty],T_PlannedOrders[Part Name],$A831,T_PlannedOrders[WeekIndex],93)=0,"",SUMIFS(T_PlannedOrders[EffectiveQty],T_PlannedOrders[Part Name],$A831,T_PlannedOrders[WeekIndex],93)&amp;" ("&amp;TEXT(SUMPRODUCT(MAX((T_PlannedOrders[Part Name]=$A831)*(T_PlannedOrders[WeekIndex]=93)*(T_PlannedOrders[EffectiveQty]&gt;0)*T_PlannedOrders[Order_Month])),"m月")&amp;"発注)")</f>
        <v/>
      </c>
      <c r="CS873">
        <f>IF(SUMIFS(T_PlannedOrders[EffectiveQty],T_PlannedOrders[Part Name],$A831,T_PlannedOrders[WeekIndex],94)=0,"",SUMIFS(T_PlannedOrders[EffectiveQty],T_PlannedOrders[Part Name],$A831,T_PlannedOrders[WeekIndex],94)&amp;" ("&amp;TEXT(SUMPRODUCT(MAX((T_PlannedOrders[Part Name]=$A831)*(T_PlannedOrders[WeekIndex]=94)*(T_PlannedOrders[EffectiveQty]&gt;0)*T_PlannedOrders[Order_Month])),"m月")&amp;"発注)")</f>
        <v/>
      </c>
      <c r="CT873">
        <f>IF(SUMIFS(T_PlannedOrders[EffectiveQty],T_PlannedOrders[Part Name],$A831,T_PlannedOrders[WeekIndex],95)=0,"",SUMIFS(T_PlannedOrders[EffectiveQty],T_PlannedOrders[Part Name],$A831,T_PlannedOrders[WeekIndex],95)&amp;" ("&amp;TEXT(SUMPRODUCT(MAX((T_PlannedOrders[Part Name]=$A831)*(T_PlannedOrders[WeekIndex]=95)*(T_PlannedOrders[EffectiveQty]&gt;0)*T_PlannedOrders[Order_Month])),"m月")&amp;"発注)")</f>
        <v/>
      </c>
      <c r="CU873">
        <f>IF(SUMIFS(T_PlannedOrders[EffectiveQty],T_PlannedOrders[Part Name],$A831,T_PlannedOrders[WeekIndex],96)=0,"",SUMIFS(T_PlannedOrders[EffectiveQty],T_PlannedOrders[Part Name],$A831,T_PlannedOrders[WeekIndex],96)&amp;" ("&amp;TEXT(SUMPRODUCT(MAX((T_PlannedOrders[Part Name]=$A831)*(T_PlannedOrders[WeekIndex]=96)*(T_PlannedOrders[EffectiveQty]&gt;0)*T_PlannedOrders[Order_Month])),"m月")&amp;"発注)")</f>
        <v/>
      </c>
      <c r="CV873">
        <f>IF(SUMIFS(T_PlannedOrders[EffectiveQty],T_PlannedOrders[Part Name],$A831,T_PlannedOrders[WeekIndex],97)=0,"",SUMIFS(T_PlannedOrders[EffectiveQty],T_PlannedOrders[Part Name],$A831,T_PlannedOrders[WeekIndex],97)&amp;" ("&amp;TEXT(SUMPRODUCT(MAX((T_PlannedOrders[Part Name]=$A831)*(T_PlannedOrders[WeekIndex]=97)*(T_PlannedOrders[EffectiveQty]&gt;0)*T_PlannedOrders[Order_Month])),"m月")&amp;"発注)")</f>
        <v/>
      </c>
      <c r="CW873">
        <f>IF(SUMIFS(T_PlannedOrders[EffectiveQty],T_PlannedOrders[Part Name],$A831,T_PlannedOrders[WeekIndex],98)=0,"",SUMIFS(T_PlannedOrders[EffectiveQty],T_PlannedOrders[Part Name],$A831,T_PlannedOrders[WeekIndex],98)&amp;" ("&amp;TEXT(SUMPRODUCT(MAX((T_PlannedOrders[Part Name]=$A831)*(T_PlannedOrders[WeekIndex]=98)*(T_PlannedOrders[EffectiveQty]&gt;0)*T_PlannedOrders[Order_Month])),"m月")&amp;"発注)")</f>
        <v/>
      </c>
      <c r="CX873">
        <f>IF(SUMIFS(T_PlannedOrders[EffectiveQty],T_PlannedOrders[Part Name],$A831,T_PlannedOrders[WeekIndex],99)=0,"",SUMIFS(T_PlannedOrders[EffectiveQty],T_PlannedOrders[Part Name],$A831,T_PlannedOrders[WeekIndex],99)&amp;" ("&amp;TEXT(SUMPRODUCT(MAX((T_PlannedOrders[Part Name]=$A831)*(T_PlannedOrders[WeekIndex]=99)*(T_PlannedOrders[EffectiveQty]&gt;0)*T_PlannedOrders[Order_Month])),"m月")&amp;"発注)")</f>
        <v/>
      </c>
      <c r="CY873">
        <f>IF(SUMIFS(T_PlannedOrders[EffectiveQty],T_PlannedOrders[Part Name],$A831,T_PlannedOrders[WeekIndex],100)=0,"",SUMIFS(T_PlannedOrders[EffectiveQty],T_PlannedOrders[Part Name],$A831,T_PlannedOrders[WeekIndex],100)&amp;" ("&amp;TEXT(SUMPRODUCT(MAX((T_PlannedOrders[Part Name]=$A831)*(T_PlannedOrders[WeekIndex]=100)*(T_PlannedOrders[EffectiveQty]&gt;0)*T_PlannedOrders[Order_Month])),"m月")&amp;"発注)")</f>
        <v/>
      </c>
      <c r="CZ873">
        <f>IF(SUMIFS(T_PlannedOrders[EffectiveQty],T_PlannedOrders[Part Name],$A831,T_PlannedOrders[WeekIndex],101)=0,"",SUMIFS(T_PlannedOrders[EffectiveQty],T_PlannedOrders[Part Name],$A831,T_PlannedOrders[WeekIndex],101)&amp;" ("&amp;TEXT(SUMPRODUCT(MAX((T_PlannedOrders[Part Name]=$A831)*(T_PlannedOrders[WeekIndex]=101)*(T_PlannedOrders[EffectiveQty]&gt;0)*T_PlannedOrders[Order_Month])),"m月")&amp;"発注)")</f>
        <v/>
      </c>
      <c r="DA873">
        <f>IF(SUMIFS(T_PlannedOrders[EffectiveQty],T_PlannedOrders[Part Name],$A831,T_PlannedOrders[WeekIndex],102)=0,"",SUMIFS(T_PlannedOrders[EffectiveQty],T_PlannedOrders[Part Name],$A831,T_PlannedOrders[WeekIndex],102)&amp;" ("&amp;TEXT(SUMPRODUCT(MAX((T_PlannedOrders[Part Name]=$A831)*(T_PlannedOrders[WeekIndex]=102)*(T_PlannedOrders[EffectiveQty]&gt;0)*T_PlannedOrders[Order_Month])),"m月")&amp;"発注)")</f>
        <v/>
      </c>
      <c r="DB873">
        <f>IF(SUMIFS(T_PlannedOrders[EffectiveQty],T_PlannedOrders[Part Name],$A831,T_PlannedOrders[WeekIndex],103)=0,"",SUMIFS(T_PlannedOrders[EffectiveQty],T_PlannedOrders[Part Name],$A831,T_PlannedOrders[WeekIndex],103)&amp;" ("&amp;TEXT(SUMPRODUCT(MAX((T_PlannedOrders[Part Name]=$A831)*(T_PlannedOrders[WeekIndex]=103)*(T_PlannedOrders[EffectiveQty]&gt;0)*T_PlannedOrders[Order_Month])),"m月")&amp;"発注)")</f>
        <v/>
      </c>
      <c r="DC873">
        <f>IF(SUMIFS(T_PlannedOrders[EffectiveQty],T_PlannedOrders[Part Name],$A831,T_PlannedOrders[WeekIndex],104)=0,"",SUMIFS(T_PlannedOrders[EffectiveQty],T_PlannedOrders[Part Name],$A831,T_PlannedOrders[WeekIndex],104)&amp;" ("&amp;TEXT(SUMPRODUCT(MAX((T_PlannedOrders[Part Name]=$A831)*(T_PlannedOrders[WeekIndex]=104)*(T_PlannedOrders[EffectiveQty]&gt;0)*T_PlannedOrders[Order_Month])),"m月")&amp;"発注)")</f>
        <v/>
      </c>
    </row>
    <row r="874">
      <c r="B874" s="5" t="inlineStr">
        <is>
          <t>合計在庫(週末時点,kg)</t>
        </is>
      </c>
      <c r="D874">
        <f>'Grid_Stock'!B39</f>
        <v/>
      </c>
      <c r="E874">
        <f>'Grid_Stock'!C39</f>
        <v/>
      </c>
      <c r="F874">
        <f>'Grid_Stock'!D39</f>
        <v/>
      </c>
      <c r="G874">
        <f>'Grid_Stock'!E39</f>
        <v/>
      </c>
      <c r="H874">
        <f>'Grid_Stock'!F39</f>
        <v/>
      </c>
      <c r="I874">
        <f>'Grid_Stock'!G39</f>
        <v/>
      </c>
      <c r="J874">
        <f>'Grid_Stock'!H39</f>
        <v/>
      </c>
      <c r="K874">
        <f>'Grid_Stock'!I39</f>
        <v/>
      </c>
      <c r="L874">
        <f>'Grid_Stock'!J39</f>
        <v/>
      </c>
      <c r="M874">
        <f>'Grid_Stock'!K39</f>
        <v/>
      </c>
      <c r="N874">
        <f>'Grid_Stock'!L39</f>
        <v/>
      </c>
      <c r="O874">
        <f>'Grid_Stock'!M39</f>
        <v/>
      </c>
      <c r="P874">
        <f>'Grid_Stock'!N39</f>
        <v/>
      </c>
      <c r="Q874">
        <f>'Grid_Stock'!O39</f>
        <v/>
      </c>
      <c r="R874">
        <f>'Grid_Stock'!P39</f>
        <v/>
      </c>
      <c r="S874">
        <f>'Grid_Stock'!Q39</f>
        <v/>
      </c>
      <c r="T874">
        <f>'Grid_Stock'!R39</f>
        <v/>
      </c>
      <c r="U874">
        <f>'Grid_Stock'!S39</f>
        <v/>
      </c>
      <c r="V874">
        <f>'Grid_Stock'!T39</f>
        <v/>
      </c>
      <c r="W874">
        <f>'Grid_Stock'!U39</f>
        <v/>
      </c>
      <c r="X874">
        <f>'Grid_Stock'!V39</f>
        <v/>
      </c>
      <c r="Y874">
        <f>'Grid_Stock'!W39</f>
        <v/>
      </c>
      <c r="Z874">
        <f>'Grid_Stock'!X39</f>
        <v/>
      </c>
      <c r="AA874">
        <f>'Grid_Stock'!Y39</f>
        <v/>
      </c>
      <c r="AB874">
        <f>'Grid_Stock'!Z39</f>
        <v/>
      </c>
      <c r="AC874">
        <f>'Grid_Stock'!AA39</f>
        <v/>
      </c>
      <c r="AD874">
        <f>'Grid_Stock'!AB39</f>
        <v/>
      </c>
      <c r="AE874">
        <f>'Grid_Stock'!AC39</f>
        <v/>
      </c>
      <c r="AF874">
        <f>'Grid_Stock'!AD39</f>
        <v/>
      </c>
      <c r="AG874">
        <f>'Grid_Stock'!AE39</f>
        <v/>
      </c>
      <c r="AH874">
        <f>'Grid_Stock'!AF39</f>
        <v/>
      </c>
      <c r="AI874">
        <f>'Grid_Stock'!AG39</f>
        <v/>
      </c>
      <c r="AJ874">
        <f>'Grid_Stock'!AH39</f>
        <v/>
      </c>
      <c r="AK874">
        <f>'Grid_Stock'!AI39</f>
        <v/>
      </c>
      <c r="AL874">
        <f>'Grid_Stock'!AJ39</f>
        <v/>
      </c>
      <c r="AM874">
        <f>'Grid_Stock'!AK39</f>
        <v/>
      </c>
      <c r="AN874">
        <f>'Grid_Stock'!AL39</f>
        <v/>
      </c>
      <c r="AO874">
        <f>'Grid_Stock'!AM39</f>
        <v/>
      </c>
      <c r="AP874">
        <f>'Grid_Stock'!AN39</f>
        <v/>
      </c>
      <c r="AQ874">
        <f>'Grid_Stock'!AO39</f>
        <v/>
      </c>
      <c r="AR874">
        <f>'Grid_Stock'!AP39</f>
        <v/>
      </c>
      <c r="AS874">
        <f>'Grid_Stock'!AQ39</f>
        <v/>
      </c>
      <c r="AT874">
        <f>'Grid_Stock'!AR39</f>
        <v/>
      </c>
      <c r="AU874">
        <f>'Grid_Stock'!AS39</f>
        <v/>
      </c>
      <c r="AV874">
        <f>'Grid_Stock'!AT39</f>
        <v/>
      </c>
      <c r="AW874">
        <f>'Grid_Stock'!AU39</f>
        <v/>
      </c>
      <c r="AX874">
        <f>'Grid_Stock'!AV39</f>
        <v/>
      </c>
      <c r="AY874">
        <f>'Grid_Stock'!AW39</f>
        <v/>
      </c>
      <c r="AZ874">
        <f>'Grid_Stock'!AX39</f>
        <v/>
      </c>
      <c r="BA874">
        <f>'Grid_Stock'!AY39</f>
        <v/>
      </c>
      <c r="BB874">
        <f>'Grid_Stock'!AZ39</f>
        <v/>
      </c>
      <c r="BC874">
        <f>'Grid_Stock'!BA39</f>
        <v/>
      </c>
      <c r="BD874">
        <f>'Grid_Stock'!BB39</f>
        <v/>
      </c>
      <c r="BE874">
        <f>'Grid_Stock'!BC39</f>
        <v/>
      </c>
      <c r="BF874">
        <f>'Grid_Stock'!BD39</f>
        <v/>
      </c>
      <c r="BG874">
        <f>'Grid_Stock'!BE39</f>
        <v/>
      </c>
      <c r="BH874">
        <f>'Grid_Stock'!BF39</f>
        <v/>
      </c>
      <c r="BI874">
        <f>'Grid_Stock'!BG39</f>
        <v/>
      </c>
      <c r="BJ874">
        <f>'Grid_Stock'!BH39</f>
        <v/>
      </c>
      <c r="BK874">
        <f>'Grid_Stock'!BI39</f>
        <v/>
      </c>
      <c r="BL874">
        <f>'Grid_Stock'!BJ39</f>
        <v/>
      </c>
      <c r="BM874">
        <f>'Grid_Stock'!BK39</f>
        <v/>
      </c>
      <c r="BN874">
        <f>'Grid_Stock'!BL39</f>
        <v/>
      </c>
      <c r="BO874">
        <f>'Grid_Stock'!BM39</f>
        <v/>
      </c>
      <c r="BP874">
        <f>'Grid_Stock'!BN39</f>
        <v/>
      </c>
      <c r="BQ874">
        <f>'Grid_Stock'!BO39</f>
        <v/>
      </c>
      <c r="BR874">
        <f>'Grid_Stock'!BP39</f>
        <v/>
      </c>
      <c r="BS874">
        <f>'Grid_Stock'!BQ39</f>
        <v/>
      </c>
      <c r="BT874">
        <f>'Grid_Stock'!BR39</f>
        <v/>
      </c>
      <c r="BU874">
        <f>'Grid_Stock'!BS39</f>
        <v/>
      </c>
      <c r="BV874">
        <f>'Grid_Stock'!BT39</f>
        <v/>
      </c>
      <c r="BW874">
        <f>'Grid_Stock'!BU39</f>
        <v/>
      </c>
      <c r="BX874">
        <f>'Grid_Stock'!BV39</f>
        <v/>
      </c>
      <c r="BY874">
        <f>'Grid_Stock'!BW39</f>
        <v/>
      </c>
      <c r="BZ874">
        <f>'Grid_Stock'!BX39</f>
        <v/>
      </c>
      <c r="CA874">
        <f>'Grid_Stock'!BY39</f>
        <v/>
      </c>
      <c r="CB874">
        <f>'Grid_Stock'!BZ39</f>
        <v/>
      </c>
      <c r="CC874">
        <f>'Grid_Stock'!CA39</f>
        <v/>
      </c>
      <c r="CD874">
        <f>'Grid_Stock'!CB39</f>
        <v/>
      </c>
      <c r="CE874">
        <f>'Grid_Stock'!CC39</f>
        <v/>
      </c>
      <c r="CF874">
        <f>'Grid_Stock'!CD39</f>
        <v/>
      </c>
      <c r="CG874">
        <f>'Grid_Stock'!CE39</f>
        <v/>
      </c>
      <c r="CH874">
        <f>'Grid_Stock'!CF39</f>
        <v/>
      </c>
      <c r="CI874">
        <f>'Grid_Stock'!CG39</f>
        <v/>
      </c>
      <c r="CJ874">
        <f>'Grid_Stock'!CH39</f>
        <v/>
      </c>
      <c r="CK874">
        <f>'Grid_Stock'!CI39</f>
        <v/>
      </c>
      <c r="CL874">
        <f>'Grid_Stock'!CJ39</f>
        <v/>
      </c>
      <c r="CM874">
        <f>'Grid_Stock'!CK39</f>
        <v/>
      </c>
      <c r="CN874">
        <f>'Grid_Stock'!CL39</f>
        <v/>
      </c>
      <c r="CO874">
        <f>'Grid_Stock'!CM39</f>
        <v/>
      </c>
      <c r="CP874">
        <f>'Grid_Stock'!CN39</f>
        <v/>
      </c>
      <c r="CQ874">
        <f>'Grid_Stock'!CO39</f>
        <v/>
      </c>
      <c r="CR874">
        <f>'Grid_Stock'!CP39</f>
        <v/>
      </c>
      <c r="CS874">
        <f>'Grid_Stock'!CQ39</f>
        <v/>
      </c>
      <c r="CT874">
        <f>'Grid_Stock'!CR39</f>
        <v/>
      </c>
      <c r="CU874">
        <f>'Grid_Stock'!CS39</f>
        <v/>
      </c>
      <c r="CV874">
        <f>'Grid_Stock'!CT39</f>
        <v/>
      </c>
      <c r="CW874">
        <f>'Grid_Stock'!CU39</f>
        <v/>
      </c>
      <c r="CX874">
        <f>'Grid_Stock'!CV39</f>
        <v/>
      </c>
      <c r="CY874">
        <f>'Grid_Stock'!CW39</f>
        <v/>
      </c>
      <c r="CZ874">
        <f>'Grid_Stock'!CX39</f>
        <v/>
      </c>
      <c r="DA874">
        <f>'Grid_Stock'!CY39</f>
        <v/>
      </c>
      <c r="DB874">
        <f>'Grid_Stock'!CZ39</f>
        <v/>
      </c>
      <c r="DC874">
        <f>'Grid_Stock'!DA39</f>
        <v/>
      </c>
    </row>
    <row r="875">
      <c r="B875" s="23" t="inlineStr">
        <is>
          <t>（発注の目安はDashboardの基準在庫[下限/上限]と色分けを参照）</t>
        </is>
      </c>
    </row>
    <row r="877">
      <c r="A877" s="21" t="inlineStr">
        <is>
          <t>CHEM-1680</t>
        </is>
      </c>
      <c r="B877" s="21" t="inlineStr">
        <is>
          <t>NAT 38</t>
        </is>
      </c>
      <c r="C877" s="22" t="n"/>
      <c r="D877" s="21" t="n"/>
      <c r="E877" s="21" t="n"/>
      <c r="F877" s="21" t="n"/>
      <c r="G877" s="21" t="n"/>
      <c r="H877" s="2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  <c r="AA877" s="21" t="n"/>
      <c r="AB877" s="21" t="n"/>
      <c r="AC877" s="21" t="n"/>
      <c r="AD877" s="21" t="n"/>
      <c r="AE877" s="21" t="n"/>
      <c r="AF877" s="21" t="n"/>
      <c r="AG877" s="21" t="n"/>
      <c r="AH877" s="21" t="n"/>
      <c r="AI877" s="21" t="n"/>
      <c r="AJ877" s="21" t="n"/>
      <c r="AK877" s="21" t="n"/>
      <c r="AL877" s="21" t="n"/>
      <c r="AM877" s="21" t="n"/>
      <c r="AN877" s="21" t="n"/>
      <c r="AO877" s="21" t="n"/>
      <c r="AP877" s="21" t="n"/>
      <c r="AQ877" s="21" t="n"/>
      <c r="AR877" s="21" t="n"/>
      <c r="AS877" s="21" t="n"/>
      <c r="AT877" s="21" t="n"/>
      <c r="AU877" s="21" t="n"/>
      <c r="AV877" s="21" t="n"/>
      <c r="AW877" s="21" t="n"/>
      <c r="AX877" s="21" t="n"/>
      <c r="AY877" s="21" t="n"/>
      <c r="AZ877" s="21" t="n"/>
      <c r="BA877" s="21" t="n"/>
      <c r="BB877" s="21" t="n"/>
      <c r="BC877" s="21" t="n"/>
      <c r="BD877" s="21" t="n"/>
      <c r="BE877" s="21" t="n"/>
      <c r="BF877" s="21" t="n"/>
      <c r="BG877" s="21" t="n"/>
      <c r="BH877" s="21" t="n"/>
      <c r="BI877" s="21" t="n"/>
      <c r="BJ877" s="21" t="n"/>
      <c r="BK877" s="21" t="n"/>
      <c r="BL877" s="21" t="n"/>
      <c r="BM877" s="21" t="n"/>
      <c r="BN877" s="21" t="n"/>
      <c r="BO877" s="21" t="n"/>
      <c r="BP877" s="21" t="n"/>
      <c r="BQ877" s="21" t="n"/>
      <c r="BR877" s="21" t="n"/>
      <c r="BS877" s="21" t="n"/>
      <c r="BT877" s="21" t="n"/>
      <c r="BU877" s="21" t="n"/>
      <c r="BV877" s="21" t="n"/>
      <c r="BW877" s="21" t="n"/>
      <c r="BX877" s="21" t="n"/>
      <c r="BY877" s="21" t="n"/>
      <c r="BZ877" s="21" t="n"/>
      <c r="CA877" s="21" t="n"/>
      <c r="CB877" s="21" t="n"/>
      <c r="CC877" s="21" t="n"/>
      <c r="CD877" s="21" t="n"/>
      <c r="CE877" s="21" t="n"/>
      <c r="CF877" s="21" t="n"/>
      <c r="CG877" s="21" t="n"/>
      <c r="CH877" s="21" t="n"/>
      <c r="CI877" s="21" t="n"/>
      <c r="CJ877" s="21" t="n"/>
      <c r="CK877" s="21" t="n"/>
      <c r="CL877" s="21" t="n"/>
      <c r="CM877" s="21" t="n"/>
      <c r="CN877" s="21" t="n"/>
      <c r="CO877" s="21" t="n"/>
      <c r="CP877" s="21" t="n"/>
      <c r="CQ877" s="21" t="n"/>
      <c r="CR877" s="21" t="n"/>
      <c r="CS877" s="21" t="n"/>
      <c r="CT877" s="21" t="n"/>
      <c r="CU877" s="21" t="n"/>
      <c r="CV877" s="21" t="n"/>
      <c r="CW877" s="21" t="n"/>
      <c r="CX877" s="21" t="n"/>
      <c r="CY877" s="21" t="n"/>
      <c r="CZ877" s="21" t="n"/>
      <c r="DA877" s="21" t="n"/>
      <c r="DB877" s="21" t="n"/>
      <c r="DC877" s="21" t="n"/>
    </row>
    <row r="878">
      <c r="B878" t="inlineStr">
        <is>
          <t>TPP-611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12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Name],$A877)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TPP-613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12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Name],$A877)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TPP-914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12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Name],$A877)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TPP-915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12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Name],$A877)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t="inlineStr">
        <is>
          <t>TPP-916</t>
        </is>
      </c>
      <c r="C886" t="inlineStr">
        <is>
          <t>No. of batches</t>
        </is>
      </c>
      <c r="D886">
        <f>IFERROR(INDEX(PP_Grid[#Data],$DD886,2),0)</f>
        <v/>
      </c>
      <c r="E886">
        <f>IFERROR(INDEX(PP_Grid[#Data],$DD886,3),0)</f>
        <v/>
      </c>
      <c r="F886">
        <f>IFERROR(INDEX(PP_Grid[#Data],$DD886,4),0)</f>
        <v/>
      </c>
      <c r="G886">
        <f>IFERROR(INDEX(PP_Grid[#Data],$DD886,5),0)</f>
        <v/>
      </c>
      <c r="H886">
        <f>IFERROR(INDEX(PP_Grid[#Data],$DD886,6),0)</f>
        <v/>
      </c>
      <c r="I886">
        <f>IFERROR(INDEX(PP_Grid[#Data],$DD886,7),0)</f>
        <v/>
      </c>
      <c r="J886">
        <f>IFERROR(INDEX(PP_Grid[#Data],$DD886,8),0)</f>
        <v/>
      </c>
      <c r="K886">
        <f>IFERROR(INDEX(PP_Grid[#Data],$DD886,9),0)</f>
        <v/>
      </c>
      <c r="L886">
        <f>IFERROR(INDEX(PP_Grid[#Data],$DD886,10),0)</f>
        <v/>
      </c>
      <c r="M886">
        <f>IFERROR(INDEX(PP_Grid[#Data],$DD886,11),0)</f>
        <v/>
      </c>
      <c r="N886">
        <f>IFERROR(INDEX(PP_Grid[#Data],$DD886,12),0)</f>
        <v/>
      </c>
      <c r="O886">
        <f>IFERROR(INDEX(PP_Grid[#Data],$DD886,13),0)</f>
        <v/>
      </c>
      <c r="P886">
        <f>IFERROR(INDEX(PP_Grid[#Data],$DD886,14),0)</f>
        <v/>
      </c>
      <c r="Q886">
        <f>IFERROR(INDEX(PP_Grid[#Data],$DD886,15),0)</f>
        <v/>
      </c>
      <c r="R886">
        <f>IFERROR(INDEX(PP_Grid[#Data],$DD886,16),0)</f>
        <v/>
      </c>
      <c r="S886">
        <f>IFERROR(INDEX(PP_Grid[#Data],$DD886,17),0)</f>
        <v/>
      </c>
      <c r="T886">
        <f>IFERROR(INDEX(PP_Grid[#Data],$DD886,18),0)</f>
        <v/>
      </c>
      <c r="U886">
        <f>IFERROR(INDEX(PP_Grid[#Data],$DD886,19),0)</f>
        <v/>
      </c>
      <c r="V886">
        <f>IFERROR(INDEX(PP_Grid[#Data],$DD886,20),0)</f>
        <v/>
      </c>
      <c r="W886">
        <f>IFERROR(INDEX(PP_Grid[#Data],$DD886,21),0)</f>
        <v/>
      </c>
      <c r="X886">
        <f>IFERROR(INDEX(PP_Grid[#Data],$DD886,22),0)</f>
        <v/>
      </c>
      <c r="Y886">
        <f>IFERROR(INDEX(PP_Grid[#Data],$DD886,23),0)</f>
        <v/>
      </c>
      <c r="Z886">
        <f>IFERROR(INDEX(PP_Grid[#Data],$DD886,24),0)</f>
        <v/>
      </c>
      <c r="AA886">
        <f>IFERROR(INDEX(PP_Grid[#Data],$DD886,25),0)</f>
        <v/>
      </c>
      <c r="AB886">
        <f>IFERROR(INDEX(PP_Grid[#Data],$DD886,26),0)</f>
        <v/>
      </c>
      <c r="AC886">
        <f>IFERROR(INDEX(PP_Grid[#Data],$DD886,27),0)</f>
        <v/>
      </c>
      <c r="AD886">
        <f>IFERROR(INDEX(PP_Grid[#Data],$DD886,28),0)</f>
        <v/>
      </c>
      <c r="AE886">
        <f>IFERROR(INDEX(PP_Grid[#Data],$DD886,29),0)</f>
        <v/>
      </c>
      <c r="AF886">
        <f>IFERROR(INDEX(PP_Grid[#Data],$DD886,30),0)</f>
        <v/>
      </c>
      <c r="AG886">
        <f>IFERROR(INDEX(PP_Grid[#Data],$DD886,31),0)</f>
        <v/>
      </c>
      <c r="AH886">
        <f>IFERROR(INDEX(PP_Grid[#Data],$DD886,32),0)</f>
        <v/>
      </c>
      <c r="AI886">
        <f>IFERROR(INDEX(PP_Grid[#Data],$DD886,33),0)</f>
        <v/>
      </c>
      <c r="AJ886">
        <f>IFERROR(INDEX(PP_Grid[#Data],$DD886,34),0)</f>
        <v/>
      </c>
      <c r="AK886">
        <f>IFERROR(INDEX(PP_Grid[#Data],$DD886,35),0)</f>
        <v/>
      </c>
      <c r="AL886">
        <f>IFERROR(INDEX(PP_Grid[#Data],$DD886,36),0)</f>
        <v/>
      </c>
      <c r="AM886">
        <f>IFERROR(INDEX(PP_Grid[#Data],$DD886,37),0)</f>
        <v/>
      </c>
      <c r="AN886">
        <f>IFERROR(INDEX(PP_Grid[#Data],$DD886,38),0)</f>
        <v/>
      </c>
      <c r="AO886">
        <f>IFERROR(INDEX(PP_Grid[#Data],$DD886,39),0)</f>
        <v/>
      </c>
      <c r="AP886">
        <f>IFERROR(INDEX(PP_Grid[#Data],$DD886,40),0)</f>
        <v/>
      </c>
      <c r="AQ886">
        <f>IFERROR(INDEX(PP_Grid[#Data],$DD886,41),0)</f>
        <v/>
      </c>
      <c r="AR886">
        <f>IFERROR(INDEX(PP_Grid[#Data],$DD886,42),0)</f>
        <v/>
      </c>
      <c r="AS886">
        <f>IFERROR(INDEX(PP_Grid[#Data],$DD886,43),0)</f>
        <v/>
      </c>
      <c r="AT886">
        <f>IFERROR(INDEX(PP_Grid[#Data],$DD886,44),0)</f>
        <v/>
      </c>
      <c r="AU886">
        <f>IFERROR(INDEX(PP_Grid[#Data],$DD886,45),0)</f>
        <v/>
      </c>
      <c r="AV886">
        <f>IFERROR(INDEX(PP_Grid[#Data],$DD886,46),0)</f>
        <v/>
      </c>
      <c r="AW886">
        <f>IFERROR(INDEX(PP_Grid[#Data],$DD886,47),0)</f>
        <v/>
      </c>
      <c r="AX886">
        <f>IFERROR(INDEX(PP_Grid[#Data],$DD886,48),0)</f>
        <v/>
      </c>
      <c r="AY886">
        <f>IFERROR(INDEX(PP_Grid[#Data],$DD886,49),0)</f>
        <v/>
      </c>
      <c r="AZ886">
        <f>IFERROR(INDEX(PP_Grid[#Data],$DD886,50),0)</f>
        <v/>
      </c>
      <c r="BA886">
        <f>IFERROR(INDEX(PP_Grid[#Data],$DD886,51),0)</f>
        <v/>
      </c>
      <c r="BB886">
        <f>IFERROR(INDEX(PP_Grid[#Data],$DD886,52),0)</f>
        <v/>
      </c>
      <c r="BC886">
        <f>IFERROR(INDEX(PP_Grid[#Data],$DD886,53),0)</f>
        <v/>
      </c>
      <c r="BD886">
        <f>IFERROR(INDEX(PP_Grid[#Data],$DD886,54),0)</f>
        <v/>
      </c>
      <c r="BE886">
        <f>IFERROR(INDEX(PP_Grid[#Data],$DD886,55),0)</f>
        <v/>
      </c>
      <c r="BF886">
        <f>IFERROR(INDEX(PP_Grid[#Data],$DD886,56),0)</f>
        <v/>
      </c>
      <c r="BG886">
        <f>IFERROR(INDEX(PP_Grid[#Data],$DD886,57),0)</f>
        <v/>
      </c>
      <c r="BH886">
        <f>IFERROR(INDEX(PP_Grid[#Data],$DD886,58),0)</f>
        <v/>
      </c>
      <c r="BI886">
        <f>IFERROR(INDEX(PP_Grid[#Data],$DD886,59),0)</f>
        <v/>
      </c>
      <c r="BJ886">
        <f>IFERROR(INDEX(PP_Grid[#Data],$DD886,60),0)</f>
        <v/>
      </c>
      <c r="BK886">
        <f>IFERROR(INDEX(PP_Grid[#Data],$DD886,61),0)</f>
        <v/>
      </c>
      <c r="BL886">
        <f>IFERROR(INDEX(PP_Grid[#Data],$DD886,62),0)</f>
        <v/>
      </c>
      <c r="BM886">
        <f>IFERROR(INDEX(PP_Grid[#Data],$DD886,63),0)</f>
        <v/>
      </c>
      <c r="BN886">
        <f>IFERROR(INDEX(PP_Grid[#Data],$DD886,64),0)</f>
        <v/>
      </c>
      <c r="BO886">
        <f>IFERROR(INDEX(PP_Grid[#Data],$DD886,65),0)</f>
        <v/>
      </c>
      <c r="BP886">
        <f>IFERROR(INDEX(PP_Grid[#Data],$DD886,66),0)</f>
        <v/>
      </c>
      <c r="BQ886">
        <f>IFERROR(INDEX(PP_Grid[#Data],$DD886,67),0)</f>
        <v/>
      </c>
      <c r="BR886">
        <f>IFERROR(INDEX(PP_Grid[#Data],$DD886,68),0)</f>
        <v/>
      </c>
      <c r="BS886">
        <f>IFERROR(INDEX(PP_Grid[#Data],$DD886,69),0)</f>
        <v/>
      </c>
      <c r="BT886">
        <f>IFERROR(INDEX(PP_Grid[#Data],$DD886,70),0)</f>
        <v/>
      </c>
      <c r="BU886">
        <f>IFERROR(INDEX(PP_Grid[#Data],$DD886,71),0)</f>
        <v/>
      </c>
      <c r="BV886">
        <f>IFERROR(INDEX(PP_Grid[#Data],$DD886,72),0)</f>
        <v/>
      </c>
      <c r="BW886">
        <f>IFERROR(INDEX(PP_Grid[#Data],$DD886,73),0)</f>
        <v/>
      </c>
      <c r="BX886">
        <f>IFERROR(INDEX(PP_Grid[#Data],$DD886,74),0)</f>
        <v/>
      </c>
      <c r="BY886">
        <f>IFERROR(INDEX(PP_Grid[#Data],$DD886,75),0)</f>
        <v/>
      </c>
      <c r="BZ886">
        <f>IFERROR(INDEX(PP_Grid[#Data],$DD886,76),0)</f>
        <v/>
      </c>
      <c r="CA886">
        <f>IFERROR(INDEX(PP_Grid[#Data],$DD886,77),0)</f>
        <v/>
      </c>
      <c r="CB886">
        <f>IFERROR(INDEX(PP_Grid[#Data],$DD886,78),0)</f>
        <v/>
      </c>
      <c r="CC886">
        <f>IFERROR(INDEX(PP_Grid[#Data],$DD886,79),0)</f>
        <v/>
      </c>
      <c r="CD886">
        <f>IFERROR(INDEX(PP_Grid[#Data],$DD886,80),0)</f>
        <v/>
      </c>
      <c r="CE886">
        <f>IFERROR(INDEX(PP_Grid[#Data],$DD886,81),0)</f>
        <v/>
      </c>
      <c r="CF886">
        <f>IFERROR(INDEX(PP_Grid[#Data],$DD886,82),0)</f>
        <v/>
      </c>
      <c r="CG886">
        <f>IFERROR(INDEX(PP_Grid[#Data],$DD886,83),0)</f>
        <v/>
      </c>
      <c r="CH886">
        <f>IFERROR(INDEX(PP_Grid[#Data],$DD886,84),0)</f>
        <v/>
      </c>
      <c r="CI886">
        <f>IFERROR(INDEX(PP_Grid[#Data],$DD886,85),0)</f>
        <v/>
      </c>
      <c r="CJ886">
        <f>IFERROR(INDEX(PP_Grid[#Data],$DD886,86),0)</f>
        <v/>
      </c>
      <c r="CK886">
        <f>IFERROR(INDEX(PP_Grid[#Data],$DD886,87),0)</f>
        <v/>
      </c>
      <c r="CL886">
        <f>IFERROR(INDEX(PP_Grid[#Data],$DD886,88),0)</f>
        <v/>
      </c>
      <c r="CM886">
        <f>IFERROR(INDEX(PP_Grid[#Data],$DD886,89),0)</f>
        <v/>
      </c>
      <c r="CN886">
        <f>IFERROR(INDEX(PP_Grid[#Data],$DD886,90),0)</f>
        <v/>
      </c>
      <c r="CO886">
        <f>IFERROR(INDEX(PP_Grid[#Data],$DD886,91),0)</f>
        <v/>
      </c>
      <c r="CP886">
        <f>IFERROR(INDEX(PP_Grid[#Data],$DD886,92),0)</f>
        <v/>
      </c>
      <c r="CQ886">
        <f>IFERROR(INDEX(PP_Grid[#Data],$DD886,93),0)</f>
        <v/>
      </c>
      <c r="CR886">
        <f>IFERROR(INDEX(PP_Grid[#Data],$DD886,94),0)</f>
        <v/>
      </c>
      <c r="CS886">
        <f>IFERROR(INDEX(PP_Grid[#Data],$DD886,95),0)</f>
        <v/>
      </c>
      <c r="CT886">
        <f>IFERROR(INDEX(PP_Grid[#Data],$DD886,96),0)</f>
        <v/>
      </c>
      <c r="CU886">
        <f>IFERROR(INDEX(PP_Grid[#Data],$DD886,97),0)</f>
        <v/>
      </c>
      <c r="CV886">
        <f>IFERROR(INDEX(PP_Grid[#Data],$DD886,98),0)</f>
        <v/>
      </c>
      <c r="CW886">
        <f>IFERROR(INDEX(PP_Grid[#Data],$DD886,99),0)</f>
        <v/>
      </c>
      <c r="CX886">
        <f>IFERROR(INDEX(PP_Grid[#Data],$DD886,100),0)</f>
        <v/>
      </c>
      <c r="CY886">
        <f>IFERROR(INDEX(PP_Grid[#Data],$DD886,101),0)</f>
        <v/>
      </c>
      <c r="CZ886">
        <f>IFERROR(INDEX(PP_Grid[#Data],$DD886,102),0)</f>
        <v/>
      </c>
      <c r="DA886">
        <f>IFERROR(INDEX(PP_Grid[#Data],$DD886,103),0)</f>
        <v/>
      </c>
      <c r="DB886">
        <f>IFERROR(INDEX(PP_Grid[#Data],$DD886,104),0)</f>
        <v/>
      </c>
      <c r="DC886">
        <f>IFERROR(INDEX(PP_Grid[#Data],$DD886,105),0)</f>
        <v/>
      </c>
      <c r="DD886" s="12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SUMIFS(M_BOM[RM_Qty_Per_Batch],M_BOM[Intermediate],$B886,M_BOM[Part Name],$A877)</f>
        <v/>
      </c>
      <c r="D887">
        <f>$C887*D886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</row>
    <row r="888">
      <c r="B888" t="inlineStr">
        <is>
          <t>TPP-917</t>
        </is>
      </c>
      <c r="C888" t="inlineStr">
        <is>
          <t>No. of batches</t>
        </is>
      </c>
      <c r="D888">
        <f>IFERROR(INDEX(PP_Grid[#Data],$DD888,2),0)</f>
        <v/>
      </c>
      <c r="E888">
        <f>IFERROR(INDEX(PP_Grid[#Data],$DD888,3),0)</f>
        <v/>
      </c>
      <c r="F888">
        <f>IFERROR(INDEX(PP_Grid[#Data],$DD888,4),0)</f>
        <v/>
      </c>
      <c r="G888">
        <f>IFERROR(INDEX(PP_Grid[#Data],$DD888,5),0)</f>
        <v/>
      </c>
      <c r="H888">
        <f>IFERROR(INDEX(PP_Grid[#Data],$DD888,6),0)</f>
        <v/>
      </c>
      <c r="I888">
        <f>IFERROR(INDEX(PP_Grid[#Data],$DD888,7),0)</f>
        <v/>
      </c>
      <c r="J888">
        <f>IFERROR(INDEX(PP_Grid[#Data],$DD888,8),0)</f>
        <v/>
      </c>
      <c r="K888">
        <f>IFERROR(INDEX(PP_Grid[#Data],$DD888,9),0)</f>
        <v/>
      </c>
      <c r="L888">
        <f>IFERROR(INDEX(PP_Grid[#Data],$DD888,10),0)</f>
        <v/>
      </c>
      <c r="M888">
        <f>IFERROR(INDEX(PP_Grid[#Data],$DD888,11),0)</f>
        <v/>
      </c>
      <c r="N888">
        <f>IFERROR(INDEX(PP_Grid[#Data],$DD888,12),0)</f>
        <v/>
      </c>
      <c r="O888">
        <f>IFERROR(INDEX(PP_Grid[#Data],$DD888,13),0)</f>
        <v/>
      </c>
      <c r="P888">
        <f>IFERROR(INDEX(PP_Grid[#Data],$DD888,14),0)</f>
        <v/>
      </c>
      <c r="Q888">
        <f>IFERROR(INDEX(PP_Grid[#Data],$DD888,15),0)</f>
        <v/>
      </c>
      <c r="R888">
        <f>IFERROR(INDEX(PP_Grid[#Data],$DD888,16),0)</f>
        <v/>
      </c>
      <c r="S888">
        <f>IFERROR(INDEX(PP_Grid[#Data],$DD888,17),0)</f>
        <v/>
      </c>
      <c r="T888">
        <f>IFERROR(INDEX(PP_Grid[#Data],$DD888,18),0)</f>
        <v/>
      </c>
      <c r="U888">
        <f>IFERROR(INDEX(PP_Grid[#Data],$DD888,19),0)</f>
        <v/>
      </c>
      <c r="V888">
        <f>IFERROR(INDEX(PP_Grid[#Data],$DD888,20),0)</f>
        <v/>
      </c>
      <c r="W888">
        <f>IFERROR(INDEX(PP_Grid[#Data],$DD888,21),0)</f>
        <v/>
      </c>
      <c r="X888">
        <f>IFERROR(INDEX(PP_Grid[#Data],$DD888,22),0)</f>
        <v/>
      </c>
      <c r="Y888">
        <f>IFERROR(INDEX(PP_Grid[#Data],$DD888,23),0)</f>
        <v/>
      </c>
      <c r="Z888">
        <f>IFERROR(INDEX(PP_Grid[#Data],$DD888,24),0)</f>
        <v/>
      </c>
      <c r="AA888">
        <f>IFERROR(INDEX(PP_Grid[#Data],$DD888,25),0)</f>
        <v/>
      </c>
      <c r="AB888">
        <f>IFERROR(INDEX(PP_Grid[#Data],$DD888,26),0)</f>
        <v/>
      </c>
      <c r="AC888">
        <f>IFERROR(INDEX(PP_Grid[#Data],$DD888,27),0)</f>
        <v/>
      </c>
      <c r="AD888">
        <f>IFERROR(INDEX(PP_Grid[#Data],$DD888,28),0)</f>
        <v/>
      </c>
      <c r="AE888">
        <f>IFERROR(INDEX(PP_Grid[#Data],$DD888,29),0)</f>
        <v/>
      </c>
      <c r="AF888">
        <f>IFERROR(INDEX(PP_Grid[#Data],$DD888,30),0)</f>
        <v/>
      </c>
      <c r="AG888">
        <f>IFERROR(INDEX(PP_Grid[#Data],$DD888,31),0)</f>
        <v/>
      </c>
      <c r="AH888">
        <f>IFERROR(INDEX(PP_Grid[#Data],$DD888,32),0)</f>
        <v/>
      </c>
      <c r="AI888">
        <f>IFERROR(INDEX(PP_Grid[#Data],$DD888,33),0)</f>
        <v/>
      </c>
      <c r="AJ888">
        <f>IFERROR(INDEX(PP_Grid[#Data],$DD888,34),0)</f>
        <v/>
      </c>
      <c r="AK888">
        <f>IFERROR(INDEX(PP_Grid[#Data],$DD888,35),0)</f>
        <v/>
      </c>
      <c r="AL888">
        <f>IFERROR(INDEX(PP_Grid[#Data],$DD888,36),0)</f>
        <v/>
      </c>
      <c r="AM888">
        <f>IFERROR(INDEX(PP_Grid[#Data],$DD888,37),0)</f>
        <v/>
      </c>
      <c r="AN888">
        <f>IFERROR(INDEX(PP_Grid[#Data],$DD888,38),0)</f>
        <v/>
      </c>
      <c r="AO888">
        <f>IFERROR(INDEX(PP_Grid[#Data],$DD888,39),0)</f>
        <v/>
      </c>
      <c r="AP888">
        <f>IFERROR(INDEX(PP_Grid[#Data],$DD888,40),0)</f>
        <v/>
      </c>
      <c r="AQ888">
        <f>IFERROR(INDEX(PP_Grid[#Data],$DD888,41),0)</f>
        <v/>
      </c>
      <c r="AR888">
        <f>IFERROR(INDEX(PP_Grid[#Data],$DD888,42),0)</f>
        <v/>
      </c>
      <c r="AS888">
        <f>IFERROR(INDEX(PP_Grid[#Data],$DD888,43),0)</f>
        <v/>
      </c>
      <c r="AT888">
        <f>IFERROR(INDEX(PP_Grid[#Data],$DD888,44),0)</f>
        <v/>
      </c>
      <c r="AU888">
        <f>IFERROR(INDEX(PP_Grid[#Data],$DD888,45),0)</f>
        <v/>
      </c>
      <c r="AV888">
        <f>IFERROR(INDEX(PP_Grid[#Data],$DD888,46),0)</f>
        <v/>
      </c>
      <c r="AW888">
        <f>IFERROR(INDEX(PP_Grid[#Data],$DD888,47),0)</f>
        <v/>
      </c>
      <c r="AX888">
        <f>IFERROR(INDEX(PP_Grid[#Data],$DD888,48),0)</f>
        <v/>
      </c>
      <c r="AY888">
        <f>IFERROR(INDEX(PP_Grid[#Data],$DD888,49),0)</f>
        <v/>
      </c>
      <c r="AZ888">
        <f>IFERROR(INDEX(PP_Grid[#Data],$DD888,50),0)</f>
        <v/>
      </c>
      <c r="BA888">
        <f>IFERROR(INDEX(PP_Grid[#Data],$DD888,51),0)</f>
        <v/>
      </c>
      <c r="BB888">
        <f>IFERROR(INDEX(PP_Grid[#Data],$DD888,52),0)</f>
        <v/>
      </c>
      <c r="BC888">
        <f>IFERROR(INDEX(PP_Grid[#Data],$DD888,53),0)</f>
        <v/>
      </c>
      <c r="BD888">
        <f>IFERROR(INDEX(PP_Grid[#Data],$DD888,54),0)</f>
        <v/>
      </c>
      <c r="BE888">
        <f>IFERROR(INDEX(PP_Grid[#Data],$DD888,55),0)</f>
        <v/>
      </c>
      <c r="BF888">
        <f>IFERROR(INDEX(PP_Grid[#Data],$DD888,56),0)</f>
        <v/>
      </c>
      <c r="BG888">
        <f>IFERROR(INDEX(PP_Grid[#Data],$DD888,57),0)</f>
        <v/>
      </c>
      <c r="BH888">
        <f>IFERROR(INDEX(PP_Grid[#Data],$DD888,58),0)</f>
        <v/>
      </c>
      <c r="BI888">
        <f>IFERROR(INDEX(PP_Grid[#Data],$DD888,59),0)</f>
        <v/>
      </c>
      <c r="BJ888">
        <f>IFERROR(INDEX(PP_Grid[#Data],$DD888,60),0)</f>
        <v/>
      </c>
      <c r="BK888">
        <f>IFERROR(INDEX(PP_Grid[#Data],$DD888,61),0)</f>
        <v/>
      </c>
      <c r="BL888">
        <f>IFERROR(INDEX(PP_Grid[#Data],$DD888,62),0)</f>
        <v/>
      </c>
      <c r="BM888">
        <f>IFERROR(INDEX(PP_Grid[#Data],$DD888,63),0)</f>
        <v/>
      </c>
      <c r="BN888">
        <f>IFERROR(INDEX(PP_Grid[#Data],$DD888,64),0)</f>
        <v/>
      </c>
      <c r="BO888">
        <f>IFERROR(INDEX(PP_Grid[#Data],$DD888,65),0)</f>
        <v/>
      </c>
      <c r="BP888">
        <f>IFERROR(INDEX(PP_Grid[#Data],$DD888,66),0)</f>
        <v/>
      </c>
      <c r="BQ888">
        <f>IFERROR(INDEX(PP_Grid[#Data],$DD888,67),0)</f>
        <v/>
      </c>
      <c r="BR888">
        <f>IFERROR(INDEX(PP_Grid[#Data],$DD888,68),0)</f>
        <v/>
      </c>
      <c r="BS888">
        <f>IFERROR(INDEX(PP_Grid[#Data],$DD888,69),0)</f>
        <v/>
      </c>
      <c r="BT888">
        <f>IFERROR(INDEX(PP_Grid[#Data],$DD888,70),0)</f>
        <v/>
      </c>
      <c r="BU888">
        <f>IFERROR(INDEX(PP_Grid[#Data],$DD888,71),0)</f>
        <v/>
      </c>
      <c r="BV888">
        <f>IFERROR(INDEX(PP_Grid[#Data],$DD888,72),0)</f>
        <v/>
      </c>
      <c r="BW888">
        <f>IFERROR(INDEX(PP_Grid[#Data],$DD888,73),0)</f>
        <v/>
      </c>
      <c r="BX888">
        <f>IFERROR(INDEX(PP_Grid[#Data],$DD888,74),0)</f>
        <v/>
      </c>
      <c r="BY888">
        <f>IFERROR(INDEX(PP_Grid[#Data],$DD888,75),0)</f>
        <v/>
      </c>
      <c r="BZ888">
        <f>IFERROR(INDEX(PP_Grid[#Data],$DD888,76),0)</f>
        <v/>
      </c>
      <c r="CA888">
        <f>IFERROR(INDEX(PP_Grid[#Data],$DD888,77),0)</f>
        <v/>
      </c>
      <c r="CB888">
        <f>IFERROR(INDEX(PP_Grid[#Data],$DD888,78),0)</f>
        <v/>
      </c>
      <c r="CC888">
        <f>IFERROR(INDEX(PP_Grid[#Data],$DD888,79),0)</f>
        <v/>
      </c>
      <c r="CD888">
        <f>IFERROR(INDEX(PP_Grid[#Data],$DD888,80),0)</f>
        <v/>
      </c>
      <c r="CE888">
        <f>IFERROR(INDEX(PP_Grid[#Data],$DD888,81),0)</f>
        <v/>
      </c>
      <c r="CF888">
        <f>IFERROR(INDEX(PP_Grid[#Data],$DD888,82),0)</f>
        <v/>
      </c>
      <c r="CG888">
        <f>IFERROR(INDEX(PP_Grid[#Data],$DD888,83),0)</f>
        <v/>
      </c>
      <c r="CH888">
        <f>IFERROR(INDEX(PP_Grid[#Data],$DD888,84),0)</f>
        <v/>
      </c>
      <c r="CI888">
        <f>IFERROR(INDEX(PP_Grid[#Data],$DD888,85),0)</f>
        <v/>
      </c>
      <c r="CJ888">
        <f>IFERROR(INDEX(PP_Grid[#Data],$DD888,86),0)</f>
        <v/>
      </c>
      <c r="CK888">
        <f>IFERROR(INDEX(PP_Grid[#Data],$DD888,87),0)</f>
        <v/>
      </c>
      <c r="CL888">
        <f>IFERROR(INDEX(PP_Grid[#Data],$DD888,88),0)</f>
        <v/>
      </c>
      <c r="CM888">
        <f>IFERROR(INDEX(PP_Grid[#Data],$DD888,89),0)</f>
        <v/>
      </c>
      <c r="CN888">
        <f>IFERROR(INDEX(PP_Grid[#Data],$DD888,90),0)</f>
        <v/>
      </c>
      <c r="CO888">
        <f>IFERROR(INDEX(PP_Grid[#Data],$DD888,91),0)</f>
        <v/>
      </c>
      <c r="CP888">
        <f>IFERROR(INDEX(PP_Grid[#Data],$DD888,92),0)</f>
        <v/>
      </c>
      <c r="CQ888">
        <f>IFERROR(INDEX(PP_Grid[#Data],$DD888,93),0)</f>
        <v/>
      </c>
      <c r="CR888">
        <f>IFERROR(INDEX(PP_Grid[#Data],$DD888,94),0)</f>
        <v/>
      </c>
      <c r="CS888">
        <f>IFERROR(INDEX(PP_Grid[#Data],$DD888,95),0)</f>
        <v/>
      </c>
      <c r="CT888">
        <f>IFERROR(INDEX(PP_Grid[#Data],$DD888,96),0)</f>
        <v/>
      </c>
      <c r="CU888">
        <f>IFERROR(INDEX(PP_Grid[#Data],$DD888,97),0)</f>
        <v/>
      </c>
      <c r="CV888">
        <f>IFERROR(INDEX(PP_Grid[#Data],$DD888,98),0)</f>
        <v/>
      </c>
      <c r="CW888">
        <f>IFERROR(INDEX(PP_Grid[#Data],$DD888,99),0)</f>
        <v/>
      </c>
      <c r="CX888">
        <f>IFERROR(INDEX(PP_Grid[#Data],$DD888,100),0)</f>
        <v/>
      </c>
      <c r="CY888">
        <f>IFERROR(INDEX(PP_Grid[#Data],$DD888,101),0)</f>
        <v/>
      </c>
      <c r="CZ888">
        <f>IFERROR(INDEX(PP_Grid[#Data],$DD888,102),0)</f>
        <v/>
      </c>
      <c r="DA888">
        <f>IFERROR(INDEX(PP_Grid[#Data],$DD888,103),0)</f>
        <v/>
      </c>
      <c r="DB888">
        <f>IFERROR(INDEX(PP_Grid[#Data],$DD888,104),0)</f>
        <v/>
      </c>
      <c r="DC888">
        <f>IFERROR(INDEX(PP_Grid[#Data],$DD888,105),0)</f>
        <v/>
      </c>
      <c r="DD888" s="12">
        <f>IFERROR(MATCH($B888,PP_Grid[Intermediate],0),99999)</f>
        <v/>
      </c>
    </row>
    <row r="889">
      <c r="B889" t="inlineStr">
        <is>
          <t>使用量(kg)</t>
        </is>
      </c>
      <c r="C889">
        <f>SUMIFS(M_BOM[RM_Qty_Per_Batch],M_BOM[Intermediate],$B888,M_BOM[Part Name],$A877)</f>
        <v/>
      </c>
      <c r="D889">
        <f>$C889*D888</f>
        <v/>
      </c>
      <c r="E889">
        <f>$C889*E888</f>
        <v/>
      </c>
      <c r="F889">
        <f>$C889*F888</f>
        <v/>
      </c>
      <c r="G889">
        <f>$C889*G888</f>
        <v/>
      </c>
      <c r="H889">
        <f>$C889*H888</f>
        <v/>
      </c>
      <c r="I889">
        <f>$C889*I888</f>
        <v/>
      </c>
      <c r="J889">
        <f>$C889*J888</f>
        <v/>
      </c>
      <c r="K889">
        <f>$C889*K888</f>
        <v/>
      </c>
      <c r="L889">
        <f>$C889*L888</f>
        <v/>
      </c>
      <c r="M889">
        <f>$C889*M888</f>
        <v/>
      </c>
      <c r="N889">
        <f>$C889*N888</f>
        <v/>
      </c>
      <c r="O889">
        <f>$C889*O888</f>
        <v/>
      </c>
      <c r="P889">
        <f>$C889*P888</f>
        <v/>
      </c>
      <c r="Q889">
        <f>$C889*Q888</f>
        <v/>
      </c>
      <c r="R889">
        <f>$C889*R888</f>
        <v/>
      </c>
      <c r="S889">
        <f>$C889*S888</f>
        <v/>
      </c>
      <c r="T889">
        <f>$C889*T888</f>
        <v/>
      </c>
      <c r="U889">
        <f>$C889*U888</f>
        <v/>
      </c>
      <c r="V889">
        <f>$C889*V888</f>
        <v/>
      </c>
      <c r="W889">
        <f>$C889*W888</f>
        <v/>
      </c>
      <c r="X889">
        <f>$C889*X888</f>
        <v/>
      </c>
      <c r="Y889">
        <f>$C889*Y888</f>
        <v/>
      </c>
      <c r="Z889">
        <f>$C889*Z888</f>
        <v/>
      </c>
      <c r="AA889">
        <f>$C889*AA888</f>
        <v/>
      </c>
      <c r="AB889">
        <f>$C889*AB888</f>
        <v/>
      </c>
      <c r="AC889">
        <f>$C889*AC888</f>
        <v/>
      </c>
      <c r="AD889">
        <f>$C889*AD888</f>
        <v/>
      </c>
      <c r="AE889">
        <f>$C889*AE888</f>
        <v/>
      </c>
      <c r="AF889">
        <f>$C889*AF888</f>
        <v/>
      </c>
      <c r="AG889">
        <f>$C889*AG888</f>
        <v/>
      </c>
      <c r="AH889">
        <f>$C889*AH888</f>
        <v/>
      </c>
      <c r="AI889">
        <f>$C889*AI888</f>
        <v/>
      </c>
      <c r="AJ889">
        <f>$C889*AJ888</f>
        <v/>
      </c>
      <c r="AK889">
        <f>$C889*AK888</f>
        <v/>
      </c>
      <c r="AL889">
        <f>$C889*AL888</f>
        <v/>
      </c>
      <c r="AM889">
        <f>$C889*AM888</f>
        <v/>
      </c>
      <c r="AN889">
        <f>$C889*AN888</f>
        <v/>
      </c>
      <c r="AO889">
        <f>$C889*AO888</f>
        <v/>
      </c>
      <c r="AP889">
        <f>$C889*AP888</f>
        <v/>
      </c>
      <c r="AQ889">
        <f>$C889*AQ888</f>
        <v/>
      </c>
      <c r="AR889">
        <f>$C889*AR888</f>
        <v/>
      </c>
      <c r="AS889">
        <f>$C889*AS888</f>
        <v/>
      </c>
      <c r="AT889">
        <f>$C889*AT888</f>
        <v/>
      </c>
      <c r="AU889">
        <f>$C889*AU888</f>
        <v/>
      </c>
      <c r="AV889">
        <f>$C889*AV888</f>
        <v/>
      </c>
      <c r="AW889">
        <f>$C889*AW888</f>
        <v/>
      </c>
      <c r="AX889">
        <f>$C889*AX888</f>
        <v/>
      </c>
      <c r="AY889">
        <f>$C889*AY888</f>
        <v/>
      </c>
      <c r="AZ889">
        <f>$C889*AZ888</f>
        <v/>
      </c>
      <c r="BA889">
        <f>$C889*BA888</f>
        <v/>
      </c>
      <c r="BB889">
        <f>$C889*BB888</f>
        <v/>
      </c>
      <c r="BC889">
        <f>$C889*BC888</f>
        <v/>
      </c>
      <c r="BD889">
        <f>$C889*BD888</f>
        <v/>
      </c>
      <c r="BE889">
        <f>$C889*BE888</f>
        <v/>
      </c>
      <c r="BF889">
        <f>$C889*BF888</f>
        <v/>
      </c>
      <c r="BG889">
        <f>$C889*BG888</f>
        <v/>
      </c>
      <c r="BH889">
        <f>$C889*BH888</f>
        <v/>
      </c>
      <c r="BI889">
        <f>$C889*BI888</f>
        <v/>
      </c>
      <c r="BJ889">
        <f>$C889*BJ888</f>
        <v/>
      </c>
      <c r="BK889">
        <f>$C889*BK888</f>
        <v/>
      </c>
      <c r="BL889">
        <f>$C889*BL888</f>
        <v/>
      </c>
      <c r="BM889">
        <f>$C889*BM888</f>
        <v/>
      </c>
      <c r="BN889">
        <f>$C889*BN888</f>
        <v/>
      </c>
      <c r="BO889">
        <f>$C889*BO888</f>
        <v/>
      </c>
      <c r="BP889">
        <f>$C889*BP888</f>
        <v/>
      </c>
      <c r="BQ889">
        <f>$C889*BQ888</f>
        <v/>
      </c>
      <c r="BR889">
        <f>$C889*BR888</f>
        <v/>
      </c>
      <c r="BS889">
        <f>$C889*BS888</f>
        <v/>
      </c>
      <c r="BT889">
        <f>$C889*BT888</f>
        <v/>
      </c>
      <c r="BU889">
        <f>$C889*BU888</f>
        <v/>
      </c>
      <c r="BV889">
        <f>$C889*BV888</f>
        <v/>
      </c>
      <c r="BW889">
        <f>$C889*BW888</f>
        <v/>
      </c>
      <c r="BX889">
        <f>$C889*BX888</f>
        <v/>
      </c>
      <c r="BY889">
        <f>$C889*BY888</f>
        <v/>
      </c>
      <c r="BZ889">
        <f>$C889*BZ888</f>
        <v/>
      </c>
      <c r="CA889">
        <f>$C889*CA888</f>
        <v/>
      </c>
      <c r="CB889">
        <f>$C889*CB888</f>
        <v/>
      </c>
      <c r="CC889">
        <f>$C889*CC888</f>
        <v/>
      </c>
      <c r="CD889">
        <f>$C889*CD888</f>
        <v/>
      </c>
      <c r="CE889">
        <f>$C889*CE888</f>
        <v/>
      </c>
      <c r="CF889">
        <f>$C889*CF888</f>
        <v/>
      </c>
      <c r="CG889">
        <f>$C889*CG888</f>
        <v/>
      </c>
      <c r="CH889">
        <f>$C889*CH888</f>
        <v/>
      </c>
      <c r="CI889">
        <f>$C889*CI888</f>
        <v/>
      </c>
      <c r="CJ889">
        <f>$C889*CJ888</f>
        <v/>
      </c>
      <c r="CK889">
        <f>$C889*CK888</f>
        <v/>
      </c>
      <c r="CL889">
        <f>$C889*CL888</f>
        <v/>
      </c>
      <c r="CM889">
        <f>$C889*CM888</f>
        <v/>
      </c>
      <c r="CN889">
        <f>$C889*CN888</f>
        <v/>
      </c>
      <c r="CO889">
        <f>$C889*CO888</f>
        <v/>
      </c>
      <c r="CP889">
        <f>$C889*CP888</f>
        <v/>
      </c>
      <c r="CQ889">
        <f>$C889*CQ888</f>
        <v/>
      </c>
      <c r="CR889">
        <f>$C889*CR888</f>
        <v/>
      </c>
      <c r="CS889">
        <f>$C889*CS888</f>
        <v/>
      </c>
      <c r="CT889">
        <f>$C889*CT888</f>
        <v/>
      </c>
      <c r="CU889">
        <f>$C889*CU888</f>
        <v/>
      </c>
      <c r="CV889">
        <f>$C889*CV888</f>
        <v/>
      </c>
      <c r="CW889">
        <f>$C889*CW888</f>
        <v/>
      </c>
      <c r="CX889">
        <f>$C889*CX888</f>
        <v/>
      </c>
      <c r="CY889">
        <f>$C889*CY888</f>
        <v/>
      </c>
      <c r="CZ889">
        <f>$C889*CZ888</f>
        <v/>
      </c>
      <c r="DA889">
        <f>$C889*DA888</f>
        <v/>
      </c>
      <c r="DB889">
        <f>$C889*DB888</f>
        <v/>
      </c>
      <c r="DC889">
        <f>$C889*DC888</f>
        <v/>
      </c>
    </row>
    <row r="890">
      <c r="B890" t="inlineStr">
        <is>
          <t>TPP-919</t>
        </is>
      </c>
      <c r="C890" t="inlineStr">
        <is>
          <t>No. of batches</t>
        </is>
      </c>
      <c r="D890">
        <f>IFERROR(INDEX(PP_Grid[#Data],$DD890,2),0)</f>
        <v/>
      </c>
      <c r="E890">
        <f>IFERROR(INDEX(PP_Grid[#Data],$DD890,3),0)</f>
        <v/>
      </c>
      <c r="F890">
        <f>IFERROR(INDEX(PP_Grid[#Data],$DD890,4),0)</f>
        <v/>
      </c>
      <c r="G890">
        <f>IFERROR(INDEX(PP_Grid[#Data],$DD890,5),0)</f>
        <v/>
      </c>
      <c r="H890">
        <f>IFERROR(INDEX(PP_Grid[#Data],$DD890,6),0)</f>
        <v/>
      </c>
      <c r="I890">
        <f>IFERROR(INDEX(PP_Grid[#Data],$DD890,7),0)</f>
        <v/>
      </c>
      <c r="J890">
        <f>IFERROR(INDEX(PP_Grid[#Data],$DD890,8),0)</f>
        <v/>
      </c>
      <c r="K890">
        <f>IFERROR(INDEX(PP_Grid[#Data],$DD890,9),0)</f>
        <v/>
      </c>
      <c r="L890">
        <f>IFERROR(INDEX(PP_Grid[#Data],$DD890,10),0)</f>
        <v/>
      </c>
      <c r="M890">
        <f>IFERROR(INDEX(PP_Grid[#Data],$DD890,11),0)</f>
        <v/>
      </c>
      <c r="N890">
        <f>IFERROR(INDEX(PP_Grid[#Data],$DD890,12),0)</f>
        <v/>
      </c>
      <c r="O890">
        <f>IFERROR(INDEX(PP_Grid[#Data],$DD890,13),0)</f>
        <v/>
      </c>
      <c r="P890">
        <f>IFERROR(INDEX(PP_Grid[#Data],$DD890,14),0)</f>
        <v/>
      </c>
      <c r="Q890">
        <f>IFERROR(INDEX(PP_Grid[#Data],$DD890,15),0)</f>
        <v/>
      </c>
      <c r="R890">
        <f>IFERROR(INDEX(PP_Grid[#Data],$DD890,16),0)</f>
        <v/>
      </c>
      <c r="S890">
        <f>IFERROR(INDEX(PP_Grid[#Data],$DD890,17),0)</f>
        <v/>
      </c>
      <c r="T890">
        <f>IFERROR(INDEX(PP_Grid[#Data],$DD890,18),0)</f>
        <v/>
      </c>
      <c r="U890">
        <f>IFERROR(INDEX(PP_Grid[#Data],$DD890,19),0)</f>
        <v/>
      </c>
      <c r="V890">
        <f>IFERROR(INDEX(PP_Grid[#Data],$DD890,20),0)</f>
        <v/>
      </c>
      <c r="W890">
        <f>IFERROR(INDEX(PP_Grid[#Data],$DD890,21),0)</f>
        <v/>
      </c>
      <c r="X890">
        <f>IFERROR(INDEX(PP_Grid[#Data],$DD890,22),0)</f>
        <v/>
      </c>
      <c r="Y890">
        <f>IFERROR(INDEX(PP_Grid[#Data],$DD890,23),0)</f>
        <v/>
      </c>
      <c r="Z890">
        <f>IFERROR(INDEX(PP_Grid[#Data],$DD890,24),0)</f>
        <v/>
      </c>
      <c r="AA890">
        <f>IFERROR(INDEX(PP_Grid[#Data],$DD890,25),0)</f>
        <v/>
      </c>
      <c r="AB890">
        <f>IFERROR(INDEX(PP_Grid[#Data],$DD890,26),0)</f>
        <v/>
      </c>
      <c r="AC890">
        <f>IFERROR(INDEX(PP_Grid[#Data],$DD890,27),0)</f>
        <v/>
      </c>
      <c r="AD890">
        <f>IFERROR(INDEX(PP_Grid[#Data],$DD890,28),0)</f>
        <v/>
      </c>
      <c r="AE890">
        <f>IFERROR(INDEX(PP_Grid[#Data],$DD890,29),0)</f>
        <v/>
      </c>
      <c r="AF890">
        <f>IFERROR(INDEX(PP_Grid[#Data],$DD890,30),0)</f>
        <v/>
      </c>
      <c r="AG890">
        <f>IFERROR(INDEX(PP_Grid[#Data],$DD890,31),0)</f>
        <v/>
      </c>
      <c r="AH890">
        <f>IFERROR(INDEX(PP_Grid[#Data],$DD890,32),0)</f>
        <v/>
      </c>
      <c r="AI890">
        <f>IFERROR(INDEX(PP_Grid[#Data],$DD890,33),0)</f>
        <v/>
      </c>
      <c r="AJ890">
        <f>IFERROR(INDEX(PP_Grid[#Data],$DD890,34),0)</f>
        <v/>
      </c>
      <c r="AK890">
        <f>IFERROR(INDEX(PP_Grid[#Data],$DD890,35),0)</f>
        <v/>
      </c>
      <c r="AL890">
        <f>IFERROR(INDEX(PP_Grid[#Data],$DD890,36),0)</f>
        <v/>
      </c>
      <c r="AM890">
        <f>IFERROR(INDEX(PP_Grid[#Data],$DD890,37),0)</f>
        <v/>
      </c>
      <c r="AN890">
        <f>IFERROR(INDEX(PP_Grid[#Data],$DD890,38),0)</f>
        <v/>
      </c>
      <c r="AO890">
        <f>IFERROR(INDEX(PP_Grid[#Data],$DD890,39),0)</f>
        <v/>
      </c>
      <c r="AP890">
        <f>IFERROR(INDEX(PP_Grid[#Data],$DD890,40),0)</f>
        <v/>
      </c>
      <c r="AQ890">
        <f>IFERROR(INDEX(PP_Grid[#Data],$DD890,41),0)</f>
        <v/>
      </c>
      <c r="AR890">
        <f>IFERROR(INDEX(PP_Grid[#Data],$DD890,42),0)</f>
        <v/>
      </c>
      <c r="AS890">
        <f>IFERROR(INDEX(PP_Grid[#Data],$DD890,43),0)</f>
        <v/>
      </c>
      <c r="AT890">
        <f>IFERROR(INDEX(PP_Grid[#Data],$DD890,44),0)</f>
        <v/>
      </c>
      <c r="AU890">
        <f>IFERROR(INDEX(PP_Grid[#Data],$DD890,45),0)</f>
        <v/>
      </c>
      <c r="AV890">
        <f>IFERROR(INDEX(PP_Grid[#Data],$DD890,46),0)</f>
        <v/>
      </c>
      <c r="AW890">
        <f>IFERROR(INDEX(PP_Grid[#Data],$DD890,47),0)</f>
        <v/>
      </c>
      <c r="AX890">
        <f>IFERROR(INDEX(PP_Grid[#Data],$DD890,48),0)</f>
        <v/>
      </c>
      <c r="AY890">
        <f>IFERROR(INDEX(PP_Grid[#Data],$DD890,49),0)</f>
        <v/>
      </c>
      <c r="AZ890">
        <f>IFERROR(INDEX(PP_Grid[#Data],$DD890,50),0)</f>
        <v/>
      </c>
      <c r="BA890">
        <f>IFERROR(INDEX(PP_Grid[#Data],$DD890,51),0)</f>
        <v/>
      </c>
      <c r="BB890">
        <f>IFERROR(INDEX(PP_Grid[#Data],$DD890,52),0)</f>
        <v/>
      </c>
      <c r="BC890">
        <f>IFERROR(INDEX(PP_Grid[#Data],$DD890,53),0)</f>
        <v/>
      </c>
      <c r="BD890">
        <f>IFERROR(INDEX(PP_Grid[#Data],$DD890,54),0)</f>
        <v/>
      </c>
      <c r="BE890">
        <f>IFERROR(INDEX(PP_Grid[#Data],$DD890,55),0)</f>
        <v/>
      </c>
      <c r="BF890">
        <f>IFERROR(INDEX(PP_Grid[#Data],$DD890,56),0)</f>
        <v/>
      </c>
      <c r="BG890">
        <f>IFERROR(INDEX(PP_Grid[#Data],$DD890,57),0)</f>
        <v/>
      </c>
      <c r="BH890">
        <f>IFERROR(INDEX(PP_Grid[#Data],$DD890,58),0)</f>
        <v/>
      </c>
      <c r="BI890">
        <f>IFERROR(INDEX(PP_Grid[#Data],$DD890,59),0)</f>
        <v/>
      </c>
      <c r="BJ890">
        <f>IFERROR(INDEX(PP_Grid[#Data],$DD890,60),0)</f>
        <v/>
      </c>
      <c r="BK890">
        <f>IFERROR(INDEX(PP_Grid[#Data],$DD890,61),0)</f>
        <v/>
      </c>
      <c r="BL890">
        <f>IFERROR(INDEX(PP_Grid[#Data],$DD890,62),0)</f>
        <v/>
      </c>
      <c r="BM890">
        <f>IFERROR(INDEX(PP_Grid[#Data],$DD890,63),0)</f>
        <v/>
      </c>
      <c r="BN890">
        <f>IFERROR(INDEX(PP_Grid[#Data],$DD890,64),0)</f>
        <v/>
      </c>
      <c r="BO890">
        <f>IFERROR(INDEX(PP_Grid[#Data],$DD890,65),0)</f>
        <v/>
      </c>
      <c r="BP890">
        <f>IFERROR(INDEX(PP_Grid[#Data],$DD890,66),0)</f>
        <v/>
      </c>
      <c r="BQ890">
        <f>IFERROR(INDEX(PP_Grid[#Data],$DD890,67),0)</f>
        <v/>
      </c>
      <c r="BR890">
        <f>IFERROR(INDEX(PP_Grid[#Data],$DD890,68),0)</f>
        <v/>
      </c>
      <c r="BS890">
        <f>IFERROR(INDEX(PP_Grid[#Data],$DD890,69),0)</f>
        <v/>
      </c>
      <c r="BT890">
        <f>IFERROR(INDEX(PP_Grid[#Data],$DD890,70),0)</f>
        <v/>
      </c>
      <c r="BU890">
        <f>IFERROR(INDEX(PP_Grid[#Data],$DD890,71),0)</f>
        <v/>
      </c>
      <c r="BV890">
        <f>IFERROR(INDEX(PP_Grid[#Data],$DD890,72),0)</f>
        <v/>
      </c>
      <c r="BW890">
        <f>IFERROR(INDEX(PP_Grid[#Data],$DD890,73),0)</f>
        <v/>
      </c>
      <c r="BX890">
        <f>IFERROR(INDEX(PP_Grid[#Data],$DD890,74),0)</f>
        <v/>
      </c>
      <c r="BY890">
        <f>IFERROR(INDEX(PP_Grid[#Data],$DD890,75),0)</f>
        <v/>
      </c>
      <c r="BZ890">
        <f>IFERROR(INDEX(PP_Grid[#Data],$DD890,76),0)</f>
        <v/>
      </c>
      <c r="CA890">
        <f>IFERROR(INDEX(PP_Grid[#Data],$DD890,77),0)</f>
        <v/>
      </c>
      <c r="CB890">
        <f>IFERROR(INDEX(PP_Grid[#Data],$DD890,78),0)</f>
        <v/>
      </c>
      <c r="CC890">
        <f>IFERROR(INDEX(PP_Grid[#Data],$DD890,79),0)</f>
        <v/>
      </c>
      <c r="CD890">
        <f>IFERROR(INDEX(PP_Grid[#Data],$DD890,80),0)</f>
        <v/>
      </c>
      <c r="CE890">
        <f>IFERROR(INDEX(PP_Grid[#Data],$DD890,81),0)</f>
        <v/>
      </c>
      <c r="CF890">
        <f>IFERROR(INDEX(PP_Grid[#Data],$DD890,82),0)</f>
        <v/>
      </c>
      <c r="CG890">
        <f>IFERROR(INDEX(PP_Grid[#Data],$DD890,83),0)</f>
        <v/>
      </c>
      <c r="CH890">
        <f>IFERROR(INDEX(PP_Grid[#Data],$DD890,84),0)</f>
        <v/>
      </c>
      <c r="CI890">
        <f>IFERROR(INDEX(PP_Grid[#Data],$DD890,85),0)</f>
        <v/>
      </c>
      <c r="CJ890">
        <f>IFERROR(INDEX(PP_Grid[#Data],$DD890,86),0)</f>
        <v/>
      </c>
      <c r="CK890">
        <f>IFERROR(INDEX(PP_Grid[#Data],$DD890,87),0)</f>
        <v/>
      </c>
      <c r="CL890">
        <f>IFERROR(INDEX(PP_Grid[#Data],$DD890,88),0)</f>
        <v/>
      </c>
      <c r="CM890">
        <f>IFERROR(INDEX(PP_Grid[#Data],$DD890,89),0)</f>
        <v/>
      </c>
      <c r="CN890">
        <f>IFERROR(INDEX(PP_Grid[#Data],$DD890,90),0)</f>
        <v/>
      </c>
      <c r="CO890">
        <f>IFERROR(INDEX(PP_Grid[#Data],$DD890,91),0)</f>
        <v/>
      </c>
      <c r="CP890">
        <f>IFERROR(INDEX(PP_Grid[#Data],$DD890,92),0)</f>
        <v/>
      </c>
      <c r="CQ890">
        <f>IFERROR(INDEX(PP_Grid[#Data],$DD890,93),0)</f>
        <v/>
      </c>
      <c r="CR890">
        <f>IFERROR(INDEX(PP_Grid[#Data],$DD890,94),0)</f>
        <v/>
      </c>
      <c r="CS890">
        <f>IFERROR(INDEX(PP_Grid[#Data],$DD890,95),0)</f>
        <v/>
      </c>
      <c r="CT890">
        <f>IFERROR(INDEX(PP_Grid[#Data],$DD890,96),0)</f>
        <v/>
      </c>
      <c r="CU890">
        <f>IFERROR(INDEX(PP_Grid[#Data],$DD890,97),0)</f>
        <v/>
      </c>
      <c r="CV890">
        <f>IFERROR(INDEX(PP_Grid[#Data],$DD890,98),0)</f>
        <v/>
      </c>
      <c r="CW890">
        <f>IFERROR(INDEX(PP_Grid[#Data],$DD890,99),0)</f>
        <v/>
      </c>
      <c r="CX890">
        <f>IFERROR(INDEX(PP_Grid[#Data],$DD890,100),0)</f>
        <v/>
      </c>
      <c r="CY890">
        <f>IFERROR(INDEX(PP_Grid[#Data],$DD890,101),0)</f>
        <v/>
      </c>
      <c r="CZ890">
        <f>IFERROR(INDEX(PP_Grid[#Data],$DD890,102),0)</f>
        <v/>
      </c>
      <c r="DA890">
        <f>IFERROR(INDEX(PP_Grid[#Data],$DD890,103),0)</f>
        <v/>
      </c>
      <c r="DB890">
        <f>IFERROR(INDEX(PP_Grid[#Data],$DD890,104),0)</f>
        <v/>
      </c>
      <c r="DC890">
        <f>IFERROR(INDEX(PP_Grid[#Data],$DD890,105),0)</f>
        <v/>
      </c>
      <c r="DD890" s="12">
        <f>IFERROR(MATCH($B890,PP_Grid[Intermediate],0),99999)</f>
        <v/>
      </c>
    </row>
    <row r="891">
      <c r="B891" t="inlineStr">
        <is>
          <t>使用量(kg)</t>
        </is>
      </c>
      <c r="C891">
        <f>SUMIFS(M_BOM[RM_Qty_Per_Batch],M_BOM[Intermediate],$B890,M_BOM[Part Name],$A877)</f>
        <v/>
      </c>
      <c r="D891">
        <f>$C891*D890</f>
        <v/>
      </c>
      <c r="E891">
        <f>$C891*E890</f>
        <v/>
      </c>
      <c r="F891">
        <f>$C891*F890</f>
        <v/>
      </c>
      <c r="G891">
        <f>$C891*G890</f>
        <v/>
      </c>
      <c r="H891">
        <f>$C891*H890</f>
        <v/>
      </c>
      <c r="I891">
        <f>$C891*I890</f>
        <v/>
      </c>
      <c r="J891">
        <f>$C891*J890</f>
        <v/>
      </c>
      <c r="K891">
        <f>$C891*K890</f>
        <v/>
      </c>
      <c r="L891">
        <f>$C891*L890</f>
        <v/>
      </c>
      <c r="M891">
        <f>$C891*M890</f>
        <v/>
      </c>
      <c r="N891">
        <f>$C891*N890</f>
        <v/>
      </c>
      <c r="O891">
        <f>$C891*O890</f>
        <v/>
      </c>
      <c r="P891">
        <f>$C891*P890</f>
        <v/>
      </c>
      <c r="Q891">
        <f>$C891*Q890</f>
        <v/>
      </c>
      <c r="R891">
        <f>$C891*R890</f>
        <v/>
      </c>
      <c r="S891">
        <f>$C891*S890</f>
        <v/>
      </c>
      <c r="T891">
        <f>$C891*T890</f>
        <v/>
      </c>
      <c r="U891">
        <f>$C891*U890</f>
        <v/>
      </c>
      <c r="V891">
        <f>$C891*V890</f>
        <v/>
      </c>
      <c r="W891">
        <f>$C891*W890</f>
        <v/>
      </c>
      <c r="X891">
        <f>$C891*X890</f>
        <v/>
      </c>
      <c r="Y891">
        <f>$C891*Y890</f>
        <v/>
      </c>
      <c r="Z891">
        <f>$C891*Z890</f>
        <v/>
      </c>
      <c r="AA891">
        <f>$C891*AA890</f>
        <v/>
      </c>
      <c r="AB891">
        <f>$C891*AB890</f>
        <v/>
      </c>
      <c r="AC891">
        <f>$C891*AC890</f>
        <v/>
      </c>
      <c r="AD891">
        <f>$C891*AD890</f>
        <v/>
      </c>
      <c r="AE891">
        <f>$C891*AE890</f>
        <v/>
      </c>
      <c r="AF891">
        <f>$C891*AF890</f>
        <v/>
      </c>
      <c r="AG891">
        <f>$C891*AG890</f>
        <v/>
      </c>
      <c r="AH891">
        <f>$C891*AH890</f>
        <v/>
      </c>
      <c r="AI891">
        <f>$C891*AI890</f>
        <v/>
      </c>
      <c r="AJ891">
        <f>$C891*AJ890</f>
        <v/>
      </c>
      <c r="AK891">
        <f>$C891*AK890</f>
        <v/>
      </c>
      <c r="AL891">
        <f>$C891*AL890</f>
        <v/>
      </c>
      <c r="AM891">
        <f>$C891*AM890</f>
        <v/>
      </c>
      <c r="AN891">
        <f>$C891*AN890</f>
        <v/>
      </c>
      <c r="AO891">
        <f>$C891*AO890</f>
        <v/>
      </c>
      <c r="AP891">
        <f>$C891*AP890</f>
        <v/>
      </c>
      <c r="AQ891">
        <f>$C891*AQ890</f>
        <v/>
      </c>
      <c r="AR891">
        <f>$C891*AR890</f>
        <v/>
      </c>
      <c r="AS891">
        <f>$C891*AS890</f>
        <v/>
      </c>
      <c r="AT891">
        <f>$C891*AT890</f>
        <v/>
      </c>
      <c r="AU891">
        <f>$C891*AU890</f>
        <v/>
      </c>
      <c r="AV891">
        <f>$C891*AV890</f>
        <v/>
      </c>
      <c r="AW891">
        <f>$C891*AW890</f>
        <v/>
      </c>
      <c r="AX891">
        <f>$C891*AX890</f>
        <v/>
      </c>
      <c r="AY891">
        <f>$C891*AY890</f>
        <v/>
      </c>
      <c r="AZ891">
        <f>$C891*AZ890</f>
        <v/>
      </c>
      <c r="BA891">
        <f>$C891*BA890</f>
        <v/>
      </c>
      <c r="BB891">
        <f>$C891*BB890</f>
        <v/>
      </c>
      <c r="BC891">
        <f>$C891*BC890</f>
        <v/>
      </c>
      <c r="BD891">
        <f>$C891*BD890</f>
        <v/>
      </c>
      <c r="BE891">
        <f>$C891*BE890</f>
        <v/>
      </c>
      <c r="BF891">
        <f>$C891*BF890</f>
        <v/>
      </c>
      <c r="BG891">
        <f>$C891*BG890</f>
        <v/>
      </c>
      <c r="BH891">
        <f>$C891*BH890</f>
        <v/>
      </c>
      <c r="BI891">
        <f>$C891*BI890</f>
        <v/>
      </c>
      <c r="BJ891">
        <f>$C891*BJ890</f>
        <v/>
      </c>
      <c r="BK891">
        <f>$C891*BK890</f>
        <v/>
      </c>
      <c r="BL891">
        <f>$C891*BL890</f>
        <v/>
      </c>
      <c r="BM891">
        <f>$C891*BM890</f>
        <v/>
      </c>
      <c r="BN891">
        <f>$C891*BN890</f>
        <v/>
      </c>
      <c r="BO891">
        <f>$C891*BO890</f>
        <v/>
      </c>
      <c r="BP891">
        <f>$C891*BP890</f>
        <v/>
      </c>
      <c r="BQ891">
        <f>$C891*BQ890</f>
        <v/>
      </c>
      <c r="BR891">
        <f>$C891*BR890</f>
        <v/>
      </c>
      <c r="BS891">
        <f>$C891*BS890</f>
        <v/>
      </c>
      <c r="BT891">
        <f>$C891*BT890</f>
        <v/>
      </c>
      <c r="BU891">
        <f>$C891*BU890</f>
        <v/>
      </c>
      <c r="BV891">
        <f>$C891*BV890</f>
        <v/>
      </c>
      <c r="BW891">
        <f>$C891*BW890</f>
        <v/>
      </c>
      <c r="BX891">
        <f>$C891*BX890</f>
        <v/>
      </c>
      <c r="BY891">
        <f>$C891*BY890</f>
        <v/>
      </c>
      <c r="BZ891">
        <f>$C891*BZ890</f>
        <v/>
      </c>
      <c r="CA891">
        <f>$C891*CA890</f>
        <v/>
      </c>
      <c r="CB891">
        <f>$C891*CB890</f>
        <v/>
      </c>
      <c r="CC891">
        <f>$C891*CC890</f>
        <v/>
      </c>
      <c r="CD891">
        <f>$C891*CD890</f>
        <v/>
      </c>
      <c r="CE891">
        <f>$C891*CE890</f>
        <v/>
      </c>
      <c r="CF891">
        <f>$C891*CF890</f>
        <v/>
      </c>
      <c r="CG891">
        <f>$C891*CG890</f>
        <v/>
      </c>
      <c r="CH891">
        <f>$C891*CH890</f>
        <v/>
      </c>
      <c r="CI891">
        <f>$C891*CI890</f>
        <v/>
      </c>
      <c r="CJ891">
        <f>$C891*CJ890</f>
        <v/>
      </c>
      <c r="CK891">
        <f>$C891*CK890</f>
        <v/>
      </c>
      <c r="CL891">
        <f>$C891*CL890</f>
        <v/>
      </c>
      <c r="CM891">
        <f>$C891*CM890</f>
        <v/>
      </c>
      <c r="CN891">
        <f>$C891*CN890</f>
        <v/>
      </c>
      <c r="CO891">
        <f>$C891*CO890</f>
        <v/>
      </c>
      <c r="CP891">
        <f>$C891*CP890</f>
        <v/>
      </c>
      <c r="CQ891">
        <f>$C891*CQ890</f>
        <v/>
      </c>
      <c r="CR891">
        <f>$C891*CR890</f>
        <v/>
      </c>
      <c r="CS891">
        <f>$C891*CS890</f>
        <v/>
      </c>
      <c r="CT891">
        <f>$C891*CT890</f>
        <v/>
      </c>
      <c r="CU891">
        <f>$C891*CU890</f>
        <v/>
      </c>
      <c r="CV891">
        <f>$C891*CV890</f>
        <v/>
      </c>
      <c r="CW891">
        <f>$C891*CW890</f>
        <v/>
      </c>
      <c r="CX891">
        <f>$C891*CX890</f>
        <v/>
      </c>
      <c r="CY891">
        <f>$C891*CY890</f>
        <v/>
      </c>
      <c r="CZ891">
        <f>$C891*CZ890</f>
        <v/>
      </c>
      <c r="DA891">
        <f>$C891*DA890</f>
        <v/>
      </c>
      <c r="DB891">
        <f>$C891*DB890</f>
        <v/>
      </c>
      <c r="DC891">
        <f>$C891*DC890</f>
        <v/>
      </c>
    </row>
    <row r="892">
      <c r="B892" t="inlineStr">
        <is>
          <t>TPP-920</t>
        </is>
      </c>
      <c r="C892" t="inlineStr">
        <is>
          <t>No. of batches</t>
        </is>
      </c>
      <c r="D892">
        <f>IFERROR(INDEX(PP_Grid[#Data],$DD892,2),0)</f>
        <v/>
      </c>
      <c r="E892">
        <f>IFERROR(INDEX(PP_Grid[#Data],$DD892,3),0)</f>
        <v/>
      </c>
      <c r="F892">
        <f>IFERROR(INDEX(PP_Grid[#Data],$DD892,4),0)</f>
        <v/>
      </c>
      <c r="G892">
        <f>IFERROR(INDEX(PP_Grid[#Data],$DD892,5),0)</f>
        <v/>
      </c>
      <c r="H892">
        <f>IFERROR(INDEX(PP_Grid[#Data],$DD892,6),0)</f>
        <v/>
      </c>
      <c r="I892">
        <f>IFERROR(INDEX(PP_Grid[#Data],$DD892,7),0)</f>
        <v/>
      </c>
      <c r="J892">
        <f>IFERROR(INDEX(PP_Grid[#Data],$DD892,8),0)</f>
        <v/>
      </c>
      <c r="K892">
        <f>IFERROR(INDEX(PP_Grid[#Data],$DD892,9),0)</f>
        <v/>
      </c>
      <c r="L892">
        <f>IFERROR(INDEX(PP_Grid[#Data],$DD892,10),0)</f>
        <v/>
      </c>
      <c r="M892">
        <f>IFERROR(INDEX(PP_Grid[#Data],$DD892,11),0)</f>
        <v/>
      </c>
      <c r="N892">
        <f>IFERROR(INDEX(PP_Grid[#Data],$DD892,12),0)</f>
        <v/>
      </c>
      <c r="O892">
        <f>IFERROR(INDEX(PP_Grid[#Data],$DD892,13),0)</f>
        <v/>
      </c>
      <c r="P892">
        <f>IFERROR(INDEX(PP_Grid[#Data],$DD892,14),0)</f>
        <v/>
      </c>
      <c r="Q892">
        <f>IFERROR(INDEX(PP_Grid[#Data],$DD892,15),0)</f>
        <v/>
      </c>
      <c r="R892">
        <f>IFERROR(INDEX(PP_Grid[#Data],$DD892,16),0)</f>
        <v/>
      </c>
      <c r="S892">
        <f>IFERROR(INDEX(PP_Grid[#Data],$DD892,17),0)</f>
        <v/>
      </c>
      <c r="T892">
        <f>IFERROR(INDEX(PP_Grid[#Data],$DD892,18),0)</f>
        <v/>
      </c>
      <c r="U892">
        <f>IFERROR(INDEX(PP_Grid[#Data],$DD892,19),0)</f>
        <v/>
      </c>
      <c r="V892">
        <f>IFERROR(INDEX(PP_Grid[#Data],$DD892,20),0)</f>
        <v/>
      </c>
      <c r="W892">
        <f>IFERROR(INDEX(PP_Grid[#Data],$DD892,21),0)</f>
        <v/>
      </c>
      <c r="X892">
        <f>IFERROR(INDEX(PP_Grid[#Data],$DD892,22),0)</f>
        <v/>
      </c>
      <c r="Y892">
        <f>IFERROR(INDEX(PP_Grid[#Data],$DD892,23),0)</f>
        <v/>
      </c>
      <c r="Z892">
        <f>IFERROR(INDEX(PP_Grid[#Data],$DD892,24),0)</f>
        <v/>
      </c>
      <c r="AA892">
        <f>IFERROR(INDEX(PP_Grid[#Data],$DD892,25),0)</f>
        <v/>
      </c>
      <c r="AB892">
        <f>IFERROR(INDEX(PP_Grid[#Data],$DD892,26),0)</f>
        <v/>
      </c>
      <c r="AC892">
        <f>IFERROR(INDEX(PP_Grid[#Data],$DD892,27),0)</f>
        <v/>
      </c>
      <c r="AD892">
        <f>IFERROR(INDEX(PP_Grid[#Data],$DD892,28),0)</f>
        <v/>
      </c>
      <c r="AE892">
        <f>IFERROR(INDEX(PP_Grid[#Data],$DD892,29),0)</f>
        <v/>
      </c>
      <c r="AF892">
        <f>IFERROR(INDEX(PP_Grid[#Data],$DD892,30),0)</f>
        <v/>
      </c>
      <c r="AG892">
        <f>IFERROR(INDEX(PP_Grid[#Data],$DD892,31),0)</f>
        <v/>
      </c>
      <c r="AH892">
        <f>IFERROR(INDEX(PP_Grid[#Data],$DD892,32),0)</f>
        <v/>
      </c>
      <c r="AI892">
        <f>IFERROR(INDEX(PP_Grid[#Data],$DD892,33),0)</f>
        <v/>
      </c>
      <c r="AJ892">
        <f>IFERROR(INDEX(PP_Grid[#Data],$DD892,34),0)</f>
        <v/>
      </c>
      <c r="AK892">
        <f>IFERROR(INDEX(PP_Grid[#Data],$DD892,35),0)</f>
        <v/>
      </c>
      <c r="AL892">
        <f>IFERROR(INDEX(PP_Grid[#Data],$DD892,36),0)</f>
        <v/>
      </c>
      <c r="AM892">
        <f>IFERROR(INDEX(PP_Grid[#Data],$DD892,37),0)</f>
        <v/>
      </c>
      <c r="AN892">
        <f>IFERROR(INDEX(PP_Grid[#Data],$DD892,38),0)</f>
        <v/>
      </c>
      <c r="AO892">
        <f>IFERROR(INDEX(PP_Grid[#Data],$DD892,39),0)</f>
        <v/>
      </c>
      <c r="AP892">
        <f>IFERROR(INDEX(PP_Grid[#Data],$DD892,40),0)</f>
        <v/>
      </c>
      <c r="AQ892">
        <f>IFERROR(INDEX(PP_Grid[#Data],$DD892,41),0)</f>
        <v/>
      </c>
      <c r="AR892">
        <f>IFERROR(INDEX(PP_Grid[#Data],$DD892,42),0)</f>
        <v/>
      </c>
      <c r="AS892">
        <f>IFERROR(INDEX(PP_Grid[#Data],$DD892,43),0)</f>
        <v/>
      </c>
      <c r="AT892">
        <f>IFERROR(INDEX(PP_Grid[#Data],$DD892,44),0)</f>
        <v/>
      </c>
      <c r="AU892">
        <f>IFERROR(INDEX(PP_Grid[#Data],$DD892,45),0)</f>
        <v/>
      </c>
      <c r="AV892">
        <f>IFERROR(INDEX(PP_Grid[#Data],$DD892,46),0)</f>
        <v/>
      </c>
      <c r="AW892">
        <f>IFERROR(INDEX(PP_Grid[#Data],$DD892,47),0)</f>
        <v/>
      </c>
      <c r="AX892">
        <f>IFERROR(INDEX(PP_Grid[#Data],$DD892,48),0)</f>
        <v/>
      </c>
      <c r="AY892">
        <f>IFERROR(INDEX(PP_Grid[#Data],$DD892,49),0)</f>
        <v/>
      </c>
      <c r="AZ892">
        <f>IFERROR(INDEX(PP_Grid[#Data],$DD892,50),0)</f>
        <v/>
      </c>
      <c r="BA892">
        <f>IFERROR(INDEX(PP_Grid[#Data],$DD892,51),0)</f>
        <v/>
      </c>
      <c r="BB892">
        <f>IFERROR(INDEX(PP_Grid[#Data],$DD892,52),0)</f>
        <v/>
      </c>
      <c r="BC892">
        <f>IFERROR(INDEX(PP_Grid[#Data],$DD892,53),0)</f>
        <v/>
      </c>
      <c r="BD892">
        <f>IFERROR(INDEX(PP_Grid[#Data],$DD892,54),0)</f>
        <v/>
      </c>
      <c r="BE892">
        <f>IFERROR(INDEX(PP_Grid[#Data],$DD892,55),0)</f>
        <v/>
      </c>
      <c r="BF892">
        <f>IFERROR(INDEX(PP_Grid[#Data],$DD892,56),0)</f>
        <v/>
      </c>
      <c r="BG892">
        <f>IFERROR(INDEX(PP_Grid[#Data],$DD892,57),0)</f>
        <v/>
      </c>
      <c r="BH892">
        <f>IFERROR(INDEX(PP_Grid[#Data],$DD892,58),0)</f>
        <v/>
      </c>
      <c r="BI892">
        <f>IFERROR(INDEX(PP_Grid[#Data],$DD892,59),0)</f>
        <v/>
      </c>
      <c r="BJ892">
        <f>IFERROR(INDEX(PP_Grid[#Data],$DD892,60),0)</f>
        <v/>
      </c>
      <c r="BK892">
        <f>IFERROR(INDEX(PP_Grid[#Data],$DD892,61),0)</f>
        <v/>
      </c>
      <c r="BL892">
        <f>IFERROR(INDEX(PP_Grid[#Data],$DD892,62),0)</f>
        <v/>
      </c>
      <c r="BM892">
        <f>IFERROR(INDEX(PP_Grid[#Data],$DD892,63),0)</f>
        <v/>
      </c>
      <c r="BN892">
        <f>IFERROR(INDEX(PP_Grid[#Data],$DD892,64),0)</f>
        <v/>
      </c>
      <c r="BO892">
        <f>IFERROR(INDEX(PP_Grid[#Data],$DD892,65),0)</f>
        <v/>
      </c>
      <c r="BP892">
        <f>IFERROR(INDEX(PP_Grid[#Data],$DD892,66),0)</f>
        <v/>
      </c>
      <c r="BQ892">
        <f>IFERROR(INDEX(PP_Grid[#Data],$DD892,67),0)</f>
        <v/>
      </c>
      <c r="BR892">
        <f>IFERROR(INDEX(PP_Grid[#Data],$DD892,68),0)</f>
        <v/>
      </c>
      <c r="BS892">
        <f>IFERROR(INDEX(PP_Grid[#Data],$DD892,69),0)</f>
        <v/>
      </c>
      <c r="BT892">
        <f>IFERROR(INDEX(PP_Grid[#Data],$DD892,70),0)</f>
        <v/>
      </c>
      <c r="BU892">
        <f>IFERROR(INDEX(PP_Grid[#Data],$DD892,71),0)</f>
        <v/>
      </c>
      <c r="BV892">
        <f>IFERROR(INDEX(PP_Grid[#Data],$DD892,72),0)</f>
        <v/>
      </c>
      <c r="BW892">
        <f>IFERROR(INDEX(PP_Grid[#Data],$DD892,73),0)</f>
        <v/>
      </c>
      <c r="BX892">
        <f>IFERROR(INDEX(PP_Grid[#Data],$DD892,74),0)</f>
        <v/>
      </c>
      <c r="BY892">
        <f>IFERROR(INDEX(PP_Grid[#Data],$DD892,75),0)</f>
        <v/>
      </c>
      <c r="BZ892">
        <f>IFERROR(INDEX(PP_Grid[#Data],$DD892,76),0)</f>
        <v/>
      </c>
      <c r="CA892">
        <f>IFERROR(INDEX(PP_Grid[#Data],$DD892,77),0)</f>
        <v/>
      </c>
      <c r="CB892">
        <f>IFERROR(INDEX(PP_Grid[#Data],$DD892,78),0)</f>
        <v/>
      </c>
      <c r="CC892">
        <f>IFERROR(INDEX(PP_Grid[#Data],$DD892,79),0)</f>
        <v/>
      </c>
      <c r="CD892">
        <f>IFERROR(INDEX(PP_Grid[#Data],$DD892,80),0)</f>
        <v/>
      </c>
      <c r="CE892">
        <f>IFERROR(INDEX(PP_Grid[#Data],$DD892,81),0)</f>
        <v/>
      </c>
      <c r="CF892">
        <f>IFERROR(INDEX(PP_Grid[#Data],$DD892,82),0)</f>
        <v/>
      </c>
      <c r="CG892">
        <f>IFERROR(INDEX(PP_Grid[#Data],$DD892,83),0)</f>
        <v/>
      </c>
      <c r="CH892">
        <f>IFERROR(INDEX(PP_Grid[#Data],$DD892,84),0)</f>
        <v/>
      </c>
      <c r="CI892">
        <f>IFERROR(INDEX(PP_Grid[#Data],$DD892,85),0)</f>
        <v/>
      </c>
      <c r="CJ892">
        <f>IFERROR(INDEX(PP_Grid[#Data],$DD892,86),0)</f>
        <v/>
      </c>
      <c r="CK892">
        <f>IFERROR(INDEX(PP_Grid[#Data],$DD892,87),0)</f>
        <v/>
      </c>
      <c r="CL892">
        <f>IFERROR(INDEX(PP_Grid[#Data],$DD892,88),0)</f>
        <v/>
      </c>
      <c r="CM892">
        <f>IFERROR(INDEX(PP_Grid[#Data],$DD892,89),0)</f>
        <v/>
      </c>
      <c r="CN892">
        <f>IFERROR(INDEX(PP_Grid[#Data],$DD892,90),0)</f>
        <v/>
      </c>
      <c r="CO892">
        <f>IFERROR(INDEX(PP_Grid[#Data],$DD892,91),0)</f>
        <v/>
      </c>
      <c r="CP892">
        <f>IFERROR(INDEX(PP_Grid[#Data],$DD892,92),0)</f>
        <v/>
      </c>
      <c r="CQ892">
        <f>IFERROR(INDEX(PP_Grid[#Data],$DD892,93),0)</f>
        <v/>
      </c>
      <c r="CR892">
        <f>IFERROR(INDEX(PP_Grid[#Data],$DD892,94),0)</f>
        <v/>
      </c>
      <c r="CS892">
        <f>IFERROR(INDEX(PP_Grid[#Data],$DD892,95),0)</f>
        <v/>
      </c>
      <c r="CT892">
        <f>IFERROR(INDEX(PP_Grid[#Data],$DD892,96),0)</f>
        <v/>
      </c>
      <c r="CU892">
        <f>IFERROR(INDEX(PP_Grid[#Data],$DD892,97),0)</f>
        <v/>
      </c>
      <c r="CV892">
        <f>IFERROR(INDEX(PP_Grid[#Data],$DD892,98),0)</f>
        <v/>
      </c>
      <c r="CW892">
        <f>IFERROR(INDEX(PP_Grid[#Data],$DD892,99),0)</f>
        <v/>
      </c>
      <c r="CX892">
        <f>IFERROR(INDEX(PP_Grid[#Data],$DD892,100),0)</f>
        <v/>
      </c>
      <c r="CY892">
        <f>IFERROR(INDEX(PP_Grid[#Data],$DD892,101),0)</f>
        <v/>
      </c>
      <c r="CZ892">
        <f>IFERROR(INDEX(PP_Grid[#Data],$DD892,102),0)</f>
        <v/>
      </c>
      <c r="DA892">
        <f>IFERROR(INDEX(PP_Grid[#Data],$DD892,103),0)</f>
        <v/>
      </c>
      <c r="DB892">
        <f>IFERROR(INDEX(PP_Grid[#Data],$DD892,104),0)</f>
        <v/>
      </c>
      <c r="DC892">
        <f>IFERROR(INDEX(PP_Grid[#Data],$DD892,105),0)</f>
        <v/>
      </c>
      <c r="DD892" s="12">
        <f>IFERROR(MATCH($B892,PP_Grid[Intermediate],0),99999)</f>
        <v/>
      </c>
    </row>
    <row r="893">
      <c r="B893" t="inlineStr">
        <is>
          <t>使用量(kg)</t>
        </is>
      </c>
      <c r="C893">
        <f>SUMIFS(M_BOM[RM_Qty_Per_Batch],M_BOM[Intermediate],$B892,M_BOM[Part Name],$A877)</f>
        <v/>
      </c>
      <c r="D893">
        <f>$C893*D892</f>
        <v/>
      </c>
      <c r="E893">
        <f>$C893*E892</f>
        <v/>
      </c>
      <c r="F893">
        <f>$C893*F892</f>
        <v/>
      </c>
      <c r="G893">
        <f>$C893*G892</f>
        <v/>
      </c>
      <c r="H893">
        <f>$C893*H892</f>
        <v/>
      </c>
      <c r="I893">
        <f>$C893*I892</f>
        <v/>
      </c>
      <c r="J893">
        <f>$C893*J892</f>
        <v/>
      </c>
      <c r="K893">
        <f>$C893*K892</f>
        <v/>
      </c>
      <c r="L893">
        <f>$C893*L892</f>
        <v/>
      </c>
      <c r="M893">
        <f>$C893*M892</f>
        <v/>
      </c>
      <c r="N893">
        <f>$C893*N892</f>
        <v/>
      </c>
      <c r="O893">
        <f>$C893*O892</f>
        <v/>
      </c>
      <c r="P893">
        <f>$C893*P892</f>
        <v/>
      </c>
      <c r="Q893">
        <f>$C893*Q892</f>
        <v/>
      </c>
      <c r="R893">
        <f>$C893*R892</f>
        <v/>
      </c>
      <c r="S893">
        <f>$C893*S892</f>
        <v/>
      </c>
      <c r="T893">
        <f>$C893*T892</f>
        <v/>
      </c>
      <c r="U893">
        <f>$C893*U892</f>
        <v/>
      </c>
      <c r="V893">
        <f>$C893*V892</f>
        <v/>
      </c>
      <c r="W893">
        <f>$C893*W892</f>
        <v/>
      </c>
      <c r="X893">
        <f>$C893*X892</f>
        <v/>
      </c>
      <c r="Y893">
        <f>$C893*Y892</f>
        <v/>
      </c>
      <c r="Z893">
        <f>$C893*Z892</f>
        <v/>
      </c>
      <c r="AA893">
        <f>$C893*AA892</f>
        <v/>
      </c>
      <c r="AB893">
        <f>$C893*AB892</f>
        <v/>
      </c>
      <c r="AC893">
        <f>$C893*AC892</f>
        <v/>
      </c>
      <c r="AD893">
        <f>$C893*AD892</f>
        <v/>
      </c>
      <c r="AE893">
        <f>$C893*AE892</f>
        <v/>
      </c>
      <c r="AF893">
        <f>$C893*AF892</f>
        <v/>
      </c>
      <c r="AG893">
        <f>$C893*AG892</f>
        <v/>
      </c>
      <c r="AH893">
        <f>$C893*AH892</f>
        <v/>
      </c>
      <c r="AI893">
        <f>$C893*AI892</f>
        <v/>
      </c>
      <c r="AJ893">
        <f>$C893*AJ892</f>
        <v/>
      </c>
      <c r="AK893">
        <f>$C893*AK892</f>
        <v/>
      </c>
      <c r="AL893">
        <f>$C893*AL892</f>
        <v/>
      </c>
      <c r="AM893">
        <f>$C893*AM892</f>
        <v/>
      </c>
      <c r="AN893">
        <f>$C893*AN892</f>
        <v/>
      </c>
      <c r="AO893">
        <f>$C893*AO892</f>
        <v/>
      </c>
      <c r="AP893">
        <f>$C893*AP892</f>
        <v/>
      </c>
      <c r="AQ893">
        <f>$C893*AQ892</f>
        <v/>
      </c>
      <c r="AR893">
        <f>$C893*AR892</f>
        <v/>
      </c>
      <c r="AS893">
        <f>$C893*AS892</f>
        <v/>
      </c>
      <c r="AT893">
        <f>$C893*AT892</f>
        <v/>
      </c>
      <c r="AU893">
        <f>$C893*AU892</f>
        <v/>
      </c>
      <c r="AV893">
        <f>$C893*AV892</f>
        <v/>
      </c>
      <c r="AW893">
        <f>$C893*AW892</f>
        <v/>
      </c>
      <c r="AX893">
        <f>$C893*AX892</f>
        <v/>
      </c>
      <c r="AY893">
        <f>$C893*AY892</f>
        <v/>
      </c>
      <c r="AZ893">
        <f>$C893*AZ892</f>
        <v/>
      </c>
      <c r="BA893">
        <f>$C893*BA892</f>
        <v/>
      </c>
      <c r="BB893">
        <f>$C893*BB892</f>
        <v/>
      </c>
      <c r="BC893">
        <f>$C893*BC892</f>
        <v/>
      </c>
      <c r="BD893">
        <f>$C893*BD892</f>
        <v/>
      </c>
      <c r="BE893">
        <f>$C893*BE892</f>
        <v/>
      </c>
      <c r="BF893">
        <f>$C893*BF892</f>
        <v/>
      </c>
      <c r="BG893">
        <f>$C893*BG892</f>
        <v/>
      </c>
      <c r="BH893">
        <f>$C893*BH892</f>
        <v/>
      </c>
      <c r="BI893">
        <f>$C893*BI892</f>
        <v/>
      </c>
      <c r="BJ893">
        <f>$C893*BJ892</f>
        <v/>
      </c>
      <c r="BK893">
        <f>$C893*BK892</f>
        <v/>
      </c>
      <c r="BL893">
        <f>$C893*BL892</f>
        <v/>
      </c>
      <c r="BM893">
        <f>$C893*BM892</f>
        <v/>
      </c>
      <c r="BN893">
        <f>$C893*BN892</f>
        <v/>
      </c>
      <c r="BO893">
        <f>$C893*BO892</f>
        <v/>
      </c>
      <c r="BP893">
        <f>$C893*BP892</f>
        <v/>
      </c>
      <c r="BQ893">
        <f>$C893*BQ892</f>
        <v/>
      </c>
      <c r="BR893">
        <f>$C893*BR892</f>
        <v/>
      </c>
      <c r="BS893">
        <f>$C893*BS892</f>
        <v/>
      </c>
      <c r="BT893">
        <f>$C893*BT892</f>
        <v/>
      </c>
      <c r="BU893">
        <f>$C893*BU892</f>
        <v/>
      </c>
      <c r="BV893">
        <f>$C893*BV892</f>
        <v/>
      </c>
      <c r="BW893">
        <f>$C893*BW892</f>
        <v/>
      </c>
      <c r="BX893">
        <f>$C893*BX892</f>
        <v/>
      </c>
      <c r="BY893">
        <f>$C893*BY892</f>
        <v/>
      </c>
      <c r="BZ893">
        <f>$C893*BZ892</f>
        <v/>
      </c>
      <c r="CA893">
        <f>$C893*CA892</f>
        <v/>
      </c>
      <c r="CB893">
        <f>$C893*CB892</f>
        <v/>
      </c>
      <c r="CC893">
        <f>$C893*CC892</f>
        <v/>
      </c>
      <c r="CD893">
        <f>$C893*CD892</f>
        <v/>
      </c>
      <c r="CE893">
        <f>$C893*CE892</f>
        <v/>
      </c>
      <c r="CF893">
        <f>$C893*CF892</f>
        <v/>
      </c>
      <c r="CG893">
        <f>$C893*CG892</f>
        <v/>
      </c>
      <c r="CH893">
        <f>$C893*CH892</f>
        <v/>
      </c>
      <c r="CI893">
        <f>$C893*CI892</f>
        <v/>
      </c>
      <c r="CJ893">
        <f>$C893*CJ892</f>
        <v/>
      </c>
      <c r="CK893">
        <f>$C893*CK892</f>
        <v/>
      </c>
      <c r="CL893">
        <f>$C893*CL892</f>
        <v/>
      </c>
      <c r="CM893">
        <f>$C893*CM892</f>
        <v/>
      </c>
      <c r="CN893">
        <f>$C893*CN892</f>
        <v/>
      </c>
      <c r="CO893">
        <f>$C893*CO892</f>
        <v/>
      </c>
      <c r="CP893">
        <f>$C893*CP892</f>
        <v/>
      </c>
      <c r="CQ893">
        <f>$C893*CQ892</f>
        <v/>
      </c>
      <c r="CR893">
        <f>$C893*CR892</f>
        <v/>
      </c>
      <c r="CS893">
        <f>$C893*CS892</f>
        <v/>
      </c>
      <c r="CT893">
        <f>$C893*CT892</f>
        <v/>
      </c>
      <c r="CU893">
        <f>$C893*CU892</f>
        <v/>
      </c>
      <c r="CV893">
        <f>$C893*CV892</f>
        <v/>
      </c>
      <c r="CW893">
        <f>$C893*CW892</f>
        <v/>
      </c>
      <c r="CX893">
        <f>$C893*CX892</f>
        <v/>
      </c>
      <c r="CY893">
        <f>$C893*CY892</f>
        <v/>
      </c>
      <c r="CZ893">
        <f>$C893*CZ892</f>
        <v/>
      </c>
      <c r="DA893">
        <f>$C893*DA892</f>
        <v/>
      </c>
      <c r="DB893">
        <f>$C893*DB892</f>
        <v/>
      </c>
      <c r="DC893">
        <f>$C893*DC892</f>
        <v/>
      </c>
    </row>
    <row r="894">
      <c r="B894" t="inlineStr">
        <is>
          <t>TPP-922</t>
        </is>
      </c>
      <c r="C894" t="inlineStr">
        <is>
          <t>No. of batches</t>
        </is>
      </c>
      <c r="D894">
        <f>IFERROR(INDEX(PP_Grid[#Data],$DD894,2),0)</f>
        <v/>
      </c>
      <c r="E894">
        <f>IFERROR(INDEX(PP_Grid[#Data],$DD894,3),0)</f>
        <v/>
      </c>
      <c r="F894">
        <f>IFERROR(INDEX(PP_Grid[#Data],$DD894,4),0)</f>
        <v/>
      </c>
      <c r="G894">
        <f>IFERROR(INDEX(PP_Grid[#Data],$DD894,5),0)</f>
        <v/>
      </c>
      <c r="H894">
        <f>IFERROR(INDEX(PP_Grid[#Data],$DD894,6),0)</f>
        <v/>
      </c>
      <c r="I894">
        <f>IFERROR(INDEX(PP_Grid[#Data],$DD894,7),0)</f>
        <v/>
      </c>
      <c r="J894">
        <f>IFERROR(INDEX(PP_Grid[#Data],$DD894,8),0)</f>
        <v/>
      </c>
      <c r="K894">
        <f>IFERROR(INDEX(PP_Grid[#Data],$DD894,9),0)</f>
        <v/>
      </c>
      <c r="L894">
        <f>IFERROR(INDEX(PP_Grid[#Data],$DD894,10),0)</f>
        <v/>
      </c>
      <c r="M894">
        <f>IFERROR(INDEX(PP_Grid[#Data],$DD894,11),0)</f>
        <v/>
      </c>
      <c r="N894">
        <f>IFERROR(INDEX(PP_Grid[#Data],$DD894,12),0)</f>
        <v/>
      </c>
      <c r="O894">
        <f>IFERROR(INDEX(PP_Grid[#Data],$DD894,13),0)</f>
        <v/>
      </c>
      <c r="P894">
        <f>IFERROR(INDEX(PP_Grid[#Data],$DD894,14),0)</f>
        <v/>
      </c>
      <c r="Q894">
        <f>IFERROR(INDEX(PP_Grid[#Data],$DD894,15),0)</f>
        <v/>
      </c>
      <c r="R894">
        <f>IFERROR(INDEX(PP_Grid[#Data],$DD894,16),0)</f>
        <v/>
      </c>
      <c r="S894">
        <f>IFERROR(INDEX(PP_Grid[#Data],$DD894,17),0)</f>
        <v/>
      </c>
      <c r="T894">
        <f>IFERROR(INDEX(PP_Grid[#Data],$DD894,18),0)</f>
        <v/>
      </c>
      <c r="U894">
        <f>IFERROR(INDEX(PP_Grid[#Data],$DD894,19),0)</f>
        <v/>
      </c>
      <c r="V894">
        <f>IFERROR(INDEX(PP_Grid[#Data],$DD894,20),0)</f>
        <v/>
      </c>
      <c r="W894">
        <f>IFERROR(INDEX(PP_Grid[#Data],$DD894,21),0)</f>
        <v/>
      </c>
      <c r="X894">
        <f>IFERROR(INDEX(PP_Grid[#Data],$DD894,22),0)</f>
        <v/>
      </c>
      <c r="Y894">
        <f>IFERROR(INDEX(PP_Grid[#Data],$DD894,23),0)</f>
        <v/>
      </c>
      <c r="Z894">
        <f>IFERROR(INDEX(PP_Grid[#Data],$DD894,24),0)</f>
        <v/>
      </c>
      <c r="AA894">
        <f>IFERROR(INDEX(PP_Grid[#Data],$DD894,25),0)</f>
        <v/>
      </c>
      <c r="AB894">
        <f>IFERROR(INDEX(PP_Grid[#Data],$DD894,26),0)</f>
        <v/>
      </c>
      <c r="AC894">
        <f>IFERROR(INDEX(PP_Grid[#Data],$DD894,27),0)</f>
        <v/>
      </c>
      <c r="AD894">
        <f>IFERROR(INDEX(PP_Grid[#Data],$DD894,28),0)</f>
        <v/>
      </c>
      <c r="AE894">
        <f>IFERROR(INDEX(PP_Grid[#Data],$DD894,29),0)</f>
        <v/>
      </c>
      <c r="AF894">
        <f>IFERROR(INDEX(PP_Grid[#Data],$DD894,30),0)</f>
        <v/>
      </c>
      <c r="AG894">
        <f>IFERROR(INDEX(PP_Grid[#Data],$DD894,31),0)</f>
        <v/>
      </c>
      <c r="AH894">
        <f>IFERROR(INDEX(PP_Grid[#Data],$DD894,32),0)</f>
        <v/>
      </c>
      <c r="AI894">
        <f>IFERROR(INDEX(PP_Grid[#Data],$DD894,33),0)</f>
        <v/>
      </c>
      <c r="AJ894">
        <f>IFERROR(INDEX(PP_Grid[#Data],$DD894,34),0)</f>
        <v/>
      </c>
      <c r="AK894">
        <f>IFERROR(INDEX(PP_Grid[#Data],$DD894,35),0)</f>
        <v/>
      </c>
      <c r="AL894">
        <f>IFERROR(INDEX(PP_Grid[#Data],$DD894,36),0)</f>
        <v/>
      </c>
      <c r="AM894">
        <f>IFERROR(INDEX(PP_Grid[#Data],$DD894,37),0)</f>
        <v/>
      </c>
      <c r="AN894">
        <f>IFERROR(INDEX(PP_Grid[#Data],$DD894,38),0)</f>
        <v/>
      </c>
      <c r="AO894">
        <f>IFERROR(INDEX(PP_Grid[#Data],$DD894,39),0)</f>
        <v/>
      </c>
      <c r="AP894">
        <f>IFERROR(INDEX(PP_Grid[#Data],$DD894,40),0)</f>
        <v/>
      </c>
      <c r="AQ894">
        <f>IFERROR(INDEX(PP_Grid[#Data],$DD894,41),0)</f>
        <v/>
      </c>
      <c r="AR894">
        <f>IFERROR(INDEX(PP_Grid[#Data],$DD894,42),0)</f>
        <v/>
      </c>
      <c r="AS894">
        <f>IFERROR(INDEX(PP_Grid[#Data],$DD894,43),0)</f>
        <v/>
      </c>
      <c r="AT894">
        <f>IFERROR(INDEX(PP_Grid[#Data],$DD894,44),0)</f>
        <v/>
      </c>
      <c r="AU894">
        <f>IFERROR(INDEX(PP_Grid[#Data],$DD894,45),0)</f>
        <v/>
      </c>
      <c r="AV894">
        <f>IFERROR(INDEX(PP_Grid[#Data],$DD894,46),0)</f>
        <v/>
      </c>
      <c r="AW894">
        <f>IFERROR(INDEX(PP_Grid[#Data],$DD894,47),0)</f>
        <v/>
      </c>
      <c r="AX894">
        <f>IFERROR(INDEX(PP_Grid[#Data],$DD894,48),0)</f>
        <v/>
      </c>
      <c r="AY894">
        <f>IFERROR(INDEX(PP_Grid[#Data],$DD894,49),0)</f>
        <v/>
      </c>
      <c r="AZ894">
        <f>IFERROR(INDEX(PP_Grid[#Data],$DD894,50),0)</f>
        <v/>
      </c>
      <c r="BA894">
        <f>IFERROR(INDEX(PP_Grid[#Data],$DD894,51),0)</f>
        <v/>
      </c>
      <c r="BB894">
        <f>IFERROR(INDEX(PP_Grid[#Data],$DD894,52),0)</f>
        <v/>
      </c>
      <c r="BC894">
        <f>IFERROR(INDEX(PP_Grid[#Data],$DD894,53),0)</f>
        <v/>
      </c>
      <c r="BD894">
        <f>IFERROR(INDEX(PP_Grid[#Data],$DD894,54),0)</f>
        <v/>
      </c>
      <c r="BE894">
        <f>IFERROR(INDEX(PP_Grid[#Data],$DD894,55),0)</f>
        <v/>
      </c>
      <c r="BF894">
        <f>IFERROR(INDEX(PP_Grid[#Data],$DD894,56),0)</f>
        <v/>
      </c>
      <c r="BG894">
        <f>IFERROR(INDEX(PP_Grid[#Data],$DD894,57),0)</f>
        <v/>
      </c>
      <c r="BH894">
        <f>IFERROR(INDEX(PP_Grid[#Data],$DD894,58),0)</f>
        <v/>
      </c>
      <c r="BI894">
        <f>IFERROR(INDEX(PP_Grid[#Data],$DD894,59),0)</f>
        <v/>
      </c>
      <c r="BJ894">
        <f>IFERROR(INDEX(PP_Grid[#Data],$DD894,60),0)</f>
        <v/>
      </c>
      <c r="BK894">
        <f>IFERROR(INDEX(PP_Grid[#Data],$DD894,61),0)</f>
        <v/>
      </c>
      <c r="BL894">
        <f>IFERROR(INDEX(PP_Grid[#Data],$DD894,62),0)</f>
        <v/>
      </c>
      <c r="BM894">
        <f>IFERROR(INDEX(PP_Grid[#Data],$DD894,63),0)</f>
        <v/>
      </c>
      <c r="BN894">
        <f>IFERROR(INDEX(PP_Grid[#Data],$DD894,64),0)</f>
        <v/>
      </c>
      <c r="BO894">
        <f>IFERROR(INDEX(PP_Grid[#Data],$DD894,65),0)</f>
        <v/>
      </c>
      <c r="BP894">
        <f>IFERROR(INDEX(PP_Grid[#Data],$DD894,66),0)</f>
        <v/>
      </c>
      <c r="BQ894">
        <f>IFERROR(INDEX(PP_Grid[#Data],$DD894,67),0)</f>
        <v/>
      </c>
      <c r="BR894">
        <f>IFERROR(INDEX(PP_Grid[#Data],$DD894,68),0)</f>
        <v/>
      </c>
      <c r="BS894">
        <f>IFERROR(INDEX(PP_Grid[#Data],$DD894,69),0)</f>
        <v/>
      </c>
      <c r="BT894">
        <f>IFERROR(INDEX(PP_Grid[#Data],$DD894,70),0)</f>
        <v/>
      </c>
      <c r="BU894">
        <f>IFERROR(INDEX(PP_Grid[#Data],$DD894,71),0)</f>
        <v/>
      </c>
      <c r="BV894">
        <f>IFERROR(INDEX(PP_Grid[#Data],$DD894,72),0)</f>
        <v/>
      </c>
      <c r="BW894">
        <f>IFERROR(INDEX(PP_Grid[#Data],$DD894,73),0)</f>
        <v/>
      </c>
      <c r="BX894">
        <f>IFERROR(INDEX(PP_Grid[#Data],$DD894,74),0)</f>
        <v/>
      </c>
      <c r="BY894">
        <f>IFERROR(INDEX(PP_Grid[#Data],$DD894,75),0)</f>
        <v/>
      </c>
      <c r="BZ894">
        <f>IFERROR(INDEX(PP_Grid[#Data],$DD894,76),0)</f>
        <v/>
      </c>
      <c r="CA894">
        <f>IFERROR(INDEX(PP_Grid[#Data],$DD894,77),0)</f>
        <v/>
      </c>
      <c r="CB894">
        <f>IFERROR(INDEX(PP_Grid[#Data],$DD894,78),0)</f>
        <v/>
      </c>
      <c r="CC894">
        <f>IFERROR(INDEX(PP_Grid[#Data],$DD894,79),0)</f>
        <v/>
      </c>
      <c r="CD894">
        <f>IFERROR(INDEX(PP_Grid[#Data],$DD894,80),0)</f>
        <v/>
      </c>
      <c r="CE894">
        <f>IFERROR(INDEX(PP_Grid[#Data],$DD894,81),0)</f>
        <v/>
      </c>
      <c r="CF894">
        <f>IFERROR(INDEX(PP_Grid[#Data],$DD894,82),0)</f>
        <v/>
      </c>
      <c r="CG894">
        <f>IFERROR(INDEX(PP_Grid[#Data],$DD894,83),0)</f>
        <v/>
      </c>
      <c r="CH894">
        <f>IFERROR(INDEX(PP_Grid[#Data],$DD894,84),0)</f>
        <v/>
      </c>
      <c r="CI894">
        <f>IFERROR(INDEX(PP_Grid[#Data],$DD894,85),0)</f>
        <v/>
      </c>
      <c r="CJ894">
        <f>IFERROR(INDEX(PP_Grid[#Data],$DD894,86),0)</f>
        <v/>
      </c>
      <c r="CK894">
        <f>IFERROR(INDEX(PP_Grid[#Data],$DD894,87),0)</f>
        <v/>
      </c>
      <c r="CL894">
        <f>IFERROR(INDEX(PP_Grid[#Data],$DD894,88),0)</f>
        <v/>
      </c>
      <c r="CM894">
        <f>IFERROR(INDEX(PP_Grid[#Data],$DD894,89),0)</f>
        <v/>
      </c>
      <c r="CN894">
        <f>IFERROR(INDEX(PP_Grid[#Data],$DD894,90),0)</f>
        <v/>
      </c>
      <c r="CO894">
        <f>IFERROR(INDEX(PP_Grid[#Data],$DD894,91),0)</f>
        <v/>
      </c>
      <c r="CP894">
        <f>IFERROR(INDEX(PP_Grid[#Data],$DD894,92),0)</f>
        <v/>
      </c>
      <c r="CQ894">
        <f>IFERROR(INDEX(PP_Grid[#Data],$DD894,93),0)</f>
        <v/>
      </c>
      <c r="CR894">
        <f>IFERROR(INDEX(PP_Grid[#Data],$DD894,94),0)</f>
        <v/>
      </c>
      <c r="CS894">
        <f>IFERROR(INDEX(PP_Grid[#Data],$DD894,95),0)</f>
        <v/>
      </c>
      <c r="CT894">
        <f>IFERROR(INDEX(PP_Grid[#Data],$DD894,96),0)</f>
        <v/>
      </c>
      <c r="CU894">
        <f>IFERROR(INDEX(PP_Grid[#Data],$DD894,97),0)</f>
        <v/>
      </c>
      <c r="CV894">
        <f>IFERROR(INDEX(PP_Grid[#Data],$DD894,98),0)</f>
        <v/>
      </c>
      <c r="CW894">
        <f>IFERROR(INDEX(PP_Grid[#Data],$DD894,99),0)</f>
        <v/>
      </c>
      <c r="CX894">
        <f>IFERROR(INDEX(PP_Grid[#Data],$DD894,100),0)</f>
        <v/>
      </c>
      <c r="CY894">
        <f>IFERROR(INDEX(PP_Grid[#Data],$DD894,101),0)</f>
        <v/>
      </c>
      <c r="CZ894">
        <f>IFERROR(INDEX(PP_Grid[#Data],$DD894,102),0)</f>
        <v/>
      </c>
      <c r="DA894">
        <f>IFERROR(INDEX(PP_Grid[#Data],$DD894,103),0)</f>
        <v/>
      </c>
      <c r="DB894">
        <f>IFERROR(INDEX(PP_Grid[#Data],$DD894,104),0)</f>
        <v/>
      </c>
      <c r="DC894">
        <f>IFERROR(INDEX(PP_Grid[#Data],$DD894,105),0)</f>
        <v/>
      </c>
      <c r="DD894" s="12">
        <f>IFERROR(MATCH($B894,PP_Grid[Intermediate],0),99999)</f>
        <v/>
      </c>
    </row>
    <row r="895">
      <c r="B895" t="inlineStr">
        <is>
          <t>使用量(kg)</t>
        </is>
      </c>
      <c r="C895">
        <f>SUMIFS(M_BOM[RM_Qty_Per_Batch],M_BOM[Intermediate],$B894,M_BOM[Part Name],$A877)</f>
        <v/>
      </c>
      <c r="D895">
        <f>$C895*D894</f>
        <v/>
      </c>
      <c r="E895">
        <f>$C895*E894</f>
        <v/>
      </c>
      <c r="F895">
        <f>$C895*F894</f>
        <v/>
      </c>
      <c r="G895">
        <f>$C895*G894</f>
        <v/>
      </c>
      <c r="H895">
        <f>$C895*H894</f>
        <v/>
      </c>
      <c r="I895">
        <f>$C895*I894</f>
        <v/>
      </c>
      <c r="J895">
        <f>$C895*J894</f>
        <v/>
      </c>
      <c r="K895">
        <f>$C895*K894</f>
        <v/>
      </c>
      <c r="L895">
        <f>$C895*L894</f>
        <v/>
      </c>
      <c r="M895">
        <f>$C895*M894</f>
        <v/>
      </c>
      <c r="N895">
        <f>$C895*N894</f>
        <v/>
      </c>
      <c r="O895">
        <f>$C895*O894</f>
        <v/>
      </c>
      <c r="P895">
        <f>$C895*P894</f>
        <v/>
      </c>
      <c r="Q895">
        <f>$C895*Q894</f>
        <v/>
      </c>
      <c r="R895">
        <f>$C895*R894</f>
        <v/>
      </c>
      <c r="S895">
        <f>$C895*S894</f>
        <v/>
      </c>
      <c r="T895">
        <f>$C895*T894</f>
        <v/>
      </c>
      <c r="U895">
        <f>$C895*U894</f>
        <v/>
      </c>
      <c r="V895">
        <f>$C895*V894</f>
        <v/>
      </c>
      <c r="W895">
        <f>$C895*W894</f>
        <v/>
      </c>
      <c r="X895">
        <f>$C895*X894</f>
        <v/>
      </c>
      <c r="Y895">
        <f>$C895*Y894</f>
        <v/>
      </c>
      <c r="Z895">
        <f>$C895*Z894</f>
        <v/>
      </c>
      <c r="AA895">
        <f>$C895*AA894</f>
        <v/>
      </c>
      <c r="AB895">
        <f>$C895*AB894</f>
        <v/>
      </c>
      <c r="AC895">
        <f>$C895*AC894</f>
        <v/>
      </c>
      <c r="AD895">
        <f>$C895*AD894</f>
        <v/>
      </c>
      <c r="AE895">
        <f>$C895*AE894</f>
        <v/>
      </c>
      <c r="AF895">
        <f>$C895*AF894</f>
        <v/>
      </c>
      <c r="AG895">
        <f>$C895*AG894</f>
        <v/>
      </c>
      <c r="AH895">
        <f>$C895*AH894</f>
        <v/>
      </c>
      <c r="AI895">
        <f>$C895*AI894</f>
        <v/>
      </c>
      <c r="AJ895">
        <f>$C895*AJ894</f>
        <v/>
      </c>
      <c r="AK895">
        <f>$C895*AK894</f>
        <v/>
      </c>
      <c r="AL895">
        <f>$C895*AL894</f>
        <v/>
      </c>
      <c r="AM895">
        <f>$C895*AM894</f>
        <v/>
      </c>
      <c r="AN895">
        <f>$C895*AN894</f>
        <v/>
      </c>
      <c r="AO895">
        <f>$C895*AO894</f>
        <v/>
      </c>
      <c r="AP895">
        <f>$C895*AP894</f>
        <v/>
      </c>
      <c r="AQ895">
        <f>$C895*AQ894</f>
        <v/>
      </c>
      <c r="AR895">
        <f>$C895*AR894</f>
        <v/>
      </c>
      <c r="AS895">
        <f>$C895*AS894</f>
        <v/>
      </c>
      <c r="AT895">
        <f>$C895*AT894</f>
        <v/>
      </c>
      <c r="AU895">
        <f>$C895*AU894</f>
        <v/>
      </c>
      <c r="AV895">
        <f>$C895*AV894</f>
        <v/>
      </c>
      <c r="AW895">
        <f>$C895*AW894</f>
        <v/>
      </c>
      <c r="AX895">
        <f>$C895*AX894</f>
        <v/>
      </c>
      <c r="AY895">
        <f>$C895*AY894</f>
        <v/>
      </c>
      <c r="AZ895">
        <f>$C895*AZ894</f>
        <v/>
      </c>
      <c r="BA895">
        <f>$C895*BA894</f>
        <v/>
      </c>
      <c r="BB895">
        <f>$C895*BB894</f>
        <v/>
      </c>
      <c r="BC895">
        <f>$C895*BC894</f>
        <v/>
      </c>
      <c r="BD895">
        <f>$C895*BD894</f>
        <v/>
      </c>
      <c r="BE895">
        <f>$C895*BE894</f>
        <v/>
      </c>
      <c r="BF895">
        <f>$C895*BF894</f>
        <v/>
      </c>
      <c r="BG895">
        <f>$C895*BG894</f>
        <v/>
      </c>
      <c r="BH895">
        <f>$C895*BH894</f>
        <v/>
      </c>
      <c r="BI895">
        <f>$C895*BI894</f>
        <v/>
      </c>
      <c r="BJ895">
        <f>$C895*BJ894</f>
        <v/>
      </c>
      <c r="BK895">
        <f>$C895*BK894</f>
        <v/>
      </c>
      <c r="BL895">
        <f>$C895*BL894</f>
        <v/>
      </c>
      <c r="BM895">
        <f>$C895*BM894</f>
        <v/>
      </c>
      <c r="BN895">
        <f>$C895*BN894</f>
        <v/>
      </c>
      <c r="BO895">
        <f>$C895*BO894</f>
        <v/>
      </c>
      <c r="BP895">
        <f>$C895*BP894</f>
        <v/>
      </c>
      <c r="BQ895">
        <f>$C895*BQ894</f>
        <v/>
      </c>
      <c r="BR895">
        <f>$C895*BR894</f>
        <v/>
      </c>
      <c r="BS895">
        <f>$C895*BS894</f>
        <v/>
      </c>
      <c r="BT895">
        <f>$C895*BT894</f>
        <v/>
      </c>
      <c r="BU895">
        <f>$C895*BU894</f>
        <v/>
      </c>
      <c r="BV895">
        <f>$C895*BV894</f>
        <v/>
      </c>
      <c r="BW895">
        <f>$C895*BW894</f>
        <v/>
      </c>
      <c r="BX895">
        <f>$C895*BX894</f>
        <v/>
      </c>
      <c r="BY895">
        <f>$C895*BY894</f>
        <v/>
      </c>
      <c r="BZ895">
        <f>$C895*BZ894</f>
        <v/>
      </c>
      <c r="CA895">
        <f>$C895*CA894</f>
        <v/>
      </c>
      <c r="CB895">
        <f>$C895*CB894</f>
        <v/>
      </c>
      <c r="CC895">
        <f>$C895*CC894</f>
        <v/>
      </c>
      <c r="CD895">
        <f>$C895*CD894</f>
        <v/>
      </c>
      <c r="CE895">
        <f>$C895*CE894</f>
        <v/>
      </c>
      <c r="CF895">
        <f>$C895*CF894</f>
        <v/>
      </c>
      <c r="CG895">
        <f>$C895*CG894</f>
        <v/>
      </c>
      <c r="CH895">
        <f>$C895*CH894</f>
        <v/>
      </c>
      <c r="CI895">
        <f>$C895*CI894</f>
        <v/>
      </c>
      <c r="CJ895">
        <f>$C895*CJ894</f>
        <v/>
      </c>
      <c r="CK895">
        <f>$C895*CK894</f>
        <v/>
      </c>
      <c r="CL895">
        <f>$C895*CL894</f>
        <v/>
      </c>
      <c r="CM895">
        <f>$C895*CM894</f>
        <v/>
      </c>
      <c r="CN895">
        <f>$C895*CN894</f>
        <v/>
      </c>
      <c r="CO895">
        <f>$C895*CO894</f>
        <v/>
      </c>
      <c r="CP895">
        <f>$C895*CP894</f>
        <v/>
      </c>
      <c r="CQ895">
        <f>$C895*CQ894</f>
        <v/>
      </c>
      <c r="CR895">
        <f>$C895*CR894</f>
        <v/>
      </c>
      <c r="CS895">
        <f>$C895*CS894</f>
        <v/>
      </c>
      <c r="CT895">
        <f>$C895*CT894</f>
        <v/>
      </c>
      <c r="CU895">
        <f>$C895*CU894</f>
        <v/>
      </c>
      <c r="CV895">
        <f>$C895*CV894</f>
        <v/>
      </c>
      <c r="CW895">
        <f>$C895*CW894</f>
        <v/>
      </c>
      <c r="CX895">
        <f>$C895*CX894</f>
        <v/>
      </c>
      <c r="CY895">
        <f>$C895*CY894</f>
        <v/>
      </c>
      <c r="CZ895">
        <f>$C895*CZ894</f>
        <v/>
      </c>
      <c r="DA895">
        <f>$C895*DA894</f>
        <v/>
      </c>
      <c r="DB895">
        <f>$C895*DB894</f>
        <v/>
      </c>
      <c r="DC895">
        <f>$C895*DC894</f>
        <v/>
      </c>
    </row>
    <row r="896">
      <c r="B896" t="inlineStr">
        <is>
          <t>TPP-923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12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SUMIFS(M_BOM[RM_Qty_Per_Batch],M_BOM[Intermediate],$B896,M_BOM[Part Name],$A877)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TSP-620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12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SUMIFS(M_BOM[RM_Qty_Per_Batch],M_BOM[Intermediate],$B898,M_BOM[Part Name],$A877)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t="inlineStr">
        <is>
          <t>TSP-623</t>
        </is>
      </c>
      <c r="C900" t="inlineStr">
        <is>
          <t>No. of batches</t>
        </is>
      </c>
      <c r="D900">
        <f>IFERROR(INDEX(PP_Grid[#Data],$DD900,2),0)</f>
        <v/>
      </c>
      <c r="E900">
        <f>IFERROR(INDEX(PP_Grid[#Data],$DD900,3),0)</f>
        <v/>
      </c>
      <c r="F900">
        <f>IFERROR(INDEX(PP_Grid[#Data],$DD900,4),0)</f>
        <v/>
      </c>
      <c r="G900">
        <f>IFERROR(INDEX(PP_Grid[#Data],$DD900,5),0)</f>
        <v/>
      </c>
      <c r="H900">
        <f>IFERROR(INDEX(PP_Grid[#Data],$DD900,6),0)</f>
        <v/>
      </c>
      <c r="I900">
        <f>IFERROR(INDEX(PP_Grid[#Data],$DD900,7),0)</f>
        <v/>
      </c>
      <c r="J900">
        <f>IFERROR(INDEX(PP_Grid[#Data],$DD900,8),0)</f>
        <v/>
      </c>
      <c r="K900">
        <f>IFERROR(INDEX(PP_Grid[#Data],$DD900,9),0)</f>
        <v/>
      </c>
      <c r="L900">
        <f>IFERROR(INDEX(PP_Grid[#Data],$DD900,10),0)</f>
        <v/>
      </c>
      <c r="M900">
        <f>IFERROR(INDEX(PP_Grid[#Data],$DD900,11),0)</f>
        <v/>
      </c>
      <c r="N900">
        <f>IFERROR(INDEX(PP_Grid[#Data],$DD900,12),0)</f>
        <v/>
      </c>
      <c r="O900">
        <f>IFERROR(INDEX(PP_Grid[#Data],$DD900,13),0)</f>
        <v/>
      </c>
      <c r="P900">
        <f>IFERROR(INDEX(PP_Grid[#Data],$DD900,14),0)</f>
        <v/>
      </c>
      <c r="Q900">
        <f>IFERROR(INDEX(PP_Grid[#Data],$DD900,15),0)</f>
        <v/>
      </c>
      <c r="R900">
        <f>IFERROR(INDEX(PP_Grid[#Data],$DD900,16),0)</f>
        <v/>
      </c>
      <c r="S900">
        <f>IFERROR(INDEX(PP_Grid[#Data],$DD900,17),0)</f>
        <v/>
      </c>
      <c r="T900">
        <f>IFERROR(INDEX(PP_Grid[#Data],$DD900,18),0)</f>
        <v/>
      </c>
      <c r="U900">
        <f>IFERROR(INDEX(PP_Grid[#Data],$DD900,19),0)</f>
        <v/>
      </c>
      <c r="V900">
        <f>IFERROR(INDEX(PP_Grid[#Data],$DD900,20),0)</f>
        <v/>
      </c>
      <c r="W900">
        <f>IFERROR(INDEX(PP_Grid[#Data],$DD900,21),0)</f>
        <v/>
      </c>
      <c r="X900">
        <f>IFERROR(INDEX(PP_Grid[#Data],$DD900,22),0)</f>
        <v/>
      </c>
      <c r="Y900">
        <f>IFERROR(INDEX(PP_Grid[#Data],$DD900,23),0)</f>
        <v/>
      </c>
      <c r="Z900">
        <f>IFERROR(INDEX(PP_Grid[#Data],$DD900,24),0)</f>
        <v/>
      </c>
      <c r="AA900">
        <f>IFERROR(INDEX(PP_Grid[#Data],$DD900,25),0)</f>
        <v/>
      </c>
      <c r="AB900">
        <f>IFERROR(INDEX(PP_Grid[#Data],$DD900,26),0)</f>
        <v/>
      </c>
      <c r="AC900">
        <f>IFERROR(INDEX(PP_Grid[#Data],$DD900,27),0)</f>
        <v/>
      </c>
      <c r="AD900">
        <f>IFERROR(INDEX(PP_Grid[#Data],$DD900,28),0)</f>
        <v/>
      </c>
      <c r="AE900">
        <f>IFERROR(INDEX(PP_Grid[#Data],$DD900,29),0)</f>
        <v/>
      </c>
      <c r="AF900">
        <f>IFERROR(INDEX(PP_Grid[#Data],$DD900,30),0)</f>
        <v/>
      </c>
      <c r="AG900">
        <f>IFERROR(INDEX(PP_Grid[#Data],$DD900,31),0)</f>
        <v/>
      </c>
      <c r="AH900">
        <f>IFERROR(INDEX(PP_Grid[#Data],$DD900,32),0)</f>
        <v/>
      </c>
      <c r="AI900">
        <f>IFERROR(INDEX(PP_Grid[#Data],$DD900,33),0)</f>
        <v/>
      </c>
      <c r="AJ900">
        <f>IFERROR(INDEX(PP_Grid[#Data],$DD900,34),0)</f>
        <v/>
      </c>
      <c r="AK900">
        <f>IFERROR(INDEX(PP_Grid[#Data],$DD900,35),0)</f>
        <v/>
      </c>
      <c r="AL900">
        <f>IFERROR(INDEX(PP_Grid[#Data],$DD900,36),0)</f>
        <v/>
      </c>
      <c r="AM900">
        <f>IFERROR(INDEX(PP_Grid[#Data],$DD900,37),0)</f>
        <v/>
      </c>
      <c r="AN900">
        <f>IFERROR(INDEX(PP_Grid[#Data],$DD900,38),0)</f>
        <v/>
      </c>
      <c r="AO900">
        <f>IFERROR(INDEX(PP_Grid[#Data],$DD900,39),0)</f>
        <v/>
      </c>
      <c r="AP900">
        <f>IFERROR(INDEX(PP_Grid[#Data],$DD900,40),0)</f>
        <v/>
      </c>
      <c r="AQ900">
        <f>IFERROR(INDEX(PP_Grid[#Data],$DD900,41),0)</f>
        <v/>
      </c>
      <c r="AR900">
        <f>IFERROR(INDEX(PP_Grid[#Data],$DD900,42),0)</f>
        <v/>
      </c>
      <c r="AS900">
        <f>IFERROR(INDEX(PP_Grid[#Data],$DD900,43),0)</f>
        <v/>
      </c>
      <c r="AT900">
        <f>IFERROR(INDEX(PP_Grid[#Data],$DD900,44),0)</f>
        <v/>
      </c>
      <c r="AU900">
        <f>IFERROR(INDEX(PP_Grid[#Data],$DD900,45),0)</f>
        <v/>
      </c>
      <c r="AV900">
        <f>IFERROR(INDEX(PP_Grid[#Data],$DD900,46),0)</f>
        <v/>
      </c>
      <c r="AW900">
        <f>IFERROR(INDEX(PP_Grid[#Data],$DD900,47),0)</f>
        <v/>
      </c>
      <c r="AX900">
        <f>IFERROR(INDEX(PP_Grid[#Data],$DD900,48),0)</f>
        <v/>
      </c>
      <c r="AY900">
        <f>IFERROR(INDEX(PP_Grid[#Data],$DD900,49),0)</f>
        <v/>
      </c>
      <c r="AZ900">
        <f>IFERROR(INDEX(PP_Grid[#Data],$DD900,50),0)</f>
        <v/>
      </c>
      <c r="BA900">
        <f>IFERROR(INDEX(PP_Grid[#Data],$DD900,51),0)</f>
        <v/>
      </c>
      <c r="BB900">
        <f>IFERROR(INDEX(PP_Grid[#Data],$DD900,52),0)</f>
        <v/>
      </c>
      <c r="BC900">
        <f>IFERROR(INDEX(PP_Grid[#Data],$DD900,53),0)</f>
        <v/>
      </c>
      <c r="BD900">
        <f>IFERROR(INDEX(PP_Grid[#Data],$DD900,54),0)</f>
        <v/>
      </c>
      <c r="BE900">
        <f>IFERROR(INDEX(PP_Grid[#Data],$DD900,55),0)</f>
        <v/>
      </c>
      <c r="BF900">
        <f>IFERROR(INDEX(PP_Grid[#Data],$DD900,56),0)</f>
        <v/>
      </c>
      <c r="BG900">
        <f>IFERROR(INDEX(PP_Grid[#Data],$DD900,57),0)</f>
        <v/>
      </c>
      <c r="BH900">
        <f>IFERROR(INDEX(PP_Grid[#Data],$DD900,58),0)</f>
        <v/>
      </c>
      <c r="BI900">
        <f>IFERROR(INDEX(PP_Grid[#Data],$DD900,59),0)</f>
        <v/>
      </c>
      <c r="BJ900">
        <f>IFERROR(INDEX(PP_Grid[#Data],$DD900,60),0)</f>
        <v/>
      </c>
      <c r="BK900">
        <f>IFERROR(INDEX(PP_Grid[#Data],$DD900,61),0)</f>
        <v/>
      </c>
      <c r="BL900">
        <f>IFERROR(INDEX(PP_Grid[#Data],$DD900,62),0)</f>
        <v/>
      </c>
      <c r="BM900">
        <f>IFERROR(INDEX(PP_Grid[#Data],$DD900,63),0)</f>
        <v/>
      </c>
      <c r="BN900">
        <f>IFERROR(INDEX(PP_Grid[#Data],$DD900,64),0)</f>
        <v/>
      </c>
      <c r="BO900">
        <f>IFERROR(INDEX(PP_Grid[#Data],$DD900,65),0)</f>
        <v/>
      </c>
      <c r="BP900">
        <f>IFERROR(INDEX(PP_Grid[#Data],$DD900,66),0)</f>
        <v/>
      </c>
      <c r="BQ900">
        <f>IFERROR(INDEX(PP_Grid[#Data],$DD900,67),0)</f>
        <v/>
      </c>
      <c r="BR900">
        <f>IFERROR(INDEX(PP_Grid[#Data],$DD900,68),0)</f>
        <v/>
      </c>
      <c r="BS900">
        <f>IFERROR(INDEX(PP_Grid[#Data],$DD900,69),0)</f>
        <v/>
      </c>
      <c r="BT900">
        <f>IFERROR(INDEX(PP_Grid[#Data],$DD900,70),0)</f>
        <v/>
      </c>
      <c r="BU900">
        <f>IFERROR(INDEX(PP_Grid[#Data],$DD900,71),0)</f>
        <v/>
      </c>
      <c r="BV900">
        <f>IFERROR(INDEX(PP_Grid[#Data],$DD900,72),0)</f>
        <v/>
      </c>
      <c r="BW900">
        <f>IFERROR(INDEX(PP_Grid[#Data],$DD900,73),0)</f>
        <v/>
      </c>
      <c r="BX900">
        <f>IFERROR(INDEX(PP_Grid[#Data],$DD900,74),0)</f>
        <v/>
      </c>
      <c r="BY900">
        <f>IFERROR(INDEX(PP_Grid[#Data],$DD900,75),0)</f>
        <v/>
      </c>
      <c r="BZ900">
        <f>IFERROR(INDEX(PP_Grid[#Data],$DD900,76),0)</f>
        <v/>
      </c>
      <c r="CA900">
        <f>IFERROR(INDEX(PP_Grid[#Data],$DD900,77),0)</f>
        <v/>
      </c>
      <c r="CB900">
        <f>IFERROR(INDEX(PP_Grid[#Data],$DD900,78),0)</f>
        <v/>
      </c>
      <c r="CC900">
        <f>IFERROR(INDEX(PP_Grid[#Data],$DD900,79),0)</f>
        <v/>
      </c>
      <c r="CD900">
        <f>IFERROR(INDEX(PP_Grid[#Data],$DD900,80),0)</f>
        <v/>
      </c>
      <c r="CE900">
        <f>IFERROR(INDEX(PP_Grid[#Data],$DD900,81),0)</f>
        <v/>
      </c>
      <c r="CF900">
        <f>IFERROR(INDEX(PP_Grid[#Data],$DD900,82),0)</f>
        <v/>
      </c>
      <c r="CG900">
        <f>IFERROR(INDEX(PP_Grid[#Data],$DD900,83),0)</f>
        <v/>
      </c>
      <c r="CH900">
        <f>IFERROR(INDEX(PP_Grid[#Data],$DD900,84),0)</f>
        <v/>
      </c>
      <c r="CI900">
        <f>IFERROR(INDEX(PP_Grid[#Data],$DD900,85),0)</f>
        <v/>
      </c>
      <c r="CJ900">
        <f>IFERROR(INDEX(PP_Grid[#Data],$DD900,86),0)</f>
        <v/>
      </c>
      <c r="CK900">
        <f>IFERROR(INDEX(PP_Grid[#Data],$DD900,87),0)</f>
        <v/>
      </c>
      <c r="CL900">
        <f>IFERROR(INDEX(PP_Grid[#Data],$DD900,88),0)</f>
        <v/>
      </c>
      <c r="CM900">
        <f>IFERROR(INDEX(PP_Grid[#Data],$DD900,89),0)</f>
        <v/>
      </c>
      <c r="CN900">
        <f>IFERROR(INDEX(PP_Grid[#Data],$DD900,90),0)</f>
        <v/>
      </c>
      <c r="CO900">
        <f>IFERROR(INDEX(PP_Grid[#Data],$DD900,91),0)</f>
        <v/>
      </c>
      <c r="CP900">
        <f>IFERROR(INDEX(PP_Grid[#Data],$DD900,92),0)</f>
        <v/>
      </c>
      <c r="CQ900">
        <f>IFERROR(INDEX(PP_Grid[#Data],$DD900,93),0)</f>
        <v/>
      </c>
      <c r="CR900">
        <f>IFERROR(INDEX(PP_Grid[#Data],$DD900,94),0)</f>
        <v/>
      </c>
      <c r="CS900">
        <f>IFERROR(INDEX(PP_Grid[#Data],$DD900,95),0)</f>
        <v/>
      </c>
      <c r="CT900">
        <f>IFERROR(INDEX(PP_Grid[#Data],$DD900,96),0)</f>
        <v/>
      </c>
      <c r="CU900">
        <f>IFERROR(INDEX(PP_Grid[#Data],$DD900,97),0)</f>
        <v/>
      </c>
      <c r="CV900">
        <f>IFERROR(INDEX(PP_Grid[#Data],$DD900,98),0)</f>
        <v/>
      </c>
      <c r="CW900">
        <f>IFERROR(INDEX(PP_Grid[#Data],$DD900,99),0)</f>
        <v/>
      </c>
      <c r="CX900">
        <f>IFERROR(INDEX(PP_Grid[#Data],$DD900,100),0)</f>
        <v/>
      </c>
      <c r="CY900">
        <f>IFERROR(INDEX(PP_Grid[#Data],$DD900,101),0)</f>
        <v/>
      </c>
      <c r="CZ900">
        <f>IFERROR(INDEX(PP_Grid[#Data],$DD900,102),0)</f>
        <v/>
      </c>
      <c r="DA900">
        <f>IFERROR(INDEX(PP_Grid[#Data],$DD900,103),0)</f>
        <v/>
      </c>
      <c r="DB900">
        <f>IFERROR(INDEX(PP_Grid[#Data],$DD900,104),0)</f>
        <v/>
      </c>
      <c r="DC900">
        <f>IFERROR(INDEX(PP_Grid[#Data],$DD900,105),0)</f>
        <v/>
      </c>
      <c r="DD900" s="12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SUMIFS(M_BOM[RM_Qty_Per_Batch],M_BOM[Intermediate],$B900,M_BOM[Part Name],$A877)</f>
        <v/>
      </c>
      <c r="D901">
        <f>$C901*D900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</row>
    <row r="902">
      <c r="B902" t="inlineStr">
        <is>
          <t>TSP-927</t>
        </is>
      </c>
      <c r="C902" t="inlineStr">
        <is>
          <t>No. of batches</t>
        </is>
      </c>
      <c r="D902">
        <f>IFERROR(INDEX(PP_Grid[#Data],$DD902,2),0)</f>
        <v/>
      </c>
      <c r="E902">
        <f>IFERROR(INDEX(PP_Grid[#Data],$DD902,3),0)</f>
        <v/>
      </c>
      <c r="F902">
        <f>IFERROR(INDEX(PP_Grid[#Data],$DD902,4),0)</f>
        <v/>
      </c>
      <c r="G902">
        <f>IFERROR(INDEX(PP_Grid[#Data],$DD902,5),0)</f>
        <v/>
      </c>
      <c r="H902">
        <f>IFERROR(INDEX(PP_Grid[#Data],$DD902,6),0)</f>
        <v/>
      </c>
      <c r="I902">
        <f>IFERROR(INDEX(PP_Grid[#Data],$DD902,7),0)</f>
        <v/>
      </c>
      <c r="J902">
        <f>IFERROR(INDEX(PP_Grid[#Data],$DD902,8),0)</f>
        <v/>
      </c>
      <c r="K902">
        <f>IFERROR(INDEX(PP_Grid[#Data],$DD902,9),0)</f>
        <v/>
      </c>
      <c r="L902">
        <f>IFERROR(INDEX(PP_Grid[#Data],$DD902,10),0)</f>
        <v/>
      </c>
      <c r="M902">
        <f>IFERROR(INDEX(PP_Grid[#Data],$DD902,11),0)</f>
        <v/>
      </c>
      <c r="N902">
        <f>IFERROR(INDEX(PP_Grid[#Data],$DD902,12),0)</f>
        <v/>
      </c>
      <c r="O902">
        <f>IFERROR(INDEX(PP_Grid[#Data],$DD902,13),0)</f>
        <v/>
      </c>
      <c r="P902">
        <f>IFERROR(INDEX(PP_Grid[#Data],$DD902,14),0)</f>
        <v/>
      </c>
      <c r="Q902">
        <f>IFERROR(INDEX(PP_Grid[#Data],$DD902,15),0)</f>
        <v/>
      </c>
      <c r="R902">
        <f>IFERROR(INDEX(PP_Grid[#Data],$DD902,16),0)</f>
        <v/>
      </c>
      <c r="S902">
        <f>IFERROR(INDEX(PP_Grid[#Data],$DD902,17),0)</f>
        <v/>
      </c>
      <c r="T902">
        <f>IFERROR(INDEX(PP_Grid[#Data],$DD902,18),0)</f>
        <v/>
      </c>
      <c r="U902">
        <f>IFERROR(INDEX(PP_Grid[#Data],$DD902,19),0)</f>
        <v/>
      </c>
      <c r="V902">
        <f>IFERROR(INDEX(PP_Grid[#Data],$DD902,20),0)</f>
        <v/>
      </c>
      <c r="W902">
        <f>IFERROR(INDEX(PP_Grid[#Data],$DD902,21),0)</f>
        <v/>
      </c>
      <c r="X902">
        <f>IFERROR(INDEX(PP_Grid[#Data],$DD902,22),0)</f>
        <v/>
      </c>
      <c r="Y902">
        <f>IFERROR(INDEX(PP_Grid[#Data],$DD902,23),0)</f>
        <v/>
      </c>
      <c r="Z902">
        <f>IFERROR(INDEX(PP_Grid[#Data],$DD902,24),0)</f>
        <v/>
      </c>
      <c r="AA902">
        <f>IFERROR(INDEX(PP_Grid[#Data],$DD902,25),0)</f>
        <v/>
      </c>
      <c r="AB902">
        <f>IFERROR(INDEX(PP_Grid[#Data],$DD902,26),0)</f>
        <v/>
      </c>
      <c r="AC902">
        <f>IFERROR(INDEX(PP_Grid[#Data],$DD902,27),0)</f>
        <v/>
      </c>
      <c r="AD902">
        <f>IFERROR(INDEX(PP_Grid[#Data],$DD902,28),0)</f>
        <v/>
      </c>
      <c r="AE902">
        <f>IFERROR(INDEX(PP_Grid[#Data],$DD902,29),0)</f>
        <v/>
      </c>
      <c r="AF902">
        <f>IFERROR(INDEX(PP_Grid[#Data],$DD902,30),0)</f>
        <v/>
      </c>
      <c r="AG902">
        <f>IFERROR(INDEX(PP_Grid[#Data],$DD902,31),0)</f>
        <v/>
      </c>
      <c r="AH902">
        <f>IFERROR(INDEX(PP_Grid[#Data],$DD902,32),0)</f>
        <v/>
      </c>
      <c r="AI902">
        <f>IFERROR(INDEX(PP_Grid[#Data],$DD902,33),0)</f>
        <v/>
      </c>
      <c r="AJ902">
        <f>IFERROR(INDEX(PP_Grid[#Data],$DD902,34),0)</f>
        <v/>
      </c>
      <c r="AK902">
        <f>IFERROR(INDEX(PP_Grid[#Data],$DD902,35),0)</f>
        <v/>
      </c>
      <c r="AL902">
        <f>IFERROR(INDEX(PP_Grid[#Data],$DD902,36),0)</f>
        <v/>
      </c>
      <c r="AM902">
        <f>IFERROR(INDEX(PP_Grid[#Data],$DD902,37),0)</f>
        <v/>
      </c>
      <c r="AN902">
        <f>IFERROR(INDEX(PP_Grid[#Data],$DD902,38),0)</f>
        <v/>
      </c>
      <c r="AO902">
        <f>IFERROR(INDEX(PP_Grid[#Data],$DD902,39),0)</f>
        <v/>
      </c>
      <c r="AP902">
        <f>IFERROR(INDEX(PP_Grid[#Data],$DD902,40),0)</f>
        <v/>
      </c>
      <c r="AQ902">
        <f>IFERROR(INDEX(PP_Grid[#Data],$DD902,41),0)</f>
        <v/>
      </c>
      <c r="AR902">
        <f>IFERROR(INDEX(PP_Grid[#Data],$DD902,42),0)</f>
        <v/>
      </c>
      <c r="AS902">
        <f>IFERROR(INDEX(PP_Grid[#Data],$DD902,43),0)</f>
        <v/>
      </c>
      <c r="AT902">
        <f>IFERROR(INDEX(PP_Grid[#Data],$DD902,44),0)</f>
        <v/>
      </c>
      <c r="AU902">
        <f>IFERROR(INDEX(PP_Grid[#Data],$DD902,45),0)</f>
        <v/>
      </c>
      <c r="AV902">
        <f>IFERROR(INDEX(PP_Grid[#Data],$DD902,46),0)</f>
        <v/>
      </c>
      <c r="AW902">
        <f>IFERROR(INDEX(PP_Grid[#Data],$DD902,47),0)</f>
        <v/>
      </c>
      <c r="AX902">
        <f>IFERROR(INDEX(PP_Grid[#Data],$DD902,48),0)</f>
        <v/>
      </c>
      <c r="AY902">
        <f>IFERROR(INDEX(PP_Grid[#Data],$DD902,49),0)</f>
        <v/>
      </c>
      <c r="AZ902">
        <f>IFERROR(INDEX(PP_Grid[#Data],$DD902,50),0)</f>
        <v/>
      </c>
      <c r="BA902">
        <f>IFERROR(INDEX(PP_Grid[#Data],$DD902,51),0)</f>
        <v/>
      </c>
      <c r="BB902">
        <f>IFERROR(INDEX(PP_Grid[#Data],$DD902,52),0)</f>
        <v/>
      </c>
      <c r="BC902">
        <f>IFERROR(INDEX(PP_Grid[#Data],$DD902,53),0)</f>
        <v/>
      </c>
      <c r="BD902">
        <f>IFERROR(INDEX(PP_Grid[#Data],$DD902,54),0)</f>
        <v/>
      </c>
      <c r="BE902">
        <f>IFERROR(INDEX(PP_Grid[#Data],$DD902,55),0)</f>
        <v/>
      </c>
      <c r="BF902">
        <f>IFERROR(INDEX(PP_Grid[#Data],$DD902,56),0)</f>
        <v/>
      </c>
      <c r="BG902">
        <f>IFERROR(INDEX(PP_Grid[#Data],$DD902,57),0)</f>
        <v/>
      </c>
      <c r="BH902">
        <f>IFERROR(INDEX(PP_Grid[#Data],$DD902,58),0)</f>
        <v/>
      </c>
      <c r="BI902">
        <f>IFERROR(INDEX(PP_Grid[#Data],$DD902,59),0)</f>
        <v/>
      </c>
      <c r="BJ902">
        <f>IFERROR(INDEX(PP_Grid[#Data],$DD902,60),0)</f>
        <v/>
      </c>
      <c r="BK902">
        <f>IFERROR(INDEX(PP_Grid[#Data],$DD902,61),0)</f>
        <v/>
      </c>
      <c r="BL902">
        <f>IFERROR(INDEX(PP_Grid[#Data],$DD902,62),0)</f>
        <v/>
      </c>
      <c r="BM902">
        <f>IFERROR(INDEX(PP_Grid[#Data],$DD902,63),0)</f>
        <v/>
      </c>
      <c r="BN902">
        <f>IFERROR(INDEX(PP_Grid[#Data],$DD902,64),0)</f>
        <v/>
      </c>
      <c r="BO902">
        <f>IFERROR(INDEX(PP_Grid[#Data],$DD902,65),0)</f>
        <v/>
      </c>
      <c r="BP902">
        <f>IFERROR(INDEX(PP_Grid[#Data],$DD902,66),0)</f>
        <v/>
      </c>
      <c r="BQ902">
        <f>IFERROR(INDEX(PP_Grid[#Data],$DD902,67),0)</f>
        <v/>
      </c>
      <c r="BR902">
        <f>IFERROR(INDEX(PP_Grid[#Data],$DD902,68),0)</f>
        <v/>
      </c>
      <c r="BS902">
        <f>IFERROR(INDEX(PP_Grid[#Data],$DD902,69),0)</f>
        <v/>
      </c>
      <c r="BT902">
        <f>IFERROR(INDEX(PP_Grid[#Data],$DD902,70),0)</f>
        <v/>
      </c>
      <c r="BU902">
        <f>IFERROR(INDEX(PP_Grid[#Data],$DD902,71),0)</f>
        <v/>
      </c>
      <c r="BV902">
        <f>IFERROR(INDEX(PP_Grid[#Data],$DD902,72),0)</f>
        <v/>
      </c>
      <c r="BW902">
        <f>IFERROR(INDEX(PP_Grid[#Data],$DD902,73),0)</f>
        <v/>
      </c>
      <c r="BX902">
        <f>IFERROR(INDEX(PP_Grid[#Data],$DD902,74),0)</f>
        <v/>
      </c>
      <c r="BY902">
        <f>IFERROR(INDEX(PP_Grid[#Data],$DD902,75),0)</f>
        <v/>
      </c>
      <c r="BZ902">
        <f>IFERROR(INDEX(PP_Grid[#Data],$DD902,76),0)</f>
        <v/>
      </c>
      <c r="CA902">
        <f>IFERROR(INDEX(PP_Grid[#Data],$DD902,77),0)</f>
        <v/>
      </c>
      <c r="CB902">
        <f>IFERROR(INDEX(PP_Grid[#Data],$DD902,78),0)</f>
        <v/>
      </c>
      <c r="CC902">
        <f>IFERROR(INDEX(PP_Grid[#Data],$DD902,79),0)</f>
        <v/>
      </c>
      <c r="CD902">
        <f>IFERROR(INDEX(PP_Grid[#Data],$DD902,80),0)</f>
        <v/>
      </c>
      <c r="CE902">
        <f>IFERROR(INDEX(PP_Grid[#Data],$DD902,81),0)</f>
        <v/>
      </c>
      <c r="CF902">
        <f>IFERROR(INDEX(PP_Grid[#Data],$DD902,82),0)</f>
        <v/>
      </c>
      <c r="CG902">
        <f>IFERROR(INDEX(PP_Grid[#Data],$DD902,83),0)</f>
        <v/>
      </c>
      <c r="CH902">
        <f>IFERROR(INDEX(PP_Grid[#Data],$DD902,84),0)</f>
        <v/>
      </c>
      <c r="CI902">
        <f>IFERROR(INDEX(PP_Grid[#Data],$DD902,85),0)</f>
        <v/>
      </c>
      <c r="CJ902">
        <f>IFERROR(INDEX(PP_Grid[#Data],$DD902,86),0)</f>
        <v/>
      </c>
      <c r="CK902">
        <f>IFERROR(INDEX(PP_Grid[#Data],$DD902,87),0)</f>
        <v/>
      </c>
      <c r="CL902">
        <f>IFERROR(INDEX(PP_Grid[#Data],$DD902,88),0)</f>
        <v/>
      </c>
      <c r="CM902">
        <f>IFERROR(INDEX(PP_Grid[#Data],$DD902,89),0)</f>
        <v/>
      </c>
      <c r="CN902">
        <f>IFERROR(INDEX(PP_Grid[#Data],$DD902,90),0)</f>
        <v/>
      </c>
      <c r="CO902">
        <f>IFERROR(INDEX(PP_Grid[#Data],$DD902,91),0)</f>
        <v/>
      </c>
      <c r="CP902">
        <f>IFERROR(INDEX(PP_Grid[#Data],$DD902,92),0)</f>
        <v/>
      </c>
      <c r="CQ902">
        <f>IFERROR(INDEX(PP_Grid[#Data],$DD902,93),0)</f>
        <v/>
      </c>
      <c r="CR902">
        <f>IFERROR(INDEX(PP_Grid[#Data],$DD902,94),0)</f>
        <v/>
      </c>
      <c r="CS902">
        <f>IFERROR(INDEX(PP_Grid[#Data],$DD902,95),0)</f>
        <v/>
      </c>
      <c r="CT902">
        <f>IFERROR(INDEX(PP_Grid[#Data],$DD902,96),0)</f>
        <v/>
      </c>
      <c r="CU902">
        <f>IFERROR(INDEX(PP_Grid[#Data],$DD902,97),0)</f>
        <v/>
      </c>
      <c r="CV902">
        <f>IFERROR(INDEX(PP_Grid[#Data],$DD902,98),0)</f>
        <v/>
      </c>
      <c r="CW902">
        <f>IFERROR(INDEX(PP_Grid[#Data],$DD902,99),0)</f>
        <v/>
      </c>
      <c r="CX902">
        <f>IFERROR(INDEX(PP_Grid[#Data],$DD902,100),0)</f>
        <v/>
      </c>
      <c r="CY902">
        <f>IFERROR(INDEX(PP_Grid[#Data],$DD902,101),0)</f>
        <v/>
      </c>
      <c r="CZ902">
        <f>IFERROR(INDEX(PP_Grid[#Data],$DD902,102),0)</f>
        <v/>
      </c>
      <c r="DA902">
        <f>IFERROR(INDEX(PP_Grid[#Data],$DD902,103),0)</f>
        <v/>
      </c>
      <c r="DB902">
        <f>IFERROR(INDEX(PP_Grid[#Data],$DD902,104),0)</f>
        <v/>
      </c>
      <c r="DC902">
        <f>IFERROR(INDEX(PP_Grid[#Data],$DD902,105),0)</f>
        <v/>
      </c>
      <c r="DD902" s="12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SUMIFS(M_BOM[RM_Qty_Per_Batch],M_BOM[Intermediate],$B902,M_BOM[Part Name],$A877)</f>
        <v/>
      </c>
      <c r="D903">
        <f>$C903*D902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</row>
    <row r="904">
      <c r="B904" t="inlineStr">
        <is>
          <t>TSP-928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12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Name],$A877)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TSP-929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12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Name],$A877)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TSP-930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12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Name],$A877)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TSP-934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12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Name],$A877)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TSP-935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12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Name],$A877)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TSP-936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12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Name],$A877)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TSP-937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12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Name],$A877)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s="5" t="inlineStr">
        <is>
          <t>合計使用量(kg)/週</t>
        </is>
      </c>
      <c r="D918">
        <f>'Grid_Requirement'!B40</f>
        <v/>
      </c>
      <c r="E918">
        <f>'Grid_Requirement'!C40</f>
        <v/>
      </c>
      <c r="F918">
        <f>'Grid_Requirement'!D40</f>
        <v/>
      </c>
      <c r="G918">
        <f>'Grid_Requirement'!E40</f>
        <v/>
      </c>
      <c r="H918">
        <f>'Grid_Requirement'!F40</f>
        <v/>
      </c>
      <c r="I918">
        <f>'Grid_Requirement'!G40</f>
        <v/>
      </c>
      <c r="J918">
        <f>'Grid_Requirement'!H40</f>
        <v/>
      </c>
      <c r="K918">
        <f>'Grid_Requirement'!I40</f>
        <v/>
      </c>
      <c r="L918">
        <f>'Grid_Requirement'!J40</f>
        <v/>
      </c>
      <c r="M918">
        <f>'Grid_Requirement'!K40</f>
        <v/>
      </c>
      <c r="N918">
        <f>'Grid_Requirement'!L40</f>
        <v/>
      </c>
      <c r="O918">
        <f>'Grid_Requirement'!M40</f>
        <v/>
      </c>
      <c r="P918">
        <f>'Grid_Requirement'!N40</f>
        <v/>
      </c>
      <c r="Q918">
        <f>'Grid_Requirement'!O40</f>
        <v/>
      </c>
      <c r="R918">
        <f>'Grid_Requirement'!P40</f>
        <v/>
      </c>
      <c r="S918">
        <f>'Grid_Requirement'!Q40</f>
        <v/>
      </c>
      <c r="T918">
        <f>'Grid_Requirement'!R40</f>
        <v/>
      </c>
      <c r="U918">
        <f>'Grid_Requirement'!S40</f>
        <v/>
      </c>
      <c r="V918">
        <f>'Grid_Requirement'!T40</f>
        <v/>
      </c>
      <c r="W918">
        <f>'Grid_Requirement'!U40</f>
        <v/>
      </c>
      <c r="X918">
        <f>'Grid_Requirement'!V40</f>
        <v/>
      </c>
      <c r="Y918">
        <f>'Grid_Requirement'!W40</f>
        <v/>
      </c>
      <c r="Z918">
        <f>'Grid_Requirement'!X40</f>
        <v/>
      </c>
      <c r="AA918">
        <f>'Grid_Requirement'!Y40</f>
        <v/>
      </c>
      <c r="AB918">
        <f>'Grid_Requirement'!Z40</f>
        <v/>
      </c>
      <c r="AC918">
        <f>'Grid_Requirement'!AA40</f>
        <v/>
      </c>
      <c r="AD918">
        <f>'Grid_Requirement'!AB40</f>
        <v/>
      </c>
      <c r="AE918">
        <f>'Grid_Requirement'!AC40</f>
        <v/>
      </c>
      <c r="AF918">
        <f>'Grid_Requirement'!AD40</f>
        <v/>
      </c>
      <c r="AG918">
        <f>'Grid_Requirement'!AE40</f>
        <v/>
      </c>
      <c r="AH918">
        <f>'Grid_Requirement'!AF40</f>
        <v/>
      </c>
      <c r="AI918">
        <f>'Grid_Requirement'!AG40</f>
        <v/>
      </c>
      <c r="AJ918">
        <f>'Grid_Requirement'!AH40</f>
        <v/>
      </c>
      <c r="AK918">
        <f>'Grid_Requirement'!AI40</f>
        <v/>
      </c>
      <c r="AL918">
        <f>'Grid_Requirement'!AJ40</f>
        <v/>
      </c>
      <c r="AM918">
        <f>'Grid_Requirement'!AK40</f>
        <v/>
      </c>
      <c r="AN918">
        <f>'Grid_Requirement'!AL40</f>
        <v/>
      </c>
      <c r="AO918">
        <f>'Grid_Requirement'!AM40</f>
        <v/>
      </c>
      <c r="AP918">
        <f>'Grid_Requirement'!AN40</f>
        <v/>
      </c>
      <c r="AQ918">
        <f>'Grid_Requirement'!AO40</f>
        <v/>
      </c>
      <c r="AR918">
        <f>'Grid_Requirement'!AP40</f>
        <v/>
      </c>
      <c r="AS918">
        <f>'Grid_Requirement'!AQ40</f>
        <v/>
      </c>
      <c r="AT918">
        <f>'Grid_Requirement'!AR40</f>
        <v/>
      </c>
      <c r="AU918">
        <f>'Grid_Requirement'!AS40</f>
        <v/>
      </c>
      <c r="AV918">
        <f>'Grid_Requirement'!AT40</f>
        <v/>
      </c>
      <c r="AW918">
        <f>'Grid_Requirement'!AU40</f>
        <v/>
      </c>
      <c r="AX918">
        <f>'Grid_Requirement'!AV40</f>
        <v/>
      </c>
      <c r="AY918">
        <f>'Grid_Requirement'!AW40</f>
        <v/>
      </c>
      <c r="AZ918">
        <f>'Grid_Requirement'!AX40</f>
        <v/>
      </c>
      <c r="BA918">
        <f>'Grid_Requirement'!AY40</f>
        <v/>
      </c>
      <c r="BB918">
        <f>'Grid_Requirement'!AZ40</f>
        <v/>
      </c>
      <c r="BC918">
        <f>'Grid_Requirement'!BA40</f>
        <v/>
      </c>
      <c r="BD918">
        <f>'Grid_Requirement'!BB40</f>
        <v/>
      </c>
      <c r="BE918">
        <f>'Grid_Requirement'!BC40</f>
        <v/>
      </c>
      <c r="BF918">
        <f>'Grid_Requirement'!BD40</f>
        <v/>
      </c>
      <c r="BG918">
        <f>'Grid_Requirement'!BE40</f>
        <v/>
      </c>
      <c r="BH918">
        <f>'Grid_Requirement'!BF40</f>
        <v/>
      </c>
      <c r="BI918">
        <f>'Grid_Requirement'!BG40</f>
        <v/>
      </c>
      <c r="BJ918">
        <f>'Grid_Requirement'!BH40</f>
        <v/>
      </c>
      <c r="BK918">
        <f>'Grid_Requirement'!BI40</f>
        <v/>
      </c>
      <c r="BL918">
        <f>'Grid_Requirement'!BJ40</f>
        <v/>
      </c>
      <c r="BM918">
        <f>'Grid_Requirement'!BK40</f>
        <v/>
      </c>
      <c r="BN918">
        <f>'Grid_Requirement'!BL40</f>
        <v/>
      </c>
      <c r="BO918">
        <f>'Grid_Requirement'!BM40</f>
        <v/>
      </c>
      <c r="BP918">
        <f>'Grid_Requirement'!BN40</f>
        <v/>
      </c>
      <c r="BQ918">
        <f>'Grid_Requirement'!BO40</f>
        <v/>
      </c>
      <c r="BR918">
        <f>'Grid_Requirement'!BP40</f>
        <v/>
      </c>
      <c r="BS918">
        <f>'Grid_Requirement'!BQ40</f>
        <v/>
      </c>
      <c r="BT918">
        <f>'Grid_Requirement'!BR40</f>
        <v/>
      </c>
      <c r="BU918">
        <f>'Grid_Requirement'!BS40</f>
        <v/>
      </c>
      <c r="BV918">
        <f>'Grid_Requirement'!BT40</f>
        <v/>
      </c>
      <c r="BW918">
        <f>'Grid_Requirement'!BU40</f>
        <v/>
      </c>
      <c r="BX918">
        <f>'Grid_Requirement'!BV40</f>
        <v/>
      </c>
      <c r="BY918">
        <f>'Grid_Requirement'!BW40</f>
        <v/>
      </c>
      <c r="BZ918">
        <f>'Grid_Requirement'!BX40</f>
        <v/>
      </c>
      <c r="CA918">
        <f>'Grid_Requirement'!BY40</f>
        <v/>
      </c>
      <c r="CB918">
        <f>'Grid_Requirement'!BZ40</f>
        <v/>
      </c>
      <c r="CC918">
        <f>'Grid_Requirement'!CA40</f>
        <v/>
      </c>
      <c r="CD918">
        <f>'Grid_Requirement'!CB40</f>
        <v/>
      </c>
      <c r="CE918">
        <f>'Grid_Requirement'!CC40</f>
        <v/>
      </c>
      <c r="CF918">
        <f>'Grid_Requirement'!CD40</f>
        <v/>
      </c>
      <c r="CG918">
        <f>'Grid_Requirement'!CE40</f>
        <v/>
      </c>
      <c r="CH918">
        <f>'Grid_Requirement'!CF40</f>
        <v/>
      </c>
      <c r="CI918">
        <f>'Grid_Requirement'!CG40</f>
        <v/>
      </c>
      <c r="CJ918">
        <f>'Grid_Requirement'!CH40</f>
        <v/>
      </c>
      <c r="CK918">
        <f>'Grid_Requirement'!CI40</f>
        <v/>
      </c>
      <c r="CL918">
        <f>'Grid_Requirement'!CJ40</f>
        <v/>
      </c>
      <c r="CM918">
        <f>'Grid_Requirement'!CK40</f>
        <v/>
      </c>
      <c r="CN918">
        <f>'Grid_Requirement'!CL40</f>
        <v/>
      </c>
      <c r="CO918">
        <f>'Grid_Requirement'!CM40</f>
        <v/>
      </c>
      <c r="CP918">
        <f>'Grid_Requirement'!CN40</f>
        <v/>
      </c>
      <c r="CQ918">
        <f>'Grid_Requirement'!CO40</f>
        <v/>
      </c>
      <c r="CR918">
        <f>'Grid_Requirement'!CP40</f>
        <v/>
      </c>
      <c r="CS918">
        <f>'Grid_Requirement'!CQ40</f>
        <v/>
      </c>
      <c r="CT918">
        <f>'Grid_Requirement'!CR40</f>
        <v/>
      </c>
      <c r="CU918">
        <f>'Grid_Requirement'!CS40</f>
        <v/>
      </c>
      <c r="CV918">
        <f>'Grid_Requirement'!CT40</f>
        <v/>
      </c>
      <c r="CW918">
        <f>'Grid_Requirement'!CU40</f>
        <v/>
      </c>
      <c r="CX918">
        <f>'Grid_Requirement'!CV40</f>
        <v/>
      </c>
      <c r="CY918">
        <f>'Grid_Requirement'!CW40</f>
        <v/>
      </c>
      <c r="CZ918">
        <f>'Grid_Requirement'!CX40</f>
        <v/>
      </c>
      <c r="DA918">
        <f>'Grid_Requirement'!CY40</f>
        <v/>
      </c>
      <c r="DB918">
        <f>'Grid_Requirement'!CZ40</f>
        <v/>
      </c>
      <c r="DC918">
        <f>'Grid_Requirement'!DA40</f>
        <v/>
      </c>
    </row>
    <row r="919">
      <c r="B919" t="inlineStr">
        <is>
          <t>TTAF在庫(実績,kg)</t>
        </is>
      </c>
      <c r="D919">
        <f>'T_TTAFStock'!B44</f>
        <v/>
      </c>
      <c r="E919">
        <f>'T_TTAFStock'!C44</f>
        <v/>
      </c>
      <c r="F919">
        <f>'T_TTAFStock'!D44</f>
        <v/>
      </c>
      <c r="G919">
        <f>'T_TTAFStock'!E44</f>
        <v/>
      </c>
      <c r="H919">
        <f>'T_TTAFStock'!F44</f>
        <v/>
      </c>
      <c r="I919">
        <f>'T_TTAFStock'!G44</f>
        <v/>
      </c>
      <c r="J919">
        <f>'T_TTAFStock'!H44</f>
        <v/>
      </c>
      <c r="K919">
        <f>'T_TTAFStock'!I44</f>
        <v/>
      </c>
      <c r="L919">
        <f>'T_TTAFStock'!J44</f>
        <v/>
      </c>
      <c r="M919">
        <f>'T_TTAFStock'!K44</f>
        <v/>
      </c>
      <c r="N919">
        <f>'T_TTAFStock'!L44</f>
        <v/>
      </c>
      <c r="O919">
        <f>'T_TTAFStock'!M44</f>
        <v/>
      </c>
      <c r="P919">
        <f>'T_TTAFStock'!N44</f>
        <v/>
      </c>
      <c r="Q919">
        <f>'T_TTAFStock'!O44</f>
        <v/>
      </c>
      <c r="R919">
        <f>'T_TTAFStock'!P44</f>
        <v/>
      </c>
      <c r="S919">
        <f>'T_TTAFStock'!Q44</f>
        <v/>
      </c>
      <c r="T919">
        <f>'T_TTAFStock'!R44</f>
        <v/>
      </c>
      <c r="U919">
        <f>'T_TTAFStock'!S44</f>
        <v/>
      </c>
      <c r="V919">
        <f>'T_TTAFStock'!T44</f>
        <v/>
      </c>
      <c r="W919">
        <f>'T_TTAFStock'!U44</f>
        <v/>
      </c>
      <c r="X919">
        <f>'T_TTAFStock'!V44</f>
        <v/>
      </c>
      <c r="Y919">
        <f>'T_TTAFStock'!W44</f>
        <v/>
      </c>
      <c r="Z919">
        <f>'T_TTAFStock'!X44</f>
        <v/>
      </c>
      <c r="AA919">
        <f>'T_TTAFStock'!Y44</f>
        <v/>
      </c>
      <c r="AB919">
        <f>'T_TTAFStock'!Z44</f>
        <v/>
      </c>
      <c r="AC919">
        <f>'T_TTAFStock'!AA44</f>
        <v/>
      </c>
      <c r="AD919">
        <f>'T_TTAFStock'!AB44</f>
        <v/>
      </c>
      <c r="AE919">
        <f>'T_TTAFStock'!AC44</f>
        <v/>
      </c>
      <c r="AF919">
        <f>'T_TTAFStock'!AD44</f>
        <v/>
      </c>
      <c r="AG919">
        <f>'T_TTAFStock'!AE44</f>
        <v/>
      </c>
      <c r="AH919">
        <f>'T_TTAFStock'!AF44</f>
        <v/>
      </c>
      <c r="AI919">
        <f>'T_TTAFStock'!AG44</f>
        <v/>
      </c>
      <c r="AJ919">
        <f>'T_TTAFStock'!AH44</f>
        <v/>
      </c>
      <c r="AK919">
        <f>'T_TTAFStock'!AI44</f>
        <v/>
      </c>
      <c r="AL919">
        <f>'T_TTAFStock'!AJ44</f>
        <v/>
      </c>
      <c r="AM919">
        <f>'T_TTAFStock'!AK44</f>
        <v/>
      </c>
      <c r="AN919">
        <f>'T_TTAFStock'!AL44</f>
        <v/>
      </c>
      <c r="AO919">
        <f>'T_TTAFStock'!AM44</f>
        <v/>
      </c>
      <c r="AP919">
        <f>'T_TTAFStock'!AN44</f>
        <v/>
      </c>
      <c r="AQ919">
        <f>'T_TTAFStock'!AO44</f>
        <v/>
      </c>
      <c r="AR919">
        <f>'T_TTAFStock'!AP44</f>
        <v/>
      </c>
      <c r="AS919">
        <f>'T_TTAFStock'!AQ44</f>
        <v/>
      </c>
      <c r="AT919">
        <f>'T_TTAFStock'!AR44</f>
        <v/>
      </c>
      <c r="AU919">
        <f>'T_TTAFStock'!AS44</f>
        <v/>
      </c>
      <c r="AV919">
        <f>'T_TTAFStock'!AT44</f>
        <v/>
      </c>
      <c r="AW919">
        <f>'T_TTAFStock'!AU44</f>
        <v/>
      </c>
      <c r="AX919">
        <f>'T_TTAFStock'!AV44</f>
        <v/>
      </c>
      <c r="AY919">
        <f>'T_TTAFStock'!AW44</f>
        <v/>
      </c>
      <c r="AZ919">
        <f>'T_TTAFStock'!AX44</f>
        <v/>
      </c>
      <c r="BA919">
        <f>'T_TTAFStock'!AY44</f>
        <v/>
      </c>
      <c r="BB919">
        <f>'T_TTAFStock'!AZ44</f>
        <v/>
      </c>
      <c r="BC919">
        <f>'T_TTAFStock'!BA44</f>
        <v/>
      </c>
      <c r="BD919">
        <f>'T_TTAFStock'!BB44</f>
        <v/>
      </c>
      <c r="BE919">
        <f>'T_TTAFStock'!BC44</f>
        <v/>
      </c>
      <c r="BF919">
        <f>'T_TTAFStock'!BD44</f>
        <v/>
      </c>
      <c r="BG919">
        <f>'T_TTAFStock'!BE44</f>
        <v/>
      </c>
      <c r="BH919">
        <f>'T_TTAFStock'!BF44</f>
        <v/>
      </c>
      <c r="BI919">
        <f>'T_TTAFStock'!BG44</f>
        <v/>
      </c>
      <c r="BJ919">
        <f>'T_TTAFStock'!BH44</f>
        <v/>
      </c>
      <c r="BK919">
        <f>'T_TTAFStock'!BI44</f>
        <v/>
      </c>
      <c r="BL919">
        <f>'T_TTAFStock'!BJ44</f>
        <v/>
      </c>
      <c r="BM919">
        <f>'T_TTAFStock'!BK44</f>
        <v/>
      </c>
      <c r="BN919">
        <f>'T_TTAFStock'!BL44</f>
        <v/>
      </c>
      <c r="BO919">
        <f>'T_TTAFStock'!BM44</f>
        <v/>
      </c>
      <c r="BP919">
        <f>'T_TTAFStock'!BN44</f>
        <v/>
      </c>
      <c r="BQ919">
        <f>'T_TTAFStock'!BO44</f>
        <v/>
      </c>
      <c r="BR919">
        <f>'T_TTAFStock'!BP44</f>
        <v/>
      </c>
      <c r="BS919">
        <f>'T_TTAFStock'!BQ44</f>
        <v/>
      </c>
      <c r="BT919">
        <f>'T_TTAFStock'!BR44</f>
        <v/>
      </c>
      <c r="BU919">
        <f>'T_TTAFStock'!BS44</f>
        <v/>
      </c>
      <c r="BV919">
        <f>'T_TTAFStock'!BT44</f>
        <v/>
      </c>
      <c r="BW919">
        <f>'T_TTAFStock'!BU44</f>
        <v/>
      </c>
      <c r="BX919">
        <f>'T_TTAFStock'!BV44</f>
        <v/>
      </c>
      <c r="BY919">
        <f>'T_TTAFStock'!BW44</f>
        <v/>
      </c>
      <c r="BZ919">
        <f>'T_TTAFStock'!BX44</f>
        <v/>
      </c>
      <c r="CA919">
        <f>'T_TTAFStock'!BY44</f>
        <v/>
      </c>
      <c r="CB919">
        <f>'T_TTAFStock'!BZ44</f>
        <v/>
      </c>
      <c r="CC919">
        <f>'T_TTAFStock'!CA44</f>
        <v/>
      </c>
      <c r="CD919">
        <f>'T_TTAFStock'!CB44</f>
        <v/>
      </c>
      <c r="CE919">
        <f>'T_TTAFStock'!CC44</f>
        <v/>
      </c>
      <c r="CF919">
        <f>'T_TTAFStock'!CD44</f>
        <v/>
      </c>
      <c r="CG919">
        <f>'T_TTAFStock'!CE44</f>
        <v/>
      </c>
      <c r="CH919">
        <f>'T_TTAFStock'!CF44</f>
        <v/>
      </c>
      <c r="CI919">
        <f>'T_TTAFStock'!CG44</f>
        <v/>
      </c>
      <c r="CJ919">
        <f>'T_TTAFStock'!CH44</f>
        <v/>
      </c>
      <c r="CK919">
        <f>'T_TTAFStock'!CI44</f>
        <v/>
      </c>
      <c r="CL919">
        <f>'T_TTAFStock'!CJ44</f>
        <v/>
      </c>
      <c r="CM919">
        <f>'T_TTAFStock'!CK44</f>
        <v/>
      </c>
      <c r="CN919">
        <f>'T_TTAFStock'!CL44</f>
        <v/>
      </c>
      <c r="CO919">
        <f>'T_TTAFStock'!CM44</f>
        <v/>
      </c>
      <c r="CP919">
        <f>'T_TTAFStock'!CN44</f>
        <v/>
      </c>
      <c r="CQ919">
        <f>'T_TTAFStock'!CO44</f>
        <v/>
      </c>
      <c r="CR919">
        <f>'T_TTAFStock'!CP44</f>
        <v/>
      </c>
      <c r="CS919">
        <f>'T_TTAFStock'!CQ44</f>
        <v/>
      </c>
      <c r="CT919">
        <f>'T_TTAFStock'!CR44</f>
        <v/>
      </c>
      <c r="CU919">
        <f>'T_TTAFStock'!CS44</f>
        <v/>
      </c>
      <c r="CV919">
        <f>'T_TTAFStock'!CT44</f>
        <v/>
      </c>
      <c r="CW919">
        <f>'T_TTAFStock'!CU44</f>
        <v/>
      </c>
      <c r="CX919">
        <f>'T_TTAFStock'!CV44</f>
        <v/>
      </c>
      <c r="CY919">
        <f>'T_TTAFStock'!CW44</f>
        <v/>
      </c>
      <c r="CZ919">
        <f>'T_TTAFStock'!CX44</f>
        <v/>
      </c>
      <c r="DA919">
        <f>'T_TTAFStock'!CY44</f>
        <v/>
      </c>
      <c r="DB919">
        <f>'T_TTAFStock'!CZ44</f>
        <v/>
      </c>
      <c r="DC919">
        <f>'T_TTAFStock'!DA44</f>
        <v/>
      </c>
    </row>
    <row r="920">
      <c r="B920" t="inlineStr">
        <is>
          <t>自社在庫(実績,kg)</t>
        </is>
      </c>
      <c r="D920">
        <f>'T_SelfStock'!B44</f>
        <v/>
      </c>
      <c r="E920">
        <f>'T_SelfStock'!C44</f>
        <v/>
      </c>
      <c r="F920">
        <f>'T_SelfStock'!D44</f>
        <v/>
      </c>
      <c r="G920">
        <f>'T_SelfStock'!E44</f>
        <v/>
      </c>
      <c r="H920">
        <f>'T_SelfStock'!F44</f>
        <v/>
      </c>
      <c r="I920">
        <f>'T_SelfStock'!G44</f>
        <v/>
      </c>
      <c r="J920">
        <f>'T_SelfStock'!H44</f>
        <v/>
      </c>
      <c r="K920">
        <f>'T_SelfStock'!I44</f>
        <v/>
      </c>
      <c r="L920">
        <f>'T_SelfStock'!J44</f>
        <v/>
      </c>
      <c r="M920">
        <f>'T_SelfStock'!K44</f>
        <v/>
      </c>
      <c r="N920">
        <f>'T_SelfStock'!L44</f>
        <v/>
      </c>
      <c r="O920">
        <f>'T_SelfStock'!M44</f>
        <v/>
      </c>
      <c r="P920">
        <f>'T_SelfStock'!N44</f>
        <v/>
      </c>
      <c r="Q920">
        <f>'T_SelfStock'!O44</f>
        <v/>
      </c>
      <c r="R920">
        <f>'T_SelfStock'!P44</f>
        <v/>
      </c>
      <c r="S920">
        <f>'T_SelfStock'!Q44</f>
        <v/>
      </c>
      <c r="T920">
        <f>'T_SelfStock'!R44</f>
        <v/>
      </c>
      <c r="U920">
        <f>'T_SelfStock'!S44</f>
        <v/>
      </c>
      <c r="V920">
        <f>'T_SelfStock'!T44</f>
        <v/>
      </c>
      <c r="W920">
        <f>'T_SelfStock'!U44</f>
        <v/>
      </c>
      <c r="X920">
        <f>'T_SelfStock'!V44</f>
        <v/>
      </c>
      <c r="Y920">
        <f>'T_SelfStock'!W44</f>
        <v/>
      </c>
      <c r="Z920">
        <f>'T_SelfStock'!X44</f>
        <v/>
      </c>
      <c r="AA920">
        <f>'T_SelfStock'!Y44</f>
        <v/>
      </c>
      <c r="AB920">
        <f>'T_SelfStock'!Z44</f>
        <v/>
      </c>
      <c r="AC920">
        <f>'T_SelfStock'!AA44</f>
        <v/>
      </c>
      <c r="AD920">
        <f>'T_SelfStock'!AB44</f>
        <v/>
      </c>
      <c r="AE920">
        <f>'T_SelfStock'!AC44</f>
        <v/>
      </c>
      <c r="AF920">
        <f>'T_SelfStock'!AD44</f>
        <v/>
      </c>
      <c r="AG920">
        <f>'T_SelfStock'!AE44</f>
        <v/>
      </c>
      <c r="AH920">
        <f>'T_SelfStock'!AF44</f>
        <v/>
      </c>
      <c r="AI920">
        <f>'T_SelfStock'!AG44</f>
        <v/>
      </c>
      <c r="AJ920">
        <f>'T_SelfStock'!AH44</f>
        <v/>
      </c>
      <c r="AK920">
        <f>'T_SelfStock'!AI44</f>
        <v/>
      </c>
      <c r="AL920">
        <f>'T_SelfStock'!AJ44</f>
        <v/>
      </c>
      <c r="AM920">
        <f>'T_SelfStock'!AK44</f>
        <v/>
      </c>
      <c r="AN920">
        <f>'T_SelfStock'!AL44</f>
        <v/>
      </c>
      <c r="AO920">
        <f>'T_SelfStock'!AM44</f>
        <v/>
      </c>
      <c r="AP920">
        <f>'T_SelfStock'!AN44</f>
        <v/>
      </c>
      <c r="AQ920">
        <f>'T_SelfStock'!AO44</f>
        <v/>
      </c>
      <c r="AR920">
        <f>'T_SelfStock'!AP44</f>
        <v/>
      </c>
      <c r="AS920">
        <f>'T_SelfStock'!AQ44</f>
        <v/>
      </c>
      <c r="AT920">
        <f>'T_SelfStock'!AR44</f>
        <v/>
      </c>
      <c r="AU920">
        <f>'T_SelfStock'!AS44</f>
        <v/>
      </c>
      <c r="AV920">
        <f>'T_SelfStock'!AT44</f>
        <v/>
      </c>
      <c r="AW920">
        <f>'T_SelfStock'!AU44</f>
        <v/>
      </c>
      <c r="AX920">
        <f>'T_SelfStock'!AV44</f>
        <v/>
      </c>
      <c r="AY920">
        <f>'T_SelfStock'!AW44</f>
        <v/>
      </c>
      <c r="AZ920">
        <f>'T_SelfStock'!AX44</f>
        <v/>
      </c>
      <c r="BA920">
        <f>'T_SelfStock'!AY44</f>
        <v/>
      </c>
      <c r="BB920">
        <f>'T_SelfStock'!AZ44</f>
        <v/>
      </c>
      <c r="BC920">
        <f>'T_SelfStock'!BA44</f>
        <v/>
      </c>
      <c r="BD920">
        <f>'T_SelfStock'!BB44</f>
        <v/>
      </c>
      <c r="BE920">
        <f>'T_SelfStock'!BC44</f>
        <v/>
      </c>
      <c r="BF920">
        <f>'T_SelfStock'!BD44</f>
        <v/>
      </c>
      <c r="BG920">
        <f>'T_SelfStock'!BE44</f>
        <v/>
      </c>
      <c r="BH920">
        <f>'T_SelfStock'!BF44</f>
        <v/>
      </c>
      <c r="BI920">
        <f>'T_SelfStock'!BG44</f>
        <v/>
      </c>
      <c r="BJ920">
        <f>'T_SelfStock'!BH44</f>
        <v/>
      </c>
      <c r="BK920">
        <f>'T_SelfStock'!BI44</f>
        <v/>
      </c>
      <c r="BL920">
        <f>'T_SelfStock'!BJ44</f>
        <v/>
      </c>
      <c r="BM920">
        <f>'T_SelfStock'!BK44</f>
        <v/>
      </c>
      <c r="BN920">
        <f>'T_SelfStock'!BL44</f>
        <v/>
      </c>
      <c r="BO920">
        <f>'T_SelfStock'!BM44</f>
        <v/>
      </c>
      <c r="BP920">
        <f>'T_SelfStock'!BN44</f>
        <v/>
      </c>
      <c r="BQ920">
        <f>'T_SelfStock'!BO44</f>
        <v/>
      </c>
      <c r="BR920">
        <f>'T_SelfStock'!BP44</f>
        <v/>
      </c>
      <c r="BS920">
        <f>'T_SelfStock'!BQ44</f>
        <v/>
      </c>
      <c r="BT920">
        <f>'T_SelfStock'!BR44</f>
        <v/>
      </c>
      <c r="BU920">
        <f>'T_SelfStock'!BS44</f>
        <v/>
      </c>
      <c r="BV920">
        <f>'T_SelfStock'!BT44</f>
        <v/>
      </c>
      <c r="BW920">
        <f>'T_SelfStock'!BU44</f>
        <v/>
      </c>
      <c r="BX920">
        <f>'T_SelfStock'!BV44</f>
        <v/>
      </c>
      <c r="BY920">
        <f>'T_SelfStock'!BW44</f>
        <v/>
      </c>
      <c r="BZ920">
        <f>'T_SelfStock'!BX44</f>
        <v/>
      </c>
      <c r="CA920">
        <f>'T_SelfStock'!BY44</f>
        <v/>
      </c>
      <c r="CB920">
        <f>'T_SelfStock'!BZ44</f>
        <v/>
      </c>
      <c r="CC920">
        <f>'T_SelfStock'!CA44</f>
        <v/>
      </c>
      <c r="CD920">
        <f>'T_SelfStock'!CB44</f>
        <v/>
      </c>
      <c r="CE920">
        <f>'T_SelfStock'!CC44</f>
        <v/>
      </c>
      <c r="CF920">
        <f>'T_SelfStock'!CD44</f>
        <v/>
      </c>
      <c r="CG920">
        <f>'T_SelfStock'!CE44</f>
        <v/>
      </c>
      <c r="CH920">
        <f>'T_SelfStock'!CF44</f>
        <v/>
      </c>
      <c r="CI920">
        <f>'T_SelfStock'!CG44</f>
        <v/>
      </c>
      <c r="CJ920">
        <f>'T_SelfStock'!CH44</f>
        <v/>
      </c>
      <c r="CK920">
        <f>'T_SelfStock'!CI44</f>
        <v/>
      </c>
      <c r="CL920">
        <f>'T_SelfStock'!CJ44</f>
        <v/>
      </c>
      <c r="CM920">
        <f>'T_SelfStock'!CK44</f>
        <v/>
      </c>
      <c r="CN920">
        <f>'T_SelfStock'!CL44</f>
        <v/>
      </c>
      <c r="CO920">
        <f>'T_SelfStock'!CM44</f>
        <v/>
      </c>
      <c r="CP920">
        <f>'T_SelfStock'!CN44</f>
        <v/>
      </c>
      <c r="CQ920">
        <f>'T_SelfStock'!CO44</f>
        <v/>
      </c>
      <c r="CR920">
        <f>'T_SelfStock'!CP44</f>
        <v/>
      </c>
      <c r="CS920">
        <f>'T_SelfStock'!CQ44</f>
        <v/>
      </c>
      <c r="CT920">
        <f>'T_SelfStock'!CR44</f>
        <v/>
      </c>
      <c r="CU920">
        <f>'T_SelfStock'!CS44</f>
        <v/>
      </c>
      <c r="CV920">
        <f>'T_SelfStock'!CT44</f>
        <v/>
      </c>
      <c r="CW920">
        <f>'T_SelfStock'!CU44</f>
        <v/>
      </c>
      <c r="CX920">
        <f>'T_SelfStock'!CV44</f>
        <v/>
      </c>
      <c r="CY920">
        <f>'T_SelfStock'!CW44</f>
        <v/>
      </c>
      <c r="CZ920">
        <f>'T_SelfStock'!CX44</f>
        <v/>
      </c>
      <c r="DA920">
        <f>'T_SelfStock'!CY44</f>
        <v/>
      </c>
      <c r="DB920">
        <f>'T_SelfStock'!CZ44</f>
        <v/>
      </c>
      <c r="DC920">
        <f>'T_SelfStock'!DA44</f>
        <v/>
      </c>
    </row>
    <row r="921">
      <c r="B921" t="inlineStr">
        <is>
          <t>Order(発注予定,kg)</t>
        </is>
      </c>
      <c r="D921">
        <f>IF(SUMIFS(T_PlannedOrders[EffectiveQty],T_PlannedOrders[Part Name],$A877,T_PlannedOrders[WeekIndex],1)=0,"",SUMIFS(T_PlannedOrders[EffectiveQty],T_PlannedOrders[Part Name],$A877,T_PlannedOrders[WeekIndex],1)&amp;" ("&amp;TEXT(SUMPRODUCT(MAX((T_PlannedOrders[Part Name]=$A877)*(T_PlannedOrders[WeekIndex]=1)*(T_PlannedOrders[EffectiveQty]&gt;0)*T_PlannedOrders[Order_Month])),"m月")&amp;"発注)")</f>
        <v/>
      </c>
      <c r="E921">
        <f>IF(SUMIFS(T_PlannedOrders[EffectiveQty],T_PlannedOrders[Part Name],$A877,T_PlannedOrders[WeekIndex],2)=0,"",SUMIFS(T_PlannedOrders[EffectiveQty],T_PlannedOrders[Part Name],$A877,T_PlannedOrders[WeekIndex],2)&amp;" ("&amp;TEXT(SUMPRODUCT(MAX((T_PlannedOrders[Part Name]=$A877)*(T_PlannedOrders[WeekIndex]=2)*(T_PlannedOrders[EffectiveQty]&gt;0)*T_PlannedOrders[Order_Month])),"m月")&amp;"発注)")</f>
        <v/>
      </c>
      <c r="F921">
        <f>IF(SUMIFS(T_PlannedOrders[EffectiveQty],T_PlannedOrders[Part Name],$A877,T_PlannedOrders[WeekIndex],3)=0,"",SUMIFS(T_PlannedOrders[EffectiveQty],T_PlannedOrders[Part Name],$A877,T_PlannedOrders[WeekIndex],3)&amp;" ("&amp;TEXT(SUMPRODUCT(MAX((T_PlannedOrders[Part Name]=$A877)*(T_PlannedOrders[WeekIndex]=3)*(T_PlannedOrders[EffectiveQty]&gt;0)*T_PlannedOrders[Order_Month])),"m月")&amp;"発注)")</f>
        <v/>
      </c>
      <c r="G921">
        <f>IF(SUMIFS(T_PlannedOrders[EffectiveQty],T_PlannedOrders[Part Name],$A877,T_PlannedOrders[WeekIndex],4)=0,"",SUMIFS(T_PlannedOrders[EffectiveQty],T_PlannedOrders[Part Name],$A877,T_PlannedOrders[WeekIndex],4)&amp;" ("&amp;TEXT(SUMPRODUCT(MAX((T_PlannedOrders[Part Name]=$A877)*(T_PlannedOrders[WeekIndex]=4)*(T_PlannedOrders[EffectiveQty]&gt;0)*T_PlannedOrders[Order_Month])),"m月")&amp;"発注)")</f>
        <v/>
      </c>
      <c r="H921">
        <f>IF(SUMIFS(T_PlannedOrders[EffectiveQty],T_PlannedOrders[Part Name],$A877,T_PlannedOrders[WeekIndex],5)=0,"",SUMIFS(T_PlannedOrders[EffectiveQty],T_PlannedOrders[Part Name],$A877,T_PlannedOrders[WeekIndex],5)&amp;" ("&amp;TEXT(SUMPRODUCT(MAX((T_PlannedOrders[Part Name]=$A877)*(T_PlannedOrders[WeekIndex]=5)*(T_PlannedOrders[EffectiveQty]&gt;0)*T_PlannedOrders[Order_Month])),"m月")&amp;"発注)")</f>
        <v/>
      </c>
      <c r="I921">
        <f>IF(SUMIFS(T_PlannedOrders[EffectiveQty],T_PlannedOrders[Part Name],$A877,T_PlannedOrders[WeekIndex],6)=0,"",SUMIFS(T_PlannedOrders[EffectiveQty],T_PlannedOrders[Part Name],$A877,T_PlannedOrders[WeekIndex],6)&amp;" ("&amp;TEXT(SUMPRODUCT(MAX((T_PlannedOrders[Part Name]=$A877)*(T_PlannedOrders[WeekIndex]=6)*(T_PlannedOrders[EffectiveQty]&gt;0)*T_PlannedOrders[Order_Month])),"m月")&amp;"発注)")</f>
        <v/>
      </c>
      <c r="J921">
        <f>IF(SUMIFS(T_PlannedOrders[EffectiveQty],T_PlannedOrders[Part Name],$A877,T_PlannedOrders[WeekIndex],7)=0,"",SUMIFS(T_PlannedOrders[EffectiveQty],T_PlannedOrders[Part Name],$A877,T_PlannedOrders[WeekIndex],7)&amp;" ("&amp;TEXT(SUMPRODUCT(MAX((T_PlannedOrders[Part Name]=$A877)*(T_PlannedOrders[WeekIndex]=7)*(T_PlannedOrders[EffectiveQty]&gt;0)*T_PlannedOrders[Order_Month])),"m月")&amp;"発注)")</f>
        <v/>
      </c>
      <c r="K921">
        <f>IF(SUMIFS(T_PlannedOrders[EffectiveQty],T_PlannedOrders[Part Name],$A877,T_PlannedOrders[WeekIndex],8)=0,"",SUMIFS(T_PlannedOrders[EffectiveQty],T_PlannedOrders[Part Name],$A877,T_PlannedOrders[WeekIndex],8)&amp;" ("&amp;TEXT(SUMPRODUCT(MAX((T_PlannedOrders[Part Name]=$A877)*(T_PlannedOrders[WeekIndex]=8)*(T_PlannedOrders[EffectiveQty]&gt;0)*T_PlannedOrders[Order_Month])),"m月")&amp;"発注)")</f>
        <v/>
      </c>
      <c r="L921">
        <f>IF(SUMIFS(T_PlannedOrders[EffectiveQty],T_PlannedOrders[Part Name],$A877,T_PlannedOrders[WeekIndex],9)=0,"",SUMIFS(T_PlannedOrders[EffectiveQty],T_PlannedOrders[Part Name],$A877,T_PlannedOrders[WeekIndex],9)&amp;" ("&amp;TEXT(SUMPRODUCT(MAX((T_PlannedOrders[Part Name]=$A877)*(T_PlannedOrders[WeekIndex]=9)*(T_PlannedOrders[EffectiveQty]&gt;0)*T_PlannedOrders[Order_Month])),"m月")&amp;"発注)")</f>
        <v/>
      </c>
      <c r="M921">
        <f>IF(SUMIFS(T_PlannedOrders[EffectiveQty],T_PlannedOrders[Part Name],$A877,T_PlannedOrders[WeekIndex],10)=0,"",SUMIFS(T_PlannedOrders[EffectiveQty],T_PlannedOrders[Part Name],$A877,T_PlannedOrders[WeekIndex],10)&amp;" ("&amp;TEXT(SUMPRODUCT(MAX((T_PlannedOrders[Part Name]=$A877)*(T_PlannedOrders[WeekIndex]=10)*(T_PlannedOrders[EffectiveQty]&gt;0)*T_PlannedOrders[Order_Month])),"m月")&amp;"発注)")</f>
        <v/>
      </c>
      <c r="N921">
        <f>IF(SUMIFS(T_PlannedOrders[EffectiveQty],T_PlannedOrders[Part Name],$A877,T_PlannedOrders[WeekIndex],11)=0,"",SUMIFS(T_PlannedOrders[EffectiveQty],T_PlannedOrders[Part Name],$A877,T_PlannedOrders[WeekIndex],11)&amp;" ("&amp;TEXT(SUMPRODUCT(MAX((T_PlannedOrders[Part Name]=$A877)*(T_PlannedOrders[WeekIndex]=11)*(T_PlannedOrders[EffectiveQty]&gt;0)*T_PlannedOrders[Order_Month])),"m月")&amp;"発注)")</f>
        <v/>
      </c>
      <c r="O921">
        <f>IF(SUMIFS(T_PlannedOrders[EffectiveQty],T_PlannedOrders[Part Name],$A877,T_PlannedOrders[WeekIndex],12)=0,"",SUMIFS(T_PlannedOrders[EffectiveQty],T_PlannedOrders[Part Name],$A877,T_PlannedOrders[WeekIndex],12)&amp;" ("&amp;TEXT(SUMPRODUCT(MAX((T_PlannedOrders[Part Name]=$A877)*(T_PlannedOrders[WeekIndex]=12)*(T_PlannedOrders[EffectiveQty]&gt;0)*T_PlannedOrders[Order_Month])),"m月")&amp;"発注)")</f>
        <v/>
      </c>
      <c r="P921">
        <f>IF(SUMIFS(T_PlannedOrders[EffectiveQty],T_PlannedOrders[Part Name],$A877,T_PlannedOrders[WeekIndex],13)=0,"",SUMIFS(T_PlannedOrders[EffectiveQty],T_PlannedOrders[Part Name],$A877,T_PlannedOrders[WeekIndex],13)&amp;" ("&amp;TEXT(SUMPRODUCT(MAX((T_PlannedOrders[Part Name]=$A877)*(T_PlannedOrders[WeekIndex]=13)*(T_PlannedOrders[EffectiveQty]&gt;0)*T_PlannedOrders[Order_Month])),"m月")&amp;"発注)")</f>
        <v/>
      </c>
      <c r="Q921">
        <f>IF(SUMIFS(T_PlannedOrders[EffectiveQty],T_PlannedOrders[Part Name],$A877,T_PlannedOrders[WeekIndex],14)=0,"",SUMIFS(T_PlannedOrders[EffectiveQty],T_PlannedOrders[Part Name],$A877,T_PlannedOrders[WeekIndex],14)&amp;" ("&amp;TEXT(SUMPRODUCT(MAX((T_PlannedOrders[Part Name]=$A877)*(T_PlannedOrders[WeekIndex]=14)*(T_PlannedOrders[EffectiveQty]&gt;0)*T_PlannedOrders[Order_Month])),"m月")&amp;"発注)")</f>
        <v/>
      </c>
      <c r="R921">
        <f>IF(SUMIFS(T_PlannedOrders[EffectiveQty],T_PlannedOrders[Part Name],$A877,T_PlannedOrders[WeekIndex],15)=0,"",SUMIFS(T_PlannedOrders[EffectiveQty],T_PlannedOrders[Part Name],$A877,T_PlannedOrders[WeekIndex],15)&amp;" ("&amp;TEXT(SUMPRODUCT(MAX((T_PlannedOrders[Part Name]=$A877)*(T_PlannedOrders[WeekIndex]=15)*(T_PlannedOrders[EffectiveQty]&gt;0)*T_PlannedOrders[Order_Month])),"m月")&amp;"発注)")</f>
        <v/>
      </c>
      <c r="S921">
        <f>IF(SUMIFS(T_PlannedOrders[EffectiveQty],T_PlannedOrders[Part Name],$A877,T_PlannedOrders[WeekIndex],16)=0,"",SUMIFS(T_PlannedOrders[EffectiveQty],T_PlannedOrders[Part Name],$A877,T_PlannedOrders[WeekIndex],16)&amp;" ("&amp;TEXT(SUMPRODUCT(MAX((T_PlannedOrders[Part Name]=$A877)*(T_PlannedOrders[WeekIndex]=16)*(T_PlannedOrders[EffectiveQty]&gt;0)*T_PlannedOrders[Order_Month])),"m月")&amp;"発注)")</f>
        <v/>
      </c>
      <c r="T921">
        <f>IF(SUMIFS(T_PlannedOrders[EffectiveQty],T_PlannedOrders[Part Name],$A877,T_PlannedOrders[WeekIndex],17)=0,"",SUMIFS(T_PlannedOrders[EffectiveQty],T_PlannedOrders[Part Name],$A877,T_PlannedOrders[WeekIndex],17)&amp;" ("&amp;TEXT(SUMPRODUCT(MAX((T_PlannedOrders[Part Name]=$A877)*(T_PlannedOrders[WeekIndex]=17)*(T_PlannedOrders[EffectiveQty]&gt;0)*T_PlannedOrders[Order_Month])),"m月")&amp;"発注)")</f>
        <v/>
      </c>
      <c r="U921">
        <f>IF(SUMIFS(T_PlannedOrders[EffectiveQty],T_PlannedOrders[Part Name],$A877,T_PlannedOrders[WeekIndex],18)=0,"",SUMIFS(T_PlannedOrders[EffectiveQty],T_PlannedOrders[Part Name],$A877,T_PlannedOrders[WeekIndex],18)&amp;" ("&amp;TEXT(SUMPRODUCT(MAX((T_PlannedOrders[Part Name]=$A877)*(T_PlannedOrders[WeekIndex]=18)*(T_PlannedOrders[EffectiveQty]&gt;0)*T_PlannedOrders[Order_Month])),"m月")&amp;"発注)")</f>
        <v/>
      </c>
      <c r="V921">
        <f>IF(SUMIFS(T_PlannedOrders[EffectiveQty],T_PlannedOrders[Part Name],$A877,T_PlannedOrders[WeekIndex],19)=0,"",SUMIFS(T_PlannedOrders[EffectiveQty],T_PlannedOrders[Part Name],$A877,T_PlannedOrders[WeekIndex],19)&amp;" ("&amp;TEXT(SUMPRODUCT(MAX((T_PlannedOrders[Part Name]=$A877)*(T_PlannedOrders[WeekIndex]=19)*(T_PlannedOrders[EffectiveQty]&gt;0)*T_PlannedOrders[Order_Month])),"m月")&amp;"発注)")</f>
        <v/>
      </c>
      <c r="W921">
        <f>IF(SUMIFS(T_PlannedOrders[EffectiveQty],T_PlannedOrders[Part Name],$A877,T_PlannedOrders[WeekIndex],20)=0,"",SUMIFS(T_PlannedOrders[EffectiveQty],T_PlannedOrders[Part Name],$A877,T_PlannedOrders[WeekIndex],20)&amp;" ("&amp;TEXT(SUMPRODUCT(MAX((T_PlannedOrders[Part Name]=$A877)*(T_PlannedOrders[WeekIndex]=20)*(T_PlannedOrders[EffectiveQty]&gt;0)*T_PlannedOrders[Order_Month])),"m月")&amp;"発注)")</f>
        <v/>
      </c>
      <c r="X921">
        <f>IF(SUMIFS(T_PlannedOrders[EffectiveQty],T_PlannedOrders[Part Name],$A877,T_PlannedOrders[WeekIndex],21)=0,"",SUMIFS(T_PlannedOrders[EffectiveQty],T_PlannedOrders[Part Name],$A877,T_PlannedOrders[WeekIndex],21)&amp;" ("&amp;TEXT(SUMPRODUCT(MAX((T_PlannedOrders[Part Name]=$A877)*(T_PlannedOrders[WeekIndex]=21)*(T_PlannedOrders[EffectiveQty]&gt;0)*T_PlannedOrders[Order_Month])),"m月")&amp;"発注)")</f>
        <v/>
      </c>
      <c r="Y921">
        <f>IF(SUMIFS(T_PlannedOrders[EffectiveQty],T_PlannedOrders[Part Name],$A877,T_PlannedOrders[WeekIndex],22)=0,"",SUMIFS(T_PlannedOrders[EffectiveQty],T_PlannedOrders[Part Name],$A877,T_PlannedOrders[WeekIndex],22)&amp;" ("&amp;TEXT(SUMPRODUCT(MAX((T_PlannedOrders[Part Name]=$A877)*(T_PlannedOrders[WeekIndex]=22)*(T_PlannedOrders[EffectiveQty]&gt;0)*T_PlannedOrders[Order_Month])),"m月")&amp;"発注)")</f>
        <v/>
      </c>
      <c r="Z921">
        <f>IF(SUMIFS(T_PlannedOrders[EffectiveQty],T_PlannedOrders[Part Name],$A877,T_PlannedOrders[WeekIndex],23)=0,"",SUMIFS(T_PlannedOrders[EffectiveQty],T_PlannedOrders[Part Name],$A877,T_PlannedOrders[WeekIndex],23)&amp;" ("&amp;TEXT(SUMPRODUCT(MAX((T_PlannedOrders[Part Name]=$A877)*(T_PlannedOrders[WeekIndex]=23)*(T_PlannedOrders[EffectiveQty]&gt;0)*T_PlannedOrders[Order_Month])),"m月")&amp;"発注)")</f>
        <v/>
      </c>
      <c r="AA921">
        <f>IF(SUMIFS(T_PlannedOrders[EffectiveQty],T_PlannedOrders[Part Name],$A877,T_PlannedOrders[WeekIndex],24)=0,"",SUMIFS(T_PlannedOrders[EffectiveQty],T_PlannedOrders[Part Name],$A877,T_PlannedOrders[WeekIndex],24)&amp;" ("&amp;TEXT(SUMPRODUCT(MAX((T_PlannedOrders[Part Name]=$A877)*(T_PlannedOrders[WeekIndex]=24)*(T_PlannedOrders[EffectiveQty]&gt;0)*T_PlannedOrders[Order_Month])),"m月")&amp;"発注)")</f>
        <v/>
      </c>
      <c r="AB921">
        <f>IF(SUMIFS(T_PlannedOrders[EffectiveQty],T_PlannedOrders[Part Name],$A877,T_PlannedOrders[WeekIndex],25)=0,"",SUMIFS(T_PlannedOrders[EffectiveQty],T_PlannedOrders[Part Name],$A877,T_PlannedOrders[WeekIndex],25)&amp;" ("&amp;TEXT(SUMPRODUCT(MAX((T_PlannedOrders[Part Name]=$A877)*(T_PlannedOrders[WeekIndex]=25)*(T_PlannedOrders[EffectiveQty]&gt;0)*T_PlannedOrders[Order_Month])),"m月")&amp;"発注)")</f>
        <v/>
      </c>
      <c r="AC921">
        <f>IF(SUMIFS(T_PlannedOrders[EffectiveQty],T_PlannedOrders[Part Name],$A877,T_PlannedOrders[WeekIndex],26)=0,"",SUMIFS(T_PlannedOrders[EffectiveQty],T_PlannedOrders[Part Name],$A877,T_PlannedOrders[WeekIndex],26)&amp;" ("&amp;TEXT(SUMPRODUCT(MAX((T_PlannedOrders[Part Name]=$A877)*(T_PlannedOrders[WeekIndex]=26)*(T_PlannedOrders[EffectiveQty]&gt;0)*T_PlannedOrders[Order_Month])),"m月")&amp;"発注)")</f>
        <v/>
      </c>
      <c r="AD921">
        <f>IF(SUMIFS(T_PlannedOrders[EffectiveQty],T_PlannedOrders[Part Name],$A877,T_PlannedOrders[WeekIndex],27)=0,"",SUMIFS(T_PlannedOrders[EffectiveQty],T_PlannedOrders[Part Name],$A877,T_PlannedOrders[WeekIndex],27)&amp;" ("&amp;TEXT(SUMPRODUCT(MAX((T_PlannedOrders[Part Name]=$A877)*(T_PlannedOrders[WeekIndex]=27)*(T_PlannedOrders[EffectiveQty]&gt;0)*T_PlannedOrders[Order_Month])),"m月")&amp;"発注)")</f>
        <v/>
      </c>
      <c r="AE921">
        <f>IF(SUMIFS(T_PlannedOrders[EffectiveQty],T_PlannedOrders[Part Name],$A877,T_PlannedOrders[WeekIndex],28)=0,"",SUMIFS(T_PlannedOrders[EffectiveQty],T_PlannedOrders[Part Name],$A877,T_PlannedOrders[WeekIndex],28)&amp;" ("&amp;TEXT(SUMPRODUCT(MAX((T_PlannedOrders[Part Name]=$A877)*(T_PlannedOrders[WeekIndex]=28)*(T_PlannedOrders[EffectiveQty]&gt;0)*T_PlannedOrders[Order_Month])),"m月")&amp;"発注)")</f>
        <v/>
      </c>
      <c r="AF921">
        <f>IF(SUMIFS(T_PlannedOrders[EffectiveQty],T_PlannedOrders[Part Name],$A877,T_PlannedOrders[WeekIndex],29)=0,"",SUMIFS(T_PlannedOrders[EffectiveQty],T_PlannedOrders[Part Name],$A877,T_PlannedOrders[WeekIndex],29)&amp;" ("&amp;TEXT(SUMPRODUCT(MAX((T_PlannedOrders[Part Name]=$A877)*(T_PlannedOrders[WeekIndex]=29)*(T_PlannedOrders[EffectiveQty]&gt;0)*T_PlannedOrders[Order_Month])),"m月")&amp;"発注)")</f>
        <v/>
      </c>
      <c r="AG921">
        <f>IF(SUMIFS(T_PlannedOrders[EffectiveQty],T_PlannedOrders[Part Name],$A877,T_PlannedOrders[WeekIndex],30)=0,"",SUMIFS(T_PlannedOrders[EffectiveQty],T_PlannedOrders[Part Name],$A877,T_PlannedOrders[WeekIndex],30)&amp;" ("&amp;TEXT(SUMPRODUCT(MAX((T_PlannedOrders[Part Name]=$A877)*(T_PlannedOrders[WeekIndex]=30)*(T_PlannedOrders[EffectiveQty]&gt;0)*T_PlannedOrders[Order_Month])),"m月")&amp;"発注)")</f>
        <v/>
      </c>
      <c r="AH921">
        <f>IF(SUMIFS(T_PlannedOrders[EffectiveQty],T_PlannedOrders[Part Name],$A877,T_PlannedOrders[WeekIndex],31)=0,"",SUMIFS(T_PlannedOrders[EffectiveQty],T_PlannedOrders[Part Name],$A877,T_PlannedOrders[WeekIndex],31)&amp;" ("&amp;TEXT(SUMPRODUCT(MAX((T_PlannedOrders[Part Name]=$A877)*(T_PlannedOrders[WeekIndex]=31)*(T_PlannedOrders[EffectiveQty]&gt;0)*T_PlannedOrders[Order_Month])),"m月")&amp;"発注)")</f>
        <v/>
      </c>
      <c r="AI921">
        <f>IF(SUMIFS(T_PlannedOrders[EffectiveQty],T_PlannedOrders[Part Name],$A877,T_PlannedOrders[WeekIndex],32)=0,"",SUMIFS(T_PlannedOrders[EffectiveQty],T_PlannedOrders[Part Name],$A877,T_PlannedOrders[WeekIndex],32)&amp;" ("&amp;TEXT(SUMPRODUCT(MAX((T_PlannedOrders[Part Name]=$A877)*(T_PlannedOrders[WeekIndex]=32)*(T_PlannedOrders[EffectiveQty]&gt;0)*T_PlannedOrders[Order_Month])),"m月")&amp;"発注)")</f>
        <v/>
      </c>
      <c r="AJ921">
        <f>IF(SUMIFS(T_PlannedOrders[EffectiveQty],T_PlannedOrders[Part Name],$A877,T_PlannedOrders[WeekIndex],33)=0,"",SUMIFS(T_PlannedOrders[EffectiveQty],T_PlannedOrders[Part Name],$A877,T_PlannedOrders[WeekIndex],33)&amp;" ("&amp;TEXT(SUMPRODUCT(MAX((T_PlannedOrders[Part Name]=$A877)*(T_PlannedOrders[WeekIndex]=33)*(T_PlannedOrders[EffectiveQty]&gt;0)*T_PlannedOrders[Order_Month])),"m月")&amp;"発注)")</f>
        <v/>
      </c>
      <c r="AK921">
        <f>IF(SUMIFS(T_PlannedOrders[EffectiveQty],T_PlannedOrders[Part Name],$A877,T_PlannedOrders[WeekIndex],34)=0,"",SUMIFS(T_PlannedOrders[EffectiveQty],T_PlannedOrders[Part Name],$A877,T_PlannedOrders[WeekIndex],34)&amp;" ("&amp;TEXT(SUMPRODUCT(MAX((T_PlannedOrders[Part Name]=$A877)*(T_PlannedOrders[WeekIndex]=34)*(T_PlannedOrders[EffectiveQty]&gt;0)*T_PlannedOrders[Order_Month])),"m月")&amp;"発注)")</f>
        <v/>
      </c>
      <c r="AL921">
        <f>IF(SUMIFS(T_PlannedOrders[EffectiveQty],T_PlannedOrders[Part Name],$A877,T_PlannedOrders[WeekIndex],35)=0,"",SUMIFS(T_PlannedOrders[EffectiveQty],T_PlannedOrders[Part Name],$A877,T_PlannedOrders[WeekIndex],35)&amp;" ("&amp;TEXT(SUMPRODUCT(MAX((T_PlannedOrders[Part Name]=$A877)*(T_PlannedOrders[WeekIndex]=35)*(T_PlannedOrders[EffectiveQty]&gt;0)*T_PlannedOrders[Order_Month])),"m月")&amp;"発注)")</f>
        <v/>
      </c>
      <c r="AM921">
        <f>IF(SUMIFS(T_PlannedOrders[EffectiveQty],T_PlannedOrders[Part Name],$A877,T_PlannedOrders[WeekIndex],36)=0,"",SUMIFS(T_PlannedOrders[EffectiveQty],T_PlannedOrders[Part Name],$A877,T_PlannedOrders[WeekIndex],36)&amp;" ("&amp;TEXT(SUMPRODUCT(MAX((T_PlannedOrders[Part Name]=$A877)*(T_PlannedOrders[WeekIndex]=36)*(T_PlannedOrders[EffectiveQty]&gt;0)*T_PlannedOrders[Order_Month])),"m月")&amp;"発注)")</f>
        <v/>
      </c>
      <c r="AN921">
        <f>IF(SUMIFS(T_PlannedOrders[EffectiveQty],T_PlannedOrders[Part Name],$A877,T_PlannedOrders[WeekIndex],37)=0,"",SUMIFS(T_PlannedOrders[EffectiveQty],T_PlannedOrders[Part Name],$A877,T_PlannedOrders[WeekIndex],37)&amp;" ("&amp;TEXT(SUMPRODUCT(MAX((T_PlannedOrders[Part Name]=$A877)*(T_PlannedOrders[WeekIndex]=37)*(T_PlannedOrders[EffectiveQty]&gt;0)*T_PlannedOrders[Order_Month])),"m月")&amp;"発注)")</f>
        <v/>
      </c>
      <c r="AO921">
        <f>IF(SUMIFS(T_PlannedOrders[EffectiveQty],T_PlannedOrders[Part Name],$A877,T_PlannedOrders[WeekIndex],38)=0,"",SUMIFS(T_PlannedOrders[EffectiveQty],T_PlannedOrders[Part Name],$A877,T_PlannedOrders[WeekIndex],38)&amp;" ("&amp;TEXT(SUMPRODUCT(MAX((T_PlannedOrders[Part Name]=$A877)*(T_PlannedOrders[WeekIndex]=38)*(T_PlannedOrders[EffectiveQty]&gt;0)*T_PlannedOrders[Order_Month])),"m月")&amp;"発注)")</f>
        <v/>
      </c>
      <c r="AP921">
        <f>IF(SUMIFS(T_PlannedOrders[EffectiveQty],T_PlannedOrders[Part Name],$A877,T_PlannedOrders[WeekIndex],39)=0,"",SUMIFS(T_PlannedOrders[EffectiveQty],T_PlannedOrders[Part Name],$A877,T_PlannedOrders[WeekIndex],39)&amp;" ("&amp;TEXT(SUMPRODUCT(MAX((T_PlannedOrders[Part Name]=$A877)*(T_PlannedOrders[WeekIndex]=39)*(T_PlannedOrders[EffectiveQty]&gt;0)*T_PlannedOrders[Order_Month])),"m月")&amp;"発注)")</f>
        <v/>
      </c>
      <c r="AQ921">
        <f>IF(SUMIFS(T_PlannedOrders[EffectiveQty],T_PlannedOrders[Part Name],$A877,T_PlannedOrders[WeekIndex],40)=0,"",SUMIFS(T_PlannedOrders[EffectiveQty],T_PlannedOrders[Part Name],$A877,T_PlannedOrders[WeekIndex],40)&amp;" ("&amp;TEXT(SUMPRODUCT(MAX((T_PlannedOrders[Part Name]=$A877)*(T_PlannedOrders[WeekIndex]=40)*(T_PlannedOrders[EffectiveQty]&gt;0)*T_PlannedOrders[Order_Month])),"m月")&amp;"発注)")</f>
        <v/>
      </c>
      <c r="AR921">
        <f>IF(SUMIFS(T_PlannedOrders[EffectiveQty],T_PlannedOrders[Part Name],$A877,T_PlannedOrders[WeekIndex],41)=0,"",SUMIFS(T_PlannedOrders[EffectiveQty],T_PlannedOrders[Part Name],$A877,T_PlannedOrders[WeekIndex],41)&amp;" ("&amp;TEXT(SUMPRODUCT(MAX((T_PlannedOrders[Part Name]=$A877)*(T_PlannedOrders[WeekIndex]=41)*(T_PlannedOrders[EffectiveQty]&gt;0)*T_PlannedOrders[Order_Month])),"m月")&amp;"発注)")</f>
        <v/>
      </c>
      <c r="AS921">
        <f>IF(SUMIFS(T_PlannedOrders[EffectiveQty],T_PlannedOrders[Part Name],$A877,T_PlannedOrders[WeekIndex],42)=0,"",SUMIFS(T_PlannedOrders[EffectiveQty],T_PlannedOrders[Part Name],$A877,T_PlannedOrders[WeekIndex],42)&amp;" ("&amp;TEXT(SUMPRODUCT(MAX((T_PlannedOrders[Part Name]=$A877)*(T_PlannedOrders[WeekIndex]=42)*(T_PlannedOrders[EffectiveQty]&gt;0)*T_PlannedOrders[Order_Month])),"m月")&amp;"発注)")</f>
        <v/>
      </c>
      <c r="AT921">
        <f>IF(SUMIFS(T_PlannedOrders[EffectiveQty],T_PlannedOrders[Part Name],$A877,T_PlannedOrders[WeekIndex],43)=0,"",SUMIFS(T_PlannedOrders[EffectiveQty],T_PlannedOrders[Part Name],$A877,T_PlannedOrders[WeekIndex],43)&amp;" ("&amp;TEXT(SUMPRODUCT(MAX((T_PlannedOrders[Part Name]=$A877)*(T_PlannedOrders[WeekIndex]=43)*(T_PlannedOrders[EffectiveQty]&gt;0)*T_PlannedOrders[Order_Month])),"m月")&amp;"発注)")</f>
        <v/>
      </c>
      <c r="AU921">
        <f>IF(SUMIFS(T_PlannedOrders[EffectiveQty],T_PlannedOrders[Part Name],$A877,T_PlannedOrders[WeekIndex],44)=0,"",SUMIFS(T_PlannedOrders[EffectiveQty],T_PlannedOrders[Part Name],$A877,T_PlannedOrders[WeekIndex],44)&amp;" ("&amp;TEXT(SUMPRODUCT(MAX((T_PlannedOrders[Part Name]=$A877)*(T_PlannedOrders[WeekIndex]=44)*(T_PlannedOrders[EffectiveQty]&gt;0)*T_PlannedOrders[Order_Month])),"m月")&amp;"発注)")</f>
        <v/>
      </c>
      <c r="AV921">
        <f>IF(SUMIFS(T_PlannedOrders[EffectiveQty],T_PlannedOrders[Part Name],$A877,T_PlannedOrders[WeekIndex],45)=0,"",SUMIFS(T_PlannedOrders[EffectiveQty],T_PlannedOrders[Part Name],$A877,T_PlannedOrders[WeekIndex],45)&amp;" ("&amp;TEXT(SUMPRODUCT(MAX((T_PlannedOrders[Part Name]=$A877)*(T_PlannedOrders[WeekIndex]=45)*(T_PlannedOrders[EffectiveQty]&gt;0)*T_PlannedOrders[Order_Month])),"m月")&amp;"発注)")</f>
        <v/>
      </c>
      <c r="AW921">
        <f>IF(SUMIFS(T_PlannedOrders[EffectiveQty],T_PlannedOrders[Part Name],$A877,T_PlannedOrders[WeekIndex],46)=0,"",SUMIFS(T_PlannedOrders[EffectiveQty],T_PlannedOrders[Part Name],$A877,T_PlannedOrders[WeekIndex],46)&amp;" ("&amp;TEXT(SUMPRODUCT(MAX((T_PlannedOrders[Part Name]=$A877)*(T_PlannedOrders[WeekIndex]=46)*(T_PlannedOrders[EffectiveQty]&gt;0)*T_PlannedOrders[Order_Month])),"m月")&amp;"発注)")</f>
        <v/>
      </c>
      <c r="AX921">
        <f>IF(SUMIFS(T_PlannedOrders[EffectiveQty],T_PlannedOrders[Part Name],$A877,T_PlannedOrders[WeekIndex],47)=0,"",SUMIFS(T_PlannedOrders[EffectiveQty],T_PlannedOrders[Part Name],$A877,T_PlannedOrders[WeekIndex],47)&amp;" ("&amp;TEXT(SUMPRODUCT(MAX((T_PlannedOrders[Part Name]=$A877)*(T_PlannedOrders[WeekIndex]=47)*(T_PlannedOrders[EffectiveQty]&gt;0)*T_PlannedOrders[Order_Month])),"m月")&amp;"発注)")</f>
        <v/>
      </c>
      <c r="AY921">
        <f>IF(SUMIFS(T_PlannedOrders[EffectiveQty],T_PlannedOrders[Part Name],$A877,T_PlannedOrders[WeekIndex],48)=0,"",SUMIFS(T_PlannedOrders[EffectiveQty],T_PlannedOrders[Part Name],$A877,T_PlannedOrders[WeekIndex],48)&amp;" ("&amp;TEXT(SUMPRODUCT(MAX((T_PlannedOrders[Part Name]=$A877)*(T_PlannedOrders[WeekIndex]=48)*(T_PlannedOrders[EffectiveQty]&gt;0)*T_PlannedOrders[Order_Month])),"m月")&amp;"発注)")</f>
        <v/>
      </c>
      <c r="AZ921">
        <f>IF(SUMIFS(T_PlannedOrders[EffectiveQty],T_PlannedOrders[Part Name],$A877,T_PlannedOrders[WeekIndex],49)=0,"",SUMIFS(T_PlannedOrders[EffectiveQty],T_PlannedOrders[Part Name],$A877,T_PlannedOrders[WeekIndex],49)&amp;" ("&amp;TEXT(SUMPRODUCT(MAX((T_PlannedOrders[Part Name]=$A877)*(T_PlannedOrders[WeekIndex]=49)*(T_PlannedOrders[EffectiveQty]&gt;0)*T_PlannedOrders[Order_Month])),"m月")&amp;"発注)")</f>
        <v/>
      </c>
      <c r="BA921">
        <f>IF(SUMIFS(T_PlannedOrders[EffectiveQty],T_PlannedOrders[Part Name],$A877,T_PlannedOrders[WeekIndex],50)=0,"",SUMIFS(T_PlannedOrders[EffectiveQty],T_PlannedOrders[Part Name],$A877,T_PlannedOrders[WeekIndex],50)&amp;" ("&amp;TEXT(SUMPRODUCT(MAX((T_PlannedOrders[Part Name]=$A877)*(T_PlannedOrders[WeekIndex]=50)*(T_PlannedOrders[EffectiveQty]&gt;0)*T_PlannedOrders[Order_Month])),"m月")&amp;"発注)")</f>
        <v/>
      </c>
      <c r="BB921">
        <f>IF(SUMIFS(T_PlannedOrders[EffectiveQty],T_PlannedOrders[Part Name],$A877,T_PlannedOrders[WeekIndex],51)=0,"",SUMIFS(T_PlannedOrders[EffectiveQty],T_PlannedOrders[Part Name],$A877,T_PlannedOrders[WeekIndex],51)&amp;" ("&amp;TEXT(SUMPRODUCT(MAX((T_PlannedOrders[Part Name]=$A877)*(T_PlannedOrders[WeekIndex]=51)*(T_PlannedOrders[EffectiveQty]&gt;0)*T_PlannedOrders[Order_Month])),"m月")&amp;"発注)")</f>
        <v/>
      </c>
      <c r="BC921">
        <f>IF(SUMIFS(T_PlannedOrders[EffectiveQty],T_PlannedOrders[Part Name],$A877,T_PlannedOrders[WeekIndex],52)=0,"",SUMIFS(T_PlannedOrders[EffectiveQty],T_PlannedOrders[Part Name],$A877,T_PlannedOrders[WeekIndex],52)&amp;" ("&amp;TEXT(SUMPRODUCT(MAX((T_PlannedOrders[Part Name]=$A877)*(T_PlannedOrders[WeekIndex]=52)*(T_PlannedOrders[EffectiveQty]&gt;0)*T_PlannedOrders[Order_Month])),"m月")&amp;"発注)")</f>
        <v/>
      </c>
      <c r="BD921">
        <f>IF(SUMIFS(T_PlannedOrders[EffectiveQty],T_PlannedOrders[Part Name],$A877,T_PlannedOrders[WeekIndex],53)=0,"",SUMIFS(T_PlannedOrders[EffectiveQty],T_PlannedOrders[Part Name],$A877,T_PlannedOrders[WeekIndex],53)&amp;" ("&amp;TEXT(SUMPRODUCT(MAX((T_PlannedOrders[Part Name]=$A877)*(T_PlannedOrders[WeekIndex]=53)*(T_PlannedOrders[EffectiveQty]&gt;0)*T_PlannedOrders[Order_Month])),"m月")&amp;"発注)")</f>
        <v/>
      </c>
      <c r="BE921">
        <f>IF(SUMIFS(T_PlannedOrders[EffectiveQty],T_PlannedOrders[Part Name],$A877,T_PlannedOrders[WeekIndex],54)=0,"",SUMIFS(T_PlannedOrders[EffectiveQty],T_PlannedOrders[Part Name],$A877,T_PlannedOrders[WeekIndex],54)&amp;" ("&amp;TEXT(SUMPRODUCT(MAX((T_PlannedOrders[Part Name]=$A877)*(T_PlannedOrders[WeekIndex]=54)*(T_PlannedOrders[EffectiveQty]&gt;0)*T_PlannedOrders[Order_Month])),"m月")&amp;"発注)")</f>
        <v/>
      </c>
      <c r="BF921">
        <f>IF(SUMIFS(T_PlannedOrders[EffectiveQty],T_PlannedOrders[Part Name],$A877,T_PlannedOrders[WeekIndex],55)=0,"",SUMIFS(T_PlannedOrders[EffectiveQty],T_PlannedOrders[Part Name],$A877,T_PlannedOrders[WeekIndex],55)&amp;" ("&amp;TEXT(SUMPRODUCT(MAX((T_PlannedOrders[Part Name]=$A877)*(T_PlannedOrders[WeekIndex]=55)*(T_PlannedOrders[EffectiveQty]&gt;0)*T_PlannedOrders[Order_Month])),"m月")&amp;"発注)")</f>
        <v/>
      </c>
      <c r="BG921">
        <f>IF(SUMIFS(T_PlannedOrders[EffectiveQty],T_PlannedOrders[Part Name],$A877,T_PlannedOrders[WeekIndex],56)=0,"",SUMIFS(T_PlannedOrders[EffectiveQty],T_PlannedOrders[Part Name],$A877,T_PlannedOrders[WeekIndex],56)&amp;" ("&amp;TEXT(SUMPRODUCT(MAX((T_PlannedOrders[Part Name]=$A877)*(T_PlannedOrders[WeekIndex]=56)*(T_PlannedOrders[EffectiveQty]&gt;0)*T_PlannedOrders[Order_Month])),"m月")&amp;"発注)")</f>
        <v/>
      </c>
      <c r="BH921">
        <f>IF(SUMIFS(T_PlannedOrders[EffectiveQty],T_PlannedOrders[Part Name],$A877,T_PlannedOrders[WeekIndex],57)=0,"",SUMIFS(T_PlannedOrders[EffectiveQty],T_PlannedOrders[Part Name],$A877,T_PlannedOrders[WeekIndex],57)&amp;" ("&amp;TEXT(SUMPRODUCT(MAX((T_PlannedOrders[Part Name]=$A877)*(T_PlannedOrders[WeekIndex]=57)*(T_PlannedOrders[EffectiveQty]&gt;0)*T_PlannedOrders[Order_Month])),"m月")&amp;"発注)")</f>
        <v/>
      </c>
      <c r="BI921">
        <f>IF(SUMIFS(T_PlannedOrders[EffectiveQty],T_PlannedOrders[Part Name],$A877,T_PlannedOrders[WeekIndex],58)=0,"",SUMIFS(T_PlannedOrders[EffectiveQty],T_PlannedOrders[Part Name],$A877,T_PlannedOrders[WeekIndex],58)&amp;" ("&amp;TEXT(SUMPRODUCT(MAX((T_PlannedOrders[Part Name]=$A877)*(T_PlannedOrders[WeekIndex]=58)*(T_PlannedOrders[EffectiveQty]&gt;0)*T_PlannedOrders[Order_Month])),"m月")&amp;"発注)")</f>
        <v/>
      </c>
      <c r="BJ921">
        <f>IF(SUMIFS(T_PlannedOrders[EffectiveQty],T_PlannedOrders[Part Name],$A877,T_PlannedOrders[WeekIndex],59)=0,"",SUMIFS(T_PlannedOrders[EffectiveQty],T_PlannedOrders[Part Name],$A877,T_PlannedOrders[WeekIndex],59)&amp;" ("&amp;TEXT(SUMPRODUCT(MAX((T_PlannedOrders[Part Name]=$A877)*(T_PlannedOrders[WeekIndex]=59)*(T_PlannedOrders[EffectiveQty]&gt;0)*T_PlannedOrders[Order_Month])),"m月")&amp;"発注)")</f>
        <v/>
      </c>
      <c r="BK921">
        <f>IF(SUMIFS(T_PlannedOrders[EffectiveQty],T_PlannedOrders[Part Name],$A877,T_PlannedOrders[WeekIndex],60)=0,"",SUMIFS(T_PlannedOrders[EffectiveQty],T_PlannedOrders[Part Name],$A877,T_PlannedOrders[WeekIndex],60)&amp;" ("&amp;TEXT(SUMPRODUCT(MAX((T_PlannedOrders[Part Name]=$A877)*(T_PlannedOrders[WeekIndex]=60)*(T_PlannedOrders[EffectiveQty]&gt;0)*T_PlannedOrders[Order_Month])),"m月")&amp;"発注)")</f>
        <v/>
      </c>
      <c r="BL921">
        <f>IF(SUMIFS(T_PlannedOrders[EffectiveQty],T_PlannedOrders[Part Name],$A877,T_PlannedOrders[WeekIndex],61)=0,"",SUMIFS(T_PlannedOrders[EffectiveQty],T_PlannedOrders[Part Name],$A877,T_PlannedOrders[WeekIndex],61)&amp;" ("&amp;TEXT(SUMPRODUCT(MAX((T_PlannedOrders[Part Name]=$A877)*(T_PlannedOrders[WeekIndex]=61)*(T_PlannedOrders[EffectiveQty]&gt;0)*T_PlannedOrders[Order_Month])),"m月")&amp;"発注)")</f>
        <v/>
      </c>
      <c r="BM921">
        <f>IF(SUMIFS(T_PlannedOrders[EffectiveQty],T_PlannedOrders[Part Name],$A877,T_PlannedOrders[WeekIndex],62)=0,"",SUMIFS(T_PlannedOrders[EffectiveQty],T_PlannedOrders[Part Name],$A877,T_PlannedOrders[WeekIndex],62)&amp;" ("&amp;TEXT(SUMPRODUCT(MAX((T_PlannedOrders[Part Name]=$A877)*(T_PlannedOrders[WeekIndex]=62)*(T_PlannedOrders[EffectiveQty]&gt;0)*T_PlannedOrders[Order_Month])),"m月")&amp;"発注)")</f>
        <v/>
      </c>
      <c r="BN921">
        <f>IF(SUMIFS(T_PlannedOrders[EffectiveQty],T_PlannedOrders[Part Name],$A877,T_PlannedOrders[WeekIndex],63)=0,"",SUMIFS(T_PlannedOrders[EffectiveQty],T_PlannedOrders[Part Name],$A877,T_PlannedOrders[WeekIndex],63)&amp;" ("&amp;TEXT(SUMPRODUCT(MAX((T_PlannedOrders[Part Name]=$A877)*(T_PlannedOrders[WeekIndex]=63)*(T_PlannedOrders[EffectiveQty]&gt;0)*T_PlannedOrders[Order_Month])),"m月")&amp;"発注)")</f>
        <v/>
      </c>
      <c r="BO921">
        <f>IF(SUMIFS(T_PlannedOrders[EffectiveQty],T_PlannedOrders[Part Name],$A877,T_PlannedOrders[WeekIndex],64)=0,"",SUMIFS(T_PlannedOrders[EffectiveQty],T_PlannedOrders[Part Name],$A877,T_PlannedOrders[WeekIndex],64)&amp;" ("&amp;TEXT(SUMPRODUCT(MAX((T_PlannedOrders[Part Name]=$A877)*(T_PlannedOrders[WeekIndex]=64)*(T_PlannedOrders[EffectiveQty]&gt;0)*T_PlannedOrders[Order_Month])),"m月")&amp;"発注)")</f>
        <v/>
      </c>
      <c r="BP921">
        <f>IF(SUMIFS(T_PlannedOrders[EffectiveQty],T_PlannedOrders[Part Name],$A877,T_PlannedOrders[WeekIndex],65)=0,"",SUMIFS(T_PlannedOrders[EffectiveQty],T_PlannedOrders[Part Name],$A877,T_PlannedOrders[WeekIndex],65)&amp;" ("&amp;TEXT(SUMPRODUCT(MAX((T_PlannedOrders[Part Name]=$A877)*(T_PlannedOrders[WeekIndex]=65)*(T_PlannedOrders[EffectiveQty]&gt;0)*T_PlannedOrders[Order_Month])),"m月")&amp;"発注)")</f>
        <v/>
      </c>
      <c r="BQ921">
        <f>IF(SUMIFS(T_PlannedOrders[EffectiveQty],T_PlannedOrders[Part Name],$A877,T_PlannedOrders[WeekIndex],66)=0,"",SUMIFS(T_PlannedOrders[EffectiveQty],T_PlannedOrders[Part Name],$A877,T_PlannedOrders[WeekIndex],66)&amp;" ("&amp;TEXT(SUMPRODUCT(MAX((T_PlannedOrders[Part Name]=$A877)*(T_PlannedOrders[WeekIndex]=66)*(T_PlannedOrders[EffectiveQty]&gt;0)*T_PlannedOrders[Order_Month])),"m月")&amp;"発注)")</f>
        <v/>
      </c>
      <c r="BR921">
        <f>IF(SUMIFS(T_PlannedOrders[EffectiveQty],T_PlannedOrders[Part Name],$A877,T_PlannedOrders[WeekIndex],67)=0,"",SUMIFS(T_PlannedOrders[EffectiveQty],T_PlannedOrders[Part Name],$A877,T_PlannedOrders[WeekIndex],67)&amp;" ("&amp;TEXT(SUMPRODUCT(MAX((T_PlannedOrders[Part Name]=$A877)*(T_PlannedOrders[WeekIndex]=67)*(T_PlannedOrders[EffectiveQty]&gt;0)*T_PlannedOrders[Order_Month])),"m月")&amp;"発注)")</f>
        <v/>
      </c>
      <c r="BS921">
        <f>IF(SUMIFS(T_PlannedOrders[EffectiveQty],T_PlannedOrders[Part Name],$A877,T_PlannedOrders[WeekIndex],68)=0,"",SUMIFS(T_PlannedOrders[EffectiveQty],T_PlannedOrders[Part Name],$A877,T_PlannedOrders[WeekIndex],68)&amp;" ("&amp;TEXT(SUMPRODUCT(MAX((T_PlannedOrders[Part Name]=$A877)*(T_PlannedOrders[WeekIndex]=68)*(T_PlannedOrders[EffectiveQty]&gt;0)*T_PlannedOrders[Order_Month])),"m月")&amp;"発注)")</f>
        <v/>
      </c>
      <c r="BT921">
        <f>IF(SUMIFS(T_PlannedOrders[EffectiveQty],T_PlannedOrders[Part Name],$A877,T_PlannedOrders[WeekIndex],69)=0,"",SUMIFS(T_PlannedOrders[EffectiveQty],T_PlannedOrders[Part Name],$A877,T_PlannedOrders[WeekIndex],69)&amp;" ("&amp;TEXT(SUMPRODUCT(MAX((T_PlannedOrders[Part Name]=$A877)*(T_PlannedOrders[WeekIndex]=69)*(T_PlannedOrders[EffectiveQty]&gt;0)*T_PlannedOrders[Order_Month])),"m月")&amp;"発注)")</f>
        <v/>
      </c>
      <c r="BU921">
        <f>IF(SUMIFS(T_PlannedOrders[EffectiveQty],T_PlannedOrders[Part Name],$A877,T_PlannedOrders[WeekIndex],70)=0,"",SUMIFS(T_PlannedOrders[EffectiveQty],T_PlannedOrders[Part Name],$A877,T_PlannedOrders[WeekIndex],70)&amp;" ("&amp;TEXT(SUMPRODUCT(MAX((T_PlannedOrders[Part Name]=$A877)*(T_PlannedOrders[WeekIndex]=70)*(T_PlannedOrders[EffectiveQty]&gt;0)*T_PlannedOrders[Order_Month])),"m月")&amp;"発注)")</f>
        <v/>
      </c>
      <c r="BV921">
        <f>IF(SUMIFS(T_PlannedOrders[EffectiveQty],T_PlannedOrders[Part Name],$A877,T_PlannedOrders[WeekIndex],71)=0,"",SUMIFS(T_PlannedOrders[EffectiveQty],T_PlannedOrders[Part Name],$A877,T_PlannedOrders[WeekIndex],71)&amp;" ("&amp;TEXT(SUMPRODUCT(MAX((T_PlannedOrders[Part Name]=$A877)*(T_PlannedOrders[WeekIndex]=71)*(T_PlannedOrders[EffectiveQty]&gt;0)*T_PlannedOrders[Order_Month])),"m月")&amp;"発注)")</f>
        <v/>
      </c>
      <c r="BW921">
        <f>IF(SUMIFS(T_PlannedOrders[EffectiveQty],T_PlannedOrders[Part Name],$A877,T_PlannedOrders[WeekIndex],72)=0,"",SUMIFS(T_PlannedOrders[EffectiveQty],T_PlannedOrders[Part Name],$A877,T_PlannedOrders[WeekIndex],72)&amp;" ("&amp;TEXT(SUMPRODUCT(MAX((T_PlannedOrders[Part Name]=$A877)*(T_PlannedOrders[WeekIndex]=72)*(T_PlannedOrders[EffectiveQty]&gt;0)*T_PlannedOrders[Order_Month])),"m月")&amp;"発注)")</f>
        <v/>
      </c>
      <c r="BX921">
        <f>IF(SUMIFS(T_PlannedOrders[EffectiveQty],T_PlannedOrders[Part Name],$A877,T_PlannedOrders[WeekIndex],73)=0,"",SUMIFS(T_PlannedOrders[EffectiveQty],T_PlannedOrders[Part Name],$A877,T_PlannedOrders[WeekIndex],73)&amp;" ("&amp;TEXT(SUMPRODUCT(MAX((T_PlannedOrders[Part Name]=$A877)*(T_PlannedOrders[WeekIndex]=73)*(T_PlannedOrders[EffectiveQty]&gt;0)*T_PlannedOrders[Order_Month])),"m月")&amp;"発注)")</f>
        <v/>
      </c>
      <c r="BY921">
        <f>IF(SUMIFS(T_PlannedOrders[EffectiveQty],T_PlannedOrders[Part Name],$A877,T_PlannedOrders[WeekIndex],74)=0,"",SUMIFS(T_PlannedOrders[EffectiveQty],T_PlannedOrders[Part Name],$A877,T_PlannedOrders[WeekIndex],74)&amp;" ("&amp;TEXT(SUMPRODUCT(MAX((T_PlannedOrders[Part Name]=$A877)*(T_PlannedOrders[WeekIndex]=74)*(T_PlannedOrders[EffectiveQty]&gt;0)*T_PlannedOrders[Order_Month])),"m月")&amp;"発注)")</f>
        <v/>
      </c>
      <c r="BZ921">
        <f>IF(SUMIFS(T_PlannedOrders[EffectiveQty],T_PlannedOrders[Part Name],$A877,T_PlannedOrders[WeekIndex],75)=0,"",SUMIFS(T_PlannedOrders[EffectiveQty],T_PlannedOrders[Part Name],$A877,T_PlannedOrders[WeekIndex],75)&amp;" ("&amp;TEXT(SUMPRODUCT(MAX((T_PlannedOrders[Part Name]=$A877)*(T_PlannedOrders[WeekIndex]=75)*(T_PlannedOrders[EffectiveQty]&gt;0)*T_PlannedOrders[Order_Month])),"m月")&amp;"発注)")</f>
        <v/>
      </c>
      <c r="CA921">
        <f>IF(SUMIFS(T_PlannedOrders[EffectiveQty],T_PlannedOrders[Part Name],$A877,T_PlannedOrders[WeekIndex],76)=0,"",SUMIFS(T_PlannedOrders[EffectiveQty],T_PlannedOrders[Part Name],$A877,T_PlannedOrders[WeekIndex],76)&amp;" ("&amp;TEXT(SUMPRODUCT(MAX((T_PlannedOrders[Part Name]=$A877)*(T_PlannedOrders[WeekIndex]=76)*(T_PlannedOrders[EffectiveQty]&gt;0)*T_PlannedOrders[Order_Month])),"m月")&amp;"発注)")</f>
        <v/>
      </c>
      <c r="CB921">
        <f>IF(SUMIFS(T_PlannedOrders[EffectiveQty],T_PlannedOrders[Part Name],$A877,T_PlannedOrders[WeekIndex],77)=0,"",SUMIFS(T_PlannedOrders[EffectiveQty],T_PlannedOrders[Part Name],$A877,T_PlannedOrders[WeekIndex],77)&amp;" ("&amp;TEXT(SUMPRODUCT(MAX((T_PlannedOrders[Part Name]=$A877)*(T_PlannedOrders[WeekIndex]=77)*(T_PlannedOrders[EffectiveQty]&gt;0)*T_PlannedOrders[Order_Month])),"m月")&amp;"発注)")</f>
        <v/>
      </c>
      <c r="CC921">
        <f>IF(SUMIFS(T_PlannedOrders[EffectiveQty],T_PlannedOrders[Part Name],$A877,T_PlannedOrders[WeekIndex],78)=0,"",SUMIFS(T_PlannedOrders[EffectiveQty],T_PlannedOrders[Part Name],$A877,T_PlannedOrders[WeekIndex],78)&amp;" ("&amp;TEXT(SUMPRODUCT(MAX((T_PlannedOrders[Part Name]=$A877)*(T_PlannedOrders[WeekIndex]=78)*(T_PlannedOrders[EffectiveQty]&gt;0)*T_PlannedOrders[Order_Month])),"m月")&amp;"発注)")</f>
        <v/>
      </c>
      <c r="CD921">
        <f>IF(SUMIFS(T_PlannedOrders[EffectiveQty],T_PlannedOrders[Part Name],$A877,T_PlannedOrders[WeekIndex],79)=0,"",SUMIFS(T_PlannedOrders[EffectiveQty],T_PlannedOrders[Part Name],$A877,T_PlannedOrders[WeekIndex],79)&amp;" ("&amp;TEXT(SUMPRODUCT(MAX((T_PlannedOrders[Part Name]=$A877)*(T_PlannedOrders[WeekIndex]=79)*(T_PlannedOrders[EffectiveQty]&gt;0)*T_PlannedOrders[Order_Month])),"m月")&amp;"発注)")</f>
        <v/>
      </c>
      <c r="CE921">
        <f>IF(SUMIFS(T_PlannedOrders[EffectiveQty],T_PlannedOrders[Part Name],$A877,T_PlannedOrders[WeekIndex],80)=0,"",SUMIFS(T_PlannedOrders[EffectiveQty],T_PlannedOrders[Part Name],$A877,T_PlannedOrders[WeekIndex],80)&amp;" ("&amp;TEXT(SUMPRODUCT(MAX((T_PlannedOrders[Part Name]=$A877)*(T_PlannedOrders[WeekIndex]=80)*(T_PlannedOrders[EffectiveQty]&gt;0)*T_PlannedOrders[Order_Month])),"m月")&amp;"発注)")</f>
        <v/>
      </c>
      <c r="CF921">
        <f>IF(SUMIFS(T_PlannedOrders[EffectiveQty],T_PlannedOrders[Part Name],$A877,T_PlannedOrders[WeekIndex],81)=0,"",SUMIFS(T_PlannedOrders[EffectiveQty],T_PlannedOrders[Part Name],$A877,T_PlannedOrders[WeekIndex],81)&amp;" ("&amp;TEXT(SUMPRODUCT(MAX((T_PlannedOrders[Part Name]=$A877)*(T_PlannedOrders[WeekIndex]=81)*(T_PlannedOrders[EffectiveQty]&gt;0)*T_PlannedOrders[Order_Month])),"m月")&amp;"発注)")</f>
        <v/>
      </c>
      <c r="CG921">
        <f>IF(SUMIFS(T_PlannedOrders[EffectiveQty],T_PlannedOrders[Part Name],$A877,T_PlannedOrders[WeekIndex],82)=0,"",SUMIFS(T_PlannedOrders[EffectiveQty],T_PlannedOrders[Part Name],$A877,T_PlannedOrders[WeekIndex],82)&amp;" ("&amp;TEXT(SUMPRODUCT(MAX((T_PlannedOrders[Part Name]=$A877)*(T_PlannedOrders[WeekIndex]=82)*(T_PlannedOrders[EffectiveQty]&gt;0)*T_PlannedOrders[Order_Month])),"m月")&amp;"発注)")</f>
        <v/>
      </c>
      <c r="CH921">
        <f>IF(SUMIFS(T_PlannedOrders[EffectiveQty],T_PlannedOrders[Part Name],$A877,T_PlannedOrders[WeekIndex],83)=0,"",SUMIFS(T_PlannedOrders[EffectiveQty],T_PlannedOrders[Part Name],$A877,T_PlannedOrders[WeekIndex],83)&amp;" ("&amp;TEXT(SUMPRODUCT(MAX((T_PlannedOrders[Part Name]=$A877)*(T_PlannedOrders[WeekIndex]=83)*(T_PlannedOrders[EffectiveQty]&gt;0)*T_PlannedOrders[Order_Month])),"m月")&amp;"発注)")</f>
        <v/>
      </c>
      <c r="CI921">
        <f>IF(SUMIFS(T_PlannedOrders[EffectiveQty],T_PlannedOrders[Part Name],$A877,T_PlannedOrders[WeekIndex],84)=0,"",SUMIFS(T_PlannedOrders[EffectiveQty],T_PlannedOrders[Part Name],$A877,T_PlannedOrders[WeekIndex],84)&amp;" ("&amp;TEXT(SUMPRODUCT(MAX((T_PlannedOrders[Part Name]=$A877)*(T_PlannedOrders[WeekIndex]=84)*(T_PlannedOrders[EffectiveQty]&gt;0)*T_PlannedOrders[Order_Month])),"m月")&amp;"発注)")</f>
        <v/>
      </c>
      <c r="CJ921">
        <f>IF(SUMIFS(T_PlannedOrders[EffectiveQty],T_PlannedOrders[Part Name],$A877,T_PlannedOrders[WeekIndex],85)=0,"",SUMIFS(T_PlannedOrders[EffectiveQty],T_PlannedOrders[Part Name],$A877,T_PlannedOrders[WeekIndex],85)&amp;" ("&amp;TEXT(SUMPRODUCT(MAX((T_PlannedOrders[Part Name]=$A877)*(T_PlannedOrders[WeekIndex]=85)*(T_PlannedOrders[EffectiveQty]&gt;0)*T_PlannedOrders[Order_Month])),"m月")&amp;"発注)")</f>
        <v/>
      </c>
      <c r="CK921">
        <f>IF(SUMIFS(T_PlannedOrders[EffectiveQty],T_PlannedOrders[Part Name],$A877,T_PlannedOrders[WeekIndex],86)=0,"",SUMIFS(T_PlannedOrders[EffectiveQty],T_PlannedOrders[Part Name],$A877,T_PlannedOrders[WeekIndex],86)&amp;" ("&amp;TEXT(SUMPRODUCT(MAX((T_PlannedOrders[Part Name]=$A877)*(T_PlannedOrders[WeekIndex]=86)*(T_PlannedOrders[EffectiveQty]&gt;0)*T_PlannedOrders[Order_Month])),"m月")&amp;"発注)")</f>
        <v/>
      </c>
      <c r="CL921">
        <f>IF(SUMIFS(T_PlannedOrders[EffectiveQty],T_PlannedOrders[Part Name],$A877,T_PlannedOrders[WeekIndex],87)=0,"",SUMIFS(T_PlannedOrders[EffectiveQty],T_PlannedOrders[Part Name],$A877,T_PlannedOrders[WeekIndex],87)&amp;" ("&amp;TEXT(SUMPRODUCT(MAX((T_PlannedOrders[Part Name]=$A877)*(T_PlannedOrders[WeekIndex]=87)*(T_PlannedOrders[EffectiveQty]&gt;0)*T_PlannedOrders[Order_Month])),"m月")&amp;"発注)")</f>
        <v/>
      </c>
      <c r="CM921">
        <f>IF(SUMIFS(T_PlannedOrders[EffectiveQty],T_PlannedOrders[Part Name],$A877,T_PlannedOrders[WeekIndex],88)=0,"",SUMIFS(T_PlannedOrders[EffectiveQty],T_PlannedOrders[Part Name],$A877,T_PlannedOrders[WeekIndex],88)&amp;" ("&amp;TEXT(SUMPRODUCT(MAX((T_PlannedOrders[Part Name]=$A877)*(T_PlannedOrders[WeekIndex]=88)*(T_PlannedOrders[EffectiveQty]&gt;0)*T_PlannedOrders[Order_Month])),"m月")&amp;"発注)")</f>
        <v/>
      </c>
      <c r="CN921">
        <f>IF(SUMIFS(T_PlannedOrders[EffectiveQty],T_PlannedOrders[Part Name],$A877,T_PlannedOrders[WeekIndex],89)=0,"",SUMIFS(T_PlannedOrders[EffectiveQty],T_PlannedOrders[Part Name],$A877,T_PlannedOrders[WeekIndex],89)&amp;" ("&amp;TEXT(SUMPRODUCT(MAX((T_PlannedOrders[Part Name]=$A877)*(T_PlannedOrders[WeekIndex]=89)*(T_PlannedOrders[EffectiveQty]&gt;0)*T_PlannedOrders[Order_Month])),"m月")&amp;"発注)")</f>
        <v/>
      </c>
      <c r="CO921">
        <f>IF(SUMIFS(T_PlannedOrders[EffectiveQty],T_PlannedOrders[Part Name],$A877,T_PlannedOrders[WeekIndex],90)=0,"",SUMIFS(T_PlannedOrders[EffectiveQty],T_PlannedOrders[Part Name],$A877,T_PlannedOrders[WeekIndex],90)&amp;" ("&amp;TEXT(SUMPRODUCT(MAX((T_PlannedOrders[Part Name]=$A877)*(T_PlannedOrders[WeekIndex]=90)*(T_PlannedOrders[EffectiveQty]&gt;0)*T_PlannedOrders[Order_Month])),"m月")&amp;"発注)")</f>
        <v/>
      </c>
      <c r="CP921">
        <f>IF(SUMIFS(T_PlannedOrders[EffectiveQty],T_PlannedOrders[Part Name],$A877,T_PlannedOrders[WeekIndex],91)=0,"",SUMIFS(T_PlannedOrders[EffectiveQty],T_PlannedOrders[Part Name],$A877,T_PlannedOrders[WeekIndex],91)&amp;" ("&amp;TEXT(SUMPRODUCT(MAX((T_PlannedOrders[Part Name]=$A877)*(T_PlannedOrders[WeekIndex]=91)*(T_PlannedOrders[EffectiveQty]&gt;0)*T_PlannedOrders[Order_Month])),"m月")&amp;"発注)")</f>
        <v/>
      </c>
      <c r="CQ921">
        <f>IF(SUMIFS(T_PlannedOrders[EffectiveQty],T_PlannedOrders[Part Name],$A877,T_PlannedOrders[WeekIndex],92)=0,"",SUMIFS(T_PlannedOrders[EffectiveQty],T_PlannedOrders[Part Name],$A877,T_PlannedOrders[WeekIndex],92)&amp;" ("&amp;TEXT(SUMPRODUCT(MAX((T_PlannedOrders[Part Name]=$A877)*(T_PlannedOrders[WeekIndex]=92)*(T_PlannedOrders[EffectiveQty]&gt;0)*T_PlannedOrders[Order_Month])),"m月")&amp;"発注)")</f>
        <v/>
      </c>
      <c r="CR921">
        <f>IF(SUMIFS(T_PlannedOrders[EffectiveQty],T_PlannedOrders[Part Name],$A877,T_PlannedOrders[WeekIndex],93)=0,"",SUMIFS(T_PlannedOrders[EffectiveQty],T_PlannedOrders[Part Name],$A877,T_PlannedOrders[WeekIndex],93)&amp;" ("&amp;TEXT(SUMPRODUCT(MAX((T_PlannedOrders[Part Name]=$A877)*(T_PlannedOrders[WeekIndex]=93)*(T_PlannedOrders[EffectiveQty]&gt;0)*T_PlannedOrders[Order_Month])),"m月")&amp;"発注)")</f>
        <v/>
      </c>
      <c r="CS921">
        <f>IF(SUMIFS(T_PlannedOrders[EffectiveQty],T_PlannedOrders[Part Name],$A877,T_PlannedOrders[WeekIndex],94)=0,"",SUMIFS(T_PlannedOrders[EffectiveQty],T_PlannedOrders[Part Name],$A877,T_PlannedOrders[WeekIndex],94)&amp;" ("&amp;TEXT(SUMPRODUCT(MAX((T_PlannedOrders[Part Name]=$A877)*(T_PlannedOrders[WeekIndex]=94)*(T_PlannedOrders[EffectiveQty]&gt;0)*T_PlannedOrders[Order_Month])),"m月")&amp;"発注)")</f>
        <v/>
      </c>
      <c r="CT921">
        <f>IF(SUMIFS(T_PlannedOrders[EffectiveQty],T_PlannedOrders[Part Name],$A877,T_PlannedOrders[WeekIndex],95)=0,"",SUMIFS(T_PlannedOrders[EffectiveQty],T_PlannedOrders[Part Name],$A877,T_PlannedOrders[WeekIndex],95)&amp;" ("&amp;TEXT(SUMPRODUCT(MAX((T_PlannedOrders[Part Name]=$A877)*(T_PlannedOrders[WeekIndex]=95)*(T_PlannedOrders[EffectiveQty]&gt;0)*T_PlannedOrders[Order_Month])),"m月")&amp;"発注)")</f>
        <v/>
      </c>
      <c r="CU921">
        <f>IF(SUMIFS(T_PlannedOrders[EffectiveQty],T_PlannedOrders[Part Name],$A877,T_PlannedOrders[WeekIndex],96)=0,"",SUMIFS(T_PlannedOrders[EffectiveQty],T_PlannedOrders[Part Name],$A877,T_PlannedOrders[WeekIndex],96)&amp;" ("&amp;TEXT(SUMPRODUCT(MAX((T_PlannedOrders[Part Name]=$A877)*(T_PlannedOrders[WeekIndex]=96)*(T_PlannedOrders[EffectiveQty]&gt;0)*T_PlannedOrders[Order_Month])),"m月")&amp;"発注)")</f>
        <v/>
      </c>
      <c r="CV921">
        <f>IF(SUMIFS(T_PlannedOrders[EffectiveQty],T_PlannedOrders[Part Name],$A877,T_PlannedOrders[WeekIndex],97)=0,"",SUMIFS(T_PlannedOrders[EffectiveQty],T_PlannedOrders[Part Name],$A877,T_PlannedOrders[WeekIndex],97)&amp;" ("&amp;TEXT(SUMPRODUCT(MAX((T_PlannedOrders[Part Name]=$A877)*(T_PlannedOrders[WeekIndex]=97)*(T_PlannedOrders[EffectiveQty]&gt;0)*T_PlannedOrders[Order_Month])),"m月")&amp;"発注)")</f>
        <v/>
      </c>
      <c r="CW921">
        <f>IF(SUMIFS(T_PlannedOrders[EffectiveQty],T_PlannedOrders[Part Name],$A877,T_PlannedOrders[WeekIndex],98)=0,"",SUMIFS(T_PlannedOrders[EffectiveQty],T_PlannedOrders[Part Name],$A877,T_PlannedOrders[WeekIndex],98)&amp;" ("&amp;TEXT(SUMPRODUCT(MAX((T_PlannedOrders[Part Name]=$A877)*(T_PlannedOrders[WeekIndex]=98)*(T_PlannedOrders[EffectiveQty]&gt;0)*T_PlannedOrders[Order_Month])),"m月")&amp;"発注)")</f>
        <v/>
      </c>
      <c r="CX921">
        <f>IF(SUMIFS(T_PlannedOrders[EffectiveQty],T_PlannedOrders[Part Name],$A877,T_PlannedOrders[WeekIndex],99)=0,"",SUMIFS(T_PlannedOrders[EffectiveQty],T_PlannedOrders[Part Name],$A877,T_PlannedOrders[WeekIndex],99)&amp;" ("&amp;TEXT(SUMPRODUCT(MAX((T_PlannedOrders[Part Name]=$A877)*(T_PlannedOrders[WeekIndex]=99)*(T_PlannedOrders[EffectiveQty]&gt;0)*T_PlannedOrders[Order_Month])),"m月")&amp;"発注)")</f>
        <v/>
      </c>
      <c r="CY921">
        <f>IF(SUMIFS(T_PlannedOrders[EffectiveQty],T_PlannedOrders[Part Name],$A877,T_PlannedOrders[WeekIndex],100)=0,"",SUMIFS(T_PlannedOrders[EffectiveQty],T_PlannedOrders[Part Name],$A877,T_PlannedOrders[WeekIndex],100)&amp;" ("&amp;TEXT(SUMPRODUCT(MAX((T_PlannedOrders[Part Name]=$A877)*(T_PlannedOrders[WeekIndex]=100)*(T_PlannedOrders[EffectiveQty]&gt;0)*T_PlannedOrders[Order_Month])),"m月")&amp;"発注)")</f>
        <v/>
      </c>
      <c r="CZ921">
        <f>IF(SUMIFS(T_PlannedOrders[EffectiveQty],T_PlannedOrders[Part Name],$A877,T_PlannedOrders[WeekIndex],101)=0,"",SUMIFS(T_PlannedOrders[EffectiveQty],T_PlannedOrders[Part Name],$A877,T_PlannedOrders[WeekIndex],101)&amp;" ("&amp;TEXT(SUMPRODUCT(MAX((T_PlannedOrders[Part Name]=$A877)*(T_PlannedOrders[WeekIndex]=101)*(T_PlannedOrders[EffectiveQty]&gt;0)*T_PlannedOrders[Order_Month])),"m月")&amp;"発注)")</f>
        <v/>
      </c>
      <c r="DA921">
        <f>IF(SUMIFS(T_PlannedOrders[EffectiveQty],T_PlannedOrders[Part Name],$A877,T_PlannedOrders[WeekIndex],102)=0,"",SUMIFS(T_PlannedOrders[EffectiveQty],T_PlannedOrders[Part Name],$A877,T_PlannedOrders[WeekIndex],102)&amp;" ("&amp;TEXT(SUMPRODUCT(MAX((T_PlannedOrders[Part Name]=$A877)*(T_PlannedOrders[WeekIndex]=102)*(T_PlannedOrders[EffectiveQty]&gt;0)*T_PlannedOrders[Order_Month])),"m月")&amp;"発注)")</f>
        <v/>
      </c>
      <c r="DB921">
        <f>IF(SUMIFS(T_PlannedOrders[EffectiveQty],T_PlannedOrders[Part Name],$A877,T_PlannedOrders[WeekIndex],103)=0,"",SUMIFS(T_PlannedOrders[EffectiveQty],T_PlannedOrders[Part Name],$A877,T_PlannedOrders[WeekIndex],103)&amp;" ("&amp;TEXT(SUMPRODUCT(MAX((T_PlannedOrders[Part Name]=$A877)*(T_PlannedOrders[WeekIndex]=103)*(T_PlannedOrders[EffectiveQty]&gt;0)*T_PlannedOrders[Order_Month])),"m月")&amp;"発注)")</f>
        <v/>
      </c>
      <c r="DC921">
        <f>IF(SUMIFS(T_PlannedOrders[EffectiveQty],T_PlannedOrders[Part Name],$A877,T_PlannedOrders[WeekIndex],104)=0,"",SUMIFS(T_PlannedOrders[EffectiveQty],T_PlannedOrders[Part Name],$A877,T_PlannedOrders[WeekIndex],104)&amp;" ("&amp;TEXT(SUMPRODUCT(MAX((T_PlannedOrders[Part Name]=$A877)*(T_PlannedOrders[WeekIndex]=104)*(T_PlannedOrders[EffectiveQty]&gt;0)*T_PlannedOrders[Order_Month])),"m月")&amp;"発注)")</f>
        <v/>
      </c>
    </row>
    <row r="922">
      <c r="B922" s="5" t="inlineStr">
        <is>
          <t>合計在庫(週末時点,kg)</t>
        </is>
      </c>
      <c r="D922">
        <f>'Grid_Stock'!B40</f>
        <v/>
      </c>
      <c r="E922">
        <f>'Grid_Stock'!C40</f>
        <v/>
      </c>
      <c r="F922">
        <f>'Grid_Stock'!D40</f>
        <v/>
      </c>
      <c r="G922">
        <f>'Grid_Stock'!E40</f>
        <v/>
      </c>
      <c r="H922">
        <f>'Grid_Stock'!F40</f>
        <v/>
      </c>
      <c r="I922">
        <f>'Grid_Stock'!G40</f>
        <v/>
      </c>
      <c r="J922">
        <f>'Grid_Stock'!H40</f>
        <v/>
      </c>
      <c r="K922">
        <f>'Grid_Stock'!I40</f>
        <v/>
      </c>
      <c r="L922">
        <f>'Grid_Stock'!J40</f>
        <v/>
      </c>
      <c r="M922">
        <f>'Grid_Stock'!K40</f>
        <v/>
      </c>
      <c r="N922">
        <f>'Grid_Stock'!L40</f>
        <v/>
      </c>
      <c r="O922">
        <f>'Grid_Stock'!M40</f>
        <v/>
      </c>
      <c r="P922">
        <f>'Grid_Stock'!N40</f>
        <v/>
      </c>
      <c r="Q922">
        <f>'Grid_Stock'!O40</f>
        <v/>
      </c>
      <c r="R922">
        <f>'Grid_Stock'!P40</f>
        <v/>
      </c>
      <c r="S922">
        <f>'Grid_Stock'!Q40</f>
        <v/>
      </c>
      <c r="T922">
        <f>'Grid_Stock'!R40</f>
        <v/>
      </c>
      <c r="U922">
        <f>'Grid_Stock'!S40</f>
        <v/>
      </c>
      <c r="V922">
        <f>'Grid_Stock'!T40</f>
        <v/>
      </c>
      <c r="W922">
        <f>'Grid_Stock'!U40</f>
        <v/>
      </c>
      <c r="X922">
        <f>'Grid_Stock'!V40</f>
        <v/>
      </c>
      <c r="Y922">
        <f>'Grid_Stock'!W40</f>
        <v/>
      </c>
      <c r="Z922">
        <f>'Grid_Stock'!X40</f>
        <v/>
      </c>
      <c r="AA922">
        <f>'Grid_Stock'!Y40</f>
        <v/>
      </c>
      <c r="AB922">
        <f>'Grid_Stock'!Z40</f>
        <v/>
      </c>
      <c r="AC922">
        <f>'Grid_Stock'!AA40</f>
        <v/>
      </c>
      <c r="AD922">
        <f>'Grid_Stock'!AB40</f>
        <v/>
      </c>
      <c r="AE922">
        <f>'Grid_Stock'!AC40</f>
        <v/>
      </c>
      <c r="AF922">
        <f>'Grid_Stock'!AD40</f>
        <v/>
      </c>
      <c r="AG922">
        <f>'Grid_Stock'!AE40</f>
        <v/>
      </c>
      <c r="AH922">
        <f>'Grid_Stock'!AF40</f>
        <v/>
      </c>
      <c r="AI922">
        <f>'Grid_Stock'!AG40</f>
        <v/>
      </c>
      <c r="AJ922">
        <f>'Grid_Stock'!AH40</f>
        <v/>
      </c>
      <c r="AK922">
        <f>'Grid_Stock'!AI40</f>
        <v/>
      </c>
      <c r="AL922">
        <f>'Grid_Stock'!AJ40</f>
        <v/>
      </c>
      <c r="AM922">
        <f>'Grid_Stock'!AK40</f>
        <v/>
      </c>
      <c r="AN922">
        <f>'Grid_Stock'!AL40</f>
        <v/>
      </c>
      <c r="AO922">
        <f>'Grid_Stock'!AM40</f>
        <v/>
      </c>
      <c r="AP922">
        <f>'Grid_Stock'!AN40</f>
        <v/>
      </c>
      <c r="AQ922">
        <f>'Grid_Stock'!AO40</f>
        <v/>
      </c>
      <c r="AR922">
        <f>'Grid_Stock'!AP40</f>
        <v/>
      </c>
      <c r="AS922">
        <f>'Grid_Stock'!AQ40</f>
        <v/>
      </c>
      <c r="AT922">
        <f>'Grid_Stock'!AR40</f>
        <v/>
      </c>
      <c r="AU922">
        <f>'Grid_Stock'!AS40</f>
        <v/>
      </c>
      <c r="AV922">
        <f>'Grid_Stock'!AT40</f>
        <v/>
      </c>
      <c r="AW922">
        <f>'Grid_Stock'!AU40</f>
        <v/>
      </c>
      <c r="AX922">
        <f>'Grid_Stock'!AV40</f>
        <v/>
      </c>
      <c r="AY922">
        <f>'Grid_Stock'!AW40</f>
        <v/>
      </c>
      <c r="AZ922">
        <f>'Grid_Stock'!AX40</f>
        <v/>
      </c>
      <c r="BA922">
        <f>'Grid_Stock'!AY40</f>
        <v/>
      </c>
      <c r="BB922">
        <f>'Grid_Stock'!AZ40</f>
        <v/>
      </c>
      <c r="BC922">
        <f>'Grid_Stock'!BA40</f>
        <v/>
      </c>
      <c r="BD922">
        <f>'Grid_Stock'!BB40</f>
        <v/>
      </c>
      <c r="BE922">
        <f>'Grid_Stock'!BC40</f>
        <v/>
      </c>
      <c r="BF922">
        <f>'Grid_Stock'!BD40</f>
        <v/>
      </c>
      <c r="BG922">
        <f>'Grid_Stock'!BE40</f>
        <v/>
      </c>
      <c r="BH922">
        <f>'Grid_Stock'!BF40</f>
        <v/>
      </c>
      <c r="BI922">
        <f>'Grid_Stock'!BG40</f>
        <v/>
      </c>
      <c r="BJ922">
        <f>'Grid_Stock'!BH40</f>
        <v/>
      </c>
      <c r="BK922">
        <f>'Grid_Stock'!BI40</f>
        <v/>
      </c>
      <c r="BL922">
        <f>'Grid_Stock'!BJ40</f>
        <v/>
      </c>
      <c r="BM922">
        <f>'Grid_Stock'!BK40</f>
        <v/>
      </c>
      <c r="BN922">
        <f>'Grid_Stock'!BL40</f>
        <v/>
      </c>
      <c r="BO922">
        <f>'Grid_Stock'!BM40</f>
        <v/>
      </c>
      <c r="BP922">
        <f>'Grid_Stock'!BN40</f>
        <v/>
      </c>
      <c r="BQ922">
        <f>'Grid_Stock'!BO40</f>
        <v/>
      </c>
      <c r="BR922">
        <f>'Grid_Stock'!BP40</f>
        <v/>
      </c>
      <c r="BS922">
        <f>'Grid_Stock'!BQ40</f>
        <v/>
      </c>
      <c r="BT922">
        <f>'Grid_Stock'!BR40</f>
        <v/>
      </c>
      <c r="BU922">
        <f>'Grid_Stock'!BS40</f>
        <v/>
      </c>
      <c r="BV922">
        <f>'Grid_Stock'!BT40</f>
        <v/>
      </c>
      <c r="BW922">
        <f>'Grid_Stock'!BU40</f>
        <v/>
      </c>
      <c r="BX922">
        <f>'Grid_Stock'!BV40</f>
        <v/>
      </c>
      <c r="BY922">
        <f>'Grid_Stock'!BW40</f>
        <v/>
      </c>
      <c r="BZ922">
        <f>'Grid_Stock'!BX40</f>
        <v/>
      </c>
      <c r="CA922">
        <f>'Grid_Stock'!BY40</f>
        <v/>
      </c>
      <c r="CB922">
        <f>'Grid_Stock'!BZ40</f>
        <v/>
      </c>
      <c r="CC922">
        <f>'Grid_Stock'!CA40</f>
        <v/>
      </c>
      <c r="CD922">
        <f>'Grid_Stock'!CB40</f>
        <v/>
      </c>
      <c r="CE922">
        <f>'Grid_Stock'!CC40</f>
        <v/>
      </c>
      <c r="CF922">
        <f>'Grid_Stock'!CD40</f>
        <v/>
      </c>
      <c r="CG922">
        <f>'Grid_Stock'!CE40</f>
        <v/>
      </c>
      <c r="CH922">
        <f>'Grid_Stock'!CF40</f>
        <v/>
      </c>
      <c r="CI922">
        <f>'Grid_Stock'!CG40</f>
        <v/>
      </c>
      <c r="CJ922">
        <f>'Grid_Stock'!CH40</f>
        <v/>
      </c>
      <c r="CK922">
        <f>'Grid_Stock'!CI40</f>
        <v/>
      </c>
      <c r="CL922">
        <f>'Grid_Stock'!CJ40</f>
        <v/>
      </c>
      <c r="CM922">
        <f>'Grid_Stock'!CK40</f>
        <v/>
      </c>
      <c r="CN922">
        <f>'Grid_Stock'!CL40</f>
        <v/>
      </c>
      <c r="CO922">
        <f>'Grid_Stock'!CM40</f>
        <v/>
      </c>
      <c r="CP922">
        <f>'Grid_Stock'!CN40</f>
        <v/>
      </c>
      <c r="CQ922">
        <f>'Grid_Stock'!CO40</f>
        <v/>
      </c>
      <c r="CR922">
        <f>'Grid_Stock'!CP40</f>
        <v/>
      </c>
      <c r="CS922">
        <f>'Grid_Stock'!CQ40</f>
        <v/>
      </c>
      <c r="CT922">
        <f>'Grid_Stock'!CR40</f>
        <v/>
      </c>
      <c r="CU922">
        <f>'Grid_Stock'!CS40</f>
        <v/>
      </c>
      <c r="CV922">
        <f>'Grid_Stock'!CT40</f>
        <v/>
      </c>
      <c r="CW922">
        <f>'Grid_Stock'!CU40</f>
        <v/>
      </c>
      <c r="CX922">
        <f>'Grid_Stock'!CV40</f>
        <v/>
      </c>
      <c r="CY922">
        <f>'Grid_Stock'!CW40</f>
        <v/>
      </c>
      <c r="CZ922">
        <f>'Grid_Stock'!CX40</f>
        <v/>
      </c>
      <c r="DA922">
        <f>'Grid_Stock'!CY40</f>
        <v/>
      </c>
      <c r="DB922">
        <f>'Grid_Stock'!CZ40</f>
        <v/>
      </c>
      <c r="DC922">
        <f>'Grid_Stock'!DA40</f>
        <v/>
      </c>
    </row>
    <row r="923">
      <c r="B923" s="23" t="inlineStr">
        <is>
          <t>（発注の目安はDashboardの基準在庫[下限/上限]と色分けを参照）</t>
        </is>
      </c>
    </row>
    <row r="925">
      <c r="A925" s="21" t="inlineStr">
        <is>
          <t>CHEM-1730</t>
        </is>
      </c>
      <c r="B925" s="21" t="inlineStr">
        <is>
          <t>NAT 41</t>
        </is>
      </c>
      <c r="C925" s="22" t="n"/>
      <c r="D925" s="21" t="n"/>
      <c r="E925" s="21" t="n"/>
      <c r="F925" s="21" t="n"/>
      <c r="G925" s="21" t="n"/>
      <c r="H925" s="2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  <c r="AA925" s="21" t="n"/>
      <c r="AB925" s="21" t="n"/>
      <c r="AC925" s="21" t="n"/>
      <c r="AD925" s="21" t="n"/>
      <c r="AE925" s="21" t="n"/>
      <c r="AF925" s="21" t="n"/>
      <c r="AG925" s="21" t="n"/>
      <c r="AH925" s="21" t="n"/>
      <c r="AI925" s="21" t="n"/>
      <c r="AJ925" s="21" t="n"/>
      <c r="AK925" s="21" t="n"/>
      <c r="AL925" s="21" t="n"/>
      <c r="AM925" s="21" t="n"/>
      <c r="AN925" s="21" t="n"/>
      <c r="AO925" s="21" t="n"/>
      <c r="AP925" s="21" t="n"/>
      <c r="AQ925" s="21" t="n"/>
      <c r="AR925" s="21" t="n"/>
      <c r="AS925" s="21" t="n"/>
      <c r="AT925" s="21" t="n"/>
      <c r="AU925" s="21" t="n"/>
      <c r="AV925" s="21" t="n"/>
      <c r="AW925" s="21" t="n"/>
      <c r="AX925" s="21" t="n"/>
      <c r="AY925" s="21" t="n"/>
      <c r="AZ925" s="21" t="n"/>
      <c r="BA925" s="21" t="n"/>
      <c r="BB925" s="21" t="n"/>
      <c r="BC925" s="21" t="n"/>
      <c r="BD925" s="21" t="n"/>
      <c r="BE925" s="21" t="n"/>
      <c r="BF925" s="21" t="n"/>
      <c r="BG925" s="21" t="n"/>
      <c r="BH925" s="21" t="n"/>
      <c r="BI925" s="21" t="n"/>
      <c r="BJ925" s="21" t="n"/>
      <c r="BK925" s="21" t="n"/>
      <c r="BL925" s="21" t="n"/>
      <c r="BM925" s="21" t="n"/>
      <c r="BN925" s="21" t="n"/>
      <c r="BO925" s="21" t="n"/>
      <c r="BP925" s="21" t="n"/>
      <c r="BQ925" s="21" t="n"/>
      <c r="BR925" s="21" t="n"/>
      <c r="BS925" s="21" t="n"/>
      <c r="BT925" s="21" t="n"/>
      <c r="BU925" s="21" t="n"/>
      <c r="BV925" s="21" t="n"/>
      <c r="BW925" s="21" t="n"/>
      <c r="BX925" s="21" t="n"/>
      <c r="BY925" s="21" t="n"/>
      <c r="BZ925" s="21" t="n"/>
      <c r="CA925" s="21" t="n"/>
      <c r="CB925" s="21" t="n"/>
      <c r="CC925" s="21" t="n"/>
      <c r="CD925" s="21" t="n"/>
      <c r="CE925" s="21" t="n"/>
      <c r="CF925" s="21" t="n"/>
      <c r="CG925" s="21" t="n"/>
      <c r="CH925" s="21" t="n"/>
      <c r="CI925" s="21" t="n"/>
      <c r="CJ925" s="21" t="n"/>
      <c r="CK925" s="21" t="n"/>
      <c r="CL925" s="21" t="n"/>
      <c r="CM925" s="21" t="n"/>
      <c r="CN925" s="21" t="n"/>
      <c r="CO925" s="21" t="n"/>
      <c r="CP925" s="21" t="n"/>
      <c r="CQ925" s="21" t="n"/>
      <c r="CR925" s="21" t="n"/>
      <c r="CS925" s="21" t="n"/>
      <c r="CT925" s="21" t="n"/>
      <c r="CU925" s="21" t="n"/>
      <c r="CV925" s="21" t="n"/>
      <c r="CW925" s="21" t="n"/>
      <c r="CX925" s="21" t="n"/>
      <c r="CY925" s="21" t="n"/>
      <c r="CZ925" s="21" t="n"/>
      <c r="DA925" s="21" t="n"/>
      <c r="DB925" s="21" t="n"/>
      <c r="DC925" s="21" t="n"/>
    </row>
    <row r="926">
      <c r="B926" t="inlineStr">
        <is>
          <t>TPP-911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12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Name],$A925)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TPP-912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12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Name],$A925)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TSP-924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12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Name],$A925)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TSP-925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12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Name],$A925)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s="5" t="inlineStr">
        <is>
          <t>合計使用量(kg)/週</t>
        </is>
      </c>
      <c r="D934">
        <f>'Grid_Requirement'!B41</f>
        <v/>
      </c>
      <c r="E934">
        <f>'Grid_Requirement'!C41</f>
        <v/>
      </c>
      <c r="F934">
        <f>'Grid_Requirement'!D41</f>
        <v/>
      </c>
      <c r="G934">
        <f>'Grid_Requirement'!E41</f>
        <v/>
      </c>
      <c r="H934">
        <f>'Grid_Requirement'!F41</f>
        <v/>
      </c>
      <c r="I934">
        <f>'Grid_Requirement'!G41</f>
        <v/>
      </c>
      <c r="J934">
        <f>'Grid_Requirement'!H41</f>
        <v/>
      </c>
      <c r="K934">
        <f>'Grid_Requirement'!I41</f>
        <v/>
      </c>
      <c r="L934">
        <f>'Grid_Requirement'!J41</f>
        <v/>
      </c>
      <c r="M934">
        <f>'Grid_Requirement'!K41</f>
        <v/>
      </c>
      <c r="N934">
        <f>'Grid_Requirement'!L41</f>
        <v/>
      </c>
      <c r="O934">
        <f>'Grid_Requirement'!M41</f>
        <v/>
      </c>
      <c r="P934">
        <f>'Grid_Requirement'!N41</f>
        <v/>
      </c>
      <c r="Q934">
        <f>'Grid_Requirement'!O41</f>
        <v/>
      </c>
      <c r="R934">
        <f>'Grid_Requirement'!P41</f>
        <v/>
      </c>
      <c r="S934">
        <f>'Grid_Requirement'!Q41</f>
        <v/>
      </c>
      <c r="T934">
        <f>'Grid_Requirement'!R41</f>
        <v/>
      </c>
      <c r="U934">
        <f>'Grid_Requirement'!S41</f>
        <v/>
      </c>
      <c r="V934">
        <f>'Grid_Requirement'!T41</f>
        <v/>
      </c>
      <c r="W934">
        <f>'Grid_Requirement'!U41</f>
        <v/>
      </c>
      <c r="X934">
        <f>'Grid_Requirement'!V41</f>
        <v/>
      </c>
      <c r="Y934">
        <f>'Grid_Requirement'!W41</f>
        <v/>
      </c>
      <c r="Z934">
        <f>'Grid_Requirement'!X41</f>
        <v/>
      </c>
      <c r="AA934">
        <f>'Grid_Requirement'!Y41</f>
        <v/>
      </c>
      <c r="AB934">
        <f>'Grid_Requirement'!Z41</f>
        <v/>
      </c>
      <c r="AC934">
        <f>'Grid_Requirement'!AA41</f>
        <v/>
      </c>
      <c r="AD934">
        <f>'Grid_Requirement'!AB41</f>
        <v/>
      </c>
      <c r="AE934">
        <f>'Grid_Requirement'!AC41</f>
        <v/>
      </c>
      <c r="AF934">
        <f>'Grid_Requirement'!AD41</f>
        <v/>
      </c>
      <c r="AG934">
        <f>'Grid_Requirement'!AE41</f>
        <v/>
      </c>
      <c r="AH934">
        <f>'Grid_Requirement'!AF41</f>
        <v/>
      </c>
      <c r="AI934">
        <f>'Grid_Requirement'!AG41</f>
        <v/>
      </c>
      <c r="AJ934">
        <f>'Grid_Requirement'!AH41</f>
        <v/>
      </c>
      <c r="AK934">
        <f>'Grid_Requirement'!AI41</f>
        <v/>
      </c>
      <c r="AL934">
        <f>'Grid_Requirement'!AJ41</f>
        <v/>
      </c>
      <c r="AM934">
        <f>'Grid_Requirement'!AK41</f>
        <v/>
      </c>
      <c r="AN934">
        <f>'Grid_Requirement'!AL41</f>
        <v/>
      </c>
      <c r="AO934">
        <f>'Grid_Requirement'!AM41</f>
        <v/>
      </c>
      <c r="AP934">
        <f>'Grid_Requirement'!AN41</f>
        <v/>
      </c>
      <c r="AQ934">
        <f>'Grid_Requirement'!AO41</f>
        <v/>
      </c>
      <c r="AR934">
        <f>'Grid_Requirement'!AP41</f>
        <v/>
      </c>
      <c r="AS934">
        <f>'Grid_Requirement'!AQ41</f>
        <v/>
      </c>
      <c r="AT934">
        <f>'Grid_Requirement'!AR41</f>
        <v/>
      </c>
      <c r="AU934">
        <f>'Grid_Requirement'!AS41</f>
        <v/>
      </c>
      <c r="AV934">
        <f>'Grid_Requirement'!AT41</f>
        <v/>
      </c>
      <c r="AW934">
        <f>'Grid_Requirement'!AU41</f>
        <v/>
      </c>
      <c r="AX934">
        <f>'Grid_Requirement'!AV41</f>
        <v/>
      </c>
      <c r="AY934">
        <f>'Grid_Requirement'!AW41</f>
        <v/>
      </c>
      <c r="AZ934">
        <f>'Grid_Requirement'!AX41</f>
        <v/>
      </c>
      <c r="BA934">
        <f>'Grid_Requirement'!AY41</f>
        <v/>
      </c>
      <c r="BB934">
        <f>'Grid_Requirement'!AZ41</f>
        <v/>
      </c>
      <c r="BC934">
        <f>'Grid_Requirement'!BA41</f>
        <v/>
      </c>
      <c r="BD934">
        <f>'Grid_Requirement'!BB41</f>
        <v/>
      </c>
      <c r="BE934">
        <f>'Grid_Requirement'!BC41</f>
        <v/>
      </c>
      <c r="BF934">
        <f>'Grid_Requirement'!BD41</f>
        <v/>
      </c>
      <c r="BG934">
        <f>'Grid_Requirement'!BE41</f>
        <v/>
      </c>
      <c r="BH934">
        <f>'Grid_Requirement'!BF41</f>
        <v/>
      </c>
      <c r="BI934">
        <f>'Grid_Requirement'!BG41</f>
        <v/>
      </c>
      <c r="BJ934">
        <f>'Grid_Requirement'!BH41</f>
        <v/>
      </c>
      <c r="BK934">
        <f>'Grid_Requirement'!BI41</f>
        <v/>
      </c>
      <c r="BL934">
        <f>'Grid_Requirement'!BJ41</f>
        <v/>
      </c>
      <c r="BM934">
        <f>'Grid_Requirement'!BK41</f>
        <v/>
      </c>
      <c r="BN934">
        <f>'Grid_Requirement'!BL41</f>
        <v/>
      </c>
      <c r="BO934">
        <f>'Grid_Requirement'!BM41</f>
        <v/>
      </c>
      <c r="BP934">
        <f>'Grid_Requirement'!BN41</f>
        <v/>
      </c>
      <c r="BQ934">
        <f>'Grid_Requirement'!BO41</f>
        <v/>
      </c>
      <c r="BR934">
        <f>'Grid_Requirement'!BP41</f>
        <v/>
      </c>
      <c r="BS934">
        <f>'Grid_Requirement'!BQ41</f>
        <v/>
      </c>
      <c r="BT934">
        <f>'Grid_Requirement'!BR41</f>
        <v/>
      </c>
      <c r="BU934">
        <f>'Grid_Requirement'!BS41</f>
        <v/>
      </c>
      <c r="BV934">
        <f>'Grid_Requirement'!BT41</f>
        <v/>
      </c>
      <c r="BW934">
        <f>'Grid_Requirement'!BU41</f>
        <v/>
      </c>
      <c r="BX934">
        <f>'Grid_Requirement'!BV41</f>
        <v/>
      </c>
      <c r="BY934">
        <f>'Grid_Requirement'!BW41</f>
        <v/>
      </c>
      <c r="BZ934">
        <f>'Grid_Requirement'!BX41</f>
        <v/>
      </c>
      <c r="CA934">
        <f>'Grid_Requirement'!BY41</f>
        <v/>
      </c>
      <c r="CB934">
        <f>'Grid_Requirement'!BZ41</f>
        <v/>
      </c>
      <c r="CC934">
        <f>'Grid_Requirement'!CA41</f>
        <v/>
      </c>
      <c r="CD934">
        <f>'Grid_Requirement'!CB41</f>
        <v/>
      </c>
      <c r="CE934">
        <f>'Grid_Requirement'!CC41</f>
        <v/>
      </c>
      <c r="CF934">
        <f>'Grid_Requirement'!CD41</f>
        <v/>
      </c>
      <c r="CG934">
        <f>'Grid_Requirement'!CE41</f>
        <v/>
      </c>
      <c r="CH934">
        <f>'Grid_Requirement'!CF41</f>
        <v/>
      </c>
      <c r="CI934">
        <f>'Grid_Requirement'!CG41</f>
        <v/>
      </c>
      <c r="CJ934">
        <f>'Grid_Requirement'!CH41</f>
        <v/>
      </c>
      <c r="CK934">
        <f>'Grid_Requirement'!CI41</f>
        <v/>
      </c>
      <c r="CL934">
        <f>'Grid_Requirement'!CJ41</f>
        <v/>
      </c>
      <c r="CM934">
        <f>'Grid_Requirement'!CK41</f>
        <v/>
      </c>
      <c r="CN934">
        <f>'Grid_Requirement'!CL41</f>
        <v/>
      </c>
      <c r="CO934">
        <f>'Grid_Requirement'!CM41</f>
        <v/>
      </c>
      <c r="CP934">
        <f>'Grid_Requirement'!CN41</f>
        <v/>
      </c>
      <c r="CQ934">
        <f>'Grid_Requirement'!CO41</f>
        <v/>
      </c>
      <c r="CR934">
        <f>'Grid_Requirement'!CP41</f>
        <v/>
      </c>
      <c r="CS934">
        <f>'Grid_Requirement'!CQ41</f>
        <v/>
      </c>
      <c r="CT934">
        <f>'Grid_Requirement'!CR41</f>
        <v/>
      </c>
      <c r="CU934">
        <f>'Grid_Requirement'!CS41</f>
        <v/>
      </c>
      <c r="CV934">
        <f>'Grid_Requirement'!CT41</f>
        <v/>
      </c>
      <c r="CW934">
        <f>'Grid_Requirement'!CU41</f>
        <v/>
      </c>
      <c r="CX934">
        <f>'Grid_Requirement'!CV41</f>
        <v/>
      </c>
      <c r="CY934">
        <f>'Grid_Requirement'!CW41</f>
        <v/>
      </c>
      <c r="CZ934">
        <f>'Grid_Requirement'!CX41</f>
        <v/>
      </c>
      <c r="DA934">
        <f>'Grid_Requirement'!CY41</f>
        <v/>
      </c>
      <c r="DB934">
        <f>'Grid_Requirement'!CZ41</f>
        <v/>
      </c>
      <c r="DC934">
        <f>'Grid_Requirement'!DA41</f>
        <v/>
      </c>
    </row>
    <row r="935">
      <c r="B935" t="inlineStr">
        <is>
          <t>TTAF在庫(実績,kg)</t>
        </is>
      </c>
      <c r="D935">
        <f>'T_TTAFStock'!B45</f>
        <v/>
      </c>
      <c r="E935">
        <f>'T_TTAFStock'!C45</f>
        <v/>
      </c>
      <c r="F935">
        <f>'T_TTAFStock'!D45</f>
        <v/>
      </c>
      <c r="G935">
        <f>'T_TTAFStock'!E45</f>
        <v/>
      </c>
      <c r="H935">
        <f>'T_TTAFStock'!F45</f>
        <v/>
      </c>
      <c r="I935">
        <f>'T_TTAFStock'!G45</f>
        <v/>
      </c>
      <c r="J935">
        <f>'T_TTAFStock'!H45</f>
        <v/>
      </c>
      <c r="K935">
        <f>'T_TTAFStock'!I45</f>
        <v/>
      </c>
      <c r="L935">
        <f>'T_TTAFStock'!J45</f>
        <v/>
      </c>
      <c r="M935">
        <f>'T_TTAFStock'!K45</f>
        <v/>
      </c>
      <c r="N935">
        <f>'T_TTAFStock'!L45</f>
        <v/>
      </c>
      <c r="O935">
        <f>'T_TTAFStock'!M45</f>
        <v/>
      </c>
      <c r="P935">
        <f>'T_TTAFStock'!N45</f>
        <v/>
      </c>
      <c r="Q935">
        <f>'T_TTAFStock'!O45</f>
        <v/>
      </c>
      <c r="R935">
        <f>'T_TTAFStock'!P45</f>
        <v/>
      </c>
      <c r="S935">
        <f>'T_TTAFStock'!Q45</f>
        <v/>
      </c>
      <c r="T935">
        <f>'T_TTAFStock'!R45</f>
        <v/>
      </c>
      <c r="U935">
        <f>'T_TTAFStock'!S45</f>
        <v/>
      </c>
      <c r="V935">
        <f>'T_TTAFStock'!T45</f>
        <v/>
      </c>
      <c r="W935">
        <f>'T_TTAFStock'!U45</f>
        <v/>
      </c>
      <c r="X935">
        <f>'T_TTAFStock'!V45</f>
        <v/>
      </c>
      <c r="Y935">
        <f>'T_TTAFStock'!W45</f>
        <v/>
      </c>
      <c r="Z935">
        <f>'T_TTAFStock'!X45</f>
        <v/>
      </c>
      <c r="AA935">
        <f>'T_TTAFStock'!Y45</f>
        <v/>
      </c>
      <c r="AB935">
        <f>'T_TTAFStock'!Z45</f>
        <v/>
      </c>
      <c r="AC935">
        <f>'T_TTAFStock'!AA45</f>
        <v/>
      </c>
      <c r="AD935">
        <f>'T_TTAFStock'!AB45</f>
        <v/>
      </c>
      <c r="AE935">
        <f>'T_TTAFStock'!AC45</f>
        <v/>
      </c>
      <c r="AF935">
        <f>'T_TTAFStock'!AD45</f>
        <v/>
      </c>
      <c r="AG935">
        <f>'T_TTAFStock'!AE45</f>
        <v/>
      </c>
      <c r="AH935">
        <f>'T_TTAFStock'!AF45</f>
        <v/>
      </c>
      <c r="AI935">
        <f>'T_TTAFStock'!AG45</f>
        <v/>
      </c>
      <c r="AJ935">
        <f>'T_TTAFStock'!AH45</f>
        <v/>
      </c>
      <c r="AK935">
        <f>'T_TTAFStock'!AI45</f>
        <v/>
      </c>
      <c r="AL935">
        <f>'T_TTAFStock'!AJ45</f>
        <v/>
      </c>
      <c r="AM935">
        <f>'T_TTAFStock'!AK45</f>
        <v/>
      </c>
      <c r="AN935">
        <f>'T_TTAFStock'!AL45</f>
        <v/>
      </c>
      <c r="AO935">
        <f>'T_TTAFStock'!AM45</f>
        <v/>
      </c>
      <c r="AP935">
        <f>'T_TTAFStock'!AN45</f>
        <v/>
      </c>
      <c r="AQ935">
        <f>'T_TTAFStock'!AO45</f>
        <v/>
      </c>
      <c r="AR935">
        <f>'T_TTAFStock'!AP45</f>
        <v/>
      </c>
      <c r="AS935">
        <f>'T_TTAFStock'!AQ45</f>
        <v/>
      </c>
      <c r="AT935">
        <f>'T_TTAFStock'!AR45</f>
        <v/>
      </c>
      <c r="AU935">
        <f>'T_TTAFStock'!AS45</f>
        <v/>
      </c>
      <c r="AV935">
        <f>'T_TTAFStock'!AT45</f>
        <v/>
      </c>
      <c r="AW935">
        <f>'T_TTAFStock'!AU45</f>
        <v/>
      </c>
      <c r="AX935">
        <f>'T_TTAFStock'!AV45</f>
        <v/>
      </c>
      <c r="AY935">
        <f>'T_TTAFStock'!AW45</f>
        <v/>
      </c>
      <c r="AZ935">
        <f>'T_TTAFStock'!AX45</f>
        <v/>
      </c>
      <c r="BA935">
        <f>'T_TTAFStock'!AY45</f>
        <v/>
      </c>
      <c r="BB935">
        <f>'T_TTAFStock'!AZ45</f>
        <v/>
      </c>
      <c r="BC935">
        <f>'T_TTAFStock'!BA45</f>
        <v/>
      </c>
      <c r="BD935">
        <f>'T_TTAFStock'!BB45</f>
        <v/>
      </c>
      <c r="BE935">
        <f>'T_TTAFStock'!BC45</f>
        <v/>
      </c>
      <c r="BF935">
        <f>'T_TTAFStock'!BD45</f>
        <v/>
      </c>
      <c r="BG935">
        <f>'T_TTAFStock'!BE45</f>
        <v/>
      </c>
      <c r="BH935">
        <f>'T_TTAFStock'!BF45</f>
        <v/>
      </c>
      <c r="BI935">
        <f>'T_TTAFStock'!BG45</f>
        <v/>
      </c>
      <c r="BJ935">
        <f>'T_TTAFStock'!BH45</f>
        <v/>
      </c>
      <c r="BK935">
        <f>'T_TTAFStock'!BI45</f>
        <v/>
      </c>
      <c r="BL935">
        <f>'T_TTAFStock'!BJ45</f>
        <v/>
      </c>
      <c r="BM935">
        <f>'T_TTAFStock'!BK45</f>
        <v/>
      </c>
      <c r="BN935">
        <f>'T_TTAFStock'!BL45</f>
        <v/>
      </c>
      <c r="BO935">
        <f>'T_TTAFStock'!BM45</f>
        <v/>
      </c>
      <c r="BP935">
        <f>'T_TTAFStock'!BN45</f>
        <v/>
      </c>
      <c r="BQ935">
        <f>'T_TTAFStock'!BO45</f>
        <v/>
      </c>
      <c r="BR935">
        <f>'T_TTAFStock'!BP45</f>
        <v/>
      </c>
      <c r="BS935">
        <f>'T_TTAFStock'!BQ45</f>
        <v/>
      </c>
      <c r="BT935">
        <f>'T_TTAFStock'!BR45</f>
        <v/>
      </c>
      <c r="BU935">
        <f>'T_TTAFStock'!BS45</f>
        <v/>
      </c>
      <c r="BV935">
        <f>'T_TTAFStock'!BT45</f>
        <v/>
      </c>
      <c r="BW935">
        <f>'T_TTAFStock'!BU45</f>
        <v/>
      </c>
      <c r="BX935">
        <f>'T_TTAFStock'!BV45</f>
        <v/>
      </c>
      <c r="BY935">
        <f>'T_TTAFStock'!BW45</f>
        <v/>
      </c>
      <c r="BZ935">
        <f>'T_TTAFStock'!BX45</f>
        <v/>
      </c>
      <c r="CA935">
        <f>'T_TTAFStock'!BY45</f>
        <v/>
      </c>
      <c r="CB935">
        <f>'T_TTAFStock'!BZ45</f>
        <v/>
      </c>
      <c r="CC935">
        <f>'T_TTAFStock'!CA45</f>
        <v/>
      </c>
      <c r="CD935">
        <f>'T_TTAFStock'!CB45</f>
        <v/>
      </c>
      <c r="CE935">
        <f>'T_TTAFStock'!CC45</f>
        <v/>
      </c>
      <c r="CF935">
        <f>'T_TTAFStock'!CD45</f>
        <v/>
      </c>
      <c r="CG935">
        <f>'T_TTAFStock'!CE45</f>
        <v/>
      </c>
      <c r="CH935">
        <f>'T_TTAFStock'!CF45</f>
        <v/>
      </c>
      <c r="CI935">
        <f>'T_TTAFStock'!CG45</f>
        <v/>
      </c>
      <c r="CJ935">
        <f>'T_TTAFStock'!CH45</f>
        <v/>
      </c>
      <c r="CK935">
        <f>'T_TTAFStock'!CI45</f>
        <v/>
      </c>
      <c r="CL935">
        <f>'T_TTAFStock'!CJ45</f>
        <v/>
      </c>
      <c r="CM935">
        <f>'T_TTAFStock'!CK45</f>
        <v/>
      </c>
      <c r="CN935">
        <f>'T_TTAFStock'!CL45</f>
        <v/>
      </c>
      <c r="CO935">
        <f>'T_TTAFStock'!CM45</f>
        <v/>
      </c>
      <c r="CP935">
        <f>'T_TTAFStock'!CN45</f>
        <v/>
      </c>
      <c r="CQ935">
        <f>'T_TTAFStock'!CO45</f>
        <v/>
      </c>
      <c r="CR935">
        <f>'T_TTAFStock'!CP45</f>
        <v/>
      </c>
      <c r="CS935">
        <f>'T_TTAFStock'!CQ45</f>
        <v/>
      </c>
      <c r="CT935">
        <f>'T_TTAFStock'!CR45</f>
        <v/>
      </c>
      <c r="CU935">
        <f>'T_TTAFStock'!CS45</f>
        <v/>
      </c>
      <c r="CV935">
        <f>'T_TTAFStock'!CT45</f>
        <v/>
      </c>
      <c r="CW935">
        <f>'T_TTAFStock'!CU45</f>
        <v/>
      </c>
      <c r="CX935">
        <f>'T_TTAFStock'!CV45</f>
        <v/>
      </c>
      <c r="CY935">
        <f>'T_TTAFStock'!CW45</f>
        <v/>
      </c>
      <c r="CZ935">
        <f>'T_TTAFStock'!CX45</f>
        <v/>
      </c>
      <c r="DA935">
        <f>'T_TTAFStock'!CY45</f>
        <v/>
      </c>
      <c r="DB935">
        <f>'T_TTAFStock'!CZ45</f>
        <v/>
      </c>
      <c r="DC935">
        <f>'T_TTAFStock'!DA45</f>
        <v/>
      </c>
    </row>
    <row r="936">
      <c r="B936" t="inlineStr">
        <is>
          <t>自社在庫(実績,kg)</t>
        </is>
      </c>
      <c r="D936">
        <f>'T_SelfStock'!B45</f>
        <v/>
      </c>
      <c r="E936">
        <f>'T_SelfStock'!C45</f>
        <v/>
      </c>
      <c r="F936">
        <f>'T_SelfStock'!D45</f>
        <v/>
      </c>
      <c r="G936">
        <f>'T_SelfStock'!E45</f>
        <v/>
      </c>
      <c r="H936">
        <f>'T_SelfStock'!F45</f>
        <v/>
      </c>
      <c r="I936">
        <f>'T_SelfStock'!G45</f>
        <v/>
      </c>
      <c r="J936">
        <f>'T_SelfStock'!H45</f>
        <v/>
      </c>
      <c r="K936">
        <f>'T_SelfStock'!I45</f>
        <v/>
      </c>
      <c r="L936">
        <f>'T_SelfStock'!J45</f>
        <v/>
      </c>
      <c r="M936">
        <f>'T_SelfStock'!K45</f>
        <v/>
      </c>
      <c r="N936">
        <f>'T_SelfStock'!L45</f>
        <v/>
      </c>
      <c r="O936">
        <f>'T_SelfStock'!M45</f>
        <v/>
      </c>
      <c r="P936">
        <f>'T_SelfStock'!N45</f>
        <v/>
      </c>
      <c r="Q936">
        <f>'T_SelfStock'!O45</f>
        <v/>
      </c>
      <c r="R936">
        <f>'T_SelfStock'!P45</f>
        <v/>
      </c>
      <c r="S936">
        <f>'T_SelfStock'!Q45</f>
        <v/>
      </c>
      <c r="T936">
        <f>'T_SelfStock'!R45</f>
        <v/>
      </c>
      <c r="U936">
        <f>'T_SelfStock'!S45</f>
        <v/>
      </c>
      <c r="V936">
        <f>'T_SelfStock'!T45</f>
        <v/>
      </c>
      <c r="W936">
        <f>'T_SelfStock'!U45</f>
        <v/>
      </c>
      <c r="X936">
        <f>'T_SelfStock'!V45</f>
        <v/>
      </c>
      <c r="Y936">
        <f>'T_SelfStock'!W45</f>
        <v/>
      </c>
      <c r="Z936">
        <f>'T_SelfStock'!X45</f>
        <v/>
      </c>
      <c r="AA936">
        <f>'T_SelfStock'!Y45</f>
        <v/>
      </c>
      <c r="AB936">
        <f>'T_SelfStock'!Z45</f>
        <v/>
      </c>
      <c r="AC936">
        <f>'T_SelfStock'!AA45</f>
        <v/>
      </c>
      <c r="AD936">
        <f>'T_SelfStock'!AB45</f>
        <v/>
      </c>
      <c r="AE936">
        <f>'T_SelfStock'!AC45</f>
        <v/>
      </c>
      <c r="AF936">
        <f>'T_SelfStock'!AD45</f>
        <v/>
      </c>
      <c r="AG936">
        <f>'T_SelfStock'!AE45</f>
        <v/>
      </c>
      <c r="AH936">
        <f>'T_SelfStock'!AF45</f>
        <v/>
      </c>
      <c r="AI936">
        <f>'T_SelfStock'!AG45</f>
        <v/>
      </c>
      <c r="AJ936">
        <f>'T_SelfStock'!AH45</f>
        <v/>
      </c>
      <c r="AK936">
        <f>'T_SelfStock'!AI45</f>
        <v/>
      </c>
      <c r="AL936">
        <f>'T_SelfStock'!AJ45</f>
        <v/>
      </c>
      <c r="AM936">
        <f>'T_SelfStock'!AK45</f>
        <v/>
      </c>
      <c r="AN936">
        <f>'T_SelfStock'!AL45</f>
        <v/>
      </c>
      <c r="AO936">
        <f>'T_SelfStock'!AM45</f>
        <v/>
      </c>
      <c r="AP936">
        <f>'T_SelfStock'!AN45</f>
        <v/>
      </c>
      <c r="AQ936">
        <f>'T_SelfStock'!AO45</f>
        <v/>
      </c>
      <c r="AR936">
        <f>'T_SelfStock'!AP45</f>
        <v/>
      </c>
      <c r="AS936">
        <f>'T_SelfStock'!AQ45</f>
        <v/>
      </c>
      <c r="AT936">
        <f>'T_SelfStock'!AR45</f>
        <v/>
      </c>
      <c r="AU936">
        <f>'T_SelfStock'!AS45</f>
        <v/>
      </c>
      <c r="AV936">
        <f>'T_SelfStock'!AT45</f>
        <v/>
      </c>
      <c r="AW936">
        <f>'T_SelfStock'!AU45</f>
        <v/>
      </c>
      <c r="AX936">
        <f>'T_SelfStock'!AV45</f>
        <v/>
      </c>
      <c r="AY936">
        <f>'T_SelfStock'!AW45</f>
        <v/>
      </c>
      <c r="AZ936">
        <f>'T_SelfStock'!AX45</f>
        <v/>
      </c>
      <c r="BA936">
        <f>'T_SelfStock'!AY45</f>
        <v/>
      </c>
      <c r="BB936">
        <f>'T_SelfStock'!AZ45</f>
        <v/>
      </c>
      <c r="BC936">
        <f>'T_SelfStock'!BA45</f>
        <v/>
      </c>
      <c r="BD936">
        <f>'T_SelfStock'!BB45</f>
        <v/>
      </c>
      <c r="BE936">
        <f>'T_SelfStock'!BC45</f>
        <v/>
      </c>
      <c r="BF936">
        <f>'T_SelfStock'!BD45</f>
        <v/>
      </c>
      <c r="BG936">
        <f>'T_SelfStock'!BE45</f>
        <v/>
      </c>
      <c r="BH936">
        <f>'T_SelfStock'!BF45</f>
        <v/>
      </c>
      <c r="BI936">
        <f>'T_SelfStock'!BG45</f>
        <v/>
      </c>
      <c r="BJ936">
        <f>'T_SelfStock'!BH45</f>
        <v/>
      </c>
      <c r="BK936">
        <f>'T_SelfStock'!BI45</f>
        <v/>
      </c>
      <c r="BL936">
        <f>'T_SelfStock'!BJ45</f>
        <v/>
      </c>
      <c r="BM936">
        <f>'T_SelfStock'!BK45</f>
        <v/>
      </c>
      <c r="BN936">
        <f>'T_SelfStock'!BL45</f>
        <v/>
      </c>
      <c r="BO936">
        <f>'T_SelfStock'!BM45</f>
        <v/>
      </c>
      <c r="BP936">
        <f>'T_SelfStock'!BN45</f>
        <v/>
      </c>
      <c r="BQ936">
        <f>'T_SelfStock'!BO45</f>
        <v/>
      </c>
      <c r="BR936">
        <f>'T_SelfStock'!BP45</f>
        <v/>
      </c>
      <c r="BS936">
        <f>'T_SelfStock'!BQ45</f>
        <v/>
      </c>
      <c r="BT936">
        <f>'T_SelfStock'!BR45</f>
        <v/>
      </c>
      <c r="BU936">
        <f>'T_SelfStock'!BS45</f>
        <v/>
      </c>
      <c r="BV936">
        <f>'T_SelfStock'!BT45</f>
        <v/>
      </c>
      <c r="BW936">
        <f>'T_SelfStock'!BU45</f>
        <v/>
      </c>
      <c r="BX936">
        <f>'T_SelfStock'!BV45</f>
        <v/>
      </c>
      <c r="BY936">
        <f>'T_SelfStock'!BW45</f>
        <v/>
      </c>
      <c r="BZ936">
        <f>'T_SelfStock'!BX45</f>
        <v/>
      </c>
      <c r="CA936">
        <f>'T_SelfStock'!BY45</f>
        <v/>
      </c>
      <c r="CB936">
        <f>'T_SelfStock'!BZ45</f>
        <v/>
      </c>
      <c r="CC936">
        <f>'T_SelfStock'!CA45</f>
        <v/>
      </c>
      <c r="CD936">
        <f>'T_SelfStock'!CB45</f>
        <v/>
      </c>
      <c r="CE936">
        <f>'T_SelfStock'!CC45</f>
        <v/>
      </c>
      <c r="CF936">
        <f>'T_SelfStock'!CD45</f>
        <v/>
      </c>
      <c r="CG936">
        <f>'T_SelfStock'!CE45</f>
        <v/>
      </c>
      <c r="CH936">
        <f>'T_SelfStock'!CF45</f>
        <v/>
      </c>
      <c r="CI936">
        <f>'T_SelfStock'!CG45</f>
        <v/>
      </c>
      <c r="CJ936">
        <f>'T_SelfStock'!CH45</f>
        <v/>
      </c>
      <c r="CK936">
        <f>'T_SelfStock'!CI45</f>
        <v/>
      </c>
      <c r="CL936">
        <f>'T_SelfStock'!CJ45</f>
        <v/>
      </c>
      <c r="CM936">
        <f>'T_SelfStock'!CK45</f>
        <v/>
      </c>
      <c r="CN936">
        <f>'T_SelfStock'!CL45</f>
        <v/>
      </c>
      <c r="CO936">
        <f>'T_SelfStock'!CM45</f>
        <v/>
      </c>
      <c r="CP936">
        <f>'T_SelfStock'!CN45</f>
        <v/>
      </c>
      <c r="CQ936">
        <f>'T_SelfStock'!CO45</f>
        <v/>
      </c>
      <c r="CR936">
        <f>'T_SelfStock'!CP45</f>
        <v/>
      </c>
      <c r="CS936">
        <f>'T_SelfStock'!CQ45</f>
        <v/>
      </c>
      <c r="CT936">
        <f>'T_SelfStock'!CR45</f>
        <v/>
      </c>
      <c r="CU936">
        <f>'T_SelfStock'!CS45</f>
        <v/>
      </c>
      <c r="CV936">
        <f>'T_SelfStock'!CT45</f>
        <v/>
      </c>
      <c r="CW936">
        <f>'T_SelfStock'!CU45</f>
        <v/>
      </c>
      <c r="CX936">
        <f>'T_SelfStock'!CV45</f>
        <v/>
      </c>
      <c r="CY936">
        <f>'T_SelfStock'!CW45</f>
        <v/>
      </c>
      <c r="CZ936">
        <f>'T_SelfStock'!CX45</f>
        <v/>
      </c>
      <c r="DA936">
        <f>'T_SelfStock'!CY45</f>
        <v/>
      </c>
      <c r="DB936">
        <f>'T_SelfStock'!CZ45</f>
        <v/>
      </c>
      <c r="DC936">
        <f>'T_SelfStock'!DA45</f>
        <v/>
      </c>
    </row>
    <row r="937">
      <c r="B937" t="inlineStr">
        <is>
          <t>Order(発注予定,kg)</t>
        </is>
      </c>
      <c r="D937">
        <f>IF(SUMIFS(T_PlannedOrders[EffectiveQty],T_PlannedOrders[Part Name],$A925,T_PlannedOrders[WeekIndex],1)=0,"",SUMIFS(T_PlannedOrders[EffectiveQty],T_PlannedOrders[Part Name],$A925,T_PlannedOrders[WeekIndex],1)&amp;" ("&amp;TEXT(SUMPRODUCT(MAX((T_PlannedOrders[Part Name]=$A925)*(T_PlannedOrders[WeekIndex]=1)*(T_PlannedOrders[EffectiveQty]&gt;0)*T_PlannedOrders[Order_Month])),"m月")&amp;"発注)")</f>
        <v/>
      </c>
      <c r="E937">
        <f>IF(SUMIFS(T_PlannedOrders[EffectiveQty],T_PlannedOrders[Part Name],$A925,T_PlannedOrders[WeekIndex],2)=0,"",SUMIFS(T_PlannedOrders[EffectiveQty],T_PlannedOrders[Part Name],$A925,T_PlannedOrders[WeekIndex],2)&amp;" ("&amp;TEXT(SUMPRODUCT(MAX((T_PlannedOrders[Part Name]=$A925)*(T_PlannedOrders[WeekIndex]=2)*(T_PlannedOrders[EffectiveQty]&gt;0)*T_PlannedOrders[Order_Month])),"m月")&amp;"発注)")</f>
        <v/>
      </c>
      <c r="F937">
        <f>IF(SUMIFS(T_PlannedOrders[EffectiveQty],T_PlannedOrders[Part Name],$A925,T_PlannedOrders[WeekIndex],3)=0,"",SUMIFS(T_PlannedOrders[EffectiveQty],T_PlannedOrders[Part Name],$A925,T_PlannedOrders[WeekIndex],3)&amp;" ("&amp;TEXT(SUMPRODUCT(MAX((T_PlannedOrders[Part Name]=$A925)*(T_PlannedOrders[WeekIndex]=3)*(T_PlannedOrders[EffectiveQty]&gt;0)*T_PlannedOrders[Order_Month])),"m月")&amp;"発注)")</f>
        <v/>
      </c>
      <c r="G937">
        <f>IF(SUMIFS(T_PlannedOrders[EffectiveQty],T_PlannedOrders[Part Name],$A925,T_PlannedOrders[WeekIndex],4)=0,"",SUMIFS(T_PlannedOrders[EffectiveQty],T_PlannedOrders[Part Name],$A925,T_PlannedOrders[WeekIndex],4)&amp;" ("&amp;TEXT(SUMPRODUCT(MAX((T_PlannedOrders[Part Name]=$A925)*(T_PlannedOrders[WeekIndex]=4)*(T_PlannedOrders[EffectiveQty]&gt;0)*T_PlannedOrders[Order_Month])),"m月")&amp;"発注)")</f>
        <v/>
      </c>
      <c r="H937">
        <f>IF(SUMIFS(T_PlannedOrders[EffectiveQty],T_PlannedOrders[Part Name],$A925,T_PlannedOrders[WeekIndex],5)=0,"",SUMIFS(T_PlannedOrders[EffectiveQty],T_PlannedOrders[Part Name],$A925,T_PlannedOrders[WeekIndex],5)&amp;" ("&amp;TEXT(SUMPRODUCT(MAX((T_PlannedOrders[Part Name]=$A925)*(T_PlannedOrders[WeekIndex]=5)*(T_PlannedOrders[EffectiveQty]&gt;0)*T_PlannedOrders[Order_Month])),"m月")&amp;"発注)")</f>
        <v/>
      </c>
      <c r="I937">
        <f>IF(SUMIFS(T_PlannedOrders[EffectiveQty],T_PlannedOrders[Part Name],$A925,T_PlannedOrders[WeekIndex],6)=0,"",SUMIFS(T_PlannedOrders[EffectiveQty],T_PlannedOrders[Part Name],$A925,T_PlannedOrders[WeekIndex],6)&amp;" ("&amp;TEXT(SUMPRODUCT(MAX((T_PlannedOrders[Part Name]=$A925)*(T_PlannedOrders[WeekIndex]=6)*(T_PlannedOrders[EffectiveQty]&gt;0)*T_PlannedOrders[Order_Month])),"m月")&amp;"発注)")</f>
        <v/>
      </c>
      <c r="J937">
        <f>IF(SUMIFS(T_PlannedOrders[EffectiveQty],T_PlannedOrders[Part Name],$A925,T_PlannedOrders[WeekIndex],7)=0,"",SUMIFS(T_PlannedOrders[EffectiveQty],T_PlannedOrders[Part Name],$A925,T_PlannedOrders[WeekIndex],7)&amp;" ("&amp;TEXT(SUMPRODUCT(MAX((T_PlannedOrders[Part Name]=$A925)*(T_PlannedOrders[WeekIndex]=7)*(T_PlannedOrders[EffectiveQty]&gt;0)*T_PlannedOrders[Order_Month])),"m月")&amp;"発注)")</f>
        <v/>
      </c>
      <c r="K937">
        <f>IF(SUMIFS(T_PlannedOrders[EffectiveQty],T_PlannedOrders[Part Name],$A925,T_PlannedOrders[WeekIndex],8)=0,"",SUMIFS(T_PlannedOrders[EffectiveQty],T_PlannedOrders[Part Name],$A925,T_PlannedOrders[WeekIndex],8)&amp;" ("&amp;TEXT(SUMPRODUCT(MAX((T_PlannedOrders[Part Name]=$A925)*(T_PlannedOrders[WeekIndex]=8)*(T_PlannedOrders[EffectiveQty]&gt;0)*T_PlannedOrders[Order_Month])),"m月")&amp;"発注)")</f>
        <v/>
      </c>
      <c r="L937">
        <f>IF(SUMIFS(T_PlannedOrders[EffectiveQty],T_PlannedOrders[Part Name],$A925,T_PlannedOrders[WeekIndex],9)=0,"",SUMIFS(T_PlannedOrders[EffectiveQty],T_PlannedOrders[Part Name],$A925,T_PlannedOrders[WeekIndex],9)&amp;" ("&amp;TEXT(SUMPRODUCT(MAX((T_PlannedOrders[Part Name]=$A925)*(T_PlannedOrders[WeekIndex]=9)*(T_PlannedOrders[EffectiveQty]&gt;0)*T_PlannedOrders[Order_Month])),"m月")&amp;"発注)")</f>
        <v/>
      </c>
      <c r="M937">
        <f>IF(SUMIFS(T_PlannedOrders[EffectiveQty],T_PlannedOrders[Part Name],$A925,T_PlannedOrders[WeekIndex],10)=0,"",SUMIFS(T_PlannedOrders[EffectiveQty],T_PlannedOrders[Part Name],$A925,T_PlannedOrders[WeekIndex],10)&amp;" ("&amp;TEXT(SUMPRODUCT(MAX((T_PlannedOrders[Part Name]=$A925)*(T_PlannedOrders[WeekIndex]=10)*(T_PlannedOrders[EffectiveQty]&gt;0)*T_PlannedOrders[Order_Month])),"m月")&amp;"発注)")</f>
        <v/>
      </c>
      <c r="N937">
        <f>IF(SUMIFS(T_PlannedOrders[EffectiveQty],T_PlannedOrders[Part Name],$A925,T_PlannedOrders[WeekIndex],11)=0,"",SUMIFS(T_PlannedOrders[EffectiveQty],T_PlannedOrders[Part Name],$A925,T_PlannedOrders[WeekIndex],11)&amp;" ("&amp;TEXT(SUMPRODUCT(MAX((T_PlannedOrders[Part Name]=$A925)*(T_PlannedOrders[WeekIndex]=11)*(T_PlannedOrders[EffectiveQty]&gt;0)*T_PlannedOrders[Order_Month])),"m月")&amp;"発注)")</f>
        <v/>
      </c>
      <c r="O937">
        <f>IF(SUMIFS(T_PlannedOrders[EffectiveQty],T_PlannedOrders[Part Name],$A925,T_PlannedOrders[WeekIndex],12)=0,"",SUMIFS(T_PlannedOrders[EffectiveQty],T_PlannedOrders[Part Name],$A925,T_PlannedOrders[WeekIndex],12)&amp;" ("&amp;TEXT(SUMPRODUCT(MAX((T_PlannedOrders[Part Name]=$A925)*(T_PlannedOrders[WeekIndex]=12)*(T_PlannedOrders[EffectiveQty]&gt;0)*T_PlannedOrders[Order_Month])),"m月")&amp;"発注)")</f>
        <v/>
      </c>
      <c r="P937">
        <f>IF(SUMIFS(T_PlannedOrders[EffectiveQty],T_PlannedOrders[Part Name],$A925,T_PlannedOrders[WeekIndex],13)=0,"",SUMIFS(T_PlannedOrders[EffectiveQty],T_PlannedOrders[Part Name],$A925,T_PlannedOrders[WeekIndex],13)&amp;" ("&amp;TEXT(SUMPRODUCT(MAX((T_PlannedOrders[Part Name]=$A925)*(T_PlannedOrders[WeekIndex]=13)*(T_PlannedOrders[EffectiveQty]&gt;0)*T_PlannedOrders[Order_Month])),"m月")&amp;"発注)")</f>
        <v/>
      </c>
      <c r="Q937">
        <f>IF(SUMIFS(T_PlannedOrders[EffectiveQty],T_PlannedOrders[Part Name],$A925,T_PlannedOrders[WeekIndex],14)=0,"",SUMIFS(T_PlannedOrders[EffectiveQty],T_PlannedOrders[Part Name],$A925,T_PlannedOrders[WeekIndex],14)&amp;" ("&amp;TEXT(SUMPRODUCT(MAX((T_PlannedOrders[Part Name]=$A925)*(T_PlannedOrders[WeekIndex]=14)*(T_PlannedOrders[EffectiveQty]&gt;0)*T_PlannedOrders[Order_Month])),"m月")&amp;"発注)")</f>
        <v/>
      </c>
      <c r="R937">
        <f>IF(SUMIFS(T_PlannedOrders[EffectiveQty],T_PlannedOrders[Part Name],$A925,T_PlannedOrders[WeekIndex],15)=0,"",SUMIFS(T_PlannedOrders[EffectiveQty],T_PlannedOrders[Part Name],$A925,T_PlannedOrders[WeekIndex],15)&amp;" ("&amp;TEXT(SUMPRODUCT(MAX((T_PlannedOrders[Part Name]=$A925)*(T_PlannedOrders[WeekIndex]=15)*(T_PlannedOrders[EffectiveQty]&gt;0)*T_PlannedOrders[Order_Month])),"m月")&amp;"発注)")</f>
        <v/>
      </c>
      <c r="S937">
        <f>IF(SUMIFS(T_PlannedOrders[EffectiveQty],T_PlannedOrders[Part Name],$A925,T_PlannedOrders[WeekIndex],16)=0,"",SUMIFS(T_PlannedOrders[EffectiveQty],T_PlannedOrders[Part Name],$A925,T_PlannedOrders[WeekIndex],16)&amp;" ("&amp;TEXT(SUMPRODUCT(MAX((T_PlannedOrders[Part Name]=$A925)*(T_PlannedOrders[WeekIndex]=16)*(T_PlannedOrders[EffectiveQty]&gt;0)*T_PlannedOrders[Order_Month])),"m月")&amp;"発注)")</f>
        <v/>
      </c>
      <c r="T937">
        <f>IF(SUMIFS(T_PlannedOrders[EffectiveQty],T_PlannedOrders[Part Name],$A925,T_PlannedOrders[WeekIndex],17)=0,"",SUMIFS(T_PlannedOrders[EffectiveQty],T_PlannedOrders[Part Name],$A925,T_PlannedOrders[WeekIndex],17)&amp;" ("&amp;TEXT(SUMPRODUCT(MAX((T_PlannedOrders[Part Name]=$A925)*(T_PlannedOrders[WeekIndex]=17)*(T_PlannedOrders[EffectiveQty]&gt;0)*T_PlannedOrders[Order_Month])),"m月")&amp;"発注)")</f>
        <v/>
      </c>
      <c r="U937">
        <f>IF(SUMIFS(T_PlannedOrders[EffectiveQty],T_PlannedOrders[Part Name],$A925,T_PlannedOrders[WeekIndex],18)=0,"",SUMIFS(T_PlannedOrders[EffectiveQty],T_PlannedOrders[Part Name],$A925,T_PlannedOrders[WeekIndex],18)&amp;" ("&amp;TEXT(SUMPRODUCT(MAX((T_PlannedOrders[Part Name]=$A925)*(T_PlannedOrders[WeekIndex]=18)*(T_PlannedOrders[EffectiveQty]&gt;0)*T_PlannedOrders[Order_Month])),"m月")&amp;"発注)")</f>
        <v/>
      </c>
      <c r="V937">
        <f>IF(SUMIFS(T_PlannedOrders[EffectiveQty],T_PlannedOrders[Part Name],$A925,T_PlannedOrders[WeekIndex],19)=0,"",SUMIFS(T_PlannedOrders[EffectiveQty],T_PlannedOrders[Part Name],$A925,T_PlannedOrders[WeekIndex],19)&amp;" ("&amp;TEXT(SUMPRODUCT(MAX((T_PlannedOrders[Part Name]=$A925)*(T_PlannedOrders[WeekIndex]=19)*(T_PlannedOrders[EffectiveQty]&gt;0)*T_PlannedOrders[Order_Month])),"m月")&amp;"発注)")</f>
        <v/>
      </c>
      <c r="W937">
        <f>IF(SUMIFS(T_PlannedOrders[EffectiveQty],T_PlannedOrders[Part Name],$A925,T_PlannedOrders[WeekIndex],20)=0,"",SUMIFS(T_PlannedOrders[EffectiveQty],T_PlannedOrders[Part Name],$A925,T_PlannedOrders[WeekIndex],20)&amp;" ("&amp;TEXT(SUMPRODUCT(MAX((T_PlannedOrders[Part Name]=$A925)*(T_PlannedOrders[WeekIndex]=20)*(T_PlannedOrders[EffectiveQty]&gt;0)*T_PlannedOrders[Order_Month])),"m月")&amp;"発注)")</f>
        <v/>
      </c>
      <c r="X937">
        <f>IF(SUMIFS(T_PlannedOrders[EffectiveQty],T_PlannedOrders[Part Name],$A925,T_PlannedOrders[WeekIndex],21)=0,"",SUMIFS(T_PlannedOrders[EffectiveQty],T_PlannedOrders[Part Name],$A925,T_PlannedOrders[WeekIndex],21)&amp;" ("&amp;TEXT(SUMPRODUCT(MAX((T_PlannedOrders[Part Name]=$A925)*(T_PlannedOrders[WeekIndex]=21)*(T_PlannedOrders[EffectiveQty]&gt;0)*T_PlannedOrders[Order_Month])),"m月")&amp;"発注)")</f>
        <v/>
      </c>
      <c r="Y937">
        <f>IF(SUMIFS(T_PlannedOrders[EffectiveQty],T_PlannedOrders[Part Name],$A925,T_PlannedOrders[WeekIndex],22)=0,"",SUMIFS(T_PlannedOrders[EffectiveQty],T_PlannedOrders[Part Name],$A925,T_PlannedOrders[WeekIndex],22)&amp;" ("&amp;TEXT(SUMPRODUCT(MAX((T_PlannedOrders[Part Name]=$A925)*(T_PlannedOrders[WeekIndex]=22)*(T_PlannedOrders[EffectiveQty]&gt;0)*T_PlannedOrders[Order_Month])),"m月")&amp;"発注)")</f>
        <v/>
      </c>
      <c r="Z937">
        <f>IF(SUMIFS(T_PlannedOrders[EffectiveQty],T_PlannedOrders[Part Name],$A925,T_PlannedOrders[WeekIndex],23)=0,"",SUMIFS(T_PlannedOrders[EffectiveQty],T_PlannedOrders[Part Name],$A925,T_PlannedOrders[WeekIndex],23)&amp;" ("&amp;TEXT(SUMPRODUCT(MAX((T_PlannedOrders[Part Name]=$A925)*(T_PlannedOrders[WeekIndex]=23)*(T_PlannedOrders[EffectiveQty]&gt;0)*T_PlannedOrders[Order_Month])),"m月")&amp;"発注)")</f>
        <v/>
      </c>
      <c r="AA937">
        <f>IF(SUMIFS(T_PlannedOrders[EffectiveQty],T_PlannedOrders[Part Name],$A925,T_PlannedOrders[WeekIndex],24)=0,"",SUMIFS(T_PlannedOrders[EffectiveQty],T_PlannedOrders[Part Name],$A925,T_PlannedOrders[WeekIndex],24)&amp;" ("&amp;TEXT(SUMPRODUCT(MAX((T_PlannedOrders[Part Name]=$A925)*(T_PlannedOrders[WeekIndex]=24)*(T_PlannedOrders[EffectiveQty]&gt;0)*T_PlannedOrders[Order_Month])),"m月")&amp;"発注)")</f>
        <v/>
      </c>
      <c r="AB937">
        <f>IF(SUMIFS(T_PlannedOrders[EffectiveQty],T_PlannedOrders[Part Name],$A925,T_PlannedOrders[WeekIndex],25)=0,"",SUMIFS(T_PlannedOrders[EffectiveQty],T_PlannedOrders[Part Name],$A925,T_PlannedOrders[WeekIndex],25)&amp;" ("&amp;TEXT(SUMPRODUCT(MAX((T_PlannedOrders[Part Name]=$A925)*(T_PlannedOrders[WeekIndex]=25)*(T_PlannedOrders[EffectiveQty]&gt;0)*T_PlannedOrders[Order_Month])),"m月")&amp;"発注)")</f>
        <v/>
      </c>
      <c r="AC937">
        <f>IF(SUMIFS(T_PlannedOrders[EffectiveQty],T_PlannedOrders[Part Name],$A925,T_PlannedOrders[WeekIndex],26)=0,"",SUMIFS(T_PlannedOrders[EffectiveQty],T_PlannedOrders[Part Name],$A925,T_PlannedOrders[WeekIndex],26)&amp;" ("&amp;TEXT(SUMPRODUCT(MAX((T_PlannedOrders[Part Name]=$A925)*(T_PlannedOrders[WeekIndex]=26)*(T_PlannedOrders[EffectiveQty]&gt;0)*T_PlannedOrders[Order_Month])),"m月")&amp;"発注)")</f>
        <v/>
      </c>
      <c r="AD937">
        <f>IF(SUMIFS(T_PlannedOrders[EffectiveQty],T_PlannedOrders[Part Name],$A925,T_PlannedOrders[WeekIndex],27)=0,"",SUMIFS(T_PlannedOrders[EffectiveQty],T_PlannedOrders[Part Name],$A925,T_PlannedOrders[WeekIndex],27)&amp;" ("&amp;TEXT(SUMPRODUCT(MAX((T_PlannedOrders[Part Name]=$A925)*(T_PlannedOrders[WeekIndex]=27)*(T_PlannedOrders[EffectiveQty]&gt;0)*T_PlannedOrders[Order_Month])),"m月")&amp;"発注)")</f>
        <v/>
      </c>
      <c r="AE937">
        <f>IF(SUMIFS(T_PlannedOrders[EffectiveQty],T_PlannedOrders[Part Name],$A925,T_PlannedOrders[WeekIndex],28)=0,"",SUMIFS(T_PlannedOrders[EffectiveQty],T_PlannedOrders[Part Name],$A925,T_PlannedOrders[WeekIndex],28)&amp;" ("&amp;TEXT(SUMPRODUCT(MAX((T_PlannedOrders[Part Name]=$A925)*(T_PlannedOrders[WeekIndex]=28)*(T_PlannedOrders[EffectiveQty]&gt;0)*T_PlannedOrders[Order_Month])),"m月")&amp;"発注)")</f>
        <v/>
      </c>
      <c r="AF937">
        <f>IF(SUMIFS(T_PlannedOrders[EffectiveQty],T_PlannedOrders[Part Name],$A925,T_PlannedOrders[WeekIndex],29)=0,"",SUMIFS(T_PlannedOrders[EffectiveQty],T_PlannedOrders[Part Name],$A925,T_PlannedOrders[WeekIndex],29)&amp;" ("&amp;TEXT(SUMPRODUCT(MAX((T_PlannedOrders[Part Name]=$A925)*(T_PlannedOrders[WeekIndex]=29)*(T_PlannedOrders[EffectiveQty]&gt;0)*T_PlannedOrders[Order_Month])),"m月")&amp;"発注)")</f>
        <v/>
      </c>
      <c r="AG937">
        <f>IF(SUMIFS(T_PlannedOrders[EffectiveQty],T_PlannedOrders[Part Name],$A925,T_PlannedOrders[WeekIndex],30)=0,"",SUMIFS(T_PlannedOrders[EffectiveQty],T_PlannedOrders[Part Name],$A925,T_PlannedOrders[WeekIndex],30)&amp;" ("&amp;TEXT(SUMPRODUCT(MAX((T_PlannedOrders[Part Name]=$A925)*(T_PlannedOrders[WeekIndex]=30)*(T_PlannedOrders[EffectiveQty]&gt;0)*T_PlannedOrders[Order_Month])),"m月")&amp;"発注)")</f>
        <v/>
      </c>
      <c r="AH937">
        <f>IF(SUMIFS(T_PlannedOrders[EffectiveQty],T_PlannedOrders[Part Name],$A925,T_PlannedOrders[WeekIndex],31)=0,"",SUMIFS(T_PlannedOrders[EffectiveQty],T_PlannedOrders[Part Name],$A925,T_PlannedOrders[WeekIndex],31)&amp;" ("&amp;TEXT(SUMPRODUCT(MAX((T_PlannedOrders[Part Name]=$A925)*(T_PlannedOrders[WeekIndex]=31)*(T_PlannedOrders[EffectiveQty]&gt;0)*T_PlannedOrders[Order_Month])),"m月")&amp;"発注)")</f>
        <v/>
      </c>
      <c r="AI937">
        <f>IF(SUMIFS(T_PlannedOrders[EffectiveQty],T_PlannedOrders[Part Name],$A925,T_PlannedOrders[WeekIndex],32)=0,"",SUMIFS(T_PlannedOrders[EffectiveQty],T_PlannedOrders[Part Name],$A925,T_PlannedOrders[WeekIndex],32)&amp;" ("&amp;TEXT(SUMPRODUCT(MAX((T_PlannedOrders[Part Name]=$A925)*(T_PlannedOrders[WeekIndex]=32)*(T_PlannedOrders[EffectiveQty]&gt;0)*T_PlannedOrders[Order_Month])),"m月")&amp;"発注)")</f>
        <v/>
      </c>
      <c r="AJ937">
        <f>IF(SUMIFS(T_PlannedOrders[EffectiveQty],T_PlannedOrders[Part Name],$A925,T_PlannedOrders[WeekIndex],33)=0,"",SUMIFS(T_PlannedOrders[EffectiveQty],T_PlannedOrders[Part Name],$A925,T_PlannedOrders[WeekIndex],33)&amp;" ("&amp;TEXT(SUMPRODUCT(MAX((T_PlannedOrders[Part Name]=$A925)*(T_PlannedOrders[WeekIndex]=33)*(T_PlannedOrders[EffectiveQty]&gt;0)*T_PlannedOrders[Order_Month])),"m月")&amp;"発注)")</f>
        <v/>
      </c>
      <c r="AK937">
        <f>IF(SUMIFS(T_PlannedOrders[EffectiveQty],T_PlannedOrders[Part Name],$A925,T_PlannedOrders[WeekIndex],34)=0,"",SUMIFS(T_PlannedOrders[EffectiveQty],T_PlannedOrders[Part Name],$A925,T_PlannedOrders[WeekIndex],34)&amp;" ("&amp;TEXT(SUMPRODUCT(MAX((T_PlannedOrders[Part Name]=$A925)*(T_PlannedOrders[WeekIndex]=34)*(T_PlannedOrders[EffectiveQty]&gt;0)*T_PlannedOrders[Order_Month])),"m月")&amp;"発注)")</f>
        <v/>
      </c>
      <c r="AL937">
        <f>IF(SUMIFS(T_PlannedOrders[EffectiveQty],T_PlannedOrders[Part Name],$A925,T_PlannedOrders[WeekIndex],35)=0,"",SUMIFS(T_PlannedOrders[EffectiveQty],T_PlannedOrders[Part Name],$A925,T_PlannedOrders[WeekIndex],35)&amp;" ("&amp;TEXT(SUMPRODUCT(MAX((T_PlannedOrders[Part Name]=$A925)*(T_PlannedOrders[WeekIndex]=35)*(T_PlannedOrders[EffectiveQty]&gt;0)*T_PlannedOrders[Order_Month])),"m月")&amp;"発注)")</f>
        <v/>
      </c>
      <c r="AM937">
        <f>IF(SUMIFS(T_PlannedOrders[EffectiveQty],T_PlannedOrders[Part Name],$A925,T_PlannedOrders[WeekIndex],36)=0,"",SUMIFS(T_PlannedOrders[EffectiveQty],T_PlannedOrders[Part Name],$A925,T_PlannedOrders[WeekIndex],36)&amp;" ("&amp;TEXT(SUMPRODUCT(MAX((T_PlannedOrders[Part Name]=$A925)*(T_PlannedOrders[WeekIndex]=36)*(T_PlannedOrders[EffectiveQty]&gt;0)*T_PlannedOrders[Order_Month])),"m月")&amp;"発注)")</f>
        <v/>
      </c>
      <c r="AN937">
        <f>IF(SUMIFS(T_PlannedOrders[EffectiveQty],T_PlannedOrders[Part Name],$A925,T_PlannedOrders[WeekIndex],37)=0,"",SUMIFS(T_PlannedOrders[EffectiveQty],T_PlannedOrders[Part Name],$A925,T_PlannedOrders[WeekIndex],37)&amp;" ("&amp;TEXT(SUMPRODUCT(MAX((T_PlannedOrders[Part Name]=$A925)*(T_PlannedOrders[WeekIndex]=37)*(T_PlannedOrders[EffectiveQty]&gt;0)*T_PlannedOrders[Order_Month])),"m月")&amp;"発注)")</f>
        <v/>
      </c>
      <c r="AO937">
        <f>IF(SUMIFS(T_PlannedOrders[EffectiveQty],T_PlannedOrders[Part Name],$A925,T_PlannedOrders[WeekIndex],38)=0,"",SUMIFS(T_PlannedOrders[EffectiveQty],T_PlannedOrders[Part Name],$A925,T_PlannedOrders[WeekIndex],38)&amp;" ("&amp;TEXT(SUMPRODUCT(MAX((T_PlannedOrders[Part Name]=$A925)*(T_PlannedOrders[WeekIndex]=38)*(T_PlannedOrders[EffectiveQty]&gt;0)*T_PlannedOrders[Order_Month])),"m月")&amp;"発注)")</f>
        <v/>
      </c>
      <c r="AP937">
        <f>IF(SUMIFS(T_PlannedOrders[EffectiveQty],T_PlannedOrders[Part Name],$A925,T_PlannedOrders[WeekIndex],39)=0,"",SUMIFS(T_PlannedOrders[EffectiveQty],T_PlannedOrders[Part Name],$A925,T_PlannedOrders[WeekIndex],39)&amp;" ("&amp;TEXT(SUMPRODUCT(MAX((T_PlannedOrders[Part Name]=$A925)*(T_PlannedOrders[WeekIndex]=39)*(T_PlannedOrders[EffectiveQty]&gt;0)*T_PlannedOrders[Order_Month])),"m月")&amp;"発注)")</f>
        <v/>
      </c>
      <c r="AQ937">
        <f>IF(SUMIFS(T_PlannedOrders[EffectiveQty],T_PlannedOrders[Part Name],$A925,T_PlannedOrders[WeekIndex],40)=0,"",SUMIFS(T_PlannedOrders[EffectiveQty],T_PlannedOrders[Part Name],$A925,T_PlannedOrders[WeekIndex],40)&amp;" ("&amp;TEXT(SUMPRODUCT(MAX((T_PlannedOrders[Part Name]=$A925)*(T_PlannedOrders[WeekIndex]=40)*(T_PlannedOrders[EffectiveQty]&gt;0)*T_PlannedOrders[Order_Month])),"m月")&amp;"発注)")</f>
        <v/>
      </c>
      <c r="AR937">
        <f>IF(SUMIFS(T_PlannedOrders[EffectiveQty],T_PlannedOrders[Part Name],$A925,T_PlannedOrders[WeekIndex],41)=0,"",SUMIFS(T_PlannedOrders[EffectiveQty],T_PlannedOrders[Part Name],$A925,T_PlannedOrders[WeekIndex],41)&amp;" ("&amp;TEXT(SUMPRODUCT(MAX((T_PlannedOrders[Part Name]=$A925)*(T_PlannedOrders[WeekIndex]=41)*(T_PlannedOrders[EffectiveQty]&gt;0)*T_PlannedOrders[Order_Month])),"m月")&amp;"発注)")</f>
        <v/>
      </c>
      <c r="AS937">
        <f>IF(SUMIFS(T_PlannedOrders[EffectiveQty],T_PlannedOrders[Part Name],$A925,T_PlannedOrders[WeekIndex],42)=0,"",SUMIFS(T_PlannedOrders[EffectiveQty],T_PlannedOrders[Part Name],$A925,T_PlannedOrders[WeekIndex],42)&amp;" ("&amp;TEXT(SUMPRODUCT(MAX((T_PlannedOrders[Part Name]=$A925)*(T_PlannedOrders[WeekIndex]=42)*(T_PlannedOrders[EffectiveQty]&gt;0)*T_PlannedOrders[Order_Month])),"m月")&amp;"発注)")</f>
        <v/>
      </c>
      <c r="AT937">
        <f>IF(SUMIFS(T_PlannedOrders[EffectiveQty],T_PlannedOrders[Part Name],$A925,T_PlannedOrders[WeekIndex],43)=0,"",SUMIFS(T_PlannedOrders[EffectiveQty],T_PlannedOrders[Part Name],$A925,T_PlannedOrders[WeekIndex],43)&amp;" ("&amp;TEXT(SUMPRODUCT(MAX((T_PlannedOrders[Part Name]=$A925)*(T_PlannedOrders[WeekIndex]=43)*(T_PlannedOrders[EffectiveQty]&gt;0)*T_PlannedOrders[Order_Month])),"m月")&amp;"発注)")</f>
        <v/>
      </c>
      <c r="AU937">
        <f>IF(SUMIFS(T_PlannedOrders[EffectiveQty],T_PlannedOrders[Part Name],$A925,T_PlannedOrders[WeekIndex],44)=0,"",SUMIFS(T_PlannedOrders[EffectiveQty],T_PlannedOrders[Part Name],$A925,T_PlannedOrders[WeekIndex],44)&amp;" ("&amp;TEXT(SUMPRODUCT(MAX((T_PlannedOrders[Part Name]=$A925)*(T_PlannedOrders[WeekIndex]=44)*(T_PlannedOrders[EffectiveQty]&gt;0)*T_PlannedOrders[Order_Month])),"m月")&amp;"発注)")</f>
        <v/>
      </c>
      <c r="AV937">
        <f>IF(SUMIFS(T_PlannedOrders[EffectiveQty],T_PlannedOrders[Part Name],$A925,T_PlannedOrders[WeekIndex],45)=0,"",SUMIFS(T_PlannedOrders[EffectiveQty],T_PlannedOrders[Part Name],$A925,T_PlannedOrders[WeekIndex],45)&amp;" ("&amp;TEXT(SUMPRODUCT(MAX((T_PlannedOrders[Part Name]=$A925)*(T_PlannedOrders[WeekIndex]=45)*(T_PlannedOrders[EffectiveQty]&gt;0)*T_PlannedOrders[Order_Month])),"m月")&amp;"発注)")</f>
        <v/>
      </c>
      <c r="AW937">
        <f>IF(SUMIFS(T_PlannedOrders[EffectiveQty],T_PlannedOrders[Part Name],$A925,T_PlannedOrders[WeekIndex],46)=0,"",SUMIFS(T_PlannedOrders[EffectiveQty],T_PlannedOrders[Part Name],$A925,T_PlannedOrders[WeekIndex],46)&amp;" ("&amp;TEXT(SUMPRODUCT(MAX((T_PlannedOrders[Part Name]=$A925)*(T_PlannedOrders[WeekIndex]=46)*(T_PlannedOrders[EffectiveQty]&gt;0)*T_PlannedOrders[Order_Month])),"m月")&amp;"発注)")</f>
        <v/>
      </c>
      <c r="AX937">
        <f>IF(SUMIFS(T_PlannedOrders[EffectiveQty],T_PlannedOrders[Part Name],$A925,T_PlannedOrders[WeekIndex],47)=0,"",SUMIFS(T_PlannedOrders[EffectiveQty],T_PlannedOrders[Part Name],$A925,T_PlannedOrders[WeekIndex],47)&amp;" ("&amp;TEXT(SUMPRODUCT(MAX((T_PlannedOrders[Part Name]=$A925)*(T_PlannedOrders[WeekIndex]=47)*(T_PlannedOrders[EffectiveQty]&gt;0)*T_PlannedOrders[Order_Month])),"m月")&amp;"発注)")</f>
        <v/>
      </c>
      <c r="AY937">
        <f>IF(SUMIFS(T_PlannedOrders[EffectiveQty],T_PlannedOrders[Part Name],$A925,T_PlannedOrders[WeekIndex],48)=0,"",SUMIFS(T_PlannedOrders[EffectiveQty],T_PlannedOrders[Part Name],$A925,T_PlannedOrders[WeekIndex],48)&amp;" ("&amp;TEXT(SUMPRODUCT(MAX((T_PlannedOrders[Part Name]=$A925)*(T_PlannedOrders[WeekIndex]=48)*(T_PlannedOrders[EffectiveQty]&gt;0)*T_PlannedOrders[Order_Month])),"m月")&amp;"発注)")</f>
        <v/>
      </c>
      <c r="AZ937">
        <f>IF(SUMIFS(T_PlannedOrders[EffectiveQty],T_PlannedOrders[Part Name],$A925,T_PlannedOrders[WeekIndex],49)=0,"",SUMIFS(T_PlannedOrders[EffectiveQty],T_PlannedOrders[Part Name],$A925,T_PlannedOrders[WeekIndex],49)&amp;" ("&amp;TEXT(SUMPRODUCT(MAX((T_PlannedOrders[Part Name]=$A925)*(T_PlannedOrders[WeekIndex]=49)*(T_PlannedOrders[EffectiveQty]&gt;0)*T_PlannedOrders[Order_Month])),"m月")&amp;"発注)")</f>
        <v/>
      </c>
      <c r="BA937">
        <f>IF(SUMIFS(T_PlannedOrders[EffectiveQty],T_PlannedOrders[Part Name],$A925,T_PlannedOrders[WeekIndex],50)=0,"",SUMIFS(T_PlannedOrders[EffectiveQty],T_PlannedOrders[Part Name],$A925,T_PlannedOrders[WeekIndex],50)&amp;" ("&amp;TEXT(SUMPRODUCT(MAX((T_PlannedOrders[Part Name]=$A925)*(T_PlannedOrders[WeekIndex]=50)*(T_PlannedOrders[EffectiveQty]&gt;0)*T_PlannedOrders[Order_Month])),"m月")&amp;"発注)")</f>
        <v/>
      </c>
      <c r="BB937">
        <f>IF(SUMIFS(T_PlannedOrders[EffectiveQty],T_PlannedOrders[Part Name],$A925,T_PlannedOrders[WeekIndex],51)=0,"",SUMIFS(T_PlannedOrders[EffectiveQty],T_PlannedOrders[Part Name],$A925,T_PlannedOrders[WeekIndex],51)&amp;" ("&amp;TEXT(SUMPRODUCT(MAX((T_PlannedOrders[Part Name]=$A925)*(T_PlannedOrders[WeekIndex]=51)*(T_PlannedOrders[EffectiveQty]&gt;0)*T_PlannedOrders[Order_Month])),"m月")&amp;"発注)")</f>
        <v/>
      </c>
      <c r="BC937">
        <f>IF(SUMIFS(T_PlannedOrders[EffectiveQty],T_PlannedOrders[Part Name],$A925,T_PlannedOrders[WeekIndex],52)=0,"",SUMIFS(T_PlannedOrders[EffectiveQty],T_PlannedOrders[Part Name],$A925,T_PlannedOrders[WeekIndex],52)&amp;" ("&amp;TEXT(SUMPRODUCT(MAX((T_PlannedOrders[Part Name]=$A925)*(T_PlannedOrders[WeekIndex]=52)*(T_PlannedOrders[EffectiveQty]&gt;0)*T_PlannedOrders[Order_Month])),"m月")&amp;"発注)")</f>
        <v/>
      </c>
      <c r="BD937">
        <f>IF(SUMIFS(T_PlannedOrders[EffectiveQty],T_PlannedOrders[Part Name],$A925,T_PlannedOrders[WeekIndex],53)=0,"",SUMIFS(T_PlannedOrders[EffectiveQty],T_PlannedOrders[Part Name],$A925,T_PlannedOrders[WeekIndex],53)&amp;" ("&amp;TEXT(SUMPRODUCT(MAX((T_PlannedOrders[Part Name]=$A925)*(T_PlannedOrders[WeekIndex]=53)*(T_PlannedOrders[EffectiveQty]&gt;0)*T_PlannedOrders[Order_Month])),"m月")&amp;"発注)")</f>
        <v/>
      </c>
      <c r="BE937">
        <f>IF(SUMIFS(T_PlannedOrders[EffectiveQty],T_PlannedOrders[Part Name],$A925,T_PlannedOrders[WeekIndex],54)=0,"",SUMIFS(T_PlannedOrders[EffectiveQty],T_PlannedOrders[Part Name],$A925,T_PlannedOrders[WeekIndex],54)&amp;" ("&amp;TEXT(SUMPRODUCT(MAX((T_PlannedOrders[Part Name]=$A925)*(T_PlannedOrders[WeekIndex]=54)*(T_PlannedOrders[EffectiveQty]&gt;0)*T_PlannedOrders[Order_Month])),"m月")&amp;"発注)")</f>
        <v/>
      </c>
      <c r="BF937">
        <f>IF(SUMIFS(T_PlannedOrders[EffectiveQty],T_PlannedOrders[Part Name],$A925,T_PlannedOrders[WeekIndex],55)=0,"",SUMIFS(T_PlannedOrders[EffectiveQty],T_PlannedOrders[Part Name],$A925,T_PlannedOrders[WeekIndex],55)&amp;" ("&amp;TEXT(SUMPRODUCT(MAX((T_PlannedOrders[Part Name]=$A925)*(T_PlannedOrders[WeekIndex]=55)*(T_PlannedOrders[EffectiveQty]&gt;0)*T_PlannedOrders[Order_Month])),"m月")&amp;"発注)")</f>
        <v/>
      </c>
      <c r="BG937">
        <f>IF(SUMIFS(T_PlannedOrders[EffectiveQty],T_PlannedOrders[Part Name],$A925,T_PlannedOrders[WeekIndex],56)=0,"",SUMIFS(T_PlannedOrders[EffectiveQty],T_PlannedOrders[Part Name],$A925,T_PlannedOrders[WeekIndex],56)&amp;" ("&amp;TEXT(SUMPRODUCT(MAX((T_PlannedOrders[Part Name]=$A925)*(T_PlannedOrders[WeekIndex]=56)*(T_PlannedOrders[EffectiveQty]&gt;0)*T_PlannedOrders[Order_Month])),"m月")&amp;"発注)")</f>
        <v/>
      </c>
      <c r="BH937">
        <f>IF(SUMIFS(T_PlannedOrders[EffectiveQty],T_PlannedOrders[Part Name],$A925,T_PlannedOrders[WeekIndex],57)=0,"",SUMIFS(T_PlannedOrders[EffectiveQty],T_PlannedOrders[Part Name],$A925,T_PlannedOrders[WeekIndex],57)&amp;" ("&amp;TEXT(SUMPRODUCT(MAX((T_PlannedOrders[Part Name]=$A925)*(T_PlannedOrders[WeekIndex]=57)*(T_PlannedOrders[EffectiveQty]&gt;0)*T_PlannedOrders[Order_Month])),"m月")&amp;"発注)")</f>
        <v/>
      </c>
      <c r="BI937">
        <f>IF(SUMIFS(T_PlannedOrders[EffectiveQty],T_PlannedOrders[Part Name],$A925,T_PlannedOrders[WeekIndex],58)=0,"",SUMIFS(T_PlannedOrders[EffectiveQty],T_PlannedOrders[Part Name],$A925,T_PlannedOrders[WeekIndex],58)&amp;" ("&amp;TEXT(SUMPRODUCT(MAX((T_PlannedOrders[Part Name]=$A925)*(T_PlannedOrders[WeekIndex]=58)*(T_PlannedOrders[EffectiveQty]&gt;0)*T_PlannedOrders[Order_Month])),"m月")&amp;"発注)")</f>
        <v/>
      </c>
      <c r="BJ937">
        <f>IF(SUMIFS(T_PlannedOrders[EffectiveQty],T_PlannedOrders[Part Name],$A925,T_PlannedOrders[WeekIndex],59)=0,"",SUMIFS(T_PlannedOrders[EffectiveQty],T_PlannedOrders[Part Name],$A925,T_PlannedOrders[WeekIndex],59)&amp;" ("&amp;TEXT(SUMPRODUCT(MAX((T_PlannedOrders[Part Name]=$A925)*(T_PlannedOrders[WeekIndex]=59)*(T_PlannedOrders[EffectiveQty]&gt;0)*T_PlannedOrders[Order_Month])),"m月")&amp;"発注)")</f>
        <v/>
      </c>
      <c r="BK937">
        <f>IF(SUMIFS(T_PlannedOrders[EffectiveQty],T_PlannedOrders[Part Name],$A925,T_PlannedOrders[WeekIndex],60)=0,"",SUMIFS(T_PlannedOrders[EffectiveQty],T_PlannedOrders[Part Name],$A925,T_PlannedOrders[WeekIndex],60)&amp;" ("&amp;TEXT(SUMPRODUCT(MAX((T_PlannedOrders[Part Name]=$A925)*(T_PlannedOrders[WeekIndex]=60)*(T_PlannedOrders[EffectiveQty]&gt;0)*T_PlannedOrders[Order_Month])),"m月")&amp;"発注)")</f>
        <v/>
      </c>
      <c r="BL937">
        <f>IF(SUMIFS(T_PlannedOrders[EffectiveQty],T_PlannedOrders[Part Name],$A925,T_PlannedOrders[WeekIndex],61)=0,"",SUMIFS(T_PlannedOrders[EffectiveQty],T_PlannedOrders[Part Name],$A925,T_PlannedOrders[WeekIndex],61)&amp;" ("&amp;TEXT(SUMPRODUCT(MAX((T_PlannedOrders[Part Name]=$A925)*(T_PlannedOrders[WeekIndex]=61)*(T_PlannedOrders[EffectiveQty]&gt;0)*T_PlannedOrders[Order_Month])),"m月")&amp;"発注)")</f>
        <v/>
      </c>
      <c r="BM937">
        <f>IF(SUMIFS(T_PlannedOrders[EffectiveQty],T_PlannedOrders[Part Name],$A925,T_PlannedOrders[WeekIndex],62)=0,"",SUMIFS(T_PlannedOrders[EffectiveQty],T_PlannedOrders[Part Name],$A925,T_PlannedOrders[WeekIndex],62)&amp;" ("&amp;TEXT(SUMPRODUCT(MAX((T_PlannedOrders[Part Name]=$A925)*(T_PlannedOrders[WeekIndex]=62)*(T_PlannedOrders[EffectiveQty]&gt;0)*T_PlannedOrders[Order_Month])),"m月")&amp;"発注)")</f>
        <v/>
      </c>
      <c r="BN937">
        <f>IF(SUMIFS(T_PlannedOrders[EffectiveQty],T_PlannedOrders[Part Name],$A925,T_PlannedOrders[WeekIndex],63)=0,"",SUMIFS(T_PlannedOrders[EffectiveQty],T_PlannedOrders[Part Name],$A925,T_PlannedOrders[WeekIndex],63)&amp;" ("&amp;TEXT(SUMPRODUCT(MAX((T_PlannedOrders[Part Name]=$A925)*(T_PlannedOrders[WeekIndex]=63)*(T_PlannedOrders[EffectiveQty]&gt;0)*T_PlannedOrders[Order_Month])),"m月")&amp;"発注)")</f>
        <v/>
      </c>
      <c r="BO937">
        <f>IF(SUMIFS(T_PlannedOrders[EffectiveQty],T_PlannedOrders[Part Name],$A925,T_PlannedOrders[WeekIndex],64)=0,"",SUMIFS(T_PlannedOrders[EffectiveQty],T_PlannedOrders[Part Name],$A925,T_PlannedOrders[WeekIndex],64)&amp;" ("&amp;TEXT(SUMPRODUCT(MAX((T_PlannedOrders[Part Name]=$A925)*(T_PlannedOrders[WeekIndex]=64)*(T_PlannedOrders[EffectiveQty]&gt;0)*T_PlannedOrders[Order_Month])),"m月")&amp;"発注)")</f>
        <v/>
      </c>
      <c r="BP937">
        <f>IF(SUMIFS(T_PlannedOrders[EffectiveQty],T_PlannedOrders[Part Name],$A925,T_PlannedOrders[WeekIndex],65)=0,"",SUMIFS(T_PlannedOrders[EffectiveQty],T_PlannedOrders[Part Name],$A925,T_PlannedOrders[WeekIndex],65)&amp;" ("&amp;TEXT(SUMPRODUCT(MAX((T_PlannedOrders[Part Name]=$A925)*(T_PlannedOrders[WeekIndex]=65)*(T_PlannedOrders[EffectiveQty]&gt;0)*T_PlannedOrders[Order_Month])),"m月")&amp;"発注)")</f>
        <v/>
      </c>
      <c r="BQ937">
        <f>IF(SUMIFS(T_PlannedOrders[EffectiveQty],T_PlannedOrders[Part Name],$A925,T_PlannedOrders[WeekIndex],66)=0,"",SUMIFS(T_PlannedOrders[EffectiveQty],T_PlannedOrders[Part Name],$A925,T_PlannedOrders[WeekIndex],66)&amp;" ("&amp;TEXT(SUMPRODUCT(MAX((T_PlannedOrders[Part Name]=$A925)*(T_PlannedOrders[WeekIndex]=66)*(T_PlannedOrders[EffectiveQty]&gt;0)*T_PlannedOrders[Order_Month])),"m月")&amp;"発注)")</f>
        <v/>
      </c>
      <c r="BR937">
        <f>IF(SUMIFS(T_PlannedOrders[EffectiveQty],T_PlannedOrders[Part Name],$A925,T_PlannedOrders[WeekIndex],67)=0,"",SUMIFS(T_PlannedOrders[EffectiveQty],T_PlannedOrders[Part Name],$A925,T_PlannedOrders[WeekIndex],67)&amp;" ("&amp;TEXT(SUMPRODUCT(MAX((T_PlannedOrders[Part Name]=$A925)*(T_PlannedOrders[WeekIndex]=67)*(T_PlannedOrders[EffectiveQty]&gt;0)*T_PlannedOrders[Order_Month])),"m月")&amp;"発注)")</f>
        <v/>
      </c>
      <c r="BS937">
        <f>IF(SUMIFS(T_PlannedOrders[EffectiveQty],T_PlannedOrders[Part Name],$A925,T_PlannedOrders[WeekIndex],68)=0,"",SUMIFS(T_PlannedOrders[EffectiveQty],T_PlannedOrders[Part Name],$A925,T_PlannedOrders[WeekIndex],68)&amp;" ("&amp;TEXT(SUMPRODUCT(MAX((T_PlannedOrders[Part Name]=$A925)*(T_PlannedOrders[WeekIndex]=68)*(T_PlannedOrders[EffectiveQty]&gt;0)*T_PlannedOrders[Order_Month])),"m月")&amp;"発注)")</f>
        <v/>
      </c>
      <c r="BT937">
        <f>IF(SUMIFS(T_PlannedOrders[EffectiveQty],T_PlannedOrders[Part Name],$A925,T_PlannedOrders[WeekIndex],69)=0,"",SUMIFS(T_PlannedOrders[EffectiveQty],T_PlannedOrders[Part Name],$A925,T_PlannedOrders[WeekIndex],69)&amp;" ("&amp;TEXT(SUMPRODUCT(MAX((T_PlannedOrders[Part Name]=$A925)*(T_PlannedOrders[WeekIndex]=69)*(T_PlannedOrders[EffectiveQty]&gt;0)*T_PlannedOrders[Order_Month])),"m月")&amp;"発注)")</f>
        <v/>
      </c>
      <c r="BU937">
        <f>IF(SUMIFS(T_PlannedOrders[EffectiveQty],T_PlannedOrders[Part Name],$A925,T_PlannedOrders[WeekIndex],70)=0,"",SUMIFS(T_PlannedOrders[EffectiveQty],T_PlannedOrders[Part Name],$A925,T_PlannedOrders[WeekIndex],70)&amp;" ("&amp;TEXT(SUMPRODUCT(MAX((T_PlannedOrders[Part Name]=$A925)*(T_PlannedOrders[WeekIndex]=70)*(T_PlannedOrders[EffectiveQty]&gt;0)*T_PlannedOrders[Order_Month])),"m月")&amp;"発注)")</f>
        <v/>
      </c>
      <c r="BV937">
        <f>IF(SUMIFS(T_PlannedOrders[EffectiveQty],T_PlannedOrders[Part Name],$A925,T_PlannedOrders[WeekIndex],71)=0,"",SUMIFS(T_PlannedOrders[EffectiveQty],T_PlannedOrders[Part Name],$A925,T_PlannedOrders[WeekIndex],71)&amp;" ("&amp;TEXT(SUMPRODUCT(MAX((T_PlannedOrders[Part Name]=$A925)*(T_PlannedOrders[WeekIndex]=71)*(T_PlannedOrders[EffectiveQty]&gt;0)*T_PlannedOrders[Order_Month])),"m月")&amp;"発注)")</f>
        <v/>
      </c>
      <c r="BW937">
        <f>IF(SUMIFS(T_PlannedOrders[EffectiveQty],T_PlannedOrders[Part Name],$A925,T_PlannedOrders[WeekIndex],72)=0,"",SUMIFS(T_PlannedOrders[EffectiveQty],T_PlannedOrders[Part Name],$A925,T_PlannedOrders[WeekIndex],72)&amp;" ("&amp;TEXT(SUMPRODUCT(MAX((T_PlannedOrders[Part Name]=$A925)*(T_PlannedOrders[WeekIndex]=72)*(T_PlannedOrders[EffectiveQty]&gt;0)*T_PlannedOrders[Order_Month])),"m月")&amp;"発注)")</f>
        <v/>
      </c>
      <c r="BX937">
        <f>IF(SUMIFS(T_PlannedOrders[EffectiveQty],T_PlannedOrders[Part Name],$A925,T_PlannedOrders[WeekIndex],73)=0,"",SUMIFS(T_PlannedOrders[EffectiveQty],T_PlannedOrders[Part Name],$A925,T_PlannedOrders[WeekIndex],73)&amp;" ("&amp;TEXT(SUMPRODUCT(MAX((T_PlannedOrders[Part Name]=$A925)*(T_PlannedOrders[WeekIndex]=73)*(T_PlannedOrders[EffectiveQty]&gt;0)*T_PlannedOrders[Order_Month])),"m月")&amp;"発注)")</f>
        <v/>
      </c>
      <c r="BY937">
        <f>IF(SUMIFS(T_PlannedOrders[EffectiveQty],T_PlannedOrders[Part Name],$A925,T_PlannedOrders[WeekIndex],74)=0,"",SUMIFS(T_PlannedOrders[EffectiveQty],T_PlannedOrders[Part Name],$A925,T_PlannedOrders[WeekIndex],74)&amp;" ("&amp;TEXT(SUMPRODUCT(MAX((T_PlannedOrders[Part Name]=$A925)*(T_PlannedOrders[WeekIndex]=74)*(T_PlannedOrders[EffectiveQty]&gt;0)*T_PlannedOrders[Order_Month])),"m月")&amp;"発注)")</f>
        <v/>
      </c>
      <c r="BZ937">
        <f>IF(SUMIFS(T_PlannedOrders[EffectiveQty],T_PlannedOrders[Part Name],$A925,T_PlannedOrders[WeekIndex],75)=0,"",SUMIFS(T_PlannedOrders[EffectiveQty],T_PlannedOrders[Part Name],$A925,T_PlannedOrders[WeekIndex],75)&amp;" ("&amp;TEXT(SUMPRODUCT(MAX((T_PlannedOrders[Part Name]=$A925)*(T_PlannedOrders[WeekIndex]=75)*(T_PlannedOrders[EffectiveQty]&gt;0)*T_PlannedOrders[Order_Month])),"m月")&amp;"発注)")</f>
        <v/>
      </c>
      <c r="CA937">
        <f>IF(SUMIFS(T_PlannedOrders[EffectiveQty],T_PlannedOrders[Part Name],$A925,T_PlannedOrders[WeekIndex],76)=0,"",SUMIFS(T_PlannedOrders[EffectiveQty],T_PlannedOrders[Part Name],$A925,T_PlannedOrders[WeekIndex],76)&amp;" ("&amp;TEXT(SUMPRODUCT(MAX((T_PlannedOrders[Part Name]=$A925)*(T_PlannedOrders[WeekIndex]=76)*(T_PlannedOrders[EffectiveQty]&gt;0)*T_PlannedOrders[Order_Month])),"m月")&amp;"発注)")</f>
        <v/>
      </c>
      <c r="CB937">
        <f>IF(SUMIFS(T_PlannedOrders[EffectiveQty],T_PlannedOrders[Part Name],$A925,T_PlannedOrders[WeekIndex],77)=0,"",SUMIFS(T_PlannedOrders[EffectiveQty],T_PlannedOrders[Part Name],$A925,T_PlannedOrders[WeekIndex],77)&amp;" ("&amp;TEXT(SUMPRODUCT(MAX((T_PlannedOrders[Part Name]=$A925)*(T_PlannedOrders[WeekIndex]=77)*(T_PlannedOrders[EffectiveQty]&gt;0)*T_PlannedOrders[Order_Month])),"m月")&amp;"発注)")</f>
        <v/>
      </c>
      <c r="CC937">
        <f>IF(SUMIFS(T_PlannedOrders[EffectiveQty],T_PlannedOrders[Part Name],$A925,T_PlannedOrders[WeekIndex],78)=0,"",SUMIFS(T_PlannedOrders[EffectiveQty],T_PlannedOrders[Part Name],$A925,T_PlannedOrders[WeekIndex],78)&amp;" ("&amp;TEXT(SUMPRODUCT(MAX((T_PlannedOrders[Part Name]=$A925)*(T_PlannedOrders[WeekIndex]=78)*(T_PlannedOrders[EffectiveQty]&gt;0)*T_PlannedOrders[Order_Month])),"m月")&amp;"発注)")</f>
        <v/>
      </c>
      <c r="CD937">
        <f>IF(SUMIFS(T_PlannedOrders[EffectiveQty],T_PlannedOrders[Part Name],$A925,T_PlannedOrders[WeekIndex],79)=0,"",SUMIFS(T_PlannedOrders[EffectiveQty],T_PlannedOrders[Part Name],$A925,T_PlannedOrders[WeekIndex],79)&amp;" ("&amp;TEXT(SUMPRODUCT(MAX((T_PlannedOrders[Part Name]=$A925)*(T_PlannedOrders[WeekIndex]=79)*(T_PlannedOrders[EffectiveQty]&gt;0)*T_PlannedOrders[Order_Month])),"m月")&amp;"発注)")</f>
        <v/>
      </c>
      <c r="CE937">
        <f>IF(SUMIFS(T_PlannedOrders[EffectiveQty],T_PlannedOrders[Part Name],$A925,T_PlannedOrders[WeekIndex],80)=0,"",SUMIFS(T_PlannedOrders[EffectiveQty],T_PlannedOrders[Part Name],$A925,T_PlannedOrders[WeekIndex],80)&amp;" ("&amp;TEXT(SUMPRODUCT(MAX((T_PlannedOrders[Part Name]=$A925)*(T_PlannedOrders[WeekIndex]=80)*(T_PlannedOrders[EffectiveQty]&gt;0)*T_PlannedOrders[Order_Month])),"m月")&amp;"発注)")</f>
        <v/>
      </c>
      <c r="CF937">
        <f>IF(SUMIFS(T_PlannedOrders[EffectiveQty],T_PlannedOrders[Part Name],$A925,T_PlannedOrders[WeekIndex],81)=0,"",SUMIFS(T_PlannedOrders[EffectiveQty],T_PlannedOrders[Part Name],$A925,T_PlannedOrders[WeekIndex],81)&amp;" ("&amp;TEXT(SUMPRODUCT(MAX((T_PlannedOrders[Part Name]=$A925)*(T_PlannedOrders[WeekIndex]=81)*(T_PlannedOrders[EffectiveQty]&gt;0)*T_PlannedOrders[Order_Month])),"m月")&amp;"発注)")</f>
        <v/>
      </c>
      <c r="CG937">
        <f>IF(SUMIFS(T_PlannedOrders[EffectiveQty],T_PlannedOrders[Part Name],$A925,T_PlannedOrders[WeekIndex],82)=0,"",SUMIFS(T_PlannedOrders[EffectiveQty],T_PlannedOrders[Part Name],$A925,T_PlannedOrders[WeekIndex],82)&amp;" ("&amp;TEXT(SUMPRODUCT(MAX((T_PlannedOrders[Part Name]=$A925)*(T_PlannedOrders[WeekIndex]=82)*(T_PlannedOrders[EffectiveQty]&gt;0)*T_PlannedOrders[Order_Month])),"m月")&amp;"発注)")</f>
        <v/>
      </c>
      <c r="CH937">
        <f>IF(SUMIFS(T_PlannedOrders[EffectiveQty],T_PlannedOrders[Part Name],$A925,T_PlannedOrders[WeekIndex],83)=0,"",SUMIFS(T_PlannedOrders[EffectiveQty],T_PlannedOrders[Part Name],$A925,T_PlannedOrders[WeekIndex],83)&amp;" ("&amp;TEXT(SUMPRODUCT(MAX((T_PlannedOrders[Part Name]=$A925)*(T_PlannedOrders[WeekIndex]=83)*(T_PlannedOrders[EffectiveQty]&gt;0)*T_PlannedOrders[Order_Month])),"m月")&amp;"発注)")</f>
        <v/>
      </c>
      <c r="CI937">
        <f>IF(SUMIFS(T_PlannedOrders[EffectiveQty],T_PlannedOrders[Part Name],$A925,T_PlannedOrders[WeekIndex],84)=0,"",SUMIFS(T_PlannedOrders[EffectiveQty],T_PlannedOrders[Part Name],$A925,T_PlannedOrders[WeekIndex],84)&amp;" ("&amp;TEXT(SUMPRODUCT(MAX((T_PlannedOrders[Part Name]=$A925)*(T_PlannedOrders[WeekIndex]=84)*(T_PlannedOrders[EffectiveQty]&gt;0)*T_PlannedOrders[Order_Month])),"m月")&amp;"発注)")</f>
        <v/>
      </c>
      <c r="CJ937">
        <f>IF(SUMIFS(T_PlannedOrders[EffectiveQty],T_PlannedOrders[Part Name],$A925,T_PlannedOrders[WeekIndex],85)=0,"",SUMIFS(T_PlannedOrders[EffectiveQty],T_PlannedOrders[Part Name],$A925,T_PlannedOrders[WeekIndex],85)&amp;" ("&amp;TEXT(SUMPRODUCT(MAX((T_PlannedOrders[Part Name]=$A925)*(T_PlannedOrders[WeekIndex]=85)*(T_PlannedOrders[EffectiveQty]&gt;0)*T_PlannedOrders[Order_Month])),"m月")&amp;"発注)")</f>
        <v/>
      </c>
      <c r="CK937">
        <f>IF(SUMIFS(T_PlannedOrders[EffectiveQty],T_PlannedOrders[Part Name],$A925,T_PlannedOrders[WeekIndex],86)=0,"",SUMIFS(T_PlannedOrders[EffectiveQty],T_PlannedOrders[Part Name],$A925,T_PlannedOrders[WeekIndex],86)&amp;" ("&amp;TEXT(SUMPRODUCT(MAX((T_PlannedOrders[Part Name]=$A925)*(T_PlannedOrders[WeekIndex]=86)*(T_PlannedOrders[EffectiveQty]&gt;0)*T_PlannedOrders[Order_Month])),"m月")&amp;"発注)")</f>
        <v/>
      </c>
      <c r="CL937">
        <f>IF(SUMIFS(T_PlannedOrders[EffectiveQty],T_PlannedOrders[Part Name],$A925,T_PlannedOrders[WeekIndex],87)=0,"",SUMIFS(T_PlannedOrders[EffectiveQty],T_PlannedOrders[Part Name],$A925,T_PlannedOrders[WeekIndex],87)&amp;" ("&amp;TEXT(SUMPRODUCT(MAX((T_PlannedOrders[Part Name]=$A925)*(T_PlannedOrders[WeekIndex]=87)*(T_PlannedOrders[EffectiveQty]&gt;0)*T_PlannedOrders[Order_Month])),"m月")&amp;"発注)")</f>
        <v/>
      </c>
      <c r="CM937">
        <f>IF(SUMIFS(T_PlannedOrders[EffectiveQty],T_PlannedOrders[Part Name],$A925,T_PlannedOrders[WeekIndex],88)=0,"",SUMIFS(T_PlannedOrders[EffectiveQty],T_PlannedOrders[Part Name],$A925,T_PlannedOrders[WeekIndex],88)&amp;" ("&amp;TEXT(SUMPRODUCT(MAX((T_PlannedOrders[Part Name]=$A925)*(T_PlannedOrders[WeekIndex]=88)*(T_PlannedOrders[EffectiveQty]&gt;0)*T_PlannedOrders[Order_Month])),"m月")&amp;"発注)")</f>
        <v/>
      </c>
      <c r="CN937">
        <f>IF(SUMIFS(T_PlannedOrders[EffectiveQty],T_PlannedOrders[Part Name],$A925,T_PlannedOrders[WeekIndex],89)=0,"",SUMIFS(T_PlannedOrders[EffectiveQty],T_PlannedOrders[Part Name],$A925,T_PlannedOrders[WeekIndex],89)&amp;" ("&amp;TEXT(SUMPRODUCT(MAX((T_PlannedOrders[Part Name]=$A925)*(T_PlannedOrders[WeekIndex]=89)*(T_PlannedOrders[EffectiveQty]&gt;0)*T_PlannedOrders[Order_Month])),"m月")&amp;"発注)")</f>
        <v/>
      </c>
      <c r="CO937">
        <f>IF(SUMIFS(T_PlannedOrders[EffectiveQty],T_PlannedOrders[Part Name],$A925,T_PlannedOrders[WeekIndex],90)=0,"",SUMIFS(T_PlannedOrders[EffectiveQty],T_PlannedOrders[Part Name],$A925,T_PlannedOrders[WeekIndex],90)&amp;" ("&amp;TEXT(SUMPRODUCT(MAX((T_PlannedOrders[Part Name]=$A925)*(T_PlannedOrders[WeekIndex]=90)*(T_PlannedOrders[EffectiveQty]&gt;0)*T_PlannedOrders[Order_Month])),"m月")&amp;"発注)")</f>
        <v/>
      </c>
      <c r="CP937">
        <f>IF(SUMIFS(T_PlannedOrders[EffectiveQty],T_PlannedOrders[Part Name],$A925,T_PlannedOrders[WeekIndex],91)=0,"",SUMIFS(T_PlannedOrders[EffectiveQty],T_PlannedOrders[Part Name],$A925,T_PlannedOrders[WeekIndex],91)&amp;" ("&amp;TEXT(SUMPRODUCT(MAX((T_PlannedOrders[Part Name]=$A925)*(T_PlannedOrders[WeekIndex]=91)*(T_PlannedOrders[EffectiveQty]&gt;0)*T_PlannedOrders[Order_Month])),"m月")&amp;"発注)")</f>
        <v/>
      </c>
      <c r="CQ937">
        <f>IF(SUMIFS(T_PlannedOrders[EffectiveQty],T_PlannedOrders[Part Name],$A925,T_PlannedOrders[WeekIndex],92)=0,"",SUMIFS(T_PlannedOrders[EffectiveQty],T_PlannedOrders[Part Name],$A925,T_PlannedOrders[WeekIndex],92)&amp;" ("&amp;TEXT(SUMPRODUCT(MAX((T_PlannedOrders[Part Name]=$A925)*(T_PlannedOrders[WeekIndex]=92)*(T_PlannedOrders[EffectiveQty]&gt;0)*T_PlannedOrders[Order_Month])),"m月")&amp;"発注)")</f>
        <v/>
      </c>
      <c r="CR937">
        <f>IF(SUMIFS(T_PlannedOrders[EffectiveQty],T_PlannedOrders[Part Name],$A925,T_PlannedOrders[WeekIndex],93)=0,"",SUMIFS(T_PlannedOrders[EffectiveQty],T_PlannedOrders[Part Name],$A925,T_PlannedOrders[WeekIndex],93)&amp;" ("&amp;TEXT(SUMPRODUCT(MAX((T_PlannedOrders[Part Name]=$A925)*(T_PlannedOrders[WeekIndex]=93)*(T_PlannedOrders[EffectiveQty]&gt;0)*T_PlannedOrders[Order_Month])),"m月")&amp;"発注)")</f>
        <v/>
      </c>
      <c r="CS937">
        <f>IF(SUMIFS(T_PlannedOrders[EffectiveQty],T_PlannedOrders[Part Name],$A925,T_PlannedOrders[WeekIndex],94)=0,"",SUMIFS(T_PlannedOrders[EffectiveQty],T_PlannedOrders[Part Name],$A925,T_PlannedOrders[WeekIndex],94)&amp;" ("&amp;TEXT(SUMPRODUCT(MAX((T_PlannedOrders[Part Name]=$A925)*(T_PlannedOrders[WeekIndex]=94)*(T_PlannedOrders[EffectiveQty]&gt;0)*T_PlannedOrders[Order_Month])),"m月")&amp;"発注)")</f>
        <v/>
      </c>
      <c r="CT937">
        <f>IF(SUMIFS(T_PlannedOrders[EffectiveQty],T_PlannedOrders[Part Name],$A925,T_PlannedOrders[WeekIndex],95)=0,"",SUMIFS(T_PlannedOrders[EffectiveQty],T_PlannedOrders[Part Name],$A925,T_PlannedOrders[WeekIndex],95)&amp;" ("&amp;TEXT(SUMPRODUCT(MAX((T_PlannedOrders[Part Name]=$A925)*(T_PlannedOrders[WeekIndex]=95)*(T_PlannedOrders[EffectiveQty]&gt;0)*T_PlannedOrders[Order_Month])),"m月")&amp;"発注)")</f>
        <v/>
      </c>
      <c r="CU937">
        <f>IF(SUMIFS(T_PlannedOrders[EffectiveQty],T_PlannedOrders[Part Name],$A925,T_PlannedOrders[WeekIndex],96)=0,"",SUMIFS(T_PlannedOrders[EffectiveQty],T_PlannedOrders[Part Name],$A925,T_PlannedOrders[WeekIndex],96)&amp;" ("&amp;TEXT(SUMPRODUCT(MAX((T_PlannedOrders[Part Name]=$A925)*(T_PlannedOrders[WeekIndex]=96)*(T_PlannedOrders[EffectiveQty]&gt;0)*T_PlannedOrders[Order_Month])),"m月")&amp;"発注)")</f>
        <v/>
      </c>
      <c r="CV937">
        <f>IF(SUMIFS(T_PlannedOrders[EffectiveQty],T_PlannedOrders[Part Name],$A925,T_PlannedOrders[WeekIndex],97)=0,"",SUMIFS(T_PlannedOrders[EffectiveQty],T_PlannedOrders[Part Name],$A925,T_PlannedOrders[WeekIndex],97)&amp;" ("&amp;TEXT(SUMPRODUCT(MAX((T_PlannedOrders[Part Name]=$A925)*(T_PlannedOrders[WeekIndex]=97)*(T_PlannedOrders[EffectiveQty]&gt;0)*T_PlannedOrders[Order_Month])),"m月")&amp;"発注)")</f>
        <v/>
      </c>
      <c r="CW937">
        <f>IF(SUMIFS(T_PlannedOrders[EffectiveQty],T_PlannedOrders[Part Name],$A925,T_PlannedOrders[WeekIndex],98)=0,"",SUMIFS(T_PlannedOrders[EffectiveQty],T_PlannedOrders[Part Name],$A925,T_PlannedOrders[WeekIndex],98)&amp;" ("&amp;TEXT(SUMPRODUCT(MAX((T_PlannedOrders[Part Name]=$A925)*(T_PlannedOrders[WeekIndex]=98)*(T_PlannedOrders[EffectiveQty]&gt;0)*T_PlannedOrders[Order_Month])),"m月")&amp;"発注)")</f>
        <v/>
      </c>
      <c r="CX937">
        <f>IF(SUMIFS(T_PlannedOrders[EffectiveQty],T_PlannedOrders[Part Name],$A925,T_PlannedOrders[WeekIndex],99)=0,"",SUMIFS(T_PlannedOrders[EffectiveQty],T_PlannedOrders[Part Name],$A925,T_PlannedOrders[WeekIndex],99)&amp;" ("&amp;TEXT(SUMPRODUCT(MAX((T_PlannedOrders[Part Name]=$A925)*(T_PlannedOrders[WeekIndex]=99)*(T_PlannedOrders[EffectiveQty]&gt;0)*T_PlannedOrders[Order_Month])),"m月")&amp;"発注)")</f>
        <v/>
      </c>
      <c r="CY937">
        <f>IF(SUMIFS(T_PlannedOrders[EffectiveQty],T_PlannedOrders[Part Name],$A925,T_PlannedOrders[WeekIndex],100)=0,"",SUMIFS(T_PlannedOrders[EffectiveQty],T_PlannedOrders[Part Name],$A925,T_PlannedOrders[WeekIndex],100)&amp;" ("&amp;TEXT(SUMPRODUCT(MAX((T_PlannedOrders[Part Name]=$A925)*(T_PlannedOrders[WeekIndex]=100)*(T_PlannedOrders[EffectiveQty]&gt;0)*T_PlannedOrders[Order_Month])),"m月")&amp;"発注)")</f>
        <v/>
      </c>
      <c r="CZ937">
        <f>IF(SUMIFS(T_PlannedOrders[EffectiveQty],T_PlannedOrders[Part Name],$A925,T_PlannedOrders[WeekIndex],101)=0,"",SUMIFS(T_PlannedOrders[EffectiveQty],T_PlannedOrders[Part Name],$A925,T_PlannedOrders[WeekIndex],101)&amp;" ("&amp;TEXT(SUMPRODUCT(MAX((T_PlannedOrders[Part Name]=$A925)*(T_PlannedOrders[WeekIndex]=101)*(T_PlannedOrders[EffectiveQty]&gt;0)*T_PlannedOrders[Order_Month])),"m月")&amp;"発注)")</f>
        <v/>
      </c>
      <c r="DA937">
        <f>IF(SUMIFS(T_PlannedOrders[EffectiveQty],T_PlannedOrders[Part Name],$A925,T_PlannedOrders[WeekIndex],102)=0,"",SUMIFS(T_PlannedOrders[EffectiveQty],T_PlannedOrders[Part Name],$A925,T_PlannedOrders[WeekIndex],102)&amp;" ("&amp;TEXT(SUMPRODUCT(MAX((T_PlannedOrders[Part Name]=$A925)*(T_PlannedOrders[WeekIndex]=102)*(T_PlannedOrders[EffectiveQty]&gt;0)*T_PlannedOrders[Order_Month])),"m月")&amp;"発注)")</f>
        <v/>
      </c>
      <c r="DB937">
        <f>IF(SUMIFS(T_PlannedOrders[EffectiveQty],T_PlannedOrders[Part Name],$A925,T_PlannedOrders[WeekIndex],103)=0,"",SUMIFS(T_PlannedOrders[EffectiveQty],T_PlannedOrders[Part Name],$A925,T_PlannedOrders[WeekIndex],103)&amp;" ("&amp;TEXT(SUMPRODUCT(MAX((T_PlannedOrders[Part Name]=$A925)*(T_PlannedOrders[WeekIndex]=103)*(T_PlannedOrders[EffectiveQty]&gt;0)*T_PlannedOrders[Order_Month])),"m月")&amp;"発注)")</f>
        <v/>
      </c>
      <c r="DC937">
        <f>IF(SUMIFS(T_PlannedOrders[EffectiveQty],T_PlannedOrders[Part Name],$A925,T_PlannedOrders[WeekIndex],104)=0,"",SUMIFS(T_PlannedOrders[EffectiveQty],T_PlannedOrders[Part Name],$A925,T_PlannedOrders[WeekIndex],104)&amp;" ("&amp;TEXT(SUMPRODUCT(MAX((T_PlannedOrders[Part Name]=$A925)*(T_PlannedOrders[WeekIndex]=104)*(T_PlannedOrders[EffectiveQty]&gt;0)*T_PlannedOrders[Order_Month])),"m月")&amp;"発注)")</f>
        <v/>
      </c>
    </row>
    <row r="938">
      <c r="B938" s="5" t="inlineStr">
        <is>
          <t>合計在庫(週末時点,kg)</t>
        </is>
      </c>
      <c r="D938">
        <f>'Grid_Stock'!B41</f>
        <v/>
      </c>
      <c r="E938">
        <f>'Grid_Stock'!C41</f>
        <v/>
      </c>
      <c r="F938">
        <f>'Grid_Stock'!D41</f>
        <v/>
      </c>
      <c r="G938">
        <f>'Grid_Stock'!E41</f>
        <v/>
      </c>
      <c r="H938">
        <f>'Grid_Stock'!F41</f>
        <v/>
      </c>
      <c r="I938">
        <f>'Grid_Stock'!G41</f>
        <v/>
      </c>
      <c r="J938">
        <f>'Grid_Stock'!H41</f>
        <v/>
      </c>
      <c r="K938">
        <f>'Grid_Stock'!I41</f>
        <v/>
      </c>
      <c r="L938">
        <f>'Grid_Stock'!J41</f>
        <v/>
      </c>
      <c r="M938">
        <f>'Grid_Stock'!K41</f>
        <v/>
      </c>
      <c r="N938">
        <f>'Grid_Stock'!L41</f>
        <v/>
      </c>
      <c r="O938">
        <f>'Grid_Stock'!M41</f>
        <v/>
      </c>
      <c r="P938">
        <f>'Grid_Stock'!N41</f>
        <v/>
      </c>
      <c r="Q938">
        <f>'Grid_Stock'!O41</f>
        <v/>
      </c>
      <c r="R938">
        <f>'Grid_Stock'!P41</f>
        <v/>
      </c>
      <c r="S938">
        <f>'Grid_Stock'!Q41</f>
        <v/>
      </c>
      <c r="T938">
        <f>'Grid_Stock'!R41</f>
        <v/>
      </c>
      <c r="U938">
        <f>'Grid_Stock'!S41</f>
        <v/>
      </c>
      <c r="V938">
        <f>'Grid_Stock'!T41</f>
        <v/>
      </c>
      <c r="W938">
        <f>'Grid_Stock'!U41</f>
        <v/>
      </c>
      <c r="X938">
        <f>'Grid_Stock'!V41</f>
        <v/>
      </c>
      <c r="Y938">
        <f>'Grid_Stock'!W41</f>
        <v/>
      </c>
      <c r="Z938">
        <f>'Grid_Stock'!X41</f>
        <v/>
      </c>
      <c r="AA938">
        <f>'Grid_Stock'!Y41</f>
        <v/>
      </c>
      <c r="AB938">
        <f>'Grid_Stock'!Z41</f>
        <v/>
      </c>
      <c r="AC938">
        <f>'Grid_Stock'!AA41</f>
        <v/>
      </c>
      <c r="AD938">
        <f>'Grid_Stock'!AB41</f>
        <v/>
      </c>
      <c r="AE938">
        <f>'Grid_Stock'!AC41</f>
        <v/>
      </c>
      <c r="AF938">
        <f>'Grid_Stock'!AD41</f>
        <v/>
      </c>
      <c r="AG938">
        <f>'Grid_Stock'!AE41</f>
        <v/>
      </c>
      <c r="AH938">
        <f>'Grid_Stock'!AF41</f>
        <v/>
      </c>
      <c r="AI938">
        <f>'Grid_Stock'!AG41</f>
        <v/>
      </c>
      <c r="AJ938">
        <f>'Grid_Stock'!AH41</f>
        <v/>
      </c>
      <c r="AK938">
        <f>'Grid_Stock'!AI41</f>
        <v/>
      </c>
      <c r="AL938">
        <f>'Grid_Stock'!AJ41</f>
        <v/>
      </c>
      <c r="AM938">
        <f>'Grid_Stock'!AK41</f>
        <v/>
      </c>
      <c r="AN938">
        <f>'Grid_Stock'!AL41</f>
        <v/>
      </c>
      <c r="AO938">
        <f>'Grid_Stock'!AM41</f>
        <v/>
      </c>
      <c r="AP938">
        <f>'Grid_Stock'!AN41</f>
        <v/>
      </c>
      <c r="AQ938">
        <f>'Grid_Stock'!AO41</f>
        <v/>
      </c>
      <c r="AR938">
        <f>'Grid_Stock'!AP41</f>
        <v/>
      </c>
      <c r="AS938">
        <f>'Grid_Stock'!AQ41</f>
        <v/>
      </c>
      <c r="AT938">
        <f>'Grid_Stock'!AR41</f>
        <v/>
      </c>
      <c r="AU938">
        <f>'Grid_Stock'!AS41</f>
        <v/>
      </c>
      <c r="AV938">
        <f>'Grid_Stock'!AT41</f>
        <v/>
      </c>
      <c r="AW938">
        <f>'Grid_Stock'!AU41</f>
        <v/>
      </c>
      <c r="AX938">
        <f>'Grid_Stock'!AV41</f>
        <v/>
      </c>
      <c r="AY938">
        <f>'Grid_Stock'!AW41</f>
        <v/>
      </c>
      <c r="AZ938">
        <f>'Grid_Stock'!AX41</f>
        <v/>
      </c>
      <c r="BA938">
        <f>'Grid_Stock'!AY41</f>
        <v/>
      </c>
      <c r="BB938">
        <f>'Grid_Stock'!AZ41</f>
        <v/>
      </c>
      <c r="BC938">
        <f>'Grid_Stock'!BA41</f>
        <v/>
      </c>
      <c r="BD938">
        <f>'Grid_Stock'!BB41</f>
        <v/>
      </c>
      <c r="BE938">
        <f>'Grid_Stock'!BC41</f>
        <v/>
      </c>
      <c r="BF938">
        <f>'Grid_Stock'!BD41</f>
        <v/>
      </c>
      <c r="BG938">
        <f>'Grid_Stock'!BE41</f>
        <v/>
      </c>
      <c r="BH938">
        <f>'Grid_Stock'!BF41</f>
        <v/>
      </c>
      <c r="BI938">
        <f>'Grid_Stock'!BG41</f>
        <v/>
      </c>
      <c r="BJ938">
        <f>'Grid_Stock'!BH41</f>
        <v/>
      </c>
      <c r="BK938">
        <f>'Grid_Stock'!BI41</f>
        <v/>
      </c>
      <c r="BL938">
        <f>'Grid_Stock'!BJ41</f>
        <v/>
      </c>
      <c r="BM938">
        <f>'Grid_Stock'!BK41</f>
        <v/>
      </c>
      <c r="BN938">
        <f>'Grid_Stock'!BL41</f>
        <v/>
      </c>
      <c r="BO938">
        <f>'Grid_Stock'!BM41</f>
        <v/>
      </c>
      <c r="BP938">
        <f>'Grid_Stock'!BN41</f>
        <v/>
      </c>
      <c r="BQ938">
        <f>'Grid_Stock'!BO41</f>
        <v/>
      </c>
      <c r="BR938">
        <f>'Grid_Stock'!BP41</f>
        <v/>
      </c>
      <c r="BS938">
        <f>'Grid_Stock'!BQ41</f>
        <v/>
      </c>
      <c r="BT938">
        <f>'Grid_Stock'!BR41</f>
        <v/>
      </c>
      <c r="BU938">
        <f>'Grid_Stock'!BS41</f>
        <v/>
      </c>
      <c r="BV938">
        <f>'Grid_Stock'!BT41</f>
        <v/>
      </c>
      <c r="BW938">
        <f>'Grid_Stock'!BU41</f>
        <v/>
      </c>
      <c r="BX938">
        <f>'Grid_Stock'!BV41</f>
        <v/>
      </c>
      <c r="BY938">
        <f>'Grid_Stock'!BW41</f>
        <v/>
      </c>
      <c r="BZ938">
        <f>'Grid_Stock'!BX41</f>
        <v/>
      </c>
      <c r="CA938">
        <f>'Grid_Stock'!BY41</f>
        <v/>
      </c>
      <c r="CB938">
        <f>'Grid_Stock'!BZ41</f>
        <v/>
      </c>
      <c r="CC938">
        <f>'Grid_Stock'!CA41</f>
        <v/>
      </c>
      <c r="CD938">
        <f>'Grid_Stock'!CB41</f>
        <v/>
      </c>
      <c r="CE938">
        <f>'Grid_Stock'!CC41</f>
        <v/>
      </c>
      <c r="CF938">
        <f>'Grid_Stock'!CD41</f>
        <v/>
      </c>
      <c r="CG938">
        <f>'Grid_Stock'!CE41</f>
        <v/>
      </c>
      <c r="CH938">
        <f>'Grid_Stock'!CF41</f>
        <v/>
      </c>
      <c r="CI938">
        <f>'Grid_Stock'!CG41</f>
        <v/>
      </c>
      <c r="CJ938">
        <f>'Grid_Stock'!CH41</f>
        <v/>
      </c>
      <c r="CK938">
        <f>'Grid_Stock'!CI41</f>
        <v/>
      </c>
      <c r="CL938">
        <f>'Grid_Stock'!CJ41</f>
        <v/>
      </c>
      <c r="CM938">
        <f>'Grid_Stock'!CK41</f>
        <v/>
      </c>
      <c r="CN938">
        <f>'Grid_Stock'!CL41</f>
        <v/>
      </c>
      <c r="CO938">
        <f>'Grid_Stock'!CM41</f>
        <v/>
      </c>
      <c r="CP938">
        <f>'Grid_Stock'!CN41</f>
        <v/>
      </c>
      <c r="CQ938">
        <f>'Grid_Stock'!CO41</f>
        <v/>
      </c>
      <c r="CR938">
        <f>'Grid_Stock'!CP41</f>
        <v/>
      </c>
      <c r="CS938">
        <f>'Grid_Stock'!CQ41</f>
        <v/>
      </c>
      <c r="CT938">
        <f>'Grid_Stock'!CR41</f>
        <v/>
      </c>
      <c r="CU938">
        <f>'Grid_Stock'!CS41</f>
        <v/>
      </c>
      <c r="CV938">
        <f>'Grid_Stock'!CT41</f>
        <v/>
      </c>
      <c r="CW938">
        <f>'Grid_Stock'!CU41</f>
        <v/>
      </c>
      <c r="CX938">
        <f>'Grid_Stock'!CV41</f>
        <v/>
      </c>
      <c r="CY938">
        <f>'Grid_Stock'!CW41</f>
        <v/>
      </c>
      <c r="CZ938">
        <f>'Grid_Stock'!CX41</f>
        <v/>
      </c>
      <c r="DA938">
        <f>'Grid_Stock'!CY41</f>
        <v/>
      </c>
      <c r="DB938">
        <f>'Grid_Stock'!CZ41</f>
        <v/>
      </c>
      <c r="DC938">
        <f>'Grid_Stock'!DA41</f>
        <v/>
      </c>
    </row>
    <row r="939">
      <c r="B939" s="23" t="inlineStr">
        <is>
          <t>（発注の目安はDashboardの基準在庫[下限/上限]と色分けを参照）</t>
        </is>
      </c>
    </row>
    <row r="941">
      <c r="A941" s="21" t="inlineStr">
        <is>
          <t>CHEM-1280</t>
        </is>
      </c>
      <c r="B941" s="21" t="inlineStr">
        <is>
          <t>N-Dodeoyl Trimethyl Ammonium Chloride</t>
        </is>
      </c>
      <c r="C941" s="22" t="n"/>
      <c r="D941" s="21" t="n"/>
      <c r="E941" s="21" t="n"/>
      <c r="F941" s="21" t="n"/>
      <c r="G941" s="21" t="n"/>
      <c r="H941" s="2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  <c r="AA941" s="21" t="n"/>
      <c r="AB941" s="21" t="n"/>
      <c r="AC941" s="21" t="n"/>
      <c r="AD941" s="21" t="n"/>
      <c r="AE941" s="21" t="n"/>
      <c r="AF941" s="21" t="n"/>
      <c r="AG941" s="21" t="n"/>
      <c r="AH941" s="21" t="n"/>
      <c r="AI941" s="21" t="n"/>
      <c r="AJ941" s="21" t="n"/>
      <c r="AK941" s="21" t="n"/>
      <c r="AL941" s="21" t="n"/>
      <c r="AM941" s="21" t="n"/>
      <c r="AN941" s="21" t="n"/>
      <c r="AO941" s="21" t="n"/>
      <c r="AP941" s="21" t="n"/>
      <c r="AQ941" s="21" t="n"/>
      <c r="AR941" s="21" t="n"/>
      <c r="AS941" s="21" t="n"/>
      <c r="AT941" s="21" t="n"/>
      <c r="AU941" s="21" t="n"/>
      <c r="AV941" s="21" t="n"/>
      <c r="AW941" s="21" t="n"/>
      <c r="AX941" s="21" t="n"/>
      <c r="AY941" s="21" t="n"/>
      <c r="AZ941" s="21" t="n"/>
      <c r="BA941" s="21" t="n"/>
      <c r="BB941" s="21" t="n"/>
      <c r="BC941" s="21" t="n"/>
      <c r="BD941" s="21" t="n"/>
      <c r="BE941" s="21" t="n"/>
      <c r="BF941" s="21" t="n"/>
      <c r="BG941" s="21" t="n"/>
      <c r="BH941" s="21" t="n"/>
      <c r="BI941" s="21" t="n"/>
      <c r="BJ941" s="21" t="n"/>
      <c r="BK941" s="21" t="n"/>
      <c r="BL941" s="21" t="n"/>
      <c r="BM941" s="21" t="n"/>
      <c r="BN941" s="21" t="n"/>
      <c r="BO941" s="21" t="n"/>
      <c r="BP941" s="21" t="n"/>
      <c r="BQ941" s="21" t="n"/>
      <c r="BR941" s="21" t="n"/>
      <c r="BS941" s="21" t="n"/>
      <c r="BT941" s="21" t="n"/>
      <c r="BU941" s="21" t="n"/>
      <c r="BV941" s="21" t="n"/>
      <c r="BW941" s="21" t="n"/>
      <c r="BX941" s="21" t="n"/>
      <c r="BY941" s="21" t="n"/>
      <c r="BZ941" s="21" t="n"/>
      <c r="CA941" s="21" t="n"/>
      <c r="CB941" s="21" t="n"/>
      <c r="CC941" s="21" t="n"/>
      <c r="CD941" s="21" t="n"/>
      <c r="CE941" s="21" t="n"/>
      <c r="CF941" s="21" t="n"/>
      <c r="CG941" s="21" t="n"/>
      <c r="CH941" s="21" t="n"/>
      <c r="CI941" s="21" t="n"/>
      <c r="CJ941" s="21" t="n"/>
      <c r="CK941" s="21" t="n"/>
      <c r="CL941" s="21" t="n"/>
      <c r="CM941" s="21" t="n"/>
      <c r="CN941" s="21" t="n"/>
      <c r="CO941" s="21" t="n"/>
      <c r="CP941" s="21" t="n"/>
      <c r="CQ941" s="21" t="n"/>
      <c r="CR941" s="21" t="n"/>
      <c r="CS941" s="21" t="n"/>
      <c r="CT941" s="21" t="n"/>
      <c r="CU941" s="21" t="n"/>
      <c r="CV941" s="21" t="n"/>
      <c r="CW941" s="21" t="n"/>
      <c r="CX941" s="21" t="n"/>
      <c r="CY941" s="21" t="n"/>
      <c r="CZ941" s="21" t="n"/>
      <c r="DA941" s="21" t="n"/>
      <c r="DB941" s="21" t="n"/>
      <c r="DC941" s="21" t="n"/>
    </row>
    <row r="942">
      <c r="B942" t="inlineStr">
        <is>
          <t>SOL-250D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12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Name],$A941)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SOL-85D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12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Name],$A941)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s="5" t="inlineStr">
        <is>
          <t>合計使用量(kg)/週</t>
        </is>
      </c>
      <c r="D946">
        <f>'Grid_Requirement'!B42</f>
        <v/>
      </c>
      <c r="E946">
        <f>'Grid_Requirement'!C42</f>
        <v/>
      </c>
      <c r="F946">
        <f>'Grid_Requirement'!D42</f>
        <v/>
      </c>
      <c r="G946">
        <f>'Grid_Requirement'!E42</f>
        <v/>
      </c>
      <c r="H946">
        <f>'Grid_Requirement'!F42</f>
        <v/>
      </c>
      <c r="I946">
        <f>'Grid_Requirement'!G42</f>
        <v/>
      </c>
      <c r="J946">
        <f>'Grid_Requirement'!H42</f>
        <v/>
      </c>
      <c r="K946">
        <f>'Grid_Requirement'!I42</f>
        <v/>
      </c>
      <c r="L946">
        <f>'Grid_Requirement'!J42</f>
        <v/>
      </c>
      <c r="M946">
        <f>'Grid_Requirement'!K42</f>
        <v/>
      </c>
      <c r="N946">
        <f>'Grid_Requirement'!L42</f>
        <v/>
      </c>
      <c r="O946">
        <f>'Grid_Requirement'!M42</f>
        <v/>
      </c>
      <c r="P946">
        <f>'Grid_Requirement'!N42</f>
        <v/>
      </c>
      <c r="Q946">
        <f>'Grid_Requirement'!O42</f>
        <v/>
      </c>
      <c r="R946">
        <f>'Grid_Requirement'!P42</f>
        <v/>
      </c>
      <c r="S946">
        <f>'Grid_Requirement'!Q42</f>
        <v/>
      </c>
      <c r="T946">
        <f>'Grid_Requirement'!R42</f>
        <v/>
      </c>
      <c r="U946">
        <f>'Grid_Requirement'!S42</f>
        <v/>
      </c>
      <c r="V946">
        <f>'Grid_Requirement'!T42</f>
        <v/>
      </c>
      <c r="W946">
        <f>'Grid_Requirement'!U42</f>
        <v/>
      </c>
      <c r="X946">
        <f>'Grid_Requirement'!V42</f>
        <v/>
      </c>
      <c r="Y946">
        <f>'Grid_Requirement'!W42</f>
        <v/>
      </c>
      <c r="Z946">
        <f>'Grid_Requirement'!X42</f>
        <v/>
      </c>
      <c r="AA946">
        <f>'Grid_Requirement'!Y42</f>
        <v/>
      </c>
      <c r="AB946">
        <f>'Grid_Requirement'!Z42</f>
        <v/>
      </c>
      <c r="AC946">
        <f>'Grid_Requirement'!AA42</f>
        <v/>
      </c>
      <c r="AD946">
        <f>'Grid_Requirement'!AB42</f>
        <v/>
      </c>
      <c r="AE946">
        <f>'Grid_Requirement'!AC42</f>
        <v/>
      </c>
      <c r="AF946">
        <f>'Grid_Requirement'!AD42</f>
        <v/>
      </c>
      <c r="AG946">
        <f>'Grid_Requirement'!AE42</f>
        <v/>
      </c>
      <c r="AH946">
        <f>'Grid_Requirement'!AF42</f>
        <v/>
      </c>
      <c r="AI946">
        <f>'Grid_Requirement'!AG42</f>
        <v/>
      </c>
      <c r="AJ946">
        <f>'Grid_Requirement'!AH42</f>
        <v/>
      </c>
      <c r="AK946">
        <f>'Grid_Requirement'!AI42</f>
        <v/>
      </c>
      <c r="AL946">
        <f>'Grid_Requirement'!AJ42</f>
        <v/>
      </c>
      <c r="AM946">
        <f>'Grid_Requirement'!AK42</f>
        <v/>
      </c>
      <c r="AN946">
        <f>'Grid_Requirement'!AL42</f>
        <v/>
      </c>
      <c r="AO946">
        <f>'Grid_Requirement'!AM42</f>
        <v/>
      </c>
      <c r="AP946">
        <f>'Grid_Requirement'!AN42</f>
        <v/>
      </c>
      <c r="AQ946">
        <f>'Grid_Requirement'!AO42</f>
        <v/>
      </c>
      <c r="AR946">
        <f>'Grid_Requirement'!AP42</f>
        <v/>
      </c>
      <c r="AS946">
        <f>'Grid_Requirement'!AQ42</f>
        <v/>
      </c>
      <c r="AT946">
        <f>'Grid_Requirement'!AR42</f>
        <v/>
      </c>
      <c r="AU946">
        <f>'Grid_Requirement'!AS42</f>
        <v/>
      </c>
      <c r="AV946">
        <f>'Grid_Requirement'!AT42</f>
        <v/>
      </c>
      <c r="AW946">
        <f>'Grid_Requirement'!AU42</f>
        <v/>
      </c>
      <c r="AX946">
        <f>'Grid_Requirement'!AV42</f>
        <v/>
      </c>
      <c r="AY946">
        <f>'Grid_Requirement'!AW42</f>
        <v/>
      </c>
      <c r="AZ946">
        <f>'Grid_Requirement'!AX42</f>
        <v/>
      </c>
      <c r="BA946">
        <f>'Grid_Requirement'!AY42</f>
        <v/>
      </c>
      <c r="BB946">
        <f>'Grid_Requirement'!AZ42</f>
        <v/>
      </c>
      <c r="BC946">
        <f>'Grid_Requirement'!BA42</f>
        <v/>
      </c>
      <c r="BD946">
        <f>'Grid_Requirement'!BB42</f>
        <v/>
      </c>
      <c r="BE946">
        <f>'Grid_Requirement'!BC42</f>
        <v/>
      </c>
      <c r="BF946">
        <f>'Grid_Requirement'!BD42</f>
        <v/>
      </c>
      <c r="BG946">
        <f>'Grid_Requirement'!BE42</f>
        <v/>
      </c>
      <c r="BH946">
        <f>'Grid_Requirement'!BF42</f>
        <v/>
      </c>
      <c r="BI946">
        <f>'Grid_Requirement'!BG42</f>
        <v/>
      </c>
      <c r="BJ946">
        <f>'Grid_Requirement'!BH42</f>
        <v/>
      </c>
      <c r="BK946">
        <f>'Grid_Requirement'!BI42</f>
        <v/>
      </c>
      <c r="BL946">
        <f>'Grid_Requirement'!BJ42</f>
        <v/>
      </c>
      <c r="BM946">
        <f>'Grid_Requirement'!BK42</f>
        <v/>
      </c>
      <c r="BN946">
        <f>'Grid_Requirement'!BL42</f>
        <v/>
      </c>
      <c r="BO946">
        <f>'Grid_Requirement'!BM42</f>
        <v/>
      </c>
      <c r="BP946">
        <f>'Grid_Requirement'!BN42</f>
        <v/>
      </c>
      <c r="BQ946">
        <f>'Grid_Requirement'!BO42</f>
        <v/>
      </c>
      <c r="BR946">
        <f>'Grid_Requirement'!BP42</f>
        <v/>
      </c>
      <c r="BS946">
        <f>'Grid_Requirement'!BQ42</f>
        <v/>
      </c>
      <c r="BT946">
        <f>'Grid_Requirement'!BR42</f>
        <v/>
      </c>
      <c r="BU946">
        <f>'Grid_Requirement'!BS42</f>
        <v/>
      </c>
      <c r="BV946">
        <f>'Grid_Requirement'!BT42</f>
        <v/>
      </c>
      <c r="BW946">
        <f>'Grid_Requirement'!BU42</f>
        <v/>
      </c>
      <c r="BX946">
        <f>'Grid_Requirement'!BV42</f>
        <v/>
      </c>
      <c r="BY946">
        <f>'Grid_Requirement'!BW42</f>
        <v/>
      </c>
      <c r="BZ946">
        <f>'Grid_Requirement'!BX42</f>
        <v/>
      </c>
      <c r="CA946">
        <f>'Grid_Requirement'!BY42</f>
        <v/>
      </c>
      <c r="CB946">
        <f>'Grid_Requirement'!BZ42</f>
        <v/>
      </c>
      <c r="CC946">
        <f>'Grid_Requirement'!CA42</f>
        <v/>
      </c>
      <c r="CD946">
        <f>'Grid_Requirement'!CB42</f>
        <v/>
      </c>
      <c r="CE946">
        <f>'Grid_Requirement'!CC42</f>
        <v/>
      </c>
      <c r="CF946">
        <f>'Grid_Requirement'!CD42</f>
        <v/>
      </c>
      <c r="CG946">
        <f>'Grid_Requirement'!CE42</f>
        <v/>
      </c>
      <c r="CH946">
        <f>'Grid_Requirement'!CF42</f>
        <v/>
      </c>
      <c r="CI946">
        <f>'Grid_Requirement'!CG42</f>
        <v/>
      </c>
      <c r="CJ946">
        <f>'Grid_Requirement'!CH42</f>
        <v/>
      </c>
      <c r="CK946">
        <f>'Grid_Requirement'!CI42</f>
        <v/>
      </c>
      <c r="CL946">
        <f>'Grid_Requirement'!CJ42</f>
        <v/>
      </c>
      <c r="CM946">
        <f>'Grid_Requirement'!CK42</f>
        <v/>
      </c>
      <c r="CN946">
        <f>'Grid_Requirement'!CL42</f>
        <v/>
      </c>
      <c r="CO946">
        <f>'Grid_Requirement'!CM42</f>
        <v/>
      </c>
      <c r="CP946">
        <f>'Grid_Requirement'!CN42</f>
        <v/>
      </c>
      <c r="CQ946">
        <f>'Grid_Requirement'!CO42</f>
        <v/>
      </c>
      <c r="CR946">
        <f>'Grid_Requirement'!CP42</f>
        <v/>
      </c>
      <c r="CS946">
        <f>'Grid_Requirement'!CQ42</f>
        <v/>
      </c>
      <c r="CT946">
        <f>'Grid_Requirement'!CR42</f>
        <v/>
      </c>
      <c r="CU946">
        <f>'Grid_Requirement'!CS42</f>
        <v/>
      </c>
      <c r="CV946">
        <f>'Grid_Requirement'!CT42</f>
        <v/>
      </c>
      <c r="CW946">
        <f>'Grid_Requirement'!CU42</f>
        <v/>
      </c>
      <c r="CX946">
        <f>'Grid_Requirement'!CV42</f>
        <v/>
      </c>
      <c r="CY946">
        <f>'Grid_Requirement'!CW42</f>
        <v/>
      </c>
      <c r="CZ946">
        <f>'Grid_Requirement'!CX42</f>
        <v/>
      </c>
      <c r="DA946">
        <f>'Grid_Requirement'!CY42</f>
        <v/>
      </c>
      <c r="DB946">
        <f>'Grid_Requirement'!CZ42</f>
        <v/>
      </c>
      <c r="DC946">
        <f>'Grid_Requirement'!DA42</f>
        <v/>
      </c>
    </row>
    <row r="947">
      <c r="B947" t="inlineStr">
        <is>
          <t>TTAF在庫(実績,kg)</t>
        </is>
      </c>
      <c r="D947">
        <f>'T_TTAFStock'!B46</f>
        <v/>
      </c>
      <c r="E947">
        <f>'T_TTAFStock'!C46</f>
        <v/>
      </c>
      <c r="F947">
        <f>'T_TTAFStock'!D46</f>
        <v/>
      </c>
      <c r="G947">
        <f>'T_TTAFStock'!E46</f>
        <v/>
      </c>
      <c r="H947">
        <f>'T_TTAFStock'!F46</f>
        <v/>
      </c>
      <c r="I947">
        <f>'T_TTAFStock'!G46</f>
        <v/>
      </c>
      <c r="J947">
        <f>'T_TTAFStock'!H46</f>
        <v/>
      </c>
      <c r="K947">
        <f>'T_TTAFStock'!I46</f>
        <v/>
      </c>
      <c r="L947">
        <f>'T_TTAFStock'!J46</f>
        <v/>
      </c>
      <c r="M947">
        <f>'T_TTAFStock'!K46</f>
        <v/>
      </c>
      <c r="N947">
        <f>'T_TTAFStock'!L46</f>
        <v/>
      </c>
      <c r="O947">
        <f>'T_TTAFStock'!M46</f>
        <v/>
      </c>
      <c r="P947">
        <f>'T_TTAFStock'!N46</f>
        <v/>
      </c>
      <c r="Q947">
        <f>'T_TTAFStock'!O46</f>
        <v/>
      </c>
      <c r="R947">
        <f>'T_TTAFStock'!P46</f>
        <v/>
      </c>
      <c r="S947">
        <f>'T_TTAFStock'!Q46</f>
        <v/>
      </c>
      <c r="T947">
        <f>'T_TTAFStock'!R46</f>
        <v/>
      </c>
      <c r="U947">
        <f>'T_TTAFStock'!S46</f>
        <v/>
      </c>
      <c r="V947">
        <f>'T_TTAFStock'!T46</f>
        <v/>
      </c>
      <c r="W947">
        <f>'T_TTAFStock'!U46</f>
        <v/>
      </c>
      <c r="X947">
        <f>'T_TTAFStock'!V46</f>
        <v/>
      </c>
      <c r="Y947">
        <f>'T_TTAFStock'!W46</f>
        <v/>
      </c>
      <c r="Z947">
        <f>'T_TTAFStock'!X46</f>
        <v/>
      </c>
      <c r="AA947">
        <f>'T_TTAFStock'!Y46</f>
        <v/>
      </c>
      <c r="AB947">
        <f>'T_TTAFStock'!Z46</f>
        <v/>
      </c>
      <c r="AC947">
        <f>'T_TTAFStock'!AA46</f>
        <v/>
      </c>
      <c r="AD947">
        <f>'T_TTAFStock'!AB46</f>
        <v/>
      </c>
      <c r="AE947">
        <f>'T_TTAFStock'!AC46</f>
        <v/>
      </c>
      <c r="AF947">
        <f>'T_TTAFStock'!AD46</f>
        <v/>
      </c>
      <c r="AG947">
        <f>'T_TTAFStock'!AE46</f>
        <v/>
      </c>
      <c r="AH947">
        <f>'T_TTAFStock'!AF46</f>
        <v/>
      </c>
      <c r="AI947">
        <f>'T_TTAFStock'!AG46</f>
        <v/>
      </c>
      <c r="AJ947">
        <f>'T_TTAFStock'!AH46</f>
        <v/>
      </c>
      <c r="AK947">
        <f>'T_TTAFStock'!AI46</f>
        <v/>
      </c>
      <c r="AL947">
        <f>'T_TTAFStock'!AJ46</f>
        <v/>
      </c>
      <c r="AM947">
        <f>'T_TTAFStock'!AK46</f>
        <v/>
      </c>
      <c r="AN947">
        <f>'T_TTAFStock'!AL46</f>
        <v/>
      </c>
      <c r="AO947">
        <f>'T_TTAFStock'!AM46</f>
        <v/>
      </c>
      <c r="AP947">
        <f>'T_TTAFStock'!AN46</f>
        <v/>
      </c>
      <c r="AQ947">
        <f>'T_TTAFStock'!AO46</f>
        <v/>
      </c>
      <c r="AR947">
        <f>'T_TTAFStock'!AP46</f>
        <v/>
      </c>
      <c r="AS947">
        <f>'T_TTAFStock'!AQ46</f>
        <v/>
      </c>
      <c r="AT947">
        <f>'T_TTAFStock'!AR46</f>
        <v/>
      </c>
      <c r="AU947">
        <f>'T_TTAFStock'!AS46</f>
        <v/>
      </c>
      <c r="AV947">
        <f>'T_TTAFStock'!AT46</f>
        <v/>
      </c>
      <c r="AW947">
        <f>'T_TTAFStock'!AU46</f>
        <v/>
      </c>
      <c r="AX947">
        <f>'T_TTAFStock'!AV46</f>
        <v/>
      </c>
      <c r="AY947">
        <f>'T_TTAFStock'!AW46</f>
        <v/>
      </c>
      <c r="AZ947">
        <f>'T_TTAFStock'!AX46</f>
        <v/>
      </c>
      <c r="BA947">
        <f>'T_TTAFStock'!AY46</f>
        <v/>
      </c>
      <c r="BB947">
        <f>'T_TTAFStock'!AZ46</f>
        <v/>
      </c>
      <c r="BC947">
        <f>'T_TTAFStock'!BA46</f>
        <v/>
      </c>
      <c r="BD947">
        <f>'T_TTAFStock'!BB46</f>
        <v/>
      </c>
      <c r="BE947">
        <f>'T_TTAFStock'!BC46</f>
        <v/>
      </c>
      <c r="BF947">
        <f>'T_TTAFStock'!BD46</f>
        <v/>
      </c>
      <c r="BG947">
        <f>'T_TTAFStock'!BE46</f>
        <v/>
      </c>
      <c r="BH947">
        <f>'T_TTAFStock'!BF46</f>
        <v/>
      </c>
      <c r="BI947">
        <f>'T_TTAFStock'!BG46</f>
        <v/>
      </c>
      <c r="BJ947">
        <f>'T_TTAFStock'!BH46</f>
        <v/>
      </c>
      <c r="BK947">
        <f>'T_TTAFStock'!BI46</f>
        <v/>
      </c>
      <c r="BL947">
        <f>'T_TTAFStock'!BJ46</f>
        <v/>
      </c>
      <c r="BM947">
        <f>'T_TTAFStock'!BK46</f>
        <v/>
      </c>
      <c r="BN947">
        <f>'T_TTAFStock'!BL46</f>
        <v/>
      </c>
      <c r="BO947">
        <f>'T_TTAFStock'!BM46</f>
        <v/>
      </c>
      <c r="BP947">
        <f>'T_TTAFStock'!BN46</f>
        <v/>
      </c>
      <c r="BQ947">
        <f>'T_TTAFStock'!BO46</f>
        <v/>
      </c>
      <c r="BR947">
        <f>'T_TTAFStock'!BP46</f>
        <v/>
      </c>
      <c r="BS947">
        <f>'T_TTAFStock'!BQ46</f>
        <v/>
      </c>
      <c r="BT947">
        <f>'T_TTAFStock'!BR46</f>
        <v/>
      </c>
      <c r="BU947">
        <f>'T_TTAFStock'!BS46</f>
        <v/>
      </c>
      <c r="BV947">
        <f>'T_TTAFStock'!BT46</f>
        <v/>
      </c>
      <c r="BW947">
        <f>'T_TTAFStock'!BU46</f>
        <v/>
      </c>
      <c r="BX947">
        <f>'T_TTAFStock'!BV46</f>
        <v/>
      </c>
      <c r="BY947">
        <f>'T_TTAFStock'!BW46</f>
        <v/>
      </c>
      <c r="BZ947">
        <f>'T_TTAFStock'!BX46</f>
        <v/>
      </c>
      <c r="CA947">
        <f>'T_TTAFStock'!BY46</f>
        <v/>
      </c>
      <c r="CB947">
        <f>'T_TTAFStock'!BZ46</f>
        <v/>
      </c>
      <c r="CC947">
        <f>'T_TTAFStock'!CA46</f>
        <v/>
      </c>
      <c r="CD947">
        <f>'T_TTAFStock'!CB46</f>
        <v/>
      </c>
      <c r="CE947">
        <f>'T_TTAFStock'!CC46</f>
        <v/>
      </c>
      <c r="CF947">
        <f>'T_TTAFStock'!CD46</f>
        <v/>
      </c>
      <c r="CG947">
        <f>'T_TTAFStock'!CE46</f>
        <v/>
      </c>
      <c r="CH947">
        <f>'T_TTAFStock'!CF46</f>
        <v/>
      </c>
      <c r="CI947">
        <f>'T_TTAFStock'!CG46</f>
        <v/>
      </c>
      <c r="CJ947">
        <f>'T_TTAFStock'!CH46</f>
        <v/>
      </c>
      <c r="CK947">
        <f>'T_TTAFStock'!CI46</f>
        <v/>
      </c>
      <c r="CL947">
        <f>'T_TTAFStock'!CJ46</f>
        <v/>
      </c>
      <c r="CM947">
        <f>'T_TTAFStock'!CK46</f>
        <v/>
      </c>
      <c r="CN947">
        <f>'T_TTAFStock'!CL46</f>
        <v/>
      </c>
      <c r="CO947">
        <f>'T_TTAFStock'!CM46</f>
        <v/>
      </c>
      <c r="CP947">
        <f>'T_TTAFStock'!CN46</f>
        <v/>
      </c>
      <c r="CQ947">
        <f>'T_TTAFStock'!CO46</f>
        <v/>
      </c>
      <c r="CR947">
        <f>'T_TTAFStock'!CP46</f>
        <v/>
      </c>
      <c r="CS947">
        <f>'T_TTAFStock'!CQ46</f>
        <v/>
      </c>
      <c r="CT947">
        <f>'T_TTAFStock'!CR46</f>
        <v/>
      </c>
      <c r="CU947">
        <f>'T_TTAFStock'!CS46</f>
        <v/>
      </c>
      <c r="CV947">
        <f>'T_TTAFStock'!CT46</f>
        <v/>
      </c>
      <c r="CW947">
        <f>'T_TTAFStock'!CU46</f>
        <v/>
      </c>
      <c r="CX947">
        <f>'T_TTAFStock'!CV46</f>
        <v/>
      </c>
      <c r="CY947">
        <f>'T_TTAFStock'!CW46</f>
        <v/>
      </c>
      <c r="CZ947">
        <f>'T_TTAFStock'!CX46</f>
        <v/>
      </c>
      <c r="DA947">
        <f>'T_TTAFStock'!CY46</f>
        <v/>
      </c>
      <c r="DB947">
        <f>'T_TTAFStock'!CZ46</f>
        <v/>
      </c>
      <c r="DC947">
        <f>'T_TTAFStock'!DA46</f>
        <v/>
      </c>
    </row>
    <row r="948">
      <c r="B948" t="inlineStr">
        <is>
          <t>自社在庫(実績,kg)</t>
        </is>
      </c>
      <c r="D948">
        <f>'T_SelfStock'!B46</f>
        <v/>
      </c>
      <c r="E948">
        <f>'T_SelfStock'!C46</f>
        <v/>
      </c>
      <c r="F948">
        <f>'T_SelfStock'!D46</f>
        <v/>
      </c>
      <c r="G948">
        <f>'T_SelfStock'!E46</f>
        <v/>
      </c>
      <c r="H948">
        <f>'T_SelfStock'!F46</f>
        <v/>
      </c>
      <c r="I948">
        <f>'T_SelfStock'!G46</f>
        <v/>
      </c>
      <c r="J948">
        <f>'T_SelfStock'!H46</f>
        <v/>
      </c>
      <c r="K948">
        <f>'T_SelfStock'!I46</f>
        <v/>
      </c>
      <c r="L948">
        <f>'T_SelfStock'!J46</f>
        <v/>
      </c>
      <c r="M948">
        <f>'T_SelfStock'!K46</f>
        <v/>
      </c>
      <c r="N948">
        <f>'T_SelfStock'!L46</f>
        <v/>
      </c>
      <c r="O948">
        <f>'T_SelfStock'!M46</f>
        <v/>
      </c>
      <c r="P948">
        <f>'T_SelfStock'!N46</f>
        <v/>
      </c>
      <c r="Q948">
        <f>'T_SelfStock'!O46</f>
        <v/>
      </c>
      <c r="R948">
        <f>'T_SelfStock'!P46</f>
        <v/>
      </c>
      <c r="S948">
        <f>'T_SelfStock'!Q46</f>
        <v/>
      </c>
      <c r="T948">
        <f>'T_SelfStock'!R46</f>
        <v/>
      </c>
      <c r="U948">
        <f>'T_SelfStock'!S46</f>
        <v/>
      </c>
      <c r="V948">
        <f>'T_SelfStock'!T46</f>
        <v/>
      </c>
      <c r="W948">
        <f>'T_SelfStock'!U46</f>
        <v/>
      </c>
      <c r="X948">
        <f>'T_SelfStock'!V46</f>
        <v/>
      </c>
      <c r="Y948">
        <f>'T_SelfStock'!W46</f>
        <v/>
      </c>
      <c r="Z948">
        <f>'T_SelfStock'!X46</f>
        <v/>
      </c>
      <c r="AA948">
        <f>'T_SelfStock'!Y46</f>
        <v/>
      </c>
      <c r="AB948">
        <f>'T_SelfStock'!Z46</f>
        <v/>
      </c>
      <c r="AC948">
        <f>'T_SelfStock'!AA46</f>
        <v/>
      </c>
      <c r="AD948">
        <f>'T_SelfStock'!AB46</f>
        <v/>
      </c>
      <c r="AE948">
        <f>'T_SelfStock'!AC46</f>
        <v/>
      </c>
      <c r="AF948">
        <f>'T_SelfStock'!AD46</f>
        <v/>
      </c>
      <c r="AG948">
        <f>'T_SelfStock'!AE46</f>
        <v/>
      </c>
      <c r="AH948">
        <f>'T_SelfStock'!AF46</f>
        <v/>
      </c>
      <c r="AI948">
        <f>'T_SelfStock'!AG46</f>
        <v/>
      </c>
      <c r="AJ948">
        <f>'T_SelfStock'!AH46</f>
        <v/>
      </c>
      <c r="AK948">
        <f>'T_SelfStock'!AI46</f>
        <v/>
      </c>
      <c r="AL948">
        <f>'T_SelfStock'!AJ46</f>
        <v/>
      </c>
      <c r="AM948">
        <f>'T_SelfStock'!AK46</f>
        <v/>
      </c>
      <c r="AN948">
        <f>'T_SelfStock'!AL46</f>
        <v/>
      </c>
      <c r="AO948">
        <f>'T_SelfStock'!AM46</f>
        <v/>
      </c>
      <c r="AP948">
        <f>'T_SelfStock'!AN46</f>
        <v/>
      </c>
      <c r="AQ948">
        <f>'T_SelfStock'!AO46</f>
        <v/>
      </c>
      <c r="AR948">
        <f>'T_SelfStock'!AP46</f>
        <v/>
      </c>
      <c r="AS948">
        <f>'T_SelfStock'!AQ46</f>
        <v/>
      </c>
      <c r="AT948">
        <f>'T_SelfStock'!AR46</f>
        <v/>
      </c>
      <c r="AU948">
        <f>'T_SelfStock'!AS46</f>
        <v/>
      </c>
      <c r="AV948">
        <f>'T_SelfStock'!AT46</f>
        <v/>
      </c>
      <c r="AW948">
        <f>'T_SelfStock'!AU46</f>
        <v/>
      </c>
      <c r="AX948">
        <f>'T_SelfStock'!AV46</f>
        <v/>
      </c>
      <c r="AY948">
        <f>'T_SelfStock'!AW46</f>
        <v/>
      </c>
      <c r="AZ948">
        <f>'T_SelfStock'!AX46</f>
        <v/>
      </c>
      <c r="BA948">
        <f>'T_SelfStock'!AY46</f>
        <v/>
      </c>
      <c r="BB948">
        <f>'T_SelfStock'!AZ46</f>
        <v/>
      </c>
      <c r="BC948">
        <f>'T_SelfStock'!BA46</f>
        <v/>
      </c>
      <c r="BD948">
        <f>'T_SelfStock'!BB46</f>
        <v/>
      </c>
      <c r="BE948">
        <f>'T_SelfStock'!BC46</f>
        <v/>
      </c>
      <c r="BF948">
        <f>'T_SelfStock'!BD46</f>
        <v/>
      </c>
      <c r="BG948">
        <f>'T_SelfStock'!BE46</f>
        <v/>
      </c>
      <c r="BH948">
        <f>'T_SelfStock'!BF46</f>
        <v/>
      </c>
      <c r="BI948">
        <f>'T_SelfStock'!BG46</f>
        <v/>
      </c>
      <c r="BJ948">
        <f>'T_SelfStock'!BH46</f>
        <v/>
      </c>
      <c r="BK948">
        <f>'T_SelfStock'!BI46</f>
        <v/>
      </c>
      <c r="BL948">
        <f>'T_SelfStock'!BJ46</f>
        <v/>
      </c>
      <c r="BM948">
        <f>'T_SelfStock'!BK46</f>
        <v/>
      </c>
      <c r="BN948">
        <f>'T_SelfStock'!BL46</f>
        <v/>
      </c>
      <c r="BO948">
        <f>'T_SelfStock'!BM46</f>
        <v/>
      </c>
      <c r="BP948">
        <f>'T_SelfStock'!BN46</f>
        <v/>
      </c>
      <c r="BQ948">
        <f>'T_SelfStock'!BO46</f>
        <v/>
      </c>
      <c r="BR948">
        <f>'T_SelfStock'!BP46</f>
        <v/>
      </c>
      <c r="BS948">
        <f>'T_SelfStock'!BQ46</f>
        <v/>
      </c>
      <c r="BT948">
        <f>'T_SelfStock'!BR46</f>
        <v/>
      </c>
      <c r="BU948">
        <f>'T_SelfStock'!BS46</f>
        <v/>
      </c>
      <c r="BV948">
        <f>'T_SelfStock'!BT46</f>
        <v/>
      </c>
      <c r="BW948">
        <f>'T_SelfStock'!BU46</f>
        <v/>
      </c>
      <c r="BX948">
        <f>'T_SelfStock'!BV46</f>
        <v/>
      </c>
      <c r="BY948">
        <f>'T_SelfStock'!BW46</f>
        <v/>
      </c>
      <c r="BZ948">
        <f>'T_SelfStock'!BX46</f>
        <v/>
      </c>
      <c r="CA948">
        <f>'T_SelfStock'!BY46</f>
        <v/>
      </c>
      <c r="CB948">
        <f>'T_SelfStock'!BZ46</f>
        <v/>
      </c>
      <c r="CC948">
        <f>'T_SelfStock'!CA46</f>
        <v/>
      </c>
      <c r="CD948">
        <f>'T_SelfStock'!CB46</f>
        <v/>
      </c>
      <c r="CE948">
        <f>'T_SelfStock'!CC46</f>
        <v/>
      </c>
      <c r="CF948">
        <f>'T_SelfStock'!CD46</f>
        <v/>
      </c>
      <c r="CG948">
        <f>'T_SelfStock'!CE46</f>
        <v/>
      </c>
      <c r="CH948">
        <f>'T_SelfStock'!CF46</f>
        <v/>
      </c>
      <c r="CI948">
        <f>'T_SelfStock'!CG46</f>
        <v/>
      </c>
      <c r="CJ948">
        <f>'T_SelfStock'!CH46</f>
        <v/>
      </c>
      <c r="CK948">
        <f>'T_SelfStock'!CI46</f>
        <v/>
      </c>
      <c r="CL948">
        <f>'T_SelfStock'!CJ46</f>
        <v/>
      </c>
      <c r="CM948">
        <f>'T_SelfStock'!CK46</f>
        <v/>
      </c>
      <c r="CN948">
        <f>'T_SelfStock'!CL46</f>
        <v/>
      </c>
      <c r="CO948">
        <f>'T_SelfStock'!CM46</f>
        <v/>
      </c>
      <c r="CP948">
        <f>'T_SelfStock'!CN46</f>
        <v/>
      </c>
      <c r="CQ948">
        <f>'T_SelfStock'!CO46</f>
        <v/>
      </c>
      <c r="CR948">
        <f>'T_SelfStock'!CP46</f>
        <v/>
      </c>
      <c r="CS948">
        <f>'T_SelfStock'!CQ46</f>
        <v/>
      </c>
      <c r="CT948">
        <f>'T_SelfStock'!CR46</f>
        <v/>
      </c>
      <c r="CU948">
        <f>'T_SelfStock'!CS46</f>
        <v/>
      </c>
      <c r="CV948">
        <f>'T_SelfStock'!CT46</f>
        <v/>
      </c>
      <c r="CW948">
        <f>'T_SelfStock'!CU46</f>
        <v/>
      </c>
      <c r="CX948">
        <f>'T_SelfStock'!CV46</f>
        <v/>
      </c>
      <c r="CY948">
        <f>'T_SelfStock'!CW46</f>
        <v/>
      </c>
      <c r="CZ948">
        <f>'T_SelfStock'!CX46</f>
        <v/>
      </c>
      <c r="DA948">
        <f>'T_SelfStock'!CY46</f>
        <v/>
      </c>
      <c r="DB948">
        <f>'T_SelfStock'!CZ46</f>
        <v/>
      </c>
      <c r="DC948">
        <f>'T_SelfStock'!DA46</f>
        <v/>
      </c>
    </row>
    <row r="949">
      <c r="B949" t="inlineStr">
        <is>
          <t>Order(発注予定,kg)</t>
        </is>
      </c>
      <c r="D949">
        <f>IF(SUMIFS(T_PlannedOrders[EffectiveQty],T_PlannedOrders[Part Name],$A941,T_PlannedOrders[WeekIndex],1)=0,"",SUMIFS(T_PlannedOrders[EffectiveQty],T_PlannedOrders[Part Name],$A941,T_PlannedOrders[WeekIndex],1)&amp;" ("&amp;TEXT(SUMPRODUCT(MAX((T_PlannedOrders[Part Name]=$A941)*(T_PlannedOrders[WeekIndex]=1)*(T_PlannedOrders[EffectiveQty]&gt;0)*T_PlannedOrders[Order_Month])),"m月")&amp;"発注)")</f>
        <v/>
      </c>
      <c r="E949">
        <f>IF(SUMIFS(T_PlannedOrders[EffectiveQty],T_PlannedOrders[Part Name],$A941,T_PlannedOrders[WeekIndex],2)=0,"",SUMIFS(T_PlannedOrders[EffectiveQty],T_PlannedOrders[Part Name],$A941,T_PlannedOrders[WeekIndex],2)&amp;" ("&amp;TEXT(SUMPRODUCT(MAX((T_PlannedOrders[Part Name]=$A941)*(T_PlannedOrders[WeekIndex]=2)*(T_PlannedOrders[EffectiveQty]&gt;0)*T_PlannedOrders[Order_Month])),"m月")&amp;"発注)")</f>
        <v/>
      </c>
      <c r="F949">
        <f>IF(SUMIFS(T_PlannedOrders[EffectiveQty],T_PlannedOrders[Part Name],$A941,T_PlannedOrders[WeekIndex],3)=0,"",SUMIFS(T_PlannedOrders[EffectiveQty],T_PlannedOrders[Part Name],$A941,T_PlannedOrders[WeekIndex],3)&amp;" ("&amp;TEXT(SUMPRODUCT(MAX((T_PlannedOrders[Part Name]=$A941)*(T_PlannedOrders[WeekIndex]=3)*(T_PlannedOrders[EffectiveQty]&gt;0)*T_PlannedOrders[Order_Month])),"m月")&amp;"発注)")</f>
        <v/>
      </c>
      <c r="G949">
        <f>IF(SUMIFS(T_PlannedOrders[EffectiveQty],T_PlannedOrders[Part Name],$A941,T_PlannedOrders[WeekIndex],4)=0,"",SUMIFS(T_PlannedOrders[EffectiveQty],T_PlannedOrders[Part Name],$A941,T_PlannedOrders[WeekIndex],4)&amp;" ("&amp;TEXT(SUMPRODUCT(MAX((T_PlannedOrders[Part Name]=$A941)*(T_PlannedOrders[WeekIndex]=4)*(T_PlannedOrders[EffectiveQty]&gt;0)*T_PlannedOrders[Order_Month])),"m月")&amp;"発注)")</f>
        <v/>
      </c>
      <c r="H949">
        <f>IF(SUMIFS(T_PlannedOrders[EffectiveQty],T_PlannedOrders[Part Name],$A941,T_PlannedOrders[WeekIndex],5)=0,"",SUMIFS(T_PlannedOrders[EffectiveQty],T_PlannedOrders[Part Name],$A941,T_PlannedOrders[WeekIndex],5)&amp;" ("&amp;TEXT(SUMPRODUCT(MAX((T_PlannedOrders[Part Name]=$A941)*(T_PlannedOrders[WeekIndex]=5)*(T_PlannedOrders[EffectiveQty]&gt;0)*T_PlannedOrders[Order_Month])),"m月")&amp;"発注)")</f>
        <v/>
      </c>
      <c r="I949">
        <f>IF(SUMIFS(T_PlannedOrders[EffectiveQty],T_PlannedOrders[Part Name],$A941,T_PlannedOrders[WeekIndex],6)=0,"",SUMIFS(T_PlannedOrders[EffectiveQty],T_PlannedOrders[Part Name],$A941,T_PlannedOrders[WeekIndex],6)&amp;" ("&amp;TEXT(SUMPRODUCT(MAX((T_PlannedOrders[Part Name]=$A941)*(T_PlannedOrders[WeekIndex]=6)*(T_PlannedOrders[EffectiveQty]&gt;0)*T_PlannedOrders[Order_Month])),"m月")&amp;"発注)")</f>
        <v/>
      </c>
      <c r="J949">
        <f>IF(SUMIFS(T_PlannedOrders[EffectiveQty],T_PlannedOrders[Part Name],$A941,T_PlannedOrders[WeekIndex],7)=0,"",SUMIFS(T_PlannedOrders[EffectiveQty],T_PlannedOrders[Part Name],$A941,T_PlannedOrders[WeekIndex],7)&amp;" ("&amp;TEXT(SUMPRODUCT(MAX((T_PlannedOrders[Part Name]=$A941)*(T_PlannedOrders[WeekIndex]=7)*(T_PlannedOrders[EffectiveQty]&gt;0)*T_PlannedOrders[Order_Month])),"m月")&amp;"発注)")</f>
        <v/>
      </c>
      <c r="K949">
        <f>IF(SUMIFS(T_PlannedOrders[EffectiveQty],T_PlannedOrders[Part Name],$A941,T_PlannedOrders[WeekIndex],8)=0,"",SUMIFS(T_PlannedOrders[EffectiveQty],T_PlannedOrders[Part Name],$A941,T_PlannedOrders[WeekIndex],8)&amp;" ("&amp;TEXT(SUMPRODUCT(MAX((T_PlannedOrders[Part Name]=$A941)*(T_PlannedOrders[WeekIndex]=8)*(T_PlannedOrders[EffectiveQty]&gt;0)*T_PlannedOrders[Order_Month])),"m月")&amp;"発注)")</f>
        <v/>
      </c>
      <c r="L949">
        <f>IF(SUMIFS(T_PlannedOrders[EffectiveQty],T_PlannedOrders[Part Name],$A941,T_PlannedOrders[WeekIndex],9)=0,"",SUMIFS(T_PlannedOrders[EffectiveQty],T_PlannedOrders[Part Name],$A941,T_PlannedOrders[WeekIndex],9)&amp;" ("&amp;TEXT(SUMPRODUCT(MAX((T_PlannedOrders[Part Name]=$A941)*(T_PlannedOrders[WeekIndex]=9)*(T_PlannedOrders[EffectiveQty]&gt;0)*T_PlannedOrders[Order_Month])),"m月")&amp;"発注)")</f>
        <v/>
      </c>
      <c r="M949">
        <f>IF(SUMIFS(T_PlannedOrders[EffectiveQty],T_PlannedOrders[Part Name],$A941,T_PlannedOrders[WeekIndex],10)=0,"",SUMIFS(T_PlannedOrders[EffectiveQty],T_PlannedOrders[Part Name],$A941,T_PlannedOrders[WeekIndex],10)&amp;" ("&amp;TEXT(SUMPRODUCT(MAX((T_PlannedOrders[Part Name]=$A941)*(T_PlannedOrders[WeekIndex]=10)*(T_PlannedOrders[EffectiveQty]&gt;0)*T_PlannedOrders[Order_Month])),"m月")&amp;"発注)")</f>
        <v/>
      </c>
      <c r="N949">
        <f>IF(SUMIFS(T_PlannedOrders[EffectiveQty],T_PlannedOrders[Part Name],$A941,T_PlannedOrders[WeekIndex],11)=0,"",SUMIFS(T_PlannedOrders[EffectiveQty],T_PlannedOrders[Part Name],$A941,T_PlannedOrders[WeekIndex],11)&amp;" ("&amp;TEXT(SUMPRODUCT(MAX((T_PlannedOrders[Part Name]=$A941)*(T_PlannedOrders[WeekIndex]=11)*(T_PlannedOrders[EffectiveQty]&gt;0)*T_PlannedOrders[Order_Month])),"m月")&amp;"発注)")</f>
        <v/>
      </c>
      <c r="O949">
        <f>IF(SUMIFS(T_PlannedOrders[EffectiveQty],T_PlannedOrders[Part Name],$A941,T_PlannedOrders[WeekIndex],12)=0,"",SUMIFS(T_PlannedOrders[EffectiveQty],T_PlannedOrders[Part Name],$A941,T_PlannedOrders[WeekIndex],12)&amp;" ("&amp;TEXT(SUMPRODUCT(MAX((T_PlannedOrders[Part Name]=$A941)*(T_PlannedOrders[WeekIndex]=12)*(T_PlannedOrders[EffectiveQty]&gt;0)*T_PlannedOrders[Order_Month])),"m月")&amp;"発注)")</f>
        <v/>
      </c>
      <c r="P949">
        <f>IF(SUMIFS(T_PlannedOrders[EffectiveQty],T_PlannedOrders[Part Name],$A941,T_PlannedOrders[WeekIndex],13)=0,"",SUMIFS(T_PlannedOrders[EffectiveQty],T_PlannedOrders[Part Name],$A941,T_PlannedOrders[WeekIndex],13)&amp;" ("&amp;TEXT(SUMPRODUCT(MAX((T_PlannedOrders[Part Name]=$A941)*(T_PlannedOrders[WeekIndex]=13)*(T_PlannedOrders[EffectiveQty]&gt;0)*T_PlannedOrders[Order_Month])),"m月")&amp;"発注)")</f>
        <v/>
      </c>
      <c r="Q949">
        <f>IF(SUMIFS(T_PlannedOrders[EffectiveQty],T_PlannedOrders[Part Name],$A941,T_PlannedOrders[WeekIndex],14)=0,"",SUMIFS(T_PlannedOrders[EffectiveQty],T_PlannedOrders[Part Name],$A941,T_PlannedOrders[WeekIndex],14)&amp;" ("&amp;TEXT(SUMPRODUCT(MAX((T_PlannedOrders[Part Name]=$A941)*(T_PlannedOrders[WeekIndex]=14)*(T_PlannedOrders[EffectiveQty]&gt;0)*T_PlannedOrders[Order_Month])),"m月")&amp;"発注)")</f>
        <v/>
      </c>
      <c r="R949">
        <f>IF(SUMIFS(T_PlannedOrders[EffectiveQty],T_PlannedOrders[Part Name],$A941,T_PlannedOrders[WeekIndex],15)=0,"",SUMIFS(T_PlannedOrders[EffectiveQty],T_PlannedOrders[Part Name],$A941,T_PlannedOrders[WeekIndex],15)&amp;" ("&amp;TEXT(SUMPRODUCT(MAX((T_PlannedOrders[Part Name]=$A941)*(T_PlannedOrders[WeekIndex]=15)*(T_PlannedOrders[EffectiveQty]&gt;0)*T_PlannedOrders[Order_Month])),"m月")&amp;"発注)")</f>
        <v/>
      </c>
      <c r="S949">
        <f>IF(SUMIFS(T_PlannedOrders[EffectiveQty],T_PlannedOrders[Part Name],$A941,T_PlannedOrders[WeekIndex],16)=0,"",SUMIFS(T_PlannedOrders[EffectiveQty],T_PlannedOrders[Part Name],$A941,T_PlannedOrders[WeekIndex],16)&amp;" ("&amp;TEXT(SUMPRODUCT(MAX((T_PlannedOrders[Part Name]=$A941)*(T_PlannedOrders[WeekIndex]=16)*(T_PlannedOrders[EffectiveQty]&gt;0)*T_PlannedOrders[Order_Month])),"m月")&amp;"発注)")</f>
        <v/>
      </c>
      <c r="T949">
        <f>IF(SUMIFS(T_PlannedOrders[EffectiveQty],T_PlannedOrders[Part Name],$A941,T_PlannedOrders[WeekIndex],17)=0,"",SUMIFS(T_PlannedOrders[EffectiveQty],T_PlannedOrders[Part Name],$A941,T_PlannedOrders[WeekIndex],17)&amp;" ("&amp;TEXT(SUMPRODUCT(MAX((T_PlannedOrders[Part Name]=$A941)*(T_PlannedOrders[WeekIndex]=17)*(T_PlannedOrders[EffectiveQty]&gt;0)*T_PlannedOrders[Order_Month])),"m月")&amp;"発注)")</f>
        <v/>
      </c>
      <c r="U949">
        <f>IF(SUMIFS(T_PlannedOrders[EffectiveQty],T_PlannedOrders[Part Name],$A941,T_PlannedOrders[WeekIndex],18)=0,"",SUMIFS(T_PlannedOrders[EffectiveQty],T_PlannedOrders[Part Name],$A941,T_PlannedOrders[WeekIndex],18)&amp;" ("&amp;TEXT(SUMPRODUCT(MAX((T_PlannedOrders[Part Name]=$A941)*(T_PlannedOrders[WeekIndex]=18)*(T_PlannedOrders[EffectiveQty]&gt;0)*T_PlannedOrders[Order_Month])),"m月")&amp;"発注)")</f>
        <v/>
      </c>
      <c r="V949">
        <f>IF(SUMIFS(T_PlannedOrders[EffectiveQty],T_PlannedOrders[Part Name],$A941,T_PlannedOrders[WeekIndex],19)=0,"",SUMIFS(T_PlannedOrders[EffectiveQty],T_PlannedOrders[Part Name],$A941,T_PlannedOrders[WeekIndex],19)&amp;" ("&amp;TEXT(SUMPRODUCT(MAX((T_PlannedOrders[Part Name]=$A941)*(T_PlannedOrders[WeekIndex]=19)*(T_PlannedOrders[EffectiveQty]&gt;0)*T_PlannedOrders[Order_Month])),"m月")&amp;"発注)")</f>
        <v/>
      </c>
      <c r="W949">
        <f>IF(SUMIFS(T_PlannedOrders[EffectiveQty],T_PlannedOrders[Part Name],$A941,T_PlannedOrders[WeekIndex],20)=0,"",SUMIFS(T_PlannedOrders[EffectiveQty],T_PlannedOrders[Part Name],$A941,T_PlannedOrders[WeekIndex],20)&amp;" ("&amp;TEXT(SUMPRODUCT(MAX((T_PlannedOrders[Part Name]=$A941)*(T_PlannedOrders[WeekIndex]=20)*(T_PlannedOrders[EffectiveQty]&gt;0)*T_PlannedOrders[Order_Month])),"m月")&amp;"発注)")</f>
        <v/>
      </c>
      <c r="X949">
        <f>IF(SUMIFS(T_PlannedOrders[EffectiveQty],T_PlannedOrders[Part Name],$A941,T_PlannedOrders[WeekIndex],21)=0,"",SUMIFS(T_PlannedOrders[EffectiveQty],T_PlannedOrders[Part Name],$A941,T_PlannedOrders[WeekIndex],21)&amp;" ("&amp;TEXT(SUMPRODUCT(MAX((T_PlannedOrders[Part Name]=$A941)*(T_PlannedOrders[WeekIndex]=21)*(T_PlannedOrders[EffectiveQty]&gt;0)*T_PlannedOrders[Order_Month])),"m月")&amp;"発注)")</f>
        <v/>
      </c>
      <c r="Y949">
        <f>IF(SUMIFS(T_PlannedOrders[EffectiveQty],T_PlannedOrders[Part Name],$A941,T_PlannedOrders[WeekIndex],22)=0,"",SUMIFS(T_PlannedOrders[EffectiveQty],T_PlannedOrders[Part Name],$A941,T_PlannedOrders[WeekIndex],22)&amp;" ("&amp;TEXT(SUMPRODUCT(MAX((T_PlannedOrders[Part Name]=$A941)*(T_PlannedOrders[WeekIndex]=22)*(T_PlannedOrders[EffectiveQty]&gt;0)*T_PlannedOrders[Order_Month])),"m月")&amp;"発注)")</f>
        <v/>
      </c>
      <c r="Z949">
        <f>IF(SUMIFS(T_PlannedOrders[EffectiveQty],T_PlannedOrders[Part Name],$A941,T_PlannedOrders[WeekIndex],23)=0,"",SUMIFS(T_PlannedOrders[EffectiveQty],T_PlannedOrders[Part Name],$A941,T_PlannedOrders[WeekIndex],23)&amp;" ("&amp;TEXT(SUMPRODUCT(MAX((T_PlannedOrders[Part Name]=$A941)*(T_PlannedOrders[WeekIndex]=23)*(T_PlannedOrders[EffectiveQty]&gt;0)*T_PlannedOrders[Order_Month])),"m月")&amp;"発注)")</f>
        <v/>
      </c>
      <c r="AA949">
        <f>IF(SUMIFS(T_PlannedOrders[EffectiveQty],T_PlannedOrders[Part Name],$A941,T_PlannedOrders[WeekIndex],24)=0,"",SUMIFS(T_PlannedOrders[EffectiveQty],T_PlannedOrders[Part Name],$A941,T_PlannedOrders[WeekIndex],24)&amp;" ("&amp;TEXT(SUMPRODUCT(MAX((T_PlannedOrders[Part Name]=$A941)*(T_PlannedOrders[WeekIndex]=24)*(T_PlannedOrders[EffectiveQty]&gt;0)*T_PlannedOrders[Order_Month])),"m月")&amp;"発注)")</f>
        <v/>
      </c>
      <c r="AB949">
        <f>IF(SUMIFS(T_PlannedOrders[EffectiveQty],T_PlannedOrders[Part Name],$A941,T_PlannedOrders[WeekIndex],25)=0,"",SUMIFS(T_PlannedOrders[EffectiveQty],T_PlannedOrders[Part Name],$A941,T_PlannedOrders[WeekIndex],25)&amp;" ("&amp;TEXT(SUMPRODUCT(MAX((T_PlannedOrders[Part Name]=$A941)*(T_PlannedOrders[WeekIndex]=25)*(T_PlannedOrders[EffectiveQty]&gt;0)*T_PlannedOrders[Order_Month])),"m月")&amp;"発注)")</f>
        <v/>
      </c>
      <c r="AC949">
        <f>IF(SUMIFS(T_PlannedOrders[EffectiveQty],T_PlannedOrders[Part Name],$A941,T_PlannedOrders[WeekIndex],26)=0,"",SUMIFS(T_PlannedOrders[EffectiveQty],T_PlannedOrders[Part Name],$A941,T_PlannedOrders[WeekIndex],26)&amp;" ("&amp;TEXT(SUMPRODUCT(MAX((T_PlannedOrders[Part Name]=$A941)*(T_PlannedOrders[WeekIndex]=26)*(T_PlannedOrders[EffectiveQty]&gt;0)*T_PlannedOrders[Order_Month])),"m月")&amp;"発注)")</f>
        <v/>
      </c>
      <c r="AD949">
        <f>IF(SUMIFS(T_PlannedOrders[EffectiveQty],T_PlannedOrders[Part Name],$A941,T_PlannedOrders[WeekIndex],27)=0,"",SUMIFS(T_PlannedOrders[EffectiveQty],T_PlannedOrders[Part Name],$A941,T_PlannedOrders[WeekIndex],27)&amp;" ("&amp;TEXT(SUMPRODUCT(MAX((T_PlannedOrders[Part Name]=$A941)*(T_PlannedOrders[WeekIndex]=27)*(T_PlannedOrders[EffectiveQty]&gt;0)*T_PlannedOrders[Order_Month])),"m月")&amp;"発注)")</f>
        <v/>
      </c>
      <c r="AE949">
        <f>IF(SUMIFS(T_PlannedOrders[EffectiveQty],T_PlannedOrders[Part Name],$A941,T_PlannedOrders[WeekIndex],28)=0,"",SUMIFS(T_PlannedOrders[EffectiveQty],T_PlannedOrders[Part Name],$A941,T_PlannedOrders[WeekIndex],28)&amp;" ("&amp;TEXT(SUMPRODUCT(MAX((T_PlannedOrders[Part Name]=$A941)*(T_PlannedOrders[WeekIndex]=28)*(T_PlannedOrders[EffectiveQty]&gt;0)*T_PlannedOrders[Order_Month])),"m月")&amp;"発注)")</f>
        <v/>
      </c>
      <c r="AF949">
        <f>IF(SUMIFS(T_PlannedOrders[EffectiveQty],T_PlannedOrders[Part Name],$A941,T_PlannedOrders[WeekIndex],29)=0,"",SUMIFS(T_PlannedOrders[EffectiveQty],T_PlannedOrders[Part Name],$A941,T_PlannedOrders[WeekIndex],29)&amp;" ("&amp;TEXT(SUMPRODUCT(MAX((T_PlannedOrders[Part Name]=$A941)*(T_PlannedOrders[WeekIndex]=29)*(T_PlannedOrders[EffectiveQty]&gt;0)*T_PlannedOrders[Order_Month])),"m月")&amp;"発注)")</f>
        <v/>
      </c>
      <c r="AG949">
        <f>IF(SUMIFS(T_PlannedOrders[EffectiveQty],T_PlannedOrders[Part Name],$A941,T_PlannedOrders[WeekIndex],30)=0,"",SUMIFS(T_PlannedOrders[EffectiveQty],T_PlannedOrders[Part Name],$A941,T_PlannedOrders[WeekIndex],30)&amp;" ("&amp;TEXT(SUMPRODUCT(MAX((T_PlannedOrders[Part Name]=$A941)*(T_PlannedOrders[WeekIndex]=30)*(T_PlannedOrders[EffectiveQty]&gt;0)*T_PlannedOrders[Order_Month])),"m月")&amp;"発注)")</f>
        <v/>
      </c>
      <c r="AH949">
        <f>IF(SUMIFS(T_PlannedOrders[EffectiveQty],T_PlannedOrders[Part Name],$A941,T_PlannedOrders[WeekIndex],31)=0,"",SUMIFS(T_PlannedOrders[EffectiveQty],T_PlannedOrders[Part Name],$A941,T_PlannedOrders[WeekIndex],31)&amp;" ("&amp;TEXT(SUMPRODUCT(MAX((T_PlannedOrders[Part Name]=$A941)*(T_PlannedOrders[WeekIndex]=31)*(T_PlannedOrders[EffectiveQty]&gt;0)*T_PlannedOrders[Order_Month])),"m月")&amp;"発注)")</f>
        <v/>
      </c>
      <c r="AI949">
        <f>IF(SUMIFS(T_PlannedOrders[EffectiveQty],T_PlannedOrders[Part Name],$A941,T_PlannedOrders[WeekIndex],32)=0,"",SUMIFS(T_PlannedOrders[EffectiveQty],T_PlannedOrders[Part Name],$A941,T_PlannedOrders[WeekIndex],32)&amp;" ("&amp;TEXT(SUMPRODUCT(MAX((T_PlannedOrders[Part Name]=$A941)*(T_PlannedOrders[WeekIndex]=32)*(T_PlannedOrders[EffectiveQty]&gt;0)*T_PlannedOrders[Order_Month])),"m月")&amp;"発注)")</f>
        <v/>
      </c>
      <c r="AJ949">
        <f>IF(SUMIFS(T_PlannedOrders[EffectiveQty],T_PlannedOrders[Part Name],$A941,T_PlannedOrders[WeekIndex],33)=0,"",SUMIFS(T_PlannedOrders[EffectiveQty],T_PlannedOrders[Part Name],$A941,T_PlannedOrders[WeekIndex],33)&amp;" ("&amp;TEXT(SUMPRODUCT(MAX((T_PlannedOrders[Part Name]=$A941)*(T_PlannedOrders[WeekIndex]=33)*(T_PlannedOrders[EffectiveQty]&gt;0)*T_PlannedOrders[Order_Month])),"m月")&amp;"発注)")</f>
        <v/>
      </c>
      <c r="AK949">
        <f>IF(SUMIFS(T_PlannedOrders[EffectiveQty],T_PlannedOrders[Part Name],$A941,T_PlannedOrders[WeekIndex],34)=0,"",SUMIFS(T_PlannedOrders[EffectiveQty],T_PlannedOrders[Part Name],$A941,T_PlannedOrders[WeekIndex],34)&amp;" ("&amp;TEXT(SUMPRODUCT(MAX((T_PlannedOrders[Part Name]=$A941)*(T_PlannedOrders[WeekIndex]=34)*(T_PlannedOrders[EffectiveQty]&gt;0)*T_PlannedOrders[Order_Month])),"m月")&amp;"発注)")</f>
        <v/>
      </c>
      <c r="AL949">
        <f>IF(SUMIFS(T_PlannedOrders[EffectiveQty],T_PlannedOrders[Part Name],$A941,T_PlannedOrders[WeekIndex],35)=0,"",SUMIFS(T_PlannedOrders[EffectiveQty],T_PlannedOrders[Part Name],$A941,T_PlannedOrders[WeekIndex],35)&amp;" ("&amp;TEXT(SUMPRODUCT(MAX((T_PlannedOrders[Part Name]=$A941)*(T_PlannedOrders[WeekIndex]=35)*(T_PlannedOrders[EffectiveQty]&gt;0)*T_PlannedOrders[Order_Month])),"m月")&amp;"発注)")</f>
        <v/>
      </c>
      <c r="AM949">
        <f>IF(SUMIFS(T_PlannedOrders[EffectiveQty],T_PlannedOrders[Part Name],$A941,T_PlannedOrders[WeekIndex],36)=0,"",SUMIFS(T_PlannedOrders[EffectiveQty],T_PlannedOrders[Part Name],$A941,T_PlannedOrders[WeekIndex],36)&amp;" ("&amp;TEXT(SUMPRODUCT(MAX((T_PlannedOrders[Part Name]=$A941)*(T_PlannedOrders[WeekIndex]=36)*(T_PlannedOrders[EffectiveQty]&gt;0)*T_PlannedOrders[Order_Month])),"m月")&amp;"発注)")</f>
        <v/>
      </c>
      <c r="AN949">
        <f>IF(SUMIFS(T_PlannedOrders[EffectiveQty],T_PlannedOrders[Part Name],$A941,T_PlannedOrders[WeekIndex],37)=0,"",SUMIFS(T_PlannedOrders[EffectiveQty],T_PlannedOrders[Part Name],$A941,T_PlannedOrders[WeekIndex],37)&amp;" ("&amp;TEXT(SUMPRODUCT(MAX((T_PlannedOrders[Part Name]=$A941)*(T_PlannedOrders[WeekIndex]=37)*(T_PlannedOrders[EffectiveQty]&gt;0)*T_PlannedOrders[Order_Month])),"m月")&amp;"発注)")</f>
        <v/>
      </c>
      <c r="AO949">
        <f>IF(SUMIFS(T_PlannedOrders[EffectiveQty],T_PlannedOrders[Part Name],$A941,T_PlannedOrders[WeekIndex],38)=0,"",SUMIFS(T_PlannedOrders[EffectiveQty],T_PlannedOrders[Part Name],$A941,T_PlannedOrders[WeekIndex],38)&amp;" ("&amp;TEXT(SUMPRODUCT(MAX((T_PlannedOrders[Part Name]=$A941)*(T_PlannedOrders[WeekIndex]=38)*(T_PlannedOrders[EffectiveQty]&gt;0)*T_PlannedOrders[Order_Month])),"m月")&amp;"発注)")</f>
        <v/>
      </c>
      <c r="AP949">
        <f>IF(SUMIFS(T_PlannedOrders[EffectiveQty],T_PlannedOrders[Part Name],$A941,T_PlannedOrders[WeekIndex],39)=0,"",SUMIFS(T_PlannedOrders[EffectiveQty],T_PlannedOrders[Part Name],$A941,T_PlannedOrders[WeekIndex],39)&amp;" ("&amp;TEXT(SUMPRODUCT(MAX((T_PlannedOrders[Part Name]=$A941)*(T_PlannedOrders[WeekIndex]=39)*(T_PlannedOrders[EffectiveQty]&gt;0)*T_PlannedOrders[Order_Month])),"m月")&amp;"発注)")</f>
        <v/>
      </c>
      <c r="AQ949">
        <f>IF(SUMIFS(T_PlannedOrders[EffectiveQty],T_PlannedOrders[Part Name],$A941,T_PlannedOrders[WeekIndex],40)=0,"",SUMIFS(T_PlannedOrders[EffectiveQty],T_PlannedOrders[Part Name],$A941,T_PlannedOrders[WeekIndex],40)&amp;" ("&amp;TEXT(SUMPRODUCT(MAX((T_PlannedOrders[Part Name]=$A941)*(T_PlannedOrders[WeekIndex]=40)*(T_PlannedOrders[EffectiveQty]&gt;0)*T_PlannedOrders[Order_Month])),"m月")&amp;"発注)")</f>
        <v/>
      </c>
      <c r="AR949">
        <f>IF(SUMIFS(T_PlannedOrders[EffectiveQty],T_PlannedOrders[Part Name],$A941,T_PlannedOrders[WeekIndex],41)=0,"",SUMIFS(T_PlannedOrders[EffectiveQty],T_PlannedOrders[Part Name],$A941,T_PlannedOrders[WeekIndex],41)&amp;" ("&amp;TEXT(SUMPRODUCT(MAX((T_PlannedOrders[Part Name]=$A941)*(T_PlannedOrders[WeekIndex]=41)*(T_PlannedOrders[EffectiveQty]&gt;0)*T_PlannedOrders[Order_Month])),"m月")&amp;"発注)")</f>
        <v/>
      </c>
      <c r="AS949">
        <f>IF(SUMIFS(T_PlannedOrders[EffectiveQty],T_PlannedOrders[Part Name],$A941,T_PlannedOrders[WeekIndex],42)=0,"",SUMIFS(T_PlannedOrders[EffectiveQty],T_PlannedOrders[Part Name],$A941,T_PlannedOrders[WeekIndex],42)&amp;" ("&amp;TEXT(SUMPRODUCT(MAX((T_PlannedOrders[Part Name]=$A941)*(T_PlannedOrders[WeekIndex]=42)*(T_PlannedOrders[EffectiveQty]&gt;0)*T_PlannedOrders[Order_Month])),"m月")&amp;"発注)")</f>
        <v/>
      </c>
      <c r="AT949">
        <f>IF(SUMIFS(T_PlannedOrders[EffectiveQty],T_PlannedOrders[Part Name],$A941,T_PlannedOrders[WeekIndex],43)=0,"",SUMIFS(T_PlannedOrders[EffectiveQty],T_PlannedOrders[Part Name],$A941,T_PlannedOrders[WeekIndex],43)&amp;" ("&amp;TEXT(SUMPRODUCT(MAX((T_PlannedOrders[Part Name]=$A941)*(T_PlannedOrders[WeekIndex]=43)*(T_PlannedOrders[EffectiveQty]&gt;0)*T_PlannedOrders[Order_Month])),"m月")&amp;"発注)")</f>
        <v/>
      </c>
      <c r="AU949">
        <f>IF(SUMIFS(T_PlannedOrders[EffectiveQty],T_PlannedOrders[Part Name],$A941,T_PlannedOrders[WeekIndex],44)=0,"",SUMIFS(T_PlannedOrders[EffectiveQty],T_PlannedOrders[Part Name],$A941,T_PlannedOrders[WeekIndex],44)&amp;" ("&amp;TEXT(SUMPRODUCT(MAX((T_PlannedOrders[Part Name]=$A941)*(T_PlannedOrders[WeekIndex]=44)*(T_PlannedOrders[EffectiveQty]&gt;0)*T_PlannedOrders[Order_Month])),"m月")&amp;"発注)")</f>
        <v/>
      </c>
      <c r="AV949">
        <f>IF(SUMIFS(T_PlannedOrders[EffectiveQty],T_PlannedOrders[Part Name],$A941,T_PlannedOrders[WeekIndex],45)=0,"",SUMIFS(T_PlannedOrders[EffectiveQty],T_PlannedOrders[Part Name],$A941,T_PlannedOrders[WeekIndex],45)&amp;" ("&amp;TEXT(SUMPRODUCT(MAX((T_PlannedOrders[Part Name]=$A941)*(T_PlannedOrders[WeekIndex]=45)*(T_PlannedOrders[EffectiveQty]&gt;0)*T_PlannedOrders[Order_Month])),"m月")&amp;"発注)")</f>
        <v/>
      </c>
      <c r="AW949">
        <f>IF(SUMIFS(T_PlannedOrders[EffectiveQty],T_PlannedOrders[Part Name],$A941,T_PlannedOrders[WeekIndex],46)=0,"",SUMIFS(T_PlannedOrders[EffectiveQty],T_PlannedOrders[Part Name],$A941,T_PlannedOrders[WeekIndex],46)&amp;" ("&amp;TEXT(SUMPRODUCT(MAX((T_PlannedOrders[Part Name]=$A941)*(T_PlannedOrders[WeekIndex]=46)*(T_PlannedOrders[EffectiveQty]&gt;0)*T_PlannedOrders[Order_Month])),"m月")&amp;"発注)")</f>
        <v/>
      </c>
      <c r="AX949">
        <f>IF(SUMIFS(T_PlannedOrders[EffectiveQty],T_PlannedOrders[Part Name],$A941,T_PlannedOrders[WeekIndex],47)=0,"",SUMIFS(T_PlannedOrders[EffectiveQty],T_PlannedOrders[Part Name],$A941,T_PlannedOrders[WeekIndex],47)&amp;" ("&amp;TEXT(SUMPRODUCT(MAX((T_PlannedOrders[Part Name]=$A941)*(T_PlannedOrders[WeekIndex]=47)*(T_PlannedOrders[EffectiveQty]&gt;0)*T_PlannedOrders[Order_Month])),"m月")&amp;"発注)")</f>
        <v/>
      </c>
      <c r="AY949">
        <f>IF(SUMIFS(T_PlannedOrders[EffectiveQty],T_PlannedOrders[Part Name],$A941,T_PlannedOrders[WeekIndex],48)=0,"",SUMIFS(T_PlannedOrders[EffectiveQty],T_PlannedOrders[Part Name],$A941,T_PlannedOrders[WeekIndex],48)&amp;" ("&amp;TEXT(SUMPRODUCT(MAX((T_PlannedOrders[Part Name]=$A941)*(T_PlannedOrders[WeekIndex]=48)*(T_PlannedOrders[EffectiveQty]&gt;0)*T_PlannedOrders[Order_Month])),"m月")&amp;"発注)")</f>
        <v/>
      </c>
      <c r="AZ949">
        <f>IF(SUMIFS(T_PlannedOrders[EffectiveQty],T_PlannedOrders[Part Name],$A941,T_PlannedOrders[WeekIndex],49)=0,"",SUMIFS(T_PlannedOrders[EffectiveQty],T_PlannedOrders[Part Name],$A941,T_PlannedOrders[WeekIndex],49)&amp;" ("&amp;TEXT(SUMPRODUCT(MAX((T_PlannedOrders[Part Name]=$A941)*(T_PlannedOrders[WeekIndex]=49)*(T_PlannedOrders[EffectiveQty]&gt;0)*T_PlannedOrders[Order_Month])),"m月")&amp;"発注)")</f>
        <v/>
      </c>
      <c r="BA949">
        <f>IF(SUMIFS(T_PlannedOrders[EffectiveQty],T_PlannedOrders[Part Name],$A941,T_PlannedOrders[WeekIndex],50)=0,"",SUMIFS(T_PlannedOrders[EffectiveQty],T_PlannedOrders[Part Name],$A941,T_PlannedOrders[WeekIndex],50)&amp;" ("&amp;TEXT(SUMPRODUCT(MAX((T_PlannedOrders[Part Name]=$A941)*(T_PlannedOrders[WeekIndex]=50)*(T_PlannedOrders[EffectiveQty]&gt;0)*T_PlannedOrders[Order_Month])),"m月")&amp;"発注)")</f>
        <v/>
      </c>
      <c r="BB949">
        <f>IF(SUMIFS(T_PlannedOrders[EffectiveQty],T_PlannedOrders[Part Name],$A941,T_PlannedOrders[WeekIndex],51)=0,"",SUMIFS(T_PlannedOrders[EffectiveQty],T_PlannedOrders[Part Name],$A941,T_PlannedOrders[WeekIndex],51)&amp;" ("&amp;TEXT(SUMPRODUCT(MAX((T_PlannedOrders[Part Name]=$A941)*(T_PlannedOrders[WeekIndex]=51)*(T_PlannedOrders[EffectiveQty]&gt;0)*T_PlannedOrders[Order_Month])),"m月")&amp;"発注)")</f>
        <v/>
      </c>
      <c r="BC949">
        <f>IF(SUMIFS(T_PlannedOrders[EffectiveQty],T_PlannedOrders[Part Name],$A941,T_PlannedOrders[WeekIndex],52)=0,"",SUMIFS(T_PlannedOrders[EffectiveQty],T_PlannedOrders[Part Name],$A941,T_PlannedOrders[WeekIndex],52)&amp;" ("&amp;TEXT(SUMPRODUCT(MAX((T_PlannedOrders[Part Name]=$A941)*(T_PlannedOrders[WeekIndex]=52)*(T_PlannedOrders[EffectiveQty]&gt;0)*T_PlannedOrders[Order_Month])),"m月")&amp;"発注)")</f>
        <v/>
      </c>
      <c r="BD949">
        <f>IF(SUMIFS(T_PlannedOrders[EffectiveQty],T_PlannedOrders[Part Name],$A941,T_PlannedOrders[WeekIndex],53)=0,"",SUMIFS(T_PlannedOrders[EffectiveQty],T_PlannedOrders[Part Name],$A941,T_PlannedOrders[WeekIndex],53)&amp;" ("&amp;TEXT(SUMPRODUCT(MAX((T_PlannedOrders[Part Name]=$A941)*(T_PlannedOrders[WeekIndex]=53)*(T_PlannedOrders[EffectiveQty]&gt;0)*T_PlannedOrders[Order_Month])),"m月")&amp;"発注)")</f>
        <v/>
      </c>
      <c r="BE949">
        <f>IF(SUMIFS(T_PlannedOrders[EffectiveQty],T_PlannedOrders[Part Name],$A941,T_PlannedOrders[WeekIndex],54)=0,"",SUMIFS(T_PlannedOrders[EffectiveQty],T_PlannedOrders[Part Name],$A941,T_PlannedOrders[WeekIndex],54)&amp;" ("&amp;TEXT(SUMPRODUCT(MAX((T_PlannedOrders[Part Name]=$A941)*(T_PlannedOrders[WeekIndex]=54)*(T_PlannedOrders[EffectiveQty]&gt;0)*T_PlannedOrders[Order_Month])),"m月")&amp;"発注)")</f>
        <v/>
      </c>
      <c r="BF949">
        <f>IF(SUMIFS(T_PlannedOrders[EffectiveQty],T_PlannedOrders[Part Name],$A941,T_PlannedOrders[WeekIndex],55)=0,"",SUMIFS(T_PlannedOrders[EffectiveQty],T_PlannedOrders[Part Name],$A941,T_PlannedOrders[WeekIndex],55)&amp;" ("&amp;TEXT(SUMPRODUCT(MAX((T_PlannedOrders[Part Name]=$A941)*(T_PlannedOrders[WeekIndex]=55)*(T_PlannedOrders[EffectiveQty]&gt;0)*T_PlannedOrders[Order_Month])),"m月")&amp;"発注)")</f>
        <v/>
      </c>
      <c r="BG949">
        <f>IF(SUMIFS(T_PlannedOrders[EffectiveQty],T_PlannedOrders[Part Name],$A941,T_PlannedOrders[WeekIndex],56)=0,"",SUMIFS(T_PlannedOrders[EffectiveQty],T_PlannedOrders[Part Name],$A941,T_PlannedOrders[WeekIndex],56)&amp;" ("&amp;TEXT(SUMPRODUCT(MAX((T_PlannedOrders[Part Name]=$A941)*(T_PlannedOrders[WeekIndex]=56)*(T_PlannedOrders[EffectiveQty]&gt;0)*T_PlannedOrders[Order_Month])),"m月")&amp;"発注)")</f>
        <v/>
      </c>
      <c r="BH949">
        <f>IF(SUMIFS(T_PlannedOrders[EffectiveQty],T_PlannedOrders[Part Name],$A941,T_PlannedOrders[WeekIndex],57)=0,"",SUMIFS(T_PlannedOrders[EffectiveQty],T_PlannedOrders[Part Name],$A941,T_PlannedOrders[WeekIndex],57)&amp;" ("&amp;TEXT(SUMPRODUCT(MAX((T_PlannedOrders[Part Name]=$A941)*(T_PlannedOrders[WeekIndex]=57)*(T_PlannedOrders[EffectiveQty]&gt;0)*T_PlannedOrders[Order_Month])),"m月")&amp;"発注)")</f>
        <v/>
      </c>
      <c r="BI949">
        <f>IF(SUMIFS(T_PlannedOrders[EffectiveQty],T_PlannedOrders[Part Name],$A941,T_PlannedOrders[WeekIndex],58)=0,"",SUMIFS(T_PlannedOrders[EffectiveQty],T_PlannedOrders[Part Name],$A941,T_PlannedOrders[WeekIndex],58)&amp;" ("&amp;TEXT(SUMPRODUCT(MAX((T_PlannedOrders[Part Name]=$A941)*(T_PlannedOrders[WeekIndex]=58)*(T_PlannedOrders[EffectiveQty]&gt;0)*T_PlannedOrders[Order_Month])),"m月")&amp;"発注)")</f>
        <v/>
      </c>
      <c r="BJ949">
        <f>IF(SUMIFS(T_PlannedOrders[EffectiveQty],T_PlannedOrders[Part Name],$A941,T_PlannedOrders[WeekIndex],59)=0,"",SUMIFS(T_PlannedOrders[EffectiveQty],T_PlannedOrders[Part Name],$A941,T_PlannedOrders[WeekIndex],59)&amp;" ("&amp;TEXT(SUMPRODUCT(MAX((T_PlannedOrders[Part Name]=$A941)*(T_PlannedOrders[WeekIndex]=59)*(T_PlannedOrders[EffectiveQty]&gt;0)*T_PlannedOrders[Order_Month])),"m月")&amp;"発注)")</f>
        <v/>
      </c>
      <c r="BK949">
        <f>IF(SUMIFS(T_PlannedOrders[EffectiveQty],T_PlannedOrders[Part Name],$A941,T_PlannedOrders[WeekIndex],60)=0,"",SUMIFS(T_PlannedOrders[EffectiveQty],T_PlannedOrders[Part Name],$A941,T_PlannedOrders[WeekIndex],60)&amp;" ("&amp;TEXT(SUMPRODUCT(MAX((T_PlannedOrders[Part Name]=$A941)*(T_PlannedOrders[WeekIndex]=60)*(T_PlannedOrders[EffectiveQty]&gt;0)*T_PlannedOrders[Order_Month])),"m月")&amp;"発注)")</f>
        <v/>
      </c>
      <c r="BL949">
        <f>IF(SUMIFS(T_PlannedOrders[EffectiveQty],T_PlannedOrders[Part Name],$A941,T_PlannedOrders[WeekIndex],61)=0,"",SUMIFS(T_PlannedOrders[EffectiveQty],T_PlannedOrders[Part Name],$A941,T_PlannedOrders[WeekIndex],61)&amp;" ("&amp;TEXT(SUMPRODUCT(MAX((T_PlannedOrders[Part Name]=$A941)*(T_PlannedOrders[WeekIndex]=61)*(T_PlannedOrders[EffectiveQty]&gt;0)*T_PlannedOrders[Order_Month])),"m月")&amp;"発注)")</f>
        <v/>
      </c>
      <c r="BM949">
        <f>IF(SUMIFS(T_PlannedOrders[EffectiveQty],T_PlannedOrders[Part Name],$A941,T_PlannedOrders[WeekIndex],62)=0,"",SUMIFS(T_PlannedOrders[EffectiveQty],T_PlannedOrders[Part Name],$A941,T_PlannedOrders[WeekIndex],62)&amp;" ("&amp;TEXT(SUMPRODUCT(MAX((T_PlannedOrders[Part Name]=$A941)*(T_PlannedOrders[WeekIndex]=62)*(T_PlannedOrders[EffectiveQty]&gt;0)*T_PlannedOrders[Order_Month])),"m月")&amp;"発注)")</f>
        <v/>
      </c>
      <c r="BN949">
        <f>IF(SUMIFS(T_PlannedOrders[EffectiveQty],T_PlannedOrders[Part Name],$A941,T_PlannedOrders[WeekIndex],63)=0,"",SUMIFS(T_PlannedOrders[EffectiveQty],T_PlannedOrders[Part Name],$A941,T_PlannedOrders[WeekIndex],63)&amp;" ("&amp;TEXT(SUMPRODUCT(MAX((T_PlannedOrders[Part Name]=$A941)*(T_PlannedOrders[WeekIndex]=63)*(T_PlannedOrders[EffectiveQty]&gt;0)*T_PlannedOrders[Order_Month])),"m月")&amp;"発注)")</f>
        <v/>
      </c>
      <c r="BO949">
        <f>IF(SUMIFS(T_PlannedOrders[EffectiveQty],T_PlannedOrders[Part Name],$A941,T_PlannedOrders[WeekIndex],64)=0,"",SUMIFS(T_PlannedOrders[EffectiveQty],T_PlannedOrders[Part Name],$A941,T_PlannedOrders[WeekIndex],64)&amp;" ("&amp;TEXT(SUMPRODUCT(MAX((T_PlannedOrders[Part Name]=$A941)*(T_PlannedOrders[WeekIndex]=64)*(T_PlannedOrders[EffectiveQty]&gt;0)*T_PlannedOrders[Order_Month])),"m月")&amp;"発注)")</f>
        <v/>
      </c>
      <c r="BP949">
        <f>IF(SUMIFS(T_PlannedOrders[EffectiveQty],T_PlannedOrders[Part Name],$A941,T_PlannedOrders[WeekIndex],65)=0,"",SUMIFS(T_PlannedOrders[EffectiveQty],T_PlannedOrders[Part Name],$A941,T_PlannedOrders[WeekIndex],65)&amp;" ("&amp;TEXT(SUMPRODUCT(MAX((T_PlannedOrders[Part Name]=$A941)*(T_PlannedOrders[WeekIndex]=65)*(T_PlannedOrders[EffectiveQty]&gt;0)*T_PlannedOrders[Order_Month])),"m月")&amp;"発注)")</f>
        <v/>
      </c>
      <c r="BQ949">
        <f>IF(SUMIFS(T_PlannedOrders[EffectiveQty],T_PlannedOrders[Part Name],$A941,T_PlannedOrders[WeekIndex],66)=0,"",SUMIFS(T_PlannedOrders[EffectiveQty],T_PlannedOrders[Part Name],$A941,T_PlannedOrders[WeekIndex],66)&amp;" ("&amp;TEXT(SUMPRODUCT(MAX((T_PlannedOrders[Part Name]=$A941)*(T_PlannedOrders[WeekIndex]=66)*(T_PlannedOrders[EffectiveQty]&gt;0)*T_PlannedOrders[Order_Month])),"m月")&amp;"発注)")</f>
        <v/>
      </c>
      <c r="BR949">
        <f>IF(SUMIFS(T_PlannedOrders[EffectiveQty],T_PlannedOrders[Part Name],$A941,T_PlannedOrders[WeekIndex],67)=0,"",SUMIFS(T_PlannedOrders[EffectiveQty],T_PlannedOrders[Part Name],$A941,T_PlannedOrders[WeekIndex],67)&amp;" ("&amp;TEXT(SUMPRODUCT(MAX((T_PlannedOrders[Part Name]=$A941)*(T_PlannedOrders[WeekIndex]=67)*(T_PlannedOrders[EffectiveQty]&gt;0)*T_PlannedOrders[Order_Month])),"m月")&amp;"発注)")</f>
        <v/>
      </c>
      <c r="BS949">
        <f>IF(SUMIFS(T_PlannedOrders[EffectiveQty],T_PlannedOrders[Part Name],$A941,T_PlannedOrders[WeekIndex],68)=0,"",SUMIFS(T_PlannedOrders[EffectiveQty],T_PlannedOrders[Part Name],$A941,T_PlannedOrders[WeekIndex],68)&amp;" ("&amp;TEXT(SUMPRODUCT(MAX((T_PlannedOrders[Part Name]=$A941)*(T_PlannedOrders[WeekIndex]=68)*(T_PlannedOrders[EffectiveQty]&gt;0)*T_PlannedOrders[Order_Month])),"m月")&amp;"発注)")</f>
        <v/>
      </c>
      <c r="BT949">
        <f>IF(SUMIFS(T_PlannedOrders[EffectiveQty],T_PlannedOrders[Part Name],$A941,T_PlannedOrders[WeekIndex],69)=0,"",SUMIFS(T_PlannedOrders[EffectiveQty],T_PlannedOrders[Part Name],$A941,T_PlannedOrders[WeekIndex],69)&amp;" ("&amp;TEXT(SUMPRODUCT(MAX((T_PlannedOrders[Part Name]=$A941)*(T_PlannedOrders[WeekIndex]=69)*(T_PlannedOrders[EffectiveQty]&gt;0)*T_PlannedOrders[Order_Month])),"m月")&amp;"発注)")</f>
        <v/>
      </c>
      <c r="BU949">
        <f>IF(SUMIFS(T_PlannedOrders[EffectiveQty],T_PlannedOrders[Part Name],$A941,T_PlannedOrders[WeekIndex],70)=0,"",SUMIFS(T_PlannedOrders[EffectiveQty],T_PlannedOrders[Part Name],$A941,T_PlannedOrders[WeekIndex],70)&amp;" ("&amp;TEXT(SUMPRODUCT(MAX((T_PlannedOrders[Part Name]=$A941)*(T_PlannedOrders[WeekIndex]=70)*(T_PlannedOrders[EffectiveQty]&gt;0)*T_PlannedOrders[Order_Month])),"m月")&amp;"発注)")</f>
        <v/>
      </c>
      <c r="BV949">
        <f>IF(SUMIFS(T_PlannedOrders[EffectiveQty],T_PlannedOrders[Part Name],$A941,T_PlannedOrders[WeekIndex],71)=0,"",SUMIFS(T_PlannedOrders[EffectiveQty],T_PlannedOrders[Part Name],$A941,T_PlannedOrders[WeekIndex],71)&amp;" ("&amp;TEXT(SUMPRODUCT(MAX((T_PlannedOrders[Part Name]=$A941)*(T_PlannedOrders[WeekIndex]=71)*(T_PlannedOrders[EffectiveQty]&gt;0)*T_PlannedOrders[Order_Month])),"m月")&amp;"発注)")</f>
        <v/>
      </c>
      <c r="BW949">
        <f>IF(SUMIFS(T_PlannedOrders[EffectiveQty],T_PlannedOrders[Part Name],$A941,T_PlannedOrders[WeekIndex],72)=0,"",SUMIFS(T_PlannedOrders[EffectiveQty],T_PlannedOrders[Part Name],$A941,T_PlannedOrders[WeekIndex],72)&amp;" ("&amp;TEXT(SUMPRODUCT(MAX((T_PlannedOrders[Part Name]=$A941)*(T_PlannedOrders[WeekIndex]=72)*(T_PlannedOrders[EffectiveQty]&gt;0)*T_PlannedOrders[Order_Month])),"m月")&amp;"発注)")</f>
        <v/>
      </c>
      <c r="BX949">
        <f>IF(SUMIFS(T_PlannedOrders[EffectiveQty],T_PlannedOrders[Part Name],$A941,T_PlannedOrders[WeekIndex],73)=0,"",SUMIFS(T_PlannedOrders[EffectiveQty],T_PlannedOrders[Part Name],$A941,T_PlannedOrders[WeekIndex],73)&amp;" ("&amp;TEXT(SUMPRODUCT(MAX((T_PlannedOrders[Part Name]=$A941)*(T_PlannedOrders[WeekIndex]=73)*(T_PlannedOrders[EffectiveQty]&gt;0)*T_PlannedOrders[Order_Month])),"m月")&amp;"発注)")</f>
        <v/>
      </c>
      <c r="BY949">
        <f>IF(SUMIFS(T_PlannedOrders[EffectiveQty],T_PlannedOrders[Part Name],$A941,T_PlannedOrders[WeekIndex],74)=0,"",SUMIFS(T_PlannedOrders[EffectiveQty],T_PlannedOrders[Part Name],$A941,T_PlannedOrders[WeekIndex],74)&amp;" ("&amp;TEXT(SUMPRODUCT(MAX((T_PlannedOrders[Part Name]=$A941)*(T_PlannedOrders[WeekIndex]=74)*(T_PlannedOrders[EffectiveQty]&gt;0)*T_PlannedOrders[Order_Month])),"m月")&amp;"発注)")</f>
        <v/>
      </c>
      <c r="BZ949">
        <f>IF(SUMIFS(T_PlannedOrders[EffectiveQty],T_PlannedOrders[Part Name],$A941,T_PlannedOrders[WeekIndex],75)=0,"",SUMIFS(T_PlannedOrders[EffectiveQty],T_PlannedOrders[Part Name],$A941,T_PlannedOrders[WeekIndex],75)&amp;" ("&amp;TEXT(SUMPRODUCT(MAX((T_PlannedOrders[Part Name]=$A941)*(T_PlannedOrders[WeekIndex]=75)*(T_PlannedOrders[EffectiveQty]&gt;0)*T_PlannedOrders[Order_Month])),"m月")&amp;"発注)")</f>
        <v/>
      </c>
      <c r="CA949">
        <f>IF(SUMIFS(T_PlannedOrders[EffectiveQty],T_PlannedOrders[Part Name],$A941,T_PlannedOrders[WeekIndex],76)=0,"",SUMIFS(T_PlannedOrders[EffectiveQty],T_PlannedOrders[Part Name],$A941,T_PlannedOrders[WeekIndex],76)&amp;" ("&amp;TEXT(SUMPRODUCT(MAX((T_PlannedOrders[Part Name]=$A941)*(T_PlannedOrders[WeekIndex]=76)*(T_PlannedOrders[EffectiveQty]&gt;0)*T_PlannedOrders[Order_Month])),"m月")&amp;"発注)")</f>
        <v/>
      </c>
      <c r="CB949">
        <f>IF(SUMIFS(T_PlannedOrders[EffectiveQty],T_PlannedOrders[Part Name],$A941,T_PlannedOrders[WeekIndex],77)=0,"",SUMIFS(T_PlannedOrders[EffectiveQty],T_PlannedOrders[Part Name],$A941,T_PlannedOrders[WeekIndex],77)&amp;" ("&amp;TEXT(SUMPRODUCT(MAX((T_PlannedOrders[Part Name]=$A941)*(T_PlannedOrders[WeekIndex]=77)*(T_PlannedOrders[EffectiveQty]&gt;0)*T_PlannedOrders[Order_Month])),"m月")&amp;"発注)")</f>
        <v/>
      </c>
      <c r="CC949">
        <f>IF(SUMIFS(T_PlannedOrders[EffectiveQty],T_PlannedOrders[Part Name],$A941,T_PlannedOrders[WeekIndex],78)=0,"",SUMIFS(T_PlannedOrders[EffectiveQty],T_PlannedOrders[Part Name],$A941,T_PlannedOrders[WeekIndex],78)&amp;" ("&amp;TEXT(SUMPRODUCT(MAX((T_PlannedOrders[Part Name]=$A941)*(T_PlannedOrders[WeekIndex]=78)*(T_PlannedOrders[EffectiveQty]&gt;0)*T_PlannedOrders[Order_Month])),"m月")&amp;"発注)")</f>
        <v/>
      </c>
      <c r="CD949">
        <f>IF(SUMIFS(T_PlannedOrders[EffectiveQty],T_PlannedOrders[Part Name],$A941,T_PlannedOrders[WeekIndex],79)=0,"",SUMIFS(T_PlannedOrders[EffectiveQty],T_PlannedOrders[Part Name],$A941,T_PlannedOrders[WeekIndex],79)&amp;" ("&amp;TEXT(SUMPRODUCT(MAX((T_PlannedOrders[Part Name]=$A941)*(T_PlannedOrders[WeekIndex]=79)*(T_PlannedOrders[EffectiveQty]&gt;0)*T_PlannedOrders[Order_Month])),"m月")&amp;"発注)")</f>
        <v/>
      </c>
      <c r="CE949">
        <f>IF(SUMIFS(T_PlannedOrders[EffectiveQty],T_PlannedOrders[Part Name],$A941,T_PlannedOrders[WeekIndex],80)=0,"",SUMIFS(T_PlannedOrders[EffectiveQty],T_PlannedOrders[Part Name],$A941,T_PlannedOrders[WeekIndex],80)&amp;" ("&amp;TEXT(SUMPRODUCT(MAX((T_PlannedOrders[Part Name]=$A941)*(T_PlannedOrders[WeekIndex]=80)*(T_PlannedOrders[EffectiveQty]&gt;0)*T_PlannedOrders[Order_Month])),"m月")&amp;"発注)")</f>
        <v/>
      </c>
      <c r="CF949">
        <f>IF(SUMIFS(T_PlannedOrders[EffectiveQty],T_PlannedOrders[Part Name],$A941,T_PlannedOrders[WeekIndex],81)=0,"",SUMIFS(T_PlannedOrders[EffectiveQty],T_PlannedOrders[Part Name],$A941,T_PlannedOrders[WeekIndex],81)&amp;" ("&amp;TEXT(SUMPRODUCT(MAX((T_PlannedOrders[Part Name]=$A941)*(T_PlannedOrders[WeekIndex]=81)*(T_PlannedOrders[EffectiveQty]&gt;0)*T_PlannedOrders[Order_Month])),"m月")&amp;"発注)")</f>
        <v/>
      </c>
      <c r="CG949">
        <f>IF(SUMIFS(T_PlannedOrders[EffectiveQty],T_PlannedOrders[Part Name],$A941,T_PlannedOrders[WeekIndex],82)=0,"",SUMIFS(T_PlannedOrders[EffectiveQty],T_PlannedOrders[Part Name],$A941,T_PlannedOrders[WeekIndex],82)&amp;" ("&amp;TEXT(SUMPRODUCT(MAX((T_PlannedOrders[Part Name]=$A941)*(T_PlannedOrders[WeekIndex]=82)*(T_PlannedOrders[EffectiveQty]&gt;0)*T_PlannedOrders[Order_Month])),"m月")&amp;"発注)")</f>
        <v/>
      </c>
      <c r="CH949">
        <f>IF(SUMIFS(T_PlannedOrders[EffectiveQty],T_PlannedOrders[Part Name],$A941,T_PlannedOrders[WeekIndex],83)=0,"",SUMIFS(T_PlannedOrders[EffectiveQty],T_PlannedOrders[Part Name],$A941,T_PlannedOrders[WeekIndex],83)&amp;" ("&amp;TEXT(SUMPRODUCT(MAX((T_PlannedOrders[Part Name]=$A941)*(T_PlannedOrders[WeekIndex]=83)*(T_PlannedOrders[EffectiveQty]&gt;0)*T_PlannedOrders[Order_Month])),"m月")&amp;"発注)")</f>
        <v/>
      </c>
      <c r="CI949">
        <f>IF(SUMIFS(T_PlannedOrders[EffectiveQty],T_PlannedOrders[Part Name],$A941,T_PlannedOrders[WeekIndex],84)=0,"",SUMIFS(T_PlannedOrders[EffectiveQty],T_PlannedOrders[Part Name],$A941,T_PlannedOrders[WeekIndex],84)&amp;" ("&amp;TEXT(SUMPRODUCT(MAX((T_PlannedOrders[Part Name]=$A941)*(T_PlannedOrders[WeekIndex]=84)*(T_PlannedOrders[EffectiveQty]&gt;0)*T_PlannedOrders[Order_Month])),"m月")&amp;"発注)")</f>
        <v/>
      </c>
      <c r="CJ949">
        <f>IF(SUMIFS(T_PlannedOrders[EffectiveQty],T_PlannedOrders[Part Name],$A941,T_PlannedOrders[WeekIndex],85)=0,"",SUMIFS(T_PlannedOrders[EffectiveQty],T_PlannedOrders[Part Name],$A941,T_PlannedOrders[WeekIndex],85)&amp;" ("&amp;TEXT(SUMPRODUCT(MAX((T_PlannedOrders[Part Name]=$A941)*(T_PlannedOrders[WeekIndex]=85)*(T_PlannedOrders[EffectiveQty]&gt;0)*T_PlannedOrders[Order_Month])),"m月")&amp;"発注)")</f>
        <v/>
      </c>
      <c r="CK949">
        <f>IF(SUMIFS(T_PlannedOrders[EffectiveQty],T_PlannedOrders[Part Name],$A941,T_PlannedOrders[WeekIndex],86)=0,"",SUMIFS(T_PlannedOrders[EffectiveQty],T_PlannedOrders[Part Name],$A941,T_PlannedOrders[WeekIndex],86)&amp;" ("&amp;TEXT(SUMPRODUCT(MAX((T_PlannedOrders[Part Name]=$A941)*(T_PlannedOrders[WeekIndex]=86)*(T_PlannedOrders[EffectiveQty]&gt;0)*T_PlannedOrders[Order_Month])),"m月")&amp;"発注)")</f>
        <v/>
      </c>
      <c r="CL949">
        <f>IF(SUMIFS(T_PlannedOrders[EffectiveQty],T_PlannedOrders[Part Name],$A941,T_PlannedOrders[WeekIndex],87)=0,"",SUMIFS(T_PlannedOrders[EffectiveQty],T_PlannedOrders[Part Name],$A941,T_PlannedOrders[WeekIndex],87)&amp;" ("&amp;TEXT(SUMPRODUCT(MAX((T_PlannedOrders[Part Name]=$A941)*(T_PlannedOrders[WeekIndex]=87)*(T_PlannedOrders[EffectiveQty]&gt;0)*T_PlannedOrders[Order_Month])),"m月")&amp;"発注)")</f>
        <v/>
      </c>
      <c r="CM949">
        <f>IF(SUMIFS(T_PlannedOrders[EffectiveQty],T_PlannedOrders[Part Name],$A941,T_PlannedOrders[WeekIndex],88)=0,"",SUMIFS(T_PlannedOrders[EffectiveQty],T_PlannedOrders[Part Name],$A941,T_PlannedOrders[WeekIndex],88)&amp;" ("&amp;TEXT(SUMPRODUCT(MAX((T_PlannedOrders[Part Name]=$A941)*(T_PlannedOrders[WeekIndex]=88)*(T_PlannedOrders[EffectiveQty]&gt;0)*T_PlannedOrders[Order_Month])),"m月")&amp;"発注)")</f>
        <v/>
      </c>
      <c r="CN949">
        <f>IF(SUMIFS(T_PlannedOrders[EffectiveQty],T_PlannedOrders[Part Name],$A941,T_PlannedOrders[WeekIndex],89)=0,"",SUMIFS(T_PlannedOrders[EffectiveQty],T_PlannedOrders[Part Name],$A941,T_PlannedOrders[WeekIndex],89)&amp;" ("&amp;TEXT(SUMPRODUCT(MAX((T_PlannedOrders[Part Name]=$A941)*(T_PlannedOrders[WeekIndex]=89)*(T_PlannedOrders[EffectiveQty]&gt;0)*T_PlannedOrders[Order_Month])),"m月")&amp;"発注)")</f>
        <v/>
      </c>
      <c r="CO949">
        <f>IF(SUMIFS(T_PlannedOrders[EffectiveQty],T_PlannedOrders[Part Name],$A941,T_PlannedOrders[WeekIndex],90)=0,"",SUMIFS(T_PlannedOrders[EffectiveQty],T_PlannedOrders[Part Name],$A941,T_PlannedOrders[WeekIndex],90)&amp;" ("&amp;TEXT(SUMPRODUCT(MAX((T_PlannedOrders[Part Name]=$A941)*(T_PlannedOrders[WeekIndex]=90)*(T_PlannedOrders[EffectiveQty]&gt;0)*T_PlannedOrders[Order_Month])),"m月")&amp;"発注)")</f>
        <v/>
      </c>
      <c r="CP949">
        <f>IF(SUMIFS(T_PlannedOrders[EffectiveQty],T_PlannedOrders[Part Name],$A941,T_PlannedOrders[WeekIndex],91)=0,"",SUMIFS(T_PlannedOrders[EffectiveQty],T_PlannedOrders[Part Name],$A941,T_PlannedOrders[WeekIndex],91)&amp;" ("&amp;TEXT(SUMPRODUCT(MAX((T_PlannedOrders[Part Name]=$A941)*(T_PlannedOrders[WeekIndex]=91)*(T_PlannedOrders[EffectiveQty]&gt;0)*T_PlannedOrders[Order_Month])),"m月")&amp;"発注)")</f>
        <v/>
      </c>
      <c r="CQ949">
        <f>IF(SUMIFS(T_PlannedOrders[EffectiveQty],T_PlannedOrders[Part Name],$A941,T_PlannedOrders[WeekIndex],92)=0,"",SUMIFS(T_PlannedOrders[EffectiveQty],T_PlannedOrders[Part Name],$A941,T_PlannedOrders[WeekIndex],92)&amp;" ("&amp;TEXT(SUMPRODUCT(MAX((T_PlannedOrders[Part Name]=$A941)*(T_PlannedOrders[WeekIndex]=92)*(T_PlannedOrders[EffectiveQty]&gt;0)*T_PlannedOrders[Order_Month])),"m月")&amp;"発注)")</f>
        <v/>
      </c>
      <c r="CR949">
        <f>IF(SUMIFS(T_PlannedOrders[EffectiveQty],T_PlannedOrders[Part Name],$A941,T_PlannedOrders[WeekIndex],93)=0,"",SUMIFS(T_PlannedOrders[EffectiveQty],T_PlannedOrders[Part Name],$A941,T_PlannedOrders[WeekIndex],93)&amp;" ("&amp;TEXT(SUMPRODUCT(MAX((T_PlannedOrders[Part Name]=$A941)*(T_PlannedOrders[WeekIndex]=93)*(T_PlannedOrders[EffectiveQty]&gt;0)*T_PlannedOrders[Order_Month])),"m月")&amp;"発注)")</f>
        <v/>
      </c>
      <c r="CS949">
        <f>IF(SUMIFS(T_PlannedOrders[EffectiveQty],T_PlannedOrders[Part Name],$A941,T_PlannedOrders[WeekIndex],94)=0,"",SUMIFS(T_PlannedOrders[EffectiveQty],T_PlannedOrders[Part Name],$A941,T_PlannedOrders[WeekIndex],94)&amp;" ("&amp;TEXT(SUMPRODUCT(MAX((T_PlannedOrders[Part Name]=$A941)*(T_PlannedOrders[WeekIndex]=94)*(T_PlannedOrders[EffectiveQty]&gt;0)*T_PlannedOrders[Order_Month])),"m月")&amp;"発注)")</f>
        <v/>
      </c>
      <c r="CT949">
        <f>IF(SUMIFS(T_PlannedOrders[EffectiveQty],T_PlannedOrders[Part Name],$A941,T_PlannedOrders[WeekIndex],95)=0,"",SUMIFS(T_PlannedOrders[EffectiveQty],T_PlannedOrders[Part Name],$A941,T_PlannedOrders[WeekIndex],95)&amp;" ("&amp;TEXT(SUMPRODUCT(MAX((T_PlannedOrders[Part Name]=$A941)*(T_PlannedOrders[WeekIndex]=95)*(T_PlannedOrders[EffectiveQty]&gt;0)*T_PlannedOrders[Order_Month])),"m月")&amp;"発注)")</f>
        <v/>
      </c>
      <c r="CU949">
        <f>IF(SUMIFS(T_PlannedOrders[EffectiveQty],T_PlannedOrders[Part Name],$A941,T_PlannedOrders[WeekIndex],96)=0,"",SUMIFS(T_PlannedOrders[EffectiveQty],T_PlannedOrders[Part Name],$A941,T_PlannedOrders[WeekIndex],96)&amp;" ("&amp;TEXT(SUMPRODUCT(MAX((T_PlannedOrders[Part Name]=$A941)*(T_PlannedOrders[WeekIndex]=96)*(T_PlannedOrders[EffectiveQty]&gt;0)*T_PlannedOrders[Order_Month])),"m月")&amp;"発注)")</f>
        <v/>
      </c>
      <c r="CV949">
        <f>IF(SUMIFS(T_PlannedOrders[EffectiveQty],T_PlannedOrders[Part Name],$A941,T_PlannedOrders[WeekIndex],97)=0,"",SUMIFS(T_PlannedOrders[EffectiveQty],T_PlannedOrders[Part Name],$A941,T_PlannedOrders[WeekIndex],97)&amp;" ("&amp;TEXT(SUMPRODUCT(MAX((T_PlannedOrders[Part Name]=$A941)*(T_PlannedOrders[WeekIndex]=97)*(T_PlannedOrders[EffectiveQty]&gt;0)*T_PlannedOrders[Order_Month])),"m月")&amp;"発注)")</f>
        <v/>
      </c>
      <c r="CW949">
        <f>IF(SUMIFS(T_PlannedOrders[EffectiveQty],T_PlannedOrders[Part Name],$A941,T_PlannedOrders[WeekIndex],98)=0,"",SUMIFS(T_PlannedOrders[EffectiveQty],T_PlannedOrders[Part Name],$A941,T_PlannedOrders[WeekIndex],98)&amp;" ("&amp;TEXT(SUMPRODUCT(MAX((T_PlannedOrders[Part Name]=$A941)*(T_PlannedOrders[WeekIndex]=98)*(T_PlannedOrders[EffectiveQty]&gt;0)*T_PlannedOrders[Order_Month])),"m月")&amp;"発注)")</f>
        <v/>
      </c>
      <c r="CX949">
        <f>IF(SUMIFS(T_PlannedOrders[EffectiveQty],T_PlannedOrders[Part Name],$A941,T_PlannedOrders[WeekIndex],99)=0,"",SUMIFS(T_PlannedOrders[EffectiveQty],T_PlannedOrders[Part Name],$A941,T_PlannedOrders[WeekIndex],99)&amp;" ("&amp;TEXT(SUMPRODUCT(MAX((T_PlannedOrders[Part Name]=$A941)*(T_PlannedOrders[WeekIndex]=99)*(T_PlannedOrders[EffectiveQty]&gt;0)*T_PlannedOrders[Order_Month])),"m月")&amp;"発注)")</f>
        <v/>
      </c>
      <c r="CY949">
        <f>IF(SUMIFS(T_PlannedOrders[EffectiveQty],T_PlannedOrders[Part Name],$A941,T_PlannedOrders[WeekIndex],100)=0,"",SUMIFS(T_PlannedOrders[EffectiveQty],T_PlannedOrders[Part Name],$A941,T_PlannedOrders[WeekIndex],100)&amp;" ("&amp;TEXT(SUMPRODUCT(MAX((T_PlannedOrders[Part Name]=$A941)*(T_PlannedOrders[WeekIndex]=100)*(T_PlannedOrders[EffectiveQty]&gt;0)*T_PlannedOrders[Order_Month])),"m月")&amp;"発注)")</f>
        <v/>
      </c>
      <c r="CZ949">
        <f>IF(SUMIFS(T_PlannedOrders[EffectiveQty],T_PlannedOrders[Part Name],$A941,T_PlannedOrders[WeekIndex],101)=0,"",SUMIFS(T_PlannedOrders[EffectiveQty],T_PlannedOrders[Part Name],$A941,T_PlannedOrders[WeekIndex],101)&amp;" ("&amp;TEXT(SUMPRODUCT(MAX((T_PlannedOrders[Part Name]=$A941)*(T_PlannedOrders[WeekIndex]=101)*(T_PlannedOrders[EffectiveQty]&gt;0)*T_PlannedOrders[Order_Month])),"m月")&amp;"発注)")</f>
        <v/>
      </c>
      <c r="DA949">
        <f>IF(SUMIFS(T_PlannedOrders[EffectiveQty],T_PlannedOrders[Part Name],$A941,T_PlannedOrders[WeekIndex],102)=0,"",SUMIFS(T_PlannedOrders[EffectiveQty],T_PlannedOrders[Part Name],$A941,T_PlannedOrders[WeekIndex],102)&amp;" ("&amp;TEXT(SUMPRODUCT(MAX((T_PlannedOrders[Part Name]=$A941)*(T_PlannedOrders[WeekIndex]=102)*(T_PlannedOrders[EffectiveQty]&gt;0)*T_PlannedOrders[Order_Month])),"m月")&amp;"発注)")</f>
        <v/>
      </c>
      <c r="DB949">
        <f>IF(SUMIFS(T_PlannedOrders[EffectiveQty],T_PlannedOrders[Part Name],$A941,T_PlannedOrders[WeekIndex],103)=0,"",SUMIFS(T_PlannedOrders[EffectiveQty],T_PlannedOrders[Part Name],$A941,T_PlannedOrders[WeekIndex],103)&amp;" ("&amp;TEXT(SUMPRODUCT(MAX((T_PlannedOrders[Part Name]=$A941)*(T_PlannedOrders[WeekIndex]=103)*(T_PlannedOrders[EffectiveQty]&gt;0)*T_PlannedOrders[Order_Month])),"m月")&amp;"発注)")</f>
        <v/>
      </c>
      <c r="DC949">
        <f>IF(SUMIFS(T_PlannedOrders[EffectiveQty],T_PlannedOrders[Part Name],$A941,T_PlannedOrders[WeekIndex],104)=0,"",SUMIFS(T_PlannedOrders[EffectiveQty],T_PlannedOrders[Part Name],$A941,T_PlannedOrders[WeekIndex],104)&amp;" ("&amp;TEXT(SUMPRODUCT(MAX((T_PlannedOrders[Part Name]=$A941)*(T_PlannedOrders[WeekIndex]=104)*(T_PlannedOrders[EffectiveQty]&gt;0)*T_PlannedOrders[Order_Month])),"m月")&amp;"発注)")</f>
        <v/>
      </c>
    </row>
    <row r="950">
      <c r="B950" s="5" t="inlineStr">
        <is>
          <t>合計在庫(週末時点,kg)</t>
        </is>
      </c>
      <c r="D950">
        <f>'Grid_Stock'!B42</f>
        <v/>
      </c>
      <c r="E950">
        <f>'Grid_Stock'!C42</f>
        <v/>
      </c>
      <c r="F950">
        <f>'Grid_Stock'!D42</f>
        <v/>
      </c>
      <c r="G950">
        <f>'Grid_Stock'!E42</f>
        <v/>
      </c>
      <c r="H950">
        <f>'Grid_Stock'!F42</f>
        <v/>
      </c>
      <c r="I950">
        <f>'Grid_Stock'!G42</f>
        <v/>
      </c>
      <c r="J950">
        <f>'Grid_Stock'!H42</f>
        <v/>
      </c>
      <c r="K950">
        <f>'Grid_Stock'!I42</f>
        <v/>
      </c>
      <c r="L950">
        <f>'Grid_Stock'!J42</f>
        <v/>
      </c>
      <c r="M950">
        <f>'Grid_Stock'!K42</f>
        <v/>
      </c>
      <c r="N950">
        <f>'Grid_Stock'!L42</f>
        <v/>
      </c>
      <c r="O950">
        <f>'Grid_Stock'!M42</f>
        <v/>
      </c>
      <c r="P950">
        <f>'Grid_Stock'!N42</f>
        <v/>
      </c>
      <c r="Q950">
        <f>'Grid_Stock'!O42</f>
        <v/>
      </c>
      <c r="R950">
        <f>'Grid_Stock'!P42</f>
        <v/>
      </c>
      <c r="S950">
        <f>'Grid_Stock'!Q42</f>
        <v/>
      </c>
      <c r="T950">
        <f>'Grid_Stock'!R42</f>
        <v/>
      </c>
      <c r="U950">
        <f>'Grid_Stock'!S42</f>
        <v/>
      </c>
      <c r="V950">
        <f>'Grid_Stock'!T42</f>
        <v/>
      </c>
      <c r="W950">
        <f>'Grid_Stock'!U42</f>
        <v/>
      </c>
      <c r="X950">
        <f>'Grid_Stock'!V42</f>
        <v/>
      </c>
      <c r="Y950">
        <f>'Grid_Stock'!W42</f>
        <v/>
      </c>
      <c r="Z950">
        <f>'Grid_Stock'!X42</f>
        <v/>
      </c>
      <c r="AA950">
        <f>'Grid_Stock'!Y42</f>
        <v/>
      </c>
      <c r="AB950">
        <f>'Grid_Stock'!Z42</f>
        <v/>
      </c>
      <c r="AC950">
        <f>'Grid_Stock'!AA42</f>
        <v/>
      </c>
      <c r="AD950">
        <f>'Grid_Stock'!AB42</f>
        <v/>
      </c>
      <c r="AE950">
        <f>'Grid_Stock'!AC42</f>
        <v/>
      </c>
      <c r="AF950">
        <f>'Grid_Stock'!AD42</f>
        <v/>
      </c>
      <c r="AG950">
        <f>'Grid_Stock'!AE42</f>
        <v/>
      </c>
      <c r="AH950">
        <f>'Grid_Stock'!AF42</f>
        <v/>
      </c>
      <c r="AI950">
        <f>'Grid_Stock'!AG42</f>
        <v/>
      </c>
      <c r="AJ950">
        <f>'Grid_Stock'!AH42</f>
        <v/>
      </c>
      <c r="AK950">
        <f>'Grid_Stock'!AI42</f>
        <v/>
      </c>
      <c r="AL950">
        <f>'Grid_Stock'!AJ42</f>
        <v/>
      </c>
      <c r="AM950">
        <f>'Grid_Stock'!AK42</f>
        <v/>
      </c>
      <c r="AN950">
        <f>'Grid_Stock'!AL42</f>
        <v/>
      </c>
      <c r="AO950">
        <f>'Grid_Stock'!AM42</f>
        <v/>
      </c>
      <c r="AP950">
        <f>'Grid_Stock'!AN42</f>
        <v/>
      </c>
      <c r="AQ950">
        <f>'Grid_Stock'!AO42</f>
        <v/>
      </c>
      <c r="AR950">
        <f>'Grid_Stock'!AP42</f>
        <v/>
      </c>
      <c r="AS950">
        <f>'Grid_Stock'!AQ42</f>
        <v/>
      </c>
      <c r="AT950">
        <f>'Grid_Stock'!AR42</f>
        <v/>
      </c>
      <c r="AU950">
        <f>'Grid_Stock'!AS42</f>
        <v/>
      </c>
      <c r="AV950">
        <f>'Grid_Stock'!AT42</f>
        <v/>
      </c>
      <c r="AW950">
        <f>'Grid_Stock'!AU42</f>
        <v/>
      </c>
      <c r="AX950">
        <f>'Grid_Stock'!AV42</f>
        <v/>
      </c>
      <c r="AY950">
        <f>'Grid_Stock'!AW42</f>
        <v/>
      </c>
      <c r="AZ950">
        <f>'Grid_Stock'!AX42</f>
        <v/>
      </c>
      <c r="BA950">
        <f>'Grid_Stock'!AY42</f>
        <v/>
      </c>
      <c r="BB950">
        <f>'Grid_Stock'!AZ42</f>
        <v/>
      </c>
      <c r="BC950">
        <f>'Grid_Stock'!BA42</f>
        <v/>
      </c>
      <c r="BD950">
        <f>'Grid_Stock'!BB42</f>
        <v/>
      </c>
      <c r="BE950">
        <f>'Grid_Stock'!BC42</f>
        <v/>
      </c>
      <c r="BF950">
        <f>'Grid_Stock'!BD42</f>
        <v/>
      </c>
      <c r="BG950">
        <f>'Grid_Stock'!BE42</f>
        <v/>
      </c>
      <c r="BH950">
        <f>'Grid_Stock'!BF42</f>
        <v/>
      </c>
      <c r="BI950">
        <f>'Grid_Stock'!BG42</f>
        <v/>
      </c>
      <c r="BJ950">
        <f>'Grid_Stock'!BH42</f>
        <v/>
      </c>
      <c r="BK950">
        <f>'Grid_Stock'!BI42</f>
        <v/>
      </c>
      <c r="BL950">
        <f>'Grid_Stock'!BJ42</f>
        <v/>
      </c>
      <c r="BM950">
        <f>'Grid_Stock'!BK42</f>
        <v/>
      </c>
      <c r="BN950">
        <f>'Grid_Stock'!BL42</f>
        <v/>
      </c>
      <c r="BO950">
        <f>'Grid_Stock'!BM42</f>
        <v/>
      </c>
      <c r="BP950">
        <f>'Grid_Stock'!BN42</f>
        <v/>
      </c>
      <c r="BQ950">
        <f>'Grid_Stock'!BO42</f>
        <v/>
      </c>
      <c r="BR950">
        <f>'Grid_Stock'!BP42</f>
        <v/>
      </c>
      <c r="BS950">
        <f>'Grid_Stock'!BQ42</f>
        <v/>
      </c>
      <c r="BT950">
        <f>'Grid_Stock'!BR42</f>
        <v/>
      </c>
      <c r="BU950">
        <f>'Grid_Stock'!BS42</f>
        <v/>
      </c>
      <c r="BV950">
        <f>'Grid_Stock'!BT42</f>
        <v/>
      </c>
      <c r="BW950">
        <f>'Grid_Stock'!BU42</f>
        <v/>
      </c>
      <c r="BX950">
        <f>'Grid_Stock'!BV42</f>
        <v/>
      </c>
      <c r="BY950">
        <f>'Grid_Stock'!BW42</f>
        <v/>
      </c>
      <c r="BZ950">
        <f>'Grid_Stock'!BX42</f>
        <v/>
      </c>
      <c r="CA950">
        <f>'Grid_Stock'!BY42</f>
        <v/>
      </c>
      <c r="CB950">
        <f>'Grid_Stock'!BZ42</f>
        <v/>
      </c>
      <c r="CC950">
        <f>'Grid_Stock'!CA42</f>
        <v/>
      </c>
      <c r="CD950">
        <f>'Grid_Stock'!CB42</f>
        <v/>
      </c>
      <c r="CE950">
        <f>'Grid_Stock'!CC42</f>
        <v/>
      </c>
      <c r="CF950">
        <f>'Grid_Stock'!CD42</f>
        <v/>
      </c>
      <c r="CG950">
        <f>'Grid_Stock'!CE42</f>
        <v/>
      </c>
      <c r="CH950">
        <f>'Grid_Stock'!CF42</f>
        <v/>
      </c>
      <c r="CI950">
        <f>'Grid_Stock'!CG42</f>
        <v/>
      </c>
      <c r="CJ950">
        <f>'Grid_Stock'!CH42</f>
        <v/>
      </c>
      <c r="CK950">
        <f>'Grid_Stock'!CI42</f>
        <v/>
      </c>
      <c r="CL950">
        <f>'Grid_Stock'!CJ42</f>
        <v/>
      </c>
      <c r="CM950">
        <f>'Grid_Stock'!CK42</f>
        <v/>
      </c>
      <c r="CN950">
        <f>'Grid_Stock'!CL42</f>
        <v/>
      </c>
      <c r="CO950">
        <f>'Grid_Stock'!CM42</f>
        <v/>
      </c>
      <c r="CP950">
        <f>'Grid_Stock'!CN42</f>
        <v/>
      </c>
      <c r="CQ950">
        <f>'Grid_Stock'!CO42</f>
        <v/>
      </c>
      <c r="CR950">
        <f>'Grid_Stock'!CP42</f>
        <v/>
      </c>
      <c r="CS950">
        <f>'Grid_Stock'!CQ42</f>
        <v/>
      </c>
      <c r="CT950">
        <f>'Grid_Stock'!CR42</f>
        <v/>
      </c>
      <c r="CU950">
        <f>'Grid_Stock'!CS42</f>
        <v/>
      </c>
      <c r="CV950">
        <f>'Grid_Stock'!CT42</f>
        <v/>
      </c>
      <c r="CW950">
        <f>'Grid_Stock'!CU42</f>
        <v/>
      </c>
      <c r="CX950">
        <f>'Grid_Stock'!CV42</f>
        <v/>
      </c>
      <c r="CY950">
        <f>'Grid_Stock'!CW42</f>
        <v/>
      </c>
      <c r="CZ950">
        <f>'Grid_Stock'!CX42</f>
        <v/>
      </c>
      <c r="DA950">
        <f>'Grid_Stock'!CY42</f>
        <v/>
      </c>
      <c r="DB950">
        <f>'Grid_Stock'!CZ42</f>
        <v/>
      </c>
      <c r="DC950">
        <f>'Grid_Stock'!DA42</f>
        <v/>
      </c>
    </row>
    <row r="951">
      <c r="B951" s="23" t="inlineStr">
        <is>
          <t>（発注の目安はDashboardの基準在庫[下限/上限]と色分けを参照）</t>
        </is>
      </c>
    </row>
    <row r="953">
      <c r="A953" s="21" t="inlineStr">
        <is>
          <t>CHEM-1570</t>
        </is>
      </c>
      <c r="B953" s="21" t="inlineStr">
        <is>
          <t>NOPAGOAL A</t>
        </is>
      </c>
      <c r="C953" s="22" t="n"/>
      <c r="D953" s="21" t="n"/>
      <c r="E953" s="21" t="n"/>
      <c r="F953" s="21" t="n"/>
      <c r="G953" s="21" t="n"/>
      <c r="H953" s="2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  <c r="AA953" s="21" t="n"/>
      <c r="AB953" s="21" t="n"/>
      <c r="AC953" s="21" t="n"/>
      <c r="AD953" s="21" t="n"/>
      <c r="AE953" s="21" t="n"/>
      <c r="AF953" s="21" t="n"/>
      <c r="AG953" s="21" t="n"/>
      <c r="AH953" s="21" t="n"/>
      <c r="AI953" s="21" t="n"/>
      <c r="AJ953" s="21" t="n"/>
      <c r="AK953" s="21" t="n"/>
      <c r="AL953" s="21" t="n"/>
      <c r="AM953" s="21" t="n"/>
      <c r="AN953" s="21" t="n"/>
      <c r="AO953" s="21" t="n"/>
      <c r="AP953" s="21" t="n"/>
      <c r="AQ953" s="21" t="n"/>
      <c r="AR953" s="21" t="n"/>
      <c r="AS953" s="21" t="n"/>
      <c r="AT953" s="21" t="n"/>
      <c r="AU953" s="21" t="n"/>
      <c r="AV953" s="21" t="n"/>
      <c r="AW953" s="21" t="n"/>
      <c r="AX953" s="21" t="n"/>
      <c r="AY953" s="21" t="n"/>
      <c r="AZ953" s="21" t="n"/>
      <c r="BA953" s="21" t="n"/>
      <c r="BB953" s="21" t="n"/>
      <c r="BC953" s="21" t="n"/>
      <c r="BD953" s="21" t="n"/>
      <c r="BE953" s="21" t="n"/>
      <c r="BF953" s="21" t="n"/>
      <c r="BG953" s="21" t="n"/>
      <c r="BH953" s="21" t="n"/>
      <c r="BI953" s="21" t="n"/>
      <c r="BJ953" s="21" t="n"/>
      <c r="BK953" s="21" t="n"/>
      <c r="BL953" s="21" t="n"/>
      <c r="BM953" s="21" t="n"/>
      <c r="BN953" s="21" t="n"/>
      <c r="BO953" s="21" t="n"/>
      <c r="BP953" s="21" t="n"/>
      <c r="BQ953" s="21" t="n"/>
      <c r="BR953" s="21" t="n"/>
      <c r="BS953" s="21" t="n"/>
      <c r="BT953" s="21" t="n"/>
      <c r="BU953" s="21" t="n"/>
      <c r="BV953" s="21" t="n"/>
      <c r="BW953" s="21" t="n"/>
      <c r="BX953" s="21" t="n"/>
      <c r="BY953" s="21" t="n"/>
      <c r="BZ953" s="21" t="n"/>
      <c r="CA953" s="21" t="n"/>
      <c r="CB953" s="21" t="n"/>
      <c r="CC953" s="21" t="n"/>
      <c r="CD953" s="21" t="n"/>
      <c r="CE953" s="21" t="n"/>
      <c r="CF953" s="21" t="n"/>
      <c r="CG953" s="21" t="n"/>
      <c r="CH953" s="21" t="n"/>
      <c r="CI953" s="21" t="n"/>
      <c r="CJ953" s="21" t="n"/>
      <c r="CK953" s="21" t="n"/>
      <c r="CL953" s="21" t="n"/>
      <c r="CM953" s="21" t="n"/>
      <c r="CN953" s="21" t="n"/>
      <c r="CO953" s="21" t="n"/>
      <c r="CP953" s="21" t="n"/>
      <c r="CQ953" s="21" t="n"/>
      <c r="CR953" s="21" t="n"/>
      <c r="CS953" s="21" t="n"/>
      <c r="CT953" s="21" t="n"/>
      <c r="CU953" s="21" t="n"/>
      <c r="CV953" s="21" t="n"/>
      <c r="CW953" s="21" t="n"/>
      <c r="CX953" s="21" t="n"/>
      <c r="CY953" s="21" t="n"/>
      <c r="CZ953" s="21" t="n"/>
      <c r="DA953" s="21" t="n"/>
      <c r="DB953" s="21" t="n"/>
      <c r="DC953" s="21" t="n"/>
    </row>
    <row r="954">
      <c r="B954" t="inlineStr">
        <is>
          <t>TSP-1388</t>
        </is>
      </c>
      <c r="C954" t="inlineStr">
        <is>
          <t>No. of batches</t>
        </is>
      </c>
      <c r="D954">
        <f>IFERROR(INDEX(PP_Grid[#Data],$DD954,2),0)</f>
        <v/>
      </c>
      <c r="E954">
        <f>IFERROR(INDEX(PP_Grid[#Data],$DD954,3),0)</f>
        <v/>
      </c>
      <c r="F954">
        <f>IFERROR(INDEX(PP_Grid[#Data],$DD954,4),0)</f>
        <v/>
      </c>
      <c r="G954">
        <f>IFERROR(INDEX(PP_Grid[#Data],$DD954,5),0)</f>
        <v/>
      </c>
      <c r="H954">
        <f>IFERROR(INDEX(PP_Grid[#Data],$DD954,6),0)</f>
        <v/>
      </c>
      <c r="I954">
        <f>IFERROR(INDEX(PP_Grid[#Data],$DD954,7),0)</f>
        <v/>
      </c>
      <c r="J954">
        <f>IFERROR(INDEX(PP_Grid[#Data],$DD954,8),0)</f>
        <v/>
      </c>
      <c r="K954">
        <f>IFERROR(INDEX(PP_Grid[#Data],$DD954,9),0)</f>
        <v/>
      </c>
      <c r="L954">
        <f>IFERROR(INDEX(PP_Grid[#Data],$DD954,10),0)</f>
        <v/>
      </c>
      <c r="M954">
        <f>IFERROR(INDEX(PP_Grid[#Data],$DD954,11),0)</f>
        <v/>
      </c>
      <c r="N954">
        <f>IFERROR(INDEX(PP_Grid[#Data],$DD954,12),0)</f>
        <v/>
      </c>
      <c r="O954">
        <f>IFERROR(INDEX(PP_Grid[#Data],$DD954,13),0)</f>
        <v/>
      </c>
      <c r="P954">
        <f>IFERROR(INDEX(PP_Grid[#Data],$DD954,14),0)</f>
        <v/>
      </c>
      <c r="Q954">
        <f>IFERROR(INDEX(PP_Grid[#Data],$DD954,15),0)</f>
        <v/>
      </c>
      <c r="R954">
        <f>IFERROR(INDEX(PP_Grid[#Data],$DD954,16),0)</f>
        <v/>
      </c>
      <c r="S954">
        <f>IFERROR(INDEX(PP_Grid[#Data],$DD954,17),0)</f>
        <v/>
      </c>
      <c r="T954">
        <f>IFERROR(INDEX(PP_Grid[#Data],$DD954,18),0)</f>
        <v/>
      </c>
      <c r="U954">
        <f>IFERROR(INDEX(PP_Grid[#Data],$DD954,19),0)</f>
        <v/>
      </c>
      <c r="V954">
        <f>IFERROR(INDEX(PP_Grid[#Data],$DD954,20),0)</f>
        <v/>
      </c>
      <c r="W954">
        <f>IFERROR(INDEX(PP_Grid[#Data],$DD954,21),0)</f>
        <v/>
      </c>
      <c r="X954">
        <f>IFERROR(INDEX(PP_Grid[#Data],$DD954,22),0)</f>
        <v/>
      </c>
      <c r="Y954">
        <f>IFERROR(INDEX(PP_Grid[#Data],$DD954,23),0)</f>
        <v/>
      </c>
      <c r="Z954">
        <f>IFERROR(INDEX(PP_Grid[#Data],$DD954,24),0)</f>
        <v/>
      </c>
      <c r="AA954">
        <f>IFERROR(INDEX(PP_Grid[#Data],$DD954,25),0)</f>
        <v/>
      </c>
      <c r="AB954">
        <f>IFERROR(INDEX(PP_Grid[#Data],$DD954,26),0)</f>
        <v/>
      </c>
      <c r="AC954">
        <f>IFERROR(INDEX(PP_Grid[#Data],$DD954,27),0)</f>
        <v/>
      </c>
      <c r="AD954">
        <f>IFERROR(INDEX(PP_Grid[#Data],$DD954,28),0)</f>
        <v/>
      </c>
      <c r="AE954">
        <f>IFERROR(INDEX(PP_Grid[#Data],$DD954,29),0)</f>
        <v/>
      </c>
      <c r="AF954">
        <f>IFERROR(INDEX(PP_Grid[#Data],$DD954,30),0)</f>
        <v/>
      </c>
      <c r="AG954">
        <f>IFERROR(INDEX(PP_Grid[#Data],$DD954,31),0)</f>
        <v/>
      </c>
      <c r="AH954">
        <f>IFERROR(INDEX(PP_Grid[#Data],$DD954,32),0)</f>
        <v/>
      </c>
      <c r="AI954">
        <f>IFERROR(INDEX(PP_Grid[#Data],$DD954,33),0)</f>
        <v/>
      </c>
      <c r="AJ954">
        <f>IFERROR(INDEX(PP_Grid[#Data],$DD954,34),0)</f>
        <v/>
      </c>
      <c r="AK954">
        <f>IFERROR(INDEX(PP_Grid[#Data],$DD954,35),0)</f>
        <v/>
      </c>
      <c r="AL954">
        <f>IFERROR(INDEX(PP_Grid[#Data],$DD954,36),0)</f>
        <v/>
      </c>
      <c r="AM954">
        <f>IFERROR(INDEX(PP_Grid[#Data],$DD954,37),0)</f>
        <v/>
      </c>
      <c r="AN954">
        <f>IFERROR(INDEX(PP_Grid[#Data],$DD954,38),0)</f>
        <v/>
      </c>
      <c r="AO954">
        <f>IFERROR(INDEX(PP_Grid[#Data],$DD954,39),0)</f>
        <v/>
      </c>
      <c r="AP954">
        <f>IFERROR(INDEX(PP_Grid[#Data],$DD954,40),0)</f>
        <v/>
      </c>
      <c r="AQ954">
        <f>IFERROR(INDEX(PP_Grid[#Data],$DD954,41),0)</f>
        <v/>
      </c>
      <c r="AR954">
        <f>IFERROR(INDEX(PP_Grid[#Data],$DD954,42),0)</f>
        <v/>
      </c>
      <c r="AS954">
        <f>IFERROR(INDEX(PP_Grid[#Data],$DD954,43),0)</f>
        <v/>
      </c>
      <c r="AT954">
        <f>IFERROR(INDEX(PP_Grid[#Data],$DD954,44),0)</f>
        <v/>
      </c>
      <c r="AU954">
        <f>IFERROR(INDEX(PP_Grid[#Data],$DD954,45),0)</f>
        <v/>
      </c>
      <c r="AV954">
        <f>IFERROR(INDEX(PP_Grid[#Data],$DD954,46),0)</f>
        <v/>
      </c>
      <c r="AW954">
        <f>IFERROR(INDEX(PP_Grid[#Data],$DD954,47),0)</f>
        <v/>
      </c>
      <c r="AX954">
        <f>IFERROR(INDEX(PP_Grid[#Data],$DD954,48),0)</f>
        <v/>
      </c>
      <c r="AY954">
        <f>IFERROR(INDEX(PP_Grid[#Data],$DD954,49),0)</f>
        <v/>
      </c>
      <c r="AZ954">
        <f>IFERROR(INDEX(PP_Grid[#Data],$DD954,50),0)</f>
        <v/>
      </c>
      <c r="BA954">
        <f>IFERROR(INDEX(PP_Grid[#Data],$DD954,51),0)</f>
        <v/>
      </c>
      <c r="BB954">
        <f>IFERROR(INDEX(PP_Grid[#Data],$DD954,52),0)</f>
        <v/>
      </c>
      <c r="BC954">
        <f>IFERROR(INDEX(PP_Grid[#Data],$DD954,53),0)</f>
        <v/>
      </c>
      <c r="BD954">
        <f>IFERROR(INDEX(PP_Grid[#Data],$DD954,54),0)</f>
        <v/>
      </c>
      <c r="BE954">
        <f>IFERROR(INDEX(PP_Grid[#Data],$DD954,55),0)</f>
        <v/>
      </c>
      <c r="BF954">
        <f>IFERROR(INDEX(PP_Grid[#Data],$DD954,56),0)</f>
        <v/>
      </c>
      <c r="BG954">
        <f>IFERROR(INDEX(PP_Grid[#Data],$DD954,57),0)</f>
        <v/>
      </c>
      <c r="BH954">
        <f>IFERROR(INDEX(PP_Grid[#Data],$DD954,58),0)</f>
        <v/>
      </c>
      <c r="BI954">
        <f>IFERROR(INDEX(PP_Grid[#Data],$DD954,59),0)</f>
        <v/>
      </c>
      <c r="BJ954">
        <f>IFERROR(INDEX(PP_Grid[#Data],$DD954,60),0)</f>
        <v/>
      </c>
      <c r="BK954">
        <f>IFERROR(INDEX(PP_Grid[#Data],$DD954,61),0)</f>
        <v/>
      </c>
      <c r="BL954">
        <f>IFERROR(INDEX(PP_Grid[#Data],$DD954,62),0)</f>
        <v/>
      </c>
      <c r="BM954">
        <f>IFERROR(INDEX(PP_Grid[#Data],$DD954,63),0)</f>
        <v/>
      </c>
      <c r="BN954">
        <f>IFERROR(INDEX(PP_Grid[#Data],$DD954,64),0)</f>
        <v/>
      </c>
      <c r="BO954">
        <f>IFERROR(INDEX(PP_Grid[#Data],$DD954,65),0)</f>
        <v/>
      </c>
      <c r="BP954">
        <f>IFERROR(INDEX(PP_Grid[#Data],$DD954,66),0)</f>
        <v/>
      </c>
      <c r="BQ954">
        <f>IFERROR(INDEX(PP_Grid[#Data],$DD954,67),0)</f>
        <v/>
      </c>
      <c r="BR954">
        <f>IFERROR(INDEX(PP_Grid[#Data],$DD954,68),0)</f>
        <v/>
      </c>
      <c r="BS954">
        <f>IFERROR(INDEX(PP_Grid[#Data],$DD954,69),0)</f>
        <v/>
      </c>
      <c r="BT954">
        <f>IFERROR(INDEX(PP_Grid[#Data],$DD954,70),0)</f>
        <v/>
      </c>
      <c r="BU954">
        <f>IFERROR(INDEX(PP_Grid[#Data],$DD954,71),0)</f>
        <v/>
      </c>
      <c r="BV954">
        <f>IFERROR(INDEX(PP_Grid[#Data],$DD954,72),0)</f>
        <v/>
      </c>
      <c r="BW954">
        <f>IFERROR(INDEX(PP_Grid[#Data],$DD954,73),0)</f>
        <v/>
      </c>
      <c r="BX954">
        <f>IFERROR(INDEX(PP_Grid[#Data],$DD954,74),0)</f>
        <v/>
      </c>
      <c r="BY954">
        <f>IFERROR(INDEX(PP_Grid[#Data],$DD954,75),0)</f>
        <v/>
      </c>
      <c r="BZ954">
        <f>IFERROR(INDEX(PP_Grid[#Data],$DD954,76),0)</f>
        <v/>
      </c>
      <c r="CA954">
        <f>IFERROR(INDEX(PP_Grid[#Data],$DD954,77),0)</f>
        <v/>
      </c>
      <c r="CB954">
        <f>IFERROR(INDEX(PP_Grid[#Data],$DD954,78),0)</f>
        <v/>
      </c>
      <c r="CC954">
        <f>IFERROR(INDEX(PP_Grid[#Data],$DD954,79),0)</f>
        <v/>
      </c>
      <c r="CD954">
        <f>IFERROR(INDEX(PP_Grid[#Data],$DD954,80),0)</f>
        <v/>
      </c>
      <c r="CE954">
        <f>IFERROR(INDEX(PP_Grid[#Data],$DD954,81),0)</f>
        <v/>
      </c>
      <c r="CF954">
        <f>IFERROR(INDEX(PP_Grid[#Data],$DD954,82),0)</f>
        <v/>
      </c>
      <c r="CG954">
        <f>IFERROR(INDEX(PP_Grid[#Data],$DD954,83),0)</f>
        <v/>
      </c>
      <c r="CH954">
        <f>IFERROR(INDEX(PP_Grid[#Data],$DD954,84),0)</f>
        <v/>
      </c>
      <c r="CI954">
        <f>IFERROR(INDEX(PP_Grid[#Data],$DD954,85),0)</f>
        <v/>
      </c>
      <c r="CJ954">
        <f>IFERROR(INDEX(PP_Grid[#Data],$DD954,86),0)</f>
        <v/>
      </c>
      <c r="CK954">
        <f>IFERROR(INDEX(PP_Grid[#Data],$DD954,87),0)</f>
        <v/>
      </c>
      <c r="CL954">
        <f>IFERROR(INDEX(PP_Grid[#Data],$DD954,88),0)</f>
        <v/>
      </c>
      <c r="CM954">
        <f>IFERROR(INDEX(PP_Grid[#Data],$DD954,89),0)</f>
        <v/>
      </c>
      <c r="CN954">
        <f>IFERROR(INDEX(PP_Grid[#Data],$DD954,90),0)</f>
        <v/>
      </c>
      <c r="CO954">
        <f>IFERROR(INDEX(PP_Grid[#Data],$DD954,91),0)</f>
        <v/>
      </c>
      <c r="CP954">
        <f>IFERROR(INDEX(PP_Grid[#Data],$DD954,92),0)</f>
        <v/>
      </c>
      <c r="CQ954">
        <f>IFERROR(INDEX(PP_Grid[#Data],$DD954,93),0)</f>
        <v/>
      </c>
      <c r="CR954">
        <f>IFERROR(INDEX(PP_Grid[#Data],$DD954,94),0)</f>
        <v/>
      </c>
      <c r="CS954">
        <f>IFERROR(INDEX(PP_Grid[#Data],$DD954,95),0)</f>
        <v/>
      </c>
      <c r="CT954">
        <f>IFERROR(INDEX(PP_Grid[#Data],$DD954,96),0)</f>
        <v/>
      </c>
      <c r="CU954">
        <f>IFERROR(INDEX(PP_Grid[#Data],$DD954,97),0)</f>
        <v/>
      </c>
      <c r="CV954">
        <f>IFERROR(INDEX(PP_Grid[#Data],$DD954,98),0)</f>
        <v/>
      </c>
      <c r="CW954">
        <f>IFERROR(INDEX(PP_Grid[#Data],$DD954,99),0)</f>
        <v/>
      </c>
      <c r="CX954">
        <f>IFERROR(INDEX(PP_Grid[#Data],$DD954,100),0)</f>
        <v/>
      </c>
      <c r="CY954">
        <f>IFERROR(INDEX(PP_Grid[#Data],$DD954,101),0)</f>
        <v/>
      </c>
      <c r="CZ954">
        <f>IFERROR(INDEX(PP_Grid[#Data],$DD954,102),0)</f>
        <v/>
      </c>
      <c r="DA954">
        <f>IFERROR(INDEX(PP_Grid[#Data],$DD954,103),0)</f>
        <v/>
      </c>
      <c r="DB954">
        <f>IFERROR(INDEX(PP_Grid[#Data],$DD954,104),0)</f>
        <v/>
      </c>
      <c r="DC954">
        <f>IFERROR(INDEX(PP_Grid[#Data],$DD954,105),0)</f>
        <v/>
      </c>
      <c r="DD954" s="12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SUMIFS(M_BOM[RM_Qty_Per_Batch],M_BOM[Intermediate],$B954,M_BOM[Part Name],$A953)</f>
        <v/>
      </c>
      <c r="D955">
        <f>$C955*D954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</row>
    <row r="956">
      <c r="B956" t="inlineStr">
        <is>
          <t>TSP-1448</t>
        </is>
      </c>
      <c r="C956" t="inlineStr">
        <is>
          <t>No. of batches</t>
        </is>
      </c>
      <c r="D956">
        <f>IFERROR(INDEX(PP_Grid[#Data],$DD956,2),0)</f>
        <v/>
      </c>
      <c r="E956">
        <f>IFERROR(INDEX(PP_Grid[#Data],$DD956,3),0)</f>
        <v/>
      </c>
      <c r="F956">
        <f>IFERROR(INDEX(PP_Grid[#Data],$DD956,4),0)</f>
        <v/>
      </c>
      <c r="G956">
        <f>IFERROR(INDEX(PP_Grid[#Data],$DD956,5),0)</f>
        <v/>
      </c>
      <c r="H956">
        <f>IFERROR(INDEX(PP_Grid[#Data],$DD956,6),0)</f>
        <v/>
      </c>
      <c r="I956">
        <f>IFERROR(INDEX(PP_Grid[#Data],$DD956,7),0)</f>
        <v/>
      </c>
      <c r="J956">
        <f>IFERROR(INDEX(PP_Grid[#Data],$DD956,8),0)</f>
        <v/>
      </c>
      <c r="K956">
        <f>IFERROR(INDEX(PP_Grid[#Data],$DD956,9),0)</f>
        <v/>
      </c>
      <c r="L956">
        <f>IFERROR(INDEX(PP_Grid[#Data],$DD956,10),0)</f>
        <v/>
      </c>
      <c r="M956">
        <f>IFERROR(INDEX(PP_Grid[#Data],$DD956,11),0)</f>
        <v/>
      </c>
      <c r="N956">
        <f>IFERROR(INDEX(PP_Grid[#Data],$DD956,12),0)</f>
        <v/>
      </c>
      <c r="O956">
        <f>IFERROR(INDEX(PP_Grid[#Data],$DD956,13),0)</f>
        <v/>
      </c>
      <c r="P956">
        <f>IFERROR(INDEX(PP_Grid[#Data],$DD956,14),0)</f>
        <v/>
      </c>
      <c r="Q956">
        <f>IFERROR(INDEX(PP_Grid[#Data],$DD956,15),0)</f>
        <v/>
      </c>
      <c r="R956">
        <f>IFERROR(INDEX(PP_Grid[#Data],$DD956,16),0)</f>
        <v/>
      </c>
      <c r="S956">
        <f>IFERROR(INDEX(PP_Grid[#Data],$DD956,17),0)</f>
        <v/>
      </c>
      <c r="T956">
        <f>IFERROR(INDEX(PP_Grid[#Data],$DD956,18),0)</f>
        <v/>
      </c>
      <c r="U956">
        <f>IFERROR(INDEX(PP_Grid[#Data],$DD956,19),0)</f>
        <v/>
      </c>
      <c r="V956">
        <f>IFERROR(INDEX(PP_Grid[#Data],$DD956,20),0)</f>
        <v/>
      </c>
      <c r="W956">
        <f>IFERROR(INDEX(PP_Grid[#Data],$DD956,21),0)</f>
        <v/>
      </c>
      <c r="X956">
        <f>IFERROR(INDEX(PP_Grid[#Data],$DD956,22),0)</f>
        <v/>
      </c>
      <c r="Y956">
        <f>IFERROR(INDEX(PP_Grid[#Data],$DD956,23),0)</f>
        <v/>
      </c>
      <c r="Z956">
        <f>IFERROR(INDEX(PP_Grid[#Data],$DD956,24),0)</f>
        <v/>
      </c>
      <c r="AA956">
        <f>IFERROR(INDEX(PP_Grid[#Data],$DD956,25),0)</f>
        <v/>
      </c>
      <c r="AB956">
        <f>IFERROR(INDEX(PP_Grid[#Data],$DD956,26),0)</f>
        <v/>
      </c>
      <c r="AC956">
        <f>IFERROR(INDEX(PP_Grid[#Data],$DD956,27),0)</f>
        <v/>
      </c>
      <c r="AD956">
        <f>IFERROR(INDEX(PP_Grid[#Data],$DD956,28),0)</f>
        <v/>
      </c>
      <c r="AE956">
        <f>IFERROR(INDEX(PP_Grid[#Data],$DD956,29),0)</f>
        <v/>
      </c>
      <c r="AF956">
        <f>IFERROR(INDEX(PP_Grid[#Data],$DD956,30),0)</f>
        <v/>
      </c>
      <c r="AG956">
        <f>IFERROR(INDEX(PP_Grid[#Data],$DD956,31),0)</f>
        <v/>
      </c>
      <c r="AH956">
        <f>IFERROR(INDEX(PP_Grid[#Data],$DD956,32),0)</f>
        <v/>
      </c>
      <c r="AI956">
        <f>IFERROR(INDEX(PP_Grid[#Data],$DD956,33),0)</f>
        <v/>
      </c>
      <c r="AJ956">
        <f>IFERROR(INDEX(PP_Grid[#Data],$DD956,34),0)</f>
        <v/>
      </c>
      <c r="AK956">
        <f>IFERROR(INDEX(PP_Grid[#Data],$DD956,35),0)</f>
        <v/>
      </c>
      <c r="AL956">
        <f>IFERROR(INDEX(PP_Grid[#Data],$DD956,36),0)</f>
        <v/>
      </c>
      <c r="AM956">
        <f>IFERROR(INDEX(PP_Grid[#Data],$DD956,37),0)</f>
        <v/>
      </c>
      <c r="AN956">
        <f>IFERROR(INDEX(PP_Grid[#Data],$DD956,38),0)</f>
        <v/>
      </c>
      <c r="AO956">
        <f>IFERROR(INDEX(PP_Grid[#Data],$DD956,39),0)</f>
        <v/>
      </c>
      <c r="AP956">
        <f>IFERROR(INDEX(PP_Grid[#Data],$DD956,40),0)</f>
        <v/>
      </c>
      <c r="AQ956">
        <f>IFERROR(INDEX(PP_Grid[#Data],$DD956,41),0)</f>
        <v/>
      </c>
      <c r="AR956">
        <f>IFERROR(INDEX(PP_Grid[#Data],$DD956,42),0)</f>
        <v/>
      </c>
      <c r="AS956">
        <f>IFERROR(INDEX(PP_Grid[#Data],$DD956,43),0)</f>
        <v/>
      </c>
      <c r="AT956">
        <f>IFERROR(INDEX(PP_Grid[#Data],$DD956,44),0)</f>
        <v/>
      </c>
      <c r="AU956">
        <f>IFERROR(INDEX(PP_Grid[#Data],$DD956,45),0)</f>
        <v/>
      </c>
      <c r="AV956">
        <f>IFERROR(INDEX(PP_Grid[#Data],$DD956,46),0)</f>
        <v/>
      </c>
      <c r="AW956">
        <f>IFERROR(INDEX(PP_Grid[#Data],$DD956,47),0)</f>
        <v/>
      </c>
      <c r="AX956">
        <f>IFERROR(INDEX(PP_Grid[#Data],$DD956,48),0)</f>
        <v/>
      </c>
      <c r="AY956">
        <f>IFERROR(INDEX(PP_Grid[#Data],$DD956,49),0)</f>
        <v/>
      </c>
      <c r="AZ956">
        <f>IFERROR(INDEX(PP_Grid[#Data],$DD956,50),0)</f>
        <v/>
      </c>
      <c r="BA956">
        <f>IFERROR(INDEX(PP_Grid[#Data],$DD956,51),0)</f>
        <v/>
      </c>
      <c r="BB956">
        <f>IFERROR(INDEX(PP_Grid[#Data],$DD956,52),0)</f>
        <v/>
      </c>
      <c r="BC956">
        <f>IFERROR(INDEX(PP_Grid[#Data],$DD956,53),0)</f>
        <v/>
      </c>
      <c r="BD956">
        <f>IFERROR(INDEX(PP_Grid[#Data],$DD956,54),0)</f>
        <v/>
      </c>
      <c r="BE956">
        <f>IFERROR(INDEX(PP_Grid[#Data],$DD956,55),0)</f>
        <v/>
      </c>
      <c r="BF956">
        <f>IFERROR(INDEX(PP_Grid[#Data],$DD956,56),0)</f>
        <v/>
      </c>
      <c r="BG956">
        <f>IFERROR(INDEX(PP_Grid[#Data],$DD956,57),0)</f>
        <v/>
      </c>
      <c r="BH956">
        <f>IFERROR(INDEX(PP_Grid[#Data],$DD956,58),0)</f>
        <v/>
      </c>
      <c r="BI956">
        <f>IFERROR(INDEX(PP_Grid[#Data],$DD956,59),0)</f>
        <v/>
      </c>
      <c r="BJ956">
        <f>IFERROR(INDEX(PP_Grid[#Data],$DD956,60),0)</f>
        <v/>
      </c>
      <c r="BK956">
        <f>IFERROR(INDEX(PP_Grid[#Data],$DD956,61),0)</f>
        <v/>
      </c>
      <c r="BL956">
        <f>IFERROR(INDEX(PP_Grid[#Data],$DD956,62),0)</f>
        <v/>
      </c>
      <c r="BM956">
        <f>IFERROR(INDEX(PP_Grid[#Data],$DD956,63),0)</f>
        <v/>
      </c>
      <c r="BN956">
        <f>IFERROR(INDEX(PP_Grid[#Data],$DD956,64),0)</f>
        <v/>
      </c>
      <c r="BO956">
        <f>IFERROR(INDEX(PP_Grid[#Data],$DD956,65),0)</f>
        <v/>
      </c>
      <c r="BP956">
        <f>IFERROR(INDEX(PP_Grid[#Data],$DD956,66),0)</f>
        <v/>
      </c>
      <c r="BQ956">
        <f>IFERROR(INDEX(PP_Grid[#Data],$DD956,67),0)</f>
        <v/>
      </c>
      <c r="BR956">
        <f>IFERROR(INDEX(PP_Grid[#Data],$DD956,68),0)</f>
        <v/>
      </c>
      <c r="BS956">
        <f>IFERROR(INDEX(PP_Grid[#Data],$DD956,69),0)</f>
        <v/>
      </c>
      <c r="BT956">
        <f>IFERROR(INDEX(PP_Grid[#Data],$DD956,70),0)</f>
        <v/>
      </c>
      <c r="BU956">
        <f>IFERROR(INDEX(PP_Grid[#Data],$DD956,71),0)</f>
        <v/>
      </c>
      <c r="BV956">
        <f>IFERROR(INDEX(PP_Grid[#Data],$DD956,72),0)</f>
        <v/>
      </c>
      <c r="BW956">
        <f>IFERROR(INDEX(PP_Grid[#Data],$DD956,73),0)</f>
        <v/>
      </c>
      <c r="BX956">
        <f>IFERROR(INDEX(PP_Grid[#Data],$DD956,74),0)</f>
        <v/>
      </c>
      <c r="BY956">
        <f>IFERROR(INDEX(PP_Grid[#Data],$DD956,75),0)</f>
        <v/>
      </c>
      <c r="BZ956">
        <f>IFERROR(INDEX(PP_Grid[#Data],$DD956,76),0)</f>
        <v/>
      </c>
      <c r="CA956">
        <f>IFERROR(INDEX(PP_Grid[#Data],$DD956,77),0)</f>
        <v/>
      </c>
      <c r="CB956">
        <f>IFERROR(INDEX(PP_Grid[#Data],$DD956,78),0)</f>
        <v/>
      </c>
      <c r="CC956">
        <f>IFERROR(INDEX(PP_Grid[#Data],$DD956,79),0)</f>
        <v/>
      </c>
      <c r="CD956">
        <f>IFERROR(INDEX(PP_Grid[#Data],$DD956,80),0)</f>
        <v/>
      </c>
      <c r="CE956">
        <f>IFERROR(INDEX(PP_Grid[#Data],$DD956,81),0)</f>
        <v/>
      </c>
      <c r="CF956">
        <f>IFERROR(INDEX(PP_Grid[#Data],$DD956,82),0)</f>
        <v/>
      </c>
      <c r="CG956">
        <f>IFERROR(INDEX(PP_Grid[#Data],$DD956,83),0)</f>
        <v/>
      </c>
      <c r="CH956">
        <f>IFERROR(INDEX(PP_Grid[#Data],$DD956,84),0)</f>
        <v/>
      </c>
      <c r="CI956">
        <f>IFERROR(INDEX(PP_Grid[#Data],$DD956,85),0)</f>
        <v/>
      </c>
      <c r="CJ956">
        <f>IFERROR(INDEX(PP_Grid[#Data],$DD956,86),0)</f>
        <v/>
      </c>
      <c r="CK956">
        <f>IFERROR(INDEX(PP_Grid[#Data],$DD956,87),0)</f>
        <v/>
      </c>
      <c r="CL956">
        <f>IFERROR(INDEX(PP_Grid[#Data],$DD956,88),0)</f>
        <v/>
      </c>
      <c r="CM956">
        <f>IFERROR(INDEX(PP_Grid[#Data],$DD956,89),0)</f>
        <v/>
      </c>
      <c r="CN956">
        <f>IFERROR(INDEX(PP_Grid[#Data],$DD956,90),0)</f>
        <v/>
      </c>
      <c r="CO956">
        <f>IFERROR(INDEX(PP_Grid[#Data],$DD956,91),0)</f>
        <v/>
      </c>
      <c r="CP956">
        <f>IFERROR(INDEX(PP_Grid[#Data],$DD956,92),0)</f>
        <v/>
      </c>
      <c r="CQ956">
        <f>IFERROR(INDEX(PP_Grid[#Data],$DD956,93),0)</f>
        <v/>
      </c>
      <c r="CR956">
        <f>IFERROR(INDEX(PP_Grid[#Data],$DD956,94),0)</f>
        <v/>
      </c>
      <c r="CS956">
        <f>IFERROR(INDEX(PP_Grid[#Data],$DD956,95),0)</f>
        <v/>
      </c>
      <c r="CT956">
        <f>IFERROR(INDEX(PP_Grid[#Data],$DD956,96),0)</f>
        <v/>
      </c>
      <c r="CU956">
        <f>IFERROR(INDEX(PP_Grid[#Data],$DD956,97),0)</f>
        <v/>
      </c>
      <c r="CV956">
        <f>IFERROR(INDEX(PP_Grid[#Data],$DD956,98),0)</f>
        <v/>
      </c>
      <c r="CW956">
        <f>IFERROR(INDEX(PP_Grid[#Data],$DD956,99),0)</f>
        <v/>
      </c>
      <c r="CX956">
        <f>IFERROR(INDEX(PP_Grid[#Data],$DD956,100),0)</f>
        <v/>
      </c>
      <c r="CY956">
        <f>IFERROR(INDEX(PP_Grid[#Data],$DD956,101),0)</f>
        <v/>
      </c>
      <c r="CZ956">
        <f>IFERROR(INDEX(PP_Grid[#Data],$DD956,102),0)</f>
        <v/>
      </c>
      <c r="DA956">
        <f>IFERROR(INDEX(PP_Grid[#Data],$DD956,103),0)</f>
        <v/>
      </c>
      <c r="DB956">
        <f>IFERROR(INDEX(PP_Grid[#Data],$DD956,104),0)</f>
        <v/>
      </c>
      <c r="DC956">
        <f>IFERROR(INDEX(PP_Grid[#Data],$DD956,105),0)</f>
        <v/>
      </c>
      <c r="DD956" s="12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SUMIFS(M_BOM[RM_Qty_Per_Batch],M_BOM[Intermediate],$B956,M_BOM[Part Name],$A953)</f>
        <v/>
      </c>
      <c r="D957">
        <f>$C957*D956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</row>
    <row r="958">
      <c r="B958" t="inlineStr">
        <is>
          <t>TSP-1449</t>
        </is>
      </c>
      <c r="C958" t="inlineStr">
        <is>
          <t>No. of batches</t>
        </is>
      </c>
      <c r="D958">
        <f>IFERROR(INDEX(PP_Grid[#Data],$DD958,2),0)</f>
        <v/>
      </c>
      <c r="E958">
        <f>IFERROR(INDEX(PP_Grid[#Data],$DD958,3),0)</f>
        <v/>
      </c>
      <c r="F958">
        <f>IFERROR(INDEX(PP_Grid[#Data],$DD958,4),0)</f>
        <v/>
      </c>
      <c r="G958">
        <f>IFERROR(INDEX(PP_Grid[#Data],$DD958,5),0)</f>
        <v/>
      </c>
      <c r="H958">
        <f>IFERROR(INDEX(PP_Grid[#Data],$DD958,6),0)</f>
        <v/>
      </c>
      <c r="I958">
        <f>IFERROR(INDEX(PP_Grid[#Data],$DD958,7),0)</f>
        <v/>
      </c>
      <c r="J958">
        <f>IFERROR(INDEX(PP_Grid[#Data],$DD958,8),0)</f>
        <v/>
      </c>
      <c r="K958">
        <f>IFERROR(INDEX(PP_Grid[#Data],$DD958,9),0)</f>
        <v/>
      </c>
      <c r="L958">
        <f>IFERROR(INDEX(PP_Grid[#Data],$DD958,10),0)</f>
        <v/>
      </c>
      <c r="M958">
        <f>IFERROR(INDEX(PP_Grid[#Data],$DD958,11),0)</f>
        <v/>
      </c>
      <c r="N958">
        <f>IFERROR(INDEX(PP_Grid[#Data],$DD958,12),0)</f>
        <v/>
      </c>
      <c r="O958">
        <f>IFERROR(INDEX(PP_Grid[#Data],$DD958,13),0)</f>
        <v/>
      </c>
      <c r="P958">
        <f>IFERROR(INDEX(PP_Grid[#Data],$DD958,14),0)</f>
        <v/>
      </c>
      <c r="Q958">
        <f>IFERROR(INDEX(PP_Grid[#Data],$DD958,15),0)</f>
        <v/>
      </c>
      <c r="R958">
        <f>IFERROR(INDEX(PP_Grid[#Data],$DD958,16),0)</f>
        <v/>
      </c>
      <c r="S958">
        <f>IFERROR(INDEX(PP_Grid[#Data],$DD958,17),0)</f>
        <v/>
      </c>
      <c r="T958">
        <f>IFERROR(INDEX(PP_Grid[#Data],$DD958,18),0)</f>
        <v/>
      </c>
      <c r="U958">
        <f>IFERROR(INDEX(PP_Grid[#Data],$DD958,19),0)</f>
        <v/>
      </c>
      <c r="V958">
        <f>IFERROR(INDEX(PP_Grid[#Data],$DD958,20),0)</f>
        <v/>
      </c>
      <c r="W958">
        <f>IFERROR(INDEX(PP_Grid[#Data],$DD958,21),0)</f>
        <v/>
      </c>
      <c r="X958">
        <f>IFERROR(INDEX(PP_Grid[#Data],$DD958,22),0)</f>
        <v/>
      </c>
      <c r="Y958">
        <f>IFERROR(INDEX(PP_Grid[#Data],$DD958,23),0)</f>
        <v/>
      </c>
      <c r="Z958">
        <f>IFERROR(INDEX(PP_Grid[#Data],$DD958,24),0)</f>
        <v/>
      </c>
      <c r="AA958">
        <f>IFERROR(INDEX(PP_Grid[#Data],$DD958,25),0)</f>
        <v/>
      </c>
      <c r="AB958">
        <f>IFERROR(INDEX(PP_Grid[#Data],$DD958,26),0)</f>
        <v/>
      </c>
      <c r="AC958">
        <f>IFERROR(INDEX(PP_Grid[#Data],$DD958,27),0)</f>
        <v/>
      </c>
      <c r="AD958">
        <f>IFERROR(INDEX(PP_Grid[#Data],$DD958,28),0)</f>
        <v/>
      </c>
      <c r="AE958">
        <f>IFERROR(INDEX(PP_Grid[#Data],$DD958,29),0)</f>
        <v/>
      </c>
      <c r="AF958">
        <f>IFERROR(INDEX(PP_Grid[#Data],$DD958,30),0)</f>
        <v/>
      </c>
      <c r="AG958">
        <f>IFERROR(INDEX(PP_Grid[#Data],$DD958,31),0)</f>
        <v/>
      </c>
      <c r="AH958">
        <f>IFERROR(INDEX(PP_Grid[#Data],$DD958,32),0)</f>
        <v/>
      </c>
      <c r="AI958">
        <f>IFERROR(INDEX(PP_Grid[#Data],$DD958,33),0)</f>
        <v/>
      </c>
      <c r="AJ958">
        <f>IFERROR(INDEX(PP_Grid[#Data],$DD958,34),0)</f>
        <v/>
      </c>
      <c r="AK958">
        <f>IFERROR(INDEX(PP_Grid[#Data],$DD958,35),0)</f>
        <v/>
      </c>
      <c r="AL958">
        <f>IFERROR(INDEX(PP_Grid[#Data],$DD958,36),0)</f>
        <v/>
      </c>
      <c r="AM958">
        <f>IFERROR(INDEX(PP_Grid[#Data],$DD958,37),0)</f>
        <v/>
      </c>
      <c r="AN958">
        <f>IFERROR(INDEX(PP_Grid[#Data],$DD958,38),0)</f>
        <v/>
      </c>
      <c r="AO958">
        <f>IFERROR(INDEX(PP_Grid[#Data],$DD958,39),0)</f>
        <v/>
      </c>
      <c r="AP958">
        <f>IFERROR(INDEX(PP_Grid[#Data],$DD958,40),0)</f>
        <v/>
      </c>
      <c r="AQ958">
        <f>IFERROR(INDEX(PP_Grid[#Data],$DD958,41),0)</f>
        <v/>
      </c>
      <c r="AR958">
        <f>IFERROR(INDEX(PP_Grid[#Data],$DD958,42),0)</f>
        <v/>
      </c>
      <c r="AS958">
        <f>IFERROR(INDEX(PP_Grid[#Data],$DD958,43),0)</f>
        <v/>
      </c>
      <c r="AT958">
        <f>IFERROR(INDEX(PP_Grid[#Data],$DD958,44),0)</f>
        <v/>
      </c>
      <c r="AU958">
        <f>IFERROR(INDEX(PP_Grid[#Data],$DD958,45),0)</f>
        <v/>
      </c>
      <c r="AV958">
        <f>IFERROR(INDEX(PP_Grid[#Data],$DD958,46),0)</f>
        <v/>
      </c>
      <c r="AW958">
        <f>IFERROR(INDEX(PP_Grid[#Data],$DD958,47),0)</f>
        <v/>
      </c>
      <c r="AX958">
        <f>IFERROR(INDEX(PP_Grid[#Data],$DD958,48),0)</f>
        <v/>
      </c>
      <c r="AY958">
        <f>IFERROR(INDEX(PP_Grid[#Data],$DD958,49),0)</f>
        <v/>
      </c>
      <c r="AZ958">
        <f>IFERROR(INDEX(PP_Grid[#Data],$DD958,50),0)</f>
        <v/>
      </c>
      <c r="BA958">
        <f>IFERROR(INDEX(PP_Grid[#Data],$DD958,51),0)</f>
        <v/>
      </c>
      <c r="BB958">
        <f>IFERROR(INDEX(PP_Grid[#Data],$DD958,52),0)</f>
        <v/>
      </c>
      <c r="BC958">
        <f>IFERROR(INDEX(PP_Grid[#Data],$DD958,53),0)</f>
        <v/>
      </c>
      <c r="BD958">
        <f>IFERROR(INDEX(PP_Grid[#Data],$DD958,54),0)</f>
        <v/>
      </c>
      <c r="BE958">
        <f>IFERROR(INDEX(PP_Grid[#Data],$DD958,55),0)</f>
        <v/>
      </c>
      <c r="BF958">
        <f>IFERROR(INDEX(PP_Grid[#Data],$DD958,56),0)</f>
        <v/>
      </c>
      <c r="BG958">
        <f>IFERROR(INDEX(PP_Grid[#Data],$DD958,57),0)</f>
        <v/>
      </c>
      <c r="BH958">
        <f>IFERROR(INDEX(PP_Grid[#Data],$DD958,58),0)</f>
        <v/>
      </c>
      <c r="BI958">
        <f>IFERROR(INDEX(PP_Grid[#Data],$DD958,59),0)</f>
        <v/>
      </c>
      <c r="BJ958">
        <f>IFERROR(INDEX(PP_Grid[#Data],$DD958,60),0)</f>
        <v/>
      </c>
      <c r="BK958">
        <f>IFERROR(INDEX(PP_Grid[#Data],$DD958,61),0)</f>
        <v/>
      </c>
      <c r="BL958">
        <f>IFERROR(INDEX(PP_Grid[#Data],$DD958,62),0)</f>
        <v/>
      </c>
      <c r="BM958">
        <f>IFERROR(INDEX(PP_Grid[#Data],$DD958,63),0)</f>
        <v/>
      </c>
      <c r="BN958">
        <f>IFERROR(INDEX(PP_Grid[#Data],$DD958,64),0)</f>
        <v/>
      </c>
      <c r="BO958">
        <f>IFERROR(INDEX(PP_Grid[#Data],$DD958,65),0)</f>
        <v/>
      </c>
      <c r="BP958">
        <f>IFERROR(INDEX(PP_Grid[#Data],$DD958,66),0)</f>
        <v/>
      </c>
      <c r="BQ958">
        <f>IFERROR(INDEX(PP_Grid[#Data],$DD958,67),0)</f>
        <v/>
      </c>
      <c r="BR958">
        <f>IFERROR(INDEX(PP_Grid[#Data],$DD958,68),0)</f>
        <v/>
      </c>
      <c r="BS958">
        <f>IFERROR(INDEX(PP_Grid[#Data],$DD958,69),0)</f>
        <v/>
      </c>
      <c r="BT958">
        <f>IFERROR(INDEX(PP_Grid[#Data],$DD958,70),0)</f>
        <v/>
      </c>
      <c r="BU958">
        <f>IFERROR(INDEX(PP_Grid[#Data],$DD958,71),0)</f>
        <v/>
      </c>
      <c r="BV958">
        <f>IFERROR(INDEX(PP_Grid[#Data],$DD958,72),0)</f>
        <v/>
      </c>
      <c r="BW958">
        <f>IFERROR(INDEX(PP_Grid[#Data],$DD958,73),0)</f>
        <v/>
      </c>
      <c r="BX958">
        <f>IFERROR(INDEX(PP_Grid[#Data],$DD958,74),0)</f>
        <v/>
      </c>
      <c r="BY958">
        <f>IFERROR(INDEX(PP_Grid[#Data],$DD958,75),0)</f>
        <v/>
      </c>
      <c r="BZ958">
        <f>IFERROR(INDEX(PP_Grid[#Data],$DD958,76),0)</f>
        <v/>
      </c>
      <c r="CA958">
        <f>IFERROR(INDEX(PP_Grid[#Data],$DD958,77),0)</f>
        <v/>
      </c>
      <c r="CB958">
        <f>IFERROR(INDEX(PP_Grid[#Data],$DD958,78),0)</f>
        <v/>
      </c>
      <c r="CC958">
        <f>IFERROR(INDEX(PP_Grid[#Data],$DD958,79),0)</f>
        <v/>
      </c>
      <c r="CD958">
        <f>IFERROR(INDEX(PP_Grid[#Data],$DD958,80),0)</f>
        <v/>
      </c>
      <c r="CE958">
        <f>IFERROR(INDEX(PP_Grid[#Data],$DD958,81),0)</f>
        <v/>
      </c>
      <c r="CF958">
        <f>IFERROR(INDEX(PP_Grid[#Data],$DD958,82),0)</f>
        <v/>
      </c>
      <c r="CG958">
        <f>IFERROR(INDEX(PP_Grid[#Data],$DD958,83),0)</f>
        <v/>
      </c>
      <c r="CH958">
        <f>IFERROR(INDEX(PP_Grid[#Data],$DD958,84),0)</f>
        <v/>
      </c>
      <c r="CI958">
        <f>IFERROR(INDEX(PP_Grid[#Data],$DD958,85),0)</f>
        <v/>
      </c>
      <c r="CJ958">
        <f>IFERROR(INDEX(PP_Grid[#Data],$DD958,86),0)</f>
        <v/>
      </c>
      <c r="CK958">
        <f>IFERROR(INDEX(PP_Grid[#Data],$DD958,87),0)</f>
        <v/>
      </c>
      <c r="CL958">
        <f>IFERROR(INDEX(PP_Grid[#Data],$DD958,88),0)</f>
        <v/>
      </c>
      <c r="CM958">
        <f>IFERROR(INDEX(PP_Grid[#Data],$DD958,89),0)</f>
        <v/>
      </c>
      <c r="CN958">
        <f>IFERROR(INDEX(PP_Grid[#Data],$DD958,90),0)</f>
        <v/>
      </c>
      <c r="CO958">
        <f>IFERROR(INDEX(PP_Grid[#Data],$DD958,91),0)</f>
        <v/>
      </c>
      <c r="CP958">
        <f>IFERROR(INDEX(PP_Grid[#Data],$DD958,92),0)</f>
        <v/>
      </c>
      <c r="CQ958">
        <f>IFERROR(INDEX(PP_Grid[#Data],$DD958,93),0)</f>
        <v/>
      </c>
      <c r="CR958">
        <f>IFERROR(INDEX(PP_Grid[#Data],$DD958,94),0)</f>
        <v/>
      </c>
      <c r="CS958">
        <f>IFERROR(INDEX(PP_Grid[#Data],$DD958,95),0)</f>
        <v/>
      </c>
      <c r="CT958">
        <f>IFERROR(INDEX(PP_Grid[#Data],$DD958,96),0)</f>
        <v/>
      </c>
      <c r="CU958">
        <f>IFERROR(INDEX(PP_Grid[#Data],$DD958,97),0)</f>
        <v/>
      </c>
      <c r="CV958">
        <f>IFERROR(INDEX(PP_Grid[#Data],$DD958,98),0)</f>
        <v/>
      </c>
      <c r="CW958">
        <f>IFERROR(INDEX(PP_Grid[#Data],$DD958,99),0)</f>
        <v/>
      </c>
      <c r="CX958">
        <f>IFERROR(INDEX(PP_Grid[#Data],$DD958,100),0)</f>
        <v/>
      </c>
      <c r="CY958">
        <f>IFERROR(INDEX(PP_Grid[#Data],$DD958,101),0)</f>
        <v/>
      </c>
      <c r="CZ958">
        <f>IFERROR(INDEX(PP_Grid[#Data],$DD958,102),0)</f>
        <v/>
      </c>
      <c r="DA958">
        <f>IFERROR(INDEX(PP_Grid[#Data],$DD958,103),0)</f>
        <v/>
      </c>
      <c r="DB958">
        <f>IFERROR(INDEX(PP_Grid[#Data],$DD958,104),0)</f>
        <v/>
      </c>
      <c r="DC958">
        <f>IFERROR(INDEX(PP_Grid[#Data],$DD958,105),0)</f>
        <v/>
      </c>
      <c r="DD958" s="12">
        <f>IFERROR(MATCH($B958,PP_Grid[Intermediate],0),99999)</f>
        <v/>
      </c>
    </row>
    <row r="959">
      <c r="B959" t="inlineStr">
        <is>
          <t>使用量(kg)</t>
        </is>
      </c>
      <c r="C959">
        <f>SUMIFS(M_BOM[RM_Qty_Per_Batch],M_BOM[Intermediate],$B958,M_BOM[Part Name],$A953)</f>
        <v/>
      </c>
      <c r="D959">
        <f>$C959*D958</f>
        <v/>
      </c>
      <c r="E959">
        <f>$C959*E958</f>
        <v/>
      </c>
      <c r="F959">
        <f>$C959*F958</f>
        <v/>
      </c>
      <c r="G959">
        <f>$C959*G958</f>
        <v/>
      </c>
      <c r="H959">
        <f>$C959*H958</f>
        <v/>
      </c>
      <c r="I959">
        <f>$C959*I958</f>
        <v/>
      </c>
      <c r="J959">
        <f>$C959*J958</f>
        <v/>
      </c>
      <c r="K959">
        <f>$C959*K958</f>
        <v/>
      </c>
      <c r="L959">
        <f>$C959*L958</f>
        <v/>
      </c>
      <c r="M959">
        <f>$C959*M958</f>
        <v/>
      </c>
      <c r="N959">
        <f>$C959*N958</f>
        <v/>
      </c>
      <c r="O959">
        <f>$C959*O958</f>
        <v/>
      </c>
      <c r="P959">
        <f>$C959*P958</f>
        <v/>
      </c>
      <c r="Q959">
        <f>$C959*Q958</f>
        <v/>
      </c>
      <c r="R959">
        <f>$C959*R958</f>
        <v/>
      </c>
      <c r="S959">
        <f>$C959*S958</f>
        <v/>
      </c>
      <c r="T959">
        <f>$C959*T958</f>
        <v/>
      </c>
      <c r="U959">
        <f>$C959*U958</f>
        <v/>
      </c>
      <c r="V959">
        <f>$C959*V958</f>
        <v/>
      </c>
      <c r="W959">
        <f>$C959*W958</f>
        <v/>
      </c>
      <c r="X959">
        <f>$C959*X958</f>
        <v/>
      </c>
      <c r="Y959">
        <f>$C959*Y958</f>
        <v/>
      </c>
      <c r="Z959">
        <f>$C959*Z958</f>
        <v/>
      </c>
      <c r="AA959">
        <f>$C959*AA958</f>
        <v/>
      </c>
      <c r="AB959">
        <f>$C959*AB958</f>
        <v/>
      </c>
      <c r="AC959">
        <f>$C959*AC958</f>
        <v/>
      </c>
      <c r="AD959">
        <f>$C959*AD958</f>
        <v/>
      </c>
      <c r="AE959">
        <f>$C959*AE958</f>
        <v/>
      </c>
      <c r="AF959">
        <f>$C959*AF958</f>
        <v/>
      </c>
      <c r="AG959">
        <f>$C959*AG958</f>
        <v/>
      </c>
      <c r="AH959">
        <f>$C959*AH958</f>
        <v/>
      </c>
      <c r="AI959">
        <f>$C959*AI958</f>
        <v/>
      </c>
      <c r="AJ959">
        <f>$C959*AJ958</f>
        <v/>
      </c>
      <c r="AK959">
        <f>$C959*AK958</f>
        <v/>
      </c>
      <c r="AL959">
        <f>$C959*AL958</f>
        <v/>
      </c>
      <c r="AM959">
        <f>$C959*AM958</f>
        <v/>
      </c>
      <c r="AN959">
        <f>$C959*AN958</f>
        <v/>
      </c>
      <c r="AO959">
        <f>$C959*AO958</f>
        <v/>
      </c>
      <c r="AP959">
        <f>$C959*AP958</f>
        <v/>
      </c>
      <c r="AQ959">
        <f>$C959*AQ958</f>
        <v/>
      </c>
      <c r="AR959">
        <f>$C959*AR958</f>
        <v/>
      </c>
      <c r="AS959">
        <f>$C959*AS958</f>
        <v/>
      </c>
      <c r="AT959">
        <f>$C959*AT958</f>
        <v/>
      </c>
      <c r="AU959">
        <f>$C959*AU958</f>
        <v/>
      </c>
      <c r="AV959">
        <f>$C959*AV958</f>
        <v/>
      </c>
      <c r="AW959">
        <f>$C959*AW958</f>
        <v/>
      </c>
      <c r="AX959">
        <f>$C959*AX958</f>
        <v/>
      </c>
      <c r="AY959">
        <f>$C959*AY958</f>
        <v/>
      </c>
      <c r="AZ959">
        <f>$C959*AZ958</f>
        <v/>
      </c>
      <c r="BA959">
        <f>$C959*BA958</f>
        <v/>
      </c>
      <c r="BB959">
        <f>$C959*BB958</f>
        <v/>
      </c>
      <c r="BC959">
        <f>$C959*BC958</f>
        <v/>
      </c>
      <c r="BD959">
        <f>$C959*BD958</f>
        <v/>
      </c>
      <c r="BE959">
        <f>$C959*BE958</f>
        <v/>
      </c>
      <c r="BF959">
        <f>$C959*BF958</f>
        <v/>
      </c>
      <c r="BG959">
        <f>$C959*BG958</f>
        <v/>
      </c>
      <c r="BH959">
        <f>$C959*BH958</f>
        <v/>
      </c>
      <c r="BI959">
        <f>$C959*BI958</f>
        <v/>
      </c>
      <c r="BJ959">
        <f>$C959*BJ958</f>
        <v/>
      </c>
      <c r="BK959">
        <f>$C959*BK958</f>
        <v/>
      </c>
      <c r="BL959">
        <f>$C959*BL958</f>
        <v/>
      </c>
      <c r="BM959">
        <f>$C959*BM958</f>
        <v/>
      </c>
      <c r="BN959">
        <f>$C959*BN958</f>
        <v/>
      </c>
      <c r="BO959">
        <f>$C959*BO958</f>
        <v/>
      </c>
      <c r="BP959">
        <f>$C959*BP958</f>
        <v/>
      </c>
      <c r="BQ959">
        <f>$C959*BQ958</f>
        <v/>
      </c>
      <c r="BR959">
        <f>$C959*BR958</f>
        <v/>
      </c>
      <c r="BS959">
        <f>$C959*BS958</f>
        <v/>
      </c>
      <c r="BT959">
        <f>$C959*BT958</f>
        <v/>
      </c>
      <c r="BU959">
        <f>$C959*BU958</f>
        <v/>
      </c>
      <c r="BV959">
        <f>$C959*BV958</f>
        <v/>
      </c>
      <c r="BW959">
        <f>$C959*BW958</f>
        <v/>
      </c>
      <c r="BX959">
        <f>$C959*BX958</f>
        <v/>
      </c>
      <c r="BY959">
        <f>$C959*BY958</f>
        <v/>
      </c>
      <c r="BZ959">
        <f>$C959*BZ958</f>
        <v/>
      </c>
      <c r="CA959">
        <f>$C959*CA958</f>
        <v/>
      </c>
      <c r="CB959">
        <f>$C959*CB958</f>
        <v/>
      </c>
      <c r="CC959">
        <f>$C959*CC958</f>
        <v/>
      </c>
      <c r="CD959">
        <f>$C959*CD958</f>
        <v/>
      </c>
      <c r="CE959">
        <f>$C959*CE958</f>
        <v/>
      </c>
      <c r="CF959">
        <f>$C959*CF958</f>
        <v/>
      </c>
      <c r="CG959">
        <f>$C959*CG958</f>
        <v/>
      </c>
      <c r="CH959">
        <f>$C959*CH958</f>
        <v/>
      </c>
      <c r="CI959">
        <f>$C959*CI958</f>
        <v/>
      </c>
      <c r="CJ959">
        <f>$C959*CJ958</f>
        <v/>
      </c>
      <c r="CK959">
        <f>$C959*CK958</f>
        <v/>
      </c>
      <c r="CL959">
        <f>$C959*CL958</f>
        <v/>
      </c>
      <c r="CM959">
        <f>$C959*CM958</f>
        <v/>
      </c>
      <c r="CN959">
        <f>$C959*CN958</f>
        <v/>
      </c>
      <c r="CO959">
        <f>$C959*CO958</f>
        <v/>
      </c>
      <c r="CP959">
        <f>$C959*CP958</f>
        <v/>
      </c>
      <c r="CQ959">
        <f>$C959*CQ958</f>
        <v/>
      </c>
      <c r="CR959">
        <f>$C959*CR958</f>
        <v/>
      </c>
      <c r="CS959">
        <f>$C959*CS958</f>
        <v/>
      </c>
      <c r="CT959">
        <f>$C959*CT958</f>
        <v/>
      </c>
      <c r="CU959">
        <f>$C959*CU958</f>
        <v/>
      </c>
      <c r="CV959">
        <f>$C959*CV958</f>
        <v/>
      </c>
      <c r="CW959">
        <f>$C959*CW958</f>
        <v/>
      </c>
      <c r="CX959">
        <f>$C959*CX958</f>
        <v/>
      </c>
      <c r="CY959">
        <f>$C959*CY958</f>
        <v/>
      </c>
      <c r="CZ959">
        <f>$C959*CZ958</f>
        <v/>
      </c>
      <c r="DA959">
        <f>$C959*DA958</f>
        <v/>
      </c>
      <c r="DB959">
        <f>$C959*DB958</f>
        <v/>
      </c>
      <c r="DC959">
        <f>$C959*DC958</f>
        <v/>
      </c>
    </row>
    <row r="960">
      <c r="B960" t="inlineStr">
        <is>
          <t>TSP-558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12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Name],$A953)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TSP-618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12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Name],$A953)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TSP-620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12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Name],$A953)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t="inlineStr">
        <is>
          <t>TSP-623</t>
        </is>
      </c>
      <c r="C966" t="inlineStr">
        <is>
          <t>No. of batches</t>
        </is>
      </c>
      <c r="D966">
        <f>IFERROR(INDEX(PP_Grid[#Data],$DD966,2),0)</f>
        <v/>
      </c>
      <c r="E966">
        <f>IFERROR(INDEX(PP_Grid[#Data],$DD966,3),0)</f>
        <v/>
      </c>
      <c r="F966">
        <f>IFERROR(INDEX(PP_Grid[#Data],$DD966,4),0)</f>
        <v/>
      </c>
      <c r="G966">
        <f>IFERROR(INDEX(PP_Grid[#Data],$DD966,5),0)</f>
        <v/>
      </c>
      <c r="H966">
        <f>IFERROR(INDEX(PP_Grid[#Data],$DD966,6),0)</f>
        <v/>
      </c>
      <c r="I966">
        <f>IFERROR(INDEX(PP_Grid[#Data],$DD966,7),0)</f>
        <v/>
      </c>
      <c r="J966">
        <f>IFERROR(INDEX(PP_Grid[#Data],$DD966,8),0)</f>
        <v/>
      </c>
      <c r="K966">
        <f>IFERROR(INDEX(PP_Grid[#Data],$DD966,9),0)</f>
        <v/>
      </c>
      <c r="L966">
        <f>IFERROR(INDEX(PP_Grid[#Data],$DD966,10),0)</f>
        <v/>
      </c>
      <c r="M966">
        <f>IFERROR(INDEX(PP_Grid[#Data],$DD966,11),0)</f>
        <v/>
      </c>
      <c r="N966">
        <f>IFERROR(INDEX(PP_Grid[#Data],$DD966,12),0)</f>
        <v/>
      </c>
      <c r="O966">
        <f>IFERROR(INDEX(PP_Grid[#Data],$DD966,13),0)</f>
        <v/>
      </c>
      <c r="P966">
        <f>IFERROR(INDEX(PP_Grid[#Data],$DD966,14),0)</f>
        <v/>
      </c>
      <c r="Q966">
        <f>IFERROR(INDEX(PP_Grid[#Data],$DD966,15),0)</f>
        <v/>
      </c>
      <c r="R966">
        <f>IFERROR(INDEX(PP_Grid[#Data],$DD966,16),0)</f>
        <v/>
      </c>
      <c r="S966">
        <f>IFERROR(INDEX(PP_Grid[#Data],$DD966,17),0)</f>
        <v/>
      </c>
      <c r="T966">
        <f>IFERROR(INDEX(PP_Grid[#Data],$DD966,18),0)</f>
        <v/>
      </c>
      <c r="U966">
        <f>IFERROR(INDEX(PP_Grid[#Data],$DD966,19),0)</f>
        <v/>
      </c>
      <c r="V966">
        <f>IFERROR(INDEX(PP_Grid[#Data],$DD966,20),0)</f>
        <v/>
      </c>
      <c r="W966">
        <f>IFERROR(INDEX(PP_Grid[#Data],$DD966,21),0)</f>
        <v/>
      </c>
      <c r="X966">
        <f>IFERROR(INDEX(PP_Grid[#Data],$DD966,22),0)</f>
        <v/>
      </c>
      <c r="Y966">
        <f>IFERROR(INDEX(PP_Grid[#Data],$DD966,23),0)</f>
        <v/>
      </c>
      <c r="Z966">
        <f>IFERROR(INDEX(PP_Grid[#Data],$DD966,24),0)</f>
        <v/>
      </c>
      <c r="AA966">
        <f>IFERROR(INDEX(PP_Grid[#Data],$DD966,25),0)</f>
        <v/>
      </c>
      <c r="AB966">
        <f>IFERROR(INDEX(PP_Grid[#Data],$DD966,26),0)</f>
        <v/>
      </c>
      <c r="AC966">
        <f>IFERROR(INDEX(PP_Grid[#Data],$DD966,27),0)</f>
        <v/>
      </c>
      <c r="AD966">
        <f>IFERROR(INDEX(PP_Grid[#Data],$DD966,28),0)</f>
        <v/>
      </c>
      <c r="AE966">
        <f>IFERROR(INDEX(PP_Grid[#Data],$DD966,29),0)</f>
        <v/>
      </c>
      <c r="AF966">
        <f>IFERROR(INDEX(PP_Grid[#Data],$DD966,30),0)</f>
        <v/>
      </c>
      <c r="AG966">
        <f>IFERROR(INDEX(PP_Grid[#Data],$DD966,31),0)</f>
        <v/>
      </c>
      <c r="AH966">
        <f>IFERROR(INDEX(PP_Grid[#Data],$DD966,32),0)</f>
        <v/>
      </c>
      <c r="AI966">
        <f>IFERROR(INDEX(PP_Grid[#Data],$DD966,33),0)</f>
        <v/>
      </c>
      <c r="AJ966">
        <f>IFERROR(INDEX(PP_Grid[#Data],$DD966,34),0)</f>
        <v/>
      </c>
      <c r="AK966">
        <f>IFERROR(INDEX(PP_Grid[#Data],$DD966,35),0)</f>
        <v/>
      </c>
      <c r="AL966">
        <f>IFERROR(INDEX(PP_Grid[#Data],$DD966,36),0)</f>
        <v/>
      </c>
      <c r="AM966">
        <f>IFERROR(INDEX(PP_Grid[#Data],$DD966,37),0)</f>
        <v/>
      </c>
      <c r="AN966">
        <f>IFERROR(INDEX(PP_Grid[#Data],$DD966,38),0)</f>
        <v/>
      </c>
      <c r="AO966">
        <f>IFERROR(INDEX(PP_Grid[#Data],$DD966,39),0)</f>
        <v/>
      </c>
      <c r="AP966">
        <f>IFERROR(INDEX(PP_Grid[#Data],$DD966,40),0)</f>
        <v/>
      </c>
      <c r="AQ966">
        <f>IFERROR(INDEX(PP_Grid[#Data],$DD966,41),0)</f>
        <v/>
      </c>
      <c r="AR966">
        <f>IFERROR(INDEX(PP_Grid[#Data],$DD966,42),0)</f>
        <v/>
      </c>
      <c r="AS966">
        <f>IFERROR(INDEX(PP_Grid[#Data],$DD966,43),0)</f>
        <v/>
      </c>
      <c r="AT966">
        <f>IFERROR(INDEX(PP_Grid[#Data],$DD966,44),0)</f>
        <v/>
      </c>
      <c r="AU966">
        <f>IFERROR(INDEX(PP_Grid[#Data],$DD966,45),0)</f>
        <v/>
      </c>
      <c r="AV966">
        <f>IFERROR(INDEX(PP_Grid[#Data],$DD966,46),0)</f>
        <v/>
      </c>
      <c r="AW966">
        <f>IFERROR(INDEX(PP_Grid[#Data],$DD966,47),0)</f>
        <v/>
      </c>
      <c r="AX966">
        <f>IFERROR(INDEX(PP_Grid[#Data],$DD966,48),0)</f>
        <v/>
      </c>
      <c r="AY966">
        <f>IFERROR(INDEX(PP_Grid[#Data],$DD966,49),0)</f>
        <v/>
      </c>
      <c r="AZ966">
        <f>IFERROR(INDEX(PP_Grid[#Data],$DD966,50),0)</f>
        <v/>
      </c>
      <c r="BA966">
        <f>IFERROR(INDEX(PP_Grid[#Data],$DD966,51),0)</f>
        <v/>
      </c>
      <c r="BB966">
        <f>IFERROR(INDEX(PP_Grid[#Data],$DD966,52),0)</f>
        <v/>
      </c>
      <c r="BC966">
        <f>IFERROR(INDEX(PP_Grid[#Data],$DD966,53),0)</f>
        <v/>
      </c>
      <c r="BD966">
        <f>IFERROR(INDEX(PP_Grid[#Data],$DD966,54),0)</f>
        <v/>
      </c>
      <c r="BE966">
        <f>IFERROR(INDEX(PP_Grid[#Data],$DD966,55),0)</f>
        <v/>
      </c>
      <c r="BF966">
        <f>IFERROR(INDEX(PP_Grid[#Data],$DD966,56),0)</f>
        <v/>
      </c>
      <c r="BG966">
        <f>IFERROR(INDEX(PP_Grid[#Data],$DD966,57),0)</f>
        <v/>
      </c>
      <c r="BH966">
        <f>IFERROR(INDEX(PP_Grid[#Data],$DD966,58),0)</f>
        <v/>
      </c>
      <c r="BI966">
        <f>IFERROR(INDEX(PP_Grid[#Data],$DD966,59),0)</f>
        <v/>
      </c>
      <c r="BJ966">
        <f>IFERROR(INDEX(PP_Grid[#Data],$DD966,60),0)</f>
        <v/>
      </c>
      <c r="BK966">
        <f>IFERROR(INDEX(PP_Grid[#Data],$DD966,61),0)</f>
        <v/>
      </c>
      <c r="BL966">
        <f>IFERROR(INDEX(PP_Grid[#Data],$DD966,62),0)</f>
        <v/>
      </c>
      <c r="BM966">
        <f>IFERROR(INDEX(PP_Grid[#Data],$DD966,63),0)</f>
        <v/>
      </c>
      <c r="BN966">
        <f>IFERROR(INDEX(PP_Grid[#Data],$DD966,64),0)</f>
        <v/>
      </c>
      <c r="BO966">
        <f>IFERROR(INDEX(PP_Grid[#Data],$DD966,65),0)</f>
        <v/>
      </c>
      <c r="BP966">
        <f>IFERROR(INDEX(PP_Grid[#Data],$DD966,66),0)</f>
        <v/>
      </c>
      <c r="BQ966">
        <f>IFERROR(INDEX(PP_Grid[#Data],$DD966,67),0)</f>
        <v/>
      </c>
      <c r="BR966">
        <f>IFERROR(INDEX(PP_Grid[#Data],$DD966,68),0)</f>
        <v/>
      </c>
      <c r="BS966">
        <f>IFERROR(INDEX(PP_Grid[#Data],$DD966,69),0)</f>
        <v/>
      </c>
      <c r="BT966">
        <f>IFERROR(INDEX(PP_Grid[#Data],$DD966,70),0)</f>
        <v/>
      </c>
      <c r="BU966">
        <f>IFERROR(INDEX(PP_Grid[#Data],$DD966,71),0)</f>
        <v/>
      </c>
      <c r="BV966">
        <f>IFERROR(INDEX(PP_Grid[#Data],$DD966,72),0)</f>
        <v/>
      </c>
      <c r="BW966">
        <f>IFERROR(INDEX(PP_Grid[#Data],$DD966,73),0)</f>
        <v/>
      </c>
      <c r="BX966">
        <f>IFERROR(INDEX(PP_Grid[#Data],$DD966,74),0)</f>
        <v/>
      </c>
      <c r="BY966">
        <f>IFERROR(INDEX(PP_Grid[#Data],$DD966,75),0)</f>
        <v/>
      </c>
      <c r="BZ966">
        <f>IFERROR(INDEX(PP_Grid[#Data],$DD966,76),0)</f>
        <v/>
      </c>
      <c r="CA966">
        <f>IFERROR(INDEX(PP_Grid[#Data],$DD966,77),0)</f>
        <v/>
      </c>
      <c r="CB966">
        <f>IFERROR(INDEX(PP_Grid[#Data],$DD966,78),0)</f>
        <v/>
      </c>
      <c r="CC966">
        <f>IFERROR(INDEX(PP_Grid[#Data],$DD966,79),0)</f>
        <v/>
      </c>
      <c r="CD966">
        <f>IFERROR(INDEX(PP_Grid[#Data],$DD966,80),0)</f>
        <v/>
      </c>
      <c r="CE966">
        <f>IFERROR(INDEX(PP_Grid[#Data],$DD966,81),0)</f>
        <v/>
      </c>
      <c r="CF966">
        <f>IFERROR(INDEX(PP_Grid[#Data],$DD966,82),0)</f>
        <v/>
      </c>
      <c r="CG966">
        <f>IFERROR(INDEX(PP_Grid[#Data],$DD966,83),0)</f>
        <v/>
      </c>
      <c r="CH966">
        <f>IFERROR(INDEX(PP_Grid[#Data],$DD966,84),0)</f>
        <v/>
      </c>
      <c r="CI966">
        <f>IFERROR(INDEX(PP_Grid[#Data],$DD966,85),0)</f>
        <v/>
      </c>
      <c r="CJ966">
        <f>IFERROR(INDEX(PP_Grid[#Data],$DD966,86),0)</f>
        <v/>
      </c>
      <c r="CK966">
        <f>IFERROR(INDEX(PP_Grid[#Data],$DD966,87),0)</f>
        <v/>
      </c>
      <c r="CL966">
        <f>IFERROR(INDEX(PP_Grid[#Data],$DD966,88),0)</f>
        <v/>
      </c>
      <c r="CM966">
        <f>IFERROR(INDEX(PP_Grid[#Data],$DD966,89),0)</f>
        <v/>
      </c>
      <c r="CN966">
        <f>IFERROR(INDEX(PP_Grid[#Data],$DD966,90),0)</f>
        <v/>
      </c>
      <c r="CO966">
        <f>IFERROR(INDEX(PP_Grid[#Data],$DD966,91),0)</f>
        <v/>
      </c>
      <c r="CP966">
        <f>IFERROR(INDEX(PP_Grid[#Data],$DD966,92),0)</f>
        <v/>
      </c>
      <c r="CQ966">
        <f>IFERROR(INDEX(PP_Grid[#Data],$DD966,93),0)</f>
        <v/>
      </c>
      <c r="CR966">
        <f>IFERROR(INDEX(PP_Grid[#Data],$DD966,94),0)</f>
        <v/>
      </c>
      <c r="CS966">
        <f>IFERROR(INDEX(PP_Grid[#Data],$DD966,95),0)</f>
        <v/>
      </c>
      <c r="CT966">
        <f>IFERROR(INDEX(PP_Grid[#Data],$DD966,96),0)</f>
        <v/>
      </c>
      <c r="CU966">
        <f>IFERROR(INDEX(PP_Grid[#Data],$DD966,97),0)</f>
        <v/>
      </c>
      <c r="CV966">
        <f>IFERROR(INDEX(PP_Grid[#Data],$DD966,98),0)</f>
        <v/>
      </c>
      <c r="CW966">
        <f>IFERROR(INDEX(PP_Grid[#Data],$DD966,99),0)</f>
        <v/>
      </c>
      <c r="CX966">
        <f>IFERROR(INDEX(PP_Grid[#Data],$DD966,100),0)</f>
        <v/>
      </c>
      <c r="CY966">
        <f>IFERROR(INDEX(PP_Grid[#Data],$DD966,101),0)</f>
        <v/>
      </c>
      <c r="CZ966">
        <f>IFERROR(INDEX(PP_Grid[#Data],$DD966,102),0)</f>
        <v/>
      </c>
      <c r="DA966">
        <f>IFERROR(INDEX(PP_Grid[#Data],$DD966,103),0)</f>
        <v/>
      </c>
      <c r="DB966">
        <f>IFERROR(INDEX(PP_Grid[#Data],$DD966,104),0)</f>
        <v/>
      </c>
      <c r="DC966">
        <f>IFERROR(INDEX(PP_Grid[#Data],$DD966,105),0)</f>
        <v/>
      </c>
      <c r="DD966" s="12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SUMIFS(M_BOM[RM_Qty_Per_Batch],M_BOM[Intermediate],$B966,M_BOM[Part Name],$A953)</f>
        <v/>
      </c>
      <c r="D967">
        <f>$C967*D966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</row>
    <row r="968">
      <c r="B968" t="inlineStr">
        <is>
          <t>TSP-655</t>
        </is>
      </c>
      <c r="C968" t="inlineStr">
        <is>
          <t>No. of batches</t>
        </is>
      </c>
      <c r="D968">
        <f>IFERROR(INDEX(PP_Grid[#Data],$DD968,2),0)</f>
        <v/>
      </c>
      <c r="E968">
        <f>IFERROR(INDEX(PP_Grid[#Data],$DD968,3),0)</f>
        <v/>
      </c>
      <c r="F968">
        <f>IFERROR(INDEX(PP_Grid[#Data],$DD968,4),0)</f>
        <v/>
      </c>
      <c r="G968">
        <f>IFERROR(INDEX(PP_Grid[#Data],$DD968,5),0)</f>
        <v/>
      </c>
      <c r="H968">
        <f>IFERROR(INDEX(PP_Grid[#Data],$DD968,6),0)</f>
        <v/>
      </c>
      <c r="I968">
        <f>IFERROR(INDEX(PP_Grid[#Data],$DD968,7),0)</f>
        <v/>
      </c>
      <c r="J968">
        <f>IFERROR(INDEX(PP_Grid[#Data],$DD968,8),0)</f>
        <v/>
      </c>
      <c r="K968">
        <f>IFERROR(INDEX(PP_Grid[#Data],$DD968,9),0)</f>
        <v/>
      </c>
      <c r="L968">
        <f>IFERROR(INDEX(PP_Grid[#Data],$DD968,10),0)</f>
        <v/>
      </c>
      <c r="M968">
        <f>IFERROR(INDEX(PP_Grid[#Data],$DD968,11),0)</f>
        <v/>
      </c>
      <c r="N968">
        <f>IFERROR(INDEX(PP_Grid[#Data],$DD968,12),0)</f>
        <v/>
      </c>
      <c r="O968">
        <f>IFERROR(INDEX(PP_Grid[#Data],$DD968,13),0)</f>
        <v/>
      </c>
      <c r="P968">
        <f>IFERROR(INDEX(PP_Grid[#Data],$DD968,14),0)</f>
        <v/>
      </c>
      <c r="Q968">
        <f>IFERROR(INDEX(PP_Grid[#Data],$DD968,15),0)</f>
        <v/>
      </c>
      <c r="R968">
        <f>IFERROR(INDEX(PP_Grid[#Data],$DD968,16),0)</f>
        <v/>
      </c>
      <c r="S968">
        <f>IFERROR(INDEX(PP_Grid[#Data],$DD968,17),0)</f>
        <v/>
      </c>
      <c r="T968">
        <f>IFERROR(INDEX(PP_Grid[#Data],$DD968,18),0)</f>
        <v/>
      </c>
      <c r="U968">
        <f>IFERROR(INDEX(PP_Grid[#Data],$DD968,19),0)</f>
        <v/>
      </c>
      <c r="V968">
        <f>IFERROR(INDEX(PP_Grid[#Data],$DD968,20),0)</f>
        <v/>
      </c>
      <c r="W968">
        <f>IFERROR(INDEX(PP_Grid[#Data],$DD968,21),0)</f>
        <v/>
      </c>
      <c r="X968">
        <f>IFERROR(INDEX(PP_Grid[#Data],$DD968,22),0)</f>
        <v/>
      </c>
      <c r="Y968">
        <f>IFERROR(INDEX(PP_Grid[#Data],$DD968,23),0)</f>
        <v/>
      </c>
      <c r="Z968">
        <f>IFERROR(INDEX(PP_Grid[#Data],$DD968,24),0)</f>
        <v/>
      </c>
      <c r="AA968">
        <f>IFERROR(INDEX(PP_Grid[#Data],$DD968,25),0)</f>
        <v/>
      </c>
      <c r="AB968">
        <f>IFERROR(INDEX(PP_Grid[#Data],$DD968,26),0)</f>
        <v/>
      </c>
      <c r="AC968">
        <f>IFERROR(INDEX(PP_Grid[#Data],$DD968,27),0)</f>
        <v/>
      </c>
      <c r="AD968">
        <f>IFERROR(INDEX(PP_Grid[#Data],$DD968,28),0)</f>
        <v/>
      </c>
      <c r="AE968">
        <f>IFERROR(INDEX(PP_Grid[#Data],$DD968,29),0)</f>
        <v/>
      </c>
      <c r="AF968">
        <f>IFERROR(INDEX(PP_Grid[#Data],$DD968,30),0)</f>
        <v/>
      </c>
      <c r="AG968">
        <f>IFERROR(INDEX(PP_Grid[#Data],$DD968,31),0)</f>
        <v/>
      </c>
      <c r="AH968">
        <f>IFERROR(INDEX(PP_Grid[#Data],$DD968,32),0)</f>
        <v/>
      </c>
      <c r="AI968">
        <f>IFERROR(INDEX(PP_Grid[#Data],$DD968,33),0)</f>
        <v/>
      </c>
      <c r="AJ968">
        <f>IFERROR(INDEX(PP_Grid[#Data],$DD968,34),0)</f>
        <v/>
      </c>
      <c r="AK968">
        <f>IFERROR(INDEX(PP_Grid[#Data],$DD968,35),0)</f>
        <v/>
      </c>
      <c r="AL968">
        <f>IFERROR(INDEX(PP_Grid[#Data],$DD968,36),0)</f>
        <v/>
      </c>
      <c r="AM968">
        <f>IFERROR(INDEX(PP_Grid[#Data],$DD968,37),0)</f>
        <v/>
      </c>
      <c r="AN968">
        <f>IFERROR(INDEX(PP_Grid[#Data],$DD968,38),0)</f>
        <v/>
      </c>
      <c r="AO968">
        <f>IFERROR(INDEX(PP_Grid[#Data],$DD968,39),0)</f>
        <v/>
      </c>
      <c r="AP968">
        <f>IFERROR(INDEX(PP_Grid[#Data],$DD968,40),0)</f>
        <v/>
      </c>
      <c r="AQ968">
        <f>IFERROR(INDEX(PP_Grid[#Data],$DD968,41),0)</f>
        <v/>
      </c>
      <c r="AR968">
        <f>IFERROR(INDEX(PP_Grid[#Data],$DD968,42),0)</f>
        <v/>
      </c>
      <c r="AS968">
        <f>IFERROR(INDEX(PP_Grid[#Data],$DD968,43),0)</f>
        <v/>
      </c>
      <c r="AT968">
        <f>IFERROR(INDEX(PP_Grid[#Data],$DD968,44),0)</f>
        <v/>
      </c>
      <c r="AU968">
        <f>IFERROR(INDEX(PP_Grid[#Data],$DD968,45),0)</f>
        <v/>
      </c>
      <c r="AV968">
        <f>IFERROR(INDEX(PP_Grid[#Data],$DD968,46),0)</f>
        <v/>
      </c>
      <c r="AW968">
        <f>IFERROR(INDEX(PP_Grid[#Data],$DD968,47),0)</f>
        <v/>
      </c>
      <c r="AX968">
        <f>IFERROR(INDEX(PP_Grid[#Data],$DD968,48),0)</f>
        <v/>
      </c>
      <c r="AY968">
        <f>IFERROR(INDEX(PP_Grid[#Data],$DD968,49),0)</f>
        <v/>
      </c>
      <c r="AZ968">
        <f>IFERROR(INDEX(PP_Grid[#Data],$DD968,50),0)</f>
        <v/>
      </c>
      <c r="BA968">
        <f>IFERROR(INDEX(PP_Grid[#Data],$DD968,51),0)</f>
        <v/>
      </c>
      <c r="BB968">
        <f>IFERROR(INDEX(PP_Grid[#Data],$DD968,52),0)</f>
        <v/>
      </c>
      <c r="BC968">
        <f>IFERROR(INDEX(PP_Grid[#Data],$DD968,53),0)</f>
        <v/>
      </c>
      <c r="BD968">
        <f>IFERROR(INDEX(PP_Grid[#Data],$DD968,54),0)</f>
        <v/>
      </c>
      <c r="BE968">
        <f>IFERROR(INDEX(PP_Grid[#Data],$DD968,55),0)</f>
        <v/>
      </c>
      <c r="BF968">
        <f>IFERROR(INDEX(PP_Grid[#Data],$DD968,56),0)</f>
        <v/>
      </c>
      <c r="BG968">
        <f>IFERROR(INDEX(PP_Grid[#Data],$DD968,57),0)</f>
        <v/>
      </c>
      <c r="BH968">
        <f>IFERROR(INDEX(PP_Grid[#Data],$DD968,58),0)</f>
        <v/>
      </c>
      <c r="BI968">
        <f>IFERROR(INDEX(PP_Grid[#Data],$DD968,59),0)</f>
        <v/>
      </c>
      <c r="BJ968">
        <f>IFERROR(INDEX(PP_Grid[#Data],$DD968,60),0)</f>
        <v/>
      </c>
      <c r="BK968">
        <f>IFERROR(INDEX(PP_Grid[#Data],$DD968,61),0)</f>
        <v/>
      </c>
      <c r="BL968">
        <f>IFERROR(INDEX(PP_Grid[#Data],$DD968,62),0)</f>
        <v/>
      </c>
      <c r="BM968">
        <f>IFERROR(INDEX(PP_Grid[#Data],$DD968,63),0)</f>
        <v/>
      </c>
      <c r="BN968">
        <f>IFERROR(INDEX(PP_Grid[#Data],$DD968,64),0)</f>
        <v/>
      </c>
      <c r="BO968">
        <f>IFERROR(INDEX(PP_Grid[#Data],$DD968,65),0)</f>
        <v/>
      </c>
      <c r="BP968">
        <f>IFERROR(INDEX(PP_Grid[#Data],$DD968,66),0)</f>
        <v/>
      </c>
      <c r="BQ968">
        <f>IFERROR(INDEX(PP_Grid[#Data],$DD968,67),0)</f>
        <v/>
      </c>
      <c r="BR968">
        <f>IFERROR(INDEX(PP_Grid[#Data],$DD968,68),0)</f>
        <v/>
      </c>
      <c r="BS968">
        <f>IFERROR(INDEX(PP_Grid[#Data],$DD968,69),0)</f>
        <v/>
      </c>
      <c r="BT968">
        <f>IFERROR(INDEX(PP_Grid[#Data],$DD968,70),0)</f>
        <v/>
      </c>
      <c r="BU968">
        <f>IFERROR(INDEX(PP_Grid[#Data],$DD968,71),0)</f>
        <v/>
      </c>
      <c r="BV968">
        <f>IFERROR(INDEX(PP_Grid[#Data],$DD968,72),0)</f>
        <v/>
      </c>
      <c r="BW968">
        <f>IFERROR(INDEX(PP_Grid[#Data],$DD968,73),0)</f>
        <v/>
      </c>
      <c r="BX968">
        <f>IFERROR(INDEX(PP_Grid[#Data],$DD968,74),0)</f>
        <v/>
      </c>
      <c r="BY968">
        <f>IFERROR(INDEX(PP_Grid[#Data],$DD968,75),0)</f>
        <v/>
      </c>
      <c r="BZ968">
        <f>IFERROR(INDEX(PP_Grid[#Data],$DD968,76),0)</f>
        <v/>
      </c>
      <c r="CA968">
        <f>IFERROR(INDEX(PP_Grid[#Data],$DD968,77),0)</f>
        <v/>
      </c>
      <c r="CB968">
        <f>IFERROR(INDEX(PP_Grid[#Data],$DD968,78),0)</f>
        <v/>
      </c>
      <c r="CC968">
        <f>IFERROR(INDEX(PP_Grid[#Data],$DD968,79),0)</f>
        <v/>
      </c>
      <c r="CD968">
        <f>IFERROR(INDEX(PP_Grid[#Data],$DD968,80),0)</f>
        <v/>
      </c>
      <c r="CE968">
        <f>IFERROR(INDEX(PP_Grid[#Data],$DD968,81),0)</f>
        <v/>
      </c>
      <c r="CF968">
        <f>IFERROR(INDEX(PP_Grid[#Data],$DD968,82),0)</f>
        <v/>
      </c>
      <c r="CG968">
        <f>IFERROR(INDEX(PP_Grid[#Data],$DD968,83),0)</f>
        <v/>
      </c>
      <c r="CH968">
        <f>IFERROR(INDEX(PP_Grid[#Data],$DD968,84),0)</f>
        <v/>
      </c>
      <c r="CI968">
        <f>IFERROR(INDEX(PP_Grid[#Data],$DD968,85),0)</f>
        <v/>
      </c>
      <c r="CJ968">
        <f>IFERROR(INDEX(PP_Grid[#Data],$DD968,86),0)</f>
        <v/>
      </c>
      <c r="CK968">
        <f>IFERROR(INDEX(PP_Grid[#Data],$DD968,87),0)</f>
        <v/>
      </c>
      <c r="CL968">
        <f>IFERROR(INDEX(PP_Grid[#Data],$DD968,88),0)</f>
        <v/>
      </c>
      <c r="CM968">
        <f>IFERROR(INDEX(PP_Grid[#Data],$DD968,89),0)</f>
        <v/>
      </c>
      <c r="CN968">
        <f>IFERROR(INDEX(PP_Grid[#Data],$DD968,90),0)</f>
        <v/>
      </c>
      <c r="CO968">
        <f>IFERROR(INDEX(PP_Grid[#Data],$DD968,91),0)</f>
        <v/>
      </c>
      <c r="CP968">
        <f>IFERROR(INDEX(PP_Grid[#Data],$DD968,92),0)</f>
        <v/>
      </c>
      <c r="CQ968">
        <f>IFERROR(INDEX(PP_Grid[#Data],$DD968,93),0)</f>
        <v/>
      </c>
      <c r="CR968">
        <f>IFERROR(INDEX(PP_Grid[#Data],$DD968,94),0)</f>
        <v/>
      </c>
      <c r="CS968">
        <f>IFERROR(INDEX(PP_Grid[#Data],$DD968,95),0)</f>
        <v/>
      </c>
      <c r="CT968">
        <f>IFERROR(INDEX(PP_Grid[#Data],$DD968,96),0)</f>
        <v/>
      </c>
      <c r="CU968">
        <f>IFERROR(INDEX(PP_Grid[#Data],$DD968,97),0)</f>
        <v/>
      </c>
      <c r="CV968">
        <f>IFERROR(INDEX(PP_Grid[#Data],$DD968,98),0)</f>
        <v/>
      </c>
      <c r="CW968">
        <f>IFERROR(INDEX(PP_Grid[#Data],$DD968,99),0)</f>
        <v/>
      </c>
      <c r="CX968">
        <f>IFERROR(INDEX(PP_Grid[#Data],$DD968,100),0)</f>
        <v/>
      </c>
      <c r="CY968">
        <f>IFERROR(INDEX(PP_Grid[#Data],$DD968,101),0)</f>
        <v/>
      </c>
      <c r="CZ968">
        <f>IFERROR(INDEX(PP_Grid[#Data],$DD968,102),0)</f>
        <v/>
      </c>
      <c r="DA968">
        <f>IFERROR(INDEX(PP_Grid[#Data],$DD968,103),0)</f>
        <v/>
      </c>
      <c r="DB968">
        <f>IFERROR(INDEX(PP_Grid[#Data],$DD968,104),0)</f>
        <v/>
      </c>
      <c r="DC968">
        <f>IFERROR(INDEX(PP_Grid[#Data],$DD968,105),0)</f>
        <v/>
      </c>
      <c r="DD968" s="12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SUMIFS(M_BOM[RM_Qty_Per_Batch],M_BOM[Intermediate],$B968,M_BOM[Part Name],$A953)</f>
        <v/>
      </c>
      <c r="D969">
        <f>$C969*D968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</row>
    <row r="970">
      <c r="B970" t="inlineStr">
        <is>
          <t>TSP-656</t>
        </is>
      </c>
      <c r="C970" t="inlineStr">
        <is>
          <t>No. of batches</t>
        </is>
      </c>
      <c r="D970">
        <f>IFERROR(INDEX(PP_Grid[#Data],$DD970,2),0)</f>
        <v/>
      </c>
      <c r="E970">
        <f>IFERROR(INDEX(PP_Grid[#Data],$DD970,3),0)</f>
        <v/>
      </c>
      <c r="F970">
        <f>IFERROR(INDEX(PP_Grid[#Data],$DD970,4),0)</f>
        <v/>
      </c>
      <c r="G970">
        <f>IFERROR(INDEX(PP_Grid[#Data],$DD970,5),0)</f>
        <v/>
      </c>
      <c r="H970">
        <f>IFERROR(INDEX(PP_Grid[#Data],$DD970,6),0)</f>
        <v/>
      </c>
      <c r="I970">
        <f>IFERROR(INDEX(PP_Grid[#Data],$DD970,7),0)</f>
        <v/>
      </c>
      <c r="J970">
        <f>IFERROR(INDEX(PP_Grid[#Data],$DD970,8),0)</f>
        <v/>
      </c>
      <c r="K970">
        <f>IFERROR(INDEX(PP_Grid[#Data],$DD970,9),0)</f>
        <v/>
      </c>
      <c r="L970">
        <f>IFERROR(INDEX(PP_Grid[#Data],$DD970,10),0)</f>
        <v/>
      </c>
      <c r="M970">
        <f>IFERROR(INDEX(PP_Grid[#Data],$DD970,11),0)</f>
        <v/>
      </c>
      <c r="N970">
        <f>IFERROR(INDEX(PP_Grid[#Data],$DD970,12),0)</f>
        <v/>
      </c>
      <c r="O970">
        <f>IFERROR(INDEX(PP_Grid[#Data],$DD970,13),0)</f>
        <v/>
      </c>
      <c r="P970">
        <f>IFERROR(INDEX(PP_Grid[#Data],$DD970,14),0)</f>
        <v/>
      </c>
      <c r="Q970">
        <f>IFERROR(INDEX(PP_Grid[#Data],$DD970,15),0)</f>
        <v/>
      </c>
      <c r="R970">
        <f>IFERROR(INDEX(PP_Grid[#Data],$DD970,16),0)</f>
        <v/>
      </c>
      <c r="S970">
        <f>IFERROR(INDEX(PP_Grid[#Data],$DD970,17),0)</f>
        <v/>
      </c>
      <c r="T970">
        <f>IFERROR(INDEX(PP_Grid[#Data],$DD970,18),0)</f>
        <v/>
      </c>
      <c r="U970">
        <f>IFERROR(INDEX(PP_Grid[#Data],$DD970,19),0)</f>
        <v/>
      </c>
      <c r="V970">
        <f>IFERROR(INDEX(PP_Grid[#Data],$DD970,20),0)</f>
        <v/>
      </c>
      <c r="W970">
        <f>IFERROR(INDEX(PP_Grid[#Data],$DD970,21),0)</f>
        <v/>
      </c>
      <c r="X970">
        <f>IFERROR(INDEX(PP_Grid[#Data],$DD970,22),0)</f>
        <v/>
      </c>
      <c r="Y970">
        <f>IFERROR(INDEX(PP_Grid[#Data],$DD970,23),0)</f>
        <v/>
      </c>
      <c r="Z970">
        <f>IFERROR(INDEX(PP_Grid[#Data],$DD970,24),0)</f>
        <v/>
      </c>
      <c r="AA970">
        <f>IFERROR(INDEX(PP_Grid[#Data],$DD970,25),0)</f>
        <v/>
      </c>
      <c r="AB970">
        <f>IFERROR(INDEX(PP_Grid[#Data],$DD970,26),0)</f>
        <v/>
      </c>
      <c r="AC970">
        <f>IFERROR(INDEX(PP_Grid[#Data],$DD970,27),0)</f>
        <v/>
      </c>
      <c r="AD970">
        <f>IFERROR(INDEX(PP_Grid[#Data],$DD970,28),0)</f>
        <v/>
      </c>
      <c r="AE970">
        <f>IFERROR(INDEX(PP_Grid[#Data],$DD970,29),0)</f>
        <v/>
      </c>
      <c r="AF970">
        <f>IFERROR(INDEX(PP_Grid[#Data],$DD970,30),0)</f>
        <v/>
      </c>
      <c r="AG970">
        <f>IFERROR(INDEX(PP_Grid[#Data],$DD970,31),0)</f>
        <v/>
      </c>
      <c r="AH970">
        <f>IFERROR(INDEX(PP_Grid[#Data],$DD970,32),0)</f>
        <v/>
      </c>
      <c r="AI970">
        <f>IFERROR(INDEX(PP_Grid[#Data],$DD970,33),0)</f>
        <v/>
      </c>
      <c r="AJ970">
        <f>IFERROR(INDEX(PP_Grid[#Data],$DD970,34),0)</f>
        <v/>
      </c>
      <c r="AK970">
        <f>IFERROR(INDEX(PP_Grid[#Data],$DD970,35),0)</f>
        <v/>
      </c>
      <c r="AL970">
        <f>IFERROR(INDEX(PP_Grid[#Data],$DD970,36),0)</f>
        <v/>
      </c>
      <c r="AM970">
        <f>IFERROR(INDEX(PP_Grid[#Data],$DD970,37),0)</f>
        <v/>
      </c>
      <c r="AN970">
        <f>IFERROR(INDEX(PP_Grid[#Data],$DD970,38),0)</f>
        <v/>
      </c>
      <c r="AO970">
        <f>IFERROR(INDEX(PP_Grid[#Data],$DD970,39),0)</f>
        <v/>
      </c>
      <c r="AP970">
        <f>IFERROR(INDEX(PP_Grid[#Data],$DD970,40),0)</f>
        <v/>
      </c>
      <c r="AQ970">
        <f>IFERROR(INDEX(PP_Grid[#Data],$DD970,41),0)</f>
        <v/>
      </c>
      <c r="AR970">
        <f>IFERROR(INDEX(PP_Grid[#Data],$DD970,42),0)</f>
        <v/>
      </c>
      <c r="AS970">
        <f>IFERROR(INDEX(PP_Grid[#Data],$DD970,43),0)</f>
        <v/>
      </c>
      <c r="AT970">
        <f>IFERROR(INDEX(PP_Grid[#Data],$DD970,44),0)</f>
        <v/>
      </c>
      <c r="AU970">
        <f>IFERROR(INDEX(PP_Grid[#Data],$DD970,45),0)</f>
        <v/>
      </c>
      <c r="AV970">
        <f>IFERROR(INDEX(PP_Grid[#Data],$DD970,46),0)</f>
        <v/>
      </c>
      <c r="AW970">
        <f>IFERROR(INDEX(PP_Grid[#Data],$DD970,47),0)</f>
        <v/>
      </c>
      <c r="AX970">
        <f>IFERROR(INDEX(PP_Grid[#Data],$DD970,48),0)</f>
        <v/>
      </c>
      <c r="AY970">
        <f>IFERROR(INDEX(PP_Grid[#Data],$DD970,49),0)</f>
        <v/>
      </c>
      <c r="AZ970">
        <f>IFERROR(INDEX(PP_Grid[#Data],$DD970,50),0)</f>
        <v/>
      </c>
      <c r="BA970">
        <f>IFERROR(INDEX(PP_Grid[#Data],$DD970,51),0)</f>
        <v/>
      </c>
      <c r="BB970">
        <f>IFERROR(INDEX(PP_Grid[#Data],$DD970,52),0)</f>
        <v/>
      </c>
      <c r="BC970">
        <f>IFERROR(INDEX(PP_Grid[#Data],$DD970,53),0)</f>
        <v/>
      </c>
      <c r="BD970">
        <f>IFERROR(INDEX(PP_Grid[#Data],$DD970,54),0)</f>
        <v/>
      </c>
      <c r="BE970">
        <f>IFERROR(INDEX(PP_Grid[#Data],$DD970,55),0)</f>
        <v/>
      </c>
      <c r="BF970">
        <f>IFERROR(INDEX(PP_Grid[#Data],$DD970,56),0)</f>
        <v/>
      </c>
      <c r="BG970">
        <f>IFERROR(INDEX(PP_Grid[#Data],$DD970,57),0)</f>
        <v/>
      </c>
      <c r="BH970">
        <f>IFERROR(INDEX(PP_Grid[#Data],$DD970,58),0)</f>
        <v/>
      </c>
      <c r="BI970">
        <f>IFERROR(INDEX(PP_Grid[#Data],$DD970,59),0)</f>
        <v/>
      </c>
      <c r="BJ970">
        <f>IFERROR(INDEX(PP_Grid[#Data],$DD970,60),0)</f>
        <v/>
      </c>
      <c r="BK970">
        <f>IFERROR(INDEX(PP_Grid[#Data],$DD970,61),0)</f>
        <v/>
      </c>
      <c r="BL970">
        <f>IFERROR(INDEX(PP_Grid[#Data],$DD970,62),0)</f>
        <v/>
      </c>
      <c r="BM970">
        <f>IFERROR(INDEX(PP_Grid[#Data],$DD970,63),0)</f>
        <v/>
      </c>
      <c r="BN970">
        <f>IFERROR(INDEX(PP_Grid[#Data],$DD970,64),0)</f>
        <v/>
      </c>
      <c r="BO970">
        <f>IFERROR(INDEX(PP_Grid[#Data],$DD970,65),0)</f>
        <v/>
      </c>
      <c r="BP970">
        <f>IFERROR(INDEX(PP_Grid[#Data],$DD970,66),0)</f>
        <v/>
      </c>
      <c r="BQ970">
        <f>IFERROR(INDEX(PP_Grid[#Data],$DD970,67),0)</f>
        <v/>
      </c>
      <c r="BR970">
        <f>IFERROR(INDEX(PP_Grid[#Data],$DD970,68),0)</f>
        <v/>
      </c>
      <c r="BS970">
        <f>IFERROR(INDEX(PP_Grid[#Data],$DD970,69),0)</f>
        <v/>
      </c>
      <c r="BT970">
        <f>IFERROR(INDEX(PP_Grid[#Data],$DD970,70),0)</f>
        <v/>
      </c>
      <c r="BU970">
        <f>IFERROR(INDEX(PP_Grid[#Data],$DD970,71),0)</f>
        <v/>
      </c>
      <c r="BV970">
        <f>IFERROR(INDEX(PP_Grid[#Data],$DD970,72),0)</f>
        <v/>
      </c>
      <c r="BW970">
        <f>IFERROR(INDEX(PP_Grid[#Data],$DD970,73),0)</f>
        <v/>
      </c>
      <c r="BX970">
        <f>IFERROR(INDEX(PP_Grid[#Data],$DD970,74),0)</f>
        <v/>
      </c>
      <c r="BY970">
        <f>IFERROR(INDEX(PP_Grid[#Data],$DD970,75),0)</f>
        <v/>
      </c>
      <c r="BZ970">
        <f>IFERROR(INDEX(PP_Grid[#Data],$DD970,76),0)</f>
        <v/>
      </c>
      <c r="CA970">
        <f>IFERROR(INDEX(PP_Grid[#Data],$DD970,77),0)</f>
        <v/>
      </c>
      <c r="CB970">
        <f>IFERROR(INDEX(PP_Grid[#Data],$DD970,78),0)</f>
        <v/>
      </c>
      <c r="CC970">
        <f>IFERROR(INDEX(PP_Grid[#Data],$DD970,79),0)</f>
        <v/>
      </c>
      <c r="CD970">
        <f>IFERROR(INDEX(PP_Grid[#Data],$DD970,80),0)</f>
        <v/>
      </c>
      <c r="CE970">
        <f>IFERROR(INDEX(PP_Grid[#Data],$DD970,81),0)</f>
        <v/>
      </c>
      <c r="CF970">
        <f>IFERROR(INDEX(PP_Grid[#Data],$DD970,82),0)</f>
        <v/>
      </c>
      <c r="CG970">
        <f>IFERROR(INDEX(PP_Grid[#Data],$DD970,83),0)</f>
        <v/>
      </c>
      <c r="CH970">
        <f>IFERROR(INDEX(PP_Grid[#Data],$DD970,84),0)</f>
        <v/>
      </c>
      <c r="CI970">
        <f>IFERROR(INDEX(PP_Grid[#Data],$DD970,85),0)</f>
        <v/>
      </c>
      <c r="CJ970">
        <f>IFERROR(INDEX(PP_Grid[#Data],$DD970,86),0)</f>
        <v/>
      </c>
      <c r="CK970">
        <f>IFERROR(INDEX(PP_Grid[#Data],$DD970,87),0)</f>
        <v/>
      </c>
      <c r="CL970">
        <f>IFERROR(INDEX(PP_Grid[#Data],$DD970,88),0)</f>
        <v/>
      </c>
      <c r="CM970">
        <f>IFERROR(INDEX(PP_Grid[#Data],$DD970,89),0)</f>
        <v/>
      </c>
      <c r="CN970">
        <f>IFERROR(INDEX(PP_Grid[#Data],$DD970,90),0)</f>
        <v/>
      </c>
      <c r="CO970">
        <f>IFERROR(INDEX(PP_Grid[#Data],$DD970,91),0)</f>
        <v/>
      </c>
      <c r="CP970">
        <f>IFERROR(INDEX(PP_Grid[#Data],$DD970,92),0)</f>
        <v/>
      </c>
      <c r="CQ970">
        <f>IFERROR(INDEX(PP_Grid[#Data],$DD970,93),0)</f>
        <v/>
      </c>
      <c r="CR970">
        <f>IFERROR(INDEX(PP_Grid[#Data],$DD970,94),0)</f>
        <v/>
      </c>
      <c r="CS970">
        <f>IFERROR(INDEX(PP_Grid[#Data],$DD970,95),0)</f>
        <v/>
      </c>
      <c r="CT970">
        <f>IFERROR(INDEX(PP_Grid[#Data],$DD970,96),0)</f>
        <v/>
      </c>
      <c r="CU970">
        <f>IFERROR(INDEX(PP_Grid[#Data],$DD970,97),0)</f>
        <v/>
      </c>
      <c r="CV970">
        <f>IFERROR(INDEX(PP_Grid[#Data],$DD970,98),0)</f>
        <v/>
      </c>
      <c r="CW970">
        <f>IFERROR(INDEX(PP_Grid[#Data],$DD970,99),0)</f>
        <v/>
      </c>
      <c r="CX970">
        <f>IFERROR(INDEX(PP_Grid[#Data],$DD970,100),0)</f>
        <v/>
      </c>
      <c r="CY970">
        <f>IFERROR(INDEX(PP_Grid[#Data],$DD970,101),0)</f>
        <v/>
      </c>
      <c r="CZ970">
        <f>IFERROR(INDEX(PP_Grid[#Data],$DD970,102),0)</f>
        <v/>
      </c>
      <c r="DA970">
        <f>IFERROR(INDEX(PP_Grid[#Data],$DD970,103),0)</f>
        <v/>
      </c>
      <c r="DB970">
        <f>IFERROR(INDEX(PP_Grid[#Data],$DD970,104),0)</f>
        <v/>
      </c>
      <c r="DC970">
        <f>IFERROR(INDEX(PP_Grid[#Data],$DD970,105),0)</f>
        <v/>
      </c>
      <c r="DD970" s="12">
        <f>IFERROR(MATCH($B970,PP_Grid[Intermediate],0),99999)</f>
        <v/>
      </c>
    </row>
    <row r="971">
      <c r="B971" t="inlineStr">
        <is>
          <t>使用量(kg)</t>
        </is>
      </c>
      <c r="C971">
        <f>SUMIFS(M_BOM[RM_Qty_Per_Batch],M_BOM[Intermediate],$B970,M_BOM[Part Name],$A953)</f>
        <v/>
      </c>
      <c r="D971">
        <f>$C971*D970</f>
        <v/>
      </c>
      <c r="E971">
        <f>$C971*E970</f>
        <v/>
      </c>
      <c r="F971">
        <f>$C971*F970</f>
        <v/>
      </c>
      <c r="G971">
        <f>$C971*G970</f>
        <v/>
      </c>
      <c r="H971">
        <f>$C971*H970</f>
        <v/>
      </c>
      <c r="I971">
        <f>$C971*I970</f>
        <v/>
      </c>
      <c r="J971">
        <f>$C971*J970</f>
        <v/>
      </c>
      <c r="K971">
        <f>$C971*K970</f>
        <v/>
      </c>
      <c r="L971">
        <f>$C971*L970</f>
        <v/>
      </c>
      <c r="M971">
        <f>$C971*M970</f>
        <v/>
      </c>
      <c r="N971">
        <f>$C971*N970</f>
        <v/>
      </c>
      <c r="O971">
        <f>$C971*O970</f>
        <v/>
      </c>
      <c r="P971">
        <f>$C971*P970</f>
        <v/>
      </c>
      <c r="Q971">
        <f>$C971*Q970</f>
        <v/>
      </c>
      <c r="R971">
        <f>$C971*R970</f>
        <v/>
      </c>
      <c r="S971">
        <f>$C971*S970</f>
        <v/>
      </c>
      <c r="T971">
        <f>$C971*T970</f>
        <v/>
      </c>
      <c r="U971">
        <f>$C971*U970</f>
        <v/>
      </c>
      <c r="V971">
        <f>$C971*V970</f>
        <v/>
      </c>
      <c r="W971">
        <f>$C971*W970</f>
        <v/>
      </c>
      <c r="X971">
        <f>$C971*X970</f>
        <v/>
      </c>
      <c r="Y971">
        <f>$C971*Y970</f>
        <v/>
      </c>
      <c r="Z971">
        <f>$C971*Z970</f>
        <v/>
      </c>
      <c r="AA971">
        <f>$C971*AA970</f>
        <v/>
      </c>
      <c r="AB971">
        <f>$C971*AB970</f>
        <v/>
      </c>
      <c r="AC971">
        <f>$C971*AC970</f>
        <v/>
      </c>
      <c r="AD971">
        <f>$C971*AD970</f>
        <v/>
      </c>
      <c r="AE971">
        <f>$C971*AE970</f>
        <v/>
      </c>
      <c r="AF971">
        <f>$C971*AF970</f>
        <v/>
      </c>
      <c r="AG971">
        <f>$C971*AG970</f>
        <v/>
      </c>
      <c r="AH971">
        <f>$C971*AH970</f>
        <v/>
      </c>
      <c r="AI971">
        <f>$C971*AI970</f>
        <v/>
      </c>
      <c r="AJ971">
        <f>$C971*AJ970</f>
        <v/>
      </c>
      <c r="AK971">
        <f>$C971*AK970</f>
        <v/>
      </c>
      <c r="AL971">
        <f>$C971*AL970</f>
        <v/>
      </c>
      <c r="AM971">
        <f>$C971*AM970</f>
        <v/>
      </c>
      <c r="AN971">
        <f>$C971*AN970</f>
        <v/>
      </c>
      <c r="AO971">
        <f>$C971*AO970</f>
        <v/>
      </c>
      <c r="AP971">
        <f>$C971*AP970</f>
        <v/>
      </c>
      <c r="AQ971">
        <f>$C971*AQ970</f>
        <v/>
      </c>
      <c r="AR971">
        <f>$C971*AR970</f>
        <v/>
      </c>
      <c r="AS971">
        <f>$C971*AS970</f>
        <v/>
      </c>
      <c r="AT971">
        <f>$C971*AT970</f>
        <v/>
      </c>
      <c r="AU971">
        <f>$C971*AU970</f>
        <v/>
      </c>
      <c r="AV971">
        <f>$C971*AV970</f>
        <v/>
      </c>
      <c r="AW971">
        <f>$C971*AW970</f>
        <v/>
      </c>
      <c r="AX971">
        <f>$C971*AX970</f>
        <v/>
      </c>
      <c r="AY971">
        <f>$C971*AY970</f>
        <v/>
      </c>
      <c r="AZ971">
        <f>$C971*AZ970</f>
        <v/>
      </c>
      <c r="BA971">
        <f>$C971*BA970</f>
        <v/>
      </c>
      <c r="BB971">
        <f>$C971*BB970</f>
        <v/>
      </c>
      <c r="BC971">
        <f>$C971*BC970</f>
        <v/>
      </c>
      <c r="BD971">
        <f>$C971*BD970</f>
        <v/>
      </c>
      <c r="BE971">
        <f>$C971*BE970</f>
        <v/>
      </c>
      <c r="BF971">
        <f>$C971*BF970</f>
        <v/>
      </c>
      <c r="BG971">
        <f>$C971*BG970</f>
        <v/>
      </c>
      <c r="BH971">
        <f>$C971*BH970</f>
        <v/>
      </c>
      <c r="BI971">
        <f>$C971*BI970</f>
        <v/>
      </c>
      <c r="BJ971">
        <f>$C971*BJ970</f>
        <v/>
      </c>
      <c r="BK971">
        <f>$C971*BK970</f>
        <v/>
      </c>
      <c r="BL971">
        <f>$C971*BL970</f>
        <v/>
      </c>
      <c r="BM971">
        <f>$C971*BM970</f>
        <v/>
      </c>
      <c r="BN971">
        <f>$C971*BN970</f>
        <v/>
      </c>
      <c r="BO971">
        <f>$C971*BO970</f>
        <v/>
      </c>
      <c r="BP971">
        <f>$C971*BP970</f>
        <v/>
      </c>
      <c r="BQ971">
        <f>$C971*BQ970</f>
        <v/>
      </c>
      <c r="BR971">
        <f>$C971*BR970</f>
        <v/>
      </c>
      <c r="BS971">
        <f>$C971*BS970</f>
        <v/>
      </c>
      <c r="BT971">
        <f>$C971*BT970</f>
        <v/>
      </c>
      <c r="BU971">
        <f>$C971*BU970</f>
        <v/>
      </c>
      <c r="BV971">
        <f>$C971*BV970</f>
        <v/>
      </c>
      <c r="BW971">
        <f>$C971*BW970</f>
        <v/>
      </c>
      <c r="BX971">
        <f>$C971*BX970</f>
        <v/>
      </c>
      <c r="BY971">
        <f>$C971*BY970</f>
        <v/>
      </c>
      <c r="BZ971">
        <f>$C971*BZ970</f>
        <v/>
      </c>
      <c r="CA971">
        <f>$C971*CA970</f>
        <v/>
      </c>
      <c r="CB971">
        <f>$C971*CB970</f>
        <v/>
      </c>
      <c r="CC971">
        <f>$C971*CC970</f>
        <v/>
      </c>
      <c r="CD971">
        <f>$C971*CD970</f>
        <v/>
      </c>
      <c r="CE971">
        <f>$C971*CE970</f>
        <v/>
      </c>
      <c r="CF971">
        <f>$C971*CF970</f>
        <v/>
      </c>
      <c r="CG971">
        <f>$C971*CG970</f>
        <v/>
      </c>
      <c r="CH971">
        <f>$C971*CH970</f>
        <v/>
      </c>
      <c r="CI971">
        <f>$C971*CI970</f>
        <v/>
      </c>
      <c r="CJ971">
        <f>$C971*CJ970</f>
        <v/>
      </c>
      <c r="CK971">
        <f>$C971*CK970</f>
        <v/>
      </c>
      <c r="CL971">
        <f>$C971*CL970</f>
        <v/>
      </c>
      <c r="CM971">
        <f>$C971*CM970</f>
        <v/>
      </c>
      <c r="CN971">
        <f>$C971*CN970</f>
        <v/>
      </c>
      <c r="CO971">
        <f>$C971*CO970</f>
        <v/>
      </c>
      <c r="CP971">
        <f>$C971*CP970</f>
        <v/>
      </c>
      <c r="CQ971">
        <f>$C971*CQ970</f>
        <v/>
      </c>
      <c r="CR971">
        <f>$C971*CR970</f>
        <v/>
      </c>
      <c r="CS971">
        <f>$C971*CS970</f>
        <v/>
      </c>
      <c r="CT971">
        <f>$C971*CT970</f>
        <v/>
      </c>
      <c r="CU971">
        <f>$C971*CU970</f>
        <v/>
      </c>
      <c r="CV971">
        <f>$C971*CV970</f>
        <v/>
      </c>
      <c r="CW971">
        <f>$C971*CW970</f>
        <v/>
      </c>
      <c r="CX971">
        <f>$C971*CX970</f>
        <v/>
      </c>
      <c r="CY971">
        <f>$C971*CY970</f>
        <v/>
      </c>
      <c r="CZ971">
        <f>$C971*CZ970</f>
        <v/>
      </c>
      <c r="DA971">
        <f>$C971*DA970</f>
        <v/>
      </c>
      <c r="DB971">
        <f>$C971*DB970</f>
        <v/>
      </c>
      <c r="DC971">
        <f>$C971*DC970</f>
        <v/>
      </c>
    </row>
    <row r="972">
      <c r="B972" t="inlineStr">
        <is>
          <t>TSP-828</t>
        </is>
      </c>
      <c r="C972" t="inlineStr">
        <is>
          <t>No. of batches</t>
        </is>
      </c>
      <c r="D972">
        <f>IFERROR(INDEX(PP_Grid[#Data],$DD972,2),0)</f>
        <v/>
      </c>
      <c r="E972">
        <f>IFERROR(INDEX(PP_Grid[#Data],$DD972,3),0)</f>
        <v/>
      </c>
      <c r="F972">
        <f>IFERROR(INDEX(PP_Grid[#Data],$DD972,4),0)</f>
        <v/>
      </c>
      <c r="G972">
        <f>IFERROR(INDEX(PP_Grid[#Data],$DD972,5),0)</f>
        <v/>
      </c>
      <c r="H972">
        <f>IFERROR(INDEX(PP_Grid[#Data],$DD972,6),0)</f>
        <v/>
      </c>
      <c r="I972">
        <f>IFERROR(INDEX(PP_Grid[#Data],$DD972,7),0)</f>
        <v/>
      </c>
      <c r="J972">
        <f>IFERROR(INDEX(PP_Grid[#Data],$DD972,8),0)</f>
        <v/>
      </c>
      <c r="K972">
        <f>IFERROR(INDEX(PP_Grid[#Data],$DD972,9),0)</f>
        <v/>
      </c>
      <c r="L972">
        <f>IFERROR(INDEX(PP_Grid[#Data],$DD972,10),0)</f>
        <v/>
      </c>
      <c r="M972">
        <f>IFERROR(INDEX(PP_Grid[#Data],$DD972,11),0)</f>
        <v/>
      </c>
      <c r="N972">
        <f>IFERROR(INDEX(PP_Grid[#Data],$DD972,12),0)</f>
        <v/>
      </c>
      <c r="O972">
        <f>IFERROR(INDEX(PP_Grid[#Data],$DD972,13),0)</f>
        <v/>
      </c>
      <c r="P972">
        <f>IFERROR(INDEX(PP_Grid[#Data],$DD972,14),0)</f>
        <v/>
      </c>
      <c r="Q972">
        <f>IFERROR(INDEX(PP_Grid[#Data],$DD972,15),0)</f>
        <v/>
      </c>
      <c r="R972">
        <f>IFERROR(INDEX(PP_Grid[#Data],$DD972,16),0)</f>
        <v/>
      </c>
      <c r="S972">
        <f>IFERROR(INDEX(PP_Grid[#Data],$DD972,17),0)</f>
        <v/>
      </c>
      <c r="T972">
        <f>IFERROR(INDEX(PP_Grid[#Data],$DD972,18),0)</f>
        <v/>
      </c>
      <c r="U972">
        <f>IFERROR(INDEX(PP_Grid[#Data],$DD972,19),0)</f>
        <v/>
      </c>
      <c r="V972">
        <f>IFERROR(INDEX(PP_Grid[#Data],$DD972,20),0)</f>
        <v/>
      </c>
      <c r="W972">
        <f>IFERROR(INDEX(PP_Grid[#Data],$DD972,21),0)</f>
        <v/>
      </c>
      <c r="X972">
        <f>IFERROR(INDEX(PP_Grid[#Data],$DD972,22),0)</f>
        <v/>
      </c>
      <c r="Y972">
        <f>IFERROR(INDEX(PP_Grid[#Data],$DD972,23),0)</f>
        <v/>
      </c>
      <c r="Z972">
        <f>IFERROR(INDEX(PP_Grid[#Data],$DD972,24),0)</f>
        <v/>
      </c>
      <c r="AA972">
        <f>IFERROR(INDEX(PP_Grid[#Data],$DD972,25),0)</f>
        <v/>
      </c>
      <c r="AB972">
        <f>IFERROR(INDEX(PP_Grid[#Data],$DD972,26),0)</f>
        <v/>
      </c>
      <c r="AC972">
        <f>IFERROR(INDEX(PP_Grid[#Data],$DD972,27),0)</f>
        <v/>
      </c>
      <c r="AD972">
        <f>IFERROR(INDEX(PP_Grid[#Data],$DD972,28),0)</f>
        <v/>
      </c>
      <c r="AE972">
        <f>IFERROR(INDEX(PP_Grid[#Data],$DD972,29),0)</f>
        <v/>
      </c>
      <c r="AF972">
        <f>IFERROR(INDEX(PP_Grid[#Data],$DD972,30),0)</f>
        <v/>
      </c>
      <c r="AG972">
        <f>IFERROR(INDEX(PP_Grid[#Data],$DD972,31),0)</f>
        <v/>
      </c>
      <c r="AH972">
        <f>IFERROR(INDEX(PP_Grid[#Data],$DD972,32),0)</f>
        <v/>
      </c>
      <c r="AI972">
        <f>IFERROR(INDEX(PP_Grid[#Data],$DD972,33),0)</f>
        <v/>
      </c>
      <c r="AJ972">
        <f>IFERROR(INDEX(PP_Grid[#Data],$DD972,34),0)</f>
        <v/>
      </c>
      <c r="AK972">
        <f>IFERROR(INDEX(PP_Grid[#Data],$DD972,35),0)</f>
        <v/>
      </c>
      <c r="AL972">
        <f>IFERROR(INDEX(PP_Grid[#Data],$DD972,36),0)</f>
        <v/>
      </c>
      <c r="AM972">
        <f>IFERROR(INDEX(PP_Grid[#Data],$DD972,37),0)</f>
        <v/>
      </c>
      <c r="AN972">
        <f>IFERROR(INDEX(PP_Grid[#Data],$DD972,38),0)</f>
        <v/>
      </c>
      <c r="AO972">
        <f>IFERROR(INDEX(PP_Grid[#Data],$DD972,39),0)</f>
        <v/>
      </c>
      <c r="AP972">
        <f>IFERROR(INDEX(PP_Grid[#Data],$DD972,40),0)</f>
        <v/>
      </c>
      <c r="AQ972">
        <f>IFERROR(INDEX(PP_Grid[#Data],$DD972,41),0)</f>
        <v/>
      </c>
      <c r="AR972">
        <f>IFERROR(INDEX(PP_Grid[#Data],$DD972,42),0)</f>
        <v/>
      </c>
      <c r="AS972">
        <f>IFERROR(INDEX(PP_Grid[#Data],$DD972,43),0)</f>
        <v/>
      </c>
      <c r="AT972">
        <f>IFERROR(INDEX(PP_Grid[#Data],$DD972,44),0)</f>
        <v/>
      </c>
      <c r="AU972">
        <f>IFERROR(INDEX(PP_Grid[#Data],$DD972,45),0)</f>
        <v/>
      </c>
      <c r="AV972">
        <f>IFERROR(INDEX(PP_Grid[#Data],$DD972,46),0)</f>
        <v/>
      </c>
      <c r="AW972">
        <f>IFERROR(INDEX(PP_Grid[#Data],$DD972,47),0)</f>
        <v/>
      </c>
      <c r="AX972">
        <f>IFERROR(INDEX(PP_Grid[#Data],$DD972,48),0)</f>
        <v/>
      </c>
      <c r="AY972">
        <f>IFERROR(INDEX(PP_Grid[#Data],$DD972,49),0)</f>
        <v/>
      </c>
      <c r="AZ972">
        <f>IFERROR(INDEX(PP_Grid[#Data],$DD972,50),0)</f>
        <v/>
      </c>
      <c r="BA972">
        <f>IFERROR(INDEX(PP_Grid[#Data],$DD972,51),0)</f>
        <v/>
      </c>
      <c r="BB972">
        <f>IFERROR(INDEX(PP_Grid[#Data],$DD972,52),0)</f>
        <v/>
      </c>
      <c r="BC972">
        <f>IFERROR(INDEX(PP_Grid[#Data],$DD972,53),0)</f>
        <v/>
      </c>
      <c r="BD972">
        <f>IFERROR(INDEX(PP_Grid[#Data],$DD972,54),0)</f>
        <v/>
      </c>
      <c r="BE972">
        <f>IFERROR(INDEX(PP_Grid[#Data],$DD972,55),0)</f>
        <v/>
      </c>
      <c r="BF972">
        <f>IFERROR(INDEX(PP_Grid[#Data],$DD972,56),0)</f>
        <v/>
      </c>
      <c r="BG972">
        <f>IFERROR(INDEX(PP_Grid[#Data],$DD972,57),0)</f>
        <v/>
      </c>
      <c r="BH972">
        <f>IFERROR(INDEX(PP_Grid[#Data],$DD972,58),0)</f>
        <v/>
      </c>
      <c r="BI972">
        <f>IFERROR(INDEX(PP_Grid[#Data],$DD972,59),0)</f>
        <v/>
      </c>
      <c r="BJ972">
        <f>IFERROR(INDEX(PP_Grid[#Data],$DD972,60),0)</f>
        <v/>
      </c>
      <c r="BK972">
        <f>IFERROR(INDEX(PP_Grid[#Data],$DD972,61),0)</f>
        <v/>
      </c>
      <c r="BL972">
        <f>IFERROR(INDEX(PP_Grid[#Data],$DD972,62),0)</f>
        <v/>
      </c>
      <c r="BM972">
        <f>IFERROR(INDEX(PP_Grid[#Data],$DD972,63),0)</f>
        <v/>
      </c>
      <c r="BN972">
        <f>IFERROR(INDEX(PP_Grid[#Data],$DD972,64),0)</f>
        <v/>
      </c>
      <c r="BO972">
        <f>IFERROR(INDEX(PP_Grid[#Data],$DD972,65),0)</f>
        <v/>
      </c>
      <c r="BP972">
        <f>IFERROR(INDEX(PP_Grid[#Data],$DD972,66),0)</f>
        <v/>
      </c>
      <c r="BQ972">
        <f>IFERROR(INDEX(PP_Grid[#Data],$DD972,67),0)</f>
        <v/>
      </c>
      <c r="BR972">
        <f>IFERROR(INDEX(PP_Grid[#Data],$DD972,68),0)</f>
        <v/>
      </c>
      <c r="BS972">
        <f>IFERROR(INDEX(PP_Grid[#Data],$DD972,69),0)</f>
        <v/>
      </c>
      <c r="BT972">
        <f>IFERROR(INDEX(PP_Grid[#Data],$DD972,70),0)</f>
        <v/>
      </c>
      <c r="BU972">
        <f>IFERROR(INDEX(PP_Grid[#Data],$DD972,71),0)</f>
        <v/>
      </c>
      <c r="BV972">
        <f>IFERROR(INDEX(PP_Grid[#Data],$DD972,72),0)</f>
        <v/>
      </c>
      <c r="BW972">
        <f>IFERROR(INDEX(PP_Grid[#Data],$DD972,73),0)</f>
        <v/>
      </c>
      <c r="BX972">
        <f>IFERROR(INDEX(PP_Grid[#Data],$DD972,74),0)</f>
        <v/>
      </c>
      <c r="BY972">
        <f>IFERROR(INDEX(PP_Grid[#Data],$DD972,75),0)</f>
        <v/>
      </c>
      <c r="BZ972">
        <f>IFERROR(INDEX(PP_Grid[#Data],$DD972,76),0)</f>
        <v/>
      </c>
      <c r="CA972">
        <f>IFERROR(INDEX(PP_Grid[#Data],$DD972,77),0)</f>
        <v/>
      </c>
      <c r="CB972">
        <f>IFERROR(INDEX(PP_Grid[#Data],$DD972,78),0)</f>
        <v/>
      </c>
      <c r="CC972">
        <f>IFERROR(INDEX(PP_Grid[#Data],$DD972,79),0)</f>
        <v/>
      </c>
      <c r="CD972">
        <f>IFERROR(INDEX(PP_Grid[#Data],$DD972,80),0)</f>
        <v/>
      </c>
      <c r="CE972">
        <f>IFERROR(INDEX(PP_Grid[#Data],$DD972,81),0)</f>
        <v/>
      </c>
      <c r="CF972">
        <f>IFERROR(INDEX(PP_Grid[#Data],$DD972,82),0)</f>
        <v/>
      </c>
      <c r="CG972">
        <f>IFERROR(INDEX(PP_Grid[#Data],$DD972,83),0)</f>
        <v/>
      </c>
      <c r="CH972">
        <f>IFERROR(INDEX(PP_Grid[#Data],$DD972,84),0)</f>
        <v/>
      </c>
      <c r="CI972">
        <f>IFERROR(INDEX(PP_Grid[#Data],$DD972,85),0)</f>
        <v/>
      </c>
      <c r="CJ972">
        <f>IFERROR(INDEX(PP_Grid[#Data],$DD972,86),0)</f>
        <v/>
      </c>
      <c r="CK972">
        <f>IFERROR(INDEX(PP_Grid[#Data],$DD972,87),0)</f>
        <v/>
      </c>
      <c r="CL972">
        <f>IFERROR(INDEX(PP_Grid[#Data],$DD972,88),0)</f>
        <v/>
      </c>
      <c r="CM972">
        <f>IFERROR(INDEX(PP_Grid[#Data],$DD972,89),0)</f>
        <v/>
      </c>
      <c r="CN972">
        <f>IFERROR(INDEX(PP_Grid[#Data],$DD972,90),0)</f>
        <v/>
      </c>
      <c r="CO972">
        <f>IFERROR(INDEX(PP_Grid[#Data],$DD972,91),0)</f>
        <v/>
      </c>
      <c r="CP972">
        <f>IFERROR(INDEX(PP_Grid[#Data],$DD972,92),0)</f>
        <v/>
      </c>
      <c r="CQ972">
        <f>IFERROR(INDEX(PP_Grid[#Data],$DD972,93),0)</f>
        <v/>
      </c>
      <c r="CR972">
        <f>IFERROR(INDEX(PP_Grid[#Data],$DD972,94),0)</f>
        <v/>
      </c>
      <c r="CS972">
        <f>IFERROR(INDEX(PP_Grid[#Data],$DD972,95),0)</f>
        <v/>
      </c>
      <c r="CT972">
        <f>IFERROR(INDEX(PP_Grid[#Data],$DD972,96),0)</f>
        <v/>
      </c>
      <c r="CU972">
        <f>IFERROR(INDEX(PP_Grid[#Data],$DD972,97),0)</f>
        <v/>
      </c>
      <c r="CV972">
        <f>IFERROR(INDEX(PP_Grid[#Data],$DD972,98),0)</f>
        <v/>
      </c>
      <c r="CW972">
        <f>IFERROR(INDEX(PP_Grid[#Data],$DD972,99),0)</f>
        <v/>
      </c>
      <c r="CX972">
        <f>IFERROR(INDEX(PP_Grid[#Data],$DD972,100),0)</f>
        <v/>
      </c>
      <c r="CY972">
        <f>IFERROR(INDEX(PP_Grid[#Data],$DD972,101),0)</f>
        <v/>
      </c>
      <c r="CZ972">
        <f>IFERROR(INDEX(PP_Grid[#Data],$DD972,102),0)</f>
        <v/>
      </c>
      <c r="DA972">
        <f>IFERROR(INDEX(PP_Grid[#Data],$DD972,103),0)</f>
        <v/>
      </c>
      <c r="DB972">
        <f>IFERROR(INDEX(PP_Grid[#Data],$DD972,104),0)</f>
        <v/>
      </c>
      <c r="DC972">
        <f>IFERROR(INDEX(PP_Grid[#Data],$DD972,105),0)</f>
        <v/>
      </c>
      <c r="DD972" s="12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SUMIFS(M_BOM[RM_Qty_Per_Batch],M_BOM[Intermediate],$B972,M_BOM[Part Name],$A953)</f>
        <v/>
      </c>
      <c r="D973">
        <f>$C973*D972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</row>
    <row r="974">
      <c r="B974" t="inlineStr">
        <is>
          <t>TSP-903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12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Name],$A953)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t="inlineStr">
        <is>
          <t>TSP-924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12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Name],$A953)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TSP-925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12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Name],$A953)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TSP-934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12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Name],$A953)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TSP-935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12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Name],$A953)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TSP-936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12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Name],$A953)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TSP-937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12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Name],$A953)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TSP-959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12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Name],$A953)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TSP-966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12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Name],$A953)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t="inlineStr">
        <is>
          <t>TSZ-616</t>
        </is>
      </c>
      <c r="C992" t="inlineStr">
        <is>
          <t>No. of batches</t>
        </is>
      </c>
      <c r="D992">
        <f>IFERROR(INDEX(PP_Grid[#Data],$DD992,2),0)</f>
        <v/>
      </c>
      <c r="E992">
        <f>IFERROR(INDEX(PP_Grid[#Data],$DD992,3),0)</f>
        <v/>
      </c>
      <c r="F992">
        <f>IFERROR(INDEX(PP_Grid[#Data],$DD992,4),0)</f>
        <v/>
      </c>
      <c r="G992">
        <f>IFERROR(INDEX(PP_Grid[#Data],$DD992,5),0)</f>
        <v/>
      </c>
      <c r="H992">
        <f>IFERROR(INDEX(PP_Grid[#Data],$DD992,6),0)</f>
        <v/>
      </c>
      <c r="I992">
        <f>IFERROR(INDEX(PP_Grid[#Data],$DD992,7),0)</f>
        <v/>
      </c>
      <c r="J992">
        <f>IFERROR(INDEX(PP_Grid[#Data],$DD992,8),0)</f>
        <v/>
      </c>
      <c r="K992">
        <f>IFERROR(INDEX(PP_Grid[#Data],$DD992,9),0)</f>
        <v/>
      </c>
      <c r="L992">
        <f>IFERROR(INDEX(PP_Grid[#Data],$DD992,10),0)</f>
        <v/>
      </c>
      <c r="M992">
        <f>IFERROR(INDEX(PP_Grid[#Data],$DD992,11),0)</f>
        <v/>
      </c>
      <c r="N992">
        <f>IFERROR(INDEX(PP_Grid[#Data],$DD992,12),0)</f>
        <v/>
      </c>
      <c r="O992">
        <f>IFERROR(INDEX(PP_Grid[#Data],$DD992,13),0)</f>
        <v/>
      </c>
      <c r="P992">
        <f>IFERROR(INDEX(PP_Grid[#Data],$DD992,14),0)</f>
        <v/>
      </c>
      <c r="Q992">
        <f>IFERROR(INDEX(PP_Grid[#Data],$DD992,15),0)</f>
        <v/>
      </c>
      <c r="R992">
        <f>IFERROR(INDEX(PP_Grid[#Data],$DD992,16),0)</f>
        <v/>
      </c>
      <c r="S992">
        <f>IFERROR(INDEX(PP_Grid[#Data],$DD992,17),0)</f>
        <v/>
      </c>
      <c r="T992">
        <f>IFERROR(INDEX(PP_Grid[#Data],$DD992,18),0)</f>
        <v/>
      </c>
      <c r="U992">
        <f>IFERROR(INDEX(PP_Grid[#Data],$DD992,19),0)</f>
        <v/>
      </c>
      <c r="V992">
        <f>IFERROR(INDEX(PP_Grid[#Data],$DD992,20),0)</f>
        <v/>
      </c>
      <c r="W992">
        <f>IFERROR(INDEX(PP_Grid[#Data],$DD992,21),0)</f>
        <v/>
      </c>
      <c r="X992">
        <f>IFERROR(INDEX(PP_Grid[#Data],$DD992,22),0)</f>
        <v/>
      </c>
      <c r="Y992">
        <f>IFERROR(INDEX(PP_Grid[#Data],$DD992,23),0)</f>
        <v/>
      </c>
      <c r="Z992">
        <f>IFERROR(INDEX(PP_Grid[#Data],$DD992,24),0)</f>
        <v/>
      </c>
      <c r="AA992">
        <f>IFERROR(INDEX(PP_Grid[#Data],$DD992,25),0)</f>
        <v/>
      </c>
      <c r="AB992">
        <f>IFERROR(INDEX(PP_Grid[#Data],$DD992,26),0)</f>
        <v/>
      </c>
      <c r="AC992">
        <f>IFERROR(INDEX(PP_Grid[#Data],$DD992,27),0)</f>
        <v/>
      </c>
      <c r="AD992">
        <f>IFERROR(INDEX(PP_Grid[#Data],$DD992,28),0)</f>
        <v/>
      </c>
      <c r="AE992">
        <f>IFERROR(INDEX(PP_Grid[#Data],$DD992,29),0)</f>
        <v/>
      </c>
      <c r="AF992">
        <f>IFERROR(INDEX(PP_Grid[#Data],$DD992,30),0)</f>
        <v/>
      </c>
      <c r="AG992">
        <f>IFERROR(INDEX(PP_Grid[#Data],$DD992,31),0)</f>
        <v/>
      </c>
      <c r="AH992">
        <f>IFERROR(INDEX(PP_Grid[#Data],$DD992,32),0)</f>
        <v/>
      </c>
      <c r="AI992">
        <f>IFERROR(INDEX(PP_Grid[#Data],$DD992,33),0)</f>
        <v/>
      </c>
      <c r="AJ992">
        <f>IFERROR(INDEX(PP_Grid[#Data],$DD992,34),0)</f>
        <v/>
      </c>
      <c r="AK992">
        <f>IFERROR(INDEX(PP_Grid[#Data],$DD992,35),0)</f>
        <v/>
      </c>
      <c r="AL992">
        <f>IFERROR(INDEX(PP_Grid[#Data],$DD992,36),0)</f>
        <v/>
      </c>
      <c r="AM992">
        <f>IFERROR(INDEX(PP_Grid[#Data],$DD992,37),0)</f>
        <v/>
      </c>
      <c r="AN992">
        <f>IFERROR(INDEX(PP_Grid[#Data],$DD992,38),0)</f>
        <v/>
      </c>
      <c r="AO992">
        <f>IFERROR(INDEX(PP_Grid[#Data],$DD992,39),0)</f>
        <v/>
      </c>
      <c r="AP992">
        <f>IFERROR(INDEX(PP_Grid[#Data],$DD992,40),0)</f>
        <v/>
      </c>
      <c r="AQ992">
        <f>IFERROR(INDEX(PP_Grid[#Data],$DD992,41),0)</f>
        <v/>
      </c>
      <c r="AR992">
        <f>IFERROR(INDEX(PP_Grid[#Data],$DD992,42),0)</f>
        <v/>
      </c>
      <c r="AS992">
        <f>IFERROR(INDEX(PP_Grid[#Data],$DD992,43),0)</f>
        <v/>
      </c>
      <c r="AT992">
        <f>IFERROR(INDEX(PP_Grid[#Data],$DD992,44),0)</f>
        <v/>
      </c>
      <c r="AU992">
        <f>IFERROR(INDEX(PP_Grid[#Data],$DD992,45),0)</f>
        <v/>
      </c>
      <c r="AV992">
        <f>IFERROR(INDEX(PP_Grid[#Data],$DD992,46),0)</f>
        <v/>
      </c>
      <c r="AW992">
        <f>IFERROR(INDEX(PP_Grid[#Data],$DD992,47),0)</f>
        <v/>
      </c>
      <c r="AX992">
        <f>IFERROR(INDEX(PP_Grid[#Data],$DD992,48),0)</f>
        <v/>
      </c>
      <c r="AY992">
        <f>IFERROR(INDEX(PP_Grid[#Data],$DD992,49),0)</f>
        <v/>
      </c>
      <c r="AZ992">
        <f>IFERROR(INDEX(PP_Grid[#Data],$DD992,50),0)</f>
        <v/>
      </c>
      <c r="BA992">
        <f>IFERROR(INDEX(PP_Grid[#Data],$DD992,51),0)</f>
        <v/>
      </c>
      <c r="BB992">
        <f>IFERROR(INDEX(PP_Grid[#Data],$DD992,52),0)</f>
        <v/>
      </c>
      <c r="BC992">
        <f>IFERROR(INDEX(PP_Grid[#Data],$DD992,53),0)</f>
        <v/>
      </c>
      <c r="BD992">
        <f>IFERROR(INDEX(PP_Grid[#Data],$DD992,54),0)</f>
        <v/>
      </c>
      <c r="BE992">
        <f>IFERROR(INDEX(PP_Grid[#Data],$DD992,55),0)</f>
        <v/>
      </c>
      <c r="BF992">
        <f>IFERROR(INDEX(PP_Grid[#Data],$DD992,56),0)</f>
        <v/>
      </c>
      <c r="BG992">
        <f>IFERROR(INDEX(PP_Grid[#Data],$DD992,57),0)</f>
        <v/>
      </c>
      <c r="BH992">
        <f>IFERROR(INDEX(PP_Grid[#Data],$DD992,58),0)</f>
        <v/>
      </c>
      <c r="BI992">
        <f>IFERROR(INDEX(PP_Grid[#Data],$DD992,59),0)</f>
        <v/>
      </c>
      <c r="BJ992">
        <f>IFERROR(INDEX(PP_Grid[#Data],$DD992,60),0)</f>
        <v/>
      </c>
      <c r="BK992">
        <f>IFERROR(INDEX(PP_Grid[#Data],$DD992,61),0)</f>
        <v/>
      </c>
      <c r="BL992">
        <f>IFERROR(INDEX(PP_Grid[#Data],$DD992,62),0)</f>
        <v/>
      </c>
      <c r="BM992">
        <f>IFERROR(INDEX(PP_Grid[#Data],$DD992,63),0)</f>
        <v/>
      </c>
      <c r="BN992">
        <f>IFERROR(INDEX(PP_Grid[#Data],$DD992,64),0)</f>
        <v/>
      </c>
      <c r="BO992">
        <f>IFERROR(INDEX(PP_Grid[#Data],$DD992,65),0)</f>
        <v/>
      </c>
      <c r="BP992">
        <f>IFERROR(INDEX(PP_Grid[#Data],$DD992,66),0)</f>
        <v/>
      </c>
      <c r="BQ992">
        <f>IFERROR(INDEX(PP_Grid[#Data],$DD992,67),0)</f>
        <v/>
      </c>
      <c r="BR992">
        <f>IFERROR(INDEX(PP_Grid[#Data],$DD992,68),0)</f>
        <v/>
      </c>
      <c r="BS992">
        <f>IFERROR(INDEX(PP_Grid[#Data],$DD992,69),0)</f>
        <v/>
      </c>
      <c r="BT992">
        <f>IFERROR(INDEX(PP_Grid[#Data],$DD992,70),0)</f>
        <v/>
      </c>
      <c r="BU992">
        <f>IFERROR(INDEX(PP_Grid[#Data],$DD992,71),0)</f>
        <v/>
      </c>
      <c r="BV992">
        <f>IFERROR(INDEX(PP_Grid[#Data],$DD992,72),0)</f>
        <v/>
      </c>
      <c r="BW992">
        <f>IFERROR(INDEX(PP_Grid[#Data],$DD992,73),0)</f>
        <v/>
      </c>
      <c r="BX992">
        <f>IFERROR(INDEX(PP_Grid[#Data],$DD992,74),0)</f>
        <v/>
      </c>
      <c r="BY992">
        <f>IFERROR(INDEX(PP_Grid[#Data],$DD992,75),0)</f>
        <v/>
      </c>
      <c r="BZ992">
        <f>IFERROR(INDEX(PP_Grid[#Data],$DD992,76),0)</f>
        <v/>
      </c>
      <c r="CA992">
        <f>IFERROR(INDEX(PP_Grid[#Data],$DD992,77),0)</f>
        <v/>
      </c>
      <c r="CB992">
        <f>IFERROR(INDEX(PP_Grid[#Data],$DD992,78),0)</f>
        <v/>
      </c>
      <c r="CC992">
        <f>IFERROR(INDEX(PP_Grid[#Data],$DD992,79),0)</f>
        <v/>
      </c>
      <c r="CD992">
        <f>IFERROR(INDEX(PP_Grid[#Data],$DD992,80),0)</f>
        <v/>
      </c>
      <c r="CE992">
        <f>IFERROR(INDEX(PP_Grid[#Data],$DD992,81),0)</f>
        <v/>
      </c>
      <c r="CF992">
        <f>IFERROR(INDEX(PP_Grid[#Data],$DD992,82),0)</f>
        <v/>
      </c>
      <c r="CG992">
        <f>IFERROR(INDEX(PP_Grid[#Data],$DD992,83),0)</f>
        <v/>
      </c>
      <c r="CH992">
        <f>IFERROR(INDEX(PP_Grid[#Data],$DD992,84),0)</f>
        <v/>
      </c>
      <c r="CI992">
        <f>IFERROR(INDEX(PP_Grid[#Data],$DD992,85),0)</f>
        <v/>
      </c>
      <c r="CJ992">
        <f>IFERROR(INDEX(PP_Grid[#Data],$DD992,86),0)</f>
        <v/>
      </c>
      <c r="CK992">
        <f>IFERROR(INDEX(PP_Grid[#Data],$DD992,87),0)</f>
        <v/>
      </c>
      <c r="CL992">
        <f>IFERROR(INDEX(PP_Grid[#Data],$DD992,88),0)</f>
        <v/>
      </c>
      <c r="CM992">
        <f>IFERROR(INDEX(PP_Grid[#Data],$DD992,89),0)</f>
        <v/>
      </c>
      <c r="CN992">
        <f>IFERROR(INDEX(PP_Grid[#Data],$DD992,90),0)</f>
        <v/>
      </c>
      <c r="CO992">
        <f>IFERROR(INDEX(PP_Grid[#Data],$DD992,91),0)</f>
        <v/>
      </c>
      <c r="CP992">
        <f>IFERROR(INDEX(PP_Grid[#Data],$DD992,92),0)</f>
        <v/>
      </c>
      <c r="CQ992">
        <f>IFERROR(INDEX(PP_Grid[#Data],$DD992,93),0)</f>
        <v/>
      </c>
      <c r="CR992">
        <f>IFERROR(INDEX(PP_Grid[#Data],$DD992,94),0)</f>
        <v/>
      </c>
      <c r="CS992">
        <f>IFERROR(INDEX(PP_Grid[#Data],$DD992,95),0)</f>
        <v/>
      </c>
      <c r="CT992">
        <f>IFERROR(INDEX(PP_Grid[#Data],$DD992,96),0)</f>
        <v/>
      </c>
      <c r="CU992">
        <f>IFERROR(INDEX(PP_Grid[#Data],$DD992,97),0)</f>
        <v/>
      </c>
      <c r="CV992">
        <f>IFERROR(INDEX(PP_Grid[#Data],$DD992,98),0)</f>
        <v/>
      </c>
      <c r="CW992">
        <f>IFERROR(INDEX(PP_Grid[#Data],$DD992,99),0)</f>
        <v/>
      </c>
      <c r="CX992">
        <f>IFERROR(INDEX(PP_Grid[#Data],$DD992,100),0)</f>
        <v/>
      </c>
      <c r="CY992">
        <f>IFERROR(INDEX(PP_Grid[#Data],$DD992,101),0)</f>
        <v/>
      </c>
      <c r="CZ992">
        <f>IFERROR(INDEX(PP_Grid[#Data],$DD992,102),0)</f>
        <v/>
      </c>
      <c r="DA992">
        <f>IFERROR(INDEX(PP_Grid[#Data],$DD992,103),0)</f>
        <v/>
      </c>
      <c r="DB992">
        <f>IFERROR(INDEX(PP_Grid[#Data],$DD992,104),0)</f>
        <v/>
      </c>
      <c r="DC992">
        <f>IFERROR(INDEX(PP_Grid[#Data],$DD992,105),0)</f>
        <v/>
      </c>
      <c r="DD992" s="12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SUMIFS(M_BOM[RM_Qty_Per_Batch],M_BOM[Intermediate],$B992,M_BOM[Part Name],$A953)</f>
        <v/>
      </c>
      <c r="D993">
        <f>$C993*D992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</row>
    <row r="994">
      <c r="B994" t="inlineStr">
        <is>
          <t>TSZ-938</t>
        </is>
      </c>
      <c r="C994" t="inlineStr">
        <is>
          <t>No. of batches</t>
        </is>
      </c>
      <c r="D994">
        <f>IFERROR(INDEX(PP_Grid[#Data],$DD994,2),0)</f>
        <v/>
      </c>
      <c r="E994">
        <f>IFERROR(INDEX(PP_Grid[#Data],$DD994,3),0)</f>
        <v/>
      </c>
      <c r="F994">
        <f>IFERROR(INDEX(PP_Grid[#Data],$DD994,4),0)</f>
        <v/>
      </c>
      <c r="G994">
        <f>IFERROR(INDEX(PP_Grid[#Data],$DD994,5),0)</f>
        <v/>
      </c>
      <c r="H994">
        <f>IFERROR(INDEX(PP_Grid[#Data],$DD994,6),0)</f>
        <v/>
      </c>
      <c r="I994">
        <f>IFERROR(INDEX(PP_Grid[#Data],$DD994,7),0)</f>
        <v/>
      </c>
      <c r="J994">
        <f>IFERROR(INDEX(PP_Grid[#Data],$DD994,8),0)</f>
        <v/>
      </c>
      <c r="K994">
        <f>IFERROR(INDEX(PP_Grid[#Data],$DD994,9),0)</f>
        <v/>
      </c>
      <c r="L994">
        <f>IFERROR(INDEX(PP_Grid[#Data],$DD994,10),0)</f>
        <v/>
      </c>
      <c r="M994">
        <f>IFERROR(INDEX(PP_Grid[#Data],$DD994,11),0)</f>
        <v/>
      </c>
      <c r="N994">
        <f>IFERROR(INDEX(PP_Grid[#Data],$DD994,12),0)</f>
        <v/>
      </c>
      <c r="O994">
        <f>IFERROR(INDEX(PP_Grid[#Data],$DD994,13),0)</f>
        <v/>
      </c>
      <c r="P994">
        <f>IFERROR(INDEX(PP_Grid[#Data],$DD994,14),0)</f>
        <v/>
      </c>
      <c r="Q994">
        <f>IFERROR(INDEX(PP_Grid[#Data],$DD994,15),0)</f>
        <v/>
      </c>
      <c r="R994">
        <f>IFERROR(INDEX(PP_Grid[#Data],$DD994,16),0)</f>
        <v/>
      </c>
      <c r="S994">
        <f>IFERROR(INDEX(PP_Grid[#Data],$DD994,17),0)</f>
        <v/>
      </c>
      <c r="T994">
        <f>IFERROR(INDEX(PP_Grid[#Data],$DD994,18),0)</f>
        <v/>
      </c>
      <c r="U994">
        <f>IFERROR(INDEX(PP_Grid[#Data],$DD994,19),0)</f>
        <v/>
      </c>
      <c r="V994">
        <f>IFERROR(INDEX(PP_Grid[#Data],$DD994,20),0)</f>
        <v/>
      </c>
      <c r="W994">
        <f>IFERROR(INDEX(PP_Grid[#Data],$DD994,21),0)</f>
        <v/>
      </c>
      <c r="X994">
        <f>IFERROR(INDEX(PP_Grid[#Data],$DD994,22),0)</f>
        <v/>
      </c>
      <c r="Y994">
        <f>IFERROR(INDEX(PP_Grid[#Data],$DD994,23),0)</f>
        <v/>
      </c>
      <c r="Z994">
        <f>IFERROR(INDEX(PP_Grid[#Data],$DD994,24),0)</f>
        <v/>
      </c>
      <c r="AA994">
        <f>IFERROR(INDEX(PP_Grid[#Data],$DD994,25),0)</f>
        <v/>
      </c>
      <c r="AB994">
        <f>IFERROR(INDEX(PP_Grid[#Data],$DD994,26),0)</f>
        <v/>
      </c>
      <c r="AC994">
        <f>IFERROR(INDEX(PP_Grid[#Data],$DD994,27),0)</f>
        <v/>
      </c>
      <c r="AD994">
        <f>IFERROR(INDEX(PP_Grid[#Data],$DD994,28),0)</f>
        <v/>
      </c>
      <c r="AE994">
        <f>IFERROR(INDEX(PP_Grid[#Data],$DD994,29),0)</f>
        <v/>
      </c>
      <c r="AF994">
        <f>IFERROR(INDEX(PP_Grid[#Data],$DD994,30),0)</f>
        <v/>
      </c>
      <c r="AG994">
        <f>IFERROR(INDEX(PP_Grid[#Data],$DD994,31),0)</f>
        <v/>
      </c>
      <c r="AH994">
        <f>IFERROR(INDEX(PP_Grid[#Data],$DD994,32),0)</f>
        <v/>
      </c>
      <c r="AI994">
        <f>IFERROR(INDEX(PP_Grid[#Data],$DD994,33),0)</f>
        <v/>
      </c>
      <c r="AJ994">
        <f>IFERROR(INDEX(PP_Grid[#Data],$DD994,34),0)</f>
        <v/>
      </c>
      <c r="AK994">
        <f>IFERROR(INDEX(PP_Grid[#Data],$DD994,35),0)</f>
        <v/>
      </c>
      <c r="AL994">
        <f>IFERROR(INDEX(PP_Grid[#Data],$DD994,36),0)</f>
        <v/>
      </c>
      <c r="AM994">
        <f>IFERROR(INDEX(PP_Grid[#Data],$DD994,37),0)</f>
        <v/>
      </c>
      <c r="AN994">
        <f>IFERROR(INDEX(PP_Grid[#Data],$DD994,38),0)</f>
        <v/>
      </c>
      <c r="AO994">
        <f>IFERROR(INDEX(PP_Grid[#Data],$DD994,39),0)</f>
        <v/>
      </c>
      <c r="AP994">
        <f>IFERROR(INDEX(PP_Grid[#Data],$DD994,40),0)</f>
        <v/>
      </c>
      <c r="AQ994">
        <f>IFERROR(INDEX(PP_Grid[#Data],$DD994,41),0)</f>
        <v/>
      </c>
      <c r="AR994">
        <f>IFERROR(INDEX(PP_Grid[#Data],$DD994,42),0)</f>
        <v/>
      </c>
      <c r="AS994">
        <f>IFERROR(INDEX(PP_Grid[#Data],$DD994,43),0)</f>
        <v/>
      </c>
      <c r="AT994">
        <f>IFERROR(INDEX(PP_Grid[#Data],$DD994,44),0)</f>
        <v/>
      </c>
      <c r="AU994">
        <f>IFERROR(INDEX(PP_Grid[#Data],$DD994,45),0)</f>
        <v/>
      </c>
      <c r="AV994">
        <f>IFERROR(INDEX(PP_Grid[#Data],$DD994,46),0)</f>
        <v/>
      </c>
      <c r="AW994">
        <f>IFERROR(INDEX(PP_Grid[#Data],$DD994,47),0)</f>
        <v/>
      </c>
      <c r="AX994">
        <f>IFERROR(INDEX(PP_Grid[#Data],$DD994,48),0)</f>
        <v/>
      </c>
      <c r="AY994">
        <f>IFERROR(INDEX(PP_Grid[#Data],$DD994,49),0)</f>
        <v/>
      </c>
      <c r="AZ994">
        <f>IFERROR(INDEX(PP_Grid[#Data],$DD994,50),0)</f>
        <v/>
      </c>
      <c r="BA994">
        <f>IFERROR(INDEX(PP_Grid[#Data],$DD994,51),0)</f>
        <v/>
      </c>
      <c r="BB994">
        <f>IFERROR(INDEX(PP_Grid[#Data],$DD994,52),0)</f>
        <v/>
      </c>
      <c r="BC994">
        <f>IFERROR(INDEX(PP_Grid[#Data],$DD994,53),0)</f>
        <v/>
      </c>
      <c r="BD994">
        <f>IFERROR(INDEX(PP_Grid[#Data],$DD994,54),0)</f>
        <v/>
      </c>
      <c r="BE994">
        <f>IFERROR(INDEX(PP_Grid[#Data],$DD994,55),0)</f>
        <v/>
      </c>
      <c r="BF994">
        <f>IFERROR(INDEX(PP_Grid[#Data],$DD994,56),0)</f>
        <v/>
      </c>
      <c r="BG994">
        <f>IFERROR(INDEX(PP_Grid[#Data],$DD994,57),0)</f>
        <v/>
      </c>
      <c r="BH994">
        <f>IFERROR(INDEX(PP_Grid[#Data],$DD994,58),0)</f>
        <v/>
      </c>
      <c r="BI994">
        <f>IFERROR(INDEX(PP_Grid[#Data],$DD994,59),0)</f>
        <v/>
      </c>
      <c r="BJ994">
        <f>IFERROR(INDEX(PP_Grid[#Data],$DD994,60),0)</f>
        <v/>
      </c>
      <c r="BK994">
        <f>IFERROR(INDEX(PP_Grid[#Data],$DD994,61),0)</f>
        <v/>
      </c>
      <c r="BL994">
        <f>IFERROR(INDEX(PP_Grid[#Data],$DD994,62),0)</f>
        <v/>
      </c>
      <c r="BM994">
        <f>IFERROR(INDEX(PP_Grid[#Data],$DD994,63),0)</f>
        <v/>
      </c>
      <c r="BN994">
        <f>IFERROR(INDEX(PP_Grid[#Data],$DD994,64),0)</f>
        <v/>
      </c>
      <c r="BO994">
        <f>IFERROR(INDEX(PP_Grid[#Data],$DD994,65),0)</f>
        <v/>
      </c>
      <c r="BP994">
        <f>IFERROR(INDEX(PP_Grid[#Data],$DD994,66),0)</f>
        <v/>
      </c>
      <c r="BQ994">
        <f>IFERROR(INDEX(PP_Grid[#Data],$DD994,67),0)</f>
        <v/>
      </c>
      <c r="BR994">
        <f>IFERROR(INDEX(PP_Grid[#Data],$DD994,68),0)</f>
        <v/>
      </c>
      <c r="BS994">
        <f>IFERROR(INDEX(PP_Grid[#Data],$DD994,69),0)</f>
        <v/>
      </c>
      <c r="BT994">
        <f>IFERROR(INDEX(PP_Grid[#Data],$DD994,70),0)</f>
        <v/>
      </c>
      <c r="BU994">
        <f>IFERROR(INDEX(PP_Grid[#Data],$DD994,71),0)</f>
        <v/>
      </c>
      <c r="BV994">
        <f>IFERROR(INDEX(PP_Grid[#Data],$DD994,72),0)</f>
        <v/>
      </c>
      <c r="BW994">
        <f>IFERROR(INDEX(PP_Grid[#Data],$DD994,73),0)</f>
        <v/>
      </c>
      <c r="BX994">
        <f>IFERROR(INDEX(PP_Grid[#Data],$DD994,74),0)</f>
        <v/>
      </c>
      <c r="BY994">
        <f>IFERROR(INDEX(PP_Grid[#Data],$DD994,75),0)</f>
        <v/>
      </c>
      <c r="BZ994">
        <f>IFERROR(INDEX(PP_Grid[#Data],$DD994,76),0)</f>
        <v/>
      </c>
      <c r="CA994">
        <f>IFERROR(INDEX(PP_Grid[#Data],$DD994,77),0)</f>
        <v/>
      </c>
      <c r="CB994">
        <f>IFERROR(INDEX(PP_Grid[#Data],$DD994,78),0)</f>
        <v/>
      </c>
      <c r="CC994">
        <f>IFERROR(INDEX(PP_Grid[#Data],$DD994,79),0)</f>
        <v/>
      </c>
      <c r="CD994">
        <f>IFERROR(INDEX(PP_Grid[#Data],$DD994,80),0)</f>
        <v/>
      </c>
      <c r="CE994">
        <f>IFERROR(INDEX(PP_Grid[#Data],$DD994,81),0)</f>
        <v/>
      </c>
      <c r="CF994">
        <f>IFERROR(INDEX(PP_Grid[#Data],$DD994,82),0)</f>
        <v/>
      </c>
      <c r="CG994">
        <f>IFERROR(INDEX(PP_Grid[#Data],$DD994,83),0)</f>
        <v/>
      </c>
      <c r="CH994">
        <f>IFERROR(INDEX(PP_Grid[#Data],$DD994,84),0)</f>
        <v/>
      </c>
      <c r="CI994">
        <f>IFERROR(INDEX(PP_Grid[#Data],$DD994,85),0)</f>
        <v/>
      </c>
      <c r="CJ994">
        <f>IFERROR(INDEX(PP_Grid[#Data],$DD994,86),0)</f>
        <v/>
      </c>
      <c r="CK994">
        <f>IFERROR(INDEX(PP_Grid[#Data],$DD994,87),0)</f>
        <v/>
      </c>
      <c r="CL994">
        <f>IFERROR(INDEX(PP_Grid[#Data],$DD994,88),0)</f>
        <v/>
      </c>
      <c r="CM994">
        <f>IFERROR(INDEX(PP_Grid[#Data],$DD994,89),0)</f>
        <v/>
      </c>
      <c r="CN994">
        <f>IFERROR(INDEX(PP_Grid[#Data],$DD994,90),0)</f>
        <v/>
      </c>
      <c r="CO994">
        <f>IFERROR(INDEX(PP_Grid[#Data],$DD994,91),0)</f>
        <v/>
      </c>
      <c r="CP994">
        <f>IFERROR(INDEX(PP_Grid[#Data],$DD994,92),0)</f>
        <v/>
      </c>
      <c r="CQ994">
        <f>IFERROR(INDEX(PP_Grid[#Data],$DD994,93),0)</f>
        <v/>
      </c>
      <c r="CR994">
        <f>IFERROR(INDEX(PP_Grid[#Data],$DD994,94),0)</f>
        <v/>
      </c>
      <c r="CS994">
        <f>IFERROR(INDEX(PP_Grid[#Data],$DD994,95),0)</f>
        <v/>
      </c>
      <c r="CT994">
        <f>IFERROR(INDEX(PP_Grid[#Data],$DD994,96),0)</f>
        <v/>
      </c>
      <c r="CU994">
        <f>IFERROR(INDEX(PP_Grid[#Data],$DD994,97),0)</f>
        <v/>
      </c>
      <c r="CV994">
        <f>IFERROR(INDEX(PP_Grid[#Data],$DD994,98),0)</f>
        <v/>
      </c>
      <c r="CW994">
        <f>IFERROR(INDEX(PP_Grid[#Data],$DD994,99),0)</f>
        <v/>
      </c>
      <c r="CX994">
        <f>IFERROR(INDEX(PP_Grid[#Data],$DD994,100),0)</f>
        <v/>
      </c>
      <c r="CY994">
        <f>IFERROR(INDEX(PP_Grid[#Data],$DD994,101),0)</f>
        <v/>
      </c>
      <c r="CZ994">
        <f>IFERROR(INDEX(PP_Grid[#Data],$DD994,102),0)</f>
        <v/>
      </c>
      <c r="DA994">
        <f>IFERROR(INDEX(PP_Grid[#Data],$DD994,103),0)</f>
        <v/>
      </c>
      <c r="DB994">
        <f>IFERROR(INDEX(PP_Grid[#Data],$DD994,104),0)</f>
        <v/>
      </c>
      <c r="DC994">
        <f>IFERROR(INDEX(PP_Grid[#Data],$DD994,105),0)</f>
        <v/>
      </c>
      <c r="DD994" s="12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SUMIFS(M_BOM[RM_Qty_Per_Batch],M_BOM[Intermediate],$B994,M_BOM[Part Name],$A953)</f>
        <v/>
      </c>
      <c r="D995">
        <f>$C995*D994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</row>
    <row r="996">
      <c r="B996" t="inlineStr">
        <is>
          <t>TVS-267</t>
        </is>
      </c>
      <c r="C996" t="inlineStr">
        <is>
          <t>No. of batches</t>
        </is>
      </c>
      <c r="D996">
        <f>IFERROR(INDEX(PP_Grid[#Data],$DD996,2),0)</f>
        <v/>
      </c>
      <c r="E996">
        <f>IFERROR(INDEX(PP_Grid[#Data],$DD996,3),0)</f>
        <v/>
      </c>
      <c r="F996">
        <f>IFERROR(INDEX(PP_Grid[#Data],$DD996,4),0)</f>
        <v/>
      </c>
      <c r="G996">
        <f>IFERROR(INDEX(PP_Grid[#Data],$DD996,5),0)</f>
        <v/>
      </c>
      <c r="H996">
        <f>IFERROR(INDEX(PP_Grid[#Data],$DD996,6),0)</f>
        <v/>
      </c>
      <c r="I996">
        <f>IFERROR(INDEX(PP_Grid[#Data],$DD996,7),0)</f>
        <v/>
      </c>
      <c r="J996">
        <f>IFERROR(INDEX(PP_Grid[#Data],$DD996,8),0)</f>
        <v/>
      </c>
      <c r="K996">
        <f>IFERROR(INDEX(PP_Grid[#Data],$DD996,9),0)</f>
        <v/>
      </c>
      <c r="L996">
        <f>IFERROR(INDEX(PP_Grid[#Data],$DD996,10),0)</f>
        <v/>
      </c>
      <c r="M996">
        <f>IFERROR(INDEX(PP_Grid[#Data],$DD996,11),0)</f>
        <v/>
      </c>
      <c r="N996">
        <f>IFERROR(INDEX(PP_Grid[#Data],$DD996,12),0)</f>
        <v/>
      </c>
      <c r="O996">
        <f>IFERROR(INDEX(PP_Grid[#Data],$DD996,13),0)</f>
        <v/>
      </c>
      <c r="P996">
        <f>IFERROR(INDEX(PP_Grid[#Data],$DD996,14),0)</f>
        <v/>
      </c>
      <c r="Q996">
        <f>IFERROR(INDEX(PP_Grid[#Data],$DD996,15),0)</f>
        <v/>
      </c>
      <c r="R996">
        <f>IFERROR(INDEX(PP_Grid[#Data],$DD996,16),0)</f>
        <v/>
      </c>
      <c r="S996">
        <f>IFERROR(INDEX(PP_Grid[#Data],$DD996,17),0)</f>
        <v/>
      </c>
      <c r="T996">
        <f>IFERROR(INDEX(PP_Grid[#Data],$DD996,18),0)</f>
        <v/>
      </c>
      <c r="U996">
        <f>IFERROR(INDEX(PP_Grid[#Data],$DD996,19),0)</f>
        <v/>
      </c>
      <c r="V996">
        <f>IFERROR(INDEX(PP_Grid[#Data],$DD996,20),0)</f>
        <v/>
      </c>
      <c r="W996">
        <f>IFERROR(INDEX(PP_Grid[#Data],$DD996,21),0)</f>
        <v/>
      </c>
      <c r="X996">
        <f>IFERROR(INDEX(PP_Grid[#Data],$DD996,22),0)</f>
        <v/>
      </c>
      <c r="Y996">
        <f>IFERROR(INDEX(PP_Grid[#Data],$DD996,23),0)</f>
        <v/>
      </c>
      <c r="Z996">
        <f>IFERROR(INDEX(PP_Grid[#Data],$DD996,24),0)</f>
        <v/>
      </c>
      <c r="AA996">
        <f>IFERROR(INDEX(PP_Grid[#Data],$DD996,25),0)</f>
        <v/>
      </c>
      <c r="AB996">
        <f>IFERROR(INDEX(PP_Grid[#Data],$DD996,26),0)</f>
        <v/>
      </c>
      <c r="AC996">
        <f>IFERROR(INDEX(PP_Grid[#Data],$DD996,27),0)</f>
        <v/>
      </c>
      <c r="AD996">
        <f>IFERROR(INDEX(PP_Grid[#Data],$DD996,28),0)</f>
        <v/>
      </c>
      <c r="AE996">
        <f>IFERROR(INDEX(PP_Grid[#Data],$DD996,29),0)</f>
        <v/>
      </c>
      <c r="AF996">
        <f>IFERROR(INDEX(PP_Grid[#Data],$DD996,30),0)</f>
        <v/>
      </c>
      <c r="AG996">
        <f>IFERROR(INDEX(PP_Grid[#Data],$DD996,31),0)</f>
        <v/>
      </c>
      <c r="AH996">
        <f>IFERROR(INDEX(PP_Grid[#Data],$DD996,32),0)</f>
        <v/>
      </c>
      <c r="AI996">
        <f>IFERROR(INDEX(PP_Grid[#Data],$DD996,33),0)</f>
        <v/>
      </c>
      <c r="AJ996">
        <f>IFERROR(INDEX(PP_Grid[#Data],$DD996,34),0)</f>
        <v/>
      </c>
      <c r="AK996">
        <f>IFERROR(INDEX(PP_Grid[#Data],$DD996,35),0)</f>
        <v/>
      </c>
      <c r="AL996">
        <f>IFERROR(INDEX(PP_Grid[#Data],$DD996,36),0)</f>
        <v/>
      </c>
      <c r="AM996">
        <f>IFERROR(INDEX(PP_Grid[#Data],$DD996,37),0)</f>
        <v/>
      </c>
      <c r="AN996">
        <f>IFERROR(INDEX(PP_Grid[#Data],$DD996,38),0)</f>
        <v/>
      </c>
      <c r="AO996">
        <f>IFERROR(INDEX(PP_Grid[#Data],$DD996,39),0)</f>
        <v/>
      </c>
      <c r="AP996">
        <f>IFERROR(INDEX(PP_Grid[#Data],$DD996,40),0)</f>
        <v/>
      </c>
      <c r="AQ996">
        <f>IFERROR(INDEX(PP_Grid[#Data],$DD996,41),0)</f>
        <v/>
      </c>
      <c r="AR996">
        <f>IFERROR(INDEX(PP_Grid[#Data],$DD996,42),0)</f>
        <v/>
      </c>
      <c r="AS996">
        <f>IFERROR(INDEX(PP_Grid[#Data],$DD996,43),0)</f>
        <v/>
      </c>
      <c r="AT996">
        <f>IFERROR(INDEX(PP_Grid[#Data],$DD996,44),0)</f>
        <v/>
      </c>
      <c r="AU996">
        <f>IFERROR(INDEX(PP_Grid[#Data],$DD996,45),0)</f>
        <v/>
      </c>
      <c r="AV996">
        <f>IFERROR(INDEX(PP_Grid[#Data],$DD996,46),0)</f>
        <v/>
      </c>
      <c r="AW996">
        <f>IFERROR(INDEX(PP_Grid[#Data],$DD996,47),0)</f>
        <v/>
      </c>
      <c r="AX996">
        <f>IFERROR(INDEX(PP_Grid[#Data],$DD996,48),0)</f>
        <v/>
      </c>
      <c r="AY996">
        <f>IFERROR(INDEX(PP_Grid[#Data],$DD996,49),0)</f>
        <v/>
      </c>
      <c r="AZ996">
        <f>IFERROR(INDEX(PP_Grid[#Data],$DD996,50),0)</f>
        <v/>
      </c>
      <c r="BA996">
        <f>IFERROR(INDEX(PP_Grid[#Data],$DD996,51),0)</f>
        <v/>
      </c>
      <c r="BB996">
        <f>IFERROR(INDEX(PP_Grid[#Data],$DD996,52),0)</f>
        <v/>
      </c>
      <c r="BC996">
        <f>IFERROR(INDEX(PP_Grid[#Data],$DD996,53),0)</f>
        <v/>
      </c>
      <c r="BD996">
        <f>IFERROR(INDEX(PP_Grid[#Data],$DD996,54),0)</f>
        <v/>
      </c>
      <c r="BE996">
        <f>IFERROR(INDEX(PP_Grid[#Data],$DD996,55),0)</f>
        <v/>
      </c>
      <c r="BF996">
        <f>IFERROR(INDEX(PP_Grid[#Data],$DD996,56),0)</f>
        <v/>
      </c>
      <c r="BG996">
        <f>IFERROR(INDEX(PP_Grid[#Data],$DD996,57),0)</f>
        <v/>
      </c>
      <c r="BH996">
        <f>IFERROR(INDEX(PP_Grid[#Data],$DD996,58),0)</f>
        <v/>
      </c>
      <c r="BI996">
        <f>IFERROR(INDEX(PP_Grid[#Data],$DD996,59),0)</f>
        <v/>
      </c>
      <c r="BJ996">
        <f>IFERROR(INDEX(PP_Grid[#Data],$DD996,60),0)</f>
        <v/>
      </c>
      <c r="BK996">
        <f>IFERROR(INDEX(PP_Grid[#Data],$DD996,61),0)</f>
        <v/>
      </c>
      <c r="BL996">
        <f>IFERROR(INDEX(PP_Grid[#Data],$DD996,62),0)</f>
        <v/>
      </c>
      <c r="BM996">
        <f>IFERROR(INDEX(PP_Grid[#Data],$DD996,63),0)</f>
        <v/>
      </c>
      <c r="BN996">
        <f>IFERROR(INDEX(PP_Grid[#Data],$DD996,64),0)</f>
        <v/>
      </c>
      <c r="BO996">
        <f>IFERROR(INDEX(PP_Grid[#Data],$DD996,65),0)</f>
        <v/>
      </c>
      <c r="BP996">
        <f>IFERROR(INDEX(PP_Grid[#Data],$DD996,66),0)</f>
        <v/>
      </c>
      <c r="BQ996">
        <f>IFERROR(INDEX(PP_Grid[#Data],$DD996,67),0)</f>
        <v/>
      </c>
      <c r="BR996">
        <f>IFERROR(INDEX(PP_Grid[#Data],$DD996,68),0)</f>
        <v/>
      </c>
      <c r="BS996">
        <f>IFERROR(INDEX(PP_Grid[#Data],$DD996,69),0)</f>
        <v/>
      </c>
      <c r="BT996">
        <f>IFERROR(INDEX(PP_Grid[#Data],$DD996,70),0)</f>
        <v/>
      </c>
      <c r="BU996">
        <f>IFERROR(INDEX(PP_Grid[#Data],$DD996,71),0)</f>
        <v/>
      </c>
      <c r="BV996">
        <f>IFERROR(INDEX(PP_Grid[#Data],$DD996,72),0)</f>
        <v/>
      </c>
      <c r="BW996">
        <f>IFERROR(INDEX(PP_Grid[#Data],$DD996,73),0)</f>
        <v/>
      </c>
      <c r="BX996">
        <f>IFERROR(INDEX(PP_Grid[#Data],$DD996,74),0)</f>
        <v/>
      </c>
      <c r="BY996">
        <f>IFERROR(INDEX(PP_Grid[#Data],$DD996,75),0)</f>
        <v/>
      </c>
      <c r="BZ996">
        <f>IFERROR(INDEX(PP_Grid[#Data],$DD996,76),0)</f>
        <v/>
      </c>
      <c r="CA996">
        <f>IFERROR(INDEX(PP_Grid[#Data],$DD996,77),0)</f>
        <v/>
      </c>
      <c r="CB996">
        <f>IFERROR(INDEX(PP_Grid[#Data],$DD996,78),0)</f>
        <v/>
      </c>
      <c r="CC996">
        <f>IFERROR(INDEX(PP_Grid[#Data],$DD996,79),0)</f>
        <v/>
      </c>
      <c r="CD996">
        <f>IFERROR(INDEX(PP_Grid[#Data],$DD996,80),0)</f>
        <v/>
      </c>
      <c r="CE996">
        <f>IFERROR(INDEX(PP_Grid[#Data],$DD996,81),0)</f>
        <v/>
      </c>
      <c r="CF996">
        <f>IFERROR(INDEX(PP_Grid[#Data],$DD996,82),0)</f>
        <v/>
      </c>
      <c r="CG996">
        <f>IFERROR(INDEX(PP_Grid[#Data],$DD996,83),0)</f>
        <v/>
      </c>
      <c r="CH996">
        <f>IFERROR(INDEX(PP_Grid[#Data],$DD996,84),0)</f>
        <v/>
      </c>
      <c r="CI996">
        <f>IFERROR(INDEX(PP_Grid[#Data],$DD996,85),0)</f>
        <v/>
      </c>
      <c r="CJ996">
        <f>IFERROR(INDEX(PP_Grid[#Data],$DD996,86),0)</f>
        <v/>
      </c>
      <c r="CK996">
        <f>IFERROR(INDEX(PP_Grid[#Data],$DD996,87),0)</f>
        <v/>
      </c>
      <c r="CL996">
        <f>IFERROR(INDEX(PP_Grid[#Data],$DD996,88),0)</f>
        <v/>
      </c>
      <c r="CM996">
        <f>IFERROR(INDEX(PP_Grid[#Data],$DD996,89),0)</f>
        <v/>
      </c>
      <c r="CN996">
        <f>IFERROR(INDEX(PP_Grid[#Data],$DD996,90),0)</f>
        <v/>
      </c>
      <c r="CO996">
        <f>IFERROR(INDEX(PP_Grid[#Data],$DD996,91),0)</f>
        <v/>
      </c>
      <c r="CP996">
        <f>IFERROR(INDEX(PP_Grid[#Data],$DD996,92),0)</f>
        <v/>
      </c>
      <c r="CQ996">
        <f>IFERROR(INDEX(PP_Grid[#Data],$DD996,93),0)</f>
        <v/>
      </c>
      <c r="CR996">
        <f>IFERROR(INDEX(PP_Grid[#Data],$DD996,94),0)</f>
        <v/>
      </c>
      <c r="CS996">
        <f>IFERROR(INDEX(PP_Grid[#Data],$DD996,95),0)</f>
        <v/>
      </c>
      <c r="CT996">
        <f>IFERROR(INDEX(PP_Grid[#Data],$DD996,96),0)</f>
        <v/>
      </c>
      <c r="CU996">
        <f>IFERROR(INDEX(PP_Grid[#Data],$DD996,97),0)</f>
        <v/>
      </c>
      <c r="CV996">
        <f>IFERROR(INDEX(PP_Grid[#Data],$DD996,98),0)</f>
        <v/>
      </c>
      <c r="CW996">
        <f>IFERROR(INDEX(PP_Grid[#Data],$DD996,99),0)</f>
        <v/>
      </c>
      <c r="CX996">
        <f>IFERROR(INDEX(PP_Grid[#Data],$DD996,100),0)</f>
        <v/>
      </c>
      <c r="CY996">
        <f>IFERROR(INDEX(PP_Grid[#Data],$DD996,101),0)</f>
        <v/>
      </c>
      <c r="CZ996">
        <f>IFERROR(INDEX(PP_Grid[#Data],$DD996,102),0)</f>
        <v/>
      </c>
      <c r="DA996">
        <f>IFERROR(INDEX(PP_Grid[#Data],$DD996,103),0)</f>
        <v/>
      </c>
      <c r="DB996">
        <f>IFERROR(INDEX(PP_Grid[#Data],$DD996,104),0)</f>
        <v/>
      </c>
      <c r="DC996">
        <f>IFERROR(INDEX(PP_Grid[#Data],$DD996,105),0)</f>
        <v/>
      </c>
      <c r="DD996" s="12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SUMIFS(M_BOM[RM_Qty_Per_Batch],M_BOM[Intermediate],$B996,M_BOM[Part Name],$A953)</f>
        <v/>
      </c>
      <c r="D997">
        <f>$C997*D996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</row>
    <row r="998">
      <c r="B998" t="inlineStr">
        <is>
          <t>TVS-500</t>
        </is>
      </c>
      <c r="C998" t="inlineStr">
        <is>
          <t>No. of batches</t>
        </is>
      </c>
      <c r="D998">
        <f>IFERROR(INDEX(PP_Grid[#Data],$DD998,2),0)</f>
        <v/>
      </c>
      <c r="E998">
        <f>IFERROR(INDEX(PP_Grid[#Data],$DD998,3),0)</f>
        <v/>
      </c>
      <c r="F998">
        <f>IFERROR(INDEX(PP_Grid[#Data],$DD998,4),0)</f>
        <v/>
      </c>
      <c r="G998">
        <f>IFERROR(INDEX(PP_Grid[#Data],$DD998,5),0)</f>
        <v/>
      </c>
      <c r="H998">
        <f>IFERROR(INDEX(PP_Grid[#Data],$DD998,6),0)</f>
        <v/>
      </c>
      <c r="I998">
        <f>IFERROR(INDEX(PP_Grid[#Data],$DD998,7),0)</f>
        <v/>
      </c>
      <c r="J998">
        <f>IFERROR(INDEX(PP_Grid[#Data],$DD998,8),0)</f>
        <v/>
      </c>
      <c r="K998">
        <f>IFERROR(INDEX(PP_Grid[#Data],$DD998,9),0)</f>
        <v/>
      </c>
      <c r="L998">
        <f>IFERROR(INDEX(PP_Grid[#Data],$DD998,10),0)</f>
        <v/>
      </c>
      <c r="M998">
        <f>IFERROR(INDEX(PP_Grid[#Data],$DD998,11),0)</f>
        <v/>
      </c>
      <c r="N998">
        <f>IFERROR(INDEX(PP_Grid[#Data],$DD998,12),0)</f>
        <v/>
      </c>
      <c r="O998">
        <f>IFERROR(INDEX(PP_Grid[#Data],$DD998,13),0)</f>
        <v/>
      </c>
      <c r="P998">
        <f>IFERROR(INDEX(PP_Grid[#Data],$DD998,14),0)</f>
        <v/>
      </c>
      <c r="Q998">
        <f>IFERROR(INDEX(PP_Grid[#Data],$DD998,15),0)</f>
        <v/>
      </c>
      <c r="R998">
        <f>IFERROR(INDEX(PP_Grid[#Data],$DD998,16),0)</f>
        <v/>
      </c>
      <c r="S998">
        <f>IFERROR(INDEX(PP_Grid[#Data],$DD998,17),0)</f>
        <v/>
      </c>
      <c r="T998">
        <f>IFERROR(INDEX(PP_Grid[#Data],$DD998,18),0)</f>
        <v/>
      </c>
      <c r="U998">
        <f>IFERROR(INDEX(PP_Grid[#Data],$DD998,19),0)</f>
        <v/>
      </c>
      <c r="V998">
        <f>IFERROR(INDEX(PP_Grid[#Data],$DD998,20),0)</f>
        <v/>
      </c>
      <c r="W998">
        <f>IFERROR(INDEX(PP_Grid[#Data],$DD998,21),0)</f>
        <v/>
      </c>
      <c r="X998">
        <f>IFERROR(INDEX(PP_Grid[#Data],$DD998,22),0)</f>
        <v/>
      </c>
      <c r="Y998">
        <f>IFERROR(INDEX(PP_Grid[#Data],$DD998,23),0)</f>
        <v/>
      </c>
      <c r="Z998">
        <f>IFERROR(INDEX(PP_Grid[#Data],$DD998,24),0)</f>
        <v/>
      </c>
      <c r="AA998">
        <f>IFERROR(INDEX(PP_Grid[#Data],$DD998,25),0)</f>
        <v/>
      </c>
      <c r="AB998">
        <f>IFERROR(INDEX(PP_Grid[#Data],$DD998,26),0)</f>
        <v/>
      </c>
      <c r="AC998">
        <f>IFERROR(INDEX(PP_Grid[#Data],$DD998,27),0)</f>
        <v/>
      </c>
      <c r="AD998">
        <f>IFERROR(INDEX(PP_Grid[#Data],$DD998,28),0)</f>
        <v/>
      </c>
      <c r="AE998">
        <f>IFERROR(INDEX(PP_Grid[#Data],$DD998,29),0)</f>
        <v/>
      </c>
      <c r="AF998">
        <f>IFERROR(INDEX(PP_Grid[#Data],$DD998,30),0)</f>
        <v/>
      </c>
      <c r="AG998">
        <f>IFERROR(INDEX(PP_Grid[#Data],$DD998,31),0)</f>
        <v/>
      </c>
      <c r="AH998">
        <f>IFERROR(INDEX(PP_Grid[#Data],$DD998,32),0)</f>
        <v/>
      </c>
      <c r="AI998">
        <f>IFERROR(INDEX(PP_Grid[#Data],$DD998,33),0)</f>
        <v/>
      </c>
      <c r="AJ998">
        <f>IFERROR(INDEX(PP_Grid[#Data],$DD998,34),0)</f>
        <v/>
      </c>
      <c r="AK998">
        <f>IFERROR(INDEX(PP_Grid[#Data],$DD998,35),0)</f>
        <v/>
      </c>
      <c r="AL998">
        <f>IFERROR(INDEX(PP_Grid[#Data],$DD998,36),0)</f>
        <v/>
      </c>
      <c r="AM998">
        <f>IFERROR(INDEX(PP_Grid[#Data],$DD998,37),0)</f>
        <v/>
      </c>
      <c r="AN998">
        <f>IFERROR(INDEX(PP_Grid[#Data],$DD998,38),0)</f>
        <v/>
      </c>
      <c r="AO998">
        <f>IFERROR(INDEX(PP_Grid[#Data],$DD998,39),0)</f>
        <v/>
      </c>
      <c r="AP998">
        <f>IFERROR(INDEX(PP_Grid[#Data],$DD998,40),0)</f>
        <v/>
      </c>
      <c r="AQ998">
        <f>IFERROR(INDEX(PP_Grid[#Data],$DD998,41),0)</f>
        <v/>
      </c>
      <c r="AR998">
        <f>IFERROR(INDEX(PP_Grid[#Data],$DD998,42),0)</f>
        <v/>
      </c>
      <c r="AS998">
        <f>IFERROR(INDEX(PP_Grid[#Data],$DD998,43),0)</f>
        <v/>
      </c>
      <c r="AT998">
        <f>IFERROR(INDEX(PP_Grid[#Data],$DD998,44),0)</f>
        <v/>
      </c>
      <c r="AU998">
        <f>IFERROR(INDEX(PP_Grid[#Data],$DD998,45),0)</f>
        <v/>
      </c>
      <c r="AV998">
        <f>IFERROR(INDEX(PP_Grid[#Data],$DD998,46),0)</f>
        <v/>
      </c>
      <c r="AW998">
        <f>IFERROR(INDEX(PP_Grid[#Data],$DD998,47),0)</f>
        <v/>
      </c>
      <c r="AX998">
        <f>IFERROR(INDEX(PP_Grid[#Data],$DD998,48),0)</f>
        <v/>
      </c>
      <c r="AY998">
        <f>IFERROR(INDEX(PP_Grid[#Data],$DD998,49),0)</f>
        <v/>
      </c>
      <c r="AZ998">
        <f>IFERROR(INDEX(PP_Grid[#Data],$DD998,50),0)</f>
        <v/>
      </c>
      <c r="BA998">
        <f>IFERROR(INDEX(PP_Grid[#Data],$DD998,51),0)</f>
        <v/>
      </c>
      <c r="BB998">
        <f>IFERROR(INDEX(PP_Grid[#Data],$DD998,52),0)</f>
        <v/>
      </c>
      <c r="BC998">
        <f>IFERROR(INDEX(PP_Grid[#Data],$DD998,53),0)</f>
        <v/>
      </c>
      <c r="BD998">
        <f>IFERROR(INDEX(PP_Grid[#Data],$DD998,54),0)</f>
        <v/>
      </c>
      <c r="BE998">
        <f>IFERROR(INDEX(PP_Grid[#Data],$DD998,55),0)</f>
        <v/>
      </c>
      <c r="BF998">
        <f>IFERROR(INDEX(PP_Grid[#Data],$DD998,56),0)</f>
        <v/>
      </c>
      <c r="BG998">
        <f>IFERROR(INDEX(PP_Grid[#Data],$DD998,57),0)</f>
        <v/>
      </c>
      <c r="BH998">
        <f>IFERROR(INDEX(PP_Grid[#Data],$DD998,58),0)</f>
        <v/>
      </c>
      <c r="BI998">
        <f>IFERROR(INDEX(PP_Grid[#Data],$DD998,59),0)</f>
        <v/>
      </c>
      <c r="BJ998">
        <f>IFERROR(INDEX(PP_Grid[#Data],$DD998,60),0)</f>
        <v/>
      </c>
      <c r="BK998">
        <f>IFERROR(INDEX(PP_Grid[#Data],$DD998,61),0)</f>
        <v/>
      </c>
      <c r="BL998">
        <f>IFERROR(INDEX(PP_Grid[#Data],$DD998,62),0)</f>
        <v/>
      </c>
      <c r="BM998">
        <f>IFERROR(INDEX(PP_Grid[#Data],$DD998,63),0)</f>
        <v/>
      </c>
      <c r="BN998">
        <f>IFERROR(INDEX(PP_Grid[#Data],$DD998,64),0)</f>
        <v/>
      </c>
      <c r="BO998">
        <f>IFERROR(INDEX(PP_Grid[#Data],$DD998,65),0)</f>
        <v/>
      </c>
      <c r="BP998">
        <f>IFERROR(INDEX(PP_Grid[#Data],$DD998,66),0)</f>
        <v/>
      </c>
      <c r="BQ998">
        <f>IFERROR(INDEX(PP_Grid[#Data],$DD998,67),0)</f>
        <v/>
      </c>
      <c r="BR998">
        <f>IFERROR(INDEX(PP_Grid[#Data],$DD998,68),0)</f>
        <v/>
      </c>
      <c r="BS998">
        <f>IFERROR(INDEX(PP_Grid[#Data],$DD998,69),0)</f>
        <v/>
      </c>
      <c r="BT998">
        <f>IFERROR(INDEX(PP_Grid[#Data],$DD998,70),0)</f>
        <v/>
      </c>
      <c r="BU998">
        <f>IFERROR(INDEX(PP_Grid[#Data],$DD998,71),0)</f>
        <v/>
      </c>
      <c r="BV998">
        <f>IFERROR(INDEX(PP_Grid[#Data],$DD998,72),0)</f>
        <v/>
      </c>
      <c r="BW998">
        <f>IFERROR(INDEX(PP_Grid[#Data],$DD998,73),0)</f>
        <v/>
      </c>
      <c r="BX998">
        <f>IFERROR(INDEX(PP_Grid[#Data],$DD998,74),0)</f>
        <v/>
      </c>
      <c r="BY998">
        <f>IFERROR(INDEX(PP_Grid[#Data],$DD998,75),0)</f>
        <v/>
      </c>
      <c r="BZ998">
        <f>IFERROR(INDEX(PP_Grid[#Data],$DD998,76),0)</f>
        <v/>
      </c>
      <c r="CA998">
        <f>IFERROR(INDEX(PP_Grid[#Data],$DD998,77),0)</f>
        <v/>
      </c>
      <c r="CB998">
        <f>IFERROR(INDEX(PP_Grid[#Data],$DD998,78),0)</f>
        <v/>
      </c>
      <c r="CC998">
        <f>IFERROR(INDEX(PP_Grid[#Data],$DD998,79),0)</f>
        <v/>
      </c>
      <c r="CD998">
        <f>IFERROR(INDEX(PP_Grid[#Data],$DD998,80),0)</f>
        <v/>
      </c>
      <c r="CE998">
        <f>IFERROR(INDEX(PP_Grid[#Data],$DD998,81),0)</f>
        <v/>
      </c>
      <c r="CF998">
        <f>IFERROR(INDEX(PP_Grid[#Data],$DD998,82),0)</f>
        <v/>
      </c>
      <c r="CG998">
        <f>IFERROR(INDEX(PP_Grid[#Data],$DD998,83),0)</f>
        <v/>
      </c>
      <c r="CH998">
        <f>IFERROR(INDEX(PP_Grid[#Data],$DD998,84),0)</f>
        <v/>
      </c>
      <c r="CI998">
        <f>IFERROR(INDEX(PP_Grid[#Data],$DD998,85),0)</f>
        <v/>
      </c>
      <c r="CJ998">
        <f>IFERROR(INDEX(PP_Grid[#Data],$DD998,86),0)</f>
        <v/>
      </c>
      <c r="CK998">
        <f>IFERROR(INDEX(PP_Grid[#Data],$DD998,87),0)</f>
        <v/>
      </c>
      <c r="CL998">
        <f>IFERROR(INDEX(PP_Grid[#Data],$DD998,88),0)</f>
        <v/>
      </c>
      <c r="CM998">
        <f>IFERROR(INDEX(PP_Grid[#Data],$DD998,89),0)</f>
        <v/>
      </c>
      <c r="CN998">
        <f>IFERROR(INDEX(PP_Grid[#Data],$DD998,90),0)</f>
        <v/>
      </c>
      <c r="CO998">
        <f>IFERROR(INDEX(PP_Grid[#Data],$DD998,91),0)</f>
        <v/>
      </c>
      <c r="CP998">
        <f>IFERROR(INDEX(PP_Grid[#Data],$DD998,92),0)</f>
        <v/>
      </c>
      <c r="CQ998">
        <f>IFERROR(INDEX(PP_Grid[#Data],$DD998,93),0)</f>
        <v/>
      </c>
      <c r="CR998">
        <f>IFERROR(INDEX(PP_Grid[#Data],$DD998,94),0)</f>
        <v/>
      </c>
      <c r="CS998">
        <f>IFERROR(INDEX(PP_Grid[#Data],$DD998,95),0)</f>
        <v/>
      </c>
      <c r="CT998">
        <f>IFERROR(INDEX(PP_Grid[#Data],$DD998,96),0)</f>
        <v/>
      </c>
      <c r="CU998">
        <f>IFERROR(INDEX(PP_Grid[#Data],$DD998,97),0)</f>
        <v/>
      </c>
      <c r="CV998">
        <f>IFERROR(INDEX(PP_Grid[#Data],$DD998,98),0)</f>
        <v/>
      </c>
      <c r="CW998">
        <f>IFERROR(INDEX(PP_Grid[#Data],$DD998,99),0)</f>
        <v/>
      </c>
      <c r="CX998">
        <f>IFERROR(INDEX(PP_Grid[#Data],$DD998,100),0)</f>
        <v/>
      </c>
      <c r="CY998">
        <f>IFERROR(INDEX(PP_Grid[#Data],$DD998,101),0)</f>
        <v/>
      </c>
      <c r="CZ998">
        <f>IFERROR(INDEX(PP_Grid[#Data],$DD998,102),0)</f>
        <v/>
      </c>
      <c r="DA998">
        <f>IFERROR(INDEX(PP_Grid[#Data],$DD998,103),0)</f>
        <v/>
      </c>
      <c r="DB998">
        <f>IFERROR(INDEX(PP_Grid[#Data],$DD998,104),0)</f>
        <v/>
      </c>
      <c r="DC998">
        <f>IFERROR(INDEX(PP_Grid[#Data],$DD998,105),0)</f>
        <v/>
      </c>
      <c r="DD998" s="12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SUMIFS(M_BOM[RM_Qty_Per_Batch],M_BOM[Intermediate],$B998,M_BOM[Part Name],$A953)</f>
        <v/>
      </c>
      <c r="D999">
        <f>$C999*D998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</row>
    <row r="1000">
      <c r="B1000" t="inlineStr">
        <is>
          <t>TVS-664</t>
        </is>
      </c>
      <c r="C1000" t="inlineStr">
        <is>
          <t>No. of batches</t>
        </is>
      </c>
      <c r="D1000">
        <f>IFERROR(INDEX(PP_Grid[#Data],$DD1000,2),0)</f>
        <v/>
      </c>
      <c r="E1000">
        <f>IFERROR(INDEX(PP_Grid[#Data],$DD1000,3),0)</f>
        <v/>
      </c>
      <c r="F1000">
        <f>IFERROR(INDEX(PP_Grid[#Data],$DD1000,4),0)</f>
        <v/>
      </c>
      <c r="G1000">
        <f>IFERROR(INDEX(PP_Grid[#Data],$DD1000,5),0)</f>
        <v/>
      </c>
      <c r="H1000">
        <f>IFERROR(INDEX(PP_Grid[#Data],$DD1000,6),0)</f>
        <v/>
      </c>
      <c r="I1000">
        <f>IFERROR(INDEX(PP_Grid[#Data],$DD1000,7),0)</f>
        <v/>
      </c>
      <c r="J1000">
        <f>IFERROR(INDEX(PP_Grid[#Data],$DD1000,8),0)</f>
        <v/>
      </c>
      <c r="K1000">
        <f>IFERROR(INDEX(PP_Grid[#Data],$DD1000,9),0)</f>
        <v/>
      </c>
      <c r="L1000">
        <f>IFERROR(INDEX(PP_Grid[#Data],$DD1000,10),0)</f>
        <v/>
      </c>
      <c r="M1000">
        <f>IFERROR(INDEX(PP_Grid[#Data],$DD1000,11),0)</f>
        <v/>
      </c>
      <c r="N1000">
        <f>IFERROR(INDEX(PP_Grid[#Data],$DD1000,12),0)</f>
        <v/>
      </c>
      <c r="O1000">
        <f>IFERROR(INDEX(PP_Grid[#Data],$DD1000,13),0)</f>
        <v/>
      </c>
      <c r="P1000">
        <f>IFERROR(INDEX(PP_Grid[#Data],$DD1000,14),0)</f>
        <v/>
      </c>
      <c r="Q1000">
        <f>IFERROR(INDEX(PP_Grid[#Data],$DD1000,15),0)</f>
        <v/>
      </c>
      <c r="R1000">
        <f>IFERROR(INDEX(PP_Grid[#Data],$DD1000,16),0)</f>
        <v/>
      </c>
      <c r="S1000">
        <f>IFERROR(INDEX(PP_Grid[#Data],$DD1000,17),0)</f>
        <v/>
      </c>
      <c r="T1000">
        <f>IFERROR(INDEX(PP_Grid[#Data],$DD1000,18),0)</f>
        <v/>
      </c>
      <c r="U1000">
        <f>IFERROR(INDEX(PP_Grid[#Data],$DD1000,19),0)</f>
        <v/>
      </c>
      <c r="V1000">
        <f>IFERROR(INDEX(PP_Grid[#Data],$DD1000,20),0)</f>
        <v/>
      </c>
      <c r="W1000">
        <f>IFERROR(INDEX(PP_Grid[#Data],$DD1000,21),0)</f>
        <v/>
      </c>
      <c r="X1000">
        <f>IFERROR(INDEX(PP_Grid[#Data],$DD1000,22),0)</f>
        <v/>
      </c>
      <c r="Y1000">
        <f>IFERROR(INDEX(PP_Grid[#Data],$DD1000,23),0)</f>
        <v/>
      </c>
      <c r="Z1000">
        <f>IFERROR(INDEX(PP_Grid[#Data],$DD1000,24),0)</f>
        <v/>
      </c>
      <c r="AA1000">
        <f>IFERROR(INDEX(PP_Grid[#Data],$DD1000,25),0)</f>
        <v/>
      </c>
      <c r="AB1000">
        <f>IFERROR(INDEX(PP_Grid[#Data],$DD1000,26),0)</f>
        <v/>
      </c>
      <c r="AC1000">
        <f>IFERROR(INDEX(PP_Grid[#Data],$DD1000,27),0)</f>
        <v/>
      </c>
      <c r="AD1000">
        <f>IFERROR(INDEX(PP_Grid[#Data],$DD1000,28),0)</f>
        <v/>
      </c>
      <c r="AE1000">
        <f>IFERROR(INDEX(PP_Grid[#Data],$DD1000,29),0)</f>
        <v/>
      </c>
      <c r="AF1000">
        <f>IFERROR(INDEX(PP_Grid[#Data],$DD1000,30),0)</f>
        <v/>
      </c>
      <c r="AG1000">
        <f>IFERROR(INDEX(PP_Grid[#Data],$DD1000,31),0)</f>
        <v/>
      </c>
      <c r="AH1000">
        <f>IFERROR(INDEX(PP_Grid[#Data],$DD1000,32),0)</f>
        <v/>
      </c>
      <c r="AI1000">
        <f>IFERROR(INDEX(PP_Grid[#Data],$DD1000,33),0)</f>
        <v/>
      </c>
      <c r="AJ1000">
        <f>IFERROR(INDEX(PP_Grid[#Data],$DD1000,34),0)</f>
        <v/>
      </c>
      <c r="AK1000">
        <f>IFERROR(INDEX(PP_Grid[#Data],$DD1000,35),0)</f>
        <v/>
      </c>
      <c r="AL1000">
        <f>IFERROR(INDEX(PP_Grid[#Data],$DD1000,36),0)</f>
        <v/>
      </c>
      <c r="AM1000">
        <f>IFERROR(INDEX(PP_Grid[#Data],$DD1000,37),0)</f>
        <v/>
      </c>
      <c r="AN1000">
        <f>IFERROR(INDEX(PP_Grid[#Data],$DD1000,38),0)</f>
        <v/>
      </c>
      <c r="AO1000">
        <f>IFERROR(INDEX(PP_Grid[#Data],$DD1000,39),0)</f>
        <v/>
      </c>
      <c r="AP1000">
        <f>IFERROR(INDEX(PP_Grid[#Data],$DD1000,40),0)</f>
        <v/>
      </c>
      <c r="AQ1000">
        <f>IFERROR(INDEX(PP_Grid[#Data],$DD1000,41),0)</f>
        <v/>
      </c>
      <c r="AR1000">
        <f>IFERROR(INDEX(PP_Grid[#Data],$DD1000,42),0)</f>
        <v/>
      </c>
      <c r="AS1000">
        <f>IFERROR(INDEX(PP_Grid[#Data],$DD1000,43),0)</f>
        <v/>
      </c>
      <c r="AT1000">
        <f>IFERROR(INDEX(PP_Grid[#Data],$DD1000,44),0)</f>
        <v/>
      </c>
      <c r="AU1000">
        <f>IFERROR(INDEX(PP_Grid[#Data],$DD1000,45),0)</f>
        <v/>
      </c>
      <c r="AV1000">
        <f>IFERROR(INDEX(PP_Grid[#Data],$DD1000,46),0)</f>
        <v/>
      </c>
      <c r="AW1000">
        <f>IFERROR(INDEX(PP_Grid[#Data],$DD1000,47),0)</f>
        <v/>
      </c>
      <c r="AX1000">
        <f>IFERROR(INDEX(PP_Grid[#Data],$DD1000,48),0)</f>
        <v/>
      </c>
      <c r="AY1000">
        <f>IFERROR(INDEX(PP_Grid[#Data],$DD1000,49),0)</f>
        <v/>
      </c>
      <c r="AZ1000">
        <f>IFERROR(INDEX(PP_Grid[#Data],$DD1000,50),0)</f>
        <v/>
      </c>
      <c r="BA1000">
        <f>IFERROR(INDEX(PP_Grid[#Data],$DD1000,51),0)</f>
        <v/>
      </c>
      <c r="BB1000">
        <f>IFERROR(INDEX(PP_Grid[#Data],$DD1000,52),0)</f>
        <v/>
      </c>
      <c r="BC1000">
        <f>IFERROR(INDEX(PP_Grid[#Data],$DD1000,53),0)</f>
        <v/>
      </c>
      <c r="BD1000">
        <f>IFERROR(INDEX(PP_Grid[#Data],$DD1000,54),0)</f>
        <v/>
      </c>
      <c r="BE1000">
        <f>IFERROR(INDEX(PP_Grid[#Data],$DD1000,55),0)</f>
        <v/>
      </c>
      <c r="BF1000">
        <f>IFERROR(INDEX(PP_Grid[#Data],$DD1000,56),0)</f>
        <v/>
      </c>
      <c r="BG1000">
        <f>IFERROR(INDEX(PP_Grid[#Data],$DD1000,57),0)</f>
        <v/>
      </c>
      <c r="BH1000">
        <f>IFERROR(INDEX(PP_Grid[#Data],$DD1000,58),0)</f>
        <v/>
      </c>
      <c r="BI1000">
        <f>IFERROR(INDEX(PP_Grid[#Data],$DD1000,59),0)</f>
        <v/>
      </c>
      <c r="BJ1000">
        <f>IFERROR(INDEX(PP_Grid[#Data],$DD1000,60),0)</f>
        <v/>
      </c>
      <c r="BK1000">
        <f>IFERROR(INDEX(PP_Grid[#Data],$DD1000,61),0)</f>
        <v/>
      </c>
      <c r="BL1000">
        <f>IFERROR(INDEX(PP_Grid[#Data],$DD1000,62),0)</f>
        <v/>
      </c>
      <c r="BM1000">
        <f>IFERROR(INDEX(PP_Grid[#Data],$DD1000,63),0)</f>
        <v/>
      </c>
      <c r="BN1000">
        <f>IFERROR(INDEX(PP_Grid[#Data],$DD1000,64),0)</f>
        <v/>
      </c>
      <c r="BO1000">
        <f>IFERROR(INDEX(PP_Grid[#Data],$DD1000,65),0)</f>
        <v/>
      </c>
      <c r="BP1000">
        <f>IFERROR(INDEX(PP_Grid[#Data],$DD1000,66),0)</f>
        <v/>
      </c>
      <c r="BQ1000">
        <f>IFERROR(INDEX(PP_Grid[#Data],$DD1000,67),0)</f>
        <v/>
      </c>
      <c r="BR1000">
        <f>IFERROR(INDEX(PP_Grid[#Data],$DD1000,68),0)</f>
        <v/>
      </c>
      <c r="BS1000">
        <f>IFERROR(INDEX(PP_Grid[#Data],$DD1000,69),0)</f>
        <v/>
      </c>
      <c r="BT1000">
        <f>IFERROR(INDEX(PP_Grid[#Data],$DD1000,70),0)</f>
        <v/>
      </c>
      <c r="BU1000">
        <f>IFERROR(INDEX(PP_Grid[#Data],$DD1000,71),0)</f>
        <v/>
      </c>
      <c r="BV1000">
        <f>IFERROR(INDEX(PP_Grid[#Data],$DD1000,72),0)</f>
        <v/>
      </c>
      <c r="BW1000">
        <f>IFERROR(INDEX(PP_Grid[#Data],$DD1000,73),0)</f>
        <v/>
      </c>
      <c r="BX1000">
        <f>IFERROR(INDEX(PP_Grid[#Data],$DD1000,74),0)</f>
        <v/>
      </c>
      <c r="BY1000">
        <f>IFERROR(INDEX(PP_Grid[#Data],$DD1000,75),0)</f>
        <v/>
      </c>
      <c r="BZ1000">
        <f>IFERROR(INDEX(PP_Grid[#Data],$DD1000,76),0)</f>
        <v/>
      </c>
      <c r="CA1000">
        <f>IFERROR(INDEX(PP_Grid[#Data],$DD1000,77),0)</f>
        <v/>
      </c>
      <c r="CB1000">
        <f>IFERROR(INDEX(PP_Grid[#Data],$DD1000,78),0)</f>
        <v/>
      </c>
      <c r="CC1000">
        <f>IFERROR(INDEX(PP_Grid[#Data],$DD1000,79),0)</f>
        <v/>
      </c>
      <c r="CD1000">
        <f>IFERROR(INDEX(PP_Grid[#Data],$DD1000,80),0)</f>
        <v/>
      </c>
      <c r="CE1000">
        <f>IFERROR(INDEX(PP_Grid[#Data],$DD1000,81),0)</f>
        <v/>
      </c>
      <c r="CF1000">
        <f>IFERROR(INDEX(PP_Grid[#Data],$DD1000,82),0)</f>
        <v/>
      </c>
      <c r="CG1000">
        <f>IFERROR(INDEX(PP_Grid[#Data],$DD1000,83),0)</f>
        <v/>
      </c>
      <c r="CH1000">
        <f>IFERROR(INDEX(PP_Grid[#Data],$DD1000,84),0)</f>
        <v/>
      </c>
      <c r="CI1000">
        <f>IFERROR(INDEX(PP_Grid[#Data],$DD1000,85),0)</f>
        <v/>
      </c>
      <c r="CJ1000">
        <f>IFERROR(INDEX(PP_Grid[#Data],$DD1000,86),0)</f>
        <v/>
      </c>
      <c r="CK1000">
        <f>IFERROR(INDEX(PP_Grid[#Data],$DD1000,87),0)</f>
        <v/>
      </c>
      <c r="CL1000">
        <f>IFERROR(INDEX(PP_Grid[#Data],$DD1000,88),0)</f>
        <v/>
      </c>
      <c r="CM1000">
        <f>IFERROR(INDEX(PP_Grid[#Data],$DD1000,89),0)</f>
        <v/>
      </c>
      <c r="CN1000">
        <f>IFERROR(INDEX(PP_Grid[#Data],$DD1000,90),0)</f>
        <v/>
      </c>
      <c r="CO1000">
        <f>IFERROR(INDEX(PP_Grid[#Data],$DD1000,91),0)</f>
        <v/>
      </c>
      <c r="CP1000">
        <f>IFERROR(INDEX(PP_Grid[#Data],$DD1000,92),0)</f>
        <v/>
      </c>
      <c r="CQ1000">
        <f>IFERROR(INDEX(PP_Grid[#Data],$DD1000,93),0)</f>
        <v/>
      </c>
      <c r="CR1000">
        <f>IFERROR(INDEX(PP_Grid[#Data],$DD1000,94),0)</f>
        <v/>
      </c>
      <c r="CS1000">
        <f>IFERROR(INDEX(PP_Grid[#Data],$DD1000,95),0)</f>
        <v/>
      </c>
      <c r="CT1000">
        <f>IFERROR(INDEX(PP_Grid[#Data],$DD1000,96),0)</f>
        <v/>
      </c>
      <c r="CU1000">
        <f>IFERROR(INDEX(PP_Grid[#Data],$DD1000,97),0)</f>
        <v/>
      </c>
      <c r="CV1000">
        <f>IFERROR(INDEX(PP_Grid[#Data],$DD1000,98),0)</f>
        <v/>
      </c>
      <c r="CW1000">
        <f>IFERROR(INDEX(PP_Grid[#Data],$DD1000,99),0)</f>
        <v/>
      </c>
      <c r="CX1000">
        <f>IFERROR(INDEX(PP_Grid[#Data],$DD1000,100),0)</f>
        <v/>
      </c>
      <c r="CY1000">
        <f>IFERROR(INDEX(PP_Grid[#Data],$DD1000,101),0)</f>
        <v/>
      </c>
      <c r="CZ1000">
        <f>IFERROR(INDEX(PP_Grid[#Data],$DD1000,102),0)</f>
        <v/>
      </c>
      <c r="DA1000">
        <f>IFERROR(INDEX(PP_Grid[#Data],$DD1000,103),0)</f>
        <v/>
      </c>
      <c r="DB1000">
        <f>IFERROR(INDEX(PP_Grid[#Data],$DD1000,104),0)</f>
        <v/>
      </c>
      <c r="DC1000">
        <f>IFERROR(INDEX(PP_Grid[#Data],$DD1000,105),0)</f>
        <v/>
      </c>
      <c r="DD1000" s="12">
        <f>IFERROR(MATCH($B1000,PP_Grid[Intermediate],0),99999)</f>
        <v/>
      </c>
    </row>
    <row r="1001">
      <c r="B1001" t="inlineStr">
        <is>
          <t>使用量(kg)</t>
        </is>
      </c>
      <c r="C1001">
        <f>SUMIFS(M_BOM[RM_Qty_Per_Batch],M_BOM[Intermediate],$B1000,M_BOM[Part Name],$A953)</f>
        <v/>
      </c>
      <c r="D1001">
        <f>$C1001*D1000</f>
        <v/>
      </c>
      <c r="E1001">
        <f>$C1001*E1000</f>
        <v/>
      </c>
      <c r="F1001">
        <f>$C1001*F1000</f>
        <v/>
      </c>
      <c r="G1001">
        <f>$C1001*G1000</f>
        <v/>
      </c>
      <c r="H1001">
        <f>$C1001*H1000</f>
        <v/>
      </c>
      <c r="I1001">
        <f>$C1001*I1000</f>
        <v/>
      </c>
      <c r="J1001">
        <f>$C1001*J1000</f>
        <v/>
      </c>
      <c r="K1001">
        <f>$C1001*K1000</f>
        <v/>
      </c>
      <c r="L1001">
        <f>$C1001*L1000</f>
        <v/>
      </c>
      <c r="M1001">
        <f>$C1001*M1000</f>
        <v/>
      </c>
      <c r="N1001">
        <f>$C1001*N1000</f>
        <v/>
      </c>
      <c r="O1001">
        <f>$C1001*O1000</f>
        <v/>
      </c>
      <c r="P1001">
        <f>$C1001*P1000</f>
        <v/>
      </c>
      <c r="Q1001">
        <f>$C1001*Q1000</f>
        <v/>
      </c>
      <c r="R1001">
        <f>$C1001*R1000</f>
        <v/>
      </c>
      <c r="S1001">
        <f>$C1001*S1000</f>
        <v/>
      </c>
      <c r="T1001">
        <f>$C1001*T1000</f>
        <v/>
      </c>
      <c r="U1001">
        <f>$C1001*U1000</f>
        <v/>
      </c>
      <c r="V1001">
        <f>$C1001*V1000</f>
        <v/>
      </c>
      <c r="W1001">
        <f>$C1001*W1000</f>
        <v/>
      </c>
      <c r="X1001">
        <f>$C1001*X1000</f>
        <v/>
      </c>
      <c r="Y1001">
        <f>$C1001*Y1000</f>
        <v/>
      </c>
      <c r="Z1001">
        <f>$C1001*Z1000</f>
        <v/>
      </c>
      <c r="AA1001">
        <f>$C1001*AA1000</f>
        <v/>
      </c>
      <c r="AB1001">
        <f>$C1001*AB1000</f>
        <v/>
      </c>
      <c r="AC1001">
        <f>$C1001*AC1000</f>
        <v/>
      </c>
      <c r="AD1001">
        <f>$C1001*AD1000</f>
        <v/>
      </c>
      <c r="AE1001">
        <f>$C1001*AE1000</f>
        <v/>
      </c>
      <c r="AF1001">
        <f>$C1001*AF1000</f>
        <v/>
      </c>
      <c r="AG1001">
        <f>$C1001*AG1000</f>
        <v/>
      </c>
      <c r="AH1001">
        <f>$C1001*AH1000</f>
        <v/>
      </c>
      <c r="AI1001">
        <f>$C1001*AI1000</f>
        <v/>
      </c>
      <c r="AJ1001">
        <f>$C1001*AJ1000</f>
        <v/>
      </c>
      <c r="AK1001">
        <f>$C1001*AK1000</f>
        <v/>
      </c>
      <c r="AL1001">
        <f>$C1001*AL1000</f>
        <v/>
      </c>
      <c r="AM1001">
        <f>$C1001*AM1000</f>
        <v/>
      </c>
      <c r="AN1001">
        <f>$C1001*AN1000</f>
        <v/>
      </c>
      <c r="AO1001">
        <f>$C1001*AO1000</f>
        <v/>
      </c>
      <c r="AP1001">
        <f>$C1001*AP1000</f>
        <v/>
      </c>
      <c r="AQ1001">
        <f>$C1001*AQ1000</f>
        <v/>
      </c>
      <c r="AR1001">
        <f>$C1001*AR1000</f>
        <v/>
      </c>
      <c r="AS1001">
        <f>$C1001*AS1000</f>
        <v/>
      </c>
      <c r="AT1001">
        <f>$C1001*AT1000</f>
        <v/>
      </c>
      <c r="AU1001">
        <f>$C1001*AU1000</f>
        <v/>
      </c>
      <c r="AV1001">
        <f>$C1001*AV1000</f>
        <v/>
      </c>
      <c r="AW1001">
        <f>$C1001*AW1000</f>
        <v/>
      </c>
      <c r="AX1001">
        <f>$C1001*AX1000</f>
        <v/>
      </c>
      <c r="AY1001">
        <f>$C1001*AY1000</f>
        <v/>
      </c>
      <c r="AZ1001">
        <f>$C1001*AZ1000</f>
        <v/>
      </c>
      <c r="BA1001">
        <f>$C1001*BA1000</f>
        <v/>
      </c>
      <c r="BB1001">
        <f>$C1001*BB1000</f>
        <v/>
      </c>
      <c r="BC1001">
        <f>$C1001*BC1000</f>
        <v/>
      </c>
      <c r="BD1001">
        <f>$C1001*BD1000</f>
        <v/>
      </c>
      <c r="BE1001">
        <f>$C1001*BE1000</f>
        <v/>
      </c>
      <c r="BF1001">
        <f>$C1001*BF1000</f>
        <v/>
      </c>
      <c r="BG1001">
        <f>$C1001*BG1000</f>
        <v/>
      </c>
      <c r="BH1001">
        <f>$C1001*BH1000</f>
        <v/>
      </c>
      <c r="BI1001">
        <f>$C1001*BI1000</f>
        <v/>
      </c>
      <c r="BJ1001">
        <f>$C1001*BJ1000</f>
        <v/>
      </c>
      <c r="BK1001">
        <f>$C1001*BK1000</f>
        <v/>
      </c>
      <c r="BL1001">
        <f>$C1001*BL1000</f>
        <v/>
      </c>
      <c r="BM1001">
        <f>$C1001*BM1000</f>
        <v/>
      </c>
      <c r="BN1001">
        <f>$C1001*BN1000</f>
        <v/>
      </c>
      <c r="BO1001">
        <f>$C1001*BO1000</f>
        <v/>
      </c>
      <c r="BP1001">
        <f>$C1001*BP1000</f>
        <v/>
      </c>
      <c r="BQ1001">
        <f>$C1001*BQ1000</f>
        <v/>
      </c>
      <c r="BR1001">
        <f>$C1001*BR1000</f>
        <v/>
      </c>
      <c r="BS1001">
        <f>$C1001*BS1000</f>
        <v/>
      </c>
      <c r="BT1001">
        <f>$C1001*BT1000</f>
        <v/>
      </c>
      <c r="BU1001">
        <f>$C1001*BU1000</f>
        <v/>
      </c>
      <c r="BV1001">
        <f>$C1001*BV1000</f>
        <v/>
      </c>
      <c r="BW1001">
        <f>$C1001*BW1000</f>
        <v/>
      </c>
      <c r="BX1001">
        <f>$C1001*BX1000</f>
        <v/>
      </c>
      <c r="BY1001">
        <f>$C1001*BY1000</f>
        <v/>
      </c>
      <c r="BZ1001">
        <f>$C1001*BZ1000</f>
        <v/>
      </c>
      <c r="CA1001">
        <f>$C1001*CA1000</f>
        <v/>
      </c>
      <c r="CB1001">
        <f>$C1001*CB1000</f>
        <v/>
      </c>
      <c r="CC1001">
        <f>$C1001*CC1000</f>
        <v/>
      </c>
      <c r="CD1001">
        <f>$C1001*CD1000</f>
        <v/>
      </c>
      <c r="CE1001">
        <f>$C1001*CE1000</f>
        <v/>
      </c>
      <c r="CF1001">
        <f>$C1001*CF1000</f>
        <v/>
      </c>
      <c r="CG1001">
        <f>$C1001*CG1000</f>
        <v/>
      </c>
      <c r="CH1001">
        <f>$C1001*CH1000</f>
        <v/>
      </c>
      <c r="CI1001">
        <f>$C1001*CI1000</f>
        <v/>
      </c>
      <c r="CJ1001">
        <f>$C1001*CJ1000</f>
        <v/>
      </c>
      <c r="CK1001">
        <f>$C1001*CK1000</f>
        <v/>
      </c>
      <c r="CL1001">
        <f>$C1001*CL1000</f>
        <v/>
      </c>
      <c r="CM1001">
        <f>$C1001*CM1000</f>
        <v/>
      </c>
      <c r="CN1001">
        <f>$C1001*CN1000</f>
        <v/>
      </c>
      <c r="CO1001">
        <f>$C1001*CO1000</f>
        <v/>
      </c>
      <c r="CP1001">
        <f>$C1001*CP1000</f>
        <v/>
      </c>
      <c r="CQ1001">
        <f>$C1001*CQ1000</f>
        <v/>
      </c>
      <c r="CR1001">
        <f>$C1001*CR1000</f>
        <v/>
      </c>
      <c r="CS1001">
        <f>$C1001*CS1000</f>
        <v/>
      </c>
      <c r="CT1001">
        <f>$C1001*CT1000</f>
        <v/>
      </c>
      <c r="CU1001">
        <f>$C1001*CU1000</f>
        <v/>
      </c>
      <c r="CV1001">
        <f>$C1001*CV1000</f>
        <v/>
      </c>
      <c r="CW1001">
        <f>$C1001*CW1000</f>
        <v/>
      </c>
      <c r="CX1001">
        <f>$C1001*CX1000</f>
        <v/>
      </c>
      <c r="CY1001">
        <f>$C1001*CY1000</f>
        <v/>
      </c>
      <c r="CZ1001">
        <f>$C1001*CZ1000</f>
        <v/>
      </c>
      <c r="DA1001">
        <f>$C1001*DA1000</f>
        <v/>
      </c>
      <c r="DB1001">
        <f>$C1001*DB1000</f>
        <v/>
      </c>
      <c r="DC1001">
        <f>$C1001*DC1000</f>
        <v/>
      </c>
    </row>
    <row r="1002">
      <c r="B1002" t="inlineStr">
        <is>
          <t>TVS-833</t>
        </is>
      </c>
      <c r="C1002" t="inlineStr">
        <is>
          <t>No. of batches</t>
        </is>
      </c>
      <c r="D1002">
        <f>IFERROR(INDEX(PP_Grid[#Data],$DD1002,2),0)</f>
        <v/>
      </c>
      <c r="E1002">
        <f>IFERROR(INDEX(PP_Grid[#Data],$DD1002,3),0)</f>
        <v/>
      </c>
      <c r="F1002">
        <f>IFERROR(INDEX(PP_Grid[#Data],$DD1002,4),0)</f>
        <v/>
      </c>
      <c r="G1002">
        <f>IFERROR(INDEX(PP_Grid[#Data],$DD1002,5),0)</f>
        <v/>
      </c>
      <c r="H1002">
        <f>IFERROR(INDEX(PP_Grid[#Data],$DD1002,6),0)</f>
        <v/>
      </c>
      <c r="I1002">
        <f>IFERROR(INDEX(PP_Grid[#Data],$DD1002,7),0)</f>
        <v/>
      </c>
      <c r="J1002">
        <f>IFERROR(INDEX(PP_Grid[#Data],$DD1002,8),0)</f>
        <v/>
      </c>
      <c r="K1002">
        <f>IFERROR(INDEX(PP_Grid[#Data],$DD1002,9),0)</f>
        <v/>
      </c>
      <c r="L1002">
        <f>IFERROR(INDEX(PP_Grid[#Data],$DD1002,10),0)</f>
        <v/>
      </c>
      <c r="M1002">
        <f>IFERROR(INDEX(PP_Grid[#Data],$DD1002,11),0)</f>
        <v/>
      </c>
      <c r="N1002">
        <f>IFERROR(INDEX(PP_Grid[#Data],$DD1002,12),0)</f>
        <v/>
      </c>
      <c r="O1002">
        <f>IFERROR(INDEX(PP_Grid[#Data],$DD1002,13),0)</f>
        <v/>
      </c>
      <c r="P1002">
        <f>IFERROR(INDEX(PP_Grid[#Data],$DD1002,14),0)</f>
        <v/>
      </c>
      <c r="Q1002">
        <f>IFERROR(INDEX(PP_Grid[#Data],$DD1002,15),0)</f>
        <v/>
      </c>
      <c r="R1002">
        <f>IFERROR(INDEX(PP_Grid[#Data],$DD1002,16),0)</f>
        <v/>
      </c>
      <c r="S1002">
        <f>IFERROR(INDEX(PP_Grid[#Data],$DD1002,17),0)</f>
        <v/>
      </c>
      <c r="T1002">
        <f>IFERROR(INDEX(PP_Grid[#Data],$DD1002,18),0)</f>
        <v/>
      </c>
      <c r="U1002">
        <f>IFERROR(INDEX(PP_Grid[#Data],$DD1002,19),0)</f>
        <v/>
      </c>
      <c r="V1002">
        <f>IFERROR(INDEX(PP_Grid[#Data],$DD1002,20),0)</f>
        <v/>
      </c>
      <c r="W1002">
        <f>IFERROR(INDEX(PP_Grid[#Data],$DD1002,21),0)</f>
        <v/>
      </c>
      <c r="X1002">
        <f>IFERROR(INDEX(PP_Grid[#Data],$DD1002,22),0)</f>
        <v/>
      </c>
      <c r="Y1002">
        <f>IFERROR(INDEX(PP_Grid[#Data],$DD1002,23),0)</f>
        <v/>
      </c>
      <c r="Z1002">
        <f>IFERROR(INDEX(PP_Grid[#Data],$DD1002,24),0)</f>
        <v/>
      </c>
      <c r="AA1002">
        <f>IFERROR(INDEX(PP_Grid[#Data],$DD1002,25),0)</f>
        <v/>
      </c>
      <c r="AB1002">
        <f>IFERROR(INDEX(PP_Grid[#Data],$DD1002,26),0)</f>
        <v/>
      </c>
      <c r="AC1002">
        <f>IFERROR(INDEX(PP_Grid[#Data],$DD1002,27),0)</f>
        <v/>
      </c>
      <c r="AD1002">
        <f>IFERROR(INDEX(PP_Grid[#Data],$DD1002,28),0)</f>
        <v/>
      </c>
      <c r="AE1002">
        <f>IFERROR(INDEX(PP_Grid[#Data],$DD1002,29),0)</f>
        <v/>
      </c>
      <c r="AF1002">
        <f>IFERROR(INDEX(PP_Grid[#Data],$DD1002,30),0)</f>
        <v/>
      </c>
      <c r="AG1002">
        <f>IFERROR(INDEX(PP_Grid[#Data],$DD1002,31),0)</f>
        <v/>
      </c>
      <c r="AH1002">
        <f>IFERROR(INDEX(PP_Grid[#Data],$DD1002,32),0)</f>
        <v/>
      </c>
      <c r="AI1002">
        <f>IFERROR(INDEX(PP_Grid[#Data],$DD1002,33),0)</f>
        <v/>
      </c>
      <c r="AJ1002">
        <f>IFERROR(INDEX(PP_Grid[#Data],$DD1002,34),0)</f>
        <v/>
      </c>
      <c r="AK1002">
        <f>IFERROR(INDEX(PP_Grid[#Data],$DD1002,35),0)</f>
        <v/>
      </c>
      <c r="AL1002">
        <f>IFERROR(INDEX(PP_Grid[#Data],$DD1002,36),0)</f>
        <v/>
      </c>
      <c r="AM1002">
        <f>IFERROR(INDEX(PP_Grid[#Data],$DD1002,37),0)</f>
        <v/>
      </c>
      <c r="AN1002">
        <f>IFERROR(INDEX(PP_Grid[#Data],$DD1002,38),0)</f>
        <v/>
      </c>
      <c r="AO1002">
        <f>IFERROR(INDEX(PP_Grid[#Data],$DD1002,39),0)</f>
        <v/>
      </c>
      <c r="AP1002">
        <f>IFERROR(INDEX(PP_Grid[#Data],$DD1002,40),0)</f>
        <v/>
      </c>
      <c r="AQ1002">
        <f>IFERROR(INDEX(PP_Grid[#Data],$DD1002,41),0)</f>
        <v/>
      </c>
      <c r="AR1002">
        <f>IFERROR(INDEX(PP_Grid[#Data],$DD1002,42),0)</f>
        <v/>
      </c>
      <c r="AS1002">
        <f>IFERROR(INDEX(PP_Grid[#Data],$DD1002,43),0)</f>
        <v/>
      </c>
      <c r="AT1002">
        <f>IFERROR(INDEX(PP_Grid[#Data],$DD1002,44),0)</f>
        <v/>
      </c>
      <c r="AU1002">
        <f>IFERROR(INDEX(PP_Grid[#Data],$DD1002,45),0)</f>
        <v/>
      </c>
      <c r="AV1002">
        <f>IFERROR(INDEX(PP_Grid[#Data],$DD1002,46),0)</f>
        <v/>
      </c>
      <c r="AW1002">
        <f>IFERROR(INDEX(PP_Grid[#Data],$DD1002,47),0)</f>
        <v/>
      </c>
      <c r="AX1002">
        <f>IFERROR(INDEX(PP_Grid[#Data],$DD1002,48),0)</f>
        <v/>
      </c>
      <c r="AY1002">
        <f>IFERROR(INDEX(PP_Grid[#Data],$DD1002,49),0)</f>
        <v/>
      </c>
      <c r="AZ1002">
        <f>IFERROR(INDEX(PP_Grid[#Data],$DD1002,50),0)</f>
        <v/>
      </c>
      <c r="BA1002">
        <f>IFERROR(INDEX(PP_Grid[#Data],$DD1002,51),0)</f>
        <v/>
      </c>
      <c r="BB1002">
        <f>IFERROR(INDEX(PP_Grid[#Data],$DD1002,52),0)</f>
        <v/>
      </c>
      <c r="BC1002">
        <f>IFERROR(INDEX(PP_Grid[#Data],$DD1002,53),0)</f>
        <v/>
      </c>
      <c r="BD1002">
        <f>IFERROR(INDEX(PP_Grid[#Data],$DD1002,54),0)</f>
        <v/>
      </c>
      <c r="BE1002">
        <f>IFERROR(INDEX(PP_Grid[#Data],$DD1002,55),0)</f>
        <v/>
      </c>
      <c r="BF1002">
        <f>IFERROR(INDEX(PP_Grid[#Data],$DD1002,56),0)</f>
        <v/>
      </c>
      <c r="BG1002">
        <f>IFERROR(INDEX(PP_Grid[#Data],$DD1002,57),0)</f>
        <v/>
      </c>
      <c r="BH1002">
        <f>IFERROR(INDEX(PP_Grid[#Data],$DD1002,58),0)</f>
        <v/>
      </c>
      <c r="BI1002">
        <f>IFERROR(INDEX(PP_Grid[#Data],$DD1002,59),0)</f>
        <v/>
      </c>
      <c r="BJ1002">
        <f>IFERROR(INDEX(PP_Grid[#Data],$DD1002,60),0)</f>
        <v/>
      </c>
      <c r="BK1002">
        <f>IFERROR(INDEX(PP_Grid[#Data],$DD1002,61),0)</f>
        <v/>
      </c>
      <c r="BL1002">
        <f>IFERROR(INDEX(PP_Grid[#Data],$DD1002,62),0)</f>
        <v/>
      </c>
      <c r="BM1002">
        <f>IFERROR(INDEX(PP_Grid[#Data],$DD1002,63),0)</f>
        <v/>
      </c>
      <c r="BN1002">
        <f>IFERROR(INDEX(PP_Grid[#Data],$DD1002,64),0)</f>
        <v/>
      </c>
      <c r="BO1002">
        <f>IFERROR(INDEX(PP_Grid[#Data],$DD1002,65),0)</f>
        <v/>
      </c>
      <c r="BP1002">
        <f>IFERROR(INDEX(PP_Grid[#Data],$DD1002,66),0)</f>
        <v/>
      </c>
      <c r="BQ1002">
        <f>IFERROR(INDEX(PP_Grid[#Data],$DD1002,67),0)</f>
        <v/>
      </c>
      <c r="BR1002">
        <f>IFERROR(INDEX(PP_Grid[#Data],$DD1002,68),0)</f>
        <v/>
      </c>
      <c r="BS1002">
        <f>IFERROR(INDEX(PP_Grid[#Data],$DD1002,69),0)</f>
        <v/>
      </c>
      <c r="BT1002">
        <f>IFERROR(INDEX(PP_Grid[#Data],$DD1002,70),0)</f>
        <v/>
      </c>
      <c r="BU1002">
        <f>IFERROR(INDEX(PP_Grid[#Data],$DD1002,71),0)</f>
        <v/>
      </c>
      <c r="BV1002">
        <f>IFERROR(INDEX(PP_Grid[#Data],$DD1002,72),0)</f>
        <v/>
      </c>
      <c r="BW1002">
        <f>IFERROR(INDEX(PP_Grid[#Data],$DD1002,73),0)</f>
        <v/>
      </c>
      <c r="BX1002">
        <f>IFERROR(INDEX(PP_Grid[#Data],$DD1002,74),0)</f>
        <v/>
      </c>
      <c r="BY1002">
        <f>IFERROR(INDEX(PP_Grid[#Data],$DD1002,75),0)</f>
        <v/>
      </c>
      <c r="BZ1002">
        <f>IFERROR(INDEX(PP_Grid[#Data],$DD1002,76),0)</f>
        <v/>
      </c>
      <c r="CA1002">
        <f>IFERROR(INDEX(PP_Grid[#Data],$DD1002,77),0)</f>
        <v/>
      </c>
      <c r="CB1002">
        <f>IFERROR(INDEX(PP_Grid[#Data],$DD1002,78),0)</f>
        <v/>
      </c>
      <c r="CC1002">
        <f>IFERROR(INDEX(PP_Grid[#Data],$DD1002,79),0)</f>
        <v/>
      </c>
      <c r="CD1002">
        <f>IFERROR(INDEX(PP_Grid[#Data],$DD1002,80),0)</f>
        <v/>
      </c>
      <c r="CE1002">
        <f>IFERROR(INDEX(PP_Grid[#Data],$DD1002,81),0)</f>
        <v/>
      </c>
      <c r="CF1002">
        <f>IFERROR(INDEX(PP_Grid[#Data],$DD1002,82),0)</f>
        <v/>
      </c>
      <c r="CG1002">
        <f>IFERROR(INDEX(PP_Grid[#Data],$DD1002,83),0)</f>
        <v/>
      </c>
      <c r="CH1002">
        <f>IFERROR(INDEX(PP_Grid[#Data],$DD1002,84),0)</f>
        <v/>
      </c>
      <c r="CI1002">
        <f>IFERROR(INDEX(PP_Grid[#Data],$DD1002,85),0)</f>
        <v/>
      </c>
      <c r="CJ1002">
        <f>IFERROR(INDEX(PP_Grid[#Data],$DD1002,86),0)</f>
        <v/>
      </c>
      <c r="CK1002">
        <f>IFERROR(INDEX(PP_Grid[#Data],$DD1002,87),0)</f>
        <v/>
      </c>
      <c r="CL1002">
        <f>IFERROR(INDEX(PP_Grid[#Data],$DD1002,88),0)</f>
        <v/>
      </c>
      <c r="CM1002">
        <f>IFERROR(INDEX(PP_Grid[#Data],$DD1002,89),0)</f>
        <v/>
      </c>
      <c r="CN1002">
        <f>IFERROR(INDEX(PP_Grid[#Data],$DD1002,90),0)</f>
        <v/>
      </c>
      <c r="CO1002">
        <f>IFERROR(INDEX(PP_Grid[#Data],$DD1002,91),0)</f>
        <v/>
      </c>
      <c r="CP1002">
        <f>IFERROR(INDEX(PP_Grid[#Data],$DD1002,92),0)</f>
        <v/>
      </c>
      <c r="CQ1002">
        <f>IFERROR(INDEX(PP_Grid[#Data],$DD1002,93),0)</f>
        <v/>
      </c>
      <c r="CR1002">
        <f>IFERROR(INDEX(PP_Grid[#Data],$DD1002,94),0)</f>
        <v/>
      </c>
      <c r="CS1002">
        <f>IFERROR(INDEX(PP_Grid[#Data],$DD1002,95),0)</f>
        <v/>
      </c>
      <c r="CT1002">
        <f>IFERROR(INDEX(PP_Grid[#Data],$DD1002,96),0)</f>
        <v/>
      </c>
      <c r="CU1002">
        <f>IFERROR(INDEX(PP_Grid[#Data],$DD1002,97),0)</f>
        <v/>
      </c>
      <c r="CV1002">
        <f>IFERROR(INDEX(PP_Grid[#Data],$DD1002,98),0)</f>
        <v/>
      </c>
      <c r="CW1002">
        <f>IFERROR(INDEX(PP_Grid[#Data],$DD1002,99),0)</f>
        <v/>
      </c>
      <c r="CX1002">
        <f>IFERROR(INDEX(PP_Grid[#Data],$DD1002,100),0)</f>
        <v/>
      </c>
      <c r="CY1002">
        <f>IFERROR(INDEX(PP_Grid[#Data],$DD1002,101),0)</f>
        <v/>
      </c>
      <c r="CZ1002">
        <f>IFERROR(INDEX(PP_Grid[#Data],$DD1002,102),0)</f>
        <v/>
      </c>
      <c r="DA1002">
        <f>IFERROR(INDEX(PP_Grid[#Data],$DD1002,103),0)</f>
        <v/>
      </c>
      <c r="DB1002">
        <f>IFERROR(INDEX(PP_Grid[#Data],$DD1002,104),0)</f>
        <v/>
      </c>
      <c r="DC1002">
        <f>IFERROR(INDEX(PP_Grid[#Data],$DD1002,105),0)</f>
        <v/>
      </c>
      <c r="DD1002" s="12">
        <f>IFERROR(MATCH($B1002,PP_Grid[Intermediate],0),99999)</f>
        <v/>
      </c>
    </row>
    <row r="1003">
      <c r="B1003" t="inlineStr">
        <is>
          <t>使用量(kg)</t>
        </is>
      </c>
      <c r="C1003">
        <f>SUMIFS(M_BOM[RM_Qty_Per_Batch],M_BOM[Intermediate],$B1002,M_BOM[Part Name],$A953)</f>
        <v/>
      </c>
      <c r="D1003">
        <f>$C1003*D1002</f>
        <v/>
      </c>
      <c r="E1003">
        <f>$C1003*E1002</f>
        <v/>
      </c>
      <c r="F1003">
        <f>$C1003*F1002</f>
        <v/>
      </c>
      <c r="G1003">
        <f>$C1003*G1002</f>
        <v/>
      </c>
      <c r="H1003">
        <f>$C1003*H1002</f>
        <v/>
      </c>
      <c r="I1003">
        <f>$C1003*I1002</f>
        <v/>
      </c>
      <c r="J1003">
        <f>$C1003*J1002</f>
        <v/>
      </c>
      <c r="K1003">
        <f>$C1003*K1002</f>
        <v/>
      </c>
      <c r="L1003">
        <f>$C1003*L1002</f>
        <v/>
      </c>
      <c r="M1003">
        <f>$C1003*M1002</f>
        <v/>
      </c>
      <c r="N1003">
        <f>$C1003*N1002</f>
        <v/>
      </c>
      <c r="O1003">
        <f>$C1003*O1002</f>
        <v/>
      </c>
      <c r="P1003">
        <f>$C1003*P1002</f>
        <v/>
      </c>
      <c r="Q1003">
        <f>$C1003*Q1002</f>
        <v/>
      </c>
      <c r="R1003">
        <f>$C1003*R1002</f>
        <v/>
      </c>
      <c r="S1003">
        <f>$C1003*S1002</f>
        <v/>
      </c>
      <c r="T1003">
        <f>$C1003*T1002</f>
        <v/>
      </c>
      <c r="U1003">
        <f>$C1003*U1002</f>
        <v/>
      </c>
      <c r="V1003">
        <f>$C1003*V1002</f>
        <v/>
      </c>
      <c r="W1003">
        <f>$C1003*W1002</f>
        <v/>
      </c>
      <c r="X1003">
        <f>$C1003*X1002</f>
        <v/>
      </c>
      <c r="Y1003">
        <f>$C1003*Y1002</f>
        <v/>
      </c>
      <c r="Z1003">
        <f>$C1003*Z1002</f>
        <v/>
      </c>
      <c r="AA1003">
        <f>$C1003*AA1002</f>
        <v/>
      </c>
      <c r="AB1003">
        <f>$C1003*AB1002</f>
        <v/>
      </c>
      <c r="AC1003">
        <f>$C1003*AC1002</f>
        <v/>
      </c>
      <c r="AD1003">
        <f>$C1003*AD1002</f>
        <v/>
      </c>
      <c r="AE1003">
        <f>$C1003*AE1002</f>
        <v/>
      </c>
      <c r="AF1003">
        <f>$C1003*AF1002</f>
        <v/>
      </c>
      <c r="AG1003">
        <f>$C1003*AG1002</f>
        <v/>
      </c>
      <c r="AH1003">
        <f>$C1003*AH1002</f>
        <v/>
      </c>
      <c r="AI1003">
        <f>$C1003*AI1002</f>
        <v/>
      </c>
      <c r="AJ1003">
        <f>$C1003*AJ1002</f>
        <v/>
      </c>
      <c r="AK1003">
        <f>$C1003*AK1002</f>
        <v/>
      </c>
      <c r="AL1003">
        <f>$C1003*AL1002</f>
        <v/>
      </c>
      <c r="AM1003">
        <f>$C1003*AM1002</f>
        <v/>
      </c>
      <c r="AN1003">
        <f>$C1003*AN1002</f>
        <v/>
      </c>
      <c r="AO1003">
        <f>$C1003*AO1002</f>
        <v/>
      </c>
      <c r="AP1003">
        <f>$C1003*AP1002</f>
        <v/>
      </c>
      <c r="AQ1003">
        <f>$C1003*AQ1002</f>
        <v/>
      </c>
      <c r="AR1003">
        <f>$C1003*AR1002</f>
        <v/>
      </c>
      <c r="AS1003">
        <f>$C1003*AS1002</f>
        <v/>
      </c>
      <c r="AT1003">
        <f>$C1003*AT1002</f>
        <v/>
      </c>
      <c r="AU1003">
        <f>$C1003*AU1002</f>
        <v/>
      </c>
      <c r="AV1003">
        <f>$C1003*AV1002</f>
        <v/>
      </c>
      <c r="AW1003">
        <f>$C1003*AW1002</f>
        <v/>
      </c>
      <c r="AX1003">
        <f>$C1003*AX1002</f>
        <v/>
      </c>
      <c r="AY1003">
        <f>$C1003*AY1002</f>
        <v/>
      </c>
      <c r="AZ1003">
        <f>$C1003*AZ1002</f>
        <v/>
      </c>
      <c r="BA1003">
        <f>$C1003*BA1002</f>
        <v/>
      </c>
      <c r="BB1003">
        <f>$C1003*BB1002</f>
        <v/>
      </c>
      <c r="BC1003">
        <f>$C1003*BC1002</f>
        <v/>
      </c>
      <c r="BD1003">
        <f>$C1003*BD1002</f>
        <v/>
      </c>
      <c r="BE1003">
        <f>$C1003*BE1002</f>
        <v/>
      </c>
      <c r="BF1003">
        <f>$C1003*BF1002</f>
        <v/>
      </c>
      <c r="BG1003">
        <f>$C1003*BG1002</f>
        <v/>
      </c>
      <c r="BH1003">
        <f>$C1003*BH1002</f>
        <v/>
      </c>
      <c r="BI1003">
        <f>$C1003*BI1002</f>
        <v/>
      </c>
      <c r="BJ1003">
        <f>$C1003*BJ1002</f>
        <v/>
      </c>
      <c r="BK1003">
        <f>$C1003*BK1002</f>
        <v/>
      </c>
      <c r="BL1003">
        <f>$C1003*BL1002</f>
        <v/>
      </c>
      <c r="BM1003">
        <f>$C1003*BM1002</f>
        <v/>
      </c>
      <c r="BN1003">
        <f>$C1003*BN1002</f>
        <v/>
      </c>
      <c r="BO1003">
        <f>$C1003*BO1002</f>
        <v/>
      </c>
      <c r="BP1003">
        <f>$C1003*BP1002</f>
        <v/>
      </c>
      <c r="BQ1003">
        <f>$C1003*BQ1002</f>
        <v/>
      </c>
      <c r="BR1003">
        <f>$C1003*BR1002</f>
        <v/>
      </c>
      <c r="BS1003">
        <f>$C1003*BS1002</f>
        <v/>
      </c>
      <c r="BT1003">
        <f>$C1003*BT1002</f>
        <v/>
      </c>
      <c r="BU1003">
        <f>$C1003*BU1002</f>
        <v/>
      </c>
      <c r="BV1003">
        <f>$C1003*BV1002</f>
        <v/>
      </c>
      <c r="BW1003">
        <f>$C1003*BW1002</f>
        <v/>
      </c>
      <c r="BX1003">
        <f>$C1003*BX1002</f>
        <v/>
      </c>
      <c r="BY1003">
        <f>$C1003*BY1002</f>
        <v/>
      </c>
      <c r="BZ1003">
        <f>$C1003*BZ1002</f>
        <v/>
      </c>
      <c r="CA1003">
        <f>$C1003*CA1002</f>
        <v/>
      </c>
      <c r="CB1003">
        <f>$C1003*CB1002</f>
        <v/>
      </c>
      <c r="CC1003">
        <f>$C1003*CC1002</f>
        <v/>
      </c>
      <c r="CD1003">
        <f>$C1003*CD1002</f>
        <v/>
      </c>
      <c r="CE1003">
        <f>$C1003*CE1002</f>
        <v/>
      </c>
      <c r="CF1003">
        <f>$C1003*CF1002</f>
        <v/>
      </c>
      <c r="CG1003">
        <f>$C1003*CG1002</f>
        <v/>
      </c>
      <c r="CH1003">
        <f>$C1003*CH1002</f>
        <v/>
      </c>
      <c r="CI1003">
        <f>$C1003*CI1002</f>
        <v/>
      </c>
      <c r="CJ1003">
        <f>$C1003*CJ1002</f>
        <v/>
      </c>
      <c r="CK1003">
        <f>$C1003*CK1002</f>
        <v/>
      </c>
      <c r="CL1003">
        <f>$C1003*CL1002</f>
        <v/>
      </c>
      <c r="CM1003">
        <f>$C1003*CM1002</f>
        <v/>
      </c>
      <c r="CN1003">
        <f>$C1003*CN1002</f>
        <v/>
      </c>
      <c r="CO1003">
        <f>$C1003*CO1002</f>
        <v/>
      </c>
      <c r="CP1003">
        <f>$C1003*CP1002</f>
        <v/>
      </c>
      <c r="CQ1003">
        <f>$C1003*CQ1002</f>
        <v/>
      </c>
      <c r="CR1003">
        <f>$C1003*CR1002</f>
        <v/>
      </c>
      <c r="CS1003">
        <f>$C1003*CS1002</f>
        <v/>
      </c>
      <c r="CT1003">
        <f>$C1003*CT1002</f>
        <v/>
      </c>
      <c r="CU1003">
        <f>$C1003*CU1002</f>
        <v/>
      </c>
      <c r="CV1003">
        <f>$C1003*CV1002</f>
        <v/>
      </c>
      <c r="CW1003">
        <f>$C1003*CW1002</f>
        <v/>
      </c>
      <c r="CX1003">
        <f>$C1003*CX1002</f>
        <v/>
      </c>
      <c r="CY1003">
        <f>$C1003*CY1002</f>
        <v/>
      </c>
      <c r="CZ1003">
        <f>$C1003*CZ1002</f>
        <v/>
      </c>
      <c r="DA1003">
        <f>$C1003*DA1002</f>
        <v/>
      </c>
      <c r="DB1003">
        <f>$C1003*DB1002</f>
        <v/>
      </c>
      <c r="DC1003">
        <f>$C1003*DC1002</f>
        <v/>
      </c>
    </row>
    <row r="1004">
      <c r="B1004" t="inlineStr">
        <is>
          <t>VSP-820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12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Name],$A953)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VSP-822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12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Name],$A953)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VSP-910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12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Name],$A953)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t="inlineStr">
        <is>
          <t>VSP-989</t>
        </is>
      </c>
      <c r="C1010" t="inlineStr">
        <is>
          <t>No. of batches</t>
        </is>
      </c>
      <c r="D1010">
        <f>IFERROR(INDEX(PP_Grid[#Data],$DD1010,2),0)</f>
        <v/>
      </c>
      <c r="E1010">
        <f>IFERROR(INDEX(PP_Grid[#Data],$DD1010,3),0)</f>
        <v/>
      </c>
      <c r="F1010">
        <f>IFERROR(INDEX(PP_Grid[#Data],$DD1010,4),0)</f>
        <v/>
      </c>
      <c r="G1010">
        <f>IFERROR(INDEX(PP_Grid[#Data],$DD1010,5),0)</f>
        <v/>
      </c>
      <c r="H1010">
        <f>IFERROR(INDEX(PP_Grid[#Data],$DD1010,6),0)</f>
        <v/>
      </c>
      <c r="I1010">
        <f>IFERROR(INDEX(PP_Grid[#Data],$DD1010,7),0)</f>
        <v/>
      </c>
      <c r="J1010">
        <f>IFERROR(INDEX(PP_Grid[#Data],$DD1010,8),0)</f>
        <v/>
      </c>
      <c r="K1010">
        <f>IFERROR(INDEX(PP_Grid[#Data],$DD1010,9),0)</f>
        <v/>
      </c>
      <c r="L1010">
        <f>IFERROR(INDEX(PP_Grid[#Data],$DD1010,10),0)</f>
        <v/>
      </c>
      <c r="M1010">
        <f>IFERROR(INDEX(PP_Grid[#Data],$DD1010,11),0)</f>
        <v/>
      </c>
      <c r="N1010">
        <f>IFERROR(INDEX(PP_Grid[#Data],$DD1010,12),0)</f>
        <v/>
      </c>
      <c r="O1010">
        <f>IFERROR(INDEX(PP_Grid[#Data],$DD1010,13),0)</f>
        <v/>
      </c>
      <c r="P1010">
        <f>IFERROR(INDEX(PP_Grid[#Data],$DD1010,14),0)</f>
        <v/>
      </c>
      <c r="Q1010">
        <f>IFERROR(INDEX(PP_Grid[#Data],$DD1010,15),0)</f>
        <v/>
      </c>
      <c r="R1010">
        <f>IFERROR(INDEX(PP_Grid[#Data],$DD1010,16),0)</f>
        <v/>
      </c>
      <c r="S1010">
        <f>IFERROR(INDEX(PP_Grid[#Data],$DD1010,17),0)</f>
        <v/>
      </c>
      <c r="T1010">
        <f>IFERROR(INDEX(PP_Grid[#Data],$DD1010,18),0)</f>
        <v/>
      </c>
      <c r="U1010">
        <f>IFERROR(INDEX(PP_Grid[#Data],$DD1010,19),0)</f>
        <v/>
      </c>
      <c r="V1010">
        <f>IFERROR(INDEX(PP_Grid[#Data],$DD1010,20),0)</f>
        <v/>
      </c>
      <c r="W1010">
        <f>IFERROR(INDEX(PP_Grid[#Data],$DD1010,21),0)</f>
        <v/>
      </c>
      <c r="X1010">
        <f>IFERROR(INDEX(PP_Grid[#Data],$DD1010,22),0)</f>
        <v/>
      </c>
      <c r="Y1010">
        <f>IFERROR(INDEX(PP_Grid[#Data],$DD1010,23),0)</f>
        <v/>
      </c>
      <c r="Z1010">
        <f>IFERROR(INDEX(PP_Grid[#Data],$DD1010,24),0)</f>
        <v/>
      </c>
      <c r="AA1010">
        <f>IFERROR(INDEX(PP_Grid[#Data],$DD1010,25),0)</f>
        <v/>
      </c>
      <c r="AB1010">
        <f>IFERROR(INDEX(PP_Grid[#Data],$DD1010,26),0)</f>
        <v/>
      </c>
      <c r="AC1010">
        <f>IFERROR(INDEX(PP_Grid[#Data],$DD1010,27),0)</f>
        <v/>
      </c>
      <c r="AD1010">
        <f>IFERROR(INDEX(PP_Grid[#Data],$DD1010,28),0)</f>
        <v/>
      </c>
      <c r="AE1010">
        <f>IFERROR(INDEX(PP_Grid[#Data],$DD1010,29),0)</f>
        <v/>
      </c>
      <c r="AF1010">
        <f>IFERROR(INDEX(PP_Grid[#Data],$DD1010,30),0)</f>
        <v/>
      </c>
      <c r="AG1010">
        <f>IFERROR(INDEX(PP_Grid[#Data],$DD1010,31),0)</f>
        <v/>
      </c>
      <c r="AH1010">
        <f>IFERROR(INDEX(PP_Grid[#Data],$DD1010,32),0)</f>
        <v/>
      </c>
      <c r="AI1010">
        <f>IFERROR(INDEX(PP_Grid[#Data],$DD1010,33),0)</f>
        <v/>
      </c>
      <c r="AJ1010">
        <f>IFERROR(INDEX(PP_Grid[#Data],$DD1010,34),0)</f>
        <v/>
      </c>
      <c r="AK1010">
        <f>IFERROR(INDEX(PP_Grid[#Data],$DD1010,35),0)</f>
        <v/>
      </c>
      <c r="AL1010">
        <f>IFERROR(INDEX(PP_Grid[#Data],$DD1010,36),0)</f>
        <v/>
      </c>
      <c r="AM1010">
        <f>IFERROR(INDEX(PP_Grid[#Data],$DD1010,37),0)</f>
        <v/>
      </c>
      <c r="AN1010">
        <f>IFERROR(INDEX(PP_Grid[#Data],$DD1010,38),0)</f>
        <v/>
      </c>
      <c r="AO1010">
        <f>IFERROR(INDEX(PP_Grid[#Data],$DD1010,39),0)</f>
        <v/>
      </c>
      <c r="AP1010">
        <f>IFERROR(INDEX(PP_Grid[#Data],$DD1010,40),0)</f>
        <v/>
      </c>
      <c r="AQ1010">
        <f>IFERROR(INDEX(PP_Grid[#Data],$DD1010,41),0)</f>
        <v/>
      </c>
      <c r="AR1010">
        <f>IFERROR(INDEX(PP_Grid[#Data],$DD1010,42),0)</f>
        <v/>
      </c>
      <c r="AS1010">
        <f>IFERROR(INDEX(PP_Grid[#Data],$DD1010,43),0)</f>
        <v/>
      </c>
      <c r="AT1010">
        <f>IFERROR(INDEX(PP_Grid[#Data],$DD1010,44),0)</f>
        <v/>
      </c>
      <c r="AU1010">
        <f>IFERROR(INDEX(PP_Grid[#Data],$DD1010,45),0)</f>
        <v/>
      </c>
      <c r="AV1010">
        <f>IFERROR(INDEX(PP_Grid[#Data],$DD1010,46),0)</f>
        <v/>
      </c>
      <c r="AW1010">
        <f>IFERROR(INDEX(PP_Grid[#Data],$DD1010,47),0)</f>
        <v/>
      </c>
      <c r="AX1010">
        <f>IFERROR(INDEX(PP_Grid[#Data],$DD1010,48),0)</f>
        <v/>
      </c>
      <c r="AY1010">
        <f>IFERROR(INDEX(PP_Grid[#Data],$DD1010,49),0)</f>
        <v/>
      </c>
      <c r="AZ1010">
        <f>IFERROR(INDEX(PP_Grid[#Data],$DD1010,50),0)</f>
        <v/>
      </c>
      <c r="BA1010">
        <f>IFERROR(INDEX(PP_Grid[#Data],$DD1010,51),0)</f>
        <v/>
      </c>
      <c r="BB1010">
        <f>IFERROR(INDEX(PP_Grid[#Data],$DD1010,52),0)</f>
        <v/>
      </c>
      <c r="BC1010">
        <f>IFERROR(INDEX(PP_Grid[#Data],$DD1010,53),0)</f>
        <v/>
      </c>
      <c r="BD1010">
        <f>IFERROR(INDEX(PP_Grid[#Data],$DD1010,54),0)</f>
        <v/>
      </c>
      <c r="BE1010">
        <f>IFERROR(INDEX(PP_Grid[#Data],$DD1010,55),0)</f>
        <v/>
      </c>
      <c r="BF1010">
        <f>IFERROR(INDEX(PP_Grid[#Data],$DD1010,56),0)</f>
        <v/>
      </c>
      <c r="BG1010">
        <f>IFERROR(INDEX(PP_Grid[#Data],$DD1010,57),0)</f>
        <v/>
      </c>
      <c r="BH1010">
        <f>IFERROR(INDEX(PP_Grid[#Data],$DD1010,58),0)</f>
        <v/>
      </c>
      <c r="BI1010">
        <f>IFERROR(INDEX(PP_Grid[#Data],$DD1010,59),0)</f>
        <v/>
      </c>
      <c r="BJ1010">
        <f>IFERROR(INDEX(PP_Grid[#Data],$DD1010,60),0)</f>
        <v/>
      </c>
      <c r="BK1010">
        <f>IFERROR(INDEX(PP_Grid[#Data],$DD1010,61),0)</f>
        <v/>
      </c>
      <c r="BL1010">
        <f>IFERROR(INDEX(PP_Grid[#Data],$DD1010,62),0)</f>
        <v/>
      </c>
      <c r="BM1010">
        <f>IFERROR(INDEX(PP_Grid[#Data],$DD1010,63),0)</f>
        <v/>
      </c>
      <c r="BN1010">
        <f>IFERROR(INDEX(PP_Grid[#Data],$DD1010,64),0)</f>
        <v/>
      </c>
      <c r="BO1010">
        <f>IFERROR(INDEX(PP_Grid[#Data],$DD1010,65),0)</f>
        <v/>
      </c>
      <c r="BP1010">
        <f>IFERROR(INDEX(PP_Grid[#Data],$DD1010,66),0)</f>
        <v/>
      </c>
      <c r="BQ1010">
        <f>IFERROR(INDEX(PP_Grid[#Data],$DD1010,67),0)</f>
        <v/>
      </c>
      <c r="BR1010">
        <f>IFERROR(INDEX(PP_Grid[#Data],$DD1010,68),0)</f>
        <v/>
      </c>
      <c r="BS1010">
        <f>IFERROR(INDEX(PP_Grid[#Data],$DD1010,69),0)</f>
        <v/>
      </c>
      <c r="BT1010">
        <f>IFERROR(INDEX(PP_Grid[#Data],$DD1010,70),0)</f>
        <v/>
      </c>
      <c r="BU1010">
        <f>IFERROR(INDEX(PP_Grid[#Data],$DD1010,71),0)</f>
        <v/>
      </c>
      <c r="BV1010">
        <f>IFERROR(INDEX(PP_Grid[#Data],$DD1010,72),0)</f>
        <v/>
      </c>
      <c r="BW1010">
        <f>IFERROR(INDEX(PP_Grid[#Data],$DD1010,73),0)</f>
        <v/>
      </c>
      <c r="BX1010">
        <f>IFERROR(INDEX(PP_Grid[#Data],$DD1010,74),0)</f>
        <v/>
      </c>
      <c r="BY1010">
        <f>IFERROR(INDEX(PP_Grid[#Data],$DD1010,75),0)</f>
        <v/>
      </c>
      <c r="BZ1010">
        <f>IFERROR(INDEX(PP_Grid[#Data],$DD1010,76),0)</f>
        <v/>
      </c>
      <c r="CA1010">
        <f>IFERROR(INDEX(PP_Grid[#Data],$DD1010,77),0)</f>
        <v/>
      </c>
      <c r="CB1010">
        <f>IFERROR(INDEX(PP_Grid[#Data],$DD1010,78),0)</f>
        <v/>
      </c>
      <c r="CC1010">
        <f>IFERROR(INDEX(PP_Grid[#Data],$DD1010,79),0)</f>
        <v/>
      </c>
      <c r="CD1010">
        <f>IFERROR(INDEX(PP_Grid[#Data],$DD1010,80),0)</f>
        <v/>
      </c>
      <c r="CE1010">
        <f>IFERROR(INDEX(PP_Grid[#Data],$DD1010,81),0)</f>
        <v/>
      </c>
      <c r="CF1010">
        <f>IFERROR(INDEX(PP_Grid[#Data],$DD1010,82),0)</f>
        <v/>
      </c>
      <c r="CG1010">
        <f>IFERROR(INDEX(PP_Grid[#Data],$DD1010,83),0)</f>
        <v/>
      </c>
      <c r="CH1010">
        <f>IFERROR(INDEX(PP_Grid[#Data],$DD1010,84),0)</f>
        <v/>
      </c>
      <c r="CI1010">
        <f>IFERROR(INDEX(PP_Grid[#Data],$DD1010,85),0)</f>
        <v/>
      </c>
      <c r="CJ1010">
        <f>IFERROR(INDEX(PP_Grid[#Data],$DD1010,86),0)</f>
        <v/>
      </c>
      <c r="CK1010">
        <f>IFERROR(INDEX(PP_Grid[#Data],$DD1010,87),0)</f>
        <v/>
      </c>
      <c r="CL1010">
        <f>IFERROR(INDEX(PP_Grid[#Data],$DD1010,88),0)</f>
        <v/>
      </c>
      <c r="CM1010">
        <f>IFERROR(INDEX(PP_Grid[#Data],$DD1010,89),0)</f>
        <v/>
      </c>
      <c r="CN1010">
        <f>IFERROR(INDEX(PP_Grid[#Data],$DD1010,90),0)</f>
        <v/>
      </c>
      <c r="CO1010">
        <f>IFERROR(INDEX(PP_Grid[#Data],$DD1010,91),0)</f>
        <v/>
      </c>
      <c r="CP1010">
        <f>IFERROR(INDEX(PP_Grid[#Data],$DD1010,92),0)</f>
        <v/>
      </c>
      <c r="CQ1010">
        <f>IFERROR(INDEX(PP_Grid[#Data],$DD1010,93),0)</f>
        <v/>
      </c>
      <c r="CR1010">
        <f>IFERROR(INDEX(PP_Grid[#Data],$DD1010,94),0)</f>
        <v/>
      </c>
      <c r="CS1010">
        <f>IFERROR(INDEX(PP_Grid[#Data],$DD1010,95),0)</f>
        <v/>
      </c>
      <c r="CT1010">
        <f>IFERROR(INDEX(PP_Grid[#Data],$DD1010,96),0)</f>
        <v/>
      </c>
      <c r="CU1010">
        <f>IFERROR(INDEX(PP_Grid[#Data],$DD1010,97),0)</f>
        <v/>
      </c>
      <c r="CV1010">
        <f>IFERROR(INDEX(PP_Grid[#Data],$DD1010,98),0)</f>
        <v/>
      </c>
      <c r="CW1010">
        <f>IFERROR(INDEX(PP_Grid[#Data],$DD1010,99),0)</f>
        <v/>
      </c>
      <c r="CX1010">
        <f>IFERROR(INDEX(PP_Grid[#Data],$DD1010,100),0)</f>
        <v/>
      </c>
      <c r="CY1010">
        <f>IFERROR(INDEX(PP_Grid[#Data],$DD1010,101),0)</f>
        <v/>
      </c>
      <c r="CZ1010">
        <f>IFERROR(INDEX(PP_Grid[#Data],$DD1010,102),0)</f>
        <v/>
      </c>
      <c r="DA1010">
        <f>IFERROR(INDEX(PP_Grid[#Data],$DD1010,103),0)</f>
        <v/>
      </c>
      <c r="DB1010">
        <f>IFERROR(INDEX(PP_Grid[#Data],$DD1010,104),0)</f>
        <v/>
      </c>
      <c r="DC1010">
        <f>IFERROR(INDEX(PP_Grid[#Data],$DD1010,105),0)</f>
        <v/>
      </c>
      <c r="DD1010" s="12">
        <f>IFERROR(MATCH($B1010,PP_Grid[Intermediate],0),99999)</f>
        <v/>
      </c>
    </row>
    <row r="1011">
      <c r="B1011" t="inlineStr">
        <is>
          <t>使用量(kg)</t>
        </is>
      </c>
      <c r="C1011">
        <f>SUMIFS(M_BOM[RM_Qty_Per_Batch],M_BOM[Intermediate],$B1010,M_BOM[Part Name],$A953)</f>
        <v/>
      </c>
      <c r="D1011">
        <f>$C1011*D1010</f>
        <v/>
      </c>
      <c r="E1011">
        <f>$C1011*E1010</f>
        <v/>
      </c>
      <c r="F1011">
        <f>$C1011*F1010</f>
        <v/>
      </c>
      <c r="G1011">
        <f>$C1011*G1010</f>
        <v/>
      </c>
      <c r="H1011">
        <f>$C1011*H1010</f>
        <v/>
      </c>
      <c r="I1011">
        <f>$C1011*I1010</f>
        <v/>
      </c>
      <c r="J1011">
        <f>$C1011*J1010</f>
        <v/>
      </c>
      <c r="K1011">
        <f>$C1011*K1010</f>
        <v/>
      </c>
      <c r="L1011">
        <f>$C1011*L1010</f>
        <v/>
      </c>
      <c r="M1011">
        <f>$C1011*M1010</f>
        <v/>
      </c>
      <c r="N1011">
        <f>$C1011*N1010</f>
        <v/>
      </c>
      <c r="O1011">
        <f>$C1011*O1010</f>
        <v/>
      </c>
      <c r="P1011">
        <f>$C1011*P1010</f>
        <v/>
      </c>
      <c r="Q1011">
        <f>$C1011*Q1010</f>
        <v/>
      </c>
      <c r="R1011">
        <f>$C1011*R1010</f>
        <v/>
      </c>
      <c r="S1011">
        <f>$C1011*S1010</f>
        <v/>
      </c>
      <c r="T1011">
        <f>$C1011*T1010</f>
        <v/>
      </c>
      <c r="U1011">
        <f>$C1011*U1010</f>
        <v/>
      </c>
      <c r="V1011">
        <f>$C1011*V1010</f>
        <v/>
      </c>
      <c r="W1011">
        <f>$C1011*W1010</f>
        <v/>
      </c>
      <c r="X1011">
        <f>$C1011*X1010</f>
        <v/>
      </c>
      <c r="Y1011">
        <f>$C1011*Y1010</f>
        <v/>
      </c>
      <c r="Z1011">
        <f>$C1011*Z1010</f>
        <v/>
      </c>
      <c r="AA1011">
        <f>$C1011*AA1010</f>
        <v/>
      </c>
      <c r="AB1011">
        <f>$C1011*AB1010</f>
        <v/>
      </c>
      <c r="AC1011">
        <f>$C1011*AC1010</f>
        <v/>
      </c>
      <c r="AD1011">
        <f>$C1011*AD1010</f>
        <v/>
      </c>
      <c r="AE1011">
        <f>$C1011*AE1010</f>
        <v/>
      </c>
      <c r="AF1011">
        <f>$C1011*AF1010</f>
        <v/>
      </c>
      <c r="AG1011">
        <f>$C1011*AG1010</f>
        <v/>
      </c>
      <c r="AH1011">
        <f>$C1011*AH1010</f>
        <v/>
      </c>
      <c r="AI1011">
        <f>$C1011*AI1010</f>
        <v/>
      </c>
      <c r="AJ1011">
        <f>$C1011*AJ1010</f>
        <v/>
      </c>
      <c r="AK1011">
        <f>$C1011*AK1010</f>
        <v/>
      </c>
      <c r="AL1011">
        <f>$C1011*AL1010</f>
        <v/>
      </c>
      <c r="AM1011">
        <f>$C1011*AM1010</f>
        <v/>
      </c>
      <c r="AN1011">
        <f>$C1011*AN1010</f>
        <v/>
      </c>
      <c r="AO1011">
        <f>$C1011*AO1010</f>
        <v/>
      </c>
      <c r="AP1011">
        <f>$C1011*AP1010</f>
        <v/>
      </c>
      <c r="AQ1011">
        <f>$C1011*AQ1010</f>
        <v/>
      </c>
      <c r="AR1011">
        <f>$C1011*AR1010</f>
        <v/>
      </c>
      <c r="AS1011">
        <f>$C1011*AS1010</f>
        <v/>
      </c>
      <c r="AT1011">
        <f>$C1011*AT1010</f>
        <v/>
      </c>
      <c r="AU1011">
        <f>$C1011*AU1010</f>
        <v/>
      </c>
      <c r="AV1011">
        <f>$C1011*AV1010</f>
        <v/>
      </c>
      <c r="AW1011">
        <f>$C1011*AW1010</f>
        <v/>
      </c>
      <c r="AX1011">
        <f>$C1011*AX1010</f>
        <v/>
      </c>
      <c r="AY1011">
        <f>$C1011*AY1010</f>
        <v/>
      </c>
      <c r="AZ1011">
        <f>$C1011*AZ1010</f>
        <v/>
      </c>
      <c r="BA1011">
        <f>$C1011*BA1010</f>
        <v/>
      </c>
      <c r="BB1011">
        <f>$C1011*BB1010</f>
        <v/>
      </c>
      <c r="BC1011">
        <f>$C1011*BC1010</f>
        <v/>
      </c>
      <c r="BD1011">
        <f>$C1011*BD1010</f>
        <v/>
      </c>
      <c r="BE1011">
        <f>$C1011*BE1010</f>
        <v/>
      </c>
      <c r="BF1011">
        <f>$C1011*BF1010</f>
        <v/>
      </c>
      <c r="BG1011">
        <f>$C1011*BG1010</f>
        <v/>
      </c>
      <c r="BH1011">
        <f>$C1011*BH1010</f>
        <v/>
      </c>
      <c r="BI1011">
        <f>$C1011*BI1010</f>
        <v/>
      </c>
      <c r="BJ1011">
        <f>$C1011*BJ1010</f>
        <v/>
      </c>
      <c r="BK1011">
        <f>$C1011*BK1010</f>
        <v/>
      </c>
      <c r="BL1011">
        <f>$C1011*BL1010</f>
        <v/>
      </c>
      <c r="BM1011">
        <f>$C1011*BM1010</f>
        <v/>
      </c>
      <c r="BN1011">
        <f>$C1011*BN1010</f>
        <v/>
      </c>
      <c r="BO1011">
        <f>$C1011*BO1010</f>
        <v/>
      </c>
      <c r="BP1011">
        <f>$C1011*BP1010</f>
        <v/>
      </c>
      <c r="BQ1011">
        <f>$C1011*BQ1010</f>
        <v/>
      </c>
      <c r="BR1011">
        <f>$C1011*BR1010</f>
        <v/>
      </c>
      <c r="BS1011">
        <f>$C1011*BS1010</f>
        <v/>
      </c>
      <c r="BT1011">
        <f>$C1011*BT1010</f>
        <v/>
      </c>
      <c r="BU1011">
        <f>$C1011*BU1010</f>
        <v/>
      </c>
      <c r="BV1011">
        <f>$C1011*BV1010</f>
        <v/>
      </c>
      <c r="BW1011">
        <f>$C1011*BW1010</f>
        <v/>
      </c>
      <c r="BX1011">
        <f>$C1011*BX1010</f>
        <v/>
      </c>
      <c r="BY1011">
        <f>$C1011*BY1010</f>
        <v/>
      </c>
      <c r="BZ1011">
        <f>$C1011*BZ1010</f>
        <v/>
      </c>
      <c r="CA1011">
        <f>$C1011*CA1010</f>
        <v/>
      </c>
      <c r="CB1011">
        <f>$C1011*CB1010</f>
        <v/>
      </c>
      <c r="CC1011">
        <f>$C1011*CC1010</f>
        <v/>
      </c>
      <c r="CD1011">
        <f>$C1011*CD1010</f>
        <v/>
      </c>
      <c r="CE1011">
        <f>$C1011*CE1010</f>
        <v/>
      </c>
      <c r="CF1011">
        <f>$C1011*CF1010</f>
        <v/>
      </c>
      <c r="CG1011">
        <f>$C1011*CG1010</f>
        <v/>
      </c>
      <c r="CH1011">
        <f>$C1011*CH1010</f>
        <v/>
      </c>
      <c r="CI1011">
        <f>$C1011*CI1010</f>
        <v/>
      </c>
      <c r="CJ1011">
        <f>$C1011*CJ1010</f>
        <v/>
      </c>
      <c r="CK1011">
        <f>$C1011*CK1010</f>
        <v/>
      </c>
      <c r="CL1011">
        <f>$C1011*CL1010</f>
        <v/>
      </c>
      <c r="CM1011">
        <f>$C1011*CM1010</f>
        <v/>
      </c>
      <c r="CN1011">
        <f>$C1011*CN1010</f>
        <v/>
      </c>
      <c r="CO1011">
        <f>$C1011*CO1010</f>
        <v/>
      </c>
      <c r="CP1011">
        <f>$C1011*CP1010</f>
        <v/>
      </c>
      <c r="CQ1011">
        <f>$C1011*CQ1010</f>
        <v/>
      </c>
      <c r="CR1011">
        <f>$C1011*CR1010</f>
        <v/>
      </c>
      <c r="CS1011">
        <f>$C1011*CS1010</f>
        <v/>
      </c>
      <c r="CT1011">
        <f>$C1011*CT1010</f>
        <v/>
      </c>
      <c r="CU1011">
        <f>$C1011*CU1010</f>
        <v/>
      </c>
      <c r="CV1011">
        <f>$C1011*CV1010</f>
        <v/>
      </c>
      <c r="CW1011">
        <f>$C1011*CW1010</f>
        <v/>
      </c>
      <c r="CX1011">
        <f>$C1011*CX1010</f>
        <v/>
      </c>
      <c r="CY1011">
        <f>$C1011*CY1010</f>
        <v/>
      </c>
      <c r="CZ1011">
        <f>$C1011*CZ1010</f>
        <v/>
      </c>
      <c r="DA1011">
        <f>$C1011*DA1010</f>
        <v/>
      </c>
      <c r="DB1011">
        <f>$C1011*DB1010</f>
        <v/>
      </c>
      <c r="DC1011">
        <f>$C1011*DC1010</f>
        <v/>
      </c>
    </row>
    <row r="1012">
      <c r="B1012" t="inlineStr">
        <is>
          <t>VSP-990</t>
        </is>
      </c>
      <c r="C1012" t="inlineStr">
        <is>
          <t>No. of batches</t>
        </is>
      </c>
      <c r="D1012">
        <f>IFERROR(INDEX(PP_Grid[#Data],$DD1012,2),0)</f>
        <v/>
      </c>
      <c r="E1012">
        <f>IFERROR(INDEX(PP_Grid[#Data],$DD1012,3),0)</f>
        <v/>
      </c>
      <c r="F1012">
        <f>IFERROR(INDEX(PP_Grid[#Data],$DD1012,4),0)</f>
        <v/>
      </c>
      <c r="G1012">
        <f>IFERROR(INDEX(PP_Grid[#Data],$DD1012,5),0)</f>
        <v/>
      </c>
      <c r="H1012">
        <f>IFERROR(INDEX(PP_Grid[#Data],$DD1012,6),0)</f>
        <v/>
      </c>
      <c r="I1012">
        <f>IFERROR(INDEX(PP_Grid[#Data],$DD1012,7),0)</f>
        <v/>
      </c>
      <c r="J1012">
        <f>IFERROR(INDEX(PP_Grid[#Data],$DD1012,8),0)</f>
        <v/>
      </c>
      <c r="K1012">
        <f>IFERROR(INDEX(PP_Grid[#Data],$DD1012,9),0)</f>
        <v/>
      </c>
      <c r="L1012">
        <f>IFERROR(INDEX(PP_Grid[#Data],$DD1012,10),0)</f>
        <v/>
      </c>
      <c r="M1012">
        <f>IFERROR(INDEX(PP_Grid[#Data],$DD1012,11),0)</f>
        <v/>
      </c>
      <c r="N1012">
        <f>IFERROR(INDEX(PP_Grid[#Data],$DD1012,12),0)</f>
        <v/>
      </c>
      <c r="O1012">
        <f>IFERROR(INDEX(PP_Grid[#Data],$DD1012,13),0)</f>
        <v/>
      </c>
      <c r="P1012">
        <f>IFERROR(INDEX(PP_Grid[#Data],$DD1012,14),0)</f>
        <v/>
      </c>
      <c r="Q1012">
        <f>IFERROR(INDEX(PP_Grid[#Data],$DD1012,15),0)</f>
        <v/>
      </c>
      <c r="R1012">
        <f>IFERROR(INDEX(PP_Grid[#Data],$DD1012,16),0)</f>
        <v/>
      </c>
      <c r="S1012">
        <f>IFERROR(INDEX(PP_Grid[#Data],$DD1012,17),0)</f>
        <v/>
      </c>
      <c r="T1012">
        <f>IFERROR(INDEX(PP_Grid[#Data],$DD1012,18),0)</f>
        <v/>
      </c>
      <c r="U1012">
        <f>IFERROR(INDEX(PP_Grid[#Data],$DD1012,19),0)</f>
        <v/>
      </c>
      <c r="V1012">
        <f>IFERROR(INDEX(PP_Grid[#Data],$DD1012,20),0)</f>
        <v/>
      </c>
      <c r="W1012">
        <f>IFERROR(INDEX(PP_Grid[#Data],$DD1012,21),0)</f>
        <v/>
      </c>
      <c r="X1012">
        <f>IFERROR(INDEX(PP_Grid[#Data],$DD1012,22),0)</f>
        <v/>
      </c>
      <c r="Y1012">
        <f>IFERROR(INDEX(PP_Grid[#Data],$DD1012,23),0)</f>
        <v/>
      </c>
      <c r="Z1012">
        <f>IFERROR(INDEX(PP_Grid[#Data],$DD1012,24),0)</f>
        <v/>
      </c>
      <c r="AA1012">
        <f>IFERROR(INDEX(PP_Grid[#Data],$DD1012,25),0)</f>
        <v/>
      </c>
      <c r="AB1012">
        <f>IFERROR(INDEX(PP_Grid[#Data],$DD1012,26),0)</f>
        <v/>
      </c>
      <c r="AC1012">
        <f>IFERROR(INDEX(PP_Grid[#Data],$DD1012,27),0)</f>
        <v/>
      </c>
      <c r="AD1012">
        <f>IFERROR(INDEX(PP_Grid[#Data],$DD1012,28),0)</f>
        <v/>
      </c>
      <c r="AE1012">
        <f>IFERROR(INDEX(PP_Grid[#Data],$DD1012,29),0)</f>
        <v/>
      </c>
      <c r="AF1012">
        <f>IFERROR(INDEX(PP_Grid[#Data],$DD1012,30),0)</f>
        <v/>
      </c>
      <c r="AG1012">
        <f>IFERROR(INDEX(PP_Grid[#Data],$DD1012,31),0)</f>
        <v/>
      </c>
      <c r="AH1012">
        <f>IFERROR(INDEX(PP_Grid[#Data],$DD1012,32),0)</f>
        <v/>
      </c>
      <c r="AI1012">
        <f>IFERROR(INDEX(PP_Grid[#Data],$DD1012,33),0)</f>
        <v/>
      </c>
      <c r="AJ1012">
        <f>IFERROR(INDEX(PP_Grid[#Data],$DD1012,34),0)</f>
        <v/>
      </c>
      <c r="AK1012">
        <f>IFERROR(INDEX(PP_Grid[#Data],$DD1012,35),0)</f>
        <v/>
      </c>
      <c r="AL1012">
        <f>IFERROR(INDEX(PP_Grid[#Data],$DD1012,36),0)</f>
        <v/>
      </c>
      <c r="AM1012">
        <f>IFERROR(INDEX(PP_Grid[#Data],$DD1012,37),0)</f>
        <v/>
      </c>
      <c r="AN1012">
        <f>IFERROR(INDEX(PP_Grid[#Data],$DD1012,38),0)</f>
        <v/>
      </c>
      <c r="AO1012">
        <f>IFERROR(INDEX(PP_Grid[#Data],$DD1012,39),0)</f>
        <v/>
      </c>
      <c r="AP1012">
        <f>IFERROR(INDEX(PP_Grid[#Data],$DD1012,40),0)</f>
        <v/>
      </c>
      <c r="AQ1012">
        <f>IFERROR(INDEX(PP_Grid[#Data],$DD1012,41),0)</f>
        <v/>
      </c>
      <c r="AR1012">
        <f>IFERROR(INDEX(PP_Grid[#Data],$DD1012,42),0)</f>
        <v/>
      </c>
      <c r="AS1012">
        <f>IFERROR(INDEX(PP_Grid[#Data],$DD1012,43),0)</f>
        <v/>
      </c>
      <c r="AT1012">
        <f>IFERROR(INDEX(PP_Grid[#Data],$DD1012,44),0)</f>
        <v/>
      </c>
      <c r="AU1012">
        <f>IFERROR(INDEX(PP_Grid[#Data],$DD1012,45),0)</f>
        <v/>
      </c>
      <c r="AV1012">
        <f>IFERROR(INDEX(PP_Grid[#Data],$DD1012,46),0)</f>
        <v/>
      </c>
      <c r="AW1012">
        <f>IFERROR(INDEX(PP_Grid[#Data],$DD1012,47),0)</f>
        <v/>
      </c>
      <c r="AX1012">
        <f>IFERROR(INDEX(PP_Grid[#Data],$DD1012,48),0)</f>
        <v/>
      </c>
      <c r="AY1012">
        <f>IFERROR(INDEX(PP_Grid[#Data],$DD1012,49),0)</f>
        <v/>
      </c>
      <c r="AZ1012">
        <f>IFERROR(INDEX(PP_Grid[#Data],$DD1012,50),0)</f>
        <v/>
      </c>
      <c r="BA1012">
        <f>IFERROR(INDEX(PP_Grid[#Data],$DD1012,51),0)</f>
        <v/>
      </c>
      <c r="BB1012">
        <f>IFERROR(INDEX(PP_Grid[#Data],$DD1012,52),0)</f>
        <v/>
      </c>
      <c r="BC1012">
        <f>IFERROR(INDEX(PP_Grid[#Data],$DD1012,53),0)</f>
        <v/>
      </c>
      <c r="BD1012">
        <f>IFERROR(INDEX(PP_Grid[#Data],$DD1012,54),0)</f>
        <v/>
      </c>
      <c r="BE1012">
        <f>IFERROR(INDEX(PP_Grid[#Data],$DD1012,55),0)</f>
        <v/>
      </c>
      <c r="BF1012">
        <f>IFERROR(INDEX(PP_Grid[#Data],$DD1012,56),0)</f>
        <v/>
      </c>
      <c r="BG1012">
        <f>IFERROR(INDEX(PP_Grid[#Data],$DD1012,57),0)</f>
        <v/>
      </c>
      <c r="BH1012">
        <f>IFERROR(INDEX(PP_Grid[#Data],$DD1012,58),0)</f>
        <v/>
      </c>
      <c r="BI1012">
        <f>IFERROR(INDEX(PP_Grid[#Data],$DD1012,59),0)</f>
        <v/>
      </c>
      <c r="BJ1012">
        <f>IFERROR(INDEX(PP_Grid[#Data],$DD1012,60),0)</f>
        <v/>
      </c>
      <c r="BK1012">
        <f>IFERROR(INDEX(PP_Grid[#Data],$DD1012,61),0)</f>
        <v/>
      </c>
      <c r="BL1012">
        <f>IFERROR(INDEX(PP_Grid[#Data],$DD1012,62),0)</f>
        <v/>
      </c>
      <c r="BM1012">
        <f>IFERROR(INDEX(PP_Grid[#Data],$DD1012,63),0)</f>
        <v/>
      </c>
      <c r="BN1012">
        <f>IFERROR(INDEX(PP_Grid[#Data],$DD1012,64),0)</f>
        <v/>
      </c>
      <c r="BO1012">
        <f>IFERROR(INDEX(PP_Grid[#Data],$DD1012,65),0)</f>
        <v/>
      </c>
      <c r="BP1012">
        <f>IFERROR(INDEX(PP_Grid[#Data],$DD1012,66),0)</f>
        <v/>
      </c>
      <c r="BQ1012">
        <f>IFERROR(INDEX(PP_Grid[#Data],$DD1012,67),0)</f>
        <v/>
      </c>
      <c r="BR1012">
        <f>IFERROR(INDEX(PP_Grid[#Data],$DD1012,68),0)</f>
        <v/>
      </c>
      <c r="BS1012">
        <f>IFERROR(INDEX(PP_Grid[#Data],$DD1012,69),0)</f>
        <v/>
      </c>
      <c r="BT1012">
        <f>IFERROR(INDEX(PP_Grid[#Data],$DD1012,70),0)</f>
        <v/>
      </c>
      <c r="BU1012">
        <f>IFERROR(INDEX(PP_Grid[#Data],$DD1012,71),0)</f>
        <v/>
      </c>
      <c r="BV1012">
        <f>IFERROR(INDEX(PP_Grid[#Data],$DD1012,72),0)</f>
        <v/>
      </c>
      <c r="BW1012">
        <f>IFERROR(INDEX(PP_Grid[#Data],$DD1012,73),0)</f>
        <v/>
      </c>
      <c r="BX1012">
        <f>IFERROR(INDEX(PP_Grid[#Data],$DD1012,74),0)</f>
        <v/>
      </c>
      <c r="BY1012">
        <f>IFERROR(INDEX(PP_Grid[#Data],$DD1012,75),0)</f>
        <v/>
      </c>
      <c r="BZ1012">
        <f>IFERROR(INDEX(PP_Grid[#Data],$DD1012,76),0)</f>
        <v/>
      </c>
      <c r="CA1012">
        <f>IFERROR(INDEX(PP_Grid[#Data],$DD1012,77),0)</f>
        <v/>
      </c>
      <c r="CB1012">
        <f>IFERROR(INDEX(PP_Grid[#Data],$DD1012,78),0)</f>
        <v/>
      </c>
      <c r="CC1012">
        <f>IFERROR(INDEX(PP_Grid[#Data],$DD1012,79),0)</f>
        <v/>
      </c>
      <c r="CD1012">
        <f>IFERROR(INDEX(PP_Grid[#Data],$DD1012,80),0)</f>
        <v/>
      </c>
      <c r="CE1012">
        <f>IFERROR(INDEX(PP_Grid[#Data],$DD1012,81),0)</f>
        <v/>
      </c>
      <c r="CF1012">
        <f>IFERROR(INDEX(PP_Grid[#Data],$DD1012,82),0)</f>
        <v/>
      </c>
      <c r="CG1012">
        <f>IFERROR(INDEX(PP_Grid[#Data],$DD1012,83),0)</f>
        <v/>
      </c>
      <c r="CH1012">
        <f>IFERROR(INDEX(PP_Grid[#Data],$DD1012,84),0)</f>
        <v/>
      </c>
      <c r="CI1012">
        <f>IFERROR(INDEX(PP_Grid[#Data],$DD1012,85),0)</f>
        <v/>
      </c>
      <c r="CJ1012">
        <f>IFERROR(INDEX(PP_Grid[#Data],$DD1012,86),0)</f>
        <v/>
      </c>
      <c r="CK1012">
        <f>IFERROR(INDEX(PP_Grid[#Data],$DD1012,87),0)</f>
        <v/>
      </c>
      <c r="CL1012">
        <f>IFERROR(INDEX(PP_Grid[#Data],$DD1012,88),0)</f>
        <v/>
      </c>
      <c r="CM1012">
        <f>IFERROR(INDEX(PP_Grid[#Data],$DD1012,89),0)</f>
        <v/>
      </c>
      <c r="CN1012">
        <f>IFERROR(INDEX(PP_Grid[#Data],$DD1012,90),0)</f>
        <v/>
      </c>
      <c r="CO1012">
        <f>IFERROR(INDEX(PP_Grid[#Data],$DD1012,91),0)</f>
        <v/>
      </c>
      <c r="CP1012">
        <f>IFERROR(INDEX(PP_Grid[#Data],$DD1012,92),0)</f>
        <v/>
      </c>
      <c r="CQ1012">
        <f>IFERROR(INDEX(PP_Grid[#Data],$DD1012,93),0)</f>
        <v/>
      </c>
      <c r="CR1012">
        <f>IFERROR(INDEX(PP_Grid[#Data],$DD1012,94),0)</f>
        <v/>
      </c>
      <c r="CS1012">
        <f>IFERROR(INDEX(PP_Grid[#Data],$DD1012,95),0)</f>
        <v/>
      </c>
      <c r="CT1012">
        <f>IFERROR(INDEX(PP_Grid[#Data],$DD1012,96),0)</f>
        <v/>
      </c>
      <c r="CU1012">
        <f>IFERROR(INDEX(PP_Grid[#Data],$DD1012,97),0)</f>
        <v/>
      </c>
      <c r="CV1012">
        <f>IFERROR(INDEX(PP_Grid[#Data],$DD1012,98),0)</f>
        <v/>
      </c>
      <c r="CW1012">
        <f>IFERROR(INDEX(PP_Grid[#Data],$DD1012,99),0)</f>
        <v/>
      </c>
      <c r="CX1012">
        <f>IFERROR(INDEX(PP_Grid[#Data],$DD1012,100),0)</f>
        <v/>
      </c>
      <c r="CY1012">
        <f>IFERROR(INDEX(PP_Grid[#Data],$DD1012,101),0)</f>
        <v/>
      </c>
      <c r="CZ1012">
        <f>IFERROR(INDEX(PP_Grid[#Data],$DD1012,102),0)</f>
        <v/>
      </c>
      <c r="DA1012">
        <f>IFERROR(INDEX(PP_Grid[#Data],$DD1012,103),0)</f>
        <v/>
      </c>
      <c r="DB1012">
        <f>IFERROR(INDEX(PP_Grid[#Data],$DD1012,104),0)</f>
        <v/>
      </c>
      <c r="DC1012">
        <f>IFERROR(INDEX(PP_Grid[#Data],$DD1012,105),0)</f>
        <v/>
      </c>
      <c r="DD1012" s="12">
        <f>IFERROR(MATCH($B1012,PP_Grid[Intermediate],0),99999)</f>
        <v/>
      </c>
    </row>
    <row r="1013">
      <c r="B1013" t="inlineStr">
        <is>
          <t>使用量(kg)</t>
        </is>
      </c>
      <c r="C1013">
        <f>SUMIFS(M_BOM[RM_Qty_Per_Batch],M_BOM[Intermediate],$B1012,M_BOM[Part Name],$A953)</f>
        <v/>
      </c>
      <c r="D1013">
        <f>$C1013*D1012</f>
        <v/>
      </c>
      <c r="E1013">
        <f>$C1013*E1012</f>
        <v/>
      </c>
      <c r="F1013">
        <f>$C1013*F1012</f>
        <v/>
      </c>
      <c r="G1013">
        <f>$C1013*G1012</f>
        <v/>
      </c>
      <c r="H1013">
        <f>$C1013*H1012</f>
        <v/>
      </c>
      <c r="I1013">
        <f>$C1013*I1012</f>
        <v/>
      </c>
      <c r="J1013">
        <f>$C1013*J1012</f>
        <v/>
      </c>
      <c r="K1013">
        <f>$C1013*K1012</f>
        <v/>
      </c>
      <c r="L1013">
        <f>$C1013*L1012</f>
        <v/>
      </c>
      <c r="M1013">
        <f>$C1013*M1012</f>
        <v/>
      </c>
      <c r="N1013">
        <f>$C1013*N1012</f>
        <v/>
      </c>
      <c r="O1013">
        <f>$C1013*O1012</f>
        <v/>
      </c>
      <c r="P1013">
        <f>$C1013*P1012</f>
        <v/>
      </c>
      <c r="Q1013">
        <f>$C1013*Q1012</f>
        <v/>
      </c>
      <c r="R1013">
        <f>$C1013*R1012</f>
        <v/>
      </c>
      <c r="S1013">
        <f>$C1013*S1012</f>
        <v/>
      </c>
      <c r="T1013">
        <f>$C1013*T1012</f>
        <v/>
      </c>
      <c r="U1013">
        <f>$C1013*U1012</f>
        <v/>
      </c>
      <c r="V1013">
        <f>$C1013*V1012</f>
        <v/>
      </c>
      <c r="W1013">
        <f>$C1013*W1012</f>
        <v/>
      </c>
      <c r="X1013">
        <f>$C1013*X1012</f>
        <v/>
      </c>
      <c r="Y1013">
        <f>$C1013*Y1012</f>
        <v/>
      </c>
      <c r="Z1013">
        <f>$C1013*Z1012</f>
        <v/>
      </c>
      <c r="AA1013">
        <f>$C1013*AA1012</f>
        <v/>
      </c>
      <c r="AB1013">
        <f>$C1013*AB1012</f>
        <v/>
      </c>
      <c r="AC1013">
        <f>$C1013*AC1012</f>
        <v/>
      </c>
      <c r="AD1013">
        <f>$C1013*AD1012</f>
        <v/>
      </c>
      <c r="AE1013">
        <f>$C1013*AE1012</f>
        <v/>
      </c>
      <c r="AF1013">
        <f>$C1013*AF1012</f>
        <v/>
      </c>
      <c r="AG1013">
        <f>$C1013*AG1012</f>
        <v/>
      </c>
      <c r="AH1013">
        <f>$C1013*AH1012</f>
        <v/>
      </c>
      <c r="AI1013">
        <f>$C1013*AI1012</f>
        <v/>
      </c>
      <c r="AJ1013">
        <f>$C1013*AJ1012</f>
        <v/>
      </c>
      <c r="AK1013">
        <f>$C1013*AK1012</f>
        <v/>
      </c>
      <c r="AL1013">
        <f>$C1013*AL1012</f>
        <v/>
      </c>
      <c r="AM1013">
        <f>$C1013*AM1012</f>
        <v/>
      </c>
      <c r="AN1013">
        <f>$C1013*AN1012</f>
        <v/>
      </c>
      <c r="AO1013">
        <f>$C1013*AO1012</f>
        <v/>
      </c>
      <c r="AP1013">
        <f>$C1013*AP1012</f>
        <v/>
      </c>
      <c r="AQ1013">
        <f>$C1013*AQ1012</f>
        <v/>
      </c>
      <c r="AR1013">
        <f>$C1013*AR1012</f>
        <v/>
      </c>
      <c r="AS1013">
        <f>$C1013*AS1012</f>
        <v/>
      </c>
      <c r="AT1013">
        <f>$C1013*AT1012</f>
        <v/>
      </c>
      <c r="AU1013">
        <f>$C1013*AU1012</f>
        <v/>
      </c>
      <c r="AV1013">
        <f>$C1013*AV1012</f>
        <v/>
      </c>
      <c r="AW1013">
        <f>$C1013*AW1012</f>
        <v/>
      </c>
      <c r="AX1013">
        <f>$C1013*AX1012</f>
        <v/>
      </c>
      <c r="AY1013">
        <f>$C1013*AY1012</f>
        <v/>
      </c>
      <c r="AZ1013">
        <f>$C1013*AZ1012</f>
        <v/>
      </c>
      <c r="BA1013">
        <f>$C1013*BA1012</f>
        <v/>
      </c>
      <c r="BB1013">
        <f>$C1013*BB1012</f>
        <v/>
      </c>
      <c r="BC1013">
        <f>$C1013*BC1012</f>
        <v/>
      </c>
      <c r="BD1013">
        <f>$C1013*BD1012</f>
        <v/>
      </c>
      <c r="BE1013">
        <f>$C1013*BE1012</f>
        <v/>
      </c>
      <c r="BF1013">
        <f>$C1013*BF1012</f>
        <v/>
      </c>
      <c r="BG1013">
        <f>$C1013*BG1012</f>
        <v/>
      </c>
      <c r="BH1013">
        <f>$C1013*BH1012</f>
        <v/>
      </c>
      <c r="BI1013">
        <f>$C1013*BI1012</f>
        <v/>
      </c>
      <c r="BJ1013">
        <f>$C1013*BJ1012</f>
        <v/>
      </c>
      <c r="BK1013">
        <f>$C1013*BK1012</f>
        <v/>
      </c>
      <c r="BL1013">
        <f>$C1013*BL1012</f>
        <v/>
      </c>
      <c r="BM1013">
        <f>$C1013*BM1012</f>
        <v/>
      </c>
      <c r="BN1013">
        <f>$C1013*BN1012</f>
        <v/>
      </c>
      <c r="BO1013">
        <f>$C1013*BO1012</f>
        <v/>
      </c>
      <c r="BP1013">
        <f>$C1013*BP1012</f>
        <v/>
      </c>
      <c r="BQ1013">
        <f>$C1013*BQ1012</f>
        <v/>
      </c>
      <c r="BR1013">
        <f>$C1013*BR1012</f>
        <v/>
      </c>
      <c r="BS1013">
        <f>$C1013*BS1012</f>
        <v/>
      </c>
      <c r="BT1013">
        <f>$C1013*BT1012</f>
        <v/>
      </c>
      <c r="BU1013">
        <f>$C1013*BU1012</f>
        <v/>
      </c>
      <c r="BV1013">
        <f>$C1013*BV1012</f>
        <v/>
      </c>
      <c r="BW1013">
        <f>$C1013*BW1012</f>
        <v/>
      </c>
      <c r="BX1013">
        <f>$C1013*BX1012</f>
        <v/>
      </c>
      <c r="BY1013">
        <f>$C1013*BY1012</f>
        <v/>
      </c>
      <c r="BZ1013">
        <f>$C1013*BZ1012</f>
        <v/>
      </c>
      <c r="CA1013">
        <f>$C1013*CA1012</f>
        <v/>
      </c>
      <c r="CB1013">
        <f>$C1013*CB1012</f>
        <v/>
      </c>
      <c r="CC1013">
        <f>$C1013*CC1012</f>
        <v/>
      </c>
      <c r="CD1013">
        <f>$C1013*CD1012</f>
        <v/>
      </c>
      <c r="CE1013">
        <f>$C1013*CE1012</f>
        <v/>
      </c>
      <c r="CF1013">
        <f>$C1013*CF1012</f>
        <v/>
      </c>
      <c r="CG1013">
        <f>$C1013*CG1012</f>
        <v/>
      </c>
      <c r="CH1013">
        <f>$C1013*CH1012</f>
        <v/>
      </c>
      <c r="CI1013">
        <f>$C1013*CI1012</f>
        <v/>
      </c>
      <c r="CJ1013">
        <f>$C1013*CJ1012</f>
        <v/>
      </c>
      <c r="CK1013">
        <f>$C1013*CK1012</f>
        <v/>
      </c>
      <c r="CL1013">
        <f>$C1013*CL1012</f>
        <v/>
      </c>
      <c r="CM1013">
        <f>$C1013*CM1012</f>
        <v/>
      </c>
      <c r="CN1013">
        <f>$C1013*CN1012</f>
        <v/>
      </c>
      <c r="CO1013">
        <f>$C1013*CO1012</f>
        <v/>
      </c>
      <c r="CP1013">
        <f>$C1013*CP1012</f>
        <v/>
      </c>
      <c r="CQ1013">
        <f>$C1013*CQ1012</f>
        <v/>
      </c>
      <c r="CR1013">
        <f>$C1013*CR1012</f>
        <v/>
      </c>
      <c r="CS1013">
        <f>$C1013*CS1012</f>
        <v/>
      </c>
      <c r="CT1013">
        <f>$C1013*CT1012</f>
        <v/>
      </c>
      <c r="CU1013">
        <f>$C1013*CU1012</f>
        <v/>
      </c>
      <c r="CV1013">
        <f>$C1013*CV1012</f>
        <v/>
      </c>
      <c r="CW1013">
        <f>$C1013*CW1012</f>
        <v/>
      </c>
      <c r="CX1013">
        <f>$C1013*CX1012</f>
        <v/>
      </c>
      <c r="CY1013">
        <f>$C1013*CY1012</f>
        <v/>
      </c>
      <c r="CZ1013">
        <f>$C1013*CZ1012</f>
        <v/>
      </c>
      <c r="DA1013">
        <f>$C1013*DA1012</f>
        <v/>
      </c>
      <c r="DB1013">
        <f>$C1013*DB1012</f>
        <v/>
      </c>
      <c r="DC1013">
        <f>$C1013*DC1012</f>
        <v/>
      </c>
    </row>
    <row r="1014">
      <c r="B1014" s="5" t="inlineStr">
        <is>
          <t>合計使用量(kg)/週</t>
        </is>
      </c>
      <c r="D1014">
        <f>'Grid_Requirement'!B43</f>
        <v/>
      </c>
      <c r="E1014">
        <f>'Grid_Requirement'!C43</f>
        <v/>
      </c>
      <c r="F1014">
        <f>'Grid_Requirement'!D43</f>
        <v/>
      </c>
      <c r="G1014">
        <f>'Grid_Requirement'!E43</f>
        <v/>
      </c>
      <c r="H1014">
        <f>'Grid_Requirement'!F43</f>
        <v/>
      </c>
      <c r="I1014">
        <f>'Grid_Requirement'!G43</f>
        <v/>
      </c>
      <c r="J1014">
        <f>'Grid_Requirement'!H43</f>
        <v/>
      </c>
      <c r="K1014">
        <f>'Grid_Requirement'!I43</f>
        <v/>
      </c>
      <c r="L1014">
        <f>'Grid_Requirement'!J43</f>
        <v/>
      </c>
      <c r="M1014">
        <f>'Grid_Requirement'!K43</f>
        <v/>
      </c>
      <c r="N1014">
        <f>'Grid_Requirement'!L43</f>
        <v/>
      </c>
      <c r="O1014">
        <f>'Grid_Requirement'!M43</f>
        <v/>
      </c>
      <c r="P1014">
        <f>'Grid_Requirement'!N43</f>
        <v/>
      </c>
      <c r="Q1014">
        <f>'Grid_Requirement'!O43</f>
        <v/>
      </c>
      <c r="R1014">
        <f>'Grid_Requirement'!P43</f>
        <v/>
      </c>
      <c r="S1014">
        <f>'Grid_Requirement'!Q43</f>
        <v/>
      </c>
      <c r="T1014">
        <f>'Grid_Requirement'!R43</f>
        <v/>
      </c>
      <c r="U1014">
        <f>'Grid_Requirement'!S43</f>
        <v/>
      </c>
      <c r="V1014">
        <f>'Grid_Requirement'!T43</f>
        <v/>
      </c>
      <c r="W1014">
        <f>'Grid_Requirement'!U43</f>
        <v/>
      </c>
      <c r="X1014">
        <f>'Grid_Requirement'!V43</f>
        <v/>
      </c>
      <c r="Y1014">
        <f>'Grid_Requirement'!W43</f>
        <v/>
      </c>
      <c r="Z1014">
        <f>'Grid_Requirement'!X43</f>
        <v/>
      </c>
      <c r="AA1014">
        <f>'Grid_Requirement'!Y43</f>
        <v/>
      </c>
      <c r="AB1014">
        <f>'Grid_Requirement'!Z43</f>
        <v/>
      </c>
      <c r="AC1014">
        <f>'Grid_Requirement'!AA43</f>
        <v/>
      </c>
      <c r="AD1014">
        <f>'Grid_Requirement'!AB43</f>
        <v/>
      </c>
      <c r="AE1014">
        <f>'Grid_Requirement'!AC43</f>
        <v/>
      </c>
      <c r="AF1014">
        <f>'Grid_Requirement'!AD43</f>
        <v/>
      </c>
      <c r="AG1014">
        <f>'Grid_Requirement'!AE43</f>
        <v/>
      </c>
      <c r="AH1014">
        <f>'Grid_Requirement'!AF43</f>
        <v/>
      </c>
      <c r="AI1014">
        <f>'Grid_Requirement'!AG43</f>
        <v/>
      </c>
      <c r="AJ1014">
        <f>'Grid_Requirement'!AH43</f>
        <v/>
      </c>
      <c r="AK1014">
        <f>'Grid_Requirement'!AI43</f>
        <v/>
      </c>
      <c r="AL1014">
        <f>'Grid_Requirement'!AJ43</f>
        <v/>
      </c>
      <c r="AM1014">
        <f>'Grid_Requirement'!AK43</f>
        <v/>
      </c>
      <c r="AN1014">
        <f>'Grid_Requirement'!AL43</f>
        <v/>
      </c>
      <c r="AO1014">
        <f>'Grid_Requirement'!AM43</f>
        <v/>
      </c>
      <c r="AP1014">
        <f>'Grid_Requirement'!AN43</f>
        <v/>
      </c>
      <c r="AQ1014">
        <f>'Grid_Requirement'!AO43</f>
        <v/>
      </c>
      <c r="AR1014">
        <f>'Grid_Requirement'!AP43</f>
        <v/>
      </c>
      <c r="AS1014">
        <f>'Grid_Requirement'!AQ43</f>
        <v/>
      </c>
      <c r="AT1014">
        <f>'Grid_Requirement'!AR43</f>
        <v/>
      </c>
      <c r="AU1014">
        <f>'Grid_Requirement'!AS43</f>
        <v/>
      </c>
      <c r="AV1014">
        <f>'Grid_Requirement'!AT43</f>
        <v/>
      </c>
      <c r="AW1014">
        <f>'Grid_Requirement'!AU43</f>
        <v/>
      </c>
      <c r="AX1014">
        <f>'Grid_Requirement'!AV43</f>
        <v/>
      </c>
      <c r="AY1014">
        <f>'Grid_Requirement'!AW43</f>
        <v/>
      </c>
      <c r="AZ1014">
        <f>'Grid_Requirement'!AX43</f>
        <v/>
      </c>
      <c r="BA1014">
        <f>'Grid_Requirement'!AY43</f>
        <v/>
      </c>
      <c r="BB1014">
        <f>'Grid_Requirement'!AZ43</f>
        <v/>
      </c>
      <c r="BC1014">
        <f>'Grid_Requirement'!BA43</f>
        <v/>
      </c>
      <c r="BD1014">
        <f>'Grid_Requirement'!BB43</f>
        <v/>
      </c>
      <c r="BE1014">
        <f>'Grid_Requirement'!BC43</f>
        <v/>
      </c>
      <c r="BF1014">
        <f>'Grid_Requirement'!BD43</f>
        <v/>
      </c>
      <c r="BG1014">
        <f>'Grid_Requirement'!BE43</f>
        <v/>
      </c>
      <c r="BH1014">
        <f>'Grid_Requirement'!BF43</f>
        <v/>
      </c>
      <c r="BI1014">
        <f>'Grid_Requirement'!BG43</f>
        <v/>
      </c>
      <c r="BJ1014">
        <f>'Grid_Requirement'!BH43</f>
        <v/>
      </c>
      <c r="BK1014">
        <f>'Grid_Requirement'!BI43</f>
        <v/>
      </c>
      <c r="BL1014">
        <f>'Grid_Requirement'!BJ43</f>
        <v/>
      </c>
      <c r="BM1014">
        <f>'Grid_Requirement'!BK43</f>
        <v/>
      </c>
      <c r="BN1014">
        <f>'Grid_Requirement'!BL43</f>
        <v/>
      </c>
      <c r="BO1014">
        <f>'Grid_Requirement'!BM43</f>
        <v/>
      </c>
      <c r="BP1014">
        <f>'Grid_Requirement'!BN43</f>
        <v/>
      </c>
      <c r="BQ1014">
        <f>'Grid_Requirement'!BO43</f>
        <v/>
      </c>
      <c r="BR1014">
        <f>'Grid_Requirement'!BP43</f>
        <v/>
      </c>
      <c r="BS1014">
        <f>'Grid_Requirement'!BQ43</f>
        <v/>
      </c>
      <c r="BT1014">
        <f>'Grid_Requirement'!BR43</f>
        <v/>
      </c>
      <c r="BU1014">
        <f>'Grid_Requirement'!BS43</f>
        <v/>
      </c>
      <c r="BV1014">
        <f>'Grid_Requirement'!BT43</f>
        <v/>
      </c>
      <c r="BW1014">
        <f>'Grid_Requirement'!BU43</f>
        <v/>
      </c>
      <c r="BX1014">
        <f>'Grid_Requirement'!BV43</f>
        <v/>
      </c>
      <c r="BY1014">
        <f>'Grid_Requirement'!BW43</f>
        <v/>
      </c>
      <c r="BZ1014">
        <f>'Grid_Requirement'!BX43</f>
        <v/>
      </c>
      <c r="CA1014">
        <f>'Grid_Requirement'!BY43</f>
        <v/>
      </c>
      <c r="CB1014">
        <f>'Grid_Requirement'!BZ43</f>
        <v/>
      </c>
      <c r="CC1014">
        <f>'Grid_Requirement'!CA43</f>
        <v/>
      </c>
      <c r="CD1014">
        <f>'Grid_Requirement'!CB43</f>
        <v/>
      </c>
      <c r="CE1014">
        <f>'Grid_Requirement'!CC43</f>
        <v/>
      </c>
      <c r="CF1014">
        <f>'Grid_Requirement'!CD43</f>
        <v/>
      </c>
      <c r="CG1014">
        <f>'Grid_Requirement'!CE43</f>
        <v/>
      </c>
      <c r="CH1014">
        <f>'Grid_Requirement'!CF43</f>
        <v/>
      </c>
      <c r="CI1014">
        <f>'Grid_Requirement'!CG43</f>
        <v/>
      </c>
      <c r="CJ1014">
        <f>'Grid_Requirement'!CH43</f>
        <v/>
      </c>
      <c r="CK1014">
        <f>'Grid_Requirement'!CI43</f>
        <v/>
      </c>
      <c r="CL1014">
        <f>'Grid_Requirement'!CJ43</f>
        <v/>
      </c>
      <c r="CM1014">
        <f>'Grid_Requirement'!CK43</f>
        <v/>
      </c>
      <c r="CN1014">
        <f>'Grid_Requirement'!CL43</f>
        <v/>
      </c>
      <c r="CO1014">
        <f>'Grid_Requirement'!CM43</f>
        <v/>
      </c>
      <c r="CP1014">
        <f>'Grid_Requirement'!CN43</f>
        <v/>
      </c>
      <c r="CQ1014">
        <f>'Grid_Requirement'!CO43</f>
        <v/>
      </c>
      <c r="CR1014">
        <f>'Grid_Requirement'!CP43</f>
        <v/>
      </c>
      <c r="CS1014">
        <f>'Grid_Requirement'!CQ43</f>
        <v/>
      </c>
      <c r="CT1014">
        <f>'Grid_Requirement'!CR43</f>
        <v/>
      </c>
      <c r="CU1014">
        <f>'Grid_Requirement'!CS43</f>
        <v/>
      </c>
      <c r="CV1014">
        <f>'Grid_Requirement'!CT43</f>
        <v/>
      </c>
      <c r="CW1014">
        <f>'Grid_Requirement'!CU43</f>
        <v/>
      </c>
      <c r="CX1014">
        <f>'Grid_Requirement'!CV43</f>
        <v/>
      </c>
      <c r="CY1014">
        <f>'Grid_Requirement'!CW43</f>
        <v/>
      </c>
      <c r="CZ1014">
        <f>'Grid_Requirement'!CX43</f>
        <v/>
      </c>
      <c r="DA1014">
        <f>'Grid_Requirement'!CY43</f>
        <v/>
      </c>
      <c r="DB1014">
        <f>'Grid_Requirement'!CZ43</f>
        <v/>
      </c>
      <c r="DC1014">
        <f>'Grid_Requirement'!DA43</f>
        <v/>
      </c>
    </row>
    <row r="1015">
      <c r="B1015" t="inlineStr">
        <is>
          <t>TTAF在庫(実績,kg)</t>
        </is>
      </c>
      <c r="D1015">
        <f>'T_TTAFStock'!B47</f>
        <v/>
      </c>
      <c r="E1015">
        <f>'T_TTAFStock'!C47</f>
        <v/>
      </c>
      <c r="F1015">
        <f>'T_TTAFStock'!D47</f>
        <v/>
      </c>
      <c r="G1015">
        <f>'T_TTAFStock'!E47</f>
        <v/>
      </c>
      <c r="H1015">
        <f>'T_TTAFStock'!F47</f>
        <v/>
      </c>
      <c r="I1015">
        <f>'T_TTAFStock'!G47</f>
        <v/>
      </c>
      <c r="J1015">
        <f>'T_TTAFStock'!H47</f>
        <v/>
      </c>
      <c r="K1015">
        <f>'T_TTAFStock'!I47</f>
        <v/>
      </c>
      <c r="L1015">
        <f>'T_TTAFStock'!J47</f>
        <v/>
      </c>
      <c r="M1015">
        <f>'T_TTAFStock'!K47</f>
        <v/>
      </c>
      <c r="N1015">
        <f>'T_TTAFStock'!L47</f>
        <v/>
      </c>
      <c r="O1015">
        <f>'T_TTAFStock'!M47</f>
        <v/>
      </c>
      <c r="P1015">
        <f>'T_TTAFStock'!N47</f>
        <v/>
      </c>
      <c r="Q1015">
        <f>'T_TTAFStock'!O47</f>
        <v/>
      </c>
      <c r="R1015">
        <f>'T_TTAFStock'!P47</f>
        <v/>
      </c>
      <c r="S1015">
        <f>'T_TTAFStock'!Q47</f>
        <v/>
      </c>
      <c r="T1015">
        <f>'T_TTAFStock'!R47</f>
        <v/>
      </c>
      <c r="U1015">
        <f>'T_TTAFStock'!S47</f>
        <v/>
      </c>
      <c r="V1015">
        <f>'T_TTAFStock'!T47</f>
        <v/>
      </c>
      <c r="W1015">
        <f>'T_TTAFStock'!U47</f>
        <v/>
      </c>
      <c r="X1015">
        <f>'T_TTAFStock'!V47</f>
        <v/>
      </c>
      <c r="Y1015">
        <f>'T_TTAFStock'!W47</f>
        <v/>
      </c>
      <c r="Z1015">
        <f>'T_TTAFStock'!X47</f>
        <v/>
      </c>
      <c r="AA1015">
        <f>'T_TTAFStock'!Y47</f>
        <v/>
      </c>
      <c r="AB1015">
        <f>'T_TTAFStock'!Z47</f>
        <v/>
      </c>
      <c r="AC1015">
        <f>'T_TTAFStock'!AA47</f>
        <v/>
      </c>
      <c r="AD1015">
        <f>'T_TTAFStock'!AB47</f>
        <v/>
      </c>
      <c r="AE1015">
        <f>'T_TTAFStock'!AC47</f>
        <v/>
      </c>
      <c r="AF1015">
        <f>'T_TTAFStock'!AD47</f>
        <v/>
      </c>
      <c r="AG1015">
        <f>'T_TTAFStock'!AE47</f>
        <v/>
      </c>
      <c r="AH1015">
        <f>'T_TTAFStock'!AF47</f>
        <v/>
      </c>
      <c r="AI1015">
        <f>'T_TTAFStock'!AG47</f>
        <v/>
      </c>
      <c r="AJ1015">
        <f>'T_TTAFStock'!AH47</f>
        <v/>
      </c>
      <c r="AK1015">
        <f>'T_TTAFStock'!AI47</f>
        <v/>
      </c>
      <c r="AL1015">
        <f>'T_TTAFStock'!AJ47</f>
        <v/>
      </c>
      <c r="AM1015">
        <f>'T_TTAFStock'!AK47</f>
        <v/>
      </c>
      <c r="AN1015">
        <f>'T_TTAFStock'!AL47</f>
        <v/>
      </c>
      <c r="AO1015">
        <f>'T_TTAFStock'!AM47</f>
        <v/>
      </c>
      <c r="AP1015">
        <f>'T_TTAFStock'!AN47</f>
        <v/>
      </c>
      <c r="AQ1015">
        <f>'T_TTAFStock'!AO47</f>
        <v/>
      </c>
      <c r="AR1015">
        <f>'T_TTAFStock'!AP47</f>
        <v/>
      </c>
      <c r="AS1015">
        <f>'T_TTAFStock'!AQ47</f>
        <v/>
      </c>
      <c r="AT1015">
        <f>'T_TTAFStock'!AR47</f>
        <v/>
      </c>
      <c r="AU1015">
        <f>'T_TTAFStock'!AS47</f>
        <v/>
      </c>
      <c r="AV1015">
        <f>'T_TTAFStock'!AT47</f>
        <v/>
      </c>
      <c r="AW1015">
        <f>'T_TTAFStock'!AU47</f>
        <v/>
      </c>
      <c r="AX1015">
        <f>'T_TTAFStock'!AV47</f>
        <v/>
      </c>
      <c r="AY1015">
        <f>'T_TTAFStock'!AW47</f>
        <v/>
      </c>
      <c r="AZ1015">
        <f>'T_TTAFStock'!AX47</f>
        <v/>
      </c>
      <c r="BA1015">
        <f>'T_TTAFStock'!AY47</f>
        <v/>
      </c>
      <c r="BB1015">
        <f>'T_TTAFStock'!AZ47</f>
        <v/>
      </c>
      <c r="BC1015">
        <f>'T_TTAFStock'!BA47</f>
        <v/>
      </c>
      <c r="BD1015">
        <f>'T_TTAFStock'!BB47</f>
        <v/>
      </c>
      <c r="BE1015">
        <f>'T_TTAFStock'!BC47</f>
        <v/>
      </c>
      <c r="BF1015">
        <f>'T_TTAFStock'!BD47</f>
        <v/>
      </c>
      <c r="BG1015">
        <f>'T_TTAFStock'!BE47</f>
        <v/>
      </c>
      <c r="BH1015">
        <f>'T_TTAFStock'!BF47</f>
        <v/>
      </c>
      <c r="BI1015">
        <f>'T_TTAFStock'!BG47</f>
        <v/>
      </c>
      <c r="BJ1015">
        <f>'T_TTAFStock'!BH47</f>
        <v/>
      </c>
      <c r="BK1015">
        <f>'T_TTAFStock'!BI47</f>
        <v/>
      </c>
      <c r="BL1015">
        <f>'T_TTAFStock'!BJ47</f>
        <v/>
      </c>
      <c r="BM1015">
        <f>'T_TTAFStock'!BK47</f>
        <v/>
      </c>
      <c r="BN1015">
        <f>'T_TTAFStock'!BL47</f>
        <v/>
      </c>
      <c r="BO1015">
        <f>'T_TTAFStock'!BM47</f>
        <v/>
      </c>
      <c r="BP1015">
        <f>'T_TTAFStock'!BN47</f>
        <v/>
      </c>
      <c r="BQ1015">
        <f>'T_TTAFStock'!BO47</f>
        <v/>
      </c>
      <c r="BR1015">
        <f>'T_TTAFStock'!BP47</f>
        <v/>
      </c>
      <c r="BS1015">
        <f>'T_TTAFStock'!BQ47</f>
        <v/>
      </c>
      <c r="BT1015">
        <f>'T_TTAFStock'!BR47</f>
        <v/>
      </c>
      <c r="BU1015">
        <f>'T_TTAFStock'!BS47</f>
        <v/>
      </c>
      <c r="BV1015">
        <f>'T_TTAFStock'!BT47</f>
        <v/>
      </c>
      <c r="BW1015">
        <f>'T_TTAFStock'!BU47</f>
        <v/>
      </c>
      <c r="BX1015">
        <f>'T_TTAFStock'!BV47</f>
        <v/>
      </c>
      <c r="BY1015">
        <f>'T_TTAFStock'!BW47</f>
        <v/>
      </c>
      <c r="BZ1015">
        <f>'T_TTAFStock'!BX47</f>
        <v/>
      </c>
      <c r="CA1015">
        <f>'T_TTAFStock'!BY47</f>
        <v/>
      </c>
      <c r="CB1015">
        <f>'T_TTAFStock'!BZ47</f>
        <v/>
      </c>
      <c r="CC1015">
        <f>'T_TTAFStock'!CA47</f>
        <v/>
      </c>
      <c r="CD1015">
        <f>'T_TTAFStock'!CB47</f>
        <v/>
      </c>
      <c r="CE1015">
        <f>'T_TTAFStock'!CC47</f>
        <v/>
      </c>
      <c r="CF1015">
        <f>'T_TTAFStock'!CD47</f>
        <v/>
      </c>
      <c r="CG1015">
        <f>'T_TTAFStock'!CE47</f>
        <v/>
      </c>
      <c r="CH1015">
        <f>'T_TTAFStock'!CF47</f>
        <v/>
      </c>
      <c r="CI1015">
        <f>'T_TTAFStock'!CG47</f>
        <v/>
      </c>
      <c r="CJ1015">
        <f>'T_TTAFStock'!CH47</f>
        <v/>
      </c>
      <c r="CK1015">
        <f>'T_TTAFStock'!CI47</f>
        <v/>
      </c>
      <c r="CL1015">
        <f>'T_TTAFStock'!CJ47</f>
        <v/>
      </c>
      <c r="CM1015">
        <f>'T_TTAFStock'!CK47</f>
        <v/>
      </c>
      <c r="CN1015">
        <f>'T_TTAFStock'!CL47</f>
        <v/>
      </c>
      <c r="CO1015">
        <f>'T_TTAFStock'!CM47</f>
        <v/>
      </c>
      <c r="CP1015">
        <f>'T_TTAFStock'!CN47</f>
        <v/>
      </c>
      <c r="CQ1015">
        <f>'T_TTAFStock'!CO47</f>
        <v/>
      </c>
      <c r="CR1015">
        <f>'T_TTAFStock'!CP47</f>
        <v/>
      </c>
      <c r="CS1015">
        <f>'T_TTAFStock'!CQ47</f>
        <v/>
      </c>
      <c r="CT1015">
        <f>'T_TTAFStock'!CR47</f>
        <v/>
      </c>
      <c r="CU1015">
        <f>'T_TTAFStock'!CS47</f>
        <v/>
      </c>
      <c r="CV1015">
        <f>'T_TTAFStock'!CT47</f>
        <v/>
      </c>
      <c r="CW1015">
        <f>'T_TTAFStock'!CU47</f>
        <v/>
      </c>
      <c r="CX1015">
        <f>'T_TTAFStock'!CV47</f>
        <v/>
      </c>
      <c r="CY1015">
        <f>'T_TTAFStock'!CW47</f>
        <v/>
      </c>
      <c r="CZ1015">
        <f>'T_TTAFStock'!CX47</f>
        <v/>
      </c>
      <c r="DA1015">
        <f>'T_TTAFStock'!CY47</f>
        <v/>
      </c>
      <c r="DB1015">
        <f>'T_TTAFStock'!CZ47</f>
        <v/>
      </c>
      <c r="DC1015">
        <f>'T_TTAFStock'!DA47</f>
        <v/>
      </c>
    </row>
    <row r="1016">
      <c r="B1016" t="inlineStr">
        <is>
          <t>自社在庫(実績,kg)</t>
        </is>
      </c>
      <c r="D1016">
        <f>'T_SelfStock'!B47</f>
        <v/>
      </c>
      <c r="E1016">
        <f>'T_SelfStock'!C47</f>
        <v/>
      </c>
      <c r="F1016">
        <f>'T_SelfStock'!D47</f>
        <v/>
      </c>
      <c r="G1016">
        <f>'T_SelfStock'!E47</f>
        <v/>
      </c>
      <c r="H1016">
        <f>'T_SelfStock'!F47</f>
        <v/>
      </c>
      <c r="I1016">
        <f>'T_SelfStock'!G47</f>
        <v/>
      </c>
      <c r="J1016">
        <f>'T_SelfStock'!H47</f>
        <v/>
      </c>
      <c r="K1016">
        <f>'T_SelfStock'!I47</f>
        <v/>
      </c>
      <c r="L1016">
        <f>'T_SelfStock'!J47</f>
        <v/>
      </c>
      <c r="M1016">
        <f>'T_SelfStock'!K47</f>
        <v/>
      </c>
      <c r="N1016">
        <f>'T_SelfStock'!L47</f>
        <v/>
      </c>
      <c r="O1016">
        <f>'T_SelfStock'!M47</f>
        <v/>
      </c>
      <c r="P1016">
        <f>'T_SelfStock'!N47</f>
        <v/>
      </c>
      <c r="Q1016">
        <f>'T_SelfStock'!O47</f>
        <v/>
      </c>
      <c r="R1016">
        <f>'T_SelfStock'!P47</f>
        <v/>
      </c>
      <c r="S1016">
        <f>'T_SelfStock'!Q47</f>
        <v/>
      </c>
      <c r="T1016">
        <f>'T_SelfStock'!R47</f>
        <v/>
      </c>
      <c r="U1016">
        <f>'T_SelfStock'!S47</f>
        <v/>
      </c>
      <c r="V1016">
        <f>'T_SelfStock'!T47</f>
        <v/>
      </c>
      <c r="W1016">
        <f>'T_SelfStock'!U47</f>
        <v/>
      </c>
      <c r="X1016">
        <f>'T_SelfStock'!V47</f>
        <v/>
      </c>
      <c r="Y1016">
        <f>'T_SelfStock'!W47</f>
        <v/>
      </c>
      <c r="Z1016">
        <f>'T_SelfStock'!X47</f>
        <v/>
      </c>
      <c r="AA1016">
        <f>'T_SelfStock'!Y47</f>
        <v/>
      </c>
      <c r="AB1016">
        <f>'T_SelfStock'!Z47</f>
        <v/>
      </c>
      <c r="AC1016">
        <f>'T_SelfStock'!AA47</f>
        <v/>
      </c>
      <c r="AD1016">
        <f>'T_SelfStock'!AB47</f>
        <v/>
      </c>
      <c r="AE1016">
        <f>'T_SelfStock'!AC47</f>
        <v/>
      </c>
      <c r="AF1016">
        <f>'T_SelfStock'!AD47</f>
        <v/>
      </c>
      <c r="AG1016">
        <f>'T_SelfStock'!AE47</f>
        <v/>
      </c>
      <c r="AH1016">
        <f>'T_SelfStock'!AF47</f>
        <v/>
      </c>
      <c r="AI1016">
        <f>'T_SelfStock'!AG47</f>
        <v/>
      </c>
      <c r="AJ1016">
        <f>'T_SelfStock'!AH47</f>
        <v/>
      </c>
      <c r="AK1016">
        <f>'T_SelfStock'!AI47</f>
        <v/>
      </c>
      <c r="AL1016">
        <f>'T_SelfStock'!AJ47</f>
        <v/>
      </c>
      <c r="AM1016">
        <f>'T_SelfStock'!AK47</f>
        <v/>
      </c>
      <c r="AN1016">
        <f>'T_SelfStock'!AL47</f>
        <v/>
      </c>
      <c r="AO1016">
        <f>'T_SelfStock'!AM47</f>
        <v/>
      </c>
      <c r="AP1016">
        <f>'T_SelfStock'!AN47</f>
        <v/>
      </c>
      <c r="AQ1016">
        <f>'T_SelfStock'!AO47</f>
        <v/>
      </c>
      <c r="AR1016">
        <f>'T_SelfStock'!AP47</f>
        <v/>
      </c>
      <c r="AS1016">
        <f>'T_SelfStock'!AQ47</f>
        <v/>
      </c>
      <c r="AT1016">
        <f>'T_SelfStock'!AR47</f>
        <v/>
      </c>
      <c r="AU1016">
        <f>'T_SelfStock'!AS47</f>
        <v/>
      </c>
      <c r="AV1016">
        <f>'T_SelfStock'!AT47</f>
        <v/>
      </c>
      <c r="AW1016">
        <f>'T_SelfStock'!AU47</f>
        <v/>
      </c>
      <c r="AX1016">
        <f>'T_SelfStock'!AV47</f>
        <v/>
      </c>
      <c r="AY1016">
        <f>'T_SelfStock'!AW47</f>
        <v/>
      </c>
      <c r="AZ1016">
        <f>'T_SelfStock'!AX47</f>
        <v/>
      </c>
      <c r="BA1016">
        <f>'T_SelfStock'!AY47</f>
        <v/>
      </c>
      <c r="BB1016">
        <f>'T_SelfStock'!AZ47</f>
        <v/>
      </c>
      <c r="BC1016">
        <f>'T_SelfStock'!BA47</f>
        <v/>
      </c>
      <c r="BD1016">
        <f>'T_SelfStock'!BB47</f>
        <v/>
      </c>
      <c r="BE1016">
        <f>'T_SelfStock'!BC47</f>
        <v/>
      </c>
      <c r="BF1016">
        <f>'T_SelfStock'!BD47</f>
        <v/>
      </c>
      <c r="BG1016">
        <f>'T_SelfStock'!BE47</f>
        <v/>
      </c>
      <c r="BH1016">
        <f>'T_SelfStock'!BF47</f>
        <v/>
      </c>
      <c r="BI1016">
        <f>'T_SelfStock'!BG47</f>
        <v/>
      </c>
      <c r="BJ1016">
        <f>'T_SelfStock'!BH47</f>
        <v/>
      </c>
      <c r="BK1016">
        <f>'T_SelfStock'!BI47</f>
        <v/>
      </c>
      <c r="BL1016">
        <f>'T_SelfStock'!BJ47</f>
        <v/>
      </c>
      <c r="BM1016">
        <f>'T_SelfStock'!BK47</f>
        <v/>
      </c>
      <c r="BN1016">
        <f>'T_SelfStock'!BL47</f>
        <v/>
      </c>
      <c r="BO1016">
        <f>'T_SelfStock'!BM47</f>
        <v/>
      </c>
      <c r="BP1016">
        <f>'T_SelfStock'!BN47</f>
        <v/>
      </c>
      <c r="BQ1016">
        <f>'T_SelfStock'!BO47</f>
        <v/>
      </c>
      <c r="BR1016">
        <f>'T_SelfStock'!BP47</f>
        <v/>
      </c>
      <c r="BS1016">
        <f>'T_SelfStock'!BQ47</f>
        <v/>
      </c>
      <c r="BT1016">
        <f>'T_SelfStock'!BR47</f>
        <v/>
      </c>
      <c r="BU1016">
        <f>'T_SelfStock'!BS47</f>
        <v/>
      </c>
      <c r="BV1016">
        <f>'T_SelfStock'!BT47</f>
        <v/>
      </c>
      <c r="BW1016">
        <f>'T_SelfStock'!BU47</f>
        <v/>
      </c>
      <c r="BX1016">
        <f>'T_SelfStock'!BV47</f>
        <v/>
      </c>
      <c r="BY1016">
        <f>'T_SelfStock'!BW47</f>
        <v/>
      </c>
      <c r="BZ1016">
        <f>'T_SelfStock'!BX47</f>
        <v/>
      </c>
      <c r="CA1016">
        <f>'T_SelfStock'!BY47</f>
        <v/>
      </c>
      <c r="CB1016">
        <f>'T_SelfStock'!BZ47</f>
        <v/>
      </c>
      <c r="CC1016">
        <f>'T_SelfStock'!CA47</f>
        <v/>
      </c>
      <c r="CD1016">
        <f>'T_SelfStock'!CB47</f>
        <v/>
      </c>
      <c r="CE1016">
        <f>'T_SelfStock'!CC47</f>
        <v/>
      </c>
      <c r="CF1016">
        <f>'T_SelfStock'!CD47</f>
        <v/>
      </c>
      <c r="CG1016">
        <f>'T_SelfStock'!CE47</f>
        <v/>
      </c>
      <c r="CH1016">
        <f>'T_SelfStock'!CF47</f>
        <v/>
      </c>
      <c r="CI1016">
        <f>'T_SelfStock'!CG47</f>
        <v/>
      </c>
      <c r="CJ1016">
        <f>'T_SelfStock'!CH47</f>
        <v/>
      </c>
      <c r="CK1016">
        <f>'T_SelfStock'!CI47</f>
        <v/>
      </c>
      <c r="CL1016">
        <f>'T_SelfStock'!CJ47</f>
        <v/>
      </c>
      <c r="CM1016">
        <f>'T_SelfStock'!CK47</f>
        <v/>
      </c>
      <c r="CN1016">
        <f>'T_SelfStock'!CL47</f>
        <v/>
      </c>
      <c r="CO1016">
        <f>'T_SelfStock'!CM47</f>
        <v/>
      </c>
      <c r="CP1016">
        <f>'T_SelfStock'!CN47</f>
        <v/>
      </c>
      <c r="CQ1016">
        <f>'T_SelfStock'!CO47</f>
        <v/>
      </c>
      <c r="CR1016">
        <f>'T_SelfStock'!CP47</f>
        <v/>
      </c>
      <c r="CS1016">
        <f>'T_SelfStock'!CQ47</f>
        <v/>
      </c>
      <c r="CT1016">
        <f>'T_SelfStock'!CR47</f>
        <v/>
      </c>
      <c r="CU1016">
        <f>'T_SelfStock'!CS47</f>
        <v/>
      </c>
      <c r="CV1016">
        <f>'T_SelfStock'!CT47</f>
        <v/>
      </c>
      <c r="CW1016">
        <f>'T_SelfStock'!CU47</f>
        <v/>
      </c>
      <c r="CX1016">
        <f>'T_SelfStock'!CV47</f>
        <v/>
      </c>
      <c r="CY1016">
        <f>'T_SelfStock'!CW47</f>
        <v/>
      </c>
      <c r="CZ1016">
        <f>'T_SelfStock'!CX47</f>
        <v/>
      </c>
      <c r="DA1016">
        <f>'T_SelfStock'!CY47</f>
        <v/>
      </c>
      <c r="DB1016">
        <f>'T_SelfStock'!CZ47</f>
        <v/>
      </c>
      <c r="DC1016">
        <f>'T_SelfStock'!DA47</f>
        <v/>
      </c>
    </row>
    <row r="1017">
      <c r="B1017" t="inlineStr">
        <is>
          <t>Order(発注予定,kg)</t>
        </is>
      </c>
      <c r="D1017">
        <f>IF(SUMIFS(T_PlannedOrders[EffectiveQty],T_PlannedOrders[Part Name],$A953,T_PlannedOrders[WeekIndex],1)=0,"",SUMIFS(T_PlannedOrders[EffectiveQty],T_PlannedOrders[Part Name],$A953,T_PlannedOrders[WeekIndex],1)&amp;" ("&amp;TEXT(SUMPRODUCT(MAX((T_PlannedOrders[Part Name]=$A953)*(T_PlannedOrders[WeekIndex]=1)*(T_PlannedOrders[EffectiveQty]&gt;0)*T_PlannedOrders[Order_Month])),"m月")&amp;"発注)")</f>
        <v/>
      </c>
      <c r="E1017">
        <f>IF(SUMIFS(T_PlannedOrders[EffectiveQty],T_PlannedOrders[Part Name],$A953,T_PlannedOrders[WeekIndex],2)=0,"",SUMIFS(T_PlannedOrders[EffectiveQty],T_PlannedOrders[Part Name],$A953,T_PlannedOrders[WeekIndex],2)&amp;" ("&amp;TEXT(SUMPRODUCT(MAX((T_PlannedOrders[Part Name]=$A953)*(T_PlannedOrders[WeekIndex]=2)*(T_PlannedOrders[EffectiveQty]&gt;0)*T_PlannedOrders[Order_Month])),"m月")&amp;"発注)")</f>
        <v/>
      </c>
      <c r="F1017">
        <f>IF(SUMIFS(T_PlannedOrders[EffectiveQty],T_PlannedOrders[Part Name],$A953,T_PlannedOrders[WeekIndex],3)=0,"",SUMIFS(T_PlannedOrders[EffectiveQty],T_PlannedOrders[Part Name],$A953,T_PlannedOrders[WeekIndex],3)&amp;" ("&amp;TEXT(SUMPRODUCT(MAX((T_PlannedOrders[Part Name]=$A953)*(T_PlannedOrders[WeekIndex]=3)*(T_PlannedOrders[EffectiveQty]&gt;0)*T_PlannedOrders[Order_Month])),"m月")&amp;"発注)")</f>
        <v/>
      </c>
      <c r="G1017">
        <f>IF(SUMIFS(T_PlannedOrders[EffectiveQty],T_PlannedOrders[Part Name],$A953,T_PlannedOrders[WeekIndex],4)=0,"",SUMIFS(T_PlannedOrders[EffectiveQty],T_PlannedOrders[Part Name],$A953,T_PlannedOrders[WeekIndex],4)&amp;" ("&amp;TEXT(SUMPRODUCT(MAX((T_PlannedOrders[Part Name]=$A953)*(T_PlannedOrders[WeekIndex]=4)*(T_PlannedOrders[EffectiveQty]&gt;0)*T_PlannedOrders[Order_Month])),"m月")&amp;"発注)")</f>
        <v/>
      </c>
      <c r="H1017">
        <f>IF(SUMIFS(T_PlannedOrders[EffectiveQty],T_PlannedOrders[Part Name],$A953,T_PlannedOrders[WeekIndex],5)=0,"",SUMIFS(T_PlannedOrders[EffectiveQty],T_PlannedOrders[Part Name],$A953,T_PlannedOrders[WeekIndex],5)&amp;" ("&amp;TEXT(SUMPRODUCT(MAX((T_PlannedOrders[Part Name]=$A953)*(T_PlannedOrders[WeekIndex]=5)*(T_PlannedOrders[EffectiveQty]&gt;0)*T_PlannedOrders[Order_Month])),"m月")&amp;"発注)")</f>
        <v/>
      </c>
      <c r="I1017">
        <f>IF(SUMIFS(T_PlannedOrders[EffectiveQty],T_PlannedOrders[Part Name],$A953,T_PlannedOrders[WeekIndex],6)=0,"",SUMIFS(T_PlannedOrders[EffectiveQty],T_PlannedOrders[Part Name],$A953,T_PlannedOrders[WeekIndex],6)&amp;" ("&amp;TEXT(SUMPRODUCT(MAX((T_PlannedOrders[Part Name]=$A953)*(T_PlannedOrders[WeekIndex]=6)*(T_PlannedOrders[EffectiveQty]&gt;0)*T_PlannedOrders[Order_Month])),"m月")&amp;"発注)")</f>
        <v/>
      </c>
      <c r="J1017">
        <f>IF(SUMIFS(T_PlannedOrders[EffectiveQty],T_PlannedOrders[Part Name],$A953,T_PlannedOrders[WeekIndex],7)=0,"",SUMIFS(T_PlannedOrders[EffectiveQty],T_PlannedOrders[Part Name],$A953,T_PlannedOrders[WeekIndex],7)&amp;" ("&amp;TEXT(SUMPRODUCT(MAX((T_PlannedOrders[Part Name]=$A953)*(T_PlannedOrders[WeekIndex]=7)*(T_PlannedOrders[EffectiveQty]&gt;0)*T_PlannedOrders[Order_Month])),"m月")&amp;"発注)")</f>
        <v/>
      </c>
      <c r="K1017">
        <f>IF(SUMIFS(T_PlannedOrders[EffectiveQty],T_PlannedOrders[Part Name],$A953,T_PlannedOrders[WeekIndex],8)=0,"",SUMIFS(T_PlannedOrders[EffectiveQty],T_PlannedOrders[Part Name],$A953,T_PlannedOrders[WeekIndex],8)&amp;" ("&amp;TEXT(SUMPRODUCT(MAX((T_PlannedOrders[Part Name]=$A953)*(T_PlannedOrders[WeekIndex]=8)*(T_PlannedOrders[EffectiveQty]&gt;0)*T_PlannedOrders[Order_Month])),"m月")&amp;"発注)")</f>
        <v/>
      </c>
      <c r="L1017">
        <f>IF(SUMIFS(T_PlannedOrders[EffectiveQty],T_PlannedOrders[Part Name],$A953,T_PlannedOrders[WeekIndex],9)=0,"",SUMIFS(T_PlannedOrders[EffectiveQty],T_PlannedOrders[Part Name],$A953,T_PlannedOrders[WeekIndex],9)&amp;" ("&amp;TEXT(SUMPRODUCT(MAX((T_PlannedOrders[Part Name]=$A953)*(T_PlannedOrders[WeekIndex]=9)*(T_PlannedOrders[EffectiveQty]&gt;0)*T_PlannedOrders[Order_Month])),"m月")&amp;"発注)")</f>
        <v/>
      </c>
      <c r="M1017">
        <f>IF(SUMIFS(T_PlannedOrders[EffectiveQty],T_PlannedOrders[Part Name],$A953,T_PlannedOrders[WeekIndex],10)=0,"",SUMIFS(T_PlannedOrders[EffectiveQty],T_PlannedOrders[Part Name],$A953,T_PlannedOrders[WeekIndex],10)&amp;" ("&amp;TEXT(SUMPRODUCT(MAX((T_PlannedOrders[Part Name]=$A953)*(T_PlannedOrders[WeekIndex]=10)*(T_PlannedOrders[EffectiveQty]&gt;0)*T_PlannedOrders[Order_Month])),"m月")&amp;"発注)")</f>
        <v/>
      </c>
      <c r="N1017">
        <f>IF(SUMIFS(T_PlannedOrders[EffectiveQty],T_PlannedOrders[Part Name],$A953,T_PlannedOrders[WeekIndex],11)=0,"",SUMIFS(T_PlannedOrders[EffectiveQty],T_PlannedOrders[Part Name],$A953,T_PlannedOrders[WeekIndex],11)&amp;" ("&amp;TEXT(SUMPRODUCT(MAX((T_PlannedOrders[Part Name]=$A953)*(T_PlannedOrders[WeekIndex]=11)*(T_PlannedOrders[EffectiveQty]&gt;0)*T_PlannedOrders[Order_Month])),"m月")&amp;"発注)")</f>
        <v/>
      </c>
      <c r="O1017">
        <f>IF(SUMIFS(T_PlannedOrders[EffectiveQty],T_PlannedOrders[Part Name],$A953,T_PlannedOrders[WeekIndex],12)=0,"",SUMIFS(T_PlannedOrders[EffectiveQty],T_PlannedOrders[Part Name],$A953,T_PlannedOrders[WeekIndex],12)&amp;" ("&amp;TEXT(SUMPRODUCT(MAX((T_PlannedOrders[Part Name]=$A953)*(T_PlannedOrders[WeekIndex]=12)*(T_PlannedOrders[EffectiveQty]&gt;0)*T_PlannedOrders[Order_Month])),"m月")&amp;"発注)")</f>
        <v/>
      </c>
      <c r="P1017">
        <f>IF(SUMIFS(T_PlannedOrders[EffectiveQty],T_PlannedOrders[Part Name],$A953,T_PlannedOrders[WeekIndex],13)=0,"",SUMIFS(T_PlannedOrders[EffectiveQty],T_PlannedOrders[Part Name],$A953,T_PlannedOrders[WeekIndex],13)&amp;" ("&amp;TEXT(SUMPRODUCT(MAX((T_PlannedOrders[Part Name]=$A953)*(T_PlannedOrders[WeekIndex]=13)*(T_PlannedOrders[EffectiveQty]&gt;0)*T_PlannedOrders[Order_Month])),"m月")&amp;"発注)")</f>
        <v/>
      </c>
      <c r="Q1017">
        <f>IF(SUMIFS(T_PlannedOrders[EffectiveQty],T_PlannedOrders[Part Name],$A953,T_PlannedOrders[WeekIndex],14)=0,"",SUMIFS(T_PlannedOrders[EffectiveQty],T_PlannedOrders[Part Name],$A953,T_PlannedOrders[WeekIndex],14)&amp;" ("&amp;TEXT(SUMPRODUCT(MAX((T_PlannedOrders[Part Name]=$A953)*(T_PlannedOrders[WeekIndex]=14)*(T_PlannedOrders[EffectiveQty]&gt;0)*T_PlannedOrders[Order_Month])),"m月")&amp;"発注)")</f>
        <v/>
      </c>
      <c r="R1017">
        <f>IF(SUMIFS(T_PlannedOrders[EffectiveQty],T_PlannedOrders[Part Name],$A953,T_PlannedOrders[WeekIndex],15)=0,"",SUMIFS(T_PlannedOrders[EffectiveQty],T_PlannedOrders[Part Name],$A953,T_PlannedOrders[WeekIndex],15)&amp;" ("&amp;TEXT(SUMPRODUCT(MAX((T_PlannedOrders[Part Name]=$A953)*(T_PlannedOrders[WeekIndex]=15)*(T_PlannedOrders[EffectiveQty]&gt;0)*T_PlannedOrders[Order_Month])),"m月")&amp;"発注)")</f>
        <v/>
      </c>
      <c r="S1017">
        <f>IF(SUMIFS(T_PlannedOrders[EffectiveQty],T_PlannedOrders[Part Name],$A953,T_PlannedOrders[WeekIndex],16)=0,"",SUMIFS(T_PlannedOrders[EffectiveQty],T_PlannedOrders[Part Name],$A953,T_PlannedOrders[WeekIndex],16)&amp;" ("&amp;TEXT(SUMPRODUCT(MAX((T_PlannedOrders[Part Name]=$A953)*(T_PlannedOrders[WeekIndex]=16)*(T_PlannedOrders[EffectiveQty]&gt;0)*T_PlannedOrders[Order_Month])),"m月")&amp;"発注)")</f>
        <v/>
      </c>
      <c r="T1017">
        <f>IF(SUMIFS(T_PlannedOrders[EffectiveQty],T_PlannedOrders[Part Name],$A953,T_PlannedOrders[WeekIndex],17)=0,"",SUMIFS(T_PlannedOrders[EffectiveQty],T_PlannedOrders[Part Name],$A953,T_PlannedOrders[WeekIndex],17)&amp;" ("&amp;TEXT(SUMPRODUCT(MAX((T_PlannedOrders[Part Name]=$A953)*(T_PlannedOrders[WeekIndex]=17)*(T_PlannedOrders[EffectiveQty]&gt;0)*T_PlannedOrders[Order_Month])),"m月")&amp;"発注)")</f>
        <v/>
      </c>
      <c r="U1017">
        <f>IF(SUMIFS(T_PlannedOrders[EffectiveQty],T_PlannedOrders[Part Name],$A953,T_PlannedOrders[WeekIndex],18)=0,"",SUMIFS(T_PlannedOrders[EffectiveQty],T_PlannedOrders[Part Name],$A953,T_PlannedOrders[WeekIndex],18)&amp;" ("&amp;TEXT(SUMPRODUCT(MAX((T_PlannedOrders[Part Name]=$A953)*(T_PlannedOrders[WeekIndex]=18)*(T_PlannedOrders[EffectiveQty]&gt;0)*T_PlannedOrders[Order_Month])),"m月")&amp;"発注)")</f>
        <v/>
      </c>
      <c r="V1017">
        <f>IF(SUMIFS(T_PlannedOrders[EffectiveQty],T_PlannedOrders[Part Name],$A953,T_PlannedOrders[WeekIndex],19)=0,"",SUMIFS(T_PlannedOrders[EffectiveQty],T_PlannedOrders[Part Name],$A953,T_PlannedOrders[WeekIndex],19)&amp;" ("&amp;TEXT(SUMPRODUCT(MAX((T_PlannedOrders[Part Name]=$A953)*(T_PlannedOrders[WeekIndex]=19)*(T_PlannedOrders[EffectiveQty]&gt;0)*T_PlannedOrders[Order_Month])),"m月")&amp;"発注)")</f>
        <v/>
      </c>
      <c r="W1017">
        <f>IF(SUMIFS(T_PlannedOrders[EffectiveQty],T_PlannedOrders[Part Name],$A953,T_PlannedOrders[WeekIndex],20)=0,"",SUMIFS(T_PlannedOrders[EffectiveQty],T_PlannedOrders[Part Name],$A953,T_PlannedOrders[WeekIndex],20)&amp;" ("&amp;TEXT(SUMPRODUCT(MAX((T_PlannedOrders[Part Name]=$A953)*(T_PlannedOrders[WeekIndex]=20)*(T_PlannedOrders[EffectiveQty]&gt;0)*T_PlannedOrders[Order_Month])),"m月")&amp;"発注)")</f>
        <v/>
      </c>
      <c r="X1017">
        <f>IF(SUMIFS(T_PlannedOrders[EffectiveQty],T_PlannedOrders[Part Name],$A953,T_PlannedOrders[WeekIndex],21)=0,"",SUMIFS(T_PlannedOrders[EffectiveQty],T_PlannedOrders[Part Name],$A953,T_PlannedOrders[WeekIndex],21)&amp;" ("&amp;TEXT(SUMPRODUCT(MAX((T_PlannedOrders[Part Name]=$A953)*(T_PlannedOrders[WeekIndex]=21)*(T_PlannedOrders[EffectiveQty]&gt;0)*T_PlannedOrders[Order_Month])),"m月")&amp;"発注)")</f>
        <v/>
      </c>
      <c r="Y1017">
        <f>IF(SUMIFS(T_PlannedOrders[EffectiveQty],T_PlannedOrders[Part Name],$A953,T_PlannedOrders[WeekIndex],22)=0,"",SUMIFS(T_PlannedOrders[EffectiveQty],T_PlannedOrders[Part Name],$A953,T_PlannedOrders[WeekIndex],22)&amp;" ("&amp;TEXT(SUMPRODUCT(MAX((T_PlannedOrders[Part Name]=$A953)*(T_PlannedOrders[WeekIndex]=22)*(T_PlannedOrders[EffectiveQty]&gt;0)*T_PlannedOrders[Order_Month])),"m月")&amp;"発注)")</f>
        <v/>
      </c>
      <c r="Z1017">
        <f>IF(SUMIFS(T_PlannedOrders[EffectiveQty],T_PlannedOrders[Part Name],$A953,T_PlannedOrders[WeekIndex],23)=0,"",SUMIFS(T_PlannedOrders[EffectiveQty],T_PlannedOrders[Part Name],$A953,T_PlannedOrders[WeekIndex],23)&amp;" ("&amp;TEXT(SUMPRODUCT(MAX((T_PlannedOrders[Part Name]=$A953)*(T_PlannedOrders[WeekIndex]=23)*(T_PlannedOrders[EffectiveQty]&gt;0)*T_PlannedOrders[Order_Month])),"m月")&amp;"発注)")</f>
        <v/>
      </c>
      <c r="AA1017">
        <f>IF(SUMIFS(T_PlannedOrders[EffectiveQty],T_PlannedOrders[Part Name],$A953,T_PlannedOrders[WeekIndex],24)=0,"",SUMIFS(T_PlannedOrders[EffectiveQty],T_PlannedOrders[Part Name],$A953,T_PlannedOrders[WeekIndex],24)&amp;" ("&amp;TEXT(SUMPRODUCT(MAX((T_PlannedOrders[Part Name]=$A953)*(T_PlannedOrders[WeekIndex]=24)*(T_PlannedOrders[EffectiveQty]&gt;0)*T_PlannedOrders[Order_Month])),"m月")&amp;"発注)")</f>
        <v/>
      </c>
      <c r="AB1017">
        <f>IF(SUMIFS(T_PlannedOrders[EffectiveQty],T_PlannedOrders[Part Name],$A953,T_PlannedOrders[WeekIndex],25)=0,"",SUMIFS(T_PlannedOrders[EffectiveQty],T_PlannedOrders[Part Name],$A953,T_PlannedOrders[WeekIndex],25)&amp;" ("&amp;TEXT(SUMPRODUCT(MAX((T_PlannedOrders[Part Name]=$A953)*(T_PlannedOrders[WeekIndex]=25)*(T_PlannedOrders[EffectiveQty]&gt;0)*T_PlannedOrders[Order_Month])),"m月")&amp;"発注)")</f>
        <v/>
      </c>
      <c r="AC1017">
        <f>IF(SUMIFS(T_PlannedOrders[EffectiveQty],T_PlannedOrders[Part Name],$A953,T_PlannedOrders[WeekIndex],26)=0,"",SUMIFS(T_PlannedOrders[EffectiveQty],T_PlannedOrders[Part Name],$A953,T_PlannedOrders[WeekIndex],26)&amp;" ("&amp;TEXT(SUMPRODUCT(MAX((T_PlannedOrders[Part Name]=$A953)*(T_PlannedOrders[WeekIndex]=26)*(T_PlannedOrders[EffectiveQty]&gt;0)*T_PlannedOrders[Order_Month])),"m月")&amp;"発注)")</f>
        <v/>
      </c>
      <c r="AD1017">
        <f>IF(SUMIFS(T_PlannedOrders[EffectiveQty],T_PlannedOrders[Part Name],$A953,T_PlannedOrders[WeekIndex],27)=0,"",SUMIFS(T_PlannedOrders[EffectiveQty],T_PlannedOrders[Part Name],$A953,T_PlannedOrders[WeekIndex],27)&amp;" ("&amp;TEXT(SUMPRODUCT(MAX((T_PlannedOrders[Part Name]=$A953)*(T_PlannedOrders[WeekIndex]=27)*(T_PlannedOrders[EffectiveQty]&gt;0)*T_PlannedOrders[Order_Month])),"m月")&amp;"発注)")</f>
        <v/>
      </c>
      <c r="AE1017">
        <f>IF(SUMIFS(T_PlannedOrders[EffectiveQty],T_PlannedOrders[Part Name],$A953,T_PlannedOrders[WeekIndex],28)=0,"",SUMIFS(T_PlannedOrders[EffectiveQty],T_PlannedOrders[Part Name],$A953,T_PlannedOrders[WeekIndex],28)&amp;" ("&amp;TEXT(SUMPRODUCT(MAX((T_PlannedOrders[Part Name]=$A953)*(T_PlannedOrders[WeekIndex]=28)*(T_PlannedOrders[EffectiveQty]&gt;0)*T_PlannedOrders[Order_Month])),"m月")&amp;"発注)")</f>
        <v/>
      </c>
      <c r="AF1017">
        <f>IF(SUMIFS(T_PlannedOrders[EffectiveQty],T_PlannedOrders[Part Name],$A953,T_PlannedOrders[WeekIndex],29)=0,"",SUMIFS(T_PlannedOrders[EffectiveQty],T_PlannedOrders[Part Name],$A953,T_PlannedOrders[WeekIndex],29)&amp;" ("&amp;TEXT(SUMPRODUCT(MAX((T_PlannedOrders[Part Name]=$A953)*(T_PlannedOrders[WeekIndex]=29)*(T_PlannedOrders[EffectiveQty]&gt;0)*T_PlannedOrders[Order_Month])),"m月")&amp;"発注)")</f>
        <v/>
      </c>
      <c r="AG1017">
        <f>IF(SUMIFS(T_PlannedOrders[EffectiveQty],T_PlannedOrders[Part Name],$A953,T_PlannedOrders[WeekIndex],30)=0,"",SUMIFS(T_PlannedOrders[EffectiveQty],T_PlannedOrders[Part Name],$A953,T_PlannedOrders[WeekIndex],30)&amp;" ("&amp;TEXT(SUMPRODUCT(MAX((T_PlannedOrders[Part Name]=$A953)*(T_PlannedOrders[WeekIndex]=30)*(T_PlannedOrders[EffectiveQty]&gt;0)*T_PlannedOrders[Order_Month])),"m月")&amp;"発注)")</f>
        <v/>
      </c>
      <c r="AH1017">
        <f>IF(SUMIFS(T_PlannedOrders[EffectiveQty],T_PlannedOrders[Part Name],$A953,T_PlannedOrders[WeekIndex],31)=0,"",SUMIFS(T_PlannedOrders[EffectiveQty],T_PlannedOrders[Part Name],$A953,T_PlannedOrders[WeekIndex],31)&amp;" ("&amp;TEXT(SUMPRODUCT(MAX((T_PlannedOrders[Part Name]=$A953)*(T_PlannedOrders[WeekIndex]=31)*(T_PlannedOrders[EffectiveQty]&gt;0)*T_PlannedOrders[Order_Month])),"m月")&amp;"発注)")</f>
        <v/>
      </c>
      <c r="AI1017">
        <f>IF(SUMIFS(T_PlannedOrders[EffectiveQty],T_PlannedOrders[Part Name],$A953,T_PlannedOrders[WeekIndex],32)=0,"",SUMIFS(T_PlannedOrders[EffectiveQty],T_PlannedOrders[Part Name],$A953,T_PlannedOrders[WeekIndex],32)&amp;" ("&amp;TEXT(SUMPRODUCT(MAX((T_PlannedOrders[Part Name]=$A953)*(T_PlannedOrders[WeekIndex]=32)*(T_PlannedOrders[EffectiveQty]&gt;0)*T_PlannedOrders[Order_Month])),"m月")&amp;"発注)")</f>
        <v/>
      </c>
      <c r="AJ1017">
        <f>IF(SUMIFS(T_PlannedOrders[EffectiveQty],T_PlannedOrders[Part Name],$A953,T_PlannedOrders[WeekIndex],33)=0,"",SUMIFS(T_PlannedOrders[EffectiveQty],T_PlannedOrders[Part Name],$A953,T_PlannedOrders[WeekIndex],33)&amp;" ("&amp;TEXT(SUMPRODUCT(MAX((T_PlannedOrders[Part Name]=$A953)*(T_PlannedOrders[WeekIndex]=33)*(T_PlannedOrders[EffectiveQty]&gt;0)*T_PlannedOrders[Order_Month])),"m月")&amp;"発注)")</f>
        <v/>
      </c>
      <c r="AK1017">
        <f>IF(SUMIFS(T_PlannedOrders[EffectiveQty],T_PlannedOrders[Part Name],$A953,T_PlannedOrders[WeekIndex],34)=0,"",SUMIFS(T_PlannedOrders[EffectiveQty],T_PlannedOrders[Part Name],$A953,T_PlannedOrders[WeekIndex],34)&amp;" ("&amp;TEXT(SUMPRODUCT(MAX((T_PlannedOrders[Part Name]=$A953)*(T_PlannedOrders[WeekIndex]=34)*(T_PlannedOrders[EffectiveQty]&gt;0)*T_PlannedOrders[Order_Month])),"m月")&amp;"発注)")</f>
        <v/>
      </c>
      <c r="AL1017">
        <f>IF(SUMIFS(T_PlannedOrders[EffectiveQty],T_PlannedOrders[Part Name],$A953,T_PlannedOrders[WeekIndex],35)=0,"",SUMIFS(T_PlannedOrders[EffectiveQty],T_PlannedOrders[Part Name],$A953,T_PlannedOrders[WeekIndex],35)&amp;" ("&amp;TEXT(SUMPRODUCT(MAX((T_PlannedOrders[Part Name]=$A953)*(T_PlannedOrders[WeekIndex]=35)*(T_PlannedOrders[EffectiveQty]&gt;0)*T_PlannedOrders[Order_Month])),"m月")&amp;"発注)")</f>
        <v/>
      </c>
      <c r="AM1017">
        <f>IF(SUMIFS(T_PlannedOrders[EffectiveQty],T_PlannedOrders[Part Name],$A953,T_PlannedOrders[WeekIndex],36)=0,"",SUMIFS(T_PlannedOrders[EffectiveQty],T_PlannedOrders[Part Name],$A953,T_PlannedOrders[WeekIndex],36)&amp;" ("&amp;TEXT(SUMPRODUCT(MAX((T_PlannedOrders[Part Name]=$A953)*(T_PlannedOrders[WeekIndex]=36)*(T_PlannedOrders[EffectiveQty]&gt;0)*T_PlannedOrders[Order_Month])),"m月")&amp;"発注)")</f>
        <v/>
      </c>
      <c r="AN1017">
        <f>IF(SUMIFS(T_PlannedOrders[EffectiveQty],T_PlannedOrders[Part Name],$A953,T_PlannedOrders[WeekIndex],37)=0,"",SUMIFS(T_PlannedOrders[EffectiveQty],T_PlannedOrders[Part Name],$A953,T_PlannedOrders[WeekIndex],37)&amp;" ("&amp;TEXT(SUMPRODUCT(MAX((T_PlannedOrders[Part Name]=$A953)*(T_PlannedOrders[WeekIndex]=37)*(T_PlannedOrders[EffectiveQty]&gt;0)*T_PlannedOrders[Order_Month])),"m月")&amp;"発注)")</f>
        <v/>
      </c>
      <c r="AO1017">
        <f>IF(SUMIFS(T_PlannedOrders[EffectiveQty],T_PlannedOrders[Part Name],$A953,T_PlannedOrders[WeekIndex],38)=0,"",SUMIFS(T_PlannedOrders[EffectiveQty],T_PlannedOrders[Part Name],$A953,T_PlannedOrders[WeekIndex],38)&amp;" ("&amp;TEXT(SUMPRODUCT(MAX((T_PlannedOrders[Part Name]=$A953)*(T_PlannedOrders[WeekIndex]=38)*(T_PlannedOrders[EffectiveQty]&gt;0)*T_PlannedOrders[Order_Month])),"m月")&amp;"発注)")</f>
        <v/>
      </c>
      <c r="AP1017">
        <f>IF(SUMIFS(T_PlannedOrders[EffectiveQty],T_PlannedOrders[Part Name],$A953,T_PlannedOrders[WeekIndex],39)=0,"",SUMIFS(T_PlannedOrders[EffectiveQty],T_PlannedOrders[Part Name],$A953,T_PlannedOrders[WeekIndex],39)&amp;" ("&amp;TEXT(SUMPRODUCT(MAX((T_PlannedOrders[Part Name]=$A953)*(T_PlannedOrders[WeekIndex]=39)*(T_PlannedOrders[EffectiveQty]&gt;0)*T_PlannedOrders[Order_Month])),"m月")&amp;"発注)")</f>
        <v/>
      </c>
      <c r="AQ1017">
        <f>IF(SUMIFS(T_PlannedOrders[EffectiveQty],T_PlannedOrders[Part Name],$A953,T_PlannedOrders[WeekIndex],40)=0,"",SUMIFS(T_PlannedOrders[EffectiveQty],T_PlannedOrders[Part Name],$A953,T_PlannedOrders[WeekIndex],40)&amp;" ("&amp;TEXT(SUMPRODUCT(MAX((T_PlannedOrders[Part Name]=$A953)*(T_PlannedOrders[WeekIndex]=40)*(T_PlannedOrders[EffectiveQty]&gt;0)*T_PlannedOrders[Order_Month])),"m月")&amp;"発注)")</f>
        <v/>
      </c>
      <c r="AR1017">
        <f>IF(SUMIFS(T_PlannedOrders[EffectiveQty],T_PlannedOrders[Part Name],$A953,T_PlannedOrders[WeekIndex],41)=0,"",SUMIFS(T_PlannedOrders[EffectiveQty],T_PlannedOrders[Part Name],$A953,T_PlannedOrders[WeekIndex],41)&amp;" ("&amp;TEXT(SUMPRODUCT(MAX((T_PlannedOrders[Part Name]=$A953)*(T_PlannedOrders[WeekIndex]=41)*(T_PlannedOrders[EffectiveQty]&gt;0)*T_PlannedOrders[Order_Month])),"m月")&amp;"発注)")</f>
        <v/>
      </c>
      <c r="AS1017">
        <f>IF(SUMIFS(T_PlannedOrders[EffectiveQty],T_PlannedOrders[Part Name],$A953,T_PlannedOrders[WeekIndex],42)=0,"",SUMIFS(T_PlannedOrders[EffectiveQty],T_PlannedOrders[Part Name],$A953,T_PlannedOrders[WeekIndex],42)&amp;" ("&amp;TEXT(SUMPRODUCT(MAX((T_PlannedOrders[Part Name]=$A953)*(T_PlannedOrders[WeekIndex]=42)*(T_PlannedOrders[EffectiveQty]&gt;0)*T_PlannedOrders[Order_Month])),"m月")&amp;"発注)")</f>
        <v/>
      </c>
      <c r="AT1017">
        <f>IF(SUMIFS(T_PlannedOrders[EffectiveQty],T_PlannedOrders[Part Name],$A953,T_PlannedOrders[WeekIndex],43)=0,"",SUMIFS(T_PlannedOrders[EffectiveQty],T_PlannedOrders[Part Name],$A953,T_PlannedOrders[WeekIndex],43)&amp;" ("&amp;TEXT(SUMPRODUCT(MAX((T_PlannedOrders[Part Name]=$A953)*(T_PlannedOrders[WeekIndex]=43)*(T_PlannedOrders[EffectiveQty]&gt;0)*T_PlannedOrders[Order_Month])),"m月")&amp;"発注)")</f>
        <v/>
      </c>
      <c r="AU1017">
        <f>IF(SUMIFS(T_PlannedOrders[EffectiveQty],T_PlannedOrders[Part Name],$A953,T_PlannedOrders[WeekIndex],44)=0,"",SUMIFS(T_PlannedOrders[EffectiveQty],T_PlannedOrders[Part Name],$A953,T_PlannedOrders[WeekIndex],44)&amp;" ("&amp;TEXT(SUMPRODUCT(MAX((T_PlannedOrders[Part Name]=$A953)*(T_PlannedOrders[WeekIndex]=44)*(T_PlannedOrders[EffectiveQty]&gt;0)*T_PlannedOrders[Order_Month])),"m月")&amp;"発注)")</f>
        <v/>
      </c>
      <c r="AV1017">
        <f>IF(SUMIFS(T_PlannedOrders[EffectiveQty],T_PlannedOrders[Part Name],$A953,T_PlannedOrders[WeekIndex],45)=0,"",SUMIFS(T_PlannedOrders[EffectiveQty],T_PlannedOrders[Part Name],$A953,T_PlannedOrders[WeekIndex],45)&amp;" ("&amp;TEXT(SUMPRODUCT(MAX((T_PlannedOrders[Part Name]=$A953)*(T_PlannedOrders[WeekIndex]=45)*(T_PlannedOrders[EffectiveQty]&gt;0)*T_PlannedOrders[Order_Month])),"m月")&amp;"発注)")</f>
        <v/>
      </c>
      <c r="AW1017">
        <f>IF(SUMIFS(T_PlannedOrders[EffectiveQty],T_PlannedOrders[Part Name],$A953,T_PlannedOrders[WeekIndex],46)=0,"",SUMIFS(T_PlannedOrders[EffectiveQty],T_PlannedOrders[Part Name],$A953,T_PlannedOrders[WeekIndex],46)&amp;" ("&amp;TEXT(SUMPRODUCT(MAX((T_PlannedOrders[Part Name]=$A953)*(T_PlannedOrders[WeekIndex]=46)*(T_PlannedOrders[EffectiveQty]&gt;0)*T_PlannedOrders[Order_Month])),"m月")&amp;"発注)")</f>
        <v/>
      </c>
      <c r="AX1017">
        <f>IF(SUMIFS(T_PlannedOrders[EffectiveQty],T_PlannedOrders[Part Name],$A953,T_PlannedOrders[WeekIndex],47)=0,"",SUMIFS(T_PlannedOrders[EffectiveQty],T_PlannedOrders[Part Name],$A953,T_PlannedOrders[WeekIndex],47)&amp;" ("&amp;TEXT(SUMPRODUCT(MAX((T_PlannedOrders[Part Name]=$A953)*(T_PlannedOrders[WeekIndex]=47)*(T_PlannedOrders[EffectiveQty]&gt;0)*T_PlannedOrders[Order_Month])),"m月")&amp;"発注)")</f>
        <v/>
      </c>
      <c r="AY1017">
        <f>IF(SUMIFS(T_PlannedOrders[EffectiveQty],T_PlannedOrders[Part Name],$A953,T_PlannedOrders[WeekIndex],48)=0,"",SUMIFS(T_PlannedOrders[EffectiveQty],T_PlannedOrders[Part Name],$A953,T_PlannedOrders[WeekIndex],48)&amp;" ("&amp;TEXT(SUMPRODUCT(MAX((T_PlannedOrders[Part Name]=$A953)*(T_PlannedOrders[WeekIndex]=48)*(T_PlannedOrders[EffectiveQty]&gt;0)*T_PlannedOrders[Order_Month])),"m月")&amp;"発注)")</f>
        <v/>
      </c>
      <c r="AZ1017">
        <f>IF(SUMIFS(T_PlannedOrders[EffectiveQty],T_PlannedOrders[Part Name],$A953,T_PlannedOrders[WeekIndex],49)=0,"",SUMIFS(T_PlannedOrders[EffectiveQty],T_PlannedOrders[Part Name],$A953,T_PlannedOrders[WeekIndex],49)&amp;" ("&amp;TEXT(SUMPRODUCT(MAX((T_PlannedOrders[Part Name]=$A953)*(T_PlannedOrders[WeekIndex]=49)*(T_PlannedOrders[EffectiveQty]&gt;0)*T_PlannedOrders[Order_Month])),"m月")&amp;"発注)")</f>
        <v/>
      </c>
      <c r="BA1017">
        <f>IF(SUMIFS(T_PlannedOrders[EffectiveQty],T_PlannedOrders[Part Name],$A953,T_PlannedOrders[WeekIndex],50)=0,"",SUMIFS(T_PlannedOrders[EffectiveQty],T_PlannedOrders[Part Name],$A953,T_PlannedOrders[WeekIndex],50)&amp;" ("&amp;TEXT(SUMPRODUCT(MAX((T_PlannedOrders[Part Name]=$A953)*(T_PlannedOrders[WeekIndex]=50)*(T_PlannedOrders[EffectiveQty]&gt;0)*T_PlannedOrders[Order_Month])),"m月")&amp;"発注)")</f>
        <v/>
      </c>
      <c r="BB1017">
        <f>IF(SUMIFS(T_PlannedOrders[EffectiveQty],T_PlannedOrders[Part Name],$A953,T_PlannedOrders[WeekIndex],51)=0,"",SUMIFS(T_PlannedOrders[EffectiveQty],T_PlannedOrders[Part Name],$A953,T_PlannedOrders[WeekIndex],51)&amp;" ("&amp;TEXT(SUMPRODUCT(MAX((T_PlannedOrders[Part Name]=$A953)*(T_PlannedOrders[WeekIndex]=51)*(T_PlannedOrders[EffectiveQty]&gt;0)*T_PlannedOrders[Order_Month])),"m月")&amp;"発注)")</f>
        <v/>
      </c>
      <c r="BC1017">
        <f>IF(SUMIFS(T_PlannedOrders[EffectiveQty],T_PlannedOrders[Part Name],$A953,T_PlannedOrders[WeekIndex],52)=0,"",SUMIFS(T_PlannedOrders[EffectiveQty],T_PlannedOrders[Part Name],$A953,T_PlannedOrders[WeekIndex],52)&amp;" ("&amp;TEXT(SUMPRODUCT(MAX((T_PlannedOrders[Part Name]=$A953)*(T_PlannedOrders[WeekIndex]=52)*(T_PlannedOrders[EffectiveQty]&gt;0)*T_PlannedOrders[Order_Month])),"m月")&amp;"発注)")</f>
        <v/>
      </c>
      <c r="BD1017">
        <f>IF(SUMIFS(T_PlannedOrders[EffectiveQty],T_PlannedOrders[Part Name],$A953,T_PlannedOrders[WeekIndex],53)=0,"",SUMIFS(T_PlannedOrders[EffectiveQty],T_PlannedOrders[Part Name],$A953,T_PlannedOrders[WeekIndex],53)&amp;" ("&amp;TEXT(SUMPRODUCT(MAX((T_PlannedOrders[Part Name]=$A953)*(T_PlannedOrders[WeekIndex]=53)*(T_PlannedOrders[EffectiveQty]&gt;0)*T_PlannedOrders[Order_Month])),"m月")&amp;"発注)")</f>
        <v/>
      </c>
      <c r="BE1017">
        <f>IF(SUMIFS(T_PlannedOrders[EffectiveQty],T_PlannedOrders[Part Name],$A953,T_PlannedOrders[WeekIndex],54)=0,"",SUMIFS(T_PlannedOrders[EffectiveQty],T_PlannedOrders[Part Name],$A953,T_PlannedOrders[WeekIndex],54)&amp;" ("&amp;TEXT(SUMPRODUCT(MAX((T_PlannedOrders[Part Name]=$A953)*(T_PlannedOrders[WeekIndex]=54)*(T_PlannedOrders[EffectiveQty]&gt;0)*T_PlannedOrders[Order_Month])),"m月")&amp;"発注)")</f>
        <v/>
      </c>
      <c r="BF1017">
        <f>IF(SUMIFS(T_PlannedOrders[EffectiveQty],T_PlannedOrders[Part Name],$A953,T_PlannedOrders[WeekIndex],55)=0,"",SUMIFS(T_PlannedOrders[EffectiveQty],T_PlannedOrders[Part Name],$A953,T_PlannedOrders[WeekIndex],55)&amp;" ("&amp;TEXT(SUMPRODUCT(MAX((T_PlannedOrders[Part Name]=$A953)*(T_PlannedOrders[WeekIndex]=55)*(T_PlannedOrders[EffectiveQty]&gt;0)*T_PlannedOrders[Order_Month])),"m月")&amp;"発注)")</f>
        <v/>
      </c>
      <c r="BG1017">
        <f>IF(SUMIFS(T_PlannedOrders[EffectiveQty],T_PlannedOrders[Part Name],$A953,T_PlannedOrders[WeekIndex],56)=0,"",SUMIFS(T_PlannedOrders[EffectiveQty],T_PlannedOrders[Part Name],$A953,T_PlannedOrders[WeekIndex],56)&amp;" ("&amp;TEXT(SUMPRODUCT(MAX((T_PlannedOrders[Part Name]=$A953)*(T_PlannedOrders[WeekIndex]=56)*(T_PlannedOrders[EffectiveQty]&gt;0)*T_PlannedOrders[Order_Month])),"m月")&amp;"発注)")</f>
        <v/>
      </c>
      <c r="BH1017">
        <f>IF(SUMIFS(T_PlannedOrders[EffectiveQty],T_PlannedOrders[Part Name],$A953,T_PlannedOrders[WeekIndex],57)=0,"",SUMIFS(T_PlannedOrders[EffectiveQty],T_PlannedOrders[Part Name],$A953,T_PlannedOrders[WeekIndex],57)&amp;" ("&amp;TEXT(SUMPRODUCT(MAX((T_PlannedOrders[Part Name]=$A953)*(T_PlannedOrders[WeekIndex]=57)*(T_PlannedOrders[EffectiveQty]&gt;0)*T_PlannedOrders[Order_Month])),"m月")&amp;"発注)")</f>
        <v/>
      </c>
      <c r="BI1017">
        <f>IF(SUMIFS(T_PlannedOrders[EffectiveQty],T_PlannedOrders[Part Name],$A953,T_PlannedOrders[WeekIndex],58)=0,"",SUMIFS(T_PlannedOrders[EffectiveQty],T_PlannedOrders[Part Name],$A953,T_PlannedOrders[WeekIndex],58)&amp;" ("&amp;TEXT(SUMPRODUCT(MAX((T_PlannedOrders[Part Name]=$A953)*(T_PlannedOrders[WeekIndex]=58)*(T_PlannedOrders[EffectiveQty]&gt;0)*T_PlannedOrders[Order_Month])),"m月")&amp;"発注)")</f>
        <v/>
      </c>
      <c r="BJ1017">
        <f>IF(SUMIFS(T_PlannedOrders[EffectiveQty],T_PlannedOrders[Part Name],$A953,T_PlannedOrders[WeekIndex],59)=0,"",SUMIFS(T_PlannedOrders[EffectiveQty],T_PlannedOrders[Part Name],$A953,T_PlannedOrders[WeekIndex],59)&amp;" ("&amp;TEXT(SUMPRODUCT(MAX((T_PlannedOrders[Part Name]=$A953)*(T_PlannedOrders[WeekIndex]=59)*(T_PlannedOrders[EffectiveQty]&gt;0)*T_PlannedOrders[Order_Month])),"m月")&amp;"発注)")</f>
        <v/>
      </c>
      <c r="BK1017">
        <f>IF(SUMIFS(T_PlannedOrders[EffectiveQty],T_PlannedOrders[Part Name],$A953,T_PlannedOrders[WeekIndex],60)=0,"",SUMIFS(T_PlannedOrders[EffectiveQty],T_PlannedOrders[Part Name],$A953,T_PlannedOrders[WeekIndex],60)&amp;" ("&amp;TEXT(SUMPRODUCT(MAX((T_PlannedOrders[Part Name]=$A953)*(T_PlannedOrders[WeekIndex]=60)*(T_PlannedOrders[EffectiveQty]&gt;0)*T_PlannedOrders[Order_Month])),"m月")&amp;"発注)")</f>
        <v/>
      </c>
      <c r="BL1017">
        <f>IF(SUMIFS(T_PlannedOrders[EffectiveQty],T_PlannedOrders[Part Name],$A953,T_PlannedOrders[WeekIndex],61)=0,"",SUMIFS(T_PlannedOrders[EffectiveQty],T_PlannedOrders[Part Name],$A953,T_PlannedOrders[WeekIndex],61)&amp;" ("&amp;TEXT(SUMPRODUCT(MAX((T_PlannedOrders[Part Name]=$A953)*(T_PlannedOrders[WeekIndex]=61)*(T_PlannedOrders[EffectiveQty]&gt;0)*T_PlannedOrders[Order_Month])),"m月")&amp;"発注)")</f>
        <v/>
      </c>
      <c r="BM1017">
        <f>IF(SUMIFS(T_PlannedOrders[EffectiveQty],T_PlannedOrders[Part Name],$A953,T_PlannedOrders[WeekIndex],62)=0,"",SUMIFS(T_PlannedOrders[EffectiveQty],T_PlannedOrders[Part Name],$A953,T_PlannedOrders[WeekIndex],62)&amp;" ("&amp;TEXT(SUMPRODUCT(MAX((T_PlannedOrders[Part Name]=$A953)*(T_PlannedOrders[WeekIndex]=62)*(T_PlannedOrders[EffectiveQty]&gt;0)*T_PlannedOrders[Order_Month])),"m月")&amp;"発注)")</f>
        <v/>
      </c>
      <c r="BN1017">
        <f>IF(SUMIFS(T_PlannedOrders[EffectiveQty],T_PlannedOrders[Part Name],$A953,T_PlannedOrders[WeekIndex],63)=0,"",SUMIFS(T_PlannedOrders[EffectiveQty],T_PlannedOrders[Part Name],$A953,T_PlannedOrders[WeekIndex],63)&amp;" ("&amp;TEXT(SUMPRODUCT(MAX((T_PlannedOrders[Part Name]=$A953)*(T_PlannedOrders[WeekIndex]=63)*(T_PlannedOrders[EffectiveQty]&gt;0)*T_PlannedOrders[Order_Month])),"m月")&amp;"発注)")</f>
        <v/>
      </c>
      <c r="BO1017">
        <f>IF(SUMIFS(T_PlannedOrders[EffectiveQty],T_PlannedOrders[Part Name],$A953,T_PlannedOrders[WeekIndex],64)=0,"",SUMIFS(T_PlannedOrders[EffectiveQty],T_PlannedOrders[Part Name],$A953,T_PlannedOrders[WeekIndex],64)&amp;" ("&amp;TEXT(SUMPRODUCT(MAX((T_PlannedOrders[Part Name]=$A953)*(T_PlannedOrders[WeekIndex]=64)*(T_PlannedOrders[EffectiveQty]&gt;0)*T_PlannedOrders[Order_Month])),"m月")&amp;"発注)")</f>
        <v/>
      </c>
      <c r="BP1017">
        <f>IF(SUMIFS(T_PlannedOrders[EffectiveQty],T_PlannedOrders[Part Name],$A953,T_PlannedOrders[WeekIndex],65)=0,"",SUMIFS(T_PlannedOrders[EffectiveQty],T_PlannedOrders[Part Name],$A953,T_PlannedOrders[WeekIndex],65)&amp;" ("&amp;TEXT(SUMPRODUCT(MAX((T_PlannedOrders[Part Name]=$A953)*(T_PlannedOrders[WeekIndex]=65)*(T_PlannedOrders[EffectiveQty]&gt;0)*T_PlannedOrders[Order_Month])),"m月")&amp;"発注)")</f>
        <v/>
      </c>
      <c r="BQ1017">
        <f>IF(SUMIFS(T_PlannedOrders[EffectiveQty],T_PlannedOrders[Part Name],$A953,T_PlannedOrders[WeekIndex],66)=0,"",SUMIFS(T_PlannedOrders[EffectiveQty],T_PlannedOrders[Part Name],$A953,T_PlannedOrders[WeekIndex],66)&amp;" ("&amp;TEXT(SUMPRODUCT(MAX((T_PlannedOrders[Part Name]=$A953)*(T_PlannedOrders[WeekIndex]=66)*(T_PlannedOrders[EffectiveQty]&gt;0)*T_PlannedOrders[Order_Month])),"m月")&amp;"発注)")</f>
        <v/>
      </c>
      <c r="BR1017">
        <f>IF(SUMIFS(T_PlannedOrders[EffectiveQty],T_PlannedOrders[Part Name],$A953,T_PlannedOrders[WeekIndex],67)=0,"",SUMIFS(T_PlannedOrders[EffectiveQty],T_PlannedOrders[Part Name],$A953,T_PlannedOrders[WeekIndex],67)&amp;" ("&amp;TEXT(SUMPRODUCT(MAX((T_PlannedOrders[Part Name]=$A953)*(T_PlannedOrders[WeekIndex]=67)*(T_PlannedOrders[EffectiveQty]&gt;0)*T_PlannedOrders[Order_Month])),"m月")&amp;"発注)")</f>
        <v/>
      </c>
      <c r="BS1017">
        <f>IF(SUMIFS(T_PlannedOrders[EffectiveQty],T_PlannedOrders[Part Name],$A953,T_PlannedOrders[WeekIndex],68)=0,"",SUMIFS(T_PlannedOrders[EffectiveQty],T_PlannedOrders[Part Name],$A953,T_PlannedOrders[WeekIndex],68)&amp;" ("&amp;TEXT(SUMPRODUCT(MAX((T_PlannedOrders[Part Name]=$A953)*(T_PlannedOrders[WeekIndex]=68)*(T_PlannedOrders[EffectiveQty]&gt;0)*T_PlannedOrders[Order_Month])),"m月")&amp;"発注)")</f>
        <v/>
      </c>
      <c r="BT1017">
        <f>IF(SUMIFS(T_PlannedOrders[EffectiveQty],T_PlannedOrders[Part Name],$A953,T_PlannedOrders[WeekIndex],69)=0,"",SUMIFS(T_PlannedOrders[EffectiveQty],T_PlannedOrders[Part Name],$A953,T_PlannedOrders[WeekIndex],69)&amp;" ("&amp;TEXT(SUMPRODUCT(MAX((T_PlannedOrders[Part Name]=$A953)*(T_PlannedOrders[WeekIndex]=69)*(T_PlannedOrders[EffectiveQty]&gt;0)*T_PlannedOrders[Order_Month])),"m月")&amp;"発注)")</f>
        <v/>
      </c>
      <c r="BU1017">
        <f>IF(SUMIFS(T_PlannedOrders[EffectiveQty],T_PlannedOrders[Part Name],$A953,T_PlannedOrders[WeekIndex],70)=0,"",SUMIFS(T_PlannedOrders[EffectiveQty],T_PlannedOrders[Part Name],$A953,T_PlannedOrders[WeekIndex],70)&amp;" ("&amp;TEXT(SUMPRODUCT(MAX((T_PlannedOrders[Part Name]=$A953)*(T_PlannedOrders[WeekIndex]=70)*(T_PlannedOrders[EffectiveQty]&gt;0)*T_PlannedOrders[Order_Month])),"m月")&amp;"発注)")</f>
        <v/>
      </c>
      <c r="BV1017">
        <f>IF(SUMIFS(T_PlannedOrders[EffectiveQty],T_PlannedOrders[Part Name],$A953,T_PlannedOrders[WeekIndex],71)=0,"",SUMIFS(T_PlannedOrders[EffectiveQty],T_PlannedOrders[Part Name],$A953,T_PlannedOrders[WeekIndex],71)&amp;" ("&amp;TEXT(SUMPRODUCT(MAX((T_PlannedOrders[Part Name]=$A953)*(T_PlannedOrders[WeekIndex]=71)*(T_PlannedOrders[EffectiveQty]&gt;0)*T_PlannedOrders[Order_Month])),"m月")&amp;"発注)")</f>
        <v/>
      </c>
      <c r="BW1017">
        <f>IF(SUMIFS(T_PlannedOrders[EffectiveQty],T_PlannedOrders[Part Name],$A953,T_PlannedOrders[WeekIndex],72)=0,"",SUMIFS(T_PlannedOrders[EffectiveQty],T_PlannedOrders[Part Name],$A953,T_PlannedOrders[WeekIndex],72)&amp;" ("&amp;TEXT(SUMPRODUCT(MAX((T_PlannedOrders[Part Name]=$A953)*(T_PlannedOrders[WeekIndex]=72)*(T_PlannedOrders[EffectiveQty]&gt;0)*T_PlannedOrders[Order_Month])),"m月")&amp;"発注)")</f>
        <v/>
      </c>
      <c r="BX1017">
        <f>IF(SUMIFS(T_PlannedOrders[EffectiveQty],T_PlannedOrders[Part Name],$A953,T_PlannedOrders[WeekIndex],73)=0,"",SUMIFS(T_PlannedOrders[EffectiveQty],T_PlannedOrders[Part Name],$A953,T_PlannedOrders[WeekIndex],73)&amp;" ("&amp;TEXT(SUMPRODUCT(MAX((T_PlannedOrders[Part Name]=$A953)*(T_PlannedOrders[WeekIndex]=73)*(T_PlannedOrders[EffectiveQty]&gt;0)*T_PlannedOrders[Order_Month])),"m月")&amp;"発注)")</f>
        <v/>
      </c>
      <c r="BY1017">
        <f>IF(SUMIFS(T_PlannedOrders[EffectiveQty],T_PlannedOrders[Part Name],$A953,T_PlannedOrders[WeekIndex],74)=0,"",SUMIFS(T_PlannedOrders[EffectiveQty],T_PlannedOrders[Part Name],$A953,T_PlannedOrders[WeekIndex],74)&amp;" ("&amp;TEXT(SUMPRODUCT(MAX((T_PlannedOrders[Part Name]=$A953)*(T_PlannedOrders[WeekIndex]=74)*(T_PlannedOrders[EffectiveQty]&gt;0)*T_PlannedOrders[Order_Month])),"m月")&amp;"発注)")</f>
        <v/>
      </c>
      <c r="BZ1017">
        <f>IF(SUMIFS(T_PlannedOrders[EffectiveQty],T_PlannedOrders[Part Name],$A953,T_PlannedOrders[WeekIndex],75)=0,"",SUMIFS(T_PlannedOrders[EffectiveQty],T_PlannedOrders[Part Name],$A953,T_PlannedOrders[WeekIndex],75)&amp;" ("&amp;TEXT(SUMPRODUCT(MAX((T_PlannedOrders[Part Name]=$A953)*(T_PlannedOrders[WeekIndex]=75)*(T_PlannedOrders[EffectiveQty]&gt;0)*T_PlannedOrders[Order_Month])),"m月")&amp;"発注)")</f>
        <v/>
      </c>
      <c r="CA1017">
        <f>IF(SUMIFS(T_PlannedOrders[EffectiveQty],T_PlannedOrders[Part Name],$A953,T_PlannedOrders[WeekIndex],76)=0,"",SUMIFS(T_PlannedOrders[EffectiveQty],T_PlannedOrders[Part Name],$A953,T_PlannedOrders[WeekIndex],76)&amp;" ("&amp;TEXT(SUMPRODUCT(MAX((T_PlannedOrders[Part Name]=$A953)*(T_PlannedOrders[WeekIndex]=76)*(T_PlannedOrders[EffectiveQty]&gt;0)*T_PlannedOrders[Order_Month])),"m月")&amp;"発注)")</f>
        <v/>
      </c>
      <c r="CB1017">
        <f>IF(SUMIFS(T_PlannedOrders[EffectiveQty],T_PlannedOrders[Part Name],$A953,T_PlannedOrders[WeekIndex],77)=0,"",SUMIFS(T_PlannedOrders[EffectiveQty],T_PlannedOrders[Part Name],$A953,T_PlannedOrders[WeekIndex],77)&amp;" ("&amp;TEXT(SUMPRODUCT(MAX((T_PlannedOrders[Part Name]=$A953)*(T_PlannedOrders[WeekIndex]=77)*(T_PlannedOrders[EffectiveQty]&gt;0)*T_PlannedOrders[Order_Month])),"m月")&amp;"発注)")</f>
        <v/>
      </c>
      <c r="CC1017">
        <f>IF(SUMIFS(T_PlannedOrders[EffectiveQty],T_PlannedOrders[Part Name],$A953,T_PlannedOrders[WeekIndex],78)=0,"",SUMIFS(T_PlannedOrders[EffectiveQty],T_PlannedOrders[Part Name],$A953,T_PlannedOrders[WeekIndex],78)&amp;" ("&amp;TEXT(SUMPRODUCT(MAX((T_PlannedOrders[Part Name]=$A953)*(T_PlannedOrders[WeekIndex]=78)*(T_PlannedOrders[EffectiveQty]&gt;0)*T_PlannedOrders[Order_Month])),"m月")&amp;"発注)")</f>
        <v/>
      </c>
      <c r="CD1017">
        <f>IF(SUMIFS(T_PlannedOrders[EffectiveQty],T_PlannedOrders[Part Name],$A953,T_PlannedOrders[WeekIndex],79)=0,"",SUMIFS(T_PlannedOrders[EffectiveQty],T_PlannedOrders[Part Name],$A953,T_PlannedOrders[WeekIndex],79)&amp;" ("&amp;TEXT(SUMPRODUCT(MAX((T_PlannedOrders[Part Name]=$A953)*(T_PlannedOrders[WeekIndex]=79)*(T_PlannedOrders[EffectiveQty]&gt;0)*T_PlannedOrders[Order_Month])),"m月")&amp;"発注)")</f>
        <v/>
      </c>
      <c r="CE1017">
        <f>IF(SUMIFS(T_PlannedOrders[EffectiveQty],T_PlannedOrders[Part Name],$A953,T_PlannedOrders[WeekIndex],80)=0,"",SUMIFS(T_PlannedOrders[EffectiveQty],T_PlannedOrders[Part Name],$A953,T_PlannedOrders[WeekIndex],80)&amp;" ("&amp;TEXT(SUMPRODUCT(MAX((T_PlannedOrders[Part Name]=$A953)*(T_PlannedOrders[WeekIndex]=80)*(T_PlannedOrders[EffectiveQty]&gt;0)*T_PlannedOrders[Order_Month])),"m月")&amp;"発注)")</f>
        <v/>
      </c>
      <c r="CF1017">
        <f>IF(SUMIFS(T_PlannedOrders[EffectiveQty],T_PlannedOrders[Part Name],$A953,T_PlannedOrders[WeekIndex],81)=0,"",SUMIFS(T_PlannedOrders[EffectiveQty],T_PlannedOrders[Part Name],$A953,T_PlannedOrders[WeekIndex],81)&amp;" ("&amp;TEXT(SUMPRODUCT(MAX((T_PlannedOrders[Part Name]=$A953)*(T_PlannedOrders[WeekIndex]=81)*(T_PlannedOrders[EffectiveQty]&gt;0)*T_PlannedOrders[Order_Month])),"m月")&amp;"発注)")</f>
        <v/>
      </c>
      <c r="CG1017">
        <f>IF(SUMIFS(T_PlannedOrders[EffectiveQty],T_PlannedOrders[Part Name],$A953,T_PlannedOrders[WeekIndex],82)=0,"",SUMIFS(T_PlannedOrders[EffectiveQty],T_PlannedOrders[Part Name],$A953,T_PlannedOrders[WeekIndex],82)&amp;" ("&amp;TEXT(SUMPRODUCT(MAX((T_PlannedOrders[Part Name]=$A953)*(T_PlannedOrders[WeekIndex]=82)*(T_PlannedOrders[EffectiveQty]&gt;0)*T_PlannedOrders[Order_Month])),"m月")&amp;"発注)")</f>
        <v/>
      </c>
      <c r="CH1017">
        <f>IF(SUMIFS(T_PlannedOrders[EffectiveQty],T_PlannedOrders[Part Name],$A953,T_PlannedOrders[WeekIndex],83)=0,"",SUMIFS(T_PlannedOrders[EffectiveQty],T_PlannedOrders[Part Name],$A953,T_PlannedOrders[WeekIndex],83)&amp;" ("&amp;TEXT(SUMPRODUCT(MAX((T_PlannedOrders[Part Name]=$A953)*(T_PlannedOrders[WeekIndex]=83)*(T_PlannedOrders[EffectiveQty]&gt;0)*T_PlannedOrders[Order_Month])),"m月")&amp;"発注)")</f>
        <v/>
      </c>
      <c r="CI1017">
        <f>IF(SUMIFS(T_PlannedOrders[EffectiveQty],T_PlannedOrders[Part Name],$A953,T_PlannedOrders[WeekIndex],84)=0,"",SUMIFS(T_PlannedOrders[EffectiveQty],T_PlannedOrders[Part Name],$A953,T_PlannedOrders[WeekIndex],84)&amp;" ("&amp;TEXT(SUMPRODUCT(MAX((T_PlannedOrders[Part Name]=$A953)*(T_PlannedOrders[WeekIndex]=84)*(T_PlannedOrders[EffectiveQty]&gt;0)*T_PlannedOrders[Order_Month])),"m月")&amp;"発注)")</f>
        <v/>
      </c>
      <c r="CJ1017">
        <f>IF(SUMIFS(T_PlannedOrders[EffectiveQty],T_PlannedOrders[Part Name],$A953,T_PlannedOrders[WeekIndex],85)=0,"",SUMIFS(T_PlannedOrders[EffectiveQty],T_PlannedOrders[Part Name],$A953,T_PlannedOrders[WeekIndex],85)&amp;" ("&amp;TEXT(SUMPRODUCT(MAX((T_PlannedOrders[Part Name]=$A953)*(T_PlannedOrders[WeekIndex]=85)*(T_PlannedOrders[EffectiveQty]&gt;0)*T_PlannedOrders[Order_Month])),"m月")&amp;"発注)")</f>
        <v/>
      </c>
      <c r="CK1017">
        <f>IF(SUMIFS(T_PlannedOrders[EffectiveQty],T_PlannedOrders[Part Name],$A953,T_PlannedOrders[WeekIndex],86)=0,"",SUMIFS(T_PlannedOrders[EffectiveQty],T_PlannedOrders[Part Name],$A953,T_PlannedOrders[WeekIndex],86)&amp;" ("&amp;TEXT(SUMPRODUCT(MAX((T_PlannedOrders[Part Name]=$A953)*(T_PlannedOrders[WeekIndex]=86)*(T_PlannedOrders[EffectiveQty]&gt;0)*T_PlannedOrders[Order_Month])),"m月")&amp;"発注)")</f>
        <v/>
      </c>
      <c r="CL1017">
        <f>IF(SUMIFS(T_PlannedOrders[EffectiveQty],T_PlannedOrders[Part Name],$A953,T_PlannedOrders[WeekIndex],87)=0,"",SUMIFS(T_PlannedOrders[EffectiveQty],T_PlannedOrders[Part Name],$A953,T_PlannedOrders[WeekIndex],87)&amp;" ("&amp;TEXT(SUMPRODUCT(MAX((T_PlannedOrders[Part Name]=$A953)*(T_PlannedOrders[WeekIndex]=87)*(T_PlannedOrders[EffectiveQty]&gt;0)*T_PlannedOrders[Order_Month])),"m月")&amp;"発注)")</f>
        <v/>
      </c>
      <c r="CM1017">
        <f>IF(SUMIFS(T_PlannedOrders[EffectiveQty],T_PlannedOrders[Part Name],$A953,T_PlannedOrders[WeekIndex],88)=0,"",SUMIFS(T_PlannedOrders[EffectiveQty],T_PlannedOrders[Part Name],$A953,T_PlannedOrders[WeekIndex],88)&amp;" ("&amp;TEXT(SUMPRODUCT(MAX((T_PlannedOrders[Part Name]=$A953)*(T_PlannedOrders[WeekIndex]=88)*(T_PlannedOrders[EffectiveQty]&gt;0)*T_PlannedOrders[Order_Month])),"m月")&amp;"発注)")</f>
        <v/>
      </c>
      <c r="CN1017">
        <f>IF(SUMIFS(T_PlannedOrders[EffectiveQty],T_PlannedOrders[Part Name],$A953,T_PlannedOrders[WeekIndex],89)=0,"",SUMIFS(T_PlannedOrders[EffectiveQty],T_PlannedOrders[Part Name],$A953,T_PlannedOrders[WeekIndex],89)&amp;" ("&amp;TEXT(SUMPRODUCT(MAX((T_PlannedOrders[Part Name]=$A953)*(T_PlannedOrders[WeekIndex]=89)*(T_PlannedOrders[EffectiveQty]&gt;0)*T_PlannedOrders[Order_Month])),"m月")&amp;"発注)")</f>
        <v/>
      </c>
      <c r="CO1017">
        <f>IF(SUMIFS(T_PlannedOrders[EffectiveQty],T_PlannedOrders[Part Name],$A953,T_PlannedOrders[WeekIndex],90)=0,"",SUMIFS(T_PlannedOrders[EffectiveQty],T_PlannedOrders[Part Name],$A953,T_PlannedOrders[WeekIndex],90)&amp;" ("&amp;TEXT(SUMPRODUCT(MAX((T_PlannedOrders[Part Name]=$A953)*(T_PlannedOrders[WeekIndex]=90)*(T_PlannedOrders[EffectiveQty]&gt;0)*T_PlannedOrders[Order_Month])),"m月")&amp;"発注)")</f>
        <v/>
      </c>
      <c r="CP1017">
        <f>IF(SUMIFS(T_PlannedOrders[EffectiveQty],T_PlannedOrders[Part Name],$A953,T_PlannedOrders[WeekIndex],91)=0,"",SUMIFS(T_PlannedOrders[EffectiveQty],T_PlannedOrders[Part Name],$A953,T_PlannedOrders[WeekIndex],91)&amp;" ("&amp;TEXT(SUMPRODUCT(MAX((T_PlannedOrders[Part Name]=$A953)*(T_PlannedOrders[WeekIndex]=91)*(T_PlannedOrders[EffectiveQty]&gt;0)*T_PlannedOrders[Order_Month])),"m月")&amp;"発注)")</f>
        <v/>
      </c>
      <c r="CQ1017">
        <f>IF(SUMIFS(T_PlannedOrders[EffectiveQty],T_PlannedOrders[Part Name],$A953,T_PlannedOrders[WeekIndex],92)=0,"",SUMIFS(T_PlannedOrders[EffectiveQty],T_PlannedOrders[Part Name],$A953,T_PlannedOrders[WeekIndex],92)&amp;" ("&amp;TEXT(SUMPRODUCT(MAX((T_PlannedOrders[Part Name]=$A953)*(T_PlannedOrders[WeekIndex]=92)*(T_PlannedOrders[EffectiveQty]&gt;0)*T_PlannedOrders[Order_Month])),"m月")&amp;"発注)")</f>
        <v/>
      </c>
      <c r="CR1017">
        <f>IF(SUMIFS(T_PlannedOrders[EffectiveQty],T_PlannedOrders[Part Name],$A953,T_PlannedOrders[WeekIndex],93)=0,"",SUMIFS(T_PlannedOrders[EffectiveQty],T_PlannedOrders[Part Name],$A953,T_PlannedOrders[WeekIndex],93)&amp;" ("&amp;TEXT(SUMPRODUCT(MAX((T_PlannedOrders[Part Name]=$A953)*(T_PlannedOrders[WeekIndex]=93)*(T_PlannedOrders[EffectiveQty]&gt;0)*T_PlannedOrders[Order_Month])),"m月")&amp;"発注)")</f>
        <v/>
      </c>
      <c r="CS1017">
        <f>IF(SUMIFS(T_PlannedOrders[EffectiveQty],T_PlannedOrders[Part Name],$A953,T_PlannedOrders[WeekIndex],94)=0,"",SUMIFS(T_PlannedOrders[EffectiveQty],T_PlannedOrders[Part Name],$A953,T_PlannedOrders[WeekIndex],94)&amp;" ("&amp;TEXT(SUMPRODUCT(MAX((T_PlannedOrders[Part Name]=$A953)*(T_PlannedOrders[WeekIndex]=94)*(T_PlannedOrders[EffectiveQty]&gt;0)*T_PlannedOrders[Order_Month])),"m月")&amp;"発注)")</f>
        <v/>
      </c>
      <c r="CT1017">
        <f>IF(SUMIFS(T_PlannedOrders[EffectiveQty],T_PlannedOrders[Part Name],$A953,T_PlannedOrders[WeekIndex],95)=0,"",SUMIFS(T_PlannedOrders[EffectiveQty],T_PlannedOrders[Part Name],$A953,T_PlannedOrders[WeekIndex],95)&amp;" ("&amp;TEXT(SUMPRODUCT(MAX((T_PlannedOrders[Part Name]=$A953)*(T_PlannedOrders[WeekIndex]=95)*(T_PlannedOrders[EffectiveQty]&gt;0)*T_PlannedOrders[Order_Month])),"m月")&amp;"発注)")</f>
        <v/>
      </c>
      <c r="CU1017">
        <f>IF(SUMIFS(T_PlannedOrders[EffectiveQty],T_PlannedOrders[Part Name],$A953,T_PlannedOrders[WeekIndex],96)=0,"",SUMIFS(T_PlannedOrders[EffectiveQty],T_PlannedOrders[Part Name],$A953,T_PlannedOrders[WeekIndex],96)&amp;" ("&amp;TEXT(SUMPRODUCT(MAX((T_PlannedOrders[Part Name]=$A953)*(T_PlannedOrders[WeekIndex]=96)*(T_PlannedOrders[EffectiveQty]&gt;0)*T_PlannedOrders[Order_Month])),"m月")&amp;"発注)")</f>
        <v/>
      </c>
      <c r="CV1017">
        <f>IF(SUMIFS(T_PlannedOrders[EffectiveQty],T_PlannedOrders[Part Name],$A953,T_PlannedOrders[WeekIndex],97)=0,"",SUMIFS(T_PlannedOrders[EffectiveQty],T_PlannedOrders[Part Name],$A953,T_PlannedOrders[WeekIndex],97)&amp;" ("&amp;TEXT(SUMPRODUCT(MAX((T_PlannedOrders[Part Name]=$A953)*(T_PlannedOrders[WeekIndex]=97)*(T_PlannedOrders[EffectiveQty]&gt;0)*T_PlannedOrders[Order_Month])),"m月")&amp;"発注)")</f>
        <v/>
      </c>
      <c r="CW1017">
        <f>IF(SUMIFS(T_PlannedOrders[EffectiveQty],T_PlannedOrders[Part Name],$A953,T_PlannedOrders[WeekIndex],98)=0,"",SUMIFS(T_PlannedOrders[EffectiveQty],T_PlannedOrders[Part Name],$A953,T_PlannedOrders[WeekIndex],98)&amp;" ("&amp;TEXT(SUMPRODUCT(MAX((T_PlannedOrders[Part Name]=$A953)*(T_PlannedOrders[WeekIndex]=98)*(T_PlannedOrders[EffectiveQty]&gt;0)*T_PlannedOrders[Order_Month])),"m月")&amp;"発注)")</f>
        <v/>
      </c>
      <c r="CX1017">
        <f>IF(SUMIFS(T_PlannedOrders[EffectiveQty],T_PlannedOrders[Part Name],$A953,T_PlannedOrders[WeekIndex],99)=0,"",SUMIFS(T_PlannedOrders[EffectiveQty],T_PlannedOrders[Part Name],$A953,T_PlannedOrders[WeekIndex],99)&amp;" ("&amp;TEXT(SUMPRODUCT(MAX((T_PlannedOrders[Part Name]=$A953)*(T_PlannedOrders[WeekIndex]=99)*(T_PlannedOrders[EffectiveQty]&gt;0)*T_PlannedOrders[Order_Month])),"m月")&amp;"発注)")</f>
        <v/>
      </c>
      <c r="CY1017">
        <f>IF(SUMIFS(T_PlannedOrders[EffectiveQty],T_PlannedOrders[Part Name],$A953,T_PlannedOrders[WeekIndex],100)=0,"",SUMIFS(T_PlannedOrders[EffectiveQty],T_PlannedOrders[Part Name],$A953,T_PlannedOrders[WeekIndex],100)&amp;" ("&amp;TEXT(SUMPRODUCT(MAX((T_PlannedOrders[Part Name]=$A953)*(T_PlannedOrders[WeekIndex]=100)*(T_PlannedOrders[EffectiveQty]&gt;0)*T_PlannedOrders[Order_Month])),"m月")&amp;"発注)")</f>
        <v/>
      </c>
      <c r="CZ1017">
        <f>IF(SUMIFS(T_PlannedOrders[EffectiveQty],T_PlannedOrders[Part Name],$A953,T_PlannedOrders[WeekIndex],101)=0,"",SUMIFS(T_PlannedOrders[EffectiveQty],T_PlannedOrders[Part Name],$A953,T_PlannedOrders[WeekIndex],101)&amp;" ("&amp;TEXT(SUMPRODUCT(MAX((T_PlannedOrders[Part Name]=$A953)*(T_PlannedOrders[WeekIndex]=101)*(T_PlannedOrders[EffectiveQty]&gt;0)*T_PlannedOrders[Order_Month])),"m月")&amp;"発注)")</f>
        <v/>
      </c>
      <c r="DA1017">
        <f>IF(SUMIFS(T_PlannedOrders[EffectiveQty],T_PlannedOrders[Part Name],$A953,T_PlannedOrders[WeekIndex],102)=0,"",SUMIFS(T_PlannedOrders[EffectiveQty],T_PlannedOrders[Part Name],$A953,T_PlannedOrders[WeekIndex],102)&amp;" ("&amp;TEXT(SUMPRODUCT(MAX((T_PlannedOrders[Part Name]=$A953)*(T_PlannedOrders[WeekIndex]=102)*(T_PlannedOrders[EffectiveQty]&gt;0)*T_PlannedOrders[Order_Month])),"m月")&amp;"発注)")</f>
        <v/>
      </c>
      <c r="DB1017">
        <f>IF(SUMIFS(T_PlannedOrders[EffectiveQty],T_PlannedOrders[Part Name],$A953,T_PlannedOrders[WeekIndex],103)=0,"",SUMIFS(T_PlannedOrders[EffectiveQty],T_PlannedOrders[Part Name],$A953,T_PlannedOrders[WeekIndex],103)&amp;" ("&amp;TEXT(SUMPRODUCT(MAX((T_PlannedOrders[Part Name]=$A953)*(T_PlannedOrders[WeekIndex]=103)*(T_PlannedOrders[EffectiveQty]&gt;0)*T_PlannedOrders[Order_Month])),"m月")&amp;"発注)")</f>
        <v/>
      </c>
      <c r="DC1017">
        <f>IF(SUMIFS(T_PlannedOrders[EffectiveQty],T_PlannedOrders[Part Name],$A953,T_PlannedOrders[WeekIndex],104)=0,"",SUMIFS(T_PlannedOrders[EffectiveQty],T_PlannedOrders[Part Name],$A953,T_PlannedOrders[WeekIndex],104)&amp;" ("&amp;TEXT(SUMPRODUCT(MAX((T_PlannedOrders[Part Name]=$A953)*(T_PlannedOrders[WeekIndex]=104)*(T_PlannedOrders[EffectiveQty]&gt;0)*T_PlannedOrders[Order_Month])),"m月")&amp;"発注)")</f>
        <v/>
      </c>
    </row>
    <row r="1018">
      <c r="B1018" s="5" t="inlineStr">
        <is>
          <t>合計在庫(週末時点,kg)</t>
        </is>
      </c>
      <c r="D1018">
        <f>'Grid_Stock'!B43</f>
        <v/>
      </c>
      <c r="E1018">
        <f>'Grid_Stock'!C43</f>
        <v/>
      </c>
      <c r="F1018">
        <f>'Grid_Stock'!D43</f>
        <v/>
      </c>
      <c r="G1018">
        <f>'Grid_Stock'!E43</f>
        <v/>
      </c>
      <c r="H1018">
        <f>'Grid_Stock'!F43</f>
        <v/>
      </c>
      <c r="I1018">
        <f>'Grid_Stock'!G43</f>
        <v/>
      </c>
      <c r="J1018">
        <f>'Grid_Stock'!H43</f>
        <v/>
      </c>
      <c r="K1018">
        <f>'Grid_Stock'!I43</f>
        <v/>
      </c>
      <c r="L1018">
        <f>'Grid_Stock'!J43</f>
        <v/>
      </c>
      <c r="M1018">
        <f>'Grid_Stock'!K43</f>
        <v/>
      </c>
      <c r="N1018">
        <f>'Grid_Stock'!L43</f>
        <v/>
      </c>
      <c r="O1018">
        <f>'Grid_Stock'!M43</f>
        <v/>
      </c>
      <c r="P1018">
        <f>'Grid_Stock'!N43</f>
        <v/>
      </c>
      <c r="Q1018">
        <f>'Grid_Stock'!O43</f>
        <v/>
      </c>
      <c r="R1018">
        <f>'Grid_Stock'!P43</f>
        <v/>
      </c>
      <c r="S1018">
        <f>'Grid_Stock'!Q43</f>
        <v/>
      </c>
      <c r="T1018">
        <f>'Grid_Stock'!R43</f>
        <v/>
      </c>
      <c r="U1018">
        <f>'Grid_Stock'!S43</f>
        <v/>
      </c>
      <c r="V1018">
        <f>'Grid_Stock'!T43</f>
        <v/>
      </c>
      <c r="W1018">
        <f>'Grid_Stock'!U43</f>
        <v/>
      </c>
      <c r="X1018">
        <f>'Grid_Stock'!V43</f>
        <v/>
      </c>
      <c r="Y1018">
        <f>'Grid_Stock'!W43</f>
        <v/>
      </c>
      <c r="Z1018">
        <f>'Grid_Stock'!X43</f>
        <v/>
      </c>
      <c r="AA1018">
        <f>'Grid_Stock'!Y43</f>
        <v/>
      </c>
      <c r="AB1018">
        <f>'Grid_Stock'!Z43</f>
        <v/>
      </c>
      <c r="AC1018">
        <f>'Grid_Stock'!AA43</f>
        <v/>
      </c>
      <c r="AD1018">
        <f>'Grid_Stock'!AB43</f>
        <v/>
      </c>
      <c r="AE1018">
        <f>'Grid_Stock'!AC43</f>
        <v/>
      </c>
      <c r="AF1018">
        <f>'Grid_Stock'!AD43</f>
        <v/>
      </c>
      <c r="AG1018">
        <f>'Grid_Stock'!AE43</f>
        <v/>
      </c>
      <c r="AH1018">
        <f>'Grid_Stock'!AF43</f>
        <v/>
      </c>
      <c r="AI1018">
        <f>'Grid_Stock'!AG43</f>
        <v/>
      </c>
      <c r="AJ1018">
        <f>'Grid_Stock'!AH43</f>
        <v/>
      </c>
      <c r="AK1018">
        <f>'Grid_Stock'!AI43</f>
        <v/>
      </c>
      <c r="AL1018">
        <f>'Grid_Stock'!AJ43</f>
        <v/>
      </c>
      <c r="AM1018">
        <f>'Grid_Stock'!AK43</f>
        <v/>
      </c>
      <c r="AN1018">
        <f>'Grid_Stock'!AL43</f>
        <v/>
      </c>
      <c r="AO1018">
        <f>'Grid_Stock'!AM43</f>
        <v/>
      </c>
      <c r="AP1018">
        <f>'Grid_Stock'!AN43</f>
        <v/>
      </c>
      <c r="AQ1018">
        <f>'Grid_Stock'!AO43</f>
        <v/>
      </c>
      <c r="AR1018">
        <f>'Grid_Stock'!AP43</f>
        <v/>
      </c>
      <c r="AS1018">
        <f>'Grid_Stock'!AQ43</f>
        <v/>
      </c>
      <c r="AT1018">
        <f>'Grid_Stock'!AR43</f>
        <v/>
      </c>
      <c r="AU1018">
        <f>'Grid_Stock'!AS43</f>
        <v/>
      </c>
      <c r="AV1018">
        <f>'Grid_Stock'!AT43</f>
        <v/>
      </c>
      <c r="AW1018">
        <f>'Grid_Stock'!AU43</f>
        <v/>
      </c>
      <c r="AX1018">
        <f>'Grid_Stock'!AV43</f>
        <v/>
      </c>
      <c r="AY1018">
        <f>'Grid_Stock'!AW43</f>
        <v/>
      </c>
      <c r="AZ1018">
        <f>'Grid_Stock'!AX43</f>
        <v/>
      </c>
      <c r="BA1018">
        <f>'Grid_Stock'!AY43</f>
        <v/>
      </c>
      <c r="BB1018">
        <f>'Grid_Stock'!AZ43</f>
        <v/>
      </c>
      <c r="BC1018">
        <f>'Grid_Stock'!BA43</f>
        <v/>
      </c>
      <c r="BD1018">
        <f>'Grid_Stock'!BB43</f>
        <v/>
      </c>
      <c r="BE1018">
        <f>'Grid_Stock'!BC43</f>
        <v/>
      </c>
      <c r="BF1018">
        <f>'Grid_Stock'!BD43</f>
        <v/>
      </c>
      <c r="BG1018">
        <f>'Grid_Stock'!BE43</f>
        <v/>
      </c>
      <c r="BH1018">
        <f>'Grid_Stock'!BF43</f>
        <v/>
      </c>
      <c r="BI1018">
        <f>'Grid_Stock'!BG43</f>
        <v/>
      </c>
      <c r="BJ1018">
        <f>'Grid_Stock'!BH43</f>
        <v/>
      </c>
      <c r="BK1018">
        <f>'Grid_Stock'!BI43</f>
        <v/>
      </c>
      <c r="BL1018">
        <f>'Grid_Stock'!BJ43</f>
        <v/>
      </c>
      <c r="BM1018">
        <f>'Grid_Stock'!BK43</f>
        <v/>
      </c>
      <c r="BN1018">
        <f>'Grid_Stock'!BL43</f>
        <v/>
      </c>
      <c r="BO1018">
        <f>'Grid_Stock'!BM43</f>
        <v/>
      </c>
      <c r="BP1018">
        <f>'Grid_Stock'!BN43</f>
        <v/>
      </c>
      <c r="BQ1018">
        <f>'Grid_Stock'!BO43</f>
        <v/>
      </c>
      <c r="BR1018">
        <f>'Grid_Stock'!BP43</f>
        <v/>
      </c>
      <c r="BS1018">
        <f>'Grid_Stock'!BQ43</f>
        <v/>
      </c>
      <c r="BT1018">
        <f>'Grid_Stock'!BR43</f>
        <v/>
      </c>
      <c r="BU1018">
        <f>'Grid_Stock'!BS43</f>
        <v/>
      </c>
      <c r="BV1018">
        <f>'Grid_Stock'!BT43</f>
        <v/>
      </c>
      <c r="BW1018">
        <f>'Grid_Stock'!BU43</f>
        <v/>
      </c>
      <c r="BX1018">
        <f>'Grid_Stock'!BV43</f>
        <v/>
      </c>
      <c r="BY1018">
        <f>'Grid_Stock'!BW43</f>
        <v/>
      </c>
      <c r="BZ1018">
        <f>'Grid_Stock'!BX43</f>
        <v/>
      </c>
      <c r="CA1018">
        <f>'Grid_Stock'!BY43</f>
        <v/>
      </c>
      <c r="CB1018">
        <f>'Grid_Stock'!BZ43</f>
        <v/>
      </c>
      <c r="CC1018">
        <f>'Grid_Stock'!CA43</f>
        <v/>
      </c>
      <c r="CD1018">
        <f>'Grid_Stock'!CB43</f>
        <v/>
      </c>
      <c r="CE1018">
        <f>'Grid_Stock'!CC43</f>
        <v/>
      </c>
      <c r="CF1018">
        <f>'Grid_Stock'!CD43</f>
        <v/>
      </c>
      <c r="CG1018">
        <f>'Grid_Stock'!CE43</f>
        <v/>
      </c>
      <c r="CH1018">
        <f>'Grid_Stock'!CF43</f>
        <v/>
      </c>
      <c r="CI1018">
        <f>'Grid_Stock'!CG43</f>
        <v/>
      </c>
      <c r="CJ1018">
        <f>'Grid_Stock'!CH43</f>
        <v/>
      </c>
      <c r="CK1018">
        <f>'Grid_Stock'!CI43</f>
        <v/>
      </c>
      <c r="CL1018">
        <f>'Grid_Stock'!CJ43</f>
        <v/>
      </c>
      <c r="CM1018">
        <f>'Grid_Stock'!CK43</f>
        <v/>
      </c>
      <c r="CN1018">
        <f>'Grid_Stock'!CL43</f>
        <v/>
      </c>
      <c r="CO1018">
        <f>'Grid_Stock'!CM43</f>
        <v/>
      </c>
      <c r="CP1018">
        <f>'Grid_Stock'!CN43</f>
        <v/>
      </c>
      <c r="CQ1018">
        <f>'Grid_Stock'!CO43</f>
        <v/>
      </c>
      <c r="CR1018">
        <f>'Grid_Stock'!CP43</f>
        <v/>
      </c>
      <c r="CS1018">
        <f>'Grid_Stock'!CQ43</f>
        <v/>
      </c>
      <c r="CT1018">
        <f>'Grid_Stock'!CR43</f>
        <v/>
      </c>
      <c r="CU1018">
        <f>'Grid_Stock'!CS43</f>
        <v/>
      </c>
      <c r="CV1018">
        <f>'Grid_Stock'!CT43</f>
        <v/>
      </c>
      <c r="CW1018">
        <f>'Grid_Stock'!CU43</f>
        <v/>
      </c>
      <c r="CX1018">
        <f>'Grid_Stock'!CV43</f>
        <v/>
      </c>
      <c r="CY1018">
        <f>'Grid_Stock'!CW43</f>
        <v/>
      </c>
      <c r="CZ1018">
        <f>'Grid_Stock'!CX43</f>
        <v/>
      </c>
      <c r="DA1018">
        <f>'Grid_Stock'!CY43</f>
        <v/>
      </c>
      <c r="DB1018">
        <f>'Grid_Stock'!CZ43</f>
        <v/>
      </c>
      <c r="DC1018">
        <f>'Grid_Stock'!DA43</f>
        <v/>
      </c>
    </row>
    <row r="1019">
      <c r="B1019" s="23" t="inlineStr">
        <is>
          <t>（発注の目安はDashboardの基準在庫[下限/上限]と色分けを参照）</t>
        </is>
      </c>
    </row>
    <row r="1021">
      <c r="A1021" s="21" t="inlineStr">
        <is>
          <t>CHEM-1450</t>
        </is>
      </c>
      <c r="B1021" s="21" t="inlineStr">
        <is>
          <t>Noptechs</t>
        </is>
      </c>
      <c r="C1021" s="22" t="n"/>
      <c r="D1021" s="21" t="n"/>
      <c r="E1021" s="21" t="n"/>
      <c r="F1021" s="21" t="n"/>
      <c r="G1021" s="21" t="n"/>
      <c r="H1021" s="21" t="n"/>
      <c r="I1021" s="21" t="n"/>
      <c r="J1021" s="21" t="n"/>
      <c r="K1021" s="21" t="n"/>
      <c r="L1021" s="21" t="n"/>
      <c r="M1021" s="21" t="n"/>
      <c r="N1021" s="21" t="n"/>
      <c r="O1021" s="21" t="n"/>
      <c r="P1021" s="21" t="n"/>
      <c r="Q1021" s="21" t="n"/>
      <c r="R1021" s="21" t="n"/>
      <c r="S1021" s="21" t="n"/>
      <c r="T1021" s="21" t="n"/>
      <c r="U1021" s="21" t="n"/>
      <c r="V1021" s="21" t="n"/>
      <c r="W1021" s="21" t="n"/>
      <c r="X1021" s="21" t="n"/>
      <c r="Y1021" s="21" t="n"/>
      <c r="Z1021" s="21" t="n"/>
      <c r="AA1021" s="21" t="n"/>
      <c r="AB1021" s="21" t="n"/>
      <c r="AC1021" s="21" t="n"/>
      <c r="AD1021" s="21" t="n"/>
      <c r="AE1021" s="21" t="n"/>
      <c r="AF1021" s="21" t="n"/>
      <c r="AG1021" s="21" t="n"/>
      <c r="AH1021" s="21" t="n"/>
      <c r="AI1021" s="21" t="n"/>
      <c r="AJ1021" s="21" t="n"/>
      <c r="AK1021" s="21" t="n"/>
      <c r="AL1021" s="21" t="n"/>
      <c r="AM1021" s="21" t="n"/>
      <c r="AN1021" s="21" t="n"/>
      <c r="AO1021" s="21" t="n"/>
      <c r="AP1021" s="21" t="n"/>
      <c r="AQ1021" s="21" t="n"/>
      <c r="AR1021" s="21" t="n"/>
      <c r="AS1021" s="21" t="n"/>
      <c r="AT1021" s="21" t="n"/>
      <c r="AU1021" s="21" t="n"/>
      <c r="AV1021" s="21" t="n"/>
      <c r="AW1021" s="21" t="n"/>
      <c r="AX1021" s="21" t="n"/>
      <c r="AY1021" s="21" t="n"/>
      <c r="AZ1021" s="21" t="n"/>
      <c r="BA1021" s="21" t="n"/>
      <c r="BB1021" s="21" t="n"/>
      <c r="BC1021" s="21" t="n"/>
      <c r="BD1021" s="21" t="n"/>
      <c r="BE1021" s="21" t="n"/>
      <c r="BF1021" s="21" t="n"/>
      <c r="BG1021" s="21" t="n"/>
      <c r="BH1021" s="21" t="n"/>
      <c r="BI1021" s="21" t="n"/>
      <c r="BJ1021" s="21" t="n"/>
      <c r="BK1021" s="21" t="n"/>
      <c r="BL1021" s="21" t="n"/>
      <c r="BM1021" s="21" t="n"/>
      <c r="BN1021" s="21" t="n"/>
      <c r="BO1021" s="21" t="n"/>
      <c r="BP1021" s="21" t="n"/>
      <c r="BQ1021" s="21" t="n"/>
      <c r="BR1021" s="21" t="n"/>
      <c r="BS1021" s="21" t="n"/>
      <c r="BT1021" s="21" t="n"/>
      <c r="BU1021" s="21" t="n"/>
      <c r="BV1021" s="21" t="n"/>
      <c r="BW1021" s="21" t="n"/>
      <c r="BX1021" s="21" t="n"/>
      <c r="BY1021" s="21" t="n"/>
      <c r="BZ1021" s="21" t="n"/>
      <c r="CA1021" s="21" t="n"/>
      <c r="CB1021" s="21" t="n"/>
      <c r="CC1021" s="21" t="n"/>
      <c r="CD1021" s="21" t="n"/>
      <c r="CE1021" s="21" t="n"/>
      <c r="CF1021" s="21" t="n"/>
      <c r="CG1021" s="21" t="n"/>
      <c r="CH1021" s="21" t="n"/>
      <c r="CI1021" s="21" t="n"/>
      <c r="CJ1021" s="21" t="n"/>
      <c r="CK1021" s="21" t="n"/>
      <c r="CL1021" s="21" t="n"/>
      <c r="CM1021" s="21" t="n"/>
      <c r="CN1021" s="21" t="n"/>
      <c r="CO1021" s="21" t="n"/>
      <c r="CP1021" s="21" t="n"/>
      <c r="CQ1021" s="21" t="n"/>
      <c r="CR1021" s="21" t="n"/>
      <c r="CS1021" s="21" t="n"/>
      <c r="CT1021" s="21" t="n"/>
      <c r="CU1021" s="21" t="n"/>
      <c r="CV1021" s="21" t="n"/>
      <c r="CW1021" s="21" t="n"/>
      <c r="CX1021" s="21" t="n"/>
      <c r="CY1021" s="21" t="n"/>
      <c r="CZ1021" s="21" t="n"/>
      <c r="DA1021" s="21" t="n"/>
      <c r="DB1021" s="21" t="n"/>
      <c r="DC1021" s="21" t="n"/>
    </row>
    <row r="1022">
      <c r="B1022" t="inlineStr">
        <is>
          <t>TSP-225</t>
        </is>
      </c>
      <c r="C1022" t="inlineStr">
        <is>
          <t>No. of batches</t>
        </is>
      </c>
      <c r="D1022">
        <f>IFERROR(INDEX(PP_Grid[#Data],$DD1022,2),0)</f>
        <v/>
      </c>
      <c r="E1022">
        <f>IFERROR(INDEX(PP_Grid[#Data],$DD1022,3),0)</f>
        <v/>
      </c>
      <c r="F1022">
        <f>IFERROR(INDEX(PP_Grid[#Data],$DD1022,4),0)</f>
        <v/>
      </c>
      <c r="G1022">
        <f>IFERROR(INDEX(PP_Grid[#Data],$DD1022,5),0)</f>
        <v/>
      </c>
      <c r="H1022">
        <f>IFERROR(INDEX(PP_Grid[#Data],$DD1022,6),0)</f>
        <v/>
      </c>
      <c r="I1022">
        <f>IFERROR(INDEX(PP_Grid[#Data],$DD1022,7),0)</f>
        <v/>
      </c>
      <c r="J1022">
        <f>IFERROR(INDEX(PP_Grid[#Data],$DD1022,8),0)</f>
        <v/>
      </c>
      <c r="K1022">
        <f>IFERROR(INDEX(PP_Grid[#Data],$DD1022,9),0)</f>
        <v/>
      </c>
      <c r="L1022">
        <f>IFERROR(INDEX(PP_Grid[#Data],$DD1022,10),0)</f>
        <v/>
      </c>
      <c r="M1022">
        <f>IFERROR(INDEX(PP_Grid[#Data],$DD1022,11),0)</f>
        <v/>
      </c>
      <c r="N1022">
        <f>IFERROR(INDEX(PP_Grid[#Data],$DD1022,12),0)</f>
        <v/>
      </c>
      <c r="O1022">
        <f>IFERROR(INDEX(PP_Grid[#Data],$DD1022,13),0)</f>
        <v/>
      </c>
      <c r="P1022">
        <f>IFERROR(INDEX(PP_Grid[#Data],$DD1022,14),0)</f>
        <v/>
      </c>
      <c r="Q1022">
        <f>IFERROR(INDEX(PP_Grid[#Data],$DD1022,15),0)</f>
        <v/>
      </c>
      <c r="R1022">
        <f>IFERROR(INDEX(PP_Grid[#Data],$DD1022,16),0)</f>
        <v/>
      </c>
      <c r="S1022">
        <f>IFERROR(INDEX(PP_Grid[#Data],$DD1022,17),0)</f>
        <v/>
      </c>
      <c r="T1022">
        <f>IFERROR(INDEX(PP_Grid[#Data],$DD1022,18),0)</f>
        <v/>
      </c>
      <c r="U1022">
        <f>IFERROR(INDEX(PP_Grid[#Data],$DD1022,19),0)</f>
        <v/>
      </c>
      <c r="V1022">
        <f>IFERROR(INDEX(PP_Grid[#Data],$DD1022,20),0)</f>
        <v/>
      </c>
      <c r="W1022">
        <f>IFERROR(INDEX(PP_Grid[#Data],$DD1022,21),0)</f>
        <v/>
      </c>
      <c r="X1022">
        <f>IFERROR(INDEX(PP_Grid[#Data],$DD1022,22),0)</f>
        <v/>
      </c>
      <c r="Y1022">
        <f>IFERROR(INDEX(PP_Grid[#Data],$DD1022,23),0)</f>
        <v/>
      </c>
      <c r="Z1022">
        <f>IFERROR(INDEX(PP_Grid[#Data],$DD1022,24),0)</f>
        <v/>
      </c>
      <c r="AA1022">
        <f>IFERROR(INDEX(PP_Grid[#Data],$DD1022,25),0)</f>
        <v/>
      </c>
      <c r="AB1022">
        <f>IFERROR(INDEX(PP_Grid[#Data],$DD1022,26),0)</f>
        <v/>
      </c>
      <c r="AC1022">
        <f>IFERROR(INDEX(PP_Grid[#Data],$DD1022,27),0)</f>
        <v/>
      </c>
      <c r="AD1022">
        <f>IFERROR(INDEX(PP_Grid[#Data],$DD1022,28),0)</f>
        <v/>
      </c>
      <c r="AE1022">
        <f>IFERROR(INDEX(PP_Grid[#Data],$DD1022,29),0)</f>
        <v/>
      </c>
      <c r="AF1022">
        <f>IFERROR(INDEX(PP_Grid[#Data],$DD1022,30),0)</f>
        <v/>
      </c>
      <c r="AG1022">
        <f>IFERROR(INDEX(PP_Grid[#Data],$DD1022,31),0)</f>
        <v/>
      </c>
      <c r="AH1022">
        <f>IFERROR(INDEX(PP_Grid[#Data],$DD1022,32),0)</f>
        <v/>
      </c>
      <c r="AI1022">
        <f>IFERROR(INDEX(PP_Grid[#Data],$DD1022,33),0)</f>
        <v/>
      </c>
      <c r="AJ1022">
        <f>IFERROR(INDEX(PP_Grid[#Data],$DD1022,34),0)</f>
        <v/>
      </c>
      <c r="AK1022">
        <f>IFERROR(INDEX(PP_Grid[#Data],$DD1022,35),0)</f>
        <v/>
      </c>
      <c r="AL1022">
        <f>IFERROR(INDEX(PP_Grid[#Data],$DD1022,36),0)</f>
        <v/>
      </c>
      <c r="AM1022">
        <f>IFERROR(INDEX(PP_Grid[#Data],$DD1022,37),0)</f>
        <v/>
      </c>
      <c r="AN1022">
        <f>IFERROR(INDEX(PP_Grid[#Data],$DD1022,38),0)</f>
        <v/>
      </c>
      <c r="AO1022">
        <f>IFERROR(INDEX(PP_Grid[#Data],$DD1022,39),0)</f>
        <v/>
      </c>
      <c r="AP1022">
        <f>IFERROR(INDEX(PP_Grid[#Data],$DD1022,40),0)</f>
        <v/>
      </c>
      <c r="AQ1022">
        <f>IFERROR(INDEX(PP_Grid[#Data],$DD1022,41),0)</f>
        <v/>
      </c>
      <c r="AR1022">
        <f>IFERROR(INDEX(PP_Grid[#Data],$DD1022,42),0)</f>
        <v/>
      </c>
      <c r="AS1022">
        <f>IFERROR(INDEX(PP_Grid[#Data],$DD1022,43),0)</f>
        <v/>
      </c>
      <c r="AT1022">
        <f>IFERROR(INDEX(PP_Grid[#Data],$DD1022,44),0)</f>
        <v/>
      </c>
      <c r="AU1022">
        <f>IFERROR(INDEX(PP_Grid[#Data],$DD1022,45),0)</f>
        <v/>
      </c>
      <c r="AV1022">
        <f>IFERROR(INDEX(PP_Grid[#Data],$DD1022,46),0)</f>
        <v/>
      </c>
      <c r="AW1022">
        <f>IFERROR(INDEX(PP_Grid[#Data],$DD1022,47),0)</f>
        <v/>
      </c>
      <c r="AX1022">
        <f>IFERROR(INDEX(PP_Grid[#Data],$DD1022,48),0)</f>
        <v/>
      </c>
      <c r="AY1022">
        <f>IFERROR(INDEX(PP_Grid[#Data],$DD1022,49),0)</f>
        <v/>
      </c>
      <c r="AZ1022">
        <f>IFERROR(INDEX(PP_Grid[#Data],$DD1022,50),0)</f>
        <v/>
      </c>
      <c r="BA1022">
        <f>IFERROR(INDEX(PP_Grid[#Data],$DD1022,51),0)</f>
        <v/>
      </c>
      <c r="BB1022">
        <f>IFERROR(INDEX(PP_Grid[#Data],$DD1022,52),0)</f>
        <v/>
      </c>
      <c r="BC1022">
        <f>IFERROR(INDEX(PP_Grid[#Data],$DD1022,53),0)</f>
        <v/>
      </c>
      <c r="BD1022">
        <f>IFERROR(INDEX(PP_Grid[#Data],$DD1022,54),0)</f>
        <v/>
      </c>
      <c r="BE1022">
        <f>IFERROR(INDEX(PP_Grid[#Data],$DD1022,55),0)</f>
        <v/>
      </c>
      <c r="BF1022">
        <f>IFERROR(INDEX(PP_Grid[#Data],$DD1022,56),0)</f>
        <v/>
      </c>
      <c r="BG1022">
        <f>IFERROR(INDEX(PP_Grid[#Data],$DD1022,57),0)</f>
        <v/>
      </c>
      <c r="BH1022">
        <f>IFERROR(INDEX(PP_Grid[#Data],$DD1022,58),0)</f>
        <v/>
      </c>
      <c r="BI1022">
        <f>IFERROR(INDEX(PP_Grid[#Data],$DD1022,59),0)</f>
        <v/>
      </c>
      <c r="BJ1022">
        <f>IFERROR(INDEX(PP_Grid[#Data],$DD1022,60),0)</f>
        <v/>
      </c>
      <c r="BK1022">
        <f>IFERROR(INDEX(PP_Grid[#Data],$DD1022,61),0)</f>
        <v/>
      </c>
      <c r="BL1022">
        <f>IFERROR(INDEX(PP_Grid[#Data],$DD1022,62),0)</f>
        <v/>
      </c>
      <c r="BM1022">
        <f>IFERROR(INDEX(PP_Grid[#Data],$DD1022,63),0)</f>
        <v/>
      </c>
      <c r="BN1022">
        <f>IFERROR(INDEX(PP_Grid[#Data],$DD1022,64),0)</f>
        <v/>
      </c>
      <c r="BO1022">
        <f>IFERROR(INDEX(PP_Grid[#Data],$DD1022,65),0)</f>
        <v/>
      </c>
      <c r="BP1022">
        <f>IFERROR(INDEX(PP_Grid[#Data],$DD1022,66),0)</f>
        <v/>
      </c>
      <c r="BQ1022">
        <f>IFERROR(INDEX(PP_Grid[#Data],$DD1022,67),0)</f>
        <v/>
      </c>
      <c r="BR1022">
        <f>IFERROR(INDEX(PP_Grid[#Data],$DD1022,68),0)</f>
        <v/>
      </c>
      <c r="BS1022">
        <f>IFERROR(INDEX(PP_Grid[#Data],$DD1022,69),0)</f>
        <v/>
      </c>
      <c r="BT1022">
        <f>IFERROR(INDEX(PP_Grid[#Data],$DD1022,70),0)</f>
        <v/>
      </c>
      <c r="BU1022">
        <f>IFERROR(INDEX(PP_Grid[#Data],$DD1022,71),0)</f>
        <v/>
      </c>
      <c r="BV1022">
        <f>IFERROR(INDEX(PP_Grid[#Data],$DD1022,72),0)</f>
        <v/>
      </c>
      <c r="BW1022">
        <f>IFERROR(INDEX(PP_Grid[#Data],$DD1022,73),0)</f>
        <v/>
      </c>
      <c r="BX1022">
        <f>IFERROR(INDEX(PP_Grid[#Data],$DD1022,74),0)</f>
        <v/>
      </c>
      <c r="BY1022">
        <f>IFERROR(INDEX(PP_Grid[#Data],$DD1022,75),0)</f>
        <v/>
      </c>
      <c r="BZ1022">
        <f>IFERROR(INDEX(PP_Grid[#Data],$DD1022,76),0)</f>
        <v/>
      </c>
      <c r="CA1022">
        <f>IFERROR(INDEX(PP_Grid[#Data],$DD1022,77),0)</f>
        <v/>
      </c>
      <c r="CB1022">
        <f>IFERROR(INDEX(PP_Grid[#Data],$DD1022,78),0)</f>
        <v/>
      </c>
      <c r="CC1022">
        <f>IFERROR(INDEX(PP_Grid[#Data],$DD1022,79),0)</f>
        <v/>
      </c>
      <c r="CD1022">
        <f>IFERROR(INDEX(PP_Grid[#Data],$DD1022,80),0)</f>
        <v/>
      </c>
      <c r="CE1022">
        <f>IFERROR(INDEX(PP_Grid[#Data],$DD1022,81),0)</f>
        <v/>
      </c>
      <c r="CF1022">
        <f>IFERROR(INDEX(PP_Grid[#Data],$DD1022,82),0)</f>
        <v/>
      </c>
      <c r="CG1022">
        <f>IFERROR(INDEX(PP_Grid[#Data],$DD1022,83),0)</f>
        <v/>
      </c>
      <c r="CH1022">
        <f>IFERROR(INDEX(PP_Grid[#Data],$DD1022,84),0)</f>
        <v/>
      </c>
      <c r="CI1022">
        <f>IFERROR(INDEX(PP_Grid[#Data],$DD1022,85),0)</f>
        <v/>
      </c>
      <c r="CJ1022">
        <f>IFERROR(INDEX(PP_Grid[#Data],$DD1022,86),0)</f>
        <v/>
      </c>
      <c r="CK1022">
        <f>IFERROR(INDEX(PP_Grid[#Data],$DD1022,87),0)</f>
        <v/>
      </c>
      <c r="CL1022">
        <f>IFERROR(INDEX(PP_Grid[#Data],$DD1022,88),0)</f>
        <v/>
      </c>
      <c r="CM1022">
        <f>IFERROR(INDEX(PP_Grid[#Data],$DD1022,89),0)</f>
        <v/>
      </c>
      <c r="CN1022">
        <f>IFERROR(INDEX(PP_Grid[#Data],$DD1022,90),0)</f>
        <v/>
      </c>
      <c r="CO1022">
        <f>IFERROR(INDEX(PP_Grid[#Data],$DD1022,91),0)</f>
        <v/>
      </c>
      <c r="CP1022">
        <f>IFERROR(INDEX(PP_Grid[#Data],$DD1022,92),0)</f>
        <v/>
      </c>
      <c r="CQ1022">
        <f>IFERROR(INDEX(PP_Grid[#Data],$DD1022,93),0)</f>
        <v/>
      </c>
      <c r="CR1022">
        <f>IFERROR(INDEX(PP_Grid[#Data],$DD1022,94),0)</f>
        <v/>
      </c>
      <c r="CS1022">
        <f>IFERROR(INDEX(PP_Grid[#Data],$DD1022,95),0)</f>
        <v/>
      </c>
      <c r="CT1022">
        <f>IFERROR(INDEX(PP_Grid[#Data],$DD1022,96),0)</f>
        <v/>
      </c>
      <c r="CU1022">
        <f>IFERROR(INDEX(PP_Grid[#Data],$DD1022,97),0)</f>
        <v/>
      </c>
      <c r="CV1022">
        <f>IFERROR(INDEX(PP_Grid[#Data],$DD1022,98),0)</f>
        <v/>
      </c>
      <c r="CW1022">
        <f>IFERROR(INDEX(PP_Grid[#Data],$DD1022,99),0)</f>
        <v/>
      </c>
      <c r="CX1022">
        <f>IFERROR(INDEX(PP_Grid[#Data],$DD1022,100),0)</f>
        <v/>
      </c>
      <c r="CY1022">
        <f>IFERROR(INDEX(PP_Grid[#Data],$DD1022,101),0)</f>
        <v/>
      </c>
      <c r="CZ1022">
        <f>IFERROR(INDEX(PP_Grid[#Data],$DD1022,102),0)</f>
        <v/>
      </c>
      <c r="DA1022">
        <f>IFERROR(INDEX(PP_Grid[#Data],$DD1022,103),0)</f>
        <v/>
      </c>
      <c r="DB1022">
        <f>IFERROR(INDEX(PP_Grid[#Data],$DD1022,104),0)</f>
        <v/>
      </c>
      <c r="DC1022">
        <f>IFERROR(INDEX(PP_Grid[#Data],$DD1022,105),0)</f>
        <v/>
      </c>
      <c r="DD1022" s="12">
        <f>IFERROR(MATCH($B1022,PP_Grid[Intermediate],0),99999)</f>
        <v/>
      </c>
    </row>
    <row r="1023">
      <c r="B1023" t="inlineStr">
        <is>
          <t>使用量(kg)</t>
        </is>
      </c>
      <c r="C1023">
        <f>SUMIFS(M_BOM[RM_Qty_Per_Batch],M_BOM[Intermediate],$B1022,M_BOM[Part Name],$A1021)</f>
        <v/>
      </c>
      <c r="D1023">
        <f>$C1023*D1022</f>
        <v/>
      </c>
      <c r="E1023">
        <f>$C1023*E1022</f>
        <v/>
      </c>
      <c r="F1023">
        <f>$C1023*F1022</f>
        <v/>
      </c>
      <c r="G1023">
        <f>$C1023*G1022</f>
        <v/>
      </c>
      <c r="H1023">
        <f>$C1023*H1022</f>
        <v/>
      </c>
      <c r="I1023">
        <f>$C1023*I1022</f>
        <v/>
      </c>
      <c r="J1023">
        <f>$C1023*J1022</f>
        <v/>
      </c>
      <c r="K1023">
        <f>$C1023*K1022</f>
        <v/>
      </c>
      <c r="L1023">
        <f>$C1023*L1022</f>
        <v/>
      </c>
      <c r="M1023">
        <f>$C1023*M1022</f>
        <v/>
      </c>
      <c r="N1023">
        <f>$C1023*N1022</f>
        <v/>
      </c>
      <c r="O1023">
        <f>$C1023*O1022</f>
        <v/>
      </c>
      <c r="P1023">
        <f>$C1023*P1022</f>
        <v/>
      </c>
      <c r="Q1023">
        <f>$C1023*Q1022</f>
        <v/>
      </c>
      <c r="R1023">
        <f>$C1023*R1022</f>
        <v/>
      </c>
      <c r="S1023">
        <f>$C1023*S1022</f>
        <v/>
      </c>
      <c r="T1023">
        <f>$C1023*T1022</f>
        <v/>
      </c>
      <c r="U1023">
        <f>$C1023*U1022</f>
        <v/>
      </c>
      <c r="V1023">
        <f>$C1023*V1022</f>
        <v/>
      </c>
      <c r="W1023">
        <f>$C1023*W1022</f>
        <v/>
      </c>
      <c r="X1023">
        <f>$C1023*X1022</f>
        <v/>
      </c>
      <c r="Y1023">
        <f>$C1023*Y1022</f>
        <v/>
      </c>
      <c r="Z1023">
        <f>$C1023*Z1022</f>
        <v/>
      </c>
      <c r="AA1023">
        <f>$C1023*AA1022</f>
        <v/>
      </c>
      <c r="AB1023">
        <f>$C1023*AB1022</f>
        <v/>
      </c>
      <c r="AC1023">
        <f>$C1023*AC1022</f>
        <v/>
      </c>
      <c r="AD1023">
        <f>$C1023*AD1022</f>
        <v/>
      </c>
      <c r="AE1023">
        <f>$C1023*AE1022</f>
        <v/>
      </c>
      <c r="AF1023">
        <f>$C1023*AF1022</f>
        <v/>
      </c>
      <c r="AG1023">
        <f>$C1023*AG1022</f>
        <v/>
      </c>
      <c r="AH1023">
        <f>$C1023*AH1022</f>
        <v/>
      </c>
      <c r="AI1023">
        <f>$C1023*AI1022</f>
        <v/>
      </c>
      <c r="AJ1023">
        <f>$C1023*AJ1022</f>
        <v/>
      </c>
      <c r="AK1023">
        <f>$C1023*AK1022</f>
        <v/>
      </c>
      <c r="AL1023">
        <f>$C1023*AL1022</f>
        <v/>
      </c>
      <c r="AM1023">
        <f>$C1023*AM1022</f>
        <v/>
      </c>
      <c r="AN1023">
        <f>$C1023*AN1022</f>
        <v/>
      </c>
      <c r="AO1023">
        <f>$C1023*AO1022</f>
        <v/>
      </c>
      <c r="AP1023">
        <f>$C1023*AP1022</f>
        <v/>
      </c>
      <c r="AQ1023">
        <f>$C1023*AQ1022</f>
        <v/>
      </c>
      <c r="AR1023">
        <f>$C1023*AR1022</f>
        <v/>
      </c>
      <c r="AS1023">
        <f>$C1023*AS1022</f>
        <v/>
      </c>
      <c r="AT1023">
        <f>$C1023*AT1022</f>
        <v/>
      </c>
      <c r="AU1023">
        <f>$C1023*AU1022</f>
        <v/>
      </c>
      <c r="AV1023">
        <f>$C1023*AV1022</f>
        <v/>
      </c>
      <c r="AW1023">
        <f>$C1023*AW1022</f>
        <v/>
      </c>
      <c r="AX1023">
        <f>$C1023*AX1022</f>
        <v/>
      </c>
      <c r="AY1023">
        <f>$C1023*AY1022</f>
        <v/>
      </c>
      <c r="AZ1023">
        <f>$C1023*AZ1022</f>
        <v/>
      </c>
      <c r="BA1023">
        <f>$C1023*BA1022</f>
        <v/>
      </c>
      <c r="BB1023">
        <f>$C1023*BB1022</f>
        <v/>
      </c>
      <c r="BC1023">
        <f>$C1023*BC1022</f>
        <v/>
      </c>
      <c r="BD1023">
        <f>$C1023*BD1022</f>
        <v/>
      </c>
      <c r="BE1023">
        <f>$C1023*BE1022</f>
        <v/>
      </c>
      <c r="BF1023">
        <f>$C1023*BF1022</f>
        <v/>
      </c>
      <c r="BG1023">
        <f>$C1023*BG1022</f>
        <v/>
      </c>
      <c r="BH1023">
        <f>$C1023*BH1022</f>
        <v/>
      </c>
      <c r="BI1023">
        <f>$C1023*BI1022</f>
        <v/>
      </c>
      <c r="BJ1023">
        <f>$C1023*BJ1022</f>
        <v/>
      </c>
      <c r="BK1023">
        <f>$C1023*BK1022</f>
        <v/>
      </c>
      <c r="BL1023">
        <f>$C1023*BL1022</f>
        <v/>
      </c>
      <c r="BM1023">
        <f>$C1023*BM1022</f>
        <v/>
      </c>
      <c r="BN1023">
        <f>$C1023*BN1022</f>
        <v/>
      </c>
      <c r="BO1023">
        <f>$C1023*BO1022</f>
        <v/>
      </c>
      <c r="BP1023">
        <f>$C1023*BP1022</f>
        <v/>
      </c>
      <c r="BQ1023">
        <f>$C1023*BQ1022</f>
        <v/>
      </c>
      <c r="BR1023">
        <f>$C1023*BR1022</f>
        <v/>
      </c>
      <c r="BS1023">
        <f>$C1023*BS1022</f>
        <v/>
      </c>
      <c r="BT1023">
        <f>$C1023*BT1022</f>
        <v/>
      </c>
      <c r="BU1023">
        <f>$C1023*BU1022</f>
        <v/>
      </c>
      <c r="BV1023">
        <f>$C1023*BV1022</f>
        <v/>
      </c>
      <c r="BW1023">
        <f>$C1023*BW1022</f>
        <v/>
      </c>
      <c r="BX1023">
        <f>$C1023*BX1022</f>
        <v/>
      </c>
      <c r="BY1023">
        <f>$C1023*BY1022</f>
        <v/>
      </c>
      <c r="BZ1023">
        <f>$C1023*BZ1022</f>
        <v/>
      </c>
      <c r="CA1023">
        <f>$C1023*CA1022</f>
        <v/>
      </c>
      <c r="CB1023">
        <f>$C1023*CB1022</f>
        <v/>
      </c>
      <c r="CC1023">
        <f>$C1023*CC1022</f>
        <v/>
      </c>
      <c r="CD1023">
        <f>$C1023*CD1022</f>
        <v/>
      </c>
      <c r="CE1023">
        <f>$C1023*CE1022</f>
        <v/>
      </c>
      <c r="CF1023">
        <f>$C1023*CF1022</f>
        <v/>
      </c>
      <c r="CG1023">
        <f>$C1023*CG1022</f>
        <v/>
      </c>
      <c r="CH1023">
        <f>$C1023*CH1022</f>
        <v/>
      </c>
      <c r="CI1023">
        <f>$C1023*CI1022</f>
        <v/>
      </c>
      <c r="CJ1023">
        <f>$C1023*CJ1022</f>
        <v/>
      </c>
      <c r="CK1023">
        <f>$C1023*CK1022</f>
        <v/>
      </c>
      <c r="CL1023">
        <f>$C1023*CL1022</f>
        <v/>
      </c>
      <c r="CM1023">
        <f>$C1023*CM1022</f>
        <v/>
      </c>
      <c r="CN1023">
        <f>$C1023*CN1022</f>
        <v/>
      </c>
      <c r="CO1023">
        <f>$C1023*CO1022</f>
        <v/>
      </c>
      <c r="CP1023">
        <f>$C1023*CP1022</f>
        <v/>
      </c>
      <c r="CQ1023">
        <f>$C1023*CQ1022</f>
        <v/>
      </c>
      <c r="CR1023">
        <f>$C1023*CR1022</f>
        <v/>
      </c>
      <c r="CS1023">
        <f>$C1023*CS1022</f>
        <v/>
      </c>
      <c r="CT1023">
        <f>$C1023*CT1022</f>
        <v/>
      </c>
      <c r="CU1023">
        <f>$C1023*CU1022</f>
        <v/>
      </c>
      <c r="CV1023">
        <f>$C1023*CV1022</f>
        <v/>
      </c>
      <c r="CW1023">
        <f>$C1023*CW1022</f>
        <v/>
      </c>
      <c r="CX1023">
        <f>$C1023*CX1022</f>
        <v/>
      </c>
      <c r="CY1023">
        <f>$C1023*CY1022</f>
        <v/>
      </c>
      <c r="CZ1023">
        <f>$C1023*CZ1022</f>
        <v/>
      </c>
      <c r="DA1023">
        <f>$C1023*DA1022</f>
        <v/>
      </c>
      <c r="DB1023">
        <f>$C1023*DB1022</f>
        <v/>
      </c>
      <c r="DC1023">
        <f>$C1023*DC1022</f>
        <v/>
      </c>
    </row>
    <row r="1024">
      <c r="B1024" t="inlineStr">
        <is>
          <t>TSP-558</t>
        </is>
      </c>
      <c r="C1024" t="inlineStr">
        <is>
          <t>No. of batches</t>
        </is>
      </c>
      <c r="D1024">
        <f>IFERROR(INDEX(PP_Grid[#Data],$DD1024,2),0)</f>
        <v/>
      </c>
      <c r="E1024">
        <f>IFERROR(INDEX(PP_Grid[#Data],$DD1024,3),0)</f>
        <v/>
      </c>
      <c r="F1024">
        <f>IFERROR(INDEX(PP_Grid[#Data],$DD1024,4),0)</f>
        <v/>
      </c>
      <c r="G1024">
        <f>IFERROR(INDEX(PP_Grid[#Data],$DD1024,5),0)</f>
        <v/>
      </c>
      <c r="H1024">
        <f>IFERROR(INDEX(PP_Grid[#Data],$DD1024,6),0)</f>
        <v/>
      </c>
      <c r="I1024">
        <f>IFERROR(INDEX(PP_Grid[#Data],$DD1024,7),0)</f>
        <v/>
      </c>
      <c r="J1024">
        <f>IFERROR(INDEX(PP_Grid[#Data],$DD1024,8),0)</f>
        <v/>
      </c>
      <c r="K1024">
        <f>IFERROR(INDEX(PP_Grid[#Data],$DD1024,9),0)</f>
        <v/>
      </c>
      <c r="L1024">
        <f>IFERROR(INDEX(PP_Grid[#Data],$DD1024,10),0)</f>
        <v/>
      </c>
      <c r="M1024">
        <f>IFERROR(INDEX(PP_Grid[#Data],$DD1024,11),0)</f>
        <v/>
      </c>
      <c r="N1024">
        <f>IFERROR(INDEX(PP_Grid[#Data],$DD1024,12),0)</f>
        <v/>
      </c>
      <c r="O1024">
        <f>IFERROR(INDEX(PP_Grid[#Data],$DD1024,13),0)</f>
        <v/>
      </c>
      <c r="P1024">
        <f>IFERROR(INDEX(PP_Grid[#Data],$DD1024,14),0)</f>
        <v/>
      </c>
      <c r="Q1024">
        <f>IFERROR(INDEX(PP_Grid[#Data],$DD1024,15),0)</f>
        <v/>
      </c>
      <c r="R1024">
        <f>IFERROR(INDEX(PP_Grid[#Data],$DD1024,16),0)</f>
        <v/>
      </c>
      <c r="S1024">
        <f>IFERROR(INDEX(PP_Grid[#Data],$DD1024,17),0)</f>
        <v/>
      </c>
      <c r="T1024">
        <f>IFERROR(INDEX(PP_Grid[#Data],$DD1024,18),0)</f>
        <v/>
      </c>
      <c r="U1024">
        <f>IFERROR(INDEX(PP_Grid[#Data],$DD1024,19),0)</f>
        <v/>
      </c>
      <c r="V1024">
        <f>IFERROR(INDEX(PP_Grid[#Data],$DD1024,20),0)</f>
        <v/>
      </c>
      <c r="W1024">
        <f>IFERROR(INDEX(PP_Grid[#Data],$DD1024,21),0)</f>
        <v/>
      </c>
      <c r="X1024">
        <f>IFERROR(INDEX(PP_Grid[#Data],$DD1024,22),0)</f>
        <v/>
      </c>
      <c r="Y1024">
        <f>IFERROR(INDEX(PP_Grid[#Data],$DD1024,23),0)</f>
        <v/>
      </c>
      <c r="Z1024">
        <f>IFERROR(INDEX(PP_Grid[#Data],$DD1024,24),0)</f>
        <v/>
      </c>
      <c r="AA1024">
        <f>IFERROR(INDEX(PP_Grid[#Data],$DD1024,25),0)</f>
        <v/>
      </c>
      <c r="AB1024">
        <f>IFERROR(INDEX(PP_Grid[#Data],$DD1024,26),0)</f>
        <v/>
      </c>
      <c r="AC1024">
        <f>IFERROR(INDEX(PP_Grid[#Data],$DD1024,27),0)</f>
        <v/>
      </c>
      <c r="AD1024">
        <f>IFERROR(INDEX(PP_Grid[#Data],$DD1024,28),0)</f>
        <v/>
      </c>
      <c r="AE1024">
        <f>IFERROR(INDEX(PP_Grid[#Data],$DD1024,29),0)</f>
        <v/>
      </c>
      <c r="AF1024">
        <f>IFERROR(INDEX(PP_Grid[#Data],$DD1024,30),0)</f>
        <v/>
      </c>
      <c r="AG1024">
        <f>IFERROR(INDEX(PP_Grid[#Data],$DD1024,31),0)</f>
        <v/>
      </c>
      <c r="AH1024">
        <f>IFERROR(INDEX(PP_Grid[#Data],$DD1024,32),0)</f>
        <v/>
      </c>
      <c r="AI1024">
        <f>IFERROR(INDEX(PP_Grid[#Data],$DD1024,33),0)</f>
        <v/>
      </c>
      <c r="AJ1024">
        <f>IFERROR(INDEX(PP_Grid[#Data],$DD1024,34),0)</f>
        <v/>
      </c>
      <c r="AK1024">
        <f>IFERROR(INDEX(PP_Grid[#Data],$DD1024,35),0)</f>
        <v/>
      </c>
      <c r="AL1024">
        <f>IFERROR(INDEX(PP_Grid[#Data],$DD1024,36),0)</f>
        <v/>
      </c>
      <c r="AM1024">
        <f>IFERROR(INDEX(PP_Grid[#Data],$DD1024,37),0)</f>
        <v/>
      </c>
      <c r="AN1024">
        <f>IFERROR(INDEX(PP_Grid[#Data],$DD1024,38),0)</f>
        <v/>
      </c>
      <c r="AO1024">
        <f>IFERROR(INDEX(PP_Grid[#Data],$DD1024,39),0)</f>
        <v/>
      </c>
      <c r="AP1024">
        <f>IFERROR(INDEX(PP_Grid[#Data],$DD1024,40),0)</f>
        <v/>
      </c>
      <c r="AQ1024">
        <f>IFERROR(INDEX(PP_Grid[#Data],$DD1024,41),0)</f>
        <v/>
      </c>
      <c r="AR1024">
        <f>IFERROR(INDEX(PP_Grid[#Data],$DD1024,42),0)</f>
        <v/>
      </c>
      <c r="AS1024">
        <f>IFERROR(INDEX(PP_Grid[#Data],$DD1024,43),0)</f>
        <v/>
      </c>
      <c r="AT1024">
        <f>IFERROR(INDEX(PP_Grid[#Data],$DD1024,44),0)</f>
        <v/>
      </c>
      <c r="AU1024">
        <f>IFERROR(INDEX(PP_Grid[#Data],$DD1024,45),0)</f>
        <v/>
      </c>
      <c r="AV1024">
        <f>IFERROR(INDEX(PP_Grid[#Data],$DD1024,46),0)</f>
        <v/>
      </c>
      <c r="AW1024">
        <f>IFERROR(INDEX(PP_Grid[#Data],$DD1024,47),0)</f>
        <v/>
      </c>
      <c r="AX1024">
        <f>IFERROR(INDEX(PP_Grid[#Data],$DD1024,48),0)</f>
        <v/>
      </c>
      <c r="AY1024">
        <f>IFERROR(INDEX(PP_Grid[#Data],$DD1024,49),0)</f>
        <v/>
      </c>
      <c r="AZ1024">
        <f>IFERROR(INDEX(PP_Grid[#Data],$DD1024,50),0)</f>
        <v/>
      </c>
      <c r="BA1024">
        <f>IFERROR(INDEX(PP_Grid[#Data],$DD1024,51),0)</f>
        <v/>
      </c>
      <c r="BB1024">
        <f>IFERROR(INDEX(PP_Grid[#Data],$DD1024,52),0)</f>
        <v/>
      </c>
      <c r="BC1024">
        <f>IFERROR(INDEX(PP_Grid[#Data],$DD1024,53),0)</f>
        <v/>
      </c>
      <c r="BD1024">
        <f>IFERROR(INDEX(PP_Grid[#Data],$DD1024,54),0)</f>
        <v/>
      </c>
      <c r="BE1024">
        <f>IFERROR(INDEX(PP_Grid[#Data],$DD1024,55),0)</f>
        <v/>
      </c>
      <c r="BF1024">
        <f>IFERROR(INDEX(PP_Grid[#Data],$DD1024,56),0)</f>
        <v/>
      </c>
      <c r="BG1024">
        <f>IFERROR(INDEX(PP_Grid[#Data],$DD1024,57),0)</f>
        <v/>
      </c>
      <c r="BH1024">
        <f>IFERROR(INDEX(PP_Grid[#Data],$DD1024,58),0)</f>
        <v/>
      </c>
      <c r="BI1024">
        <f>IFERROR(INDEX(PP_Grid[#Data],$DD1024,59),0)</f>
        <v/>
      </c>
      <c r="BJ1024">
        <f>IFERROR(INDEX(PP_Grid[#Data],$DD1024,60),0)</f>
        <v/>
      </c>
      <c r="BK1024">
        <f>IFERROR(INDEX(PP_Grid[#Data],$DD1024,61),0)</f>
        <v/>
      </c>
      <c r="BL1024">
        <f>IFERROR(INDEX(PP_Grid[#Data],$DD1024,62),0)</f>
        <v/>
      </c>
      <c r="BM1024">
        <f>IFERROR(INDEX(PP_Grid[#Data],$DD1024,63),0)</f>
        <v/>
      </c>
      <c r="BN1024">
        <f>IFERROR(INDEX(PP_Grid[#Data],$DD1024,64),0)</f>
        <v/>
      </c>
      <c r="BO1024">
        <f>IFERROR(INDEX(PP_Grid[#Data],$DD1024,65),0)</f>
        <v/>
      </c>
      <c r="BP1024">
        <f>IFERROR(INDEX(PP_Grid[#Data],$DD1024,66),0)</f>
        <v/>
      </c>
      <c r="BQ1024">
        <f>IFERROR(INDEX(PP_Grid[#Data],$DD1024,67),0)</f>
        <v/>
      </c>
      <c r="BR1024">
        <f>IFERROR(INDEX(PP_Grid[#Data],$DD1024,68),0)</f>
        <v/>
      </c>
      <c r="BS1024">
        <f>IFERROR(INDEX(PP_Grid[#Data],$DD1024,69),0)</f>
        <v/>
      </c>
      <c r="BT1024">
        <f>IFERROR(INDEX(PP_Grid[#Data],$DD1024,70),0)</f>
        <v/>
      </c>
      <c r="BU1024">
        <f>IFERROR(INDEX(PP_Grid[#Data],$DD1024,71),0)</f>
        <v/>
      </c>
      <c r="BV1024">
        <f>IFERROR(INDEX(PP_Grid[#Data],$DD1024,72),0)</f>
        <v/>
      </c>
      <c r="BW1024">
        <f>IFERROR(INDEX(PP_Grid[#Data],$DD1024,73),0)</f>
        <v/>
      </c>
      <c r="BX1024">
        <f>IFERROR(INDEX(PP_Grid[#Data],$DD1024,74),0)</f>
        <v/>
      </c>
      <c r="BY1024">
        <f>IFERROR(INDEX(PP_Grid[#Data],$DD1024,75),0)</f>
        <v/>
      </c>
      <c r="BZ1024">
        <f>IFERROR(INDEX(PP_Grid[#Data],$DD1024,76),0)</f>
        <v/>
      </c>
      <c r="CA1024">
        <f>IFERROR(INDEX(PP_Grid[#Data],$DD1024,77),0)</f>
        <v/>
      </c>
      <c r="CB1024">
        <f>IFERROR(INDEX(PP_Grid[#Data],$DD1024,78),0)</f>
        <v/>
      </c>
      <c r="CC1024">
        <f>IFERROR(INDEX(PP_Grid[#Data],$DD1024,79),0)</f>
        <v/>
      </c>
      <c r="CD1024">
        <f>IFERROR(INDEX(PP_Grid[#Data],$DD1024,80),0)</f>
        <v/>
      </c>
      <c r="CE1024">
        <f>IFERROR(INDEX(PP_Grid[#Data],$DD1024,81),0)</f>
        <v/>
      </c>
      <c r="CF1024">
        <f>IFERROR(INDEX(PP_Grid[#Data],$DD1024,82),0)</f>
        <v/>
      </c>
      <c r="CG1024">
        <f>IFERROR(INDEX(PP_Grid[#Data],$DD1024,83),0)</f>
        <v/>
      </c>
      <c r="CH1024">
        <f>IFERROR(INDEX(PP_Grid[#Data],$DD1024,84),0)</f>
        <v/>
      </c>
      <c r="CI1024">
        <f>IFERROR(INDEX(PP_Grid[#Data],$DD1024,85),0)</f>
        <v/>
      </c>
      <c r="CJ1024">
        <f>IFERROR(INDEX(PP_Grid[#Data],$DD1024,86),0)</f>
        <v/>
      </c>
      <c r="CK1024">
        <f>IFERROR(INDEX(PP_Grid[#Data],$DD1024,87),0)</f>
        <v/>
      </c>
      <c r="CL1024">
        <f>IFERROR(INDEX(PP_Grid[#Data],$DD1024,88),0)</f>
        <v/>
      </c>
      <c r="CM1024">
        <f>IFERROR(INDEX(PP_Grid[#Data],$DD1024,89),0)</f>
        <v/>
      </c>
      <c r="CN1024">
        <f>IFERROR(INDEX(PP_Grid[#Data],$DD1024,90),0)</f>
        <v/>
      </c>
      <c r="CO1024">
        <f>IFERROR(INDEX(PP_Grid[#Data],$DD1024,91),0)</f>
        <v/>
      </c>
      <c r="CP1024">
        <f>IFERROR(INDEX(PP_Grid[#Data],$DD1024,92),0)</f>
        <v/>
      </c>
      <c r="CQ1024">
        <f>IFERROR(INDEX(PP_Grid[#Data],$DD1024,93),0)</f>
        <v/>
      </c>
      <c r="CR1024">
        <f>IFERROR(INDEX(PP_Grid[#Data],$DD1024,94),0)</f>
        <v/>
      </c>
      <c r="CS1024">
        <f>IFERROR(INDEX(PP_Grid[#Data],$DD1024,95),0)</f>
        <v/>
      </c>
      <c r="CT1024">
        <f>IFERROR(INDEX(PP_Grid[#Data],$DD1024,96),0)</f>
        <v/>
      </c>
      <c r="CU1024">
        <f>IFERROR(INDEX(PP_Grid[#Data],$DD1024,97),0)</f>
        <v/>
      </c>
      <c r="CV1024">
        <f>IFERROR(INDEX(PP_Grid[#Data],$DD1024,98),0)</f>
        <v/>
      </c>
      <c r="CW1024">
        <f>IFERROR(INDEX(PP_Grid[#Data],$DD1024,99),0)</f>
        <v/>
      </c>
      <c r="CX1024">
        <f>IFERROR(INDEX(PP_Grid[#Data],$DD1024,100),0)</f>
        <v/>
      </c>
      <c r="CY1024">
        <f>IFERROR(INDEX(PP_Grid[#Data],$DD1024,101),0)</f>
        <v/>
      </c>
      <c r="CZ1024">
        <f>IFERROR(INDEX(PP_Grid[#Data],$DD1024,102),0)</f>
        <v/>
      </c>
      <c r="DA1024">
        <f>IFERROR(INDEX(PP_Grid[#Data],$DD1024,103),0)</f>
        <v/>
      </c>
      <c r="DB1024">
        <f>IFERROR(INDEX(PP_Grid[#Data],$DD1024,104),0)</f>
        <v/>
      </c>
      <c r="DC1024">
        <f>IFERROR(INDEX(PP_Grid[#Data],$DD1024,105),0)</f>
        <v/>
      </c>
      <c r="DD1024" s="12">
        <f>IFERROR(MATCH($B1024,PP_Grid[Intermediate],0),99999)</f>
        <v/>
      </c>
    </row>
    <row r="1025">
      <c r="B1025" t="inlineStr">
        <is>
          <t>使用量(kg)</t>
        </is>
      </c>
      <c r="C1025">
        <f>SUMIFS(M_BOM[RM_Qty_Per_Batch],M_BOM[Intermediate],$B1024,M_BOM[Part Name],$A1021)</f>
        <v/>
      </c>
      <c r="D1025">
        <f>$C1025*D1024</f>
        <v/>
      </c>
      <c r="E1025">
        <f>$C1025*E1024</f>
        <v/>
      </c>
      <c r="F1025">
        <f>$C1025*F1024</f>
        <v/>
      </c>
      <c r="G1025">
        <f>$C1025*G1024</f>
        <v/>
      </c>
      <c r="H1025">
        <f>$C1025*H1024</f>
        <v/>
      </c>
      <c r="I1025">
        <f>$C1025*I1024</f>
        <v/>
      </c>
      <c r="J1025">
        <f>$C1025*J1024</f>
        <v/>
      </c>
      <c r="K1025">
        <f>$C1025*K1024</f>
        <v/>
      </c>
      <c r="L1025">
        <f>$C1025*L1024</f>
        <v/>
      </c>
      <c r="M1025">
        <f>$C1025*M1024</f>
        <v/>
      </c>
      <c r="N1025">
        <f>$C1025*N1024</f>
        <v/>
      </c>
      <c r="O1025">
        <f>$C1025*O1024</f>
        <v/>
      </c>
      <c r="P1025">
        <f>$C1025*P1024</f>
        <v/>
      </c>
      <c r="Q1025">
        <f>$C1025*Q1024</f>
        <v/>
      </c>
      <c r="R1025">
        <f>$C1025*R1024</f>
        <v/>
      </c>
      <c r="S1025">
        <f>$C1025*S1024</f>
        <v/>
      </c>
      <c r="T1025">
        <f>$C1025*T1024</f>
        <v/>
      </c>
      <c r="U1025">
        <f>$C1025*U1024</f>
        <v/>
      </c>
      <c r="V1025">
        <f>$C1025*V1024</f>
        <v/>
      </c>
      <c r="W1025">
        <f>$C1025*W1024</f>
        <v/>
      </c>
      <c r="X1025">
        <f>$C1025*X1024</f>
        <v/>
      </c>
      <c r="Y1025">
        <f>$C1025*Y1024</f>
        <v/>
      </c>
      <c r="Z1025">
        <f>$C1025*Z1024</f>
        <v/>
      </c>
      <c r="AA1025">
        <f>$C1025*AA1024</f>
        <v/>
      </c>
      <c r="AB1025">
        <f>$C1025*AB1024</f>
        <v/>
      </c>
      <c r="AC1025">
        <f>$C1025*AC1024</f>
        <v/>
      </c>
      <c r="AD1025">
        <f>$C1025*AD1024</f>
        <v/>
      </c>
      <c r="AE1025">
        <f>$C1025*AE1024</f>
        <v/>
      </c>
      <c r="AF1025">
        <f>$C1025*AF1024</f>
        <v/>
      </c>
      <c r="AG1025">
        <f>$C1025*AG1024</f>
        <v/>
      </c>
      <c r="AH1025">
        <f>$C1025*AH1024</f>
        <v/>
      </c>
      <c r="AI1025">
        <f>$C1025*AI1024</f>
        <v/>
      </c>
      <c r="AJ1025">
        <f>$C1025*AJ1024</f>
        <v/>
      </c>
      <c r="AK1025">
        <f>$C1025*AK1024</f>
        <v/>
      </c>
      <c r="AL1025">
        <f>$C1025*AL1024</f>
        <v/>
      </c>
      <c r="AM1025">
        <f>$C1025*AM1024</f>
        <v/>
      </c>
      <c r="AN1025">
        <f>$C1025*AN1024</f>
        <v/>
      </c>
      <c r="AO1025">
        <f>$C1025*AO1024</f>
        <v/>
      </c>
      <c r="AP1025">
        <f>$C1025*AP1024</f>
        <v/>
      </c>
      <c r="AQ1025">
        <f>$C1025*AQ1024</f>
        <v/>
      </c>
      <c r="AR1025">
        <f>$C1025*AR1024</f>
        <v/>
      </c>
      <c r="AS1025">
        <f>$C1025*AS1024</f>
        <v/>
      </c>
      <c r="AT1025">
        <f>$C1025*AT1024</f>
        <v/>
      </c>
      <c r="AU1025">
        <f>$C1025*AU1024</f>
        <v/>
      </c>
      <c r="AV1025">
        <f>$C1025*AV1024</f>
        <v/>
      </c>
      <c r="AW1025">
        <f>$C1025*AW1024</f>
        <v/>
      </c>
      <c r="AX1025">
        <f>$C1025*AX1024</f>
        <v/>
      </c>
      <c r="AY1025">
        <f>$C1025*AY1024</f>
        <v/>
      </c>
      <c r="AZ1025">
        <f>$C1025*AZ1024</f>
        <v/>
      </c>
      <c r="BA1025">
        <f>$C1025*BA1024</f>
        <v/>
      </c>
      <c r="BB1025">
        <f>$C1025*BB1024</f>
        <v/>
      </c>
      <c r="BC1025">
        <f>$C1025*BC1024</f>
        <v/>
      </c>
      <c r="BD1025">
        <f>$C1025*BD1024</f>
        <v/>
      </c>
      <c r="BE1025">
        <f>$C1025*BE1024</f>
        <v/>
      </c>
      <c r="BF1025">
        <f>$C1025*BF1024</f>
        <v/>
      </c>
      <c r="BG1025">
        <f>$C1025*BG1024</f>
        <v/>
      </c>
      <c r="BH1025">
        <f>$C1025*BH1024</f>
        <v/>
      </c>
      <c r="BI1025">
        <f>$C1025*BI1024</f>
        <v/>
      </c>
      <c r="BJ1025">
        <f>$C1025*BJ1024</f>
        <v/>
      </c>
      <c r="BK1025">
        <f>$C1025*BK1024</f>
        <v/>
      </c>
      <c r="BL1025">
        <f>$C1025*BL1024</f>
        <v/>
      </c>
      <c r="BM1025">
        <f>$C1025*BM1024</f>
        <v/>
      </c>
      <c r="BN1025">
        <f>$C1025*BN1024</f>
        <v/>
      </c>
      <c r="BO1025">
        <f>$C1025*BO1024</f>
        <v/>
      </c>
      <c r="BP1025">
        <f>$C1025*BP1024</f>
        <v/>
      </c>
      <c r="BQ1025">
        <f>$C1025*BQ1024</f>
        <v/>
      </c>
      <c r="BR1025">
        <f>$C1025*BR1024</f>
        <v/>
      </c>
      <c r="BS1025">
        <f>$C1025*BS1024</f>
        <v/>
      </c>
      <c r="BT1025">
        <f>$C1025*BT1024</f>
        <v/>
      </c>
      <c r="BU1025">
        <f>$C1025*BU1024</f>
        <v/>
      </c>
      <c r="BV1025">
        <f>$C1025*BV1024</f>
        <v/>
      </c>
      <c r="BW1025">
        <f>$C1025*BW1024</f>
        <v/>
      </c>
      <c r="BX1025">
        <f>$C1025*BX1024</f>
        <v/>
      </c>
      <c r="BY1025">
        <f>$C1025*BY1024</f>
        <v/>
      </c>
      <c r="BZ1025">
        <f>$C1025*BZ1024</f>
        <v/>
      </c>
      <c r="CA1025">
        <f>$C1025*CA1024</f>
        <v/>
      </c>
      <c r="CB1025">
        <f>$C1025*CB1024</f>
        <v/>
      </c>
      <c r="CC1025">
        <f>$C1025*CC1024</f>
        <v/>
      </c>
      <c r="CD1025">
        <f>$C1025*CD1024</f>
        <v/>
      </c>
      <c r="CE1025">
        <f>$C1025*CE1024</f>
        <v/>
      </c>
      <c r="CF1025">
        <f>$C1025*CF1024</f>
        <v/>
      </c>
      <c r="CG1025">
        <f>$C1025*CG1024</f>
        <v/>
      </c>
      <c r="CH1025">
        <f>$C1025*CH1024</f>
        <v/>
      </c>
      <c r="CI1025">
        <f>$C1025*CI1024</f>
        <v/>
      </c>
      <c r="CJ1025">
        <f>$C1025*CJ1024</f>
        <v/>
      </c>
      <c r="CK1025">
        <f>$C1025*CK1024</f>
        <v/>
      </c>
      <c r="CL1025">
        <f>$C1025*CL1024</f>
        <v/>
      </c>
      <c r="CM1025">
        <f>$C1025*CM1024</f>
        <v/>
      </c>
      <c r="CN1025">
        <f>$C1025*CN1024</f>
        <v/>
      </c>
      <c r="CO1025">
        <f>$C1025*CO1024</f>
        <v/>
      </c>
      <c r="CP1025">
        <f>$C1025*CP1024</f>
        <v/>
      </c>
      <c r="CQ1025">
        <f>$C1025*CQ1024</f>
        <v/>
      </c>
      <c r="CR1025">
        <f>$C1025*CR1024</f>
        <v/>
      </c>
      <c r="CS1025">
        <f>$C1025*CS1024</f>
        <v/>
      </c>
      <c r="CT1025">
        <f>$C1025*CT1024</f>
        <v/>
      </c>
      <c r="CU1025">
        <f>$C1025*CU1024</f>
        <v/>
      </c>
      <c r="CV1025">
        <f>$C1025*CV1024</f>
        <v/>
      </c>
      <c r="CW1025">
        <f>$C1025*CW1024</f>
        <v/>
      </c>
      <c r="CX1025">
        <f>$C1025*CX1024</f>
        <v/>
      </c>
      <c r="CY1025">
        <f>$C1025*CY1024</f>
        <v/>
      </c>
      <c r="CZ1025">
        <f>$C1025*CZ1024</f>
        <v/>
      </c>
      <c r="DA1025">
        <f>$C1025*DA1024</f>
        <v/>
      </c>
      <c r="DB1025">
        <f>$C1025*DB1024</f>
        <v/>
      </c>
      <c r="DC1025">
        <f>$C1025*DC1024</f>
        <v/>
      </c>
    </row>
    <row r="1026">
      <c r="B1026" s="5" t="inlineStr">
        <is>
          <t>合計使用量(kg)/週</t>
        </is>
      </c>
      <c r="D1026">
        <f>'Grid_Requirement'!B44</f>
        <v/>
      </c>
      <c r="E1026">
        <f>'Grid_Requirement'!C44</f>
        <v/>
      </c>
      <c r="F1026">
        <f>'Grid_Requirement'!D44</f>
        <v/>
      </c>
      <c r="G1026">
        <f>'Grid_Requirement'!E44</f>
        <v/>
      </c>
      <c r="H1026">
        <f>'Grid_Requirement'!F44</f>
        <v/>
      </c>
      <c r="I1026">
        <f>'Grid_Requirement'!G44</f>
        <v/>
      </c>
      <c r="J1026">
        <f>'Grid_Requirement'!H44</f>
        <v/>
      </c>
      <c r="K1026">
        <f>'Grid_Requirement'!I44</f>
        <v/>
      </c>
      <c r="L1026">
        <f>'Grid_Requirement'!J44</f>
        <v/>
      </c>
      <c r="M1026">
        <f>'Grid_Requirement'!K44</f>
        <v/>
      </c>
      <c r="N1026">
        <f>'Grid_Requirement'!L44</f>
        <v/>
      </c>
      <c r="O1026">
        <f>'Grid_Requirement'!M44</f>
        <v/>
      </c>
      <c r="P1026">
        <f>'Grid_Requirement'!N44</f>
        <v/>
      </c>
      <c r="Q1026">
        <f>'Grid_Requirement'!O44</f>
        <v/>
      </c>
      <c r="R1026">
        <f>'Grid_Requirement'!P44</f>
        <v/>
      </c>
      <c r="S1026">
        <f>'Grid_Requirement'!Q44</f>
        <v/>
      </c>
      <c r="T1026">
        <f>'Grid_Requirement'!R44</f>
        <v/>
      </c>
      <c r="U1026">
        <f>'Grid_Requirement'!S44</f>
        <v/>
      </c>
      <c r="V1026">
        <f>'Grid_Requirement'!T44</f>
        <v/>
      </c>
      <c r="W1026">
        <f>'Grid_Requirement'!U44</f>
        <v/>
      </c>
      <c r="X1026">
        <f>'Grid_Requirement'!V44</f>
        <v/>
      </c>
      <c r="Y1026">
        <f>'Grid_Requirement'!W44</f>
        <v/>
      </c>
      <c r="Z1026">
        <f>'Grid_Requirement'!X44</f>
        <v/>
      </c>
      <c r="AA1026">
        <f>'Grid_Requirement'!Y44</f>
        <v/>
      </c>
      <c r="AB1026">
        <f>'Grid_Requirement'!Z44</f>
        <v/>
      </c>
      <c r="AC1026">
        <f>'Grid_Requirement'!AA44</f>
        <v/>
      </c>
      <c r="AD1026">
        <f>'Grid_Requirement'!AB44</f>
        <v/>
      </c>
      <c r="AE1026">
        <f>'Grid_Requirement'!AC44</f>
        <v/>
      </c>
      <c r="AF1026">
        <f>'Grid_Requirement'!AD44</f>
        <v/>
      </c>
      <c r="AG1026">
        <f>'Grid_Requirement'!AE44</f>
        <v/>
      </c>
      <c r="AH1026">
        <f>'Grid_Requirement'!AF44</f>
        <v/>
      </c>
      <c r="AI1026">
        <f>'Grid_Requirement'!AG44</f>
        <v/>
      </c>
      <c r="AJ1026">
        <f>'Grid_Requirement'!AH44</f>
        <v/>
      </c>
      <c r="AK1026">
        <f>'Grid_Requirement'!AI44</f>
        <v/>
      </c>
      <c r="AL1026">
        <f>'Grid_Requirement'!AJ44</f>
        <v/>
      </c>
      <c r="AM1026">
        <f>'Grid_Requirement'!AK44</f>
        <v/>
      </c>
      <c r="AN1026">
        <f>'Grid_Requirement'!AL44</f>
        <v/>
      </c>
      <c r="AO1026">
        <f>'Grid_Requirement'!AM44</f>
        <v/>
      </c>
      <c r="AP1026">
        <f>'Grid_Requirement'!AN44</f>
        <v/>
      </c>
      <c r="AQ1026">
        <f>'Grid_Requirement'!AO44</f>
        <v/>
      </c>
      <c r="AR1026">
        <f>'Grid_Requirement'!AP44</f>
        <v/>
      </c>
      <c r="AS1026">
        <f>'Grid_Requirement'!AQ44</f>
        <v/>
      </c>
      <c r="AT1026">
        <f>'Grid_Requirement'!AR44</f>
        <v/>
      </c>
      <c r="AU1026">
        <f>'Grid_Requirement'!AS44</f>
        <v/>
      </c>
      <c r="AV1026">
        <f>'Grid_Requirement'!AT44</f>
        <v/>
      </c>
      <c r="AW1026">
        <f>'Grid_Requirement'!AU44</f>
        <v/>
      </c>
      <c r="AX1026">
        <f>'Grid_Requirement'!AV44</f>
        <v/>
      </c>
      <c r="AY1026">
        <f>'Grid_Requirement'!AW44</f>
        <v/>
      </c>
      <c r="AZ1026">
        <f>'Grid_Requirement'!AX44</f>
        <v/>
      </c>
      <c r="BA1026">
        <f>'Grid_Requirement'!AY44</f>
        <v/>
      </c>
      <c r="BB1026">
        <f>'Grid_Requirement'!AZ44</f>
        <v/>
      </c>
      <c r="BC1026">
        <f>'Grid_Requirement'!BA44</f>
        <v/>
      </c>
      <c r="BD1026">
        <f>'Grid_Requirement'!BB44</f>
        <v/>
      </c>
      <c r="BE1026">
        <f>'Grid_Requirement'!BC44</f>
        <v/>
      </c>
      <c r="BF1026">
        <f>'Grid_Requirement'!BD44</f>
        <v/>
      </c>
      <c r="BG1026">
        <f>'Grid_Requirement'!BE44</f>
        <v/>
      </c>
      <c r="BH1026">
        <f>'Grid_Requirement'!BF44</f>
        <v/>
      </c>
      <c r="BI1026">
        <f>'Grid_Requirement'!BG44</f>
        <v/>
      </c>
      <c r="BJ1026">
        <f>'Grid_Requirement'!BH44</f>
        <v/>
      </c>
      <c r="BK1026">
        <f>'Grid_Requirement'!BI44</f>
        <v/>
      </c>
      <c r="BL1026">
        <f>'Grid_Requirement'!BJ44</f>
        <v/>
      </c>
      <c r="BM1026">
        <f>'Grid_Requirement'!BK44</f>
        <v/>
      </c>
      <c r="BN1026">
        <f>'Grid_Requirement'!BL44</f>
        <v/>
      </c>
      <c r="BO1026">
        <f>'Grid_Requirement'!BM44</f>
        <v/>
      </c>
      <c r="BP1026">
        <f>'Grid_Requirement'!BN44</f>
        <v/>
      </c>
      <c r="BQ1026">
        <f>'Grid_Requirement'!BO44</f>
        <v/>
      </c>
      <c r="BR1026">
        <f>'Grid_Requirement'!BP44</f>
        <v/>
      </c>
      <c r="BS1026">
        <f>'Grid_Requirement'!BQ44</f>
        <v/>
      </c>
      <c r="BT1026">
        <f>'Grid_Requirement'!BR44</f>
        <v/>
      </c>
      <c r="BU1026">
        <f>'Grid_Requirement'!BS44</f>
        <v/>
      </c>
      <c r="BV1026">
        <f>'Grid_Requirement'!BT44</f>
        <v/>
      </c>
      <c r="BW1026">
        <f>'Grid_Requirement'!BU44</f>
        <v/>
      </c>
      <c r="BX1026">
        <f>'Grid_Requirement'!BV44</f>
        <v/>
      </c>
      <c r="BY1026">
        <f>'Grid_Requirement'!BW44</f>
        <v/>
      </c>
      <c r="BZ1026">
        <f>'Grid_Requirement'!BX44</f>
        <v/>
      </c>
      <c r="CA1026">
        <f>'Grid_Requirement'!BY44</f>
        <v/>
      </c>
      <c r="CB1026">
        <f>'Grid_Requirement'!BZ44</f>
        <v/>
      </c>
      <c r="CC1026">
        <f>'Grid_Requirement'!CA44</f>
        <v/>
      </c>
      <c r="CD1026">
        <f>'Grid_Requirement'!CB44</f>
        <v/>
      </c>
      <c r="CE1026">
        <f>'Grid_Requirement'!CC44</f>
        <v/>
      </c>
      <c r="CF1026">
        <f>'Grid_Requirement'!CD44</f>
        <v/>
      </c>
      <c r="CG1026">
        <f>'Grid_Requirement'!CE44</f>
        <v/>
      </c>
      <c r="CH1026">
        <f>'Grid_Requirement'!CF44</f>
        <v/>
      </c>
      <c r="CI1026">
        <f>'Grid_Requirement'!CG44</f>
        <v/>
      </c>
      <c r="CJ1026">
        <f>'Grid_Requirement'!CH44</f>
        <v/>
      </c>
      <c r="CK1026">
        <f>'Grid_Requirement'!CI44</f>
        <v/>
      </c>
      <c r="CL1026">
        <f>'Grid_Requirement'!CJ44</f>
        <v/>
      </c>
      <c r="CM1026">
        <f>'Grid_Requirement'!CK44</f>
        <v/>
      </c>
      <c r="CN1026">
        <f>'Grid_Requirement'!CL44</f>
        <v/>
      </c>
      <c r="CO1026">
        <f>'Grid_Requirement'!CM44</f>
        <v/>
      </c>
      <c r="CP1026">
        <f>'Grid_Requirement'!CN44</f>
        <v/>
      </c>
      <c r="CQ1026">
        <f>'Grid_Requirement'!CO44</f>
        <v/>
      </c>
      <c r="CR1026">
        <f>'Grid_Requirement'!CP44</f>
        <v/>
      </c>
      <c r="CS1026">
        <f>'Grid_Requirement'!CQ44</f>
        <v/>
      </c>
      <c r="CT1026">
        <f>'Grid_Requirement'!CR44</f>
        <v/>
      </c>
      <c r="CU1026">
        <f>'Grid_Requirement'!CS44</f>
        <v/>
      </c>
      <c r="CV1026">
        <f>'Grid_Requirement'!CT44</f>
        <v/>
      </c>
      <c r="CW1026">
        <f>'Grid_Requirement'!CU44</f>
        <v/>
      </c>
      <c r="CX1026">
        <f>'Grid_Requirement'!CV44</f>
        <v/>
      </c>
      <c r="CY1026">
        <f>'Grid_Requirement'!CW44</f>
        <v/>
      </c>
      <c r="CZ1026">
        <f>'Grid_Requirement'!CX44</f>
        <v/>
      </c>
      <c r="DA1026">
        <f>'Grid_Requirement'!CY44</f>
        <v/>
      </c>
      <c r="DB1026">
        <f>'Grid_Requirement'!CZ44</f>
        <v/>
      </c>
      <c r="DC1026">
        <f>'Grid_Requirement'!DA44</f>
        <v/>
      </c>
    </row>
    <row r="1027">
      <c r="B1027" t="inlineStr">
        <is>
          <t>TTAF在庫(実績,kg)</t>
        </is>
      </c>
      <c r="D1027">
        <f>'T_TTAFStock'!B48</f>
        <v/>
      </c>
      <c r="E1027">
        <f>'T_TTAFStock'!C48</f>
        <v/>
      </c>
      <c r="F1027">
        <f>'T_TTAFStock'!D48</f>
        <v/>
      </c>
      <c r="G1027">
        <f>'T_TTAFStock'!E48</f>
        <v/>
      </c>
      <c r="H1027">
        <f>'T_TTAFStock'!F48</f>
        <v/>
      </c>
      <c r="I1027">
        <f>'T_TTAFStock'!G48</f>
        <v/>
      </c>
      <c r="J1027">
        <f>'T_TTAFStock'!H48</f>
        <v/>
      </c>
      <c r="K1027">
        <f>'T_TTAFStock'!I48</f>
        <v/>
      </c>
      <c r="L1027">
        <f>'T_TTAFStock'!J48</f>
        <v/>
      </c>
      <c r="M1027">
        <f>'T_TTAFStock'!K48</f>
        <v/>
      </c>
      <c r="N1027">
        <f>'T_TTAFStock'!L48</f>
        <v/>
      </c>
      <c r="O1027">
        <f>'T_TTAFStock'!M48</f>
        <v/>
      </c>
      <c r="P1027">
        <f>'T_TTAFStock'!N48</f>
        <v/>
      </c>
      <c r="Q1027">
        <f>'T_TTAFStock'!O48</f>
        <v/>
      </c>
      <c r="R1027">
        <f>'T_TTAFStock'!P48</f>
        <v/>
      </c>
      <c r="S1027">
        <f>'T_TTAFStock'!Q48</f>
        <v/>
      </c>
      <c r="T1027">
        <f>'T_TTAFStock'!R48</f>
        <v/>
      </c>
      <c r="U1027">
        <f>'T_TTAFStock'!S48</f>
        <v/>
      </c>
      <c r="V1027">
        <f>'T_TTAFStock'!T48</f>
        <v/>
      </c>
      <c r="W1027">
        <f>'T_TTAFStock'!U48</f>
        <v/>
      </c>
      <c r="X1027">
        <f>'T_TTAFStock'!V48</f>
        <v/>
      </c>
      <c r="Y1027">
        <f>'T_TTAFStock'!W48</f>
        <v/>
      </c>
      <c r="Z1027">
        <f>'T_TTAFStock'!X48</f>
        <v/>
      </c>
      <c r="AA1027">
        <f>'T_TTAFStock'!Y48</f>
        <v/>
      </c>
      <c r="AB1027">
        <f>'T_TTAFStock'!Z48</f>
        <v/>
      </c>
      <c r="AC1027">
        <f>'T_TTAFStock'!AA48</f>
        <v/>
      </c>
      <c r="AD1027">
        <f>'T_TTAFStock'!AB48</f>
        <v/>
      </c>
      <c r="AE1027">
        <f>'T_TTAFStock'!AC48</f>
        <v/>
      </c>
      <c r="AF1027">
        <f>'T_TTAFStock'!AD48</f>
        <v/>
      </c>
      <c r="AG1027">
        <f>'T_TTAFStock'!AE48</f>
        <v/>
      </c>
      <c r="AH1027">
        <f>'T_TTAFStock'!AF48</f>
        <v/>
      </c>
      <c r="AI1027">
        <f>'T_TTAFStock'!AG48</f>
        <v/>
      </c>
      <c r="AJ1027">
        <f>'T_TTAFStock'!AH48</f>
        <v/>
      </c>
      <c r="AK1027">
        <f>'T_TTAFStock'!AI48</f>
        <v/>
      </c>
      <c r="AL1027">
        <f>'T_TTAFStock'!AJ48</f>
        <v/>
      </c>
      <c r="AM1027">
        <f>'T_TTAFStock'!AK48</f>
        <v/>
      </c>
      <c r="AN1027">
        <f>'T_TTAFStock'!AL48</f>
        <v/>
      </c>
      <c r="AO1027">
        <f>'T_TTAFStock'!AM48</f>
        <v/>
      </c>
      <c r="AP1027">
        <f>'T_TTAFStock'!AN48</f>
        <v/>
      </c>
      <c r="AQ1027">
        <f>'T_TTAFStock'!AO48</f>
        <v/>
      </c>
      <c r="AR1027">
        <f>'T_TTAFStock'!AP48</f>
        <v/>
      </c>
      <c r="AS1027">
        <f>'T_TTAFStock'!AQ48</f>
        <v/>
      </c>
      <c r="AT1027">
        <f>'T_TTAFStock'!AR48</f>
        <v/>
      </c>
      <c r="AU1027">
        <f>'T_TTAFStock'!AS48</f>
        <v/>
      </c>
      <c r="AV1027">
        <f>'T_TTAFStock'!AT48</f>
        <v/>
      </c>
      <c r="AW1027">
        <f>'T_TTAFStock'!AU48</f>
        <v/>
      </c>
      <c r="AX1027">
        <f>'T_TTAFStock'!AV48</f>
        <v/>
      </c>
      <c r="AY1027">
        <f>'T_TTAFStock'!AW48</f>
        <v/>
      </c>
      <c r="AZ1027">
        <f>'T_TTAFStock'!AX48</f>
        <v/>
      </c>
      <c r="BA1027">
        <f>'T_TTAFStock'!AY48</f>
        <v/>
      </c>
      <c r="BB1027">
        <f>'T_TTAFStock'!AZ48</f>
        <v/>
      </c>
      <c r="BC1027">
        <f>'T_TTAFStock'!BA48</f>
        <v/>
      </c>
      <c r="BD1027">
        <f>'T_TTAFStock'!BB48</f>
        <v/>
      </c>
      <c r="BE1027">
        <f>'T_TTAFStock'!BC48</f>
        <v/>
      </c>
      <c r="BF1027">
        <f>'T_TTAFStock'!BD48</f>
        <v/>
      </c>
      <c r="BG1027">
        <f>'T_TTAFStock'!BE48</f>
        <v/>
      </c>
      <c r="BH1027">
        <f>'T_TTAFStock'!BF48</f>
        <v/>
      </c>
      <c r="BI1027">
        <f>'T_TTAFStock'!BG48</f>
        <v/>
      </c>
      <c r="BJ1027">
        <f>'T_TTAFStock'!BH48</f>
        <v/>
      </c>
      <c r="BK1027">
        <f>'T_TTAFStock'!BI48</f>
        <v/>
      </c>
      <c r="BL1027">
        <f>'T_TTAFStock'!BJ48</f>
        <v/>
      </c>
      <c r="BM1027">
        <f>'T_TTAFStock'!BK48</f>
        <v/>
      </c>
      <c r="BN1027">
        <f>'T_TTAFStock'!BL48</f>
        <v/>
      </c>
      <c r="BO1027">
        <f>'T_TTAFStock'!BM48</f>
        <v/>
      </c>
      <c r="BP1027">
        <f>'T_TTAFStock'!BN48</f>
        <v/>
      </c>
      <c r="BQ1027">
        <f>'T_TTAFStock'!BO48</f>
        <v/>
      </c>
      <c r="BR1027">
        <f>'T_TTAFStock'!BP48</f>
        <v/>
      </c>
      <c r="BS1027">
        <f>'T_TTAFStock'!BQ48</f>
        <v/>
      </c>
      <c r="BT1027">
        <f>'T_TTAFStock'!BR48</f>
        <v/>
      </c>
      <c r="BU1027">
        <f>'T_TTAFStock'!BS48</f>
        <v/>
      </c>
      <c r="BV1027">
        <f>'T_TTAFStock'!BT48</f>
        <v/>
      </c>
      <c r="BW1027">
        <f>'T_TTAFStock'!BU48</f>
        <v/>
      </c>
      <c r="BX1027">
        <f>'T_TTAFStock'!BV48</f>
        <v/>
      </c>
      <c r="BY1027">
        <f>'T_TTAFStock'!BW48</f>
        <v/>
      </c>
      <c r="BZ1027">
        <f>'T_TTAFStock'!BX48</f>
        <v/>
      </c>
      <c r="CA1027">
        <f>'T_TTAFStock'!BY48</f>
        <v/>
      </c>
      <c r="CB1027">
        <f>'T_TTAFStock'!BZ48</f>
        <v/>
      </c>
      <c r="CC1027">
        <f>'T_TTAFStock'!CA48</f>
        <v/>
      </c>
      <c r="CD1027">
        <f>'T_TTAFStock'!CB48</f>
        <v/>
      </c>
      <c r="CE1027">
        <f>'T_TTAFStock'!CC48</f>
        <v/>
      </c>
      <c r="CF1027">
        <f>'T_TTAFStock'!CD48</f>
        <v/>
      </c>
      <c r="CG1027">
        <f>'T_TTAFStock'!CE48</f>
        <v/>
      </c>
      <c r="CH1027">
        <f>'T_TTAFStock'!CF48</f>
        <v/>
      </c>
      <c r="CI1027">
        <f>'T_TTAFStock'!CG48</f>
        <v/>
      </c>
      <c r="CJ1027">
        <f>'T_TTAFStock'!CH48</f>
        <v/>
      </c>
      <c r="CK1027">
        <f>'T_TTAFStock'!CI48</f>
        <v/>
      </c>
      <c r="CL1027">
        <f>'T_TTAFStock'!CJ48</f>
        <v/>
      </c>
      <c r="CM1027">
        <f>'T_TTAFStock'!CK48</f>
        <v/>
      </c>
      <c r="CN1027">
        <f>'T_TTAFStock'!CL48</f>
        <v/>
      </c>
      <c r="CO1027">
        <f>'T_TTAFStock'!CM48</f>
        <v/>
      </c>
      <c r="CP1027">
        <f>'T_TTAFStock'!CN48</f>
        <v/>
      </c>
      <c r="CQ1027">
        <f>'T_TTAFStock'!CO48</f>
        <v/>
      </c>
      <c r="CR1027">
        <f>'T_TTAFStock'!CP48</f>
        <v/>
      </c>
      <c r="CS1027">
        <f>'T_TTAFStock'!CQ48</f>
        <v/>
      </c>
      <c r="CT1027">
        <f>'T_TTAFStock'!CR48</f>
        <v/>
      </c>
      <c r="CU1027">
        <f>'T_TTAFStock'!CS48</f>
        <v/>
      </c>
      <c r="CV1027">
        <f>'T_TTAFStock'!CT48</f>
        <v/>
      </c>
      <c r="CW1027">
        <f>'T_TTAFStock'!CU48</f>
        <v/>
      </c>
      <c r="CX1027">
        <f>'T_TTAFStock'!CV48</f>
        <v/>
      </c>
      <c r="CY1027">
        <f>'T_TTAFStock'!CW48</f>
        <v/>
      </c>
      <c r="CZ1027">
        <f>'T_TTAFStock'!CX48</f>
        <v/>
      </c>
      <c r="DA1027">
        <f>'T_TTAFStock'!CY48</f>
        <v/>
      </c>
      <c r="DB1027">
        <f>'T_TTAFStock'!CZ48</f>
        <v/>
      </c>
      <c r="DC1027">
        <f>'T_TTAFStock'!DA48</f>
        <v/>
      </c>
    </row>
    <row r="1028">
      <c r="B1028" t="inlineStr">
        <is>
          <t>自社在庫(実績,kg)</t>
        </is>
      </c>
      <c r="D1028">
        <f>'T_SelfStock'!B48</f>
        <v/>
      </c>
      <c r="E1028">
        <f>'T_SelfStock'!C48</f>
        <v/>
      </c>
      <c r="F1028">
        <f>'T_SelfStock'!D48</f>
        <v/>
      </c>
      <c r="G1028">
        <f>'T_SelfStock'!E48</f>
        <v/>
      </c>
      <c r="H1028">
        <f>'T_SelfStock'!F48</f>
        <v/>
      </c>
      <c r="I1028">
        <f>'T_SelfStock'!G48</f>
        <v/>
      </c>
      <c r="J1028">
        <f>'T_SelfStock'!H48</f>
        <v/>
      </c>
      <c r="K1028">
        <f>'T_SelfStock'!I48</f>
        <v/>
      </c>
      <c r="L1028">
        <f>'T_SelfStock'!J48</f>
        <v/>
      </c>
      <c r="M1028">
        <f>'T_SelfStock'!K48</f>
        <v/>
      </c>
      <c r="N1028">
        <f>'T_SelfStock'!L48</f>
        <v/>
      </c>
      <c r="O1028">
        <f>'T_SelfStock'!M48</f>
        <v/>
      </c>
      <c r="P1028">
        <f>'T_SelfStock'!N48</f>
        <v/>
      </c>
      <c r="Q1028">
        <f>'T_SelfStock'!O48</f>
        <v/>
      </c>
      <c r="R1028">
        <f>'T_SelfStock'!P48</f>
        <v/>
      </c>
      <c r="S1028">
        <f>'T_SelfStock'!Q48</f>
        <v/>
      </c>
      <c r="T1028">
        <f>'T_SelfStock'!R48</f>
        <v/>
      </c>
      <c r="U1028">
        <f>'T_SelfStock'!S48</f>
        <v/>
      </c>
      <c r="V1028">
        <f>'T_SelfStock'!T48</f>
        <v/>
      </c>
      <c r="W1028">
        <f>'T_SelfStock'!U48</f>
        <v/>
      </c>
      <c r="X1028">
        <f>'T_SelfStock'!V48</f>
        <v/>
      </c>
      <c r="Y1028">
        <f>'T_SelfStock'!W48</f>
        <v/>
      </c>
      <c r="Z1028">
        <f>'T_SelfStock'!X48</f>
        <v/>
      </c>
      <c r="AA1028">
        <f>'T_SelfStock'!Y48</f>
        <v/>
      </c>
      <c r="AB1028">
        <f>'T_SelfStock'!Z48</f>
        <v/>
      </c>
      <c r="AC1028">
        <f>'T_SelfStock'!AA48</f>
        <v/>
      </c>
      <c r="AD1028">
        <f>'T_SelfStock'!AB48</f>
        <v/>
      </c>
      <c r="AE1028">
        <f>'T_SelfStock'!AC48</f>
        <v/>
      </c>
      <c r="AF1028">
        <f>'T_SelfStock'!AD48</f>
        <v/>
      </c>
      <c r="AG1028">
        <f>'T_SelfStock'!AE48</f>
        <v/>
      </c>
      <c r="AH1028">
        <f>'T_SelfStock'!AF48</f>
        <v/>
      </c>
      <c r="AI1028">
        <f>'T_SelfStock'!AG48</f>
        <v/>
      </c>
      <c r="AJ1028">
        <f>'T_SelfStock'!AH48</f>
        <v/>
      </c>
      <c r="AK1028">
        <f>'T_SelfStock'!AI48</f>
        <v/>
      </c>
      <c r="AL1028">
        <f>'T_SelfStock'!AJ48</f>
        <v/>
      </c>
      <c r="AM1028">
        <f>'T_SelfStock'!AK48</f>
        <v/>
      </c>
      <c r="AN1028">
        <f>'T_SelfStock'!AL48</f>
        <v/>
      </c>
      <c r="AO1028">
        <f>'T_SelfStock'!AM48</f>
        <v/>
      </c>
      <c r="AP1028">
        <f>'T_SelfStock'!AN48</f>
        <v/>
      </c>
      <c r="AQ1028">
        <f>'T_SelfStock'!AO48</f>
        <v/>
      </c>
      <c r="AR1028">
        <f>'T_SelfStock'!AP48</f>
        <v/>
      </c>
      <c r="AS1028">
        <f>'T_SelfStock'!AQ48</f>
        <v/>
      </c>
      <c r="AT1028">
        <f>'T_SelfStock'!AR48</f>
        <v/>
      </c>
      <c r="AU1028">
        <f>'T_SelfStock'!AS48</f>
        <v/>
      </c>
      <c r="AV1028">
        <f>'T_SelfStock'!AT48</f>
        <v/>
      </c>
      <c r="AW1028">
        <f>'T_SelfStock'!AU48</f>
        <v/>
      </c>
      <c r="AX1028">
        <f>'T_SelfStock'!AV48</f>
        <v/>
      </c>
      <c r="AY1028">
        <f>'T_SelfStock'!AW48</f>
        <v/>
      </c>
      <c r="AZ1028">
        <f>'T_SelfStock'!AX48</f>
        <v/>
      </c>
      <c r="BA1028">
        <f>'T_SelfStock'!AY48</f>
        <v/>
      </c>
      <c r="BB1028">
        <f>'T_SelfStock'!AZ48</f>
        <v/>
      </c>
      <c r="BC1028">
        <f>'T_SelfStock'!BA48</f>
        <v/>
      </c>
      <c r="BD1028">
        <f>'T_SelfStock'!BB48</f>
        <v/>
      </c>
      <c r="BE1028">
        <f>'T_SelfStock'!BC48</f>
        <v/>
      </c>
      <c r="BF1028">
        <f>'T_SelfStock'!BD48</f>
        <v/>
      </c>
      <c r="BG1028">
        <f>'T_SelfStock'!BE48</f>
        <v/>
      </c>
      <c r="BH1028">
        <f>'T_SelfStock'!BF48</f>
        <v/>
      </c>
      <c r="BI1028">
        <f>'T_SelfStock'!BG48</f>
        <v/>
      </c>
      <c r="BJ1028">
        <f>'T_SelfStock'!BH48</f>
        <v/>
      </c>
      <c r="BK1028">
        <f>'T_SelfStock'!BI48</f>
        <v/>
      </c>
      <c r="BL1028">
        <f>'T_SelfStock'!BJ48</f>
        <v/>
      </c>
      <c r="BM1028">
        <f>'T_SelfStock'!BK48</f>
        <v/>
      </c>
      <c r="BN1028">
        <f>'T_SelfStock'!BL48</f>
        <v/>
      </c>
      <c r="BO1028">
        <f>'T_SelfStock'!BM48</f>
        <v/>
      </c>
      <c r="BP1028">
        <f>'T_SelfStock'!BN48</f>
        <v/>
      </c>
      <c r="BQ1028">
        <f>'T_SelfStock'!BO48</f>
        <v/>
      </c>
      <c r="BR1028">
        <f>'T_SelfStock'!BP48</f>
        <v/>
      </c>
      <c r="BS1028">
        <f>'T_SelfStock'!BQ48</f>
        <v/>
      </c>
      <c r="BT1028">
        <f>'T_SelfStock'!BR48</f>
        <v/>
      </c>
      <c r="BU1028">
        <f>'T_SelfStock'!BS48</f>
        <v/>
      </c>
      <c r="BV1028">
        <f>'T_SelfStock'!BT48</f>
        <v/>
      </c>
      <c r="BW1028">
        <f>'T_SelfStock'!BU48</f>
        <v/>
      </c>
      <c r="BX1028">
        <f>'T_SelfStock'!BV48</f>
        <v/>
      </c>
      <c r="BY1028">
        <f>'T_SelfStock'!BW48</f>
        <v/>
      </c>
      <c r="BZ1028">
        <f>'T_SelfStock'!BX48</f>
        <v/>
      </c>
      <c r="CA1028">
        <f>'T_SelfStock'!BY48</f>
        <v/>
      </c>
      <c r="CB1028">
        <f>'T_SelfStock'!BZ48</f>
        <v/>
      </c>
      <c r="CC1028">
        <f>'T_SelfStock'!CA48</f>
        <v/>
      </c>
      <c r="CD1028">
        <f>'T_SelfStock'!CB48</f>
        <v/>
      </c>
      <c r="CE1028">
        <f>'T_SelfStock'!CC48</f>
        <v/>
      </c>
      <c r="CF1028">
        <f>'T_SelfStock'!CD48</f>
        <v/>
      </c>
      <c r="CG1028">
        <f>'T_SelfStock'!CE48</f>
        <v/>
      </c>
      <c r="CH1028">
        <f>'T_SelfStock'!CF48</f>
        <v/>
      </c>
      <c r="CI1028">
        <f>'T_SelfStock'!CG48</f>
        <v/>
      </c>
      <c r="CJ1028">
        <f>'T_SelfStock'!CH48</f>
        <v/>
      </c>
      <c r="CK1028">
        <f>'T_SelfStock'!CI48</f>
        <v/>
      </c>
      <c r="CL1028">
        <f>'T_SelfStock'!CJ48</f>
        <v/>
      </c>
      <c r="CM1028">
        <f>'T_SelfStock'!CK48</f>
        <v/>
      </c>
      <c r="CN1028">
        <f>'T_SelfStock'!CL48</f>
        <v/>
      </c>
      <c r="CO1028">
        <f>'T_SelfStock'!CM48</f>
        <v/>
      </c>
      <c r="CP1028">
        <f>'T_SelfStock'!CN48</f>
        <v/>
      </c>
      <c r="CQ1028">
        <f>'T_SelfStock'!CO48</f>
        <v/>
      </c>
      <c r="CR1028">
        <f>'T_SelfStock'!CP48</f>
        <v/>
      </c>
      <c r="CS1028">
        <f>'T_SelfStock'!CQ48</f>
        <v/>
      </c>
      <c r="CT1028">
        <f>'T_SelfStock'!CR48</f>
        <v/>
      </c>
      <c r="CU1028">
        <f>'T_SelfStock'!CS48</f>
        <v/>
      </c>
      <c r="CV1028">
        <f>'T_SelfStock'!CT48</f>
        <v/>
      </c>
      <c r="CW1028">
        <f>'T_SelfStock'!CU48</f>
        <v/>
      </c>
      <c r="CX1028">
        <f>'T_SelfStock'!CV48</f>
        <v/>
      </c>
      <c r="CY1028">
        <f>'T_SelfStock'!CW48</f>
        <v/>
      </c>
      <c r="CZ1028">
        <f>'T_SelfStock'!CX48</f>
        <v/>
      </c>
      <c r="DA1028">
        <f>'T_SelfStock'!CY48</f>
        <v/>
      </c>
      <c r="DB1028">
        <f>'T_SelfStock'!CZ48</f>
        <v/>
      </c>
      <c r="DC1028">
        <f>'T_SelfStock'!DA48</f>
        <v/>
      </c>
    </row>
    <row r="1029">
      <c r="B1029" t="inlineStr">
        <is>
          <t>Order(発注予定,kg)</t>
        </is>
      </c>
      <c r="D1029">
        <f>IF(SUMIFS(T_PlannedOrders[EffectiveQty],T_PlannedOrders[Part Name],$A1021,T_PlannedOrders[WeekIndex],1)=0,"",SUMIFS(T_PlannedOrders[EffectiveQty],T_PlannedOrders[Part Name],$A1021,T_PlannedOrders[WeekIndex],1)&amp;" ("&amp;TEXT(SUMPRODUCT(MAX((T_PlannedOrders[Part Name]=$A1021)*(T_PlannedOrders[WeekIndex]=1)*(T_PlannedOrders[EffectiveQty]&gt;0)*T_PlannedOrders[Order_Month])),"m月")&amp;"発注)")</f>
        <v/>
      </c>
      <c r="E1029">
        <f>IF(SUMIFS(T_PlannedOrders[EffectiveQty],T_PlannedOrders[Part Name],$A1021,T_PlannedOrders[WeekIndex],2)=0,"",SUMIFS(T_PlannedOrders[EffectiveQty],T_PlannedOrders[Part Name],$A1021,T_PlannedOrders[WeekIndex],2)&amp;" ("&amp;TEXT(SUMPRODUCT(MAX((T_PlannedOrders[Part Name]=$A1021)*(T_PlannedOrders[WeekIndex]=2)*(T_PlannedOrders[EffectiveQty]&gt;0)*T_PlannedOrders[Order_Month])),"m月")&amp;"発注)")</f>
        <v/>
      </c>
      <c r="F1029">
        <f>IF(SUMIFS(T_PlannedOrders[EffectiveQty],T_PlannedOrders[Part Name],$A1021,T_PlannedOrders[WeekIndex],3)=0,"",SUMIFS(T_PlannedOrders[EffectiveQty],T_PlannedOrders[Part Name],$A1021,T_PlannedOrders[WeekIndex],3)&amp;" ("&amp;TEXT(SUMPRODUCT(MAX((T_PlannedOrders[Part Name]=$A1021)*(T_PlannedOrders[WeekIndex]=3)*(T_PlannedOrders[EffectiveQty]&gt;0)*T_PlannedOrders[Order_Month])),"m月")&amp;"発注)")</f>
        <v/>
      </c>
      <c r="G1029">
        <f>IF(SUMIFS(T_PlannedOrders[EffectiveQty],T_PlannedOrders[Part Name],$A1021,T_PlannedOrders[WeekIndex],4)=0,"",SUMIFS(T_PlannedOrders[EffectiveQty],T_PlannedOrders[Part Name],$A1021,T_PlannedOrders[WeekIndex],4)&amp;" ("&amp;TEXT(SUMPRODUCT(MAX((T_PlannedOrders[Part Name]=$A1021)*(T_PlannedOrders[WeekIndex]=4)*(T_PlannedOrders[EffectiveQty]&gt;0)*T_PlannedOrders[Order_Month])),"m月")&amp;"発注)")</f>
        <v/>
      </c>
      <c r="H1029">
        <f>IF(SUMIFS(T_PlannedOrders[EffectiveQty],T_PlannedOrders[Part Name],$A1021,T_PlannedOrders[WeekIndex],5)=0,"",SUMIFS(T_PlannedOrders[EffectiveQty],T_PlannedOrders[Part Name],$A1021,T_PlannedOrders[WeekIndex],5)&amp;" ("&amp;TEXT(SUMPRODUCT(MAX((T_PlannedOrders[Part Name]=$A1021)*(T_PlannedOrders[WeekIndex]=5)*(T_PlannedOrders[EffectiveQty]&gt;0)*T_PlannedOrders[Order_Month])),"m月")&amp;"発注)")</f>
        <v/>
      </c>
      <c r="I1029">
        <f>IF(SUMIFS(T_PlannedOrders[EffectiveQty],T_PlannedOrders[Part Name],$A1021,T_PlannedOrders[WeekIndex],6)=0,"",SUMIFS(T_PlannedOrders[EffectiveQty],T_PlannedOrders[Part Name],$A1021,T_PlannedOrders[WeekIndex],6)&amp;" ("&amp;TEXT(SUMPRODUCT(MAX((T_PlannedOrders[Part Name]=$A1021)*(T_PlannedOrders[WeekIndex]=6)*(T_PlannedOrders[EffectiveQty]&gt;0)*T_PlannedOrders[Order_Month])),"m月")&amp;"発注)")</f>
        <v/>
      </c>
      <c r="J1029">
        <f>IF(SUMIFS(T_PlannedOrders[EffectiveQty],T_PlannedOrders[Part Name],$A1021,T_PlannedOrders[WeekIndex],7)=0,"",SUMIFS(T_PlannedOrders[EffectiveQty],T_PlannedOrders[Part Name],$A1021,T_PlannedOrders[WeekIndex],7)&amp;" ("&amp;TEXT(SUMPRODUCT(MAX((T_PlannedOrders[Part Name]=$A1021)*(T_PlannedOrders[WeekIndex]=7)*(T_PlannedOrders[EffectiveQty]&gt;0)*T_PlannedOrders[Order_Month])),"m月")&amp;"発注)")</f>
        <v/>
      </c>
      <c r="K1029">
        <f>IF(SUMIFS(T_PlannedOrders[EffectiveQty],T_PlannedOrders[Part Name],$A1021,T_PlannedOrders[WeekIndex],8)=0,"",SUMIFS(T_PlannedOrders[EffectiveQty],T_PlannedOrders[Part Name],$A1021,T_PlannedOrders[WeekIndex],8)&amp;" ("&amp;TEXT(SUMPRODUCT(MAX((T_PlannedOrders[Part Name]=$A1021)*(T_PlannedOrders[WeekIndex]=8)*(T_PlannedOrders[EffectiveQty]&gt;0)*T_PlannedOrders[Order_Month])),"m月")&amp;"発注)")</f>
        <v/>
      </c>
      <c r="L1029">
        <f>IF(SUMIFS(T_PlannedOrders[EffectiveQty],T_PlannedOrders[Part Name],$A1021,T_PlannedOrders[WeekIndex],9)=0,"",SUMIFS(T_PlannedOrders[EffectiveQty],T_PlannedOrders[Part Name],$A1021,T_PlannedOrders[WeekIndex],9)&amp;" ("&amp;TEXT(SUMPRODUCT(MAX((T_PlannedOrders[Part Name]=$A1021)*(T_PlannedOrders[WeekIndex]=9)*(T_PlannedOrders[EffectiveQty]&gt;0)*T_PlannedOrders[Order_Month])),"m月")&amp;"発注)")</f>
        <v/>
      </c>
      <c r="M1029">
        <f>IF(SUMIFS(T_PlannedOrders[EffectiveQty],T_PlannedOrders[Part Name],$A1021,T_PlannedOrders[WeekIndex],10)=0,"",SUMIFS(T_PlannedOrders[EffectiveQty],T_PlannedOrders[Part Name],$A1021,T_PlannedOrders[WeekIndex],10)&amp;" ("&amp;TEXT(SUMPRODUCT(MAX((T_PlannedOrders[Part Name]=$A1021)*(T_PlannedOrders[WeekIndex]=10)*(T_PlannedOrders[EffectiveQty]&gt;0)*T_PlannedOrders[Order_Month])),"m月")&amp;"発注)")</f>
        <v/>
      </c>
      <c r="N1029">
        <f>IF(SUMIFS(T_PlannedOrders[EffectiveQty],T_PlannedOrders[Part Name],$A1021,T_PlannedOrders[WeekIndex],11)=0,"",SUMIFS(T_PlannedOrders[EffectiveQty],T_PlannedOrders[Part Name],$A1021,T_PlannedOrders[WeekIndex],11)&amp;" ("&amp;TEXT(SUMPRODUCT(MAX((T_PlannedOrders[Part Name]=$A1021)*(T_PlannedOrders[WeekIndex]=11)*(T_PlannedOrders[EffectiveQty]&gt;0)*T_PlannedOrders[Order_Month])),"m月")&amp;"発注)")</f>
        <v/>
      </c>
      <c r="O1029">
        <f>IF(SUMIFS(T_PlannedOrders[EffectiveQty],T_PlannedOrders[Part Name],$A1021,T_PlannedOrders[WeekIndex],12)=0,"",SUMIFS(T_PlannedOrders[EffectiveQty],T_PlannedOrders[Part Name],$A1021,T_PlannedOrders[WeekIndex],12)&amp;" ("&amp;TEXT(SUMPRODUCT(MAX((T_PlannedOrders[Part Name]=$A1021)*(T_PlannedOrders[WeekIndex]=12)*(T_PlannedOrders[EffectiveQty]&gt;0)*T_PlannedOrders[Order_Month])),"m月")&amp;"発注)")</f>
        <v/>
      </c>
      <c r="P1029">
        <f>IF(SUMIFS(T_PlannedOrders[EffectiveQty],T_PlannedOrders[Part Name],$A1021,T_PlannedOrders[WeekIndex],13)=0,"",SUMIFS(T_PlannedOrders[EffectiveQty],T_PlannedOrders[Part Name],$A1021,T_PlannedOrders[WeekIndex],13)&amp;" ("&amp;TEXT(SUMPRODUCT(MAX((T_PlannedOrders[Part Name]=$A1021)*(T_PlannedOrders[WeekIndex]=13)*(T_PlannedOrders[EffectiveQty]&gt;0)*T_PlannedOrders[Order_Month])),"m月")&amp;"発注)")</f>
        <v/>
      </c>
      <c r="Q1029">
        <f>IF(SUMIFS(T_PlannedOrders[EffectiveQty],T_PlannedOrders[Part Name],$A1021,T_PlannedOrders[WeekIndex],14)=0,"",SUMIFS(T_PlannedOrders[EffectiveQty],T_PlannedOrders[Part Name],$A1021,T_PlannedOrders[WeekIndex],14)&amp;" ("&amp;TEXT(SUMPRODUCT(MAX((T_PlannedOrders[Part Name]=$A1021)*(T_PlannedOrders[WeekIndex]=14)*(T_PlannedOrders[EffectiveQty]&gt;0)*T_PlannedOrders[Order_Month])),"m月")&amp;"発注)")</f>
        <v/>
      </c>
      <c r="R1029">
        <f>IF(SUMIFS(T_PlannedOrders[EffectiveQty],T_PlannedOrders[Part Name],$A1021,T_PlannedOrders[WeekIndex],15)=0,"",SUMIFS(T_PlannedOrders[EffectiveQty],T_PlannedOrders[Part Name],$A1021,T_PlannedOrders[WeekIndex],15)&amp;" ("&amp;TEXT(SUMPRODUCT(MAX((T_PlannedOrders[Part Name]=$A1021)*(T_PlannedOrders[WeekIndex]=15)*(T_PlannedOrders[EffectiveQty]&gt;0)*T_PlannedOrders[Order_Month])),"m月")&amp;"発注)")</f>
        <v/>
      </c>
      <c r="S1029">
        <f>IF(SUMIFS(T_PlannedOrders[EffectiveQty],T_PlannedOrders[Part Name],$A1021,T_PlannedOrders[WeekIndex],16)=0,"",SUMIFS(T_PlannedOrders[EffectiveQty],T_PlannedOrders[Part Name],$A1021,T_PlannedOrders[WeekIndex],16)&amp;" ("&amp;TEXT(SUMPRODUCT(MAX((T_PlannedOrders[Part Name]=$A1021)*(T_PlannedOrders[WeekIndex]=16)*(T_PlannedOrders[EffectiveQty]&gt;0)*T_PlannedOrders[Order_Month])),"m月")&amp;"発注)")</f>
        <v/>
      </c>
      <c r="T1029">
        <f>IF(SUMIFS(T_PlannedOrders[EffectiveQty],T_PlannedOrders[Part Name],$A1021,T_PlannedOrders[WeekIndex],17)=0,"",SUMIFS(T_PlannedOrders[EffectiveQty],T_PlannedOrders[Part Name],$A1021,T_PlannedOrders[WeekIndex],17)&amp;" ("&amp;TEXT(SUMPRODUCT(MAX((T_PlannedOrders[Part Name]=$A1021)*(T_PlannedOrders[WeekIndex]=17)*(T_PlannedOrders[EffectiveQty]&gt;0)*T_PlannedOrders[Order_Month])),"m月")&amp;"発注)")</f>
        <v/>
      </c>
      <c r="U1029">
        <f>IF(SUMIFS(T_PlannedOrders[EffectiveQty],T_PlannedOrders[Part Name],$A1021,T_PlannedOrders[WeekIndex],18)=0,"",SUMIFS(T_PlannedOrders[EffectiveQty],T_PlannedOrders[Part Name],$A1021,T_PlannedOrders[WeekIndex],18)&amp;" ("&amp;TEXT(SUMPRODUCT(MAX((T_PlannedOrders[Part Name]=$A1021)*(T_PlannedOrders[WeekIndex]=18)*(T_PlannedOrders[EffectiveQty]&gt;0)*T_PlannedOrders[Order_Month])),"m月")&amp;"発注)")</f>
        <v/>
      </c>
      <c r="V1029">
        <f>IF(SUMIFS(T_PlannedOrders[EffectiveQty],T_PlannedOrders[Part Name],$A1021,T_PlannedOrders[WeekIndex],19)=0,"",SUMIFS(T_PlannedOrders[EffectiveQty],T_PlannedOrders[Part Name],$A1021,T_PlannedOrders[WeekIndex],19)&amp;" ("&amp;TEXT(SUMPRODUCT(MAX((T_PlannedOrders[Part Name]=$A1021)*(T_PlannedOrders[WeekIndex]=19)*(T_PlannedOrders[EffectiveQty]&gt;0)*T_PlannedOrders[Order_Month])),"m月")&amp;"発注)")</f>
        <v/>
      </c>
      <c r="W1029">
        <f>IF(SUMIFS(T_PlannedOrders[EffectiveQty],T_PlannedOrders[Part Name],$A1021,T_PlannedOrders[WeekIndex],20)=0,"",SUMIFS(T_PlannedOrders[EffectiveQty],T_PlannedOrders[Part Name],$A1021,T_PlannedOrders[WeekIndex],20)&amp;" ("&amp;TEXT(SUMPRODUCT(MAX((T_PlannedOrders[Part Name]=$A1021)*(T_PlannedOrders[WeekIndex]=20)*(T_PlannedOrders[EffectiveQty]&gt;0)*T_PlannedOrders[Order_Month])),"m月")&amp;"発注)")</f>
        <v/>
      </c>
      <c r="X1029">
        <f>IF(SUMIFS(T_PlannedOrders[EffectiveQty],T_PlannedOrders[Part Name],$A1021,T_PlannedOrders[WeekIndex],21)=0,"",SUMIFS(T_PlannedOrders[EffectiveQty],T_PlannedOrders[Part Name],$A1021,T_PlannedOrders[WeekIndex],21)&amp;" ("&amp;TEXT(SUMPRODUCT(MAX((T_PlannedOrders[Part Name]=$A1021)*(T_PlannedOrders[WeekIndex]=21)*(T_PlannedOrders[EffectiveQty]&gt;0)*T_PlannedOrders[Order_Month])),"m月")&amp;"発注)")</f>
        <v/>
      </c>
      <c r="Y1029">
        <f>IF(SUMIFS(T_PlannedOrders[EffectiveQty],T_PlannedOrders[Part Name],$A1021,T_PlannedOrders[WeekIndex],22)=0,"",SUMIFS(T_PlannedOrders[EffectiveQty],T_PlannedOrders[Part Name],$A1021,T_PlannedOrders[WeekIndex],22)&amp;" ("&amp;TEXT(SUMPRODUCT(MAX((T_PlannedOrders[Part Name]=$A1021)*(T_PlannedOrders[WeekIndex]=22)*(T_PlannedOrders[EffectiveQty]&gt;0)*T_PlannedOrders[Order_Month])),"m月")&amp;"発注)")</f>
        <v/>
      </c>
      <c r="Z1029">
        <f>IF(SUMIFS(T_PlannedOrders[EffectiveQty],T_PlannedOrders[Part Name],$A1021,T_PlannedOrders[WeekIndex],23)=0,"",SUMIFS(T_PlannedOrders[EffectiveQty],T_PlannedOrders[Part Name],$A1021,T_PlannedOrders[WeekIndex],23)&amp;" ("&amp;TEXT(SUMPRODUCT(MAX((T_PlannedOrders[Part Name]=$A1021)*(T_PlannedOrders[WeekIndex]=23)*(T_PlannedOrders[EffectiveQty]&gt;0)*T_PlannedOrders[Order_Month])),"m月")&amp;"発注)")</f>
        <v/>
      </c>
      <c r="AA1029">
        <f>IF(SUMIFS(T_PlannedOrders[EffectiveQty],T_PlannedOrders[Part Name],$A1021,T_PlannedOrders[WeekIndex],24)=0,"",SUMIFS(T_PlannedOrders[EffectiveQty],T_PlannedOrders[Part Name],$A1021,T_PlannedOrders[WeekIndex],24)&amp;" ("&amp;TEXT(SUMPRODUCT(MAX((T_PlannedOrders[Part Name]=$A1021)*(T_PlannedOrders[WeekIndex]=24)*(T_PlannedOrders[EffectiveQty]&gt;0)*T_PlannedOrders[Order_Month])),"m月")&amp;"発注)")</f>
        <v/>
      </c>
      <c r="AB1029">
        <f>IF(SUMIFS(T_PlannedOrders[EffectiveQty],T_PlannedOrders[Part Name],$A1021,T_PlannedOrders[WeekIndex],25)=0,"",SUMIFS(T_PlannedOrders[EffectiveQty],T_PlannedOrders[Part Name],$A1021,T_PlannedOrders[WeekIndex],25)&amp;" ("&amp;TEXT(SUMPRODUCT(MAX((T_PlannedOrders[Part Name]=$A1021)*(T_PlannedOrders[WeekIndex]=25)*(T_PlannedOrders[EffectiveQty]&gt;0)*T_PlannedOrders[Order_Month])),"m月")&amp;"発注)")</f>
        <v/>
      </c>
      <c r="AC1029">
        <f>IF(SUMIFS(T_PlannedOrders[EffectiveQty],T_PlannedOrders[Part Name],$A1021,T_PlannedOrders[WeekIndex],26)=0,"",SUMIFS(T_PlannedOrders[EffectiveQty],T_PlannedOrders[Part Name],$A1021,T_PlannedOrders[WeekIndex],26)&amp;" ("&amp;TEXT(SUMPRODUCT(MAX((T_PlannedOrders[Part Name]=$A1021)*(T_PlannedOrders[WeekIndex]=26)*(T_PlannedOrders[EffectiveQty]&gt;0)*T_PlannedOrders[Order_Month])),"m月")&amp;"発注)")</f>
        <v/>
      </c>
      <c r="AD1029">
        <f>IF(SUMIFS(T_PlannedOrders[EffectiveQty],T_PlannedOrders[Part Name],$A1021,T_PlannedOrders[WeekIndex],27)=0,"",SUMIFS(T_PlannedOrders[EffectiveQty],T_PlannedOrders[Part Name],$A1021,T_PlannedOrders[WeekIndex],27)&amp;" ("&amp;TEXT(SUMPRODUCT(MAX((T_PlannedOrders[Part Name]=$A1021)*(T_PlannedOrders[WeekIndex]=27)*(T_PlannedOrders[EffectiveQty]&gt;0)*T_PlannedOrders[Order_Month])),"m月")&amp;"発注)")</f>
        <v/>
      </c>
      <c r="AE1029">
        <f>IF(SUMIFS(T_PlannedOrders[EffectiveQty],T_PlannedOrders[Part Name],$A1021,T_PlannedOrders[WeekIndex],28)=0,"",SUMIFS(T_PlannedOrders[EffectiveQty],T_PlannedOrders[Part Name],$A1021,T_PlannedOrders[WeekIndex],28)&amp;" ("&amp;TEXT(SUMPRODUCT(MAX((T_PlannedOrders[Part Name]=$A1021)*(T_PlannedOrders[WeekIndex]=28)*(T_PlannedOrders[EffectiveQty]&gt;0)*T_PlannedOrders[Order_Month])),"m月")&amp;"発注)")</f>
        <v/>
      </c>
      <c r="AF1029">
        <f>IF(SUMIFS(T_PlannedOrders[EffectiveQty],T_PlannedOrders[Part Name],$A1021,T_PlannedOrders[WeekIndex],29)=0,"",SUMIFS(T_PlannedOrders[EffectiveQty],T_PlannedOrders[Part Name],$A1021,T_PlannedOrders[WeekIndex],29)&amp;" ("&amp;TEXT(SUMPRODUCT(MAX((T_PlannedOrders[Part Name]=$A1021)*(T_PlannedOrders[WeekIndex]=29)*(T_PlannedOrders[EffectiveQty]&gt;0)*T_PlannedOrders[Order_Month])),"m月")&amp;"発注)")</f>
        <v/>
      </c>
      <c r="AG1029">
        <f>IF(SUMIFS(T_PlannedOrders[EffectiveQty],T_PlannedOrders[Part Name],$A1021,T_PlannedOrders[WeekIndex],30)=0,"",SUMIFS(T_PlannedOrders[EffectiveQty],T_PlannedOrders[Part Name],$A1021,T_PlannedOrders[WeekIndex],30)&amp;" ("&amp;TEXT(SUMPRODUCT(MAX((T_PlannedOrders[Part Name]=$A1021)*(T_PlannedOrders[WeekIndex]=30)*(T_PlannedOrders[EffectiveQty]&gt;0)*T_PlannedOrders[Order_Month])),"m月")&amp;"発注)")</f>
        <v/>
      </c>
      <c r="AH1029">
        <f>IF(SUMIFS(T_PlannedOrders[EffectiveQty],T_PlannedOrders[Part Name],$A1021,T_PlannedOrders[WeekIndex],31)=0,"",SUMIFS(T_PlannedOrders[EffectiveQty],T_PlannedOrders[Part Name],$A1021,T_PlannedOrders[WeekIndex],31)&amp;" ("&amp;TEXT(SUMPRODUCT(MAX((T_PlannedOrders[Part Name]=$A1021)*(T_PlannedOrders[WeekIndex]=31)*(T_PlannedOrders[EffectiveQty]&gt;0)*T_PlannedOrders[Order_Month])),"m月")&amp;"発注)")</f>
        <v/>
      </c>
      <c r="AI1029">
        <f>IF(SUMIFS(T_PlannedOrders[EffectiveQty],T_PlannedOrders[Part Name],$A1021,T_PlannedOrders[WeekIndex],32)=0,"",SUMIFS(T_PlannedOrders[EffectiveQty],T_PlannedOrders[Part Name],$A1021,T_PlannedOrders[WeekIndex],32)&amp;" ("&amp;TEXT(SUMPRODUCT(MAX((T_PlannedOrders[Part Name]=$A1021)*(T_PlannedOrders[WeekIndex]=32)*(T_PlannedOrders[EffectiveQty]&gt;0)*T_PlannedOrders[Order_Month])),"m月")&amp;"発注)")</f>
        <v/>
      </c>
      <c r="AJ1029">
        <f>IF(SUMIFS(T_PlannedOrders[EffectiveQty],T_PlannedOrders[Part Name],$A1021,T_PlannedOrders[WeekIndex],33)=0,"",SUMIFS(T_PlannedOrders[EffectiveQty],T_PlannedOrders[Part Name],$A1021,T_PlannedOrders[WeekIndex],33)&amp;" ("&amp;TEXT(SUMPRODUCT(MAX((T_PlannedOrders[Part Name]=$A1021)*(T_PlannedOrders[WeekIndex]=33)*(T_PlannedOrders[EffectiveQty]&gt;0)*T_PlannedOrders[Order_Month])),"m月")&amp;"発注)")</f>
        <v/>
      </c>
      <c r="AK1029">
        <f>IF(SUMIFS(T_PlannedOrders[EffectiveQty],T_PlannedOrders[Part Name],$A1021,T_PlannedOrders[WeekIndex],34)=0,"",SUMIFS(T_PlannedOrders[EffectiveQty],T_PlannedOrders[Part Name],$A1021,T_PlannedOrders[WeekIndex],34)&amp;" ("&amp;TEXT(SUMPRODUCT(MAX((T_PlannedOrders[Part Name]=$A1021)*(T_PlannedOrders[WeekIndex]=34)*(T_PlannedOrders[EffectiveQty]&gt;0)*T_PlannedOrders[Order_Month])),"m月")&amp;"発注)")</f>
        <v/>
      </c>
      <c r="AL1029">
        <f>IF(SUMIFS(T_PlannedOrders[EffectiveQty],T_PlannedOrders[Part Name],$A1021,T_PlannedOrders[WeekIndex],35)=0,"",SUMIFS(T_PlannedOrders[EffectiveQty],T_PlannedOrders[Part Name],$A1021,T_PlannedOrders[WeekIndex],35)&amp;" ("&amp;TEXT(SUMPRODUCT(MAX((T_PlannedOrders[Part Name]=$A1021)*(T_PlannedOrders[WeekIndex]=35)*(T_PlannedOrders[EffectiveQty]&gt;0)*T_PlannedOrders[Order_Month])),"m月")&amp;"発注)")</f>
        <v/>
      </c>
      <c r="AM1029">
        <f>IF(SUMIFS(T_PlannedOrders[EffectiveQty],T_PlannedOrders[Part Name],$A1021,T_PlannedOrders[WeekIndex],36)=0,"",SUMIFS(T_PlannedOrders[EffectiveQty],T_PlannedOrders[Part Name],$A1021,T_PlannedOrders[WeekIndex],36)&amp;" ("&amp;TEXT(SUMPRODUCT(MAX((T_PlannedOrders[Part Name]=$A1021)*(T_PlannedOrders[WeekIndex]=36)*(T_PlannedOrders[EffectiveQty]&gt;0)*T_PlannedOrders[Order_Month])),"m月")&amp;"発注)")</f>
        <v/>
      </c>
      <c r="AN1029">
        <f>IF(SUMIFS(T_PlannedOrders[EffectiveQty],T_PlannedOrders[Part Name],$A1021,T_PlannedOrders[WeekIndex],37)=0,"",SUMIFS(T_PlannedOrders[EffectiveQty],T_PlannedOrders[Part Name],$A1021,T_PlannedOrders[WeekIndex],37)&amp;" ("&amp;TEXT(SUMPRODUCT(MAX((T_PlannedOrders[Part Name]=$A1021)*(T_PlannedOrders[WeekIndex]=37)*(T_PlannedOrders[EffectiveQty]&gt;0)*T_PlannedOrders[Order_Month])),"m月")&amp;"発注)")</f>
        <v/>
      </c>
      <c r="AO1029">
        <f>IF(SUMIFS(T_PlannedOrders[EffectiveQty],T_PlannedOrders[Part Name],$A1021,T_PlannedOrders[WeekIndex],38)=0,"",SUMIFS(T_PlannedOrders[EffectiveQty],T_PlannedOrders[Part Name],$A1021,T_PlannedOrders[WeekIndex],38)&amp;" ("&amp;TEXT(SUMPRODUCT(MAX((T_PlannedOrders[Part Name]=$A1021)*(T_PlannedOrders[WeekIndex]=38)*(T_PlannedOrders[EffectiveQty]&gt;0)*T_PlannedOrders[Order_Month])),"m月")&amp;"発注)")</f>
        <v/>
      </c>
      <c r="AP1029">
        <f>IF(SUMIFS(T_PlannedOrders[EffectiveQty],T_PlannedOrders[Part Name],$A1021,T_PlannedOrders[WeekIndex],39)=0,"",SUMIFS(T_PlannedOrders[EffectiveQty],T_PlannedOrders[Part Name],$A1021,T_PlannedOrders[WeekIndex],39)&amp;" ("&amp;TEXT(SUMPRODUCT(MAX((T_PlannedOrders[Part Name]=$A1021)*(T_PlannedOrders[WeekIndex]=39)*(T_PlannedOrders[EffectiveQty]&gt;0)*T_PlannedOrders[Order_Month])),"m月")&amp;"発注)")</f>
        <v/>
      </c>
      <c r="AQ1029">
        <f>IF(SUMIFS(T_PlannedOrders[EffectiveQty],T_PlannedOrders[Part Name],$A1021,T_PlannedOrders[WeekIndex],40)=0,"",SUMIFS(T_PlannedOrders[EffectiveQty],T_PlannedOrders[Part Name],$A1021,T_PlannedOrders[WeekIndex],40)&amp;" ("&amp;TEXT(SUMPRODUCT(MAX((T_PlannedOrders[Part Name]=$A1021)*(T_PlannedOrders[WeekIndex]=40)*(T_PlannedOrders[EffectiveQty]&gt;0)*T_PlannedOrders[Order_Month])),"m月")&amp;"発注)")</f>
        <v/>
      </c>
      <c r="AR1029">
        <f>IF(SUMIFS(T_PlannedOrders[EffectiveQty],T_PlannedOrders[Part Name],$A1021,T_PlannedOrders[WeekIndex],41)=0,"",SUMIFS(T_PlannedOrders[EffectiveQty],T_PlannedOrders[Part Name],$A1021,T_PlannedOrders[WeekIndex],41)&amp;" ("&amp;TEXT(SUMPRODUCT(MAX((T_PlannedOrders[Part Name]=$A1021)*(T_PlannedOrders[WeekIndex]=41)*(T_PlannedOrders[EffectiveQty]&gt;0)*T_PlannedOrders[Order_Month])),"m月")&amp;"発注)")</f>
        <v/>
      </c>
      <c r="AS1029">
        <f>IF(SUMIFS(T_PlannedOrders[EffectiveQty],T_PlannedOrders[Part Name],$A1021,T_PlannedOrders[WeekIndex],42)=0,"",SUMIFS(T_PlannedOrders[EffectiveQty],T_PlannedOrders[Part Name],$A1021,T_PlannedOrders[WeekIndex],42)&amp;" ("&amp;TEXT(SUMPRODUCT(MAX((T_PlannedOrders[Part Name]=$A1021)*(T_PlannedOrders[WeekIndex]=42)*(T_PlannedOrders[EffectiveQty]&gt;0)*T_PlannedOrders[Order_Month])),"m月")&amp;"発注)")</f>
        <v/>
      </c>
      <c r="AT1029">
        <f>IF(SUMIFS(T_PlannedOrders[EffectiveQty],T_PlannedOrders[Part Name],$A1021,T_PlannedOrders[WeekIndex],43)=0,"",SUMIFS(T_PlannedOrders[EffectiveQty],T_PlannedOrders[Part Name],$A1021,T_PlannedOrders[WeekIndex],43)&amp;" ("&amp;TEXT(SUMPRODUCT(MAX((T_PlannedOrders[Part Name]=$A1021)*(T_PlannedOrders[WeekIndex]=43)*(T_PlannedOrders[EffectiveQty]&gt;0)*T_PlannedOrders[Order_Month])),"m月")&amp;"発注)")</f>
        <v/>
      </c>
      <c r="AU1029">
        <f>IF(SUMIFS(T_PlannedOrders[EffectiveQty],T_PlannedOrders[Part Name],$A1021,T_PlannedOrders[WeekIndex],44)=0,"",SUMIFS(T_PlannedOrders[EffectiveQty],T_PlannedOrders[Part Name],$A1021,T_PlannedOrders[WeekIndex],44)&amp;" ("&amp;TEXT(SUMPRODUCT(MAX((T_PlannedOrders[Part Name]=$A1021)*(T_PlannedOrders[WeekIndex]=44)*(T_PlannedOrders[EffectiveQty]&gt;0)*T_PlannedOrders[Order_Month])),"m月")&amp;"発注)")</f>
        <v/>
      </c>
      <c r="AV1029">
        <f>IF(SUMIFS(T_PlannedOrders[EffectiveQty],T_PlannedOrders[Part Name],$A1021,T_PlannedOrders[WeekIndex],45)=0,"",SUMIFS(T_PlannedOrders[EffectiveQty],T_PlannedOrders[Part Name],$A1021,T_PlannedOrders[WeekIndex],45)&amp;" ("&amp;TEXT(SUMPRODUCT(MAX((T_PlannedOrders[Part Name]=$A1021)*(T_PlannedOrders[WeekIndex]=45)*(T_PlannedOrders[EffectiveQty]&gt;0)*T_PlannedOrders[Order_Month])),"m月")&amp;"発注)")</f>
        <v/>
      </c>
      <c r="AW1029">
        <f>IF(SUMIFS(T_PlannedOrders[EffectiveQty],T_PlannedOrders[Part Name],$A1021,T_PlannedOrders[WeekIndex],46)=0,"",SUMIFS(T_PlannedOrders[EffectiveQty],T_PlannedOrders[Part Name],$A1021,T_PlannedOrders[WeekIndex],46)&amp;" ("&amp;TEXT(SUMPRODUCT(MAX((T_PlannedOrders[Part Name]=$A1021)*(T_PlannedOrders[WeekIndex]=46)*(T_PlannedOrders[EffectiveQty]&gt;0)*T_PlannedOrders[Order_Month])),"m月")&amp;"発注)")</f>
        <v/>
      </c>
      <c r="AX1029">
        <f>IF(SUMIFS(T_PlannedOrders[EffectiveQty],T_PlannedOrders[Part Name],$A1021,T_PlannedOrders[WeekIndex],47)=0,"",SUMIFS(T_PlannedOrders[EffectiveQty],T_PlannedOrders[Part Name],$A1021,T_PlannedOrders[WeekIndex],47)&amp;" ("&amp;TEXT(SUMPRODUCT(MAX((T_PlannedOrders[Part Name]=$A1021)*(T_PlannedOrders[WeekIndex]=47)*(T_PlannedOrders[EffectiveQty]&gt;0)*T_PlannedOrders[Order_Month])),"m月")&amp;"発注)")</f>
        <v/>
      </c>
      <c r="AY1029">
        <f>IF(SUMIFS(T_PlannedOrders[EffectiveQty],T_PlannedOrders[Part Name],$A1021,T_PlannedOrders[WeekIndex],48)=0,"",SUMIFS(T_PlannedOrders[EffectiveQty],T_PlannedOrders[Part Name],$A1021,T_PlannedOrders[WeekIndex],48)&amp;" ("&amp;TEXT(SUMPRODUCT(MAX((T_PlannedOrders[Part Name]=$A1021)*(T_PlannedOrders[WeekIndex]=48)*(T_PlannedOrders[EffectiveQty]&gt;0)*T_PlannedOrders[Order_Month])),"m月")&amp;"発注)")</f>
        <v/>
      </c>
      <c r="AZ1029">
        <f>IF(SUMIFS(T_PlannedOrders[EffectiveQty],T_PlannedOrders[Part Name],$A1021,T_PlannedOrders[WeekIndex],49)=0,"",SUMIFS(T_PlannedOrders[EffectiveQty],T_PlannedOrders[Part Name],$A1021,T_PlannedOrders[WeekIndex],49)&amp;" ("&amp;TEXT(SUMPRODUCT(MAX((T_PlannedOrders[Part Name]=$A1021)*(T_PlannedOrders[WeekIndex]=49)*(T_PlannedOrders[EffectiveQty]&gt;0)*T_PlannedOrders[Order_Month])),"m月")&amp;"発注)")</f>
        <v/>
      </c>
      <c r="BA1029">
        <f>IF(SUMIFS(T_PlannedOrders[EffectiveQty],T_PlannedOrders[Part Name],$A1021,T_PlannedOrders[WeekIndex],50)=0,"",SUMIFS(T_PlannedOrders[EffectiveQty],T_PlannedOrders[Part Name],$A1021,T_PlannedOrders[WeekIndex],50)&amp;" ("&amp;TEXT(SUMPRODUCT(MAX((T_PlannedOrders[Part Name]=$A1021)*(T_PlannedOrders[WeekIndex]=50)*(T_PlannedOrders[EffectiveQty]&gt;0)*T_PlannedOrders[Order_Month])),"m月")&amp;"発注)")</f>
        <v/>
      </c>
      <c r="BB1029">
        <f>IF(SUMIFS(T_PlannedOrders[EffectiveQty],T_PlannedOrders[Part Name],$A1021,T_PlannedOrders[WeekIndex],51)=0,"",SUMIFS(T_PlannedOrders[EffectiveQty],T_PlannedOrders[Part Name],$A1021,T_PlannedOrders[WeekIndex],51)&amp;" ("&amp;TEXT(SUMPRODUCT(MAX((T_PlannedOrders[Part Name]=$A1021)*(T_PlannedOrders[WeekIndex]=51)*(T_PlannedOrders[EffectiveQty]&gt;0)*T_PlannedOrders[Order_Month])),"m月")&amp;"発注)")</f>
        <v/>
      </c>
      <c r="BC1029">
        <f>IF(SUMIFS(T_PlannedOrders[EffectiveQty],T_PlannedOrders[Part Name],$A1021,T_PlannedOrders[WeekIndex],52)=0,"",SUMIFS(T_PlannedOrders[EffectiveQty],T_PlannedOrders[Part Name],$A1021,T_PlannedOrders[WeekIndex],52)&amp;" ("&amp;TEXT(SUMPRODUCT(MAX((T_PlannedOrders[Part Name]=$A1021)*(T_PlannedOrders[WeekIndex]=52)*(T_PlannedOrders[EffectiveQty]&gt;0)*T_PlannedOrders[Order_Month])),"m月")&amp;"発注)")</f>
        <v/>
      </c>
      <c r="BD1029">
        <f>IF(SUMIFS(T_PlannedOrders[EffectiveQty],T_PlannedOrders[Part Name],$A1021,T_PlannedOrders[WeekIndex],53)=0,"",SUMIFS(T_PlannedOrders[EffectiveQty],T_PlannedOrders[Part Name],$A1021,T_PlannedOrders[WeekIndex],53)&amp;" ("&amp;TEXT(SUMPRODUCT(MAX((T_PlannedOrders[Part Name]=$A1021)*(T_PlannedOrders[WeekIndex]=53)*(T_PlannedOrders[EffectiveQty]&gt;0)*T_PlannedOrders[Order_Month])),"m月")&amp;"発注)")</f>
        <v/>
      </c>
      <c r="BE1029">
        <f>IF(SUMIFS(T_PlannedOrders[EffectiveQty],T_PlannedOrders[Part Name],$A1021,T_PlannedOrders[WeekIndex],54)=0,"",SUMIFS(T_PlannedOrders[EffectiveQty],T_PlannedOrders[Part Name],$A1021,T_PlannedOrders[WeekIndex],54)&amp;" ("&amp;TEXT(SUMPRODUCT(MAX((T_PlannedOrders[Part Name]=$A1021)*(T_PlannedOrders[WeekIndex]=54)*(T_PlannedOrders[EffectiveQty]&gt;0)*T_PlannedOrders[Order_Month])),"m月")&amp;"発注)")</f>
        <v/>
      </c>
      <c r="BF1029">
        <f>IF(SUMIFS(T_PlannedOrders[EffectiveQty],T_PlannedOrders[Part Name],$A1021,T_PlannedOrders[WeekIndex],55)=0,"",SUMIFS(T_PlannedOrders[EffectiveQty],T_PlannedOrders[Part Name],$A1021,T_PlannedOrders[WeekIndex],55)&amp;" ("&amp;TEXT(SUMPRODUCT(MAX((T_PlannedOrders[Part Name]=$A1021)*(T_PlannedOrders[WeekIndex]=55)*(T_PlannedOrders[EffectiveQty]&gt;0)*T_PlannedOrders[Order_Month])),"m月")&amp;"発注)")</f>
        <v/>
      </c>
      <c r="BG1029">
        <f>IF(SUMIFS(T_PlannedOrders[EffectiveQty],T_PlannedOrders[Part Name],$A1021,T_PlannedOrders[WeekIndex],56)=0,"",SUMIFS(T_PlannedOrders[EffectiveQty],T_PlannedOrders[Part Name],$A1021,T_PlannedOrders[WeekIndex],56)&amp;" ("&amp;TEXT(SUMPRODUCT(MAX((T_PlannedOrders[Part Name]=$A1021)*(T_PlannedOrders[WeekIndex]=56)*(T_PlannedOrders[EffectiveQty]&gt;0)*T_PlannedOrders[Order_Month])),"m月")&amp;"発注)")</f>
        <v/>
      </c>
      <c r="BH1029">
        <f>IF(SUMIFS(T_PlannedOrders[EffectiveQty],T_PlannedOrders[Part Name],$A1021,T_PlannedOrders[WeekIndex],57)=0,"",SUMIFS(T_PlannedOrders[EffectiveQty],T_PlannedOrders[Part Name],$A1021,T_PlannedOrders[WeekIndex],57)&amp;" ("&amp;TEXT(SUMPRODUCT(MAX((T_PlannedOrders[Part Name]=$A1021)*(T_PlannedOrders[WeekIndex]=57)*(T_PlannedOrders[EffectiveQty]&gt;0)*T_PlannedOrders[Order_Month])),"m月")&amp;"発注)")</f>
        <v/>
      </c>
      <c r="BI1029">
        <f>IF(SUMIFS(T_PlannedOrders[EffectiveQty],T_PlannedOrders[Part Name],$A1021,T_PlannedOrders[WeekIndex],58)=0,"",SUMIFS(T_PlannedOrders[EffectiveQty],T_PlannedOrders[Part Name],$A1021,T_PlannedOrders[WeekIndex],58)&amp;" ("&amp;TEXT(SUMPRODUCT(MAX((T_PlannedOrders[Part Name]=$A1021)*(T_PlannedOrders[WeekIndex]=58)*(T_PlannedOrders[EffectiveQty]&gt;0)*T_PlannedOrders[Order_Month])),"m月")&amp;"発注)")</f>
        <v/>
      </c>
      <c r="BJ1029">
        <f>IF(SUMIFS(T_PlannedOrders[EffectiveQty],T_PlannedOrders[Part Name],$A1021,T_PlannedOrders[WeekIndex],59)=0,"",SUMIFS(T_PlannedOrders[EffectiveQty],T_PlannedOrders[Part Name],$A1021,T_PlannedOrders[WeekIndex],59)&amp;" ("&amp;TEXT(SUMPRODUCT(MAX((T_PlannedOrders[Part Name]=$A1021)*(T_PlannedOrders[WeekIndex]=59)*(T_PlannedOrders[EffectiveQty]&gt;0)*T_PlannedOrders[Order_Month])),"m月")&amp;"発注)")</f>
        <v/>
      </c>
      <c r="BK1029">
        <f>IF(SUMIFS(T_PlannedOrders[EffectiveQty],T_PlannedOrders[Part Name],$A1021,T_PlannedOrders[WeekIndex],60)=0,"",SUMIFS(T_PlannedOrders[EffectiveQty],T_PlannedOrders[Part Name],$A1021,T_PlannedOrders[WeekIndex],60)&amp;" ("&amp;TEXT(SUMPRODUCT(MAX((T_PlannedOrders[Part Name]=$A1021)*(T_PlannedOrders[WeekIndex]=60)*(T_PlannedOrders[EffectiveQty]&gt;0)*T_PlannedOrders[Order_Month])),"m月")&amp;"発注)")</f>
        <v/>
      </c>
      <c r="BL1029">
        <f>IF(SUMIFS(T_PlannedOrders[EffectiveQty],T_PlannedOrders[Part Name],$A1021,T_PlannedOrders[WeekIndex],61)=0,"",SUMIFS(T_PlannedOrders[EffectiveQty],T_PlannedOrders[Part Name],$A1021,T_PlannedOrders[WeekIndex],61)&amp;" ("&amp;TEXT(SUMPRODUCT(MAX((T_PlannedOrders[Part Name]=$A1021)*(T_PlannedOrders[WeekIndex]=61)*(T_PlannedOrders[EffectiveQty]&gt;0)*T_PlannedOrders[Order_Month])),"m月")&amp;"発注)")</f>
        <v/>
      </c>
      <c r="BM1029">
        <f>IF(SUMIFS(T_PlannedOrders[EffectiveQty],T_PlannedOrders[Part Name],$A1021,T_PlannedOrders[WeekIndex],62)=0,"",SUMIFS(T_PlannedOrders[EffectiveQty],T_PlannedOrders[Part Name],$A1021,T_PlannedOrders[WeekIndex],62)&amp;" ("&amp;TEXT(SUMPRODUCT(MAX((T_PlannedOrders[Part Name]=$A1021)*(T_PlannedOrders[WeekIndex]=62)*(T_PlannedOrders[EffectiveQty]&gt;0)*T_PlannedOrders[Order_Month])),"m月")&amp;"発注)")</f>
        <v/>
      </c>
      <c r="BN1029">
        <f>IF(SUMIFS(T_PlannedOrders[EffectiveQty],T_PlannedOrders[Part Name],$A1021,T_PlannedOrders[WeekIndex],63)=0,"",SUMIFS(T_PlannedOrders[EffectiveQty],T_PlannedOrders[Part Name],$A1021,T_PlannedOrders[WeekIndex],63)&amp;" ("&amp;TEXT(SUMPRODUCT(MAX((T_PlannedOrders[Part Name]=$A1021)*(T_PlannedOrders[WeekIndex]=63)*(T_PlannedOrders[EffectiveQty]&gt;0)*T_PlannedOrders[Order_Month])),"m月")&amp;"発注)")</f>
        <v/>
      </c>
      <c r="BO1029">
        <f>IF(SUMIFS(T_PlannedOrders[EffectiveQty],T_PlannedOrders[Part Name],$A1021,T_PlannedOrders[WeekIndex],64)=0,"",SUMIFS(T_PlannedOrders[EffectiveQty],T_PlannedOrders[Part Name],$A1021,T_PlannedOrders[WeekIndex],64)&amp;" ("&amp;TEXT(SUMPRODUCT(MAX((T_PlannedOrders[Part Name]=$A1021)*(T_PlannedOrders[WeekIndex]=64)*(T_PlannedOrders[EffectiveQty]&gt;0)*T_PlannedOrders[Order_Month])),"m月")&amp;"発注)")</f>
        <v/>
      </c>
      <c r="BP1029">
        <f>IF(SUMIFS(T_PlannedOrders[EffectiveQty],T_PlannedOrders[Part Name],$A1021,T_PlannedOrders[WeekIndex],65)=0,"",SUMIFS(T_PlannedOrders[EffectiveQty],T_PlannedOrders[Part Name],$A1021,T_PlannedOrders[WeekIndex],65)&amp;" ("&amp;TEXT(SUMPRODUCT(MAX((T_PlannedOrders[Part Name]=$A1021)*(T_PlannedOrders[WeekIndex]=65)*(T_PlannedOrders[EffectiveQty]&gt;0)*T_PlannedOrders[Order_Month])),"m月")&amp;"発注)")</f>
        <v/>
      </c>
      <c r="BQ1029">
        <f>IF(SUMIFS(T_PlannedOrders[EffectiveQty],T_PlannedOrders[Part Name],$A1021,T_PlannedOrders[WeekIndex],66)=0,"",SUMIFS(T_PlannedOrders[EffectiveQty],T_PlannedOrders[Part Name],$A1021,T_PlannedOrders[WeekIndex],66)&amp;" ("&amp;TEXT(SUMPRODUCT(MAX((T_PlannedOrders[Part Name]=$A1021)*(T_PlannedOrders[WeekIndex]=66)*(T_PlannedOrders[EffectiveQty]&gt;0)*T_PlannedOrders[Order_Month])),"m月")&amp;"発注)")</f>
        <v/>
      </c>
      <c r="BR1029">
        <f>IF(SUMIFS(T_PlannedOrders[EffectiveQty],T_PlannedOrders[Part Name],$A1021,T_PlannedOrders[WeekIndex],67)=0,"",SUMIFS(T_PlannedOrders[EffectiveQty],T_PlannedOrders[Part Name],$A1021,T_PlannedOrders[WeekIndex],67)&amp;" ("&amp;TEXT(SUMPRODUCT(MAX((T_PlannedOrders[Part Name]=$A1021)*(T_PlannedOrders[WeekIndex]=67)*(T_PlannedOrders[EffectiveQty]&gt;0)*T_PlannedOrders[Order_Month])),"m月")&amp;"発注)")</f>
        <v/>
      </c>
      <c r="BS1029">
        <f>IF(SUMIFS(T_PlannedOrders[EffectiveQty],T_PlannedOrders[Part Name],$A1021,T_PlannedOrders[WeekIndex],68)=0,"",SUMIFS(T_PlannedOrders[EffectiveQty],T_PlannedOrders[Part Name],$A1021,T_PlannedOrders[WeekIndex],68)&amp;" ("&amp;TEXT(SUMPRODUCT(MAX((T_PlannedOrders[Part Name]=$A1021)*(T_PlannedOrders[WeekIndex]=68)*(T_PlannedOrders[EffectiveQty]&gt;0)*T_PlannedOrders[Order_Month])),"m月")&amp;"発注)")</f>
        <v/>
      </c>
      <c r="BT1029">
        <f>IF(SUMIFS(T_PlannedOrders[EffectiveQty],T_PlannedOrders[Part Name],$A1021,T_PlannedOrders[WeekIndex],69)=0,"",SUMIFS(T_PlannedOrders[EffectiveQty],T_PlannedOrders[Part Name],$A1021,T_PlannedOrders[WeekIndex],69)&amp;" ("&amp;TEXT(SUMPRODUCT(MAX((T_PlannedOrders[Part Name]=$A1021)*(T_PlannedOrders[WeekIndex]=69)*(T_PlannedOrders[EffectiveQty]&gt;0)*T_PlannedOrders[Order_Month])),"m月")&amp;"発注)")</f>
        <v/>
      </c>
      <c r="BU1029">
        <f>IF(SUMIFS(T_PlannedOrders[EffectiveQty],T_PlannedOrders[Part Name],$A1021,T_PlannedOrders[WeekIndex],70)=0,"",SUMIFS(T_PlannedOrders[EffectiveQty],T_PlannedOrders[Part Name],$A1021,T_PlannedOrders[WeekIndex],70)&amp;" ("&amp;TEXT(SUMPRODUCT(MAX((T_PlannedOrders[Part Name]=$A1021)*(T_PlannedOrders[WeekIndex]=70)*(T_PlannedOrders[EffectiveQty]&gt;0)*T_PlannedOrders[Order_Month])),"m月")&amp;"発注)")</f>
        <v/>
      </c>
      <c r="BV1029">
        <f>IF(SUMIFS(T_PlannedOrders[EffectiveQty],T_PlannedOrders[Part Name],$A1021,T_PlannedOrders[WeekIndex],71)=0,"",SUMIFS(T_PlannedOrders[EffectiveQty],T_PlannedOrders[Part Name],$A1021,T_PlannedOrders[WeekIndex],71)&amp;" ("&amp;TEXT(SUMPRODUCT(MAX((T_PlannedOrders[Part Name]=$A1021)*(T_PlannedOrders[WeekIndex]=71)*(T_PlannedOrders[EffectiveQty]&gt;0)*T_PlannedOrders[Order_Month])),"m月")&amp;"発注)")</f>
        <v/>
      </c>
      <c r="BW1029">
        <f>IF(SUMIFS(T_PlannedOrders[EffectiveQty],T_PlannedOrders[Part Name],$A1021,T_PlannedOrders[WeekIndex],72)=0,"",SUMIFS(T_PlannedOrders[EffectiveQty],T_PlannedOrders[Part Name],$A1021,T_PlannedOrders[WeekIndex],72)&amp;" ("&amp;TEXT(SUMPRODUCT(MAX((T_PlannedOrders[Part Name]=$A1021)*(T_PlannedOrders[WeekIndex]=72)*(T_PlannedOrders[EffectiveQty]&gt;0)*T_PlannedOrders[Order_Month])),"m月")&amp;"発注)")</f>
        <v/>
      </c>
      <c r="BX1029">
        <f>IF(SUMIFS(T_PlannedOrders[EffectiveQty],T_PlannedOrders[Part Name],$A1021,T_PlannedOrders[WeekIndex],73)=0,"",SUMIFS(T_PlannedOrders[EffectiveQty],T_PlannedOrders[Part Name],$A1021,T_PlannedOrders[WeekIndex],73)&amp;" ("&amp;TEXT(SUMPRODUCT(MAX((T_PlannedOrders[Part Name]=$A1021)*(T_PlannedOrders[WeekIndex]=73)*(T_PlannedOrders[EffectiveQty]&gt;0)*T_PlannedOrders[Order_Month])),"m月")&amp;"発注)")</f>
        <v/>
      </c>
      <c r="BY1029">
        <f>IF(SUMIFS(T_PlannedOrders[EffectiveQty],T_PlannedOrders[Part Name],$A1021,T_PlannedOrders[WeekIndex],74)=0,"",SUMIFS(T_PlannedOrders[EffectiveQty],T_PlannedOrders[Part Name],$A1021,T_PlannedOrders[WeekIndex],74)&amp;" ("&amp;TEXT(SUMPRODUCT(MAX((T_PlannedOrders[Part Name]=$A1021)*(T_PlannedOrders[WeekIndex]=74)*(T_PlannedOrders[EffectiveQty]&gt;0)*T_PlannedOrders[Order_Month])),"m月")&amp;"発注)")</f>
        <v/>
      </c>
      <c r="BZ1029">
        <f>IF(SUMIFS(T_PlannedOrders[EffectiveQty],T_PlannedOrders[Part Name],$A1021,T_PlannedOrders[WeekIndex],75)=0,"",SUMIFS(T_PlannedOrders[EffectiveQty],T_PlannedOrders[Part Name],$A1021,T_PlannedOrders[WeekIndex],75)&amp;" ("&amp;TEXT(SUMPRODUCT(MAX((T_PlannedOrders[Part Name]=$A1021)*(T_PlannedOrders[WeekIndex]=75)*(T_PlannedOrders[EffectiveQty]&gt;0)*T_PlannedOrders[Order_Month])),"m月")&amp;"発注)")</f>
        <v/>
      </c>
      <c r="CA1029">
        <f>IF(SUMIFS(T_PlannedOrders[EffectiveQty],T_PlannedOrders[Part Name],$A1021,T_PlannedOrders[WeekIndex],76)=0,"",SUMIFS(T_PlannedOrders[EffectiveQty],T_PlannedOrders[Part Name],$A1021,T_PlannedOrders[WeekIndex],76)&amp;" ("&amp;TEXT(SUMPRODUCT(MAX((T_PlannedOrders[Part Name]=$A1021)*(T_PlannedOrders[WeekIndex]=76)*(T_PlannedOrders[EffectiveQty]&gt;0)*T_PlannedOrders[Order_Month])),"m月")&amp;"発注)")</f>
        <v/>
      </c>
      <c r="CB1029">
        <f>IF(SUMIFS(T_PlannedOrders[EffectiveQty],T_PlannedOrders[Part Name],$A1021,T_PlannedOrders[WeekIndex],77)=0,"",SUMIFS(T_PlannedOrders[EffectiveQty],T_PlannedOrders[Part Name],$A1021,T_PlannedOrders[WeekIndex],77)&amp;" ("&amp;TEXT(SUMPRODUCT(MAX((T_PlannedOrders[Part Name]=$A1021)*(T_PlannedOrders[WeekIndex]=77)*(T_PlannedOrders[EffectiveQty]&gt;0)*T_PlannedOrders[Order_Month])),"m月")&amp;"発注)")</f>
        <v/>
      </c>
      <c r="CC1029">
        <f>IF(SUMIFS(T_PlannedOrders[EffectiveQty],T_PlannedOrders[Part Name],$A1021,T_PlannedOrders[WeekIndex],78)=0,"",SUMIFS(T_PlannedOrders[EffectiveQty],T_PlannedOrders[Part Name],$A1021,T_PlannedOrders[WeekIndex],78)&amp;" ("&amp;TEXT(SUMPRODUCT(MAX((T_PlannedOrders[Part Name]=$A1021)*(T_PlannedOrders[WeekIndex]=78)*(T_PlannedOrders[EffectiveQty]&gt;0)*T_PlannedOrders[Order_Month])),"m月")&amp;"発注)")</f>
        <v/>
      </c>
      <c r="CD1029">
        <f>IF(SUMIFS(T_PlannedOrders[EffectiveQty],T_PlannedOrders[Part Name],$A1021,T_PlannedOrders[WeekIndex],79)=0,"",SUMIFS(T_PlannedOrders[EffectiveQty],T_PlannedOrders[Part Name],$A1021,T_PlannedOrders[WeekIndex],79)&amp;" ("&amp;TEXT(SUMPRODUCT(MAX((T_PlannedOrders[Part Name]=$A1021)*(T_PlannedOrders[WeekIndex]=79)*(T_PlannedOrders[EffectiveQty]&gt;0)*T_PlannedOrders[Order_Month])),"m月")&amp;"発注)")</f>
        <v/>
      </c>
      <c r="CE1029">
        <f>IF(SUMIFS(T_PlannedOrders[EffectiveQty],T_PlannedOrders[Part Name],$A1021,T_PlannedOrders[WeekIndex],80)=0,"",SUMIFS(T_PlannedOrders[EffectiveQty],T_PlannedOrders[Part Name],$A1021,T_PlannedOrders[WeekIndex],80)&amp;" ("&amp;TEXT(SUMPRODUCT(MAX((T_PlannedOrders[Part Name]=$A1021)*(T_PlannedOrders[WeekIndex]=80)*(T_PlannedOrders[EffectiveQty]&gt;0)*T_PlannedOrders[Order_Month])),"m月")&amp;"発注)")</f>
        <v/>
      </c>
      <c r="CF1029">
        <f>IF(SUMIFS(T_PlannedOrders[EffectiveQty],T_PlannedOrders[Part Name],$A1021,T_PlannedOrders[WeekIndex],81)=0,"",SUMIFS(T_PlannedOrders[EffectiveQty],T_PlannedOrders[Part Name],$A1021,T_PlannedOrders[WeekIndex],81)&amp;" ("&amp;TEXT(SUMPRODUCT(MAX((T_PlannedOrders[Part Name]=$A1021)*(T_PlannedOrders[WeekIndex]=81)*(T_PlannedOrders[EffectiveQty]&gt;0)*T_PlannedOrders[Order_Month])),"m月")&amp;"発注)")</f>
        <v/>
      </c>
      <c r="CG1029">
        <f>IF(SUMIFS(T_PlannedOrders[EffectiveQty],T_PlannedOrders[Part Name],$A1021,T_PlannedOrders[WeekIndex],82)=0,"",SUMIFS(T_PlannedOrders[EffectiveQty],T_PlannedOrders[Part Name],$A1021,T_PlannedOrders[WeekIndex],82)&amp;" ("&amp;TEXT(SUMPRODUCT(MAX((T_PlannedOrders[Part Name]=$A1021)*(T_PlannedOrders[WeekIndex]=82)*(T_PlannedOrders[EffectiveQty]&gt;0)*T_PlannedOrders[Order_Month])),"m月")&amp;"発注)")</f>
        <v/>
      </c>
      <c r="CH1029">
        <f>IF(SUMIFS(T_PlannedOrders[EffectiveQty],T_PlannedOrders[Part Name],$A1021,T_PlannedOrders[WeekIndex],83)=0,"",SUMIFS(T_PlannedOrders[EffectiveQty],T_PlannedOrders[Part Name],$A1021,T_PlannedOrders[WeekIndex],83)&amp;" ("&amp;TEXT(SUMPRODUCT(MAX((T_PlannedOrders[Part Name]=$A1021)*(T_PlannedOrders[WeekIndex]=83)*(T_PlannedOrders[EffectiveQty]&gt;0)*T_PlannedOrders[Order_Month])),"m月")&amp;"発注)")</f>
        <v/>
      </c>
      <c r="CI1029">
        <f>IF(SUMIFS(T_PlannedOrders[EffectiveQty],T_PlannedOrders[Part Name],$A1021,T_PlannedOrders[WeekIndex],84)=0,"",SUMIFS(T_PlannedOrders[EffectiveQty],T_PlannedOrders[Part Name],$A1021,T_PlannedOrders[WeekIndex],84)&amp;" ("&amp;TEXT(SUMPRODUCT(MAX((T_PlannedOrders[Part Name]=$A1021)*(T_PlannedOrders[WeekIndex]=84)*(T_PlannedOrders[EffectiveQty]&gt;0)*T_PlannedOrders[Order_Month])),"m月")&amp;"発注)")</f>
        <v/>
      </c>
      <c r="CJ1029">
        <f>IF(SUMIFS(T_PlannedOrders[EffectiveQty],T_PlannedOrders[Part Name],$A1021,T_PlannedOrders[WeekIndex],85)=0,"",SUMIFS(T_PlannedOrders[EffectiveQty],T_PlannedOrders[Part Name],$A1021,T_PlannedOrders[WeekIndex],85)&amp;" ("&amp;TEXT(SUMPRODUCT(MAX((T_PlannedOrders[Part Name]=$A1021)*(T_PlannedOrders[WeekIndex]=85)*(T_PlannedOrders[EffectiveQty]&gt;0)*T_PlannedOrders[Order_Month])),"m月")&amp;"発注)")</f>
        <v/>
      </c>
      <c r="CK1029">
        <f>IF(SUMIFS(T_PlannedOrders[EffectiveQty],T_PlannedOrders[Part Name],$A1021,T_PlannedOrders[WeekIndex],86)=0,"",SUMIFS(T_PlannedOrders[EffectiveQty],T_PlannedOrders[Part Name],$A1021,T_PlannedOrders[WeekIndex],86)&amp;" ("&amp;TEXT(SUMPRODUCT(MAX((T_PlannedOrders[Part Name]=$A1021)*(T_PlannedOrders[WeekIndex]=86)*(T_PlannedOrders[EffectiveQty]&gt;0)*T_PlannedOrders[Order_Month])),"m月")&amp;"発注)")</f>
        <v/>
      </c>
      <c r="CL1029">
        <f>IF(SUMIFS(T_PlannedOrders[EffectiveQty],T_PlannedOrders[Part Name],$A1021,T_PlannedOrders[WeekIndex],87)=0,"",SUMIFS(T_PlannedOrders[EffectiveQty],T_PlannedOrders[Part Name],$A1021,T_PlannedOrders[WeekIndex],87)&amp;" ("&amp;TEXT(SUMPRODUCT(MAX((T_PlannedOrders[Part Name]=$A1021)*(T_PlannedOrders[WeekIndex]=87)*(T_PlannedOrders[EffectiveQty]&gt;0)*T_PlannedOrders[Order_Month])),"m月")&amp;"発注)")</f>
        <v/>
      </c>
      <c r="CM1029">
        <f>IF(SUMIFS(T_PlannedOrders[EffectiveQty],T_PlannedOrders[Part Name],$A1021,T_PlannedOrders[WeekIndex],88)=0,"",SUMIFS(T_PlannedOrders[EffectiveQty],T_PlannedOrders[Part Name],$A1021,T_PlannedOrders[WeekIndex],88)&amp;" ("&amp;TEXT(SUMPRODUCT(MAX((T_PlannedOrders[Part Name]=$A1021)*(T_PlannedOrders[WeekIndex]=88)*(T_PlannedOrders[EffectiveQty]&gt;0)*T_PlannedOrders[Order_Month])),"m月")&amp;"発注)")</f>
        <v/>
      </c>
      <c r="CN1029">
        <f>IF(SUMIFS(T_PlannedOrders[EffectiveQty],T_PlannedOrders[Part Name],$A1021,T_PlannedOrders[WeekIndex],89)=0,"",SUMIFS(T_PlannedOrders[EffectiveQty],T_PlannedOrders[Part Name],$A1021,T_PlannedOrders[WeekIndex],89)&amp;" ("&amp;TEXT(SUMPRODUCT(MAX((T_PlannedOrders[Part Name]=$A1021)*(T_PlannedOrders[WeekIndex]=89)*(T_PlannedOrders[EffectiveQty]&gt;0)*T_PlannedOrders[Order_Month])),"m月")&amp;"発注)")</f>
        <v/>
      </c>
      <c r="CO1029">
        <f>IF(SUMIFS(T_PlannedOrders[EffectiveQty],T_PlannedOrders[Part Name],$A1021,T_PlannedOrders[WeekIndex],90)=0,"",SUMIFS(T_PlannedOrders[EffectiveQty],T_PlannedOrders[Part Name],$A1021,T_PlannedOrders[WeekIndex],90)&amp;" ("&amp;TEXT(SUMPRODUCT(MAX((T_PlannedOrders[Part Name]=$A1021)*(T_PlannedOrders[WeekIndex]=90)*(T_PlannedOrders[EffectiveQty]&gt;0)*T_PlannedOrders[Order_Month])),"m月")&amp;"発注)")</f>
        <v/>
      </c>
      <c r="CP1029">
        <f>IF(SUMIFS(T_PlannedOrders[EffectiveQty],T_PlannedOrders[Part Name],$A1021,T_PlannedOrders[WeekIndex],91)=0,"",SUMIFS(T_PlannedOrders[EffectiveQty],T_PlannedOrders[Part Name],$A1021,T_PlannedOrders[WeekIndex],91)&amp;" ("&amp;TEXT(SUMPRODUCT(MAX((T_PlannedOrders[Part Name]=$A1021)*(T_PlannedOrders[WeekIndex]=91)*(T_PlannedOrders[EffectiveQty]&gt;0)*T_PlannedOrders[Order_Month])),"m月")&amp;"発注)")</f>
        <v/>
      </c>
      <c r="CQ1029">
        <f>IF(SUMIFS(T_PlannedOrders[EffectiveQty],T_PlannedOrders[Part Name],$A1021,T_PlannedOrders[WeekIndex],92)=0,"",SUMIFS(T_PlannedOrders[EffectiveQty],T_PlannedOrders[Part Name],$A1021,T_PlannedOrders[WeekIndex],92)&amp;" ("&amp;TEXT(SUMPRODUCT(MAX((T_PlannedOrders[Part Name]=$A1021)*(T_PlannedOrders[WeekIndex]=92)*(T_PlannedOrders[EffectiveQty]&gt;0)*T_PlannedOrders[Order_Month])),"m月")&amp;"発注)")</f>
        <v/>
      </c>
      <c r="CR1029">
        <f>IF(SUMIFS(T_PlannedOrders[EffectiveQty],T_PlannedOrders[Part Name],$A1021,T_PlannedOrders[WeekIndex],93)=0,"",SUMIFS(T_PlannedOrders[EffectiveQty],T_PlannedOrders[Part Name],$A1021,T_PlannedOrders[WeekIndex],93)&amp;" ("&amp;TEXT(SUMPRODUCT(MAX((T_PlannedOrders[Part Name]=$A1021)*(T_PlannedOrders[WeekIndex]=93)*(T_PlannedOrders[EffectiveQty]&gt;0)*T_PlannedOrders[Order_Month])),"m月")&amp;"発注)")</f>
        <v/>
      </c>
      <c r="CS1029">
        <f>IF(SUMIFS(T_PlannedOrders[EffectiveQty],T_PlannedOrders[Part Name],$A1021,T_PlannedOrders[WeekIndex],94)=0,"",SUMIFS(T_PlannedOrders[EffectiveQty],T_PlannedOrders[Part Name],$A1021,T_PlannedOrders[WeekIndex],94)&amp;" ("&amp;TEXT(SUMPRODUCT(MAX((T_PlannedOrders[Part Name]=$A1021)*(T_PlannedOrders[WeekIndex]=94)*(T_PlannedOrders[EffectiveQty]&gt;0)*T_PlannedOrders[Order_Month])),"m月")&amp;"発注)")</f>
        <v/>
      </c>
      <c r="CT1029">
        <f>IF(SUMIFS(T_PlannedOrders[EffectiveQty],T_PlannedOrders[Part Name],$A1021,T_PlannedOrders[WeekIndex],95)=0,"",SUMIFS(T_PlannedOrders[EffectiveQty],T_PlannedOrders[Part Name],$A1021,T_PlannedOrders[WeekIndex],95)&amp;" ("&amp;TEXT(SUMPRODUCT(MAX((T_PlannedOrders[Part Name]=$A1021)*(T_PlannedOrders[WeekIndex]=95)*(T_PlannedOrders[EffectiveQty]&gt;0)*T_PlannedOrders[Order_Month])),"m月")&amp;"発注)")</f>
        <v/>
      </c>
      <c r="CU1029">
        <f>IF(SUMIFS(T_PlannedOrders[EffectiveQty],T_PlannedOrders[Part Name],$A1021,T_PlannedOrders[WeekIndex],96)=0,"",SUMIFS(T_PlannedOrders[EffectiveQty],T_PlannedOrders[Part Name],$A1021,T_PlannedOrders[WeekIndex],96)&amp;" ("&amp;TEXT(SUMPRODUCT(MAX((T_PlannedOrders[Part Name]=$A1021)*(T_PlannedOrders[WeekIndex]=96)*(T_PlannedOrders[EffectiveQty]&gt;0)*T_PlannedOrders[Order_Month])),"m月")&amp;"発注)")</f>
        <v/>
      </c>
      <c r="CV1029">
        <f>IF(SUMIFS(T_PlannedOrders[EffectiveQty],T_PlannedOrders[Part Name],$A1021,T_PlannedOrders[WeekIndex],97)=0,"",SUMIFS(T_PlannedOrders[EffectiveQty],T_PlannedOrders[Part Name],$A1021,T_PlannedOrders[WeekIndex],97)&amp;" ("&amp;TEXT(SUMPRODUCT(MAX((T_PlannedOrders[Part Name]=$A1021)*(T_PlannedOrders[WeekIndex]=97)*(T_PlannedOrders[EffectiveQty]&gt;0)*T_PlannedOrders[Order_Month])),"m月")&amp;"発注)")</f>
        <v/>
      </c>
      <c r="CW1029">
        <f>IF(SUMIFS(T_PlannedOrders[EffectiveQty],T_PlannedOrders[Part Name],$A1021,T_PlannedOrders[WeekIndex],98)=0,"",SUMIFS(T_PlannedOrders[EffectiveQty],T_PlannedOrders[Part Name],$A1021,T_PlannedOrders[WeekIndex],98)&amp;" ("&amp;TEXT(SUMPRODUCT(MAX((T_PlannedOrders[Part Name]=$A1021)*(T_PlannedOrders[WeekIndex]=98)*(T_PlannedOrders[EffectiveQty]&gt;0)*T_PlannedOrders[Order_Month])),"m月")&amp;"発注)")</f>
        <v/>
      </c>
      <c r="CX1029">
        <f>IF(SUMIFS(T_PlannedOrders[EffectiveQty],T_PlannedOrders[Part Name],$A1021,T_PlannedOrders[WeekIndex],99)=0,"",SUMIFS(T_PlannedOrders[EffectiveQty],T_PlannedOrders[Part Name],$A1021,T_PlannedOrders[WeekIndex],99)&amp;" ("&amp;TEXT(SUMPRODUCT(MAX((T_PlannedOrders[Part Name]=$A1021)*(T_PlannedOrders[WeekIndex]=99)*(T_PlannedOrders[EffectiveQty]&gt;0)*T_PlannedOrders[Order_Month])),"m月")&amp;"発注)")</f>
        <v/>
      </c>
      <c r="CY1029">
        <f>IF(SUMIFS(T_PlannedOrders[EffectiveQty],T_PlannedOrders[Part Name],$A1021,T_PlannedOrders[WeekIndex],100)=0,"",SUMIFS(T_PlannedOrders[EffectiveQty],T_PlannedOrders[Part Name],$A1021,T_PlannedOrders[WeekIndex],100)&amp;" ("&amp;TEXT(SUMPRODUCT(MAX((T_PlannedOrders[Part Name]=$A1021)*(T_PlannedOrders[WeekIndex]=100)*(T_PlannedOrders[EffectiveQty]&gt;0)*T_PlannedOrders[Order_Month])),"m月")&amp;"発注)")</f>
        <v/>
      </c>
      <c r="CZ1029">
        <f>IF(SUMIFS(T_PlannedOrders[EffectiveQty],T_PlannedOrders[Part Name],$A1021,T_PlannedOrders[WeekIndex],101)=0,"",SUMIFS(T_PlannedOrders[EffectiveQty],T_PlannedOrders[Part Name],$A1021,T_PlannedOrders[WeekIndex],101)&amp;" ("&amp;TEXT(SUMPRODUCT(MAX((T_PlannedOrders[Part Name]=$A1021)*(T_PlannedOrders[WeekIndex]=101)*(T_PlannedOrders[EffectiveQty]&gt;0)*T_PlannedOrders[Order_Month])),"m月")&amp;"発注)")</f>
        <v/>
      </c>
      <c r="DA1029">
        <f>IF(SUMIFS(T_PlannedOrders[EffectiveQty],T_PlannedOrders[Part Name],$A1021,T_PlannedOrders[WeekIndex],102)=0,"",SUMIFS(T_PlannedOrders[EffectiveQty],T_PlannedOrders[Part Name],$A1021,T_PlannedOrders[WeekIndex],102)&amp;" ("&amp;TEXT(SUMPRODUCT(MAX((T_PlannedOrders[Part Name]=$A1021)*(T_PlannedOrders[WeekIndex]=102)*(T_PlannedOrders[EffectiveQty]&gt;0)*T_PlannedOrders[Order_Month])),"m月")&amp;"発注)")</f>
        <v/>
      </c>
      <c r="DB1029">
        <f>IF(SUMIFS(T_PlannedOrders[EffectiveQty],T_PlannedOrders[Part Name],$A1021,T_PlannedOrders[WeekIndex],103)=0,"",SUMIFS(T_PlannedOrders[EffectiveQty],T_PlannedOrders[Part Name],$A1021,T_PlannedOrders[WeekIndex],103)&amp;" ("&amp;TEXT(SUMPRODUCT(MAX((T_PlannedOrders[Part Name]=$A1021)*(T_PlannedOrders[WeekIndex]=103)*(T_PlannedOrders[EffectiveQty]&gt;0)*T_PlannedOrders[Order_Month])),"m月")&amp;"発注)")</f>
        <v/>
      </c>
      <c r="DC1029">
        <f>IF(SUMIFS(T_PlannedOrders[EffectiveQty],T_PlannedOrders[Part Name],$A1021,T_PlannedOrders[WeekIndex],104)=0,"",SUMIFS(T_PlannedOrders[EffectiveQty],T_PlannedOrders[Part Name],$A1021,T_PlannedOrders[WeekIndex],104)&amp;" ("&amp;TEXT(SUMPRODUCT(MAX((T_PlannedOrders[Part Name]=$A1021)*(T_PlannedOrders[WeekIndex]=104)*(T_PlannedOrders[EffectiveQty]&gt;0)*T_PlannedOrders[Order_Month])),"m月")&amp;"発注)")</f>
        <v/>
      </c>
    </row>
    <row r="1030">
      <c r="B1030" s="5" t="inlineStr">
        <is>
          <t>合計在庫(週末時点,kg)</t>
        </is>
      </c>
      <c r="D1030">
        <f>'Grid_Stock'!B44</f>
        <v/>
      </c>
      <c r="E1030">
        <f>'Grid_Stock'!C44</f>
        <v/>
      </c>
      <c r="F1030">
        <f>'Grid_Stock'!D44</f>
        <v/>
      </c>
      <c r="G1030">
        <f>'Grid_Stock'!E44</f>
        <v/>
      </c>
      <c r="H1030">
        <f>'Grid_Stock'!F44</f>
        <v/>
      </c>
      <c r="I1030">
        <f>'Grid_Stock'!G44</f>
        <v/>
      </c>
      <c r="J1030">
        <f>'Grid_Stock'!H44</f>
        <v/>
      </c>
      <c r="K1030">
        <f>'Grid_Stock'!I44</f>
        <v/>
      </c>
      <c r="L1030">
        <f>'Grid_Stock'!J44</f>
        <v/>
      </c>
      <c r="M1030">
        <f>'Grid_Stock'!K44</f>
        <v/>
      </c>
      <c r="N1030">
        <f>'Grid_Stock'!L44</f>
        <v/>
      </c>
      <c r="O1030">
        <f>'Grid_Stock'!M44</f>
        <v/>
      </c>
      <c r="P1030">
        <f>'Grid_Stock'!N44</f>
        <v/>
      </c>
      <c r="Q1030">
        <f>'Grid_Stock'!O44</f>
        <v/>
      </c>
      <c r="R1030">
        <f>'Grid_Stock'!P44</f>
        <v/>
      </c>
      <c r="S1030">
        <f>'Grid_Stock'!Q44</f>
        <v/>
      </c>
      <c r="T1030">
        <f>'Grid_Stock'!R44</f>
        <v/>
      </c>
      <c r="U1030">
        <f>'Grid_Stock'!S44</f>
        <v/>
      </c>
      <c r="V1030">
        <f>'Grid_Stock'!T44</f>
        <v/>
      </c>
      <c r="W1030">
        <f>'Grid_Stock'!U44</f>
        <v/>
      </c>
      <c r="X1030">
        <f>'Grid_Stock'!V44</f>
        <v/>
      </c>
      <c r="Y1030">
        <f>'Grid_Stock'!W44</f>
        <v/>
      </c>
      <c r="Z1030">
        <f>'Grid_Stock'!X44</f>
        <v/>
      </c>
      <c r="AA1030">
        <f>'Grid_Stock'!Y44</f>
        <v/>
      </c>
      <c r="AB1030">
        <f>'Grid_Stock'!Z44</f>
        <v/>
      </c>
      <c r="AC1030">
        <f>'Grid_Stock'!AA44</f>
        <v/>
      </c>
      <c r="AD1030">
        <f>'Grid_Stock'!AB44</f>
        <v/>
      </c>
      <c r="AE1030">
        <f>'Grid_Stock'!AC44</f>
        <v/>
      </c>
      <c r="AF1030">
        <f>'Grid_Stock'!AD44</f>
        <v/>
      </c>
      <c r="AG1030">
        <f>'Grid_Stock'!AE44</f>
        <v/>
      </c>
      <c r="AH1030">
        <f>'Grid_Stock'!AF44</f>
        <v/>
      </c>
      <c r="AI1030">
        <f>'Grid_Stock'!AG44</f>
        <v/>
      </c>
      <c r="AJ1030">
        <f>'Grid_Stock'!AH44</f>
        <v/>
      </c>
      <c r="AK1030">
        <f>'Grid_Stock'!AI44</f>
        <v/>
      </c>
      <c r="AL1030">
        <f>'Grid_Stock'!AJ44</f>
        <v/>
      </c>
      <c r="AM1030">
        <f>'Grid_Stock'!AK44</f>
        <v/>
      </c>
      <c r="AN1030">
        <f>'Grid_Stock'!AL44</f>
        <v/>
      </c>
      <c r="AO1030">
        <f>'Grid_Stock'!AM44</f>
        <v/>
      </c>
      <c r="AP1030">
        <f>'Grid_Stock'!AN44</f>
        <v/>
      </c>
      <c r="AQ1030">
        <f>'Grid_Stock'!AO44</f>
        <v/>
      </c>
      <c r="AR1030">
        <f>'Grid_Stock'!AP44</f>
        <v/>
      </c>
      <c r="AS1030">
        <f>'Grid_Stock'!AQ44</f>
        <v/>
      </c>
      <c r="AT1030">
        <f>'Grid_Stock'!AR44</f>
        <v/>
      </c>
      <c r="AU1030">
        <f>'Grid_Stock'!AS44</f>
        <v/>
      </c>
      <c r="AV1030">
        <f>'Grid_Stock'!AT44</f>
        <v/>
      </c>
      <c r="AW1030">
        <f>'Grid_Stock'!AU44</f>
        <v/>
      </c>
      <c r="AX1030">
        <f>'Grid_Stock'!AV44</f>
        <v/>
      </c>
      <c r="AY1030">
        <f>'Grid_Stock'!AW44</f>
        <v/>
      </c>
      <c r="AZ1030">
        <f>'Grid_Stock'!AX44</f>
        <v/>
      </c>
      <c r="BA1030">
        <f>'Grid_Stock'!AY44</f>
        <v/>
      </c>
      <c r="BB1030">
        <f>'Grid_Stock'!AZ44</f>
        <v/>
      </c>
      <c r="BC1030">
        <f>'Grid_Stock'!BA44</f>
        <v/>
      </c>
      <c r="BD1030">
        <f>'Grid_Stock'!BB44</f>
        <v/>
      </c>
      <c r="BE1030">
        <f>'Grid_Stock'!BC44</f>
        <v/>
      </c>
      <c r="BF1030">
        <f>'Grid_Stock'!BD44</f>
        <v/>
      </c>
      <c r="BG1030">
        <f>'Grid_Stock'!BE44</f>
        <v/>
      </c>
      <c r="BH1030">
        <f>'Grid_Stock'!BF44</f>
        <v/>
      </c>
      <c r="BI1030">
        <f>'Grid_Stock'!BG44</f>
        <v/>
      </c>
      <c r="BJ1030">
        <f>'Grid_Stock'!BH44</f>
        <v/>
      </c>
      <c r="BK1030">
        <f>'Grid_Stock'!BI44</f>
        <v/>
      </c>
      <c r="BL1030">
        <f>'Grid_Stock'!BJ44</f>
        <v/>
      </c>
      <c r="BM1030">
        <f>'Grid_Stock'!BK44</f>
        <v/>
      </c>
      <c r="BN1030">
        <f>'Grid_Stock'!BL44</f>
        <v/>
      </c>
      <c r="BO1030">
        <f>'Grid_Stock'!BM44</f>
        <v/>
      </c>
      <c r="BP1030">
        <f>'Grid_Stock'!BN44</f>
        <v/>
      </c>
      <c r="BQ1030">
        <f>'Grid_Stock'!BO44</f>
        <v/>
      </c>
      <c r="BR1030">
        <f>'Grid_Stock'!BP44</f>
        <v/>
      </c>
      <c r="BS1030">
        <f>'Grid_Stock'!BQ44</f>
        <v/>
      </c>
      <c r="BT1030">
        <f>'Grid_Stock'!BR44</f>
        <v/>
      </c>
      <c r="BU1030">
        <f>'Grid_Stock'!BS44</f>
        <v/>
      </c>
      <c r="BV1030">
        <f>'Grid_Stock'!BT44</f>
        <v/>
      </c>
      <c r="BW1030">
        <f>'Grid_Stock'!BU44</f>
        <v/>
      </c>
      <c r="BX1030">
        <f>'Grid_Stock'!BV44</f>
        <v/>
      </c>
      <c r="BY1030">
        <f>'Grid_Stock'!BW44</f>
        <v/>
      </c>
      <c r="BZ1030">
        <f>'Grid_Stock'!BX44</f>
        <v/>
      </c>
      <c r="CA1030">
        <f>'Grid_Stock'!BY44</f>
        <v/>
      </c>
      <c r="CB1030">
        <f>'Grid_Stock'!BZ44</f>
        <v/>
      </c>
      <c r="CC1030">
        <f>'Grid_Stock'!CA44</f>
        <v/>
      </c>
      <c r="CD1030">
        <f>'Grid_Stock'!CB44</f>
        <v/>
      </c>
      <c r="CE1030">
        <f>'Grid_Stock'!CC44</f>
        <v/>
      </c>
      <c r="CF1030">
        <f>'Grid_Stock'!CD44</f>
        <v/>
      </c>
      <c r="CG1030">
        <f>'Grid_Stock'!CE44</f>
        <v/>
      </c>
      <c r="CH1030">
        <f>'Grid_Stock'!CF44</f>
        <v/>
      </c>
      <c r="CI1030">
        <f>'Grid_Stock'!CG44</f>
        <v/>
      </c>
      <c r="CJ1030">
        <f>'Grid_Stock'!CH44</f>
        <v/>
      </c>
      <c r="CK1030">
        <f>'Grid_Stock'!CI44</f>
        <v/>
      </c>
      <c r="CL1030">
        <f>'Grid_Stock'!CJ44</f>
        <v/>
      </c>
      <c r="CM1030">
        <f>'Grid_Stock'!CK44</f>
        <v/>
      </c>
      <c r="CN1030">
        <f>'Grid_Stock'!CL44</f>
        <v/>
      </c>
      <c r="CO1030">
        <f>'Grid_Stock'!CM44</f>
        <v/>
      </c>
      <c r="CP1030">
        <f>'Grid_Stock'!CN44</f>
        <v/>
      </c>
      <c r="CQ1030">
        <f>'Grid_Stock'!CO44</f>
        <v/>
      </c>
      <c r="CR1030">
        <f>'Grid_Stock'!CP44</f>
        <v/>
      </c>
      <c r="CS1030">
        <f>'Grid_Stock'!CQ44</f>
        <v/>
      </c>
      <c r="CT1030">
        <f>'Grid_Stock'!CR44</f>
        <v/>
      </c>
      <c r="CU1030">
        <f>'Grid_Stock'!CS44</f>
        <v/>
      </c>
      <c r="CV1030">
        <f>'Grid_Stock'!CT44</f>
        <v/>
      </c>
      <c r="CW1030">
        <f>'Grid_Stock'!CU44</f>
        <v/>
      </c>
      <c r="CX1030">
        <f>'Grid_Stock'!CV44</f>
        <v/>
      </c>
      <c r="CY1030">
        <f>'Grid_Stock'!CW44</f>
        <v/>
      </c>
      <c r="CZ1030">
        <f>'Grid_Stock'!CX44</f>
        <v/>
      </c>
      <c r="DA1030">
        <f>'Grid_Stock'!CY44</f>
        <v/>
      </c>
      <c r="DB1030">
        <f>'Grid_Stock'!CZ44</f>
        <v/>
      </c>
      <c r="DC1030">
        <f>'Grid_Stock'!DA44</f>
        <v/>
      </c>
    </row>
    <row r="1031">
      <c r="B1031" s="23" t="inlineStr">
        <is>
          <t>（発注の目安はDashboardの基準在庫[下限/上限]と色分けを参照）</t>
        </is>
      </c>
    </row>
    <row r="1033">
      <c r="A1033" s="21" t="inlineStr">
        <is>
          <t>CHEM-1770</t>
        </is>
      </c>
      <c r="B1033" s="21" t="inlineStr">
        <is>
          <t>RCT39</t>
        </is>
      </c>
      <c r="C1033" s="22" t="n"/>
      <c r="D1033" s="21" t="n"/>
      <c r="E1033" s="21" t="n"/>
      <c r="F1033" s="21" t="n"/>
      <c r="G1033" s="21" t="n"/>
      <c r="H1033" s="21" t="n"/>
      <c r="I1033" s="21" t="n"/>
      <c r="J1033" s="21" t="n"/>
      <c r="K1033" s="21" t="n"/>
      <c r="L1033" s="21" t="n"/>
      <c r="M1033" s="21" t="n"/>
      <c r="N1033" s="21" t="n"/>
      <c r="O1033" s="21" t="n"/>
      <c r="P1033" s="21" t="n"/>
      <c r="Q1033" s="21" t="n"/>
      <c r="R1033" s="21" t="n"/>
      <c r="S1033" s="21" t="n"/>
      <c r="T1033" s="21" t="n"/>
      <c r="U1033" s="21" t="n"/>
      <c r="V1033" s="21" t="n"/>
      <c r="W1033" s="21" t="n"/>
      <c r="X1033" s="21" t="n"/>
      <c r="Y1033" s="21" t="n"/>
      <c r="Z1033" s="21" t="n"/>
      <c r="AA1033" s="21" t="n"/>
      <c r="AB1033" s="21" t="n"/>
      <c r="AC1033" s="21" t="n"/>
      <c r="AD1033" s="21" t="n"/>
      <c r="AE1033" s="21" t="n"/>
      <c r="AF1033" s="21" t="n"/>
      <c r="AG1033" s="21" t="n"/>
      <c r="AH1033" s="21" t="n"/>
      <c r="AI1033" s="21" t="n"/>
      <c r="AJ1033" s="21" t="n"/>
      <c r="AK1033" s="21" t="n"/>
      <c r="AL1033" s="21" t="n"/>
      <c r="AM1033" s="21" t="n"/>
      <c r="AN1033" s="21" t="n"/>
      <c r="AO1033" s="21" t="n"/>
      <c r="AP1033" s="21" t="n"/>
      <c r="AQ1033" s="21" t="n"/>
      <c r="AR1033" s="21" t="n"/>
      <c r="AS1033" s="21" t="n"/>
      <c r="AT1033" s="21" t="n"/>
      <c r="AU1033" s="21" t="n"/>
      <c r="AV1033" s="21" t="n"/>
      <c r="AW1033" s="21" t="n"/>
      <c r="AX1033" s="21" t="n"/>
      <c r="AY1033" s="21" t="n"/>
      <c r="AZ1033" s="21" t="n"/>
      <c r="BA1033" s="21" t="n"/>
      <c r="BB1033" s="21" t="n"/>
      <c r="BC1033" s="21" t="n"/>
      <c r="BD1033" s="21" t="n"/>
      <c r="BE1033" s="21" t="n"/>
      <c r="BF1033" s="21" t="n"/>
      <c r="BG1033" s="21" t="n"/>
      <c r="BH1033" s="21" t="n"/>
      <c r="BI1033" s="21" t="n"/>
      <c r="BJ1033" s="21" t="n"/>
      <c r="BK1033" s="21" t="n"/>
      <c r="BL1033" s="21" t="n"/>
      <c r="BM1033" s="21" t="n"/>
      <c r="BN1033" s="21" t="n"/>
      <c r="BO1033" s="21" t="n"/>
      <c r="BP1033" s="21" t="n"/>
      <c r="BQ1033" s="21" t="n"/>
      <c r="BR1033" s="21" t="n"/>
      <c r="BS1033" s="21" t="n"/>
      <c r="BT1033" s="21" t="n"/>
      <c r="BU1033" s="21" t="n"/>
      <c r="BV1033" s="21" t="n"/>
      <c r="BW1033" s="21" t="n"/>
      <c r="BX1033" s="21" t="n"/>
      <c r="BY1033" s="21" t="n"/>
      <c r="BZ1033" s="21" t="n"/>
      <c r="CA1033" s="21" t="n"/>
      <c r="CB1033" s="21" t="n"/>
      <c r="CC1033" s="21" t="n"/>
      <c r="CD1033" s="21" t="n"/>
      <c r="CE1033" s="21" t="n"/>
      <c r="CF1033" s="21" t="n"/>
      <c r="CG1033" s="21" t="n"/>
      <c r="CH1033" s="21" t="n"/>
      <c r="CI1033" s="21" t="n"/>
      <c r="CJ1033" s="21" t="n"/>
      <c r="CK1033" s="21" t="n"/>
      <c r="CL1033" s="21" t="n"/>
      <c r="CM1033" s="21" t="n"/>
      <c r="CN1033" s="21" t="n"/>
      <c r="CO1033" s="21" t="n"/>
      <c r="CP1033" s="21" t="n"/>
      <c r="CQ1033" s="21" t="n"/>
      <c r="CR1033" s="21" t="n"/>
      <c r="CS1033" s="21" t="n"/>
      <c r="CT1033" s="21" t="n"/>
      <c r="CU1033" s="21" t="n"/>
      <c r="CV1033" s="21" t="n"/>
      <c r="CW1033" s="21" t="n"/>
      <c r="CX1033" s="21" t="n"/>
      <c r="CY1033" s="21" t="n"/>
      <c r="CZ1033" s="21" t="n"/>
      <c r="DA1033" s="21" t="n"/>
      <c r="DB1033" s="21" t="n"/>
      <c r="DC1033" s="21" t="n"/>
    </row>
    <row r="1034">
      <c r="B1034" t="inlineStr">
        <is>
          <t>TPP-635</t>
        </is>
      </c>
      <c r="C1034" t="inlineStr">
        <is>
          <t>No. of batches</t>
        </is>
      </c>
      <c r="D1034">
        <f>IFERROR(INDEX(PP_Grid[#Data],$DD1034,2),0)</f>
        <v/>
      </c>
      <c r="E1034">
        <f>IFERROR(INDEX(PP_Grid[#Data],$DD1034,3),0)</f>
        <v/>
      </c>
      <c r="F1034">
        <f>IFERROR(INDEX(PP_Grid[#Data],$DD1034,4),0)</f>
        <v/>
      </c>
      <c r="G1034">
        <f>IFERROR(INDEX(PP_Grid[#Data],$DD1034,5),0)</f>
        <v/>
      </c>
      <c r="H1034">
        <f>IFERROR(INDEX(PP_Grid[#Data],$DD1034,6),0)</f>
        <v/>
      </c>
      <c r="I1034">
        <f>IFERROR(INDEX(PP_Grid[#Data],$DD1034,7),0)</f>
        <v/>
      </c>
      <c r="J1034">
        <f>IFERROR(INDEX(PP_Grid[#Data],$DD1034,8),0)</f>
        <v/>
      </c>
      <c r="K1034">
        <f>IFERROR(INDEX(PP_Grid[#Data],$DD1034,9),0)</f>
        <v/>
      </c>
      <c r="L1034">
        <f>IFERROR(INDEX(PP_Grid[#Data],$DD1034,10),0)</f>
        <v/>
      </c>
      <c r="M1034">
        <f>IFERROR(INDEX(PP_Grid[#Data],$DD1034,11),0)</f>
        <v/>
      </c>
      <c r="N1034">
        <f>IFERROR(INDEX(PP_Grid[#Data],$DD1034,12),0)</f>
        <v/>
      </c>
      <c r="O1034">
        <f>IFERROR(INDEX(PP_Grid[#Data],$DD1034,13),0)</f>
        <v/>
      </c>
      <c r="P1034">
        <f>IFERROR(INDEX(PP_Grid[#Data],$DD1034,14),0)</f>
        <v/>
      </c>
      <c r="Q1034">
        <f>IFERROR(INDEX(PP_Grid[#Data],$DD1034,15),0)</f>
        <v/>
      </c>
      <c r="R1034">
        <f>IFERROR(INDEX(PP_Grid[#Data],$DD1034,16),0)</f>
        <v/>
      </c>
      <c r="S1034">
        <f>IFERROR(INDEX(PP_Grid[#Data],$DD1034,17),0)</f>
        <v/>
      </c>
      <c r="T1034">
        <f>IFERROR(INDEX(PP_Grid[#Data],$DD1034,18),0)</f>
        <v/>
      </c>
      <c r="U1034">
        <f>IFERROR(INDEX(PP_Grid[#Data],$DD1034,19),0)</f>
        <v/>
      </c>
      <c r="V1034">
        <f>IFERROR(INDEX(PP_Grid[#Data],$DD1034,20),0)</f>
        <v/>
      </c>
      <c r="W1034">
        <f>IFERROR(INDEX(PP_Grid[#Data],$DD1034,21),0)</f>
        <v/>
      </c>
      <c r="X1034">
        <f>IFERROR(INDEX(PP_Grid[#Data],$DD1034,22),0)</f>
        <v/>
      </c>
      <c r="Y1034">
        <f>IFERROR(INDEX(PP_Grid[#Data],$DD1034,23),0)</f>
        <v/>
      </c>
      <c r="Z1034">
        <f>IFERROR(INDEX(PP_Grid[#Data],$DD1034,24),0)</f>
        <v/>
      </c>
      <c r="AA1034">
        <f>IFERROR(INDEX(PP_Grid[#Data],$DD1034,25),0)</f>
        <v/>
      </c>
      <c r="AB1034">
        <f>IFERROR(INDEX(PP_Grid[#Data],$DD1034,26),0)</f>
        <v/>
      </c>
      <c r="AC1034">
        <f>IFERROR(INDEX(PP_Grid[#Data],$DD1034,27),0)</f>
        <v/>
      </c>
      <c r="AD1034">
        <f>IFERROR(INDEX(PP_Grid[#Data],$DD1034,28),0)</f>
        <v/>
      </c>
      <c r="AE1034">
        <f>IFERROR(INDEX(PP_Grid[#Data],$DD1034,29),0)</f>
        <v/>
      </c>
      <c r="AF1034">
        <f>IFERROR(INDEX(PP_Grid[#Data],$DD1034,30),0)</f>
        <v/>
      </c>
      <c r="AG1034">
        <f>IFERROR(INDEX(PP_Grid[#Data],$DD1034,31),0)</f>
        <v/>
      </c>
      <c r="AH1034">
        <f>IFERROR(INDEX(PP_Grid[#Data],$DD1034,32),0)</f>
        <v/>
      </c>
      <c r="AI1034">
        <f>IFERROR(INDEX(PP_Grid[#Data],$DD1034,33),0)</f>
        <v/>
      </c>
      <c r="AJ1034">
        <f>IFERROR(INDEX(PP_Grid[#Data],$DD1034,34),0)</f>
        <v/>
      </c>
      <c r="AK1034">
        <f>IFERROR(INDEX(PP_Grid[#Data],$DD1034,35),0)</f>
        <v/>
      </c>
      <c r="AL1034">
        <f>IFERROR(INDEX(PP_Grid[#Data],$DD1034,36),0)</f>
        <v/>
      </c>
      <c r="AM1034">
        <f>IFERROR(INDEX(PP_Grid[#Data],$DD1034,37),0)</f>
        <v/>
      </c>
      <c r="AN1034">
        <f>IFERROR(INDEX(PP_Grid[#Data],$DD1034,38),0)</f>
        <v/>
      </c>
      <c r="AO1034">
        <f>IFERROR(INDEX(PP_Grid[#Data],$DD1034,39),0)</f>
        <v/>
      </c>
      <c r="AP1034">
        <f>IFERROR(INDEX(PP_Grid[#Data],$DD1034,40),0)</f>
        <v/>
      </c>
      <c r="AQ1034">
        <f>IFERROR(INDEX(PP_Grid[#Data],$DD1034,41),0)</f>
        <v/>
      </c>
      <c r="AR1034">
        <f>IFERROR(INDEX(PP_Grid[#Data],$DD1034,42),0)</f>
        <v/>
      </c>
      <c r="AS1034">
        <f>IFERROR(INDEX(PP_Grid[#Data],$DD1034,43),0)</f>
        <v/>
      </c>
      <c r="AT1034">
        <f>IFERROR(INDEX(PP_Grid[#Data],$DD1034,44),0)</f>
        <v/>
      </c>
      <c r="AU1034">
        <f>IFERROR(INDEX(PP_Grid[#Data],$DD1034,45),0)</f>
        <v/>
      </c>
      <c r="AV1034">
        <f>IFERROR(INDEX(PP_Grid[#Data],$DD1034,46),0)</f>
        <v/>
      </c>
      <c r="AW1034">
        <f>IFERROR(INDEX(PP_Grid[#Data],$DD1034,47),0)</f>
        <v/>
      </c>
      <c r="AX1034">
        <f>IFERROR(INDEX(PP_Grid[#Data],$DD1034,48),0)</f>
        <v/>
      </c>
      <c r="AY1034">
        <f>IFERROR(INDEX(PP_Grid[#Data],$DD1034,49),0)</f>
        <v/>
      </c>
      <c r="AZ1034">
        <f>IFERROR(INDEX(PP_Grid[#Data],$DD1034,50),0)</f>
        <v/>
      </c>
      <c r="BA1034">
        <f>IFERROR(INDEX(PP_Grid[#Data],$DD1034,51),0)</f>
        <v/>
      </c>
      <c r="BB1034">
        <f>IFERROR(INDEX(PP_Grid[#Data],$DD1034,52),0)</f>
        <v/>
      </c>
      <c r="BC1034">
        <f>IFERROR(INDEX(PP_Grid[#Data],$DD1034,53),0)</f>
        <v/>
      </c>
      <c r="BD1034">
        <f>IFERROR(INDEX(PP_Grid[#Data],$DD1034,54),0)</f>
        <v/>
      </c>
      <c r="BE1034">
        <f>IFERROR(INDEX(PP_Grid[#Data],$DD1034,55),0)</f>
        <v/>
      </c>
      <c r="BF1034">
        <f>IFERROR(INDEX(PP_Grid[#Data],$DD1034,56),0)</f>
        <v/>
      </c>
      <c r="BG1034">
        <f>IFERROR(INDEX(PP_Grid[#Data],$DD1034,57),0)</f>
        <v/>
      </c>
      <c r="BH1034">
        <f>IFERROR(INDEX(PP_Grid[#Data],$DD1034,58),0)</f>
        <v/>
      </c>
      <c r="BI1034">
        <f>IFERROR(INDEX(PP_Grid[#Data],$DD1034,59),0)</f>
        <v/>
      </c>
      <c r="BJ1034">
        <f>IFERROR(INDEX(PP_Grid[#Data],$DD1034,60),0)</f>
        <v/>
      </c>
      <c r="BK1034">
        <f>IFERROR(INDEX(PP_Grid[#Data],$DD1034,61),0)</f>
        <v/>
      </c>
      <c r="BL1034">
        <f>IFERROR(INDEX(PP_Grid[#Data],$DD1034,62),0)</f>
        <v/>
      </c>
      <c r="BM1034">
        <f>IFERROR(INDEX(PP_Grid[#Data],$DD1034,63),0)</f>
        <v/>
      </c>
      <c r="BN1034">
        <f>IFERROR(INDEX(PP_Grid[#Data],$DD1034,64),0)</f>
        <v/>
      </c>
      <c r="BO1034">
        <f>IFERROR(INDEX(PP_Grid[#Data],$DD1034,65),0)</f>
        <v/>
      </c>
      <c r="BP1034">
        <f>IFERROR(INDEX(PP_Grid[#Data],$DD1034,66),0)</f>
        <v/>
      </c>
      <c r="BQ1034">
        <f>IFERROR(INDEX(PP_Grid[#Data],$DD1034,67),0)</f>
        <v/>
      </c>
      <c r="BR1034">
        <f>IFERROR(INDEX(PP_Grid[#Data],$DD1034,68),0)</f>
        <v/>
      </c>
      <c r="BS1034">
        <f>IFERROR(INDEX(PP_Grid[#Data],$DD1034,69),0)</f>
        <v/>
      </c>
      <c r="BT1034">
        <f>IFERROR(INDEX(PP_Grid[#Data],$DD1034,70),0)</f>
        <v/>
      </c>
      <c r="BU1034">
        <f>IFERROR(INDEX(PP_Grid[#Data],$DD1034,71),0)</f>
        <v/>
      </c>
      <c r="BV1034">
        <f>IFERROR(INDEX(PP_Grid[#Data],$DD1034,72),0)</f>
        <v/>
      </c>
      <c r="BW1034">
        <f>IFERROR(INDEX(PP_Grid[#Data],$DD1034,73),0)</f>
        <v/>
      </c>
      <c r="BX1034">
        <f>IFERROR(INDEX(PP_Grid[#Data],$DD1034,74),0)</f>
        <v/>
      </c>
      <c r="BY1034">
        <f>IFERROR(INDEX(PP_Grid[#Data],$DD1034,75),0)</f>
        <v/>
      </c>
      <c r="BZ1034">
        <f>IFERROR(INDEX(PP_Grid[#Data],$DD1034,76),0)</f>
        <v/>
      </c>
      <c r="CA1034">
        <f>IFERROR(INDEX(PP_Grid[#Data],$DD1034,77),0)</f>
        <v/>
      </c>
      <c r="CB1034">
        <f>IFERROR(INDEX(PP_Grid[#Data],$DD1034,78),0)</f>
        <v/>
      </c>
      <c r="CC1034">
        <f>IFERROR(INDEX(PP_Grid[#Data],$DD1034,79),0)</f>
        <v/>
      </c>
      <c r="CD1034">
        <f>IFERROR(INDEX(PP_Grid[#Data],$DD1034,80),0)</f>
        <v/>
      </c>
      <c r="CE1034">
        <f>IFERROR(INDEX(PP_Grid[#Data],$DD1034,81),0)</f>
        <v/>
      </c>
      <c r="CF1034">
        <f>IFERROR(INDEX(PP_Grid[#Data],$DD1034,82),0)</f>
        <v/>
      </c>
      <c r="CG1034">
        <f>IFERROR(INDEX(PP_Grid[#Data],$DD1034,83),0)</f>
        <v/>
      </c>
      <c r="CH1034">
        <f>IFERROR(INDEX(PP_Grid[#Data],$DD1034,84),0)</f>
        <v/>
      </c>
      <c r="CI1034">
        <f>IFERROR(INDEX(PP_Grid[#Data],$DD1034,85),0)</f>
        <v/>
      </c>
      <c r="CJ1034">
        <f>IFERROR(INDEX(PP_Grid[#Data],$DD1034,86),0)</f>
        <v/>
      </c>
      <c r="CK1034">
        <f>IFERROR(INDEX(PP_Grid[#Data],$DD1034,87),0)</f>
        <v/>
      </c>
      <c r="CL1034">
        <f>IFERROR(INDEX(PP_Grid[#Data],$DD1034,88),0)</f>
        <v/>
      </c>
      <c r="CM1034">
        <f>IFERROR(INDEX(PP_Grid[#Data],$DD1034,89),0)</f>
        <v/>
      </c>
      <c r="CN1034">
        <f>IFERROR(INDEX(PP_Grid[#Data],$DD1034,90),0)</f>
        <v/>
      </c>
      <c r="CO1034">
        <f>IFERROR(INDEX(PP_Grid[#Data],$DD1034,91),0)</f>
        <v/>
      </c>
      <c r="CP1034">
        <f>IFERROR(INDEX(PP_Grid[#Data],$DD1034,92),0)</f>
        <v/>
      </c>
      <c r="CQ1034">
        <f>IFERROR(INDEX(PP_Grid[#Data],$DD1034,93),0)</f>
        <v/>
      </c>
      <c r="CR1034">
        <f>IFERROR(INDEX(PP_Grid[#Data],$DD1034,94),0)</f>
        <v/>
      </c>
      <c r="CS1034">
        <f>IFERROR(INDEX(PP_Grid[#Data],$DD1034,95),0)</f>
        <v/>
      </c>
      <c r="CT1034">
        <f>IFERROR(INDEX(PP_Grid[#Data],$DD1034,96),0)</f>
        <v/>
      </c>
      <c r="CU1034">
        <f>IFERROR(INDEX(PP_Grid[#Data],$DD1034,97),0)</f>
        <v/>
      </c>
      <c r="CV1034">
        <f>IFERROR(INDEX(PP_Grid[#Data],$DD1034,98),0)</f>
        <v/>
      </c>
      <c r="CW1034">
        <f>IFERROR(INDEX(PP_Grid[#Data],$DD1034,99),0)</f>
        <v/>
      </c>
      <c r="CX1034">
        <f>IFERROR(INDEX(PP_Grid[#Data],$DD1034,100),0)</f>
        <v/>
      </c>
      <c r="CY1034">
        <f>IFERROR(INDEX(PP_Grid[#Data],$DD1034,101),0)</f>
        <v/>
      </c>
      <c r="CZ1034">
        <f>IFERROR(INDEX(PP_Grid[#Data],$DD1034,102),0)</f>
        <v/>
      </c>
      <c r="DA1034">
        <f>IFERROR(INDEX(PP_Grid[#Data],$DD1034,103),0)</f>
        <v/>
      </c>
      <c r="DB1034">
        <f>IFERROR(INDEX(PP_Grid[#Data],$DD1034,104),0)</f>
        <v/>
      </c>
      <c r="DC1034">
        <f>IFERROR(INDEX(PP_Grid[#Data],$DD1034,105),0)</f>
        <v/>
      </c>
      <c r="DD1034" s="12">
        <f>IFERROR(MATCH($B1034,PP_Grid[Intermediate],0),99999)</f>
        <v/>
      </c>
    </row>
    <row r="1035">
      <c r="B1035" t="inlineStr">
        <is>
          <t>使用量(kg)</t>
        </is>
      </c>
      <c r="C1035">
        <f>SUMIFS(M_BOM[RM_Qty_Per_Batch],M_BOM[Intermediate],$B1034,M_BOM[Part Name],$A1033)</f>
        <v/>
      </c>
      <c r="D1035">
        <f>$C1035*D1034</f>
        <v/>
      </c>
      <c r="E1035">
        <f>$C1035*E1034</f>
        <v/>
      </c>
      <c r="F1035">
        <f>$C1035*F1034</f>
        <v/>
      </c>
      <c r="G1035">
        <f>$C1035*G1034</f>
        <v/>
      </c>
      <c r="H1035">
        <f>$C1035*H1034</f>
        <v/>
      </c>
      <c r="I1035">
        <f>$C1035*I1034</f>
        <v/>
      </c>
      <c r="J1035">
        <f>$C1035*J1034</f>
        <v/>
      </c>
      <c r="K1035">
        <f>$C1035*K1034</f>
        <v/>
      </c>
      <c r="L1035">
        <f>$C1035*L1034</f>
        <v/>
      </c>
      <c r="M1035">
        <f>$C1035*M1034</f>
        <v/>
      </c>
      <c r="N1035">
        <f>$C1035*N1034</f>
        <v/>
      </c>
      <c r="O1035">
        <f>$C1035*O1034</f>
        <v/>
      </c>
      <c r="P1035">
        <f>$C1035*P1034</f>
        <v/>
      </c>
      <c r="Q1035">
        <f>$C1035*Q1034</f>
        <v/>
      </c>
      <c r="R1035">
        <f>$C1035*R1034</f>
        <v/>
      </c>
      <c r="S1035">
        <f>$C1035*S1034</f>
        <v/>
      </c>
      <c r="T1035">
        <f>$C1035*T1034</f>
        <v/>
      </c>
      <c r="U1035">
        <f>$C1035*U1034</f>
        <v/>
      </c>
      <c r="V1035">
        <f>$C1035*V1034</f>
        <v/>
      </c>
      <c r="W1035">
        <f>$C1035*W1034</f>
        <v/>
      </c>
      <c r="X1035">
        <f>$C1035*X1034</f>
        <v/>
      </c>
      <c r="Y1035">
        <f>$C1035*Y1034</f>
        <v/>
      </c>
      <c r="Z1035">
        <f>$C1035*Z1034</f>
        <v/>
      </c>
      <c r="AA1035">
        <f>$C1035*AA1034</f>
        <v/>
      </c>
      <c r="AB1035">
        <f>$C1035*AB1034</f>
        <v/>
      </c>
      <c r="AC1035">
        <f>$C1035*AC1034</f>
        <v/>
      </c>
      <c r="AD1035">
        <f>$C1035*AD1034</f>
        <v/>
      </c>
      <c r="AE1035">
        <f>$C1035*AE1034</f>
        <v/>
      </c>
      <c r="AF1035">
        <f>$C1035*AF1034</f>
        <v/>
      </c>
      <c r="AG1035">
        <f>$C1035*AG1034</f>
        <v/>
      </c>
      <c r="AH1035">
        <f>$C1035*AH1034</f>
        <v/>
      </c>
      <c r="AI1035">
        <f>$C1035*AI1034</f>
        <v/>
      </c>
      <c r="AJ1035">
        <f>$C1035*AJ1034</f>
        <v/>
      </c>
      <c r="AK1035">
        <f>$C1035*AK1034</f>
        <v/>
      </c>
      <c r="AL1035">
        <f>$C1035*AL1034</f>
        <v/>
      </c>
      <c r="AM1035">
        <f>$C1035*AM1034</f>
        <v/>
      </c>
      <c r="AN1035">
        <f>$C1035*AN1034</f>
        <v/>
      </c>
      <c r="AO1035">
        <f>$C1035*AO1034</f>
        <v/>
      </c>
      <c r="AP1035">
        <f>$C1035*AP1034</f>
        <v/>
      </c>
      <c r="AQ1035">
        <f>$C1035*AQ1034</f>
        <v/>
      </c>
      <c r="AR1035">
        <f>$C1035*AR1034</f>
        <v/>
      </c>
      <c r="AS1035">
        <f>$C1035*AS1034</f>
        <v/>
      </c>
      <c r="AT1035">
        <f>$C1035*AT1034</f>
        <v/>
      </c>
      <c r="AU1035">
        <f>$C1035*AU1034</f>
        <v/>
      </c>
      <c r="AV1035">
        <f>$C1035*AV1034</f>
        <v/>
      </c>
      <c r="AW1035">
        <f>$C1035*AW1034</f>
        <v/>
      </c>
      <c r="AX1035">
        <f>$C1035*AX1034</f>
        <v/>
      </c>
      <c r="AY1035">
        <f>$C1035*AY1034</f>
        <v/>
      </c>
      <c r="AZ1035">
        <f>$C1035*AZ1034</f>
        <v/>
      </c>
      <c r="BA1035">
        <f>$C1035*BA1034</f>
        <v/>
      </c>
      <c r="BB1035">
        <f>$C1035*BB1034</f>
        <v/>
      </c>
      <c r="BC1035">
        <f>$C1035*BC1034</f>
        <v/>
      </c>
      <c r="BD1035">
        <f>$C1035*BD1034</f>
        <v/>
      </c>
      <c r="BE1035">
        <f>$C1035*BE1034</f>
        <v/>
      </c>
      <c r="BF1035">
        <f>$C1035*BF1034</f>
        <v/>
      </c>
      <c r="BG1035">
        <f>$C1035*BG1034</f>
        <v/>
      </c>
      <c r="BH1035">
        <f>$C1035*BH1034</f>
        <v/>
      </c>
      <c r="BI1035">
        <f>$C1035*BI1034</f>
        <v/>
      </c>
      <c r="BJ1035">
        <f>$C1035*BJ1034</f>
        <v/>
      </c>
      <c r="BK1035">
        <f>$C1035*BK1034</f>
        <v/>
      </c>
      <c r="BL1035">
        <f>$C1035*BL1034</f>
        <v/>
      </c>
      <c r="BM1035">
        <f>$C1035*BM1034</f>
        <v/>
      </c>
      <c r="BN1035">
        <f>$C1035*BN1034</f>
        <v/>
      </c>
      <c r="BO1035">
        <f>$C1035*BO1034</f>
        <v/>
      </c>
      <c r="BP1035">
        <f>$C1035*BP1034</f>
        <v/>
      </c>
      <c r="BQ1035">
        <f>$C1035*BQ1034</f>
        <v/>
      </c>
      <c r="BR1035">
        <f>$C1035*BR1034</f>
        <v/>
      </c>
      <c r="BS1035">
        <f>$C1035*BS1034</f>
        <v/>
      </c>
      <c r="BT1035">
        <f>$C1035*BT1034</f>
        <v/>
      </c>
      <c r="BU1035">
        <f>$C1035*BU1034</f>
        <v/>
      </c>
      <c r="BV1035">
        <f>$C1035*BV1034</f>
        <v/>
      </c>
      <c r="BW1035">
        <f>$C1035*BW1034</f>
        <v/>
      </c>
      <c r="BX1035">
        <f>$C1035*BX1034</f>
        <v/>
      </c>
      <c r="BY1035">
        <f>$C1035*BY1034</f>
        <v/>
      </c>
      <c r="BZ1035">
        <f>$C1035*BZ1034</f>
        <v/>
      </c>
      <c r="CA1035">
        <f>$C1035*CA1034</f>
        <v/>
      </c>
      <c r="CB1035">
        <f>$C1035*CB1034</f>
        <v/>
      </c>
      <c r="CC1035">
        <f>$C1035*CC1034</f>
        <v/>
      </c>
      <c r="CD1035">
        <f>$C1035*CD1034</f>
        <v/>
      </c>
      <c r="CE1035">
        <f>$C1035*CE1034</f>
        <v/>
      </c>
      <c r="CF1035">
        <f>$C1035*CF1034</f>
        <v/>
      </c>
      <c r="CG1035">
        <f>$C1035*CG1034</f>
        <v/>
      </c>
      <c r="CH1035">
        <f>$C1035*CH1034</f>
        <v/>
      </c>
      <c r="CI1035">
        <f>$C1035*CI1034</f>
        <v/>
      </c>
      <c r="CJ1035">
        <f>$C1035*CJ1034</f>
        <v/>
      </c>
      <c r="CK1035">
        <f>$C1035*CK1034</f>
        <v/>
      </c>
      <c r="CL1035">
        <f>$C1035*CL1034</f>
        <v/>
      </c>
      <c r="CM1035">
        <f>$C1035*CM1034</f>
        <v/>
      </c>
      <c r="CN1035">
        <f>$C1035*CN1034</f>
        <v/>
      </c>
      <c r="CO1035">
        <f>$C1035*CO1034</f>
        <v/>
      </c>
      <c r="CP1035">
        <f>$C1035*CP1034</f>
        <v/>
      </c>
      <c r="CQ1035">
        <f>$C1035*CQ1034</f>
        <v/>
      </c>
      <c r="CR1035">
        <f>$C1035*CR1034</f>
        <v/>
      </c>
      <c r="CS1035">
        <f>$C1035*CS1034</f>
        <v/>
      </c>
      <c r="CT1035">
        <f>$C1035*CT1034</f>
        <v/>
      </c>
      <c r="CU1035">
        <f>$C1035*CU1034</f>
        <v/>
      </c>
      <c r="CV1035">
        <f>$C1035*CV1034</f>
        <v/>
      </c>
      <c r="CW1035">
        <f>$C1035*CW1034</f>
        <v/>
      </c>
      <c r="CX1035">
        <f>$C1035*CX1034</f>
        <v/>
      </c>
      <c r="CY1035">
        <f>$C1035*CY1034</f>
        <v/>
      </c>
      <c r="CZ1035">
        <f>$C1035*CZ1034</f>
        <v/>
      </c>
      <c r="DA1035">
        <f>$C1035*DA1034</f>
        <v/>
      </c>
      <c r="DB1035">
        <f>$C1035*DB1034</f>
        <v/>
      </c>
      <c r="DC1035">
        <f>$C1035*DC1034</f>
        <v/>
      </c>
    </row>
    <row r="1036">
      <c r="B1036" t="inlineStr">
        <is>
          <t>TSP-903</t>
        </is>
      </c>
      <c r="C1036" t="inlineStr">
        <is>
          <t>No. of batches</t>
        </is>
      </c>
      <c r="D1036">
        <f>IFERROR(INDEX(PP_Grid[#Data],$DD1036,2),0)</f>
        <v/>
      </c>
      <c r="E1036">
        <f>IFERROR(INDEX(PP_Grid[#Data],$DD1036,3),0)</f>
        <v/>
      </c>
      <c r="F1036">
        <f>IFERROR(INDEX(PP_Grid[#Data],$DD1036,4),0)</f>
        <v/>
      </c>
      <c r="G1036">
        <f>IFERROR(INDEX(PP_Grid[#Data],$DD1036,5),0)</f>
        <v/>
      </c>
      <c r="H1036">
        <f>IFERROR(INDEX(PP_Grid[#Data],$DD1036,6),0)</f>
        <v/>
      </c>
      <c r="I1036">
        <f>IFERROR(INDEX(PP_Grid[#Data],$DD1036,7),0)</f>
        <v/>
      </c>
      <c r="J1036">
        <f>IFERROR(INDEX(PP_Grid[#Data],$DD1036,8),0)</f>
        <v/>
      </c>
      <c r="K1036">
        <f>IFERROR(INDEX(PP_Grid[#Data],$DD1036,9),0)</f>
        <v/>
      </c>
      <c r="L1036">
        <f>IFERROR(INDEX(PP_Grid[#Data],$DD1036,10),0)</f>
        <v/>
      </c>
      <c r="M1036">
        <f>IFERROR(INDEX(PP_Grid[#Data],$DD1036,11),0)</f>
        <v/>
      </c>
      <c r="N1036">
        <f>IFERROR(INDEX(PP_Grid[#Data],$DD1036,12),0)</f>
        <v/>
      </c>
      <c r="O1036">
        <f>IFERROR(INDEX(PP_Grid[#Data],$DD1036,13),0)</f>
        <v/>
      </c>
      <c r="P1036">
        <f>IFERROR(INDEX(PP_Grid[#Data],$DD1036,14),0)</f>
        <v/>
      </c>
      <c r="Q1036">
        <f>IFERROR(INDEX(PP_Grid[#Data],$DD1036,15),0)</f>
        <v/>
      </c>
      <c r="R1036">
        <f>IFERROR(INDEX(PP_Grid[#Data],$DD1036,16),0)</f>
        <v/>
      </c>
      <c r="S1036">
        <f>IFERROR(INDEX(PP_Grid[#Data],$DD1036,17),0)</f>
        <v/>
      </c>
      <c r="T1036">
        <f>IFERROR(INDEX(PP_Grid[#Data],$DD1036,18),0)</f>
        <v/>
      </c>
      <c r="U1036">
        <f>IFERROR(INDEX(PP_Grid[#Data],$DD1036,19),0)</f>
        <v/>
      </c>
      <c r="V1036">
        <f>IFERROR(INDEX(PP_Grid[#Data],$DD1036,20),0)</f>
        <v/>
      </c>
      <c r="W1036">
        <f>IFERROR(INDEX(PP_Grid[#Data],$DD1036,21),0)</f>
        <v/>
      </c>
      <c r="X1036">
        <f>IFERROR(INDEX(PP_Grid[#Data],$DD1036,22),0)</f>
        <v/>
      </c>
      <c r="Y1036">
        <f>IFERROR(INDEX(PP_Grid[#Data],$DD1036,23),0)</f>
        <v/>
      </c>
      <c r="Z1036">
        <f>IFERROR(INDEX(PP_Grid[#Data],$DD1036,24),0)</f>
        <v/>
      </c>
      <c r="AA1036">
        <f>IFERROR(INDEX(PP_Grid[#Data],$DD1036,25),0)</f>
        <v/>
      </c>
      <c r="AB1036">
        <f>IFERROR(INDEX(PP_Grid[#Data],$DD1036,26),0)</f>
        <v/>
      </c>
      <c r="AC1036">
        <f>IFERROR(INDEX(PP_Grid[#Data],$DD1036,27),0)</f>
        <v/>
      </c>
      <c r="AD1036">
        <f>IFERROR(INDEX(PP_Grid[#Data],$DD1036,28),0)</f>
        <v/>
      </c>
      <c r="AE1036">
        <f>IFERROR(INDEX(PP_Grid[#Data],$DD1036,29),0)</f>
        <v/>
      </c>
      <c r="AF1036">
        <f>IFERROR(INDEX(PP_Grid[#Data],$DD1036,30),0)</f>
        <v/>
      </c>
      <c r="AG1036">
        <f>IFERROR(INDEX(PP_Grid[#Data],$DD1036,31),0)</f>
        <v/>
      </c>
      <c r="AH1036">
        <f>IFERROR(INDEX(PP_Grid[#Data],$DD1036,32),0)</f>
        <v/>
      </c>
      <c r="AI1036">
        <f>IFERROR(INDEX(PP_Grid[#Data],$DD1036,33),0)</f>
        <v/>
      </c>
      <c r="AJ1036">
        <f>IFERROR(INDEX(PP_Grid[#Data],$DD1036,34),0)</f>
        <v/>
      </c>
      <c r="AK1036">
        <f>IFERROR(INDEX(PP_Grid[#Data],$DD1036,35),0)</f>
        <v/>
      </c>
      <c r="AL1036">
        <f>IFERROR(INDEX(PP_Grid[#Data],$DD1036,36),0)</f>
        <v/>
      </c>
      <c r="AM1036">
        <f>IFERROR(INDEX(PP_Grid[#Data],$DD1036,37),0)</f>
        <v/>
      </c>
      <c r="AN1036">
        <f>IFERROR(INDEX(PP_Grid[#Data],$DD1036,38),0)</f>
        <v/>
      </c>
      <c r="AO1036">
        <f>IFERROR(INDEX(PP_Grid[#Data],$DD1036,39),0)</f>
        <v/>
      </c>
      <c r="AP1036">
        <f>IFERROR(INDEX(PP_Grid[#Data],$DD1036,40),0)</f>
        <v/>
      </c>
      <c r="AQ1036">
        <f>IFERROR(INDEX(PP_Grid[#Data],$DD1036,41),0)</f>
        <v/>
      </c>
      <c r="AR1036">
        <f>IFERROR(INDEX(PP_Grid[#Data],$DD1036,42),0)</f>
        <v/>
      </c>
      <c r="AS1036">
        <f>IFERROR(INDEX(PP_Grid[#Data],$DD1036,43),0)</f>
        <v/>
      </c>
      <c r="AT1036">
        <f>IFERROR(INDEX(PP_Grid[#Data],$DD1036,44),0)</f>
        <v/>
      </c>
      <c r="AU1036">
        <f>IFERROR(INDEX(PP_Grid[#Data],$DD1036,45),0)</f>
        <v/>
      </c>
      <c r="AV1036">
        <f>IFERROR(INDEX(PP_Grid[#Data],$DD1036,46),0)</f>
        <v/>
      </c>
      <c r="AW1036">
        <f>IFERROR(INDEX(PP_Grid[#Data],$DD1036,47),0)</f>
        <v/>
      </c>
      <c r="AX1036">
        <f>IFERROR(INDEX(PP_Grid[#Data],$DD1036,48),0)</f>
        <v/>
      </c>
      <c r="AY1036">
        <f>IFERROR(INDEX(PP_Grid[#Data],$DD1036,49),0)</f>
        <v/>
      </c>
      <c r="AZ1036">
        <f>IFERROR(INDEX(PP_Grid[#Data],$DD1036,50),0)</f>
        <v/>
      </c>
      <c r="BA1036">
        <f>IFERROR(INDEX(PP_Grid[#Data],$DD1036,51),0)</f>
        <v/>
      </c>
      <c r="BB1036">
        <f>IFERROR(INDEX(PP_Grid[#Data],$DD1036,52),0)</f>
        <v/>
      </c>
      <c r="BC1036">
        <f>IFERROR(INDEX(PP_Grid[#Data],$DD1036,53),0)</f>
        <v/>
      </c>
      <c r="BD1036">
        <f>IFERROR(INDEX(PP_Grid[#Data],$DD1036,54),0)</f>
        <v/>
      </c>
      <c r="BE1036">
        <f>IFERROR(INDEX(PP_Grid[#Data],$DD1036,55),0)</f>
        <v/>
      </c>
      <c r="BF1036">
        <f>IFERROR(INDEX(PP_Grid[#Data],$DD1036,56),0)</f>
        <v/>
      </c>
      <c r="BG1036">
        <f>IFERROR(INDEX(PP_Grid[#Data],$DD1036,57),0)</f>
        <v/>
      </c>
      <c r="BH1036">
        <f>IFERROR(INDEX(PP_Grid[#Data],$DD1036,58),0)</f>
        <v/>
      </c>
      <c r="BI1036">
        <f>IFERROR(INDEX(PP_Grid[#Data],$DD1036,59),0)</f>
        <v/>
      </c>
      <c r="BJ1036">
        <f>IFERROR(INDEX(PP_Grid[#Data],$DD1036,60),0)</f>
        <v/>
      </c>
      <c r="BK1036">
        <f>IFERROR(INDEX(PP_Grid[#Data],$DD1036,61),0)</f>
        <v/>
      </c>
      <c r="BL1036">
        <f>IFERROR(INDEX(PP_Grid[#Data],$DD1036,62),0)</f>
        <v/>
      </c>
      <c r="BM1036">
        <f>IFERROR(INDEX(PP_Grid[#Data],$DD1036,63),0)</f>
        <v/>
      </c>
      <c r="BN1036">
        <f>IFERROR(INDEX(PP_Grid[#Data],$DD1036,64),0)</f>
        <v/>
      </c>
      <c r="BO1036">
        <f>IFERROR(INDEX(PP_Grid[#Data],$DD1036,65),0)</f>
        <v/>
      </c>
      <c r="BP1036">
        <f>IFERROR(INDEX(PP_Grid[#Data],$DD1036,66),0)</f>
        <v/>
      </c>
      <c r="BQ1036">
        <f>IFERROR(INDEX(PP_Grid[#Data],$DD1036,67),0)</f>
        <v/>
      </c>
      <c r="BR1036">
        <f>IFERROR(INDEX(PP_Grid[#Data],$DD1036,68),0)</f>
        <v/>
      </c>
      <c r="BS1036">
        <f>IFERROR(INDEX(PP_Grid[#Data],$DD1036,69),0)</f>
        <v/>
      </c>
      <c r="BT1036">
        <f>IFERROR(INDEX(PP_Grid[#Data],$DD1036,70),0)</f>
        <v/>
      </c>
      <c r="BU1036">
        <f>IFERROR(INDEX(PP_Grid[#Data],$DD1036,71),0)</f>
        <v/>
      </c>
      <c r="BV1036">
        <f>IFERROR(INDEX(PP_Grid[#Data],$DD1036,72),0)</f>
        <v/>
      </c>
      <c r="BW1036">
        <f>IFERROR(INDEX(PP_Grid[#Data],$DD1036,73),0)</f>
        <v/>
      </c>
      <c r="BX1036">
        <f>IFERROR(INDEX(PP_Grid[#Data],$DD1036,74),0)</f>
        <v/>
      </c>
      <c r="BY1036">
        <f>IFERROR(INDEX(PP_Grid[#Data],$DD1036,75),0)</f>
        <v/>
      </c>
      <c r="BZ1036">
        <f>IFERROR(INDEX(PP_Grid[#Data],$DD1036,76),0)</f>
        <v/>
      </c>
      <c r="CA1036">
        <f>IFERROR(INDEX(PP_Grid[#Data],$DD1036,77),0)</f>
        <v/>
      </c>
      <c r="CB1036">
        <f>IFERROR(INDEX(PP_Grid[#Data],$DD1036,78),0)</f>
        <v/>
      </c>
      <c r="CC1036">
        <f>IFERROR(INDEX(PP_Grid[#Data],$DD1036,79),0)</f>
        <v/>
      </c>
      <c r="CD1036">
        <f>IFERROR(INDEX(PP_Grid[#Data],$DD1036,80),0)</f>
        <v/>
      </c>
      <c r="CE1036">
        <f>IFERROR(INDEX(PP_Grid[#Data],$DD1036,81),0)</f>
        <v/>
      </c>
      <c r="CF1036">
        <f>IFERROR(INDEX(PP_Grid[#Data],$DD1036,82),0)</f>
        <v/>
      </c>
      <c r="CG1036">
        <f>IFERROR(INDEX(PP_Grid[#Data],$DD1036,83),0)</f>
        <v/>
      </c>
      <c r="CH1036">
        <f>IFERROR(INDEX(PP_Grid[#Data],$DD1036,84),0)</f>
        <v/>
      </c>
      <c r="CI1036">
        <f>IFERROR(INDEX(PP_Grid[#Data],$DD1036,85),0)</f>
        <v/>
      </c>
      <c r="CJ1036">
        <f>IFERROR(INDEX(PP_Grid[#Data],$DD1036,86),0)</f>
        <v/>
      </c>
      <c r="CK1036">
        <f>IFERROR(INDEX(PP_Grid[#Data],$DD1036,87),0)</f>
        <v/>
      </c>
      <c r="CL1036">
        <f>IFERROR(INDEX(PP_Grid[#Data],$DD1036,88),0)</f>
        <v/>
      </c>
      <c r="CM1036">
        <f>IFERROR(INDEX(PP_Grid[#Data],$DD1036,89),0)</f>
        <v/>
      </c>
      <c r="CN1036">
        <f>IFERROR(INDEX(PP_Grid[#Data],$DD1036,90),0)</f>
        <v/>
      </c>
      <c r="CO1036">
        <f>IFERROR(INDEX(PP_Grid[#Data],$DD1036,91),0)</f>
        <v/>
      </c>
      <c r="CP1036">
        <f>IFERROR(INDEX(PP_Grid[#Data],$DD1036,92),0)</f>
        <v/>
      </c>
      <c r="CQ1036">
        <f>IFERROR(INDEX(PP_Grid[#Data],$DD1036,93),0)</f>
        <v/>
      </c>
      <c r="CR1036">
        <f>IFERROR(INDEX(PP_Grid[#Data],$DD1036,94),0)</f>
        <v/>
      </c>
      <c r="CS1036">
        <f>IFERROR(INDEX(PP_Grid[#Data],$DD1036,95),0)</f>
        <v/>
      </c>
      <c r="CT1036">
        <f>IFERROR(INDEX(PP_Grid[#Data],$DD1036,96),0)</f>
        <v/>
      </c>
      <c r="CU1036">
        <f>IFERROR(INDEX(PP_Grid[#Data],$DD1036,97),0)</f>
        <v/>
      </c>
      <c r="CV1036">
        <f>IFERROR(INDEX(PP_Grid[#Data],$DD1036,98),0)</f>
        <v/>
      </c>
      <c r="CW1036">
        <f>IFERROR(INDEX(PP_Grid[#Data],$DD1036,99),0)</f>
        <v/>
      </c>
      <c r="CX1036">
        <f>IFERROR(INDEX(PP_Grid[#Data],$DD1036,100),0)</f>
        <v/>
      </c>
      <c r="CY1036">
        <f>IFERROR(INDEX(PP_Grid[#Data],$DD1036,101),0)</f>
        <v/>
      </c>
      <c r="CZ1036">
        <f>IFERROR(INDEX(PP_Grid[#Data],$DD1036,102),0)</f>
        <v/>
      </c>
      <c r="DA1036">
        <f>IFERROR(INDEX(PP_Grid[#Data],$DD1036,103),0)</f>
        <v/>
      </c>
      <c r="DB1036">
        <f>IFERROR(INDEX(PP_Grid[#Data],$DD1036,104),0)</f>
        <v/>
      </c>
      <c r="DC1036">
        <f>IFERROR(INDEX(PP_Grid[#Data],$DD1036,105),0)</f>
        <v/>
      </c>
      <c r="DD1036" s="12">
        <f>IFERROR(MATCH($B1036,PP_Grid[Intermediate],0),99999)</f>
        <v/>
      </c>
    </row>
    <row r="1037">
      <c r="B1037" t="inlineStr">
        <is>
          <t>使用量(kg)</t>
        </is>
      </c>
      <c r="C1037">
        <f>SUMIFS(M_BOM[RM_Qty_Per_Batch],M_BOM[Intermediate],$B1036,M_BOM[Part Name],$A1033)</f>
        <v/>
      </c>
      <c r="D1037">
        <f>$C1037*D1036</f>
        <v/>
      </c>
      <c r="E1037">
        <f>$C1037*E1036</f>
        <v/>
      </c>
      <c r="F1037">
        <f>$C1037*F1036</f>
        <v/>
      </c>
      <c r="G1037">
        <f>$C1037*G1036</f>
        <v/>
      </c>
      <c r="H1037">
        <f>$C1037*H1036</f>
        <v/>
      </c>
      <c r="I1037">
        <f>$C1037*I1036</f>
        <v/>
      </c>
      <c r="J1037">
        <f>$C1037*J1036</f>
        <v/>
      </c>
      <c r="K1037">
        <f>$C1037*K1036</f>
        <v/>
      </c>
      <c r="L1037">
        <f>$C1037*L1036</f>
        <v/>
      </c>
      <c r="M1037">
        <f>$C1037*M1036</f>
        <v/>
      </c>
      <c r="N1037">
        <f>$C1037*N1036</f>
        <v/>
      </c>
      <c r="O1037">
        <f>$C1037*O1036</f>
        <v/>
      </c>
      <c r="P1037">
        <f>$C1037*P1036</f>
        <v/>
      </c>
      <c r="Q1037">
        <f>$C1037*Q1036</f>
        <v/>
      </c>
      <c r="R1037">
        <f>$C1037*R1036</f>
        <v/>
      </c>
      <c r="S1037">
        <f>$C1037*S1036</f>
        <v/>
      </c>
      <c r="T1037">
        <f>$C1037*T1036</f>
        <v/>
      </c>
      <c r="U1037">
        <f>$C1037*U1036</f>
        <v/>
      </c>
      <c r="V1037">
        <f>$C1037*V1036</f>
        <v/>
      </c>
      <c r="W1037">
        <f>$C1037*W1036</f>
        <v/>
      </c>
      <c r="X1037">
        <f>$C1037*X1036</f>
        <v/>
      </c>
      <c r="Y1037">
        <f>$C1037*Y1036</f>
        <v/>
      </c>
      <c r="Z1037">
        <f>$C1037*Z1036</f>
        <v/>
      </c>
      <c r="AA1037">
        <f>$C1037*AA1036</f>
        <v/>
      </c>
      <c r="AB1037">
        <f>$C1037*AB1036</f>
        <v/>
      </c>
      <c r="AC1037">
        <f>$C1037*AC1036</f>
        <v/>
      </c>
      <c r="AD1037">
        <f>$C1037*AD1036</f>
        <v/>
      </c>
      <c r="AE1037">
        <f>$C1037*AE1036</f>
        <v/>
      </c>
      <c r="AF1037">
        <f>$C1037*AF1036</f>
        <v/>
      </c>
      <c r="AG1037">
        <f>$C1037*AG1036</f>
        <v/>
      </c>
      <c r="AH1037">
        <f>$C1037*AH1036</f>
        <v/>
      </c>
      <c r="AI1037">
        <f>$C1037*AI1036</f>
        <v/>
      </c>
      <c r="AJ1037">
        <f>$C1037*AJ1036</f>
        <v/>
      </c>
      <c r="AK1037">
        <f>$C1037*AK1036</f>
        <v/>
      </c>
      <c r="AL1037">
        <f>$C1037*AL1036</f>
        <v/>
      </c>
      <c r="AM1037">
        <f>$C1037*AM1036</f>
        <v/>
      </c>
      <c r="AN1037">
        <f>$C1037*AN1036</f>
        <v/>
      </c>
      <c r="AO1037">
        <f>$C1037*AO1036</f>
        <v/>
      </c>
      <c r="AP1037">
        <f>$C1037*AP1036</f>
        <v/>
      </c>
      <c r="AQ1037">
        <f>$C1037*AQ1036</f>
        <v/>
      </c>
      <c r="AR1037">
        <f>$C1037*AR1036</f>
        <v/>
      </c>
      <c r="AS1037">
        <f>$C1037*AS1036</f>
        <v/>
      </c>
      <c r="AT1037">
        <f>$C1037*AT1036</f>
        <v/>
      </c>
      <c r="AU1037">
        <f>$C1037*AU1036</f>
        <v/>
      </c>
      <c r="AV1037">
        <f>$C1037*AV1036</f>
        <v/>
      </c>
      <c r="AW1037">
        <f>$C1037*AW1036</f>
        <v/>
      </c>
      <c r="AX1037">
        <f>$C1037*AX1036</f>
        <v/>
      </c>
      <c r="AY1037">
        <f>$C1037*AY1036</f>
        <v/>
      </c>
      <c r="AZ1037">
        <f>$C1037*AZ1036</f>
        <v/>
      </c>
      <c r="BA1037">
        <f>$C1037*BA1036</f>
        <v/>
      </c>
      <c r="BB1037">
        <f>$C1037*BB1036</f>
        <v/>
      </c>
      <c r="BC1037">
        <f>$C1037*BC1036</f>
        <v/>
      </c>
      <c r="BD1037">
        <f>$C1037*BD1036</f>
        <v/>
      </c>
      <c r="BE1037">
        <f>$C1037*BE1036</f>
        <v/>
      </c>
      <c r="BF1037">
        <f>$C1037*BF1036</f>
        <v/>
      </c>
      <c r="BG1037">
        <f>$C1037*BG1036</f>
        <v/>
      </c>
      <c r="BH1037">
        <f>$C1037*BH1036</f>
        <v/>
      </c>
      <c r="BI1037">
        <f>$C1037*BI1036</f>
        <v/>
      </c>
      <c r="BJ1037">
        <f>$C1037*BJ1036</f>
        <v/>
      </c>
      <c r="BK1037">
        <f>$C1037*BK1036</f>
        <v/>
      </c>
      <c r="BL1037">
        <f>$C1037*BL1036</f>
        <v/>
      </c>
      <c r="BM1037">
        <f>$C1037*BM1036</f>
        <v/>
      </c>
      <c r="BN1037">
        <f>$C1037*BN1036</f>
        <v/>
      </c>
      <c r="BO1037">
        <f>$C1037*BO1036</f>
        <v/>
      </c>
      <c r="BP1037">
        <f>$C1037*BP1036</f>
        <v/>
      </c>
      <c r="BQ1037">
        <f>$C1037*BQ1036</f>
        <v/>
      </c>
      <c r="BR1037">
        <f>$C1037*BR1036</f>
        <v/>
      </c>
      <c r="BS1037">
        <f>$C1037*BS1036</f>
        <v/>
      </c>
      <c r="BT1037">
        <f>$C1037*BT1036</f>
        <v/>
      </c>
      <c r="BU1037">
        <f>$C1037*BU1036</f>
        <v/>
      </c>
      <c r="BV1037">
        <f>$C1037*BV1036</f>
        <v/>
      </c>
      <c r="BW1037">
        <f>$C1037*BW1036</f>
        <v/>
      </c>
      <c r="BX1037">
        <f>$C1037*BX1036</f>
        <v/>
      </c>
      <c r="BY1037">
        <f>$C1037*BY1036</f>
        <v/>
      </c>
      <c r="BZ1037">
        <f>$C1037*BZ1036</f>
        <v/>
      </c>
      <c r="CA1037">
        <f>$C1037*CA1036</f>
        <v/>
      </c>
      <c r="CB1037">
        <f>$C1037*CB1036</f>
        <v/>
      </c>
      <c r="CC1037">
        <f>$C1037*CC1036</f>
        <v/>
      </c>
      <c r="CD1037">
        <f>$C1037*CD1036</f>
        <v/>
      </c>
      <c r="CE1037">
        <f>$C1037*CE1036</f>
        <v/>
      </c>
      <c r="CF1037">
        <f>$C1037*CF1036</f>
        <v/>
      </c>
      <c r="CG1037">
        <f>$C1037*CG1036</f>
        <v/>
      </c>
      <c r="CH1037">
        <f>$C1037*CH1036</f>
        <v/>
      </c>
      <c r="CI1037">
        <f>$C1037*CI1036</f>
        <v/>
      </c>
      <c r="CJ1037">
        <f>$C1037*CJ1036</f>
        <v/>
      </c>
      <c r="CK1037">
        <f>$C1037*CK1036</f>
        <v/>
      </c>
      <c r="CL1037">
        <f>$C1037*CL1036</f>
        <v/>
      </c>
      <c r="CM1037">
        <f>$C1037*CM1036</f>
        <v/>
      </c>
      <c r="CN1037">
        <f>$C1037*CN1036</f>
        <v/>
      </c>
      <c r="CO1037">
        <f>$C1037*CO1036</f>
        <v/>
      </c>
      <c r="CP1037">
        <f>$C1037*CP1036</f>
        <v/>
      </c>
      <c r="CQ1037">
        <f>$C1037*CQ1036</f>
        <v/>
      </c>
      <c r="CR1037">
        <f>$C1037*CR1036</f>
        <v/>
      </c>
      <c r="CS1037">
        <f>$C1037*CS1036</f>
        <v/>
      </c>
      <c r="CT1037">
        <f>$C1037*CT1036</f>
        <v/>
      </c>
      <c r="CU1037">
        <f>$C1037*CU1036</f>
        <v/>
      </c>
      <c r="CV1037">
        <f>$C1037*CV1036</f>
        <v/>
      </c>
      <c r="CW1037">
        <f>$C1037*CW1036</f>
        <v/>
      </c>
      <c r="CX1037">
        <f>$C1037*CX1036</f>
        <v/>
      </c>
      <c r="CY1037">
        <f>$C1037*CY1036</f>
        <v/>
      </c>
      <c r="CZ1037">
        <f>$C1037*CZ1036</f>
        <v/>
      </c>
      <c r="DA1037">
        <f>$C1037*DA1036</f>
        <v/>
      </c>
      <c r="DB1037">
        <f>$C1037*DB1036</f>
        <v/>
      </c>
      <c r="DC1037">
        <f>$C1037*DC1036</f>
        <v/>
      </c>
    </row>
    <row r="1038">
      <c r="B1038" s="5" t="inlineStr">
        <is>
          <t>合計使用量(kg)/週</t>
        </is>
      </c>
      <c r="D1038">
        <f>'Grid_Requirement'!B45</f>
        <v/>
      </c>
      <c r="E1038">
        <f>'Grid_Requirement'!C45</f>
        <v/>
      </c>
      <c r="F1038">
        <f>'Grid_Requirement'!D45</f>
        <v/>
      </c>
      <c r="G1038">
        <f>'Grid_Requirement'!E45</f>
        <v/>
      </c>
      <c r="H1038">
        <f>'Grid_Requirement'!F45</f>
        <v/>
      </c>
      <c r="I1038">
        <f>'Grid_Requirement'!G45</f>
        <v/>
      </c>
      <c r="J1038">
        <f>'Grid_Requirement'!H45</f>
        <v/>
      </c>
      <c r="K1038">
        <f>'Grid_Requirement'!I45</f>
        <v/>
      </c>
      <c r="L1038">
        <f>'Grid_Requirement'!J45</f>
        <v/>
      </c>
      <c r="M1038">
        <f>'Grid_Requirement'!K45</f>
        <v/>
      </c>
      <c r="N1038">
        <f>'Grid_Requirement'!L45</f>
        <v/>
      </c>
      <c r="O1038">
        <f>'Grid_Requirement'!M45</f>
        <v/>
      </c>
      <c r="P1038">
        <f>'Grid_Requirement'!N45</f>
        <v/>
      </c>
      <c r="Q1038">
        <f>'Grid_Requirement'!O45</f>
        <v/>
      </c>
      <c r="R1038">
        <f>'Grid_Requirement'!P45</f>
        <v/>
      </c>
      <c r="S1038">
        <f>'Grid_Requirement'!Q45</f>
        <v/>
      </c>
      <c r="T1038">
        <f>'Grid_Requirement'!R45</f>
        <v/>
      </c>
      <c r="U1038">
        <f>'Grid_Requirement'!S45</f>
        <v/>
      </c>
      <c r="V1038">
        <f>'Grid_Requirement'!T45</f>
        <v/>
      </c>
      <c r="W1038">
        <f>'Grid_Requirement'!U45</f>
        <v/>
      </c>
      <c r="X1038">
        <f>'Grid_Requirement'!V45</f>
        <v/>
      </c>
      <c r="Y1038">
        <f>'Grid_Requirement'!W45</f>
        <v/>
      </c>
      <c r="Z1038">
        <f>'Grid_Requirement'!X45</f>
        <v/>
      </c>
      <c r="AA1038">
        <f>'Grid_Requirement'!Y45</f>
        <v/>
      </c>
      <c r="AB1038">
        <f>'Grid_Requirement'!Z45</f>
        <v/>
      </c>
      <c r="AC1038">
        <f>'Grid_Requirement'!AA45</f>
        <v/>
      </c>
      <c r="AD1038">
        <f>'Grid_Requirement'!AB45</f>
        <v/>
      </c>
      <c r="AE1038">
        <f>'Grid_Requirement'!AC45</f>
        <v/>
      </c>
      <c r="AF1038">
        <f>'Grid_Requirement'!AD45</f>
        <v/>
      </c>
      <c r="AG1038">
        <f>'Grid_Requirement'!AE45</f>
        <v/>
      </c>
      <c r="AH1038">
        <f>'Grid_Requirement'!AF45</f>
        <v/>
      </c>
      <c r="AI1038">
        <f>'Grid_Requirement'!AG45</f>
        <v/>
      </c>
      <c r="AJ1038">
        <f>'Grid_Requirement'!AH45</f>
        <v/>
      </c>
      <c r="AK1038">
        <f>'Grid_Requirement'!AI45</f>
        <v/>
      </c>
      <c r="AL1038">
        <f>'Grid_Requirement'!AJ45</f>
        <v/>
      </c>
      <c r="AM1038">
        <f>'Grid_Requirement'!AK45</f>
        <v/>
      </c>
      <c r="AN1038">
        <f>'Grid_Requirement'!AL45</f>
        <v/>
      </c>
      <c r="AO1038">
        <f>'Grid_Requirement'!AM45</f>
        <v/>
      </c>
      <c r="AP1038">
        <f>'Grid_Requirement'!AN45</f>
        <v/>
      </c>
      <c r="AQ1038">
        <f>'Grid_Requirement'!AO45</f>
        <v/>
      </c>
      <c r="AR1038">
        <f>'Grid_Requirement'!AP45</f>
        <v/>
      </c>
      <c r="AS1038">
        <f>'Grid_Requirement'!AQ45</f>
        <v/>
      </c>
      <c r="AT1038">
        <f>'Grid_Requirement'!AR45</f>
        <v/>
      </c>
      <c r="AU1038">
        <f>'Grid_Requirement'!AS45</f>
        <v/>
      </c>
      <c r="AV1038">
        <f>'Grid_Requirement'!AT45</f>
        <v/>
      </c>
      <c r="AW1038">
        <f>'Grid_Requirement'!AU45</f>
        <v/>
      </c>
      <c r="AX1038">
        <f>'Grid_Requirement'!AV45</f>
        <v/>
      </c>
      <c r="AY1038">
        <f>'Grid_Requirement'!AW45</f>
        <v/>
      </c>
      <c r="AZ1038">
        <f>'Grid_Requirement'!AX45</f>
        <v/>
      </c>
      <c r="BA1038">
        <f>'Grid_Requirement'!AY45</f>
        <v/>
      </c>
      <c r="BB1038">
        <f>'Grid_Requirement'!AZ45</f>
        <v/>
      </c>
      <c r="BC1038">
        <f>'Grid_Requirement'!BA45</f>
        <v/>
      </c>
      <c r="BD1038">
        <f>'Grid_Requirement'!BB45</f>
        <v/>
      </c>
      <c r="BE1038">
        <f>'Grid_Requirement'!BC45</f>
        <v/>
      </c>
      <c r="BF1038">
        <f>'Grid_Requirement'!BD45</f>
        <v/>
      </c>
      <c r="BG1038">
        <f>'Grid_Requirement'!BE45</f>
        <v/>
      </c>
      <c r="BH1038">
        <f>'Grid_Requirement'!BF45</f>
        <v/>
      </c>
      <c r="BI1038">
        <f>'Grid_Requirement'!BG45</f>
        <v/>
      </c>
      <c r="BJ1038">
        <f>'Grid_Requirement'!BH45</f>
        <v/>
      </c>
      <c r="BK1038">
        <f>'Grid_Requirement'!BI45</f>
        <v/>
      </c>
      <c r="BL1038">
        <f>'Grid_Requirement'!BJ45</f>
        <v/>
      </c>
      <c r="BM1038">
        <f>'Grid_Requirement'!BK45</f>
        <v/>
      </c>
      <c r="BN1038">
        <f>'Grid_Requirement'!BL45</f>
        <v/>
      </c>
      <c r="BO1038">
        <f>'Grid_Requirement'!BM45</f>
        <v/>
      </c>
      <c r="BP1038">
        <f>'Grid_Requirement'!BN45</f>
        <v/>
      </c>
      <c r="BQ1038">
        <f>'Grid_Requirement'!BO45</f>
        <v/>
      </c>
      <c r="BR1038">
        <f>'Grid_Requirement'!BP45</f>
        <v/>
      </c>
      <c r="BS1038">
        <f>'Grid_Requirement'!BQ45</f>
        <v/>
      </c>
      <c r="BT1038">
        <f>'Grid_Requirement'!BR45</f>
        <v/>
      </c>
      <c r="BU1038">
        <f>'Grid_Requirement'!BS45</f>
        <v/>
      </c>
      <c r="BV1038">
        <f>'Grid_Requirement'!BT45</f>
        <v/>
      </c>
      <c r="BW1038">
        <f>'Grid_Requirement'!BU45</f>
        <v/>
      </c>
      <c r="BX1038">
        <f>'Grid_Requirement'!BV45</f>
        <v/>
      </c>
      <c r="BY1038">
        <f>'Grid_Requirement'!BW45</f>
        <v/>
      </c>
      <c r="BZ1038">
        <f>'Grid_Requirement'!BX45</f>
        <v/>
      </c>
      <c r="CA1038">
        <f>'Grid_Requirement'!BY45</f>
        <v/>
      </c>
      <c r="CB1038">
        <f>'Grid_Requirement'!BZ45</f>
        <v/>
      </c>
      <c r="CC1038">
        <f>'Grid_Requirement'!CA45</f>
        <v/>
      </c>
      <c r="CD1038">
        <f>'Grid_Requirement'!CB45</f>
        <v/>
      </c>
      <c r="CE1038">
        <f>'Grid_Requirement'!CC45</f>
        <v/>
      </c>
      <c r="CF1038">
        <f>'Grid_Requirement'!CD45</f>
        <v/>
      </c>
      <c r="CG1038">
        <f>'Grid_Requirement'!CE45</f>
        <v/>
      </c>
      <c r="CH1038">
        <f>'Grid_Requirement'!CF45</f>
        <v/>
      </c>
      <c r="CI1038">
        <f>'Grid_Requirement'!CG45</f>
        <v/>
      </c>
      <c r="CJ1038">
        <f>'Grid_Requirement'!CH45</f>
        <v/>
      </c>
      <c r="CK1038">
        <f>'Grid_Requirement'!CI45</f>
        <v/>
      </c>
      <c r="CL1038">
        <f>'Grid_Requirement'!CJ45</f>
        <v/>
      </c>
      <c r="CM1038">
        <f>'Grid_Requirement'!CK45</f>
        <v/>
      </c>
      <c r="CN1038">
        <f>'Grid_Requirement'!CL45</f>
        <v/>
      </c>
      <c r="CO1038">
        <f>'Grid_Requirement'!CM45</f>
        <v/>
      </c>
      <c r="CP1038">
        <f>'Grid_Requirement'!CN45</f>
        <v/>
      </c>
      <c r="CQ1038">
        <f>'Grid_Requirement'!CO45</f>
        <v/>
      </c>
      <c r="CR1038">
        <f>'Grid_Requirement'!CP45</f>
        <v/>
      </c>
      <c r="CS1038">
        <f>'Grid_Requirement'!CQ45</f>
        <v/>
      </c>
      <c r="CT1038">
        <f>'Grid_Requirement'!CR45</f>
        <v/>
      </c>
      <c r="CU1038">
        <f>'Grid_Requirement'!CS45</f>
        <v/>
      </c>
      <c r="CV1038">
        <f>'Grid_Requirement'!CT45</f>
        <v/>
      </c>
      <c r="CW1038">
        <f>'Grid_Requirement'!CU45</f>
        <v/>
      </c>
      <c r="CX1038">
        <f>'Grid_Requirement'!CV45</f>
        <v/>
      </c>
      <c r="CY1038">
        <f>'Grid_Requirement'!CW45</f>
        <v/>
      </c>
      <c r="CZ1038">
        <f>'Grid_Requirement'!CX45</f>
        <v/>
      </c>
      <c r="DA1038">
        <f>'Grid_Requirement'!CY45</f>
        <v/>
      </c>
      <c r="DB1038">
        <f>'Grid_Requirement'!CZ45</f>
        <v/>
      </c>
      <c r="DC1038">
        <f>'Grid_Requirement'!DA45</f>
        <v/>
      </c>
    </row>
    <row r="1039">
      <c r="B1039" t="inlineStr">
        <is>
          <t>TTAF在庫(実績,kg)</t>
        </is>
      </c>
      <c r="D1039">
        <f>'T_TTAFStock'!B49</f>
        <v/>
      </c>
      <c r="E1039">
        <f>'T_TTAFStock'!C49</f>
        <v/>
      </c>
      <c r="F1039">
        <f>'T_TTAFStock'!D49</f>
        <v/>
      </c>
      <c r="G1039">
        <f>'T_TTAFStock'!E49</f>
        <v/>
      </c>
      <c r="H1039">
        <f>'T_TTAFStock'!F49</f>
        <v/>
      </c>
      <c r="I1039">
        <f>'T_TTAFStock'!G49</f>
        <v/>
      </c>
      <c r="J1039">
        <f>'T_TTAFStock'!H49</f>
        <v/>
      </c>
      <c r="K1039">
        <f>'T_TTAFStock'!I49</f>
        <v/>
      </c>
      <c r="L1039">
        <f>'T_TTAFStock'!J49</f>
        <v/>
      </c>
      <c r="M1039">
        <f>'T_TTAFStock'!K49</f>
        <v/>
      </c>
      <c r="N1039">
        <f>'T_TTAFStock'!L49</f>
        <v/>
      </c>
      <c r="O1039">
        <f>'T_TTAFStock'!M49</f>
        <v/>
      </c>
      <c r="P1039">
        <f>'T_TTAFStock'!N49</f>
        <v/>
      </c>
      <c r="Q1039">
        <f>'T_TTAFStock'!O49</f>
        <v/>
      </c>
      <c r="R1039">
        <f>'T_TTAFStock'!P49</f>
        <v/>
      </c>
      <c r="S1039">
        <f>'T_TTAFStock'!Q49</f>
        <v/>
      </c>
      <c r="T1039">
        <f>'T_TTAFStock'!R49</f>
        <v/>
      </c>
      <c r="U1039">
        <f>'T_TTAFStock'!S49</f>
        <v/>
      </c>
      <c r="V1039">
        <f>'T_TTAFStock'!T49</f>
        <v/>
      </c>
      <c r="W1039">
        <f>'T_TTAFStock'!U49</f>
        <v/>
      </c>
      <c r="X1039">
        <f>'T_TTAFStock'!V49</f>
        <v/>
      </c>
      <c r="Y1039">
        <f>'T_TTAFStock'!W49</f>
        <v/>
      </c>
      <c r="Z1039">
        <f>'T_TTAFStock'!X49</f>
        <v/>
      </c>
      <c r="AA1039">
        <f>'T_TTAFStock'!Y49</f>
        <v/>
      </c>
      <c r="AB1039">
        <f>'T_TTAFStock'!Z49</f>
        <v/>
      </c>
      <c r="AC1039">
        <f>'T_TTAFStock'!AA49</f>
        <v/>
      </c>
      <c r="AD1039">
        <f>'T_TTAFStock'!AB49</f>
        <v/>
      </c>
      <c r="AE1039">
        <f>'T_TTAFStock'!AC49</f>
        <v/>
      </c>
      <c r="AF1039">
        <f>'T_TTAFStock'!AD49</f>
        <v/>
      </c>
      <c r="AG1039">
        <f>'T_TTAFStock'!AE49</f>
        <v/>
      </c>
      <c r="AH1039">
        <f>'T_TTAFStock'!AF49</f>
        <v/>
      </c>
      <c r="AI1039">
        <f>'T_TTAFStock'!AG49</f>
        <v/>
      </c>
      <c r="AJ1039">
        <f>'T_TTAFStock'!AH49</f>
        <v/>
      </c>
      <c r="AK1039">
        <f>'T_TTAFStock'!AI49</f>
        <v/>
      </c>
      <c r="AL1039">
        <f>'T_TTAFStock'!AJ49</f>
        <v/>
      </c>
      <c r="AM1039">
        <f>'T_TTAFStock'!AK49</f>
        <v/>
      </c>
      <c r="AN1039">
        <f>'T_TTAFStock'!AL49</f>
        <v/>
      </c>
      <c r="AO1039">
        <f>'T_TTAFStock'!AM49</f>
        <v/>
      </c>
      <c r="AP1039">
        <f>'T_TTAFStock'!AN49</f>
        <v/>
      </c>
      <c r="AQ1039">
        <f>'T_TTAFStock'!AO49</f>
        <v/>
      </c>
      <c r="AR1039">
        <f>'T_TTAFStock'!AP49</f>
        <v/>
      </c>
      <c r="AS1039">
        <f>'T_TTAFStock'!AQ49</f>
        <v/>
      </c>
      <c r="AT1039">
        <f>'T_TTAFStock'!AR49</f>
        <v/>
      </c>
      <c r="AU1039">
        <f>'T_TTAFStock'!AS49</f>
        <v/>
      </c>
      <c r="AV1039">
        <f>'T_TTAFStock'!AT49</f>
        <v/>
      </c>
      <c r="AW1039">
        <f>'T_TTAFStock'!AU49</f>
        <v/>
      </c>
      <c r="AX1039">
        <f>'T_TTAFStock'!AV49</f>
        <v/>
      </c>
      <c r="AY1039">
        <f>'T_TTAFStock'!AW49</f>
        <v/>
      </c>
      <c r="AZ1039">
        <f>'T_TTAFStock'!AX49</f>
        <v/>
      </c>
      <c r="BA1039">
        <f>'T_TTAFStock'!AY49</f>
        <v/>
      </c>
      <c r="BB1039">
        <f>'T_TTAFStock'!AZ49</f>
        <v/>
      </c>
      <c r="BC1039">
        <f>'T_TTAFStock'!BA49</f>
        <v/>
      </c>
      <c r="BD1039">
        <f>'T_TTAFStock'!BB49</f>
        <v/>
      </c>
      <c r="BE1039">
        <f>'T_TTAFStock'!BC49</f>
        <v/>
      </c>
      <c r="BF1039">
        <f>'T_TTAFStock'!BD49</f>
        <v/>
      </c>
      <c r="BG1039">
        <f>'T_TTAFStock'!BE49</f>
        <v/>
      </c>
      <c r="BH1039">
        <f>'T_TTAFStock'!BF49</f>
        <v/>
      </c>
      <c r="BI1039">
        <f>'T_TTAFStock'!BG49</f>
        <v/>
      </c>
      <c r="BJ1039">
        <f>'T_TTAFStock'!BH49</f>
        <v/>
      </c>
      <c r="BK1039">
        <f>'T_TTAFStock'!BI49</f>
        <v/>
      </c>
      <c r="BL1039">
        <f>'T_TTAFStock'!BJ49</f>
        <v/>
      </c>
      <c r="BM1039">
        <f>'T_TTAFStock'!BK49</f>
        <v/>
      </c>
      <c r="BN1039">
        <f>'T_TTAFStock'!BL49</f>
        <v/>
      </c>
      <c r="BO1039">
        <f>'T_TTAFStock'!BM49</f>
        <v/>
      </c>
      <c r="BP1039">
        <f>'T_TTAFStock'!BN49</f>
        <v/>
      </c>
      <c r="BQ1039">
        <f>'T_TTAFStock'!BO49</f>
        <v/>
      </c>
      <c r="BR1039">
        <f>'T_TTAFStock'!BP49</f>
        <v/>
      </c>
      <c r="BS1039">
        <f>'T_TTAFStock'!BQ49</f>
        <v/>
      </c>
      <c r="BT1039">
        <f>'T_TTAFStock'!BR49</f>
        <v/>
      </c>
      <c r="BU1039">
        <f>'T_TTAFStock'!BS49</f>
        <v/>
      </c>
      <c r="BV1039">
        <f>'T_TTAFStock'!BT49</f>
        <v/>
      </c>
      <c r="BW1039">
        <f>'T_TTAFStock'!BU49</f>
        <v/>
      </c>
      <c r="BX1039">
        <f>'T_TTAFStock'!BV49</f>
        <v/>
      </c>
      <c r="BY1039">
        <f>'T_TTAFStock'!BW49</f>
        <v/>
      </c>
      <c r="BZ1039">
        <f>'T_TTAFStock'!BX49</f>
        <v/>
      </c>
      <c r="CA1039">
        <f>'T_TTAFStock'!BY49</f>
        <v/>
      </c>
      <c r="CB1039">
        <f>'T_TTAFStock'!BZ49</f>
        <v/>
      </c>
      <c r="CC1039">
        <f>'T_TTAFStock'!CA49</f>
        <v/>
      </c>
      <c r="CD1039">
        <f>'T_TTAFStock'!CB49</f>
        <v/>
      </c>
      <c r="CE1039">
        <f>'T_TTAFStock'!CC49</f>
        <v/>
      </c>
      <c r="CF1039">
        <f>'T_TTAFStock'!CD49</f>
        <v/>
      </c>
      <c r="CG1039">
        <f>'T_TTAFStock'!CE49</f>
        <v/>
      </c>
      <c r="CH1039">
        <f>'T_TTAFStock'!CF49</f>
        <v/>
      </c>
      <c r="CI1039">
        <f>'T_TTAFStock'!CG49</f>
        <v/>
      </c>
      <c r="CJ1039">
        <f>'T_TTAFStock'!CH49</f>
        <v/>
      </c>
      <c r="CK1039">
        <f>'T_TTAFStock'!CI49</f>
        <v/>
      </c>
      <c r="CL1039">
        <f>'T_TTAFStock'!CJ49</f>
        <v/>
      </c>
      <c r="CM1039">
        <f>'T_TTAFStock'!CK49</f>
        <v/>
      </c>
      <c r="CN1039">
        <f>'T_TTAFStock'!CL49</f>
        <v/>
      </c>
      <c r="CO1039">
        <f>'T_TTAFStock'!CM49</f>
        <v/>
      </c>
      <c r="CP1039">
        <f>'T_TTAFStock'!CN49</f>
        <v/>
      </c>
      <c r="CQ1039">
        <f>'T_TTAFStock'!CO49</f>
        <v/>
      </c>
      <c r="CR1039">
        <f>'T_TTAFStock'!CP49</f>
        <v/>
      </c>
      <c r="CS1039">
        <f>'T_TTAFStock'!CQ49</f>
        <v/>
      </c>
      <c r="CT1039">
        <f>'T_TTAFStock'!CR49</f>
        <v/>
      </c>
      <c r="CU1039">
        <f>'T_TTAFStock'!CS49</f>
        <v/>
      </c>
      <c r="CV1039">
        <f>'T_TTAFStock'!CT49</f>
        <v/>
      </c>
      <c r="CW1039">
        <f>'T_TTAFStock'!CU49</f>
        <v/>
      </c>
      <c r="CX1039">
        <f>'T_TTAFStock'!CV49</f>
        <v/>
      </c>
      <c r="CY1039">
        <f>'T_TTAFStock'!CW49</f>
        <v/>
      </c>
      <c r="CZ1039">
        <f>'T_TTAFStock'!CX49</f>
        <v/>
      </c>
      <c r="DA1039">
        <f>'T_TTAFStock'!CY49</f>
        <v/>
      </c>
      <c r="DB1039">
        <f>'T_TTAFStock'!CZ49</f>
        <v/>
      </c>
      <c r="DC1039">
        <f>'T_TTAFStock'!DA49</f>
        <v/>
      </c>
    </row>
    <row r="1040">
      <c r="B1040" t="inlineStr">
        <is>
          <t>自社在庫(実績,kg)</t>
        </is>
      </c>
      <c r="D1040">
        <f>'T_SelfStock'!B49</f>
        <v/>
      </c>
      <c r="E1040">
        <f>'T_SelfStock'!C49</f>
        <v/>
      </c>
      <c r="F1040">
        <f>'T_SelfStock'!D49</f>
        <v/>
      </c>
      <c r="G1040">
        <f>'T_SelfStock'!E49</f>
        <v/>
      </c>
      <c r="H1040">
        <f>'T_SelfStock'!F49</f>
        <v/>
      </c>
      <c r="I1040">
        <f>'T_SelfStock'!G49</f>
        <v/>
      </c>
      <c r="J1040">
        <f>'T_SelfStock'!H49</f>
        <v/>
      </c>
      <c r="K1040">
        <f>'T_SelfStock'!I49</f>
        <v/>
      </c>
      <c r="L1040">
        <f>'T_SelfStock'!J49</f>
        <v/>
      </c>
      <c r="M1040">
        <f>'T_SelfStock'!K49</f>
        <v/>
      </c>
      <c r="N1040">
        <f>'T_SelfStock'!L49</f>
        <v/>
      </c>
      <c r="O1040">
        <f>'T_SelfStock'!M49</f>
        <v/>
      </c>
      <c r="P1040">
        <f>'T_SelfStock'!N49</f>
        <v/>
      </c>
      <c r="Q1040">
        <f>'T_SelfStock'!O49</f>
        <v/>
      </c>
      <c r="R1040">
        <f>'T_SelfStock'!P49</f>
        <v/>
      </c>
      <c r="S1040">
        <f>'T_SelfStock'!Q49</f>
        <v/>
      </c>
      <c r="T1040">
        <f>'T_SelfStock'!R49</f>
        <v/>
      </c>
      <c r="U1040">
        <f>'T_SelfStock'!S49</f>
        <v/>
      </c>
      <c r="V1040">
        <f>'T_SelfStock'!T49</f>
        <v/>
      </c>
      <c r="W1040">
        <f>'T_SelfStock'!U49</f>
        <v/>
      </c>
      <c r="X1040">
        <f>'T_SelfStock'!V49</f>
        <v/>
      </c>
      <c r="Y1040">
        <f>'T_SelfStock'!W49</f>
        <v/>
      </c>
      <c r="Z1040">
        <f>'T_SelfStock'!X49</f>
        <v/>
      </c>
      <c r="AA1040">
        <f>'T_SelfStock'!Y49</f>
        <v/>
      </c>
      <c r="AB1040">
        <f>'T_SelfStock'!Z49</f>
        <v/>
      </c>
      <c r="AC1040">
        <f>'T_SelfStock'!AA49</f>
        <v/>
      </c>
      <c r="AD1040">
        <f>'T_SelfStock'!AB49</f>
        <v/>
      </c>
      <c r="AE1040">
        <f>'T_SelfStock'!AC49</f>
        <v/>
      </c>
      <c r="AF1040">
        <f>'T_SelfStock'!AD49</f>
        <v/>
      </c>
      <c r="AG1040">
        <f>'T_SelfStock'!AE49</f>
        <v/>
      </c>
      <c r="AH1040">
        <f>'T_SelfStock'!AF49</f>
        <v/>
      </c>
      <c r="AI1040">
        <f>'T_SelfStock'!AG49</f>
        <v/>
      </c>
      <c r="AJ1040">
        <f>'T_SelfStock'!AH49</f>
        <v/>
      </c>
      <c r="AK1040">
        <f>'T_SelfStock'!AI49</f>
        <v/>
      </c>
      <c r="AL1040">
        <f>'T_SelfStock'!AJ49</f>
        <v/>
      </c>
      <c r="AM1040">
        <f>'T_SelfStock'!AK49</f>
        <v/>
      </c>
      <c r="AN1040">
        <f>'T_SelfStock'!AL49</f>
        <v/>
      </c>
      <c r="AO1040">
        <f>'T_SelfStock'!AM49</f>
        <v/>
      </c>
      <c r="AP1040">
        <f>'T_SelfStock'!AN49</f>
        <v/>
      </c>
      <c r="AQ1040">
        <f>'T_SelfStock'!AO49</f>
        <v/>
      </c>
      <c r="AR1040">
        <f>'T_SelfStock'!AP49</f>
        <v/>
      </c>
      <c r="AS1040">
        <f>'T_SelfStock'!AQ49</f>
        <v/>
      </c>
      <c r="AT1040">
        <f>'T_SelfStock'!AR49</f>
        <v/>
      </c>
      <c r="AU1040">
        <f>'T_SelfStock'!AS49</f>
        <v/>
      </c>
      <c r="AV1040">
        <f>'T_SelfStock'!AT49</f>
        <v/>
      </c>
      <c r="AW1040">
        <f>'T_SelfStock'!AU49</f>
        <v/>
      </c>
      <c r="AX1040">
        <f>'T_SelfStock'!AV49</f>
        <v/>
      </c>
      <c r="AY1040">
        <f>'T_SelfStock'!AW49</f>
        <v/>
      </c>
      <c r="AZ1040">
        <f>'T_SelfStock'!AX49</f>
        <v/>
      </c>
      <c r="BA1040">
        <f>'T_SelfStock'!AY49</f>
        <v/>
      </c>
      <c r="BB1040">
        <f>'T_SelfStock'!AZ49</f>
        <v/>
      </c>
      <c r="BC1040">
        <f>'T_SelfStock'!BA49</f>
        <v/>
      </c>
      <c r="BD1040">
        <f>'T_SelfStock'!BB49</f>
        <v/>
      </c>
      <c r="BE1040">
        <f>'T_SelfStock'!BC49</f>
        <v/>
      </c>
      <c r="BF1040">
        <f>'T_SelfStock'!BD49</f>
        <v/>
      </c>
      <c r="BG1040">
        <f>'T_SelfStock'!BE49</f>
        <v/>
      </c>
      <c r="BH1040">
        <f>'T_SelfStock'!BF49</f>
        <v/>
      </c>
      <c r="BI1040">
        <f>'T_SelfStock'!BG49</f>
        <v/>
      </c>
      <c r="BJ1040">
        <f>'T_SelfStock'!BH49</f>
        <v/>
      </c>
      <c r="BK1040">
        <f>'T_SelfStock'!BI49</f>
        <v/>
      </c>
      <c r="BL1040">
        <f>'T_SelfStock'!BJ49</f>
        <v/>
      </c>
      <c r="BM1040">
        <f>'T_SelfStock'!BK49</f>
        <v/>
      </c>
      <c r="BN1040">
        <f>'T_SelfStock'!BL49</f>
        <v/>
      </c>
      <c r="BO1040">
        <f>'T_SelfStock'!BM49</f>
        <v/>
      </c>
      <c r="BP1040">
        <f>'T_SelfStock'!BN49</f>
        <v/>
      </c>
      <c r="BQ1040">
        <f>'T_SelfStock'!BO49</f>
        <v/>
      </c>
      <c r="BR1040">
        <f>'T_SelfStock'!BP49</f>
        <v/>
      </c>
      <c r="BS1040">
        <f>'T_SelfStock'!BQ49</f>
        <v/>
      </c>
      <c r="BT1040">
        <f>'T_SelfStock'!BR49</f>
        <v/>
      </c>
      <c r="BU1040">
        <f>'T_SelfStock'!BS49</f>
        <v/>
      </c>
      <c r="BV1040">
        <f>'T_SelfStock'!BT49</f>
        <v/>
      </c>
      <c r="BW1040">
        <f>'T_SelfStock'!BU49</f>
        <v/>
      </c>
      <c r="BX1040">
        <f>'T_SelfStock'!BV49</f>
        <v/>
      </c>
      <c r="BY1040">
        <f>'T_SelfStock'!BW49</f>
        <v/>
      </c>
      <c r="BZ1040">
        <f>'T_SelfStock'!BX49</f>
        <v/>
      </c>
      <c r="CA1040">
        <f>'T_SelfStock'!BY49</f>
        <v/>
      </c>
      <c r="CB1040">
        <f>'T_SelfStock'!BZ49</f>
        <v/>
      </c>
      <c r="CC1040">
        <f>'T_SelfStock'!CA49</f>
        <v/>
      </c>
      <c r="CD1040">
        <f>'T_SelfStock'!CB49</f>
        <v/>
      </c>
      <c r="CE1040">
        <f>'T_SelfStock'!CC49</f>
        <v/>
      </c>
      <c r="CF1040">
        <f>'T_SelfStock'!CD49</f>
        <v/>
      </c>
      <c r="CG1040">
        <f>'T_SelfStock'!CE49</f>
        <v/>
      </c>
      <c r="CH1040">
        <f>'T_SelfStock'!CF49</f>
        <v/>
      </c>
      <c r="CI1040">
        <f>'T_SelfStock'!CG49</f>
        <v/>
      </c>
      <c r="CJ1040">
        <f>'T_SelfStock'!CH49</f>
        <v/>
      </c>
      <c r="CK1040">
        <f>'T_SelfStock'!CI49</f>
        <v/>
      </c>
      <c r="CL1040">
        <f>'T_SelfStock'!CJ49</f>
        <v/>
      </c>
      <c r="CM1040">
        <f>'T_SelfStock'!CK49</f>
        <v/>
      </c>
      <c r="CN1040">
        <f>'T_SelfStock'!CL49</f>
        <v/>
      </c>
      <c r="CO1040">
        <f>'T_SelfStock'!CM49</f>
        <v/>
      </c>
      <c r="CP1040">
        <f>'T_SelfStock'!CN49</f>
        <v/>
      </c>
      <c r="CQ1040">
        <f>'T_SelfStock'!CO49</f>
        <v/>
      </c>
      <c r="CR1040">
        <f>'T_SelfStock'!CP49</f>
        <v/>
      </c>
      <c r="CS1040">
        <f>'T_SelfStock'!CQ49</f>
        <v/>
      </c>
      <c r="CT1040">
        <f>'T_SelfStock'!CR49</f>
        <v/>
      </c>
      <c r="CU1040">
        <f>'T_SelfStock'!CS49</f>
        <v/>
      </c>
      <c r="CV1040">
        <f>'T_SelfStock'!CT49</f>
        <v/>
      </c>
      <c r="CW1040">
        <f>'T_SelfStock'!CU49</f>
        <v/>
      </c>
      <c r="CX1040">
        <f>'T_SelfStock'!CV49</f>
        <v/>
      </c>
      <c r="CY1040">
        <f>'T_SelfStock'!CW49</f>
        <v/>
      </c>
      <c r="CZ1040">
        <f>'T_SelfStock'!CX49</f>
        <v/>
      </c>
      <c r="DA1040">
        <f>'T_SelfStock'!CY49</f>
        <v/>
      </c>
      <c r="DB1040">
        <f>'T_SelfStock'!CZ49</f>
        <v/>
      </c>
      <c r="DC1040">
        <f>'T_SelfStock'!DA49</f>
        <v/>
      </c>
    </row>
    <row r="1041">
      <c r="B1041" t="inlineStr">
        <is>
          <t>Order(発注予定,kg)</t>
        </is>
      </c>
      <c r="D1041">
        <f>IF(SUMIFS(T_PlannedOrders[EffectiveQty],T_PlannedOrders[Part Name],$A1033,T_PlannedOrders[WeekIndex],1)=0,"",SUMIFS(T_PlannedOrders[EffectiveQty],T_PlannedOrders[Part Name],$A1033,T_PlannedOrders[WeekIndex],1)&amp;" ("&amp;TEXT(SUMPRODUCT(MAX((T_PlannedOrders[Part Name]=$A1033)*(T_PlannedOrders[WeekIndex]=1)*(T_PlannedOrders[EffectiveQty]&gt;0)*T_PlannedOrders[Order_Month])),"m月")&amp;"発注)")</f>
        <v/>
      </c>
      <c r="E1041">
        <f>IF(SUMIFS(T_PlannedOrders[EffectiveQty],T_PlannedOrders[Part Name],$A1033,T_PlannedOrders[WeekIndex],2)=0,"",SUMIFS(T_PlannedOrders[EffectiveQty],T_PlannedOrders[Part Name],$A1033,T_PlannedOrders[WeekIndex],2)&amp;" ("&amp;TEXT(SUMPRODUCT(MAX((T_PlannedOrders[Part Name]=$A1033)*(T_PlannedOrders[WeekIndex]=2)*(T_PlannedOrders[EffectiveQty]&gt;0)*T_PlannedOrders[Order_Month])),"m月")&amp;"発注)")</f>
        <v/>
      </c>
      <c r="F1041">
        <f>IF(SUMIFS(T_PlannedOrders[EffectiveQty],T_PlannedOrders[Part Name],$A1033,T_PlannedOrders[WeekIndex],3)=0,"",SUMIFS(T_PlannedOrders[EffectiveQty],T_PlannedOrders[Part Name],$A1033,T_PlannedOrders[WeekIndex],3)&amp;" ("&amp;TEXT(SUMPRODUCT(MAX((T_PlannedOrders[Part Name]=$A1033)*(T_PlannedOrders[WeekIndex]=3)*(T_PlannedOrders[EffectiveQty]&gt;0)*T_PlannedOrders[Order_Month])),"m月")&amp;"発注)")</f>
        <v/>
      </c>
      <c r="G1041">
        <f>IF(SUMIFS(T_PlannedOrders[EffectiveQty],T_PlannedOrders[Part Name],$A1033,T_PlannedOrders[WeekIndex],4)=0,"",SUMIFS(T_PlannedOrders[EffectiveQty],T_PlannedOrders[Part Name],$A1033,T_PlannedOrders[WeekIndex],4)&amp;" ("&amp;TEXT(SUMPRODUCT(MAX((T_PlannedOrders[Part Name]=$A1033)*(T_PlannedOrders[WeekIndex]=4)*(T_PlannedOrders[EffectiveQty]&gt;0)*T_PlannedOrders[Order_Month])),"m月")&amp;"発注)")</f>
        <v/>
      </c>
      <c r="H1041">
        <f>IF(SUMIFS(T_PlannedOrders[EffectiveQty],T_PlannedOrders[Part Name],$A1033,T_PlannedOrders[WeekIndex],5)=0,"",SUMIFS(T_PlannedOrders[EffectiveQty],T_PlannedOrders[Part Name],$A1033,T_PlannedOrders[WeekIndex],5)&amp;" ("&amp;TEXT(SUMPRODUCT(MAX((T_PlannedOrders[Part Name]=$A1033)*(T_PlannedOrders[WeekIndex]=5)*(T_PlannedOrders[EffectiveQty]&gt;0)*T_PlannedOrders[Order_Month])),"m月")&amp;"発注)")</f>
        <v/>
      </c>
      <c r="I1041">
        <f>IF(SUMIFS(T_PlannedOrders[EffectiveQty],T_PlannedOrders[Part Name],$A1033,T_PlannedOrders[WeekIndex],6)=0,"",SUMIFS(T_PlannedOrders[EffectiveQty],T_PlannedOrders[Part Name],$A1033,T_PlannedOrders[WeekIndex],6)&amp;" ("&amp;TEXT(SUMPRODUCT(MAX((T_PlannedOrders[Part Name]=$A1033)*(T_PlannedOrders[WeekIndex]=6)*(T_PlannedOrders[EffectiveQty]&gt;0)*T_PlannedOrders[Order_Month])),"m月")&amp;"発注)")</f>
        <v/>
      </c>
      <c r="J1041">
        <f>IF(SUMIFS(T_PlannedOrders[EffectiveQty],T_PlannedOrders[Part Name],$A1033,T_PlannedOrders[WeekIndex],7)=0,"",SUMIFS(T_PlannedOrders[EffectiveQty],T_PlannedOrders[Part Name],$A1033,T_PlannedOrders[WeekIndex],7)&amp;" ("&amp;TEXT(SUMPRODUCT(MAX((T_PlannedOrders[Part Name]=$A1033)*(T_PlannedOrders[WeekIndex]=7)*(T_PlannedOrders[EffectiveQty]&gt;0)*T_PlannedOrders[Order_Month])),"m月")&amp;"発注)")</f>
        <v/>
      </c>
      <c r="K1041">
        <f>IF(SUMIFS(T_PlannedOrders[EffectiveQty],T_PlannedOrders[Part Name],$A1033,T_PlannedOrders[WeekIndex],8)=0,"",SUMIFS(T_PlannedOrders[EffectiveQty],T_PlannedOrders[Part Name],$A1033,T_PlannedOrders[WeekIndex],8)&amp;" ("&amp;TEXT(SUMPRODUCT(MAX((T_PlannedOrders[Part Name]=$A1033)*(T_PlannedOrders[WeekIndex]=8)*(T_PlannedOrders[EffectiveQty]&gt;0)*T_PlannedOrders[Order_Month])),"m月")&amp;"発注)")</f>
        <v/>
      </c>
      <c r="L1041">
        <f>IF(SUMIFS(T_PlannedOrders[EffectiveQty],T_PlannedOrders[Part Name],$A1033,T_PlannedOrders[WeekIndex],9)=0,"",SUMIFS(T_PlannedOrders[EffectiveQty],T_PlannedOrders[Part Name],$A1033,T_PlannedOrders[WeekIndex],9)&amp;" ("&amp;TEXT(SUMPRODUCT(MAX((T_PlannedOrders[Part Name]=$A1033)*(T_PlannedOrders[WeekIndex]=9)*(T_PlannedOrders[EffectiveQty]&gt;0)*T_PlannedOrders[Order_Month])),"m月")&amp;"発注)")</f>
        <v/>
      </c>
      <c r="M1041">
        <f>IF(SUMIFS(T_PlannedOrders[EffectiveQty],T_PlannedOrders[Part Name],$A1033,T_PlannedOrders[WeekIndex],10)=0,"",SUMIFS(T_PlannedOrders[EffectiveQty],T_PlannedOrders[Part Name],$A1033,T_PlannedOrders[WeekIndex],10)&amp;" ("&amp;TEXT(SUMPRODUCT(MAX((T_PlannedOrders[Part Name]=$A1033)*(T_PlannedOrders[WeekIndex]=10)*(T_PlannedOrders[EffectiveQty]&gt;0)*T_PlannedOrders[Order_Month])),"m月")&amp;"発注)")</f>
        <v/>
      </c>
      <c r="N1041">
        <f>IF(SUMIFS(T_PlannedOrders[EffectiveQty],T_PlannedOrders[Part Name],$A1033,T_PlannedOrders[WeekIndex],11)=0,"",SUMIFS(T_PlannedOrders[EffectiveQty],T_PlannedOrders[Part Name],$A1033,T_PlannedOrders[WeekIndex],11)&amp;" ("&amp;TEXT(SUMPRODUCT(MAX((T_PlannedOrders[Part Name]=$A1033)*(T_PlannedOrders[WeekIndex]=11)*(T_PlannedOrders[EffectiveQty]&gt;0)*T_PlannedOrders[Order_Month])),"m月")&amp;"発注)")</f>
        <v/>
      </c>
      <c r="O1041">
        <f>IF(SUMIFS(T_PlannedOrders[EffectiveQty],T_PlannedOrders[Part Name],$A1033,T_PlannedOrders[WeekIndex],12)=0,"",SUMIFS(T_PlannedOrders[EffectiveQty],T_PlannedOrders[Part Name],$A1033,T_PlannedOrders[WeekIndex],12)&amp;" ("&amp;TEXT(SUMPRODUCT(MAX((T_PlannedOrders[Part Name]=$A1033)*(T_PlannedOrders[WeekIndex]=12)*(T_PlannedOrders[EffectiveQty]&gt;0)*T_PlannedOrders[Order_Month])),"m月")&amp;"発注)")</f>
        <v/>
      </c>
      <c r="P1041">
        <f>IF(SUMIFS(T_PlannedOrders[EffectiveQty],T_PlannedOrders[Part Name],$A1033,T_PlannedOrders[WeekIndex],13)=0,"",SUMIFS(T_PlannedOrders[EffectiveQty],T_PlannedOrders[Part Name],$A1033,T_PlannedOrders[WeekIndex],13)&amp;" ("&amp;TEXT(SUMPRODUCT(MAX((T_PlannedOrders[Part Name]=$A1033)*(T_PlannedOrders[WeekIndex]=13)*(T_PlannedOrders[EffectiveQty]&gt;0)*T_PlannedOrders[Order_Month])),"m月")&amp;"発注)")</f>
        <v/>
      </c>
      <c r="Q1041">
        <f>IF(SUMIFS(T_PlannedOrders[EffectiveQty],T_PlannedOrders[Part Name],$A1033,T_PlannedOrders[WeekIndex],14)=0,"",SUMIFS(T_PlannedOrders[EffectiveQty],T_PlannedOrders[Part Name],$A1033,T_PlannedOrders[WeekIndex],14)&amp;" ("&amp;TEXT(SUMPRODUCT(MAX((T_PlannedOrders[Part Name]=$A1033)*(T_PlannedOrders[WeekIndex]=14)*(T_PlannedOrders[EffectiveQty]&gt;0)*T_PlannedOrders[Order_Month])),"m月")&amp;"発注)")</f>
        <v/>
      </c>
      <c r="R1041">
        <f>IF(SUMIFS(T_PlannedOrders[EffectiveQty],T_PlannedOrders[Part Name],$A1033,T_PlannedOrders[WeekIndex],15)=0,"",SUMIFS(T_PlannedOrders[EffectiveQty],T_PlannedOrders[Part Name],$A1033,T_PlannedOrders[WeekIndex],15)&amp;" ("&amp;TEXT(SUMPRODUCT(MAX((T_PlannedOrders[Part Name]=$A1033)*(T_PlannedOrders[WeekIndex]=15)*(T_PlannedOrders[EffectiveQty]&gt;0)*T_PlannedOrders[Order_Month])),"m月")&amp;"発注)")</f>
        <v/>
      </c>
      <c r="S1041">
        <f>IF(SUMIFS(T_PlannedOrders[EffectiveQty],T_PlannedOrders[Part Name],$A1033,T_PlannedOrders[WeekIndex],16)=0,"",SUMIFS(T_PlannedOrders[EffectiveQty],T_PlannedOrders[Part Name],$A1033,T_PlannedOrders[WeekIndex],16)&amp;" ("&amp;TEXT(SUMPRODUCT(MAX((T_PlannedOrders[Part Name]=$A1033)*(T_PlannedOrders[WeekIndex]=16)*(T_PlannedOrders[EffectiveQty]&gt;0)*T_PlannedOrders[Order_Month])),"m月")&amp;"発注)")</f>
        <v/>
      </c>
      <c r="T1041">
        <f>IF(SUMIFS(T_PlannedOrders[EffectiveQty],T_PlannedOrders[Part Name],$A1033,T_PlannedOrders[WeekIndex],17)=0,"",SUMIFS(T_PlannedOrders[EffectiveQty],T_PlannedOrders[Part Name],$A1033,T_PlannedOrders[WeekIndex],17)&amp;" ("&amp;TEXT(SUMPRODUCT(MAX((T_PlannedOrders[Part Name]=$A1033)*(T_PlannedOrders[WeekIndex]=17)*(T_PlannedOrders[EffectiveQty]&gt;0)*T_PlannedOrders[Order_Month])),"m月")&amp;"発注)")</f>
        <v/>
      </c>
      <c r="U1041">
        <f>IF(SUMIFS(T_PlannedOrders[EffectiveQty],T_PlannedOrders[Part Name],$A1033,T_PlannedOrders[WeekIndex],18)=0,"",SUMIFS(T_PlannedOrders[EffectiveQty],T_PlannedOrders[Part Name],$A1033,T_PlannedOrders[WeekIndex],18)&amp;" ("&amp;TEXT(SUMPRODUCT(MAX((T_PlannedOrders[Part Name]=$A1033)*(T_PlannedOrders[WeekIndex]=18)*(T_PlannedOrders[EffectiveQty]&gt;0)*T_PlannedOrders[Order_Month])),"m月")&amp;"発注)")</f>
        <v/>
      </c>
      <c r="V1041">
        <f>IF(SUMIFS(T_PlannedOrders[EffectiveQty],T_PlannedOrders[Part Name],$A1033,T_PlannedOrders[WeekIndex],19)=0,"",SUMIFS(T_PlannedOrders[EffectiveQty],T_PlannedOrders[Part Name],$A1033,T_PlannedOrders[WeekIndex],19)&amp;" ("&amp;TEXT(SUMPRODUCT(MAX((T_PlannedOrders[Part Name]=$A1033)*(T_PlannedOrders[WeekIndex]=19)*(T_PlannedOrders[EffectiveQty]&gt;0)*T_PlannedOrders[Order_Month])),"m月")&amp;"発注)")</f>
        <v/>
      </c>
      <c r="W1041">
        <f>IF(SUMIFS(T_PlannedOrders[EffectiveQty],T_PlannedOrders[Part Name],$A1033,T_PlannedOrders[WeekIndex],20)=0,"",SUMIFS(T_PlannedOrders[EffectiveQty],T_PlannedOrders[Part Name],$A1033,T_PlannedOrders[WeekIndex],20)&amp;" ("&amp;TEXT(SUMPRODUCT(MAX((T_PlannedOrders[Part Name]=$A1033)*(T_PlannedOrders[WeekIndex]=20)*(T_PlannedOrders[EffectiveQty]&gt;0)*T_PlannedOrders[Order_Month])),"m月")&amp;"発注)")</f>
        <v/>
      </c>
      <c r="X1041">
        <f>IF(SUMIFS(T_PlannedOrders[EffectiveQty],T_PlannedOrders[Part Name],$A1033,T_PlannedOrders[WeekIndex],21)=0,"",SUMIFS(T_PlannedOrders[EffectiveQty],T_PlannedOrders[Part Name],$A1033,T_PlannedOrders[WeekIndex],21)&amp;" ("&amp;TEXT(SUMPRODUCT(MAX((T_PlannedOrders[Part Name]=$A1033)*(T_PlannedOrders[WeekIndex]=21)*(T_PlannedOrders[EffectiveQty]&gt;0)*T_PlannedOrders[Order_Month])),"m月")&amp;"発注)")</f>
        <v/>
      </c>
      <c r="Y1041">
        <f>IF(SUMIFS(T_PlannedOrders[EffectiveQty],T_PlannedOrders[Part Name],$A1033,T_PlannedOrders[WeekIndex],22)=0,"",SUMIFS(T_PlannedOrders[EffectiveQty],T_PlannedOrders[Part Name],$A1033,T_PlannedOrders[WeekIndex],22)&amp;" ("&amp;TEXT(SUMPRODUCT(MAX((T_PlannedOrders[Part Name]=$A1033)*(T_PlannedOrders[WeekIndex]=22)*(T_PlannedOrders[EffectiveQty]&gt;0)*T_PlannedOrders[Order_Month])),"m月")&amp;"発注)")</f>
        <v/>
      </c>
      <c r="Z1041">
        <f>IF(SUMIFS(T_PlannedOrders[EffectiveQty],T_PlannedOrders[Part Name],$A1033,T_PlannedOrders[WeekIndex],23)=0,"",SUMIFS(T_PlannedOrders[EffectiveQty],T_PlannedOrders[Part Name],$A1033,T_PlannedOrders[WeekIndex],23)&amp;" ("&amp;TEXT(SUMPRODUCT(MAX((T_PlannedOrders[Part Name]=$A1033)*(T_PlannedOrders[WeekIndex]=23)*(T_PlannedOrders[EffectiveQty]&gt;0)*T_PlannedOrders[Order_Month])),"m月")&amp;"発注)")</f>
        <v/>
      </c>
      <c r="AA1041">
        <f>IF(SUMIFS(T_PlannedOrders[EffectiveQty],T_PlannedOrders[Part Name],$A1033,T_PlannedOrders[WeekIndex],24)=0,"",SUMIFS(T_PlannedOrders[EffectiveQty],T_PlannedOrders[Part Name],$A1033,T_PlannedOrders[WeekIndex],24)&amp;" ("&amp;TEXT(SUMPRODUCT(MAX((T_PlannedOrders[Part Name]=$A1033)*(T_PlannedOrders[WeekIndex]=24)*(T_PlannedOrders[EffectiveQty]&gt;0)*T_PlannedOrders[Order_Month])),"m月")&amp;"発注)")</f>
        <v/>
      </c>
      <c r="AB1041">
        <f>IF(SUMIFS(T_PlannedOrders[EffectiveQty],T_PlannedOrders[Part Name],$A1033,T_PlannedOrders[WeekIndex],25)=0,"",SUMIFS(T_PlannedOrders[EffectiveQty],T_PlannedOrders[Part Name],$A1033,T_PlannedOrders[WeekIndex],25)&amp;" ("&amp;TEXT(SUMPRODUCT(MAX((T_PlannedOrders[Part Name]=$A1033)*(T_PlannedOrders[WeekIndex]=25)*(T_PlannedOrders[EffectiveQty]&gt;0)*T_PlannedOrders[Order_Month])),"m月")&amp;"発注)")</f>
        <v/>
      </c>
      <c r="AC1041">
        <f>IF(SUMIFS(T_PlannedOrders[EffectiveQty],T_PlannedOrders[Part Name],$A1033,T_PlannedOrders[WeekIndex],26)=0,"",SUMIFS(T_PlannedOrders[EffectiveQty],T_PlannedOrders[Part Name],$A1033,T_PlannedOrders[WeekIndex],26)&amp;" ("&amp;TEXT(SUMPRODUCT(MAX((T_PlannedOrders[Part Name]=$A1033)*(T_PlannedOrders[WeekIndex]=26)*(T_PlannedOrders[EffectiveQty]&gt;0)*T_PlannedOrders[Order_Month])),"m月")&amp;"発注)")</f>
        <v/>
      </c>
      <c r="AD1041">
        <f>IF(SUMIFS(T_PlannedOrders[EffectiveQty],T_PlannedOrders[Part Name],$A1033,T_PlannedOrders[WeekIndex],27)=0,"",SUMIFS(T_PlannedOrders[EffectiveQty],T_PlannedOrders[Part Name],$A1033,T_PlannedOrders[WeekIndex],27)&amp;" ("&amp;TEXT(SUMPRODUCT(MAX((T_PlannedOrders[Part Name]=$A1033)*(T_PlannedOrders[WeekIndex]=27)*(T_PlannedOrders[EffectiveQty]&gt;0)*T_PlannedOrders[Order_Month])),"m月")&amp;"発注)")</f>
        <v/>
      </c>
      <c r="AE1041">
        <f>IF(SUMIFS(T_PlannedOrders[EffectiveQty],T_PlannedOrders[Part Name],$A1033,T_PlannedOrders[WeekIndex],28)=0,"",SUMIFS(T_PlannedOrders[EffectiveQty],T_PlannedOrders[Part Name],$A1033,T_PlannedOrders[WeekIndex],28)&amp;" ("&amp;TEXT(SUMPRODUCT(MAX((T_PlannedOrders[Part Name]=$A1033)*(T_PlannedOrders[WeekIndex]=28)*(T_PlannedOrders[EffectiveQty]&gt;0)*T_PlannedOrders[Order_Month])),"m月")&amp;"発注)")</f>
        <v/>
      </c>
      <c r="AF1041">
        <f>IF(SUMIFS(T_PlannedOrders[EffectiveQty],T_PlannedOrders[Part Name],$A1033,T_PlannedOrders[WeekIndex],29)=0,"",SUMIFS(T_PlannedOrders[EffectiveQty],T_PlannedOrders[Part Name],$A1033,T_PlannedOrders[WeekIndex],29)&amp;" ("&amp;TEXT(SUMPRODUCT(MAX((T_PlannedOrders[Part Name]=$A1033)*(T_PlannedOrders[WeekIndex]=29)*(T_PlannedOrders[EffectiveQty]&gt;0)*T_PlannedOrders[Order_Month])),"m月")&amp;"発注)")</f>
        <v/>
      </c>
      <c r="AG1041">
        <f>IF(SUMIFS(T_PlannedOrders[EffectiveQty],T_PlannedOrders[Part Name],$A1033,T_PlannedOrders[WeekIndex],30)=0,"",SUMIFS(T_PlannedOrders[EffectiveQty],T_PlannedOrders[Part Name],$A1033,T_PlannedOrders[WeekIndex],30)&amp;" ("&amp;TEXT(SUMPRODUCT(MAX((T_PlannedOrders[Part Name]=$A1033)*(T_PlannedOrders[WeekIndex]=30)*(T_PlannedOrders[EffectiveQty]&gt;0)*T_PlannedOrders[Order_Month])),"m月")&amp;"発注)")</f>
        <v/>
      </c>
      <c r="AH1041">
        <f>IF(SUMIFS(T_PlannedOrders[EffectiveQty],T_PlannedOrders[Part Name],$A1033,T_PlannedOrders[WeekIndex],31)=0,"",SUMIFS(T_PlannedOrders[EffectiveQty],T_PlannedOrders[Part Name],$A1033,T_PlannedOrders[WeekIndex],31)&amp;" ("&amp;TEXT(SUMPRODUCT(MAX((T_PlannedOrders[Part Name]=$A1033)*(T_PlannedOrders[WeekIndex]=31)*(T_PlannedOrders[EffectiveQty]&gt;0)*T_PlannedOrders[Order_Month])),"m月")&amp;"発注)")</f>
        <v/>
      </c>
      <c r="AI1041">
        <f>IF(SUMIFS(T_PlannedOrders[EffectiveQty],T_PlannedOrders[Part Name],$A1033,T_PlannedOrders[WeekIndex],32)=0,"",SUMIFS(T_PlannedOrders[EffectiveQty],T_PlannedOrders[Part Name],$A1033,T_PlannedOrders[WeekIndex],32)&amp;" ("&amp;TEXT(SUMPRODUCT(MAX((T_PlannedOrders[Part Name]=$A1033)*(T_PlannedOrders[WeekIndex]=32)*(T_PlannedOrders[EffectiveQty]&gt;0)*T_PlannedOrders[Order_Month])),"m月")&amp;"発注)")</f>
        <v/>
      </c>
      <c r="AJ1041">
        <f>IF(SUMIFS(T_PlannedOrders[EffectiveQty],T_PlannedOrders[Part Name],$A1033,T_PlannedOrders[WeekIndex],33)=0,"",SUMIFS(T_PlannedOrders[EffectiveQty],T_PlannedOrders[Part Name],$A1033,T_PlannedOrders[WeekIndex],33)&amp;" ("&amp;TEXT(SUMPRODUCT(MAX((T_PlannedOrders[Part Name]=$A1033)*(T_PlannedOrders[WeekIndex]=33)*(T_PlannedOrders[EffectiveQty]&gt;0)*T_PlannedOrders[Order_Month])),"m月")&amp;"発注)")</f>
        <v/>
      </c>
      <c r="AK1041">
        <f>IF(SUMIFS(T_PlannedOrders[EffectiveQty],T_PlannedOrders[Part Name],$A1033,T_PlannedOrders[WeekIndex],34)=0,"",SUMIFS(T_PlannedOrders[EffectiveQty],T_PlannedOrders[Part Name],$A1033,T_PlannedOrders[WeekIndex],34)&amp;" ("&amp;TEXT(SUMPRODUCT(MAX((T_PlannedOrders[Part Name]=$A1033)*(T_PlannedOrders[WeekIndex]=34)*(T_PlannedOrders[EffectiveQty]&gt;0)*T_PlannedOrders[Order_Month])),"m月")&amp;"発注)")</f>
        <v/>
      </c>
      <c r="AL1041">
        <f>IF(SUMIFS(T_PlannedOrders[EffectiveQty],T_PlannedOrders[Part Name],$A1033,T_PlannedOrders[WeekIndex],35)=0,"",SUMIFS(T_PlannedOrders[EffectiveQty],T_PlannedOrders[Part Name],$A1033,T_PlannedOrders[WeekIndex],35)&amp;" ("&amp;TEXT(SUMPRODUCT(MAX((T_PlannedOrders[Part Name]=$A1033)*(T_PlannedOrders[WeekIndex]=35)*(T_PlannedOrders[EffectiveQty]&gt;0)*T_PlannedOrders[Order_Month])),"m月")&amp;"発注)")</f>
        <v/>
      </c>
      <c r="AM1041">
        <f>IF(SUMIFS(T_PlannedOrders[EffectiveQty],T_PlannedOrders[Part Name],$A1033,T_PlannedOrders[WeekIndex],36)=0,"",SUMIFS(T_PlannedOrders[EffectiveQty],T_PlannedOrders[Part Name],$A1033,T_PlannedOrders[WeekIndex],36)&amp;" ("&amp;TEXT(SUMPRODUCT(MAX((T_PlannedOrders[Part Name]=$A1033)*(T_PlannedOrders[WeekIndex]=36)*(T_PlannedOrders[EffectiveQty]&gt;0)*T_PlannedOrders[Order_Month])),"m月")&amp;"発注)")</f>
        <v/>
      </c>
      <c r="AN1041">
        <f>IF(SUMIFS(T_PlannedOrders[EffectiveQty],T_PlannedOrders[Part Name],$A1033,T_PlannedOrders[WeekIndex],37)=0,"",SUMIFS(T_PlannedOrders[EffectiveQty],T_PlannedOrders[Part Name],$A1033,T_PlannedOrders[WeekIndex],37)&amp;" ("&amp;TEXT(SUMPRODUCT(MAX((T_PlannedOrders[Part Name]=$A1033)*(T_PlannedOrders[WeekIndex]=37)*(T_PlannedOrders[EffectiveQty]&gt;0)*T_PlannedOrders[Order_Month])),"m月")&amp;"発注)")</f>
        <v/>
      </c>
      <c r="AO1041">
        <f>IF(SUMIFS(T_PlannedOrders[EffectiveQty],T_PlannedOrders[Part Name],$A1033,T_PlannedOrders[WeekIndex],38)=0,"",SUMIFS(T_PlannedOrders[EffectiveQty],T_PlannedOrders[Part Name],$A1033,T_PlannedOrders[WeekIndex],38)&amp;" ("&amp;TEXT(SUMPRODUCT(MAX((T_PlannedOrders[Part Name]=$A1033)*(T_PlannedOrders[WeekIndex]=38)*(T_PlannedOrders[EffectiveQty]&gt;0)*T_PlannedOrders[Order_Month])),"m月")&amp;"発注)")</f>
        <v/>
      </c>
      <c r="AP1041">
        <f>IF(SUMIFS(T_PlannedOrders[EffectiveQty],T_PlannedOrders[Part Name],$A1033,T_PlannedOrders[WeekIndex],39)=0,"",SUMIFS(T_PlannedOrders[EffectiveQty],T_PlannedOrders[Part Name],$A1033,T_PlannedOrders[WeekIndex],39)&amp;" ("&amp;TEXT(SUMPRODUCT(MAX((T_PlannedOrders[Part Name]=$A1033)*(T_PlannedOrders[WeekIndex]=39)*(T_PlannedOrders[EffectiveQty]&gt;0)*T_PlannedOrders[Order_Month])),"m月")&amp;"発注)")</f>
        <v/>
      </c>
      <c r="AQ1041">
        <f>IF(SUMIFS(T_PlannedOrders[EffectiveQty],T_PlannedOrders[Part Name],$A1033,T_PlannedOrders[WeekIndex],40)=0,"",SUMIFS(T_PlannedOrders[EffectiveQty],T_PlannedOrders[Part Name],$A1033,T_PlannedOrders[WeekIndex],40)&amp;" ("&amp;TEXT(SUMPRODUCT(MAX((T_PlannedOrders[Part Name]=$A1033)*(T_PlannedOrders[WeekIndex]=40)*(T_PlannedOrders[EffectiveQty]&gt;0)*T_PlannedOrders[Order_Month])),"m月")&amp;"発注)")</f>
        <v/>
      </c>
      <c r="AR1041">
        <f>IF(SUMIFS(T_PlannedOrders[EffectiveQty],T_PlannedOrders[Part Name],$A1033,T_PlannedOrders[WeekIndex],41)=0,"",SUMIFS(T_PlannedOrders[EffectiveQty],T_PlannedOrders[Part Name],$A1033,T_PlannedOrders[WeekIndex],41)&amp;" ("&amp;TEXT(SUMPRODUCT(MAX((T_PlannedOrders[Part Name]=$A1033)*(T_PlannedOrders[WeekIndex]=41)*(T_PlannedOrders[EffectiveQty]&gt;0)*T_PlannedOrders[Order_Month])),"m月")&amp;"発注)")</f>
        <v/>
      </c>
      <c r="AS1041">
        <f>IF(SUMIFS(T_PlannedOrders[EffectiveQty],T_PlannedOrders[Part Name],$A1033,T_PlannedOrders[WeekIndex],42)=0,"",SUMIFS(T_PlannedOrders[EffectiveQty],T_PlannedOrders[Part Name],$A1033,T_PlannedOrders[WeekIndex],42)&amp;" ("&amp;TEXT(SUMPRODUCT(MAX((T_PlannedOrders[Part Name]=$A1033)*(T_PlannedOrders[WeekIndex]=42)*(T_PlannedOrders[EffectiveQty]&gt;0)*T_PlannedOrders[Order_Month])),"m月")&amp;"発注)")</f>
        <v/>
      </c>
      <c r="AT1041">
        <f>IF(SUMIFS(T_PlannedOrders[EffectiveQty],T_PlannedOrders[Part Name],$A1033,T_PlannedOrders[WeekIndex],43)=0,"",SUMIFS(T_PlannedOrders[EffectiveQty],T_PlannedOrders[Part Name],$A1033,T_PlannedOrders[WeekIndex],43)&amp;" ("&amp;TEXT(SUMPRODUCT(MAX((T_PlannedOrders[Part Name]=$A1033)*(T_PlannedOrders[WeekIndex]=43)*(T_PlannedOrders[EffectiveQty]&gt;0)*T_PlannedOrders[Order_Month])),"m月")&amp;"発注)")</f>
        <v/>
      </c>
      <c r="AU1041">
        <f>IF(SUMIFS(T_PlannedOrders[EffectiveQty],T_PlannedOrders[Part Name],$A1033,T_PlannedOrders[WeekIndex],44)=0,"",SUMIFS(T_PlannedOrders[EffectiveQty],T_PlannedOrders[Part Name],$A1033,T_PlannedOrders[WeekIndex],44)&amp;" ("&amp;TEXT(SUMPRODUCT(MAX((T_PlannedOrders[Part Name]=$A1033)*(T_PlannedOrders[WeekIndex]=44)*(T_PlannedOrders[EffectiveQty]&gt;0)*T_PlannedOrders[Order_Month])),"m月")&amp;"発注)")</f>
        <v/>
      </c>
      <c r="AV1041">
        <f>IF(SUMIFS(T_PlannedOrders[EffectiveQty],T_PlannedOrders[Part Name],$A1033,T_PlannedOrders[WeekIndex],45)=0,"",SUMIFS(T_PlannedOrders[EffectiveQty],T_PlannedOrders[Part Name],$A1033,T_PlannedOrders[WeekIndex],45)&amp;" ("&amp;TEXT(SUMPRODUCT(MAX((T_PlannedOrders[Part Name]=$A1033)*(T_PlannedOrders[WeekIndex]=45)*(T_PlannedOrders[EffectiveQty]&gt;0)*T_PlannedOrders[Order_Month])),"m月")&amp;"発注)")</f>
        <v/>
      </c>
      <c r="AW1041">
        <f>IF(SUMIFS(T_PlannedOrders[EffectiveQty],T_PlannedOrders[Part Name],$A1033,T_PlannedOrders[WeekIndex],46)=0,"",SUMIFS(T_PlannedOrders[EffectiveQty],T_PlannedOrders[Part Name],$A1033,T_PlannedOrders[WeekIndex],46)&amp;" ("&amp;TEXT(SUMPRODUCT(MAX((T_PlannedOrders[Part Name]=$A1033)*(T_PlannedOrders[WeekIndex]=46)*(T_PlannedOrders[EffectiveQty]&gt;0)*T_PlannedOrders[Order_Month])),"m月")&amp;"発注)")</f>
        <v/>
      </c>
      <c r="AX1041">
        <f>IF(SUMIFS(T_PlannedOrders[EffectiveQty],T_PlannedOrders[Part Name],$A1033,T_PlannedOrders[WeekIndex],47)=0,"",SUMIFS(T_PlannedOrders[EffectiveQty],T_PlannedOrders[Part Name],$A1033,T_PlannedOrders[WeekIndex],47)&amp;" ("&amp;TEXT(SUMPRODUCT(MAX((T_PlannedOrders[Part Name]=$A1033)*(T_PlannedOrders[WeekIndex]=47)*(T_PlannedOrders[EffectiveQty]&gt;0)*T_PlannedOrders[Order_Month])),"m月")&amp;"発注)")</f>
        <v/>
      </c>
      <c r="AY1041">
        <f>IF(SUMIFS(T_PlannedOrders[EffectiveQty],T_PlannedOrders[Part Name],$A1033,T_PlannedOrders[WeekIndex],48)=0,"",SUMIFS(T_PlannedOrders[EffectiveQty],T_PlannedOrders[Part Name],$A1033,T_PlannedOrders[WeekIndex],48)&amp;" ("&amp;TEXT(SUMPRODUCT(MAX((T_PlannedOrders[Part Name]=$A1033)*(T_PlannedOrders[WeekIndex]=48)*(T_PlannedOrders[EffectiveQty]&gt;0)*T_PlannedOrders[Order_Month])),"m月")&amp;"発注)")</f>
        <v/>
      </c>
      <c r="AZ1041">
        <f>IF(SUMIFS(T_PlannedOrders[EffectiveQty],T_PlannedOrders[Part Name],$A1033,T_PlannedOrders[WeekIndex],49)=0,"",SUMIFS(T_PlannedOrders[EffectiveQty],T_PlannedOrders[Part Name],$A1033,T_PlannedOrders[WeekIndex],49)&amp;" ("&amp;TEXT(SUMPRODUCT(MAX((T_PlannedOrders[Part Name]=$A1033)*(T_PlannedOrders[WeekIndex]=49)*(T_PlannedOrders[EffectiveQty]&gt;0)*T_PlannedOrders[Order_Month])),"m月")&amp;"発注)")</f>
        <v/>
      </c>
      <c r="BA1041">
        <f>IF(SUMIFS(T_PlannedOrders[EffectiveQty],T_PlannedOrders[Part Name],$A1033,T_PlannedOrders[WeekIndex],50)=0,"",SUMIFS(T_PlannedOrders[EffectiveQty],T_PlannedOrders[Part Name],$A1033,T_PlannedOrders[WeekIndex],50)&amp;" ("&amp;TEXT(SUMPRODUCT(MAX((T_PlannedOrders[Part Name]=$A1033)*(T_PlannedOrders[WeekIndex]=50)*(T_PlannedOrders[EffectiveQty]&gt;0)*T_PlannedOrders[Order_Month])),"m月")&amp;"発注)")</f>
        <v/>
      </c>
      <c r="BB1041">
        <f>IF(SUMIFS(T_PlannedOrders[EffectiveQty],T_PlannedOrders[Part Name],$A1033,T_PlannedOrders[WeekIndex],51)=0,"",SUMIFS(T_PlannedOrders[EffectiveQty],T_PlannedOrders[Part Name],$A1033,T_PlannedOrders[WeekIndex],51)&amp;" ("&amp;TEXT(SUMPRODUCT(MAX((T_PlannedOrders[Part Name]=$A1033)*(T_PlannedOrders[WeekIndex]=51)*(T_PlannedOrders[EffectiveQty]&gt;0)*T_PlannedOrders[Order_Month])),"m月")&amp;"発注)")</f>
        <v/>
      </c>
      <c r="BC1041">
        <f>IF(SUMIFS(T_PlannedOrders[EffectiveQty],T_PlannedOrders[Part Name],$A1033,T_PlannedOrders[WeekIndex],52)=0,"",SUMIFS(T_PlannedOrders[EffectiveQty],T_PlannedOrders[Part Name],$A1033,T_PlannedOrders[WeekIndex],52)&amp;" ("&amp;TEXT(SUMPRODUCT(MAX((T_PlannedOrders[Part Name]=$A1033)*(T_PlannedOrders[WeekIndex]=52)*(T_PlannedOrders[EffectiveQty]&gt;0)*T_PlannedOrders[Order_Month])),"m月")&amp;"発注)")</f>
        <v/>
      </c>
      <c r="BD1041">
        <f>IF(SUMIFS(T_PlannedOrders[EffectiveQty],T_PlannedOrders[Part Name],$A1033,T_PlannedOrders[WeekIndex],53)=0,"",SUMIFS(T_PlannedOrders[EffectiveQty],T_PlannedOrders[Part Name],$A1033,T_PlannedOrders[WeekIndex],53)&amp;" ("&amp;TEXT(SUMPRODUCT(MAX((T_PlannedOrders[Part Name]=$A1033)*(T_PlannedOrders[WeekIndex]=53)*(T_PlannedOrders[EffectiveQty]&gt;0)*T_PlannedOrders[Order_Month])),"m月")&amp;"発注)")</f>
        <v/>
      </c>
      <c r="BE1041">
        <f>IF(SUMIFS(T_PlannedOrders[EffectiveQty],T_PlannedOrders[Part Name],$A1033,T_PlannedOrders[WeekIndex],54)=0,"",SUMIFS(T_PlannedOrders[EffectiveQty],T_PlannedOrders[Part Name],$A1033,T_PlannedOrders[WeekIndex],54)&amp;" ("&amp;TEXT(SUMPRODUCT(MAX((T_PlannedOrders[Part Name]=$A1033)*(T_PlannedOrders[WeekIndex]=54)*(T_PlannedOrders[EffectiveQty]&gt;0)*T_PlannedOrders[Order_Month])),"m月")&amp;"発注)")</f>
        <v/>
      </c>
      <c r="BF1041">
        <f>IF(SUMIFS(T_PlannedOrders[EffectiveQty],T_PlannedOrders[Part Name],$A1033,T_PlannedOrders[WeekIndex],55)=0,"",SUMIFS(T_PlannedOrders[EffectiveQty],T_PlannedOrders[Part Name],$A1033,T_PlannedOrders[WeekIndex],55)&amp;" ("&amp;TEXT(SUMPRODUCT(MAX((T_PlannedOrders[Part Name]=$A1033)*(T_PlannedOrders[WeekIndex]=55)*(T_PlannedOrders[EffectiveQty]&gt;0)*T_PlannedOrders[Order_Month])),"m月")&amp;"発注)")</f>
        <v/>
      </c>
      <c r="BG1041">
        <f>IF(SUMIFS(T_PlannedOrders[EffectiveQty],T_PlannedOrders[Part Name],$A1033,T_PlannedOrders[WeekIndex],56)=0,"",SUMIFS(T_PlannedOrders[EffectiveQty],T_PlannedOrders[Part Name],$A1033,T_PlannedOrders[WeekIndex],56)&amp;" ("&amp;TEXT(SUMPRODUCT(MAX((T_PlannedOrders[Part Name]=$A1033)*(T_PlannedOrders[WeekIndex]=56)*(T_PlannedOrders[EffectiveQty]&gt;0)*T_PlannedOrders[Order_Month])),"m月")&amp;"発注)")</f>
        <v/>
      </c>
      <c r="BH1041">
        <f>IF(SUMIFS(T_PlannedOrders[EffectiveQty],T_PlannedOrders[Part Name],$A1033,T_PlannedOrders[WeekIndex],57)=0,"",SUMIFS(T_PlannedOrders[EffectiveQty],T_PlannedOrders[Part Name],$A1033,T_PlannedOrders[WeekIndex],57)&amp;" ("&amp;TEXT(SUMPRODUCT(MAX((T_PlannedOrders[Part Name]=$A1033)*(T_PlannedOrders[WeekIndex]=57)*(T_PlannedOrders[EffectiveQty]&gt;0)*T_PlannedOrders[Order_Month])),"m月")&amp;"発注)")</f>
        <v/>
      </c>
      <c r="BI1041">
        <f>IF(SUMIFS(T_PlannedOrders[EffectiveQty],T_PlannedOrders[Part Name],$A1033,T_PlannedOrders[WeekIndex],58)=0,"",SUMIFS(T_PlannedOrders[EffectiveQty],T_PlannedOrders[Part Name],$A1033,T_PlannedOrders[WeekIndex],58)&amp;" ("&amp;TEXT(SUMPRODUCT(MAX((T_PlannedOrders[Part Name]=$A1033)*(T_PlannedOrders[WeekIndex]=58)*(T_PlannedOrders[EffectiveQty]&gt;0)*T_PlannedOrders[Order_Month])),"m月")&amp;"発注)")</f>
        <v/>
      </c>
      <c r="BJ1041">
        <f>IF(SUMIFS(T_PlannedOrders[EffectiveQty],T_PlannedOrders[Part Name],$A1033,T_PlannedOrders[WeekIndex],59)=0,"",SUMIFS(T_PlannedOrders[EffectiveQty],T_PlannedOrders[Part Name],$A1033,T_PlannedOrders[WeekIndex],59)&amp;" ("&amp;TEXT(SUMPRODUCT(MAX((T_PlannedOrders[Part Name]=$A1033)*(T_PlannedOrders[WeekIndex]=59)*(T_PlannedOrders[EffectiveQty]&gt;0)*T_PlannedOrders[Order_Month])),"m月")&amp;"発注)")</f>
        <v/>
      </c>
      <c r="BK1041">
        <f>IF(SUMIFS(T_PlannedOrders[EffectiveQty],T_PlannedOrders[Part Name],$A1033,T_PlannedOrders[WeekIndex],60)=0,"",SUMIFS(T_PlannedOrders[EffectiveQty],T_PlannedOrders[Part Name],$A1033,T_PlannedOrders[WeekIndex],60)&amp;" ("&amp;TEXT(SUMPRODUCT(MAX((T_PlannedOrders[Part Name]=$A1033)*(T_PlannedOrders[WeekIndex]=60)*(T_PlannedOrders[EffectiveQty]&gt;0)*T_PlannedOrders[Order_Month])),"m月")&amp;"発注)")</f>
        <v/>
      </c>
      <c r="BL1041">
        <f>IF(SUMIFS(T_PlannedOrders[EffectiveQty],T_PlannedOrders[Part Name],$A1033,T_PlannedOrders[WeekIndex],61)=0,"",SUMIFS(T_PlannedOrders[EffectiveQty],T_PlannedOrders[Part Name],$A1033,T_PlannedOrders[WeekIndex],61)&amp;" ("&amp;TEXT(SUMPRODUCT(MAX((T_PlannedOrders[Part Name]=$A1033)*(T_PlannedOrders[WeekIndex]=61)*(T_PlannedOrders[EffectiveQty]&gt;0)*T_PlannedOrders[Order_Month])),"m月")&amp;"発注)")</f>
        <v/>
      </c>
      <c r="BM1041">
        <f>IF(SUMIFS(T_PlannedOrders[EffectiveQty],T_PlannedOrders[Part Name],$A1033,T_PlannedOrders[WeekIndex],62)=0,"",SUMIFS(T_PlannedOrders[EffectiveQty],T_PlannedOrders[Part Name],$A1033,T_PlannedOrders[WeekIndex],62)&amp;" ("&amp;TEXT(SUMPRODUCT(MAX((T_PlannedOrders[Part Name]=$A1033)*(T_PlannedOrders[WeekIndex]=62)*(T_PlannedOrders[EffectiveQty]&gt;0)*T_PlannedOrders[Order_Month])),"m月")&amp;"発注)")</f>
        <v/>
      </c>
      <c r="BN1041">
        <f>IF(SUMIFS(T_PlannedOrders[EffectiveQty],T_PlannedOrders[Part Name],$A1033,T_PlannedOrders[WeekIndex],63)=0,"",SUMIFS(T_PlannedOrders[EffectiveQty],T_PlannedOrders[Part Name],$A1033,T_PlannedOrders[WeekIndex],63)&amp;" ("&amp;TEXT(SUMPRODUCT(MAX((T_PlannedOrders[Part Name]=$A1033)*(T_PlannedOrders[WeekIndex]=63)*(T_PlannedOrders[EffectiveQty]&gt;0)*T_PlannedOrders[Order_Month])),"m月")&amp;"発注)")</f>
        <v/>
      </c>
      <c r="BO1041">
        <f>IF(SUMIFS(T_PlannedOrders[EffectiveQty],T_PlannedOrders[Part Name],$A1033,T_PlannedOrders[WeekIndex],64)=0,"",SUMIFS(T_PlannedOrders[EffectiveQty],T_PlannedOrders[Part Name],$A1033,T_PlannedOrders[WeekIndex],64)&amp;" ("&amp;TEXT(SUMPRODUCT(MAX((T_PlannedOrders[Part Name]=$A1033)*(T_PlannedOrders[WeekIndex]=64)*(T_PlannedOrders[EffectiveQty]&gt;0)*T_PlannedOrders[Order_Month])),"m月")&amp;"発注)")</f>
        <v/>
      </c>
      <c r="BP1041">
        <f>IF(SUMIFS(T_PlannedOrders[EffectiveQty],T_PlannedOrders[Part Name],$A1033,T_PlannedOrders[WeekIndex],65)=0,"",SUMIFS(T_PlannedOrders[EffectiveQty],T_PlannedOrders[Part Name],$A1033,T_PlannedOrders[WeekIndex],65)&amp;" ("&amp;TEXT(SUMPRODUCT(MAX((T_PlannedOrders[Part Name]=$A1033)*(T_PlannedOrders[WeekIndex]=65)*(T_PlannedOrders[EffectiveQty]&gt;0)*T_PlannedOrders[Order_Month])),"m月")&amp;"発注)")</f>
        <v/>
      </c>
      <c r="BQ1041">
        <f>IF(SUMIFS(T_PlannedOrders[EffectiveQty],T_PlannedOrders[Part Name],$A1033,T_PlannedOrders[WeekIndex],66)=0,"",SUMIFS(T_PlannedOrders[EffectiveQty],T_PlannedOrders[Part Name],$A1033,T_PlannedOrders[WeekIndex],66)&amp;" ("&amp;TEXT(SUMPRODUCT(MAX((T_PlannedOrders[Part Name]=$A1033)*(T_PlannedOrders[WeekIndex]=66)*(T_PlannedOrders[EffectiveQty]&gt;0)*T_PlannedOrders[Order_Month])),"m月")&amp;"発注)")</f>
        <v/>
      </c>
      <c r="BR1041">
        <f>IF(SUMIFS(T_PlannedOrders[EffectiveQty],T_PlannedOrders[Part Name],$A1033,T_PlannedOrders[WeekIndex],67)=0,"",SUMIFS(T_PlannedOrders[EffectiveQty],T_PlannedOrders[Part Name],$A1033,T_PlannedOrders[WeekIndex],67)&amp;" ("&amp;TEXT(SUMPRODUCT(MAX((T_PlannedOrders[Part Name]=$A1033)*(T_PlannedOrders[WeekIndex]=67)*(T_PlannedOrders[EffectiveQty]&gt;0)*T_PlannedOrders[Order_Month])),"m月")&amp;"発注)")</f>
        <v/>
      </c>
      <c r="BS1041">
        <f>IF(SUMIFS(T_PlannedOrders[EffectiveQty],T_PlannedOrders[Part Name],$A1033,T_PlannedOrders[WeekIndex],68)=0,"",SUMIFS(T_PlannedOrders[EffectiveQty],T_PlannedOrders[Part Name],$A1033,T_PlannedOrders[WeekIndex],68)&amp;" ("&amp;TEXT(SUMPRODUCT(MAX((T_PlannedOrders[Part Name]=$A1033)*(T_PlannedOrders[WeekIndex]=68)*(T_PlannedOrders[EffectiveQty]&gt;0)*T_PlannedOrders[Order_Month])),"m月")&amp;"発注)")</f>
        <v/>
      </c>
      <c r="BT1041">
        <f>IF(SUMIFS(T_PlannedOrders[EffectiveQty],T_PlannedOrders[Part Name],$A1033,T_PlannedOrders[WeekIndex],69)=0,"",SUMIFS(T_PlannedOrders[EffectiveQty],T_PlannedOrders[Part Name],$A1033,T_PlannedOrders[WeekIndex],69)&amp;" ("&amp;TEXT(SUMPRODUCT(MAX((T_PlannedOrders[Part Name]=$A1033)*(T_PlannedOrders[WeekIndex]=69)*(T_PlannedOrders[EffectiveQty]&gt;0)*T_PlannedOrders[Order_Month])),"m月")&amp;"発注)")</f>
        <v/>
      </c>
      <c r="BU1041">
        <f>IF(SUMIFS(T_PlannedOrders[EffectiveQty],T_PlannedOrders[Part Name],$A1033,T_PlannedOrders[WeekIndex],70)=0,"",SUMIFS(T_PlannedOrders[EffectiveQty],T_PlannedOrders[Part Name],$A1033,T_PlannedOrders[WeekIndex],70)&amp;" ("&amp;TEXT(SUMPRODUCT(MAX((T_PlannedOrders[Part Name]=$A1033)*(T_PlannedOrders[WeekIndex]=70)*(T_PlannedOrders[EffectiveQty]&gt;0)*T_PlannedOrders[Order_Month])),"m月")&amp;"発注)")</f>
        <v/>
      </c>
      <c r="BV1041">
        <f>IF(SUMIFS(T_PlannedOrders[EffectiveQty],T_PlannedOrders[Part Name],$A1033,T_PlannedOrders[WeekIndex],71)=0,"",SUMIFS(T_PlannedOrders[EffectiveQty],T_PlannedOrders[Part Name],$A1033,T_PlannedOrders[WeekIndex],71)&amp;" ("&amp;TEXT(SUMPRODUCT(MAX((T_PlannedOrders[Part Name]=$A1033)*(T_PlannedOrders[WeekIndex]=71)*(T_PlannedOrders[EffectiveQty]&gt;0)*T_PlannedOrders[Order_Month])),"m月")&amp;"発注)")</f>
        <v/>
      </c>
      <c r="BW1041">
        <f>IF(SUMIFS(T_PlannedOrders[EffectiveQty],T_PlannedOrders[Part Name],$A1033,T_PlannedOrders[WeekIndex],72)=0,"",SUMIFS(T_PlannedOrders[EffectiveQty],T_PlannedOrders[Part Name],$A1033,T_PlannedOrders[WeekIndex],72)&amp;" ("&amp;TEXT(SUMPRODUCT(MAX((T_PlannedOrders[Part Name]=$A1033)*(T_PlannedOrders[WeekIndex]=72)*(T_PlannedOrders[EffectiveQty]&gt;0)*T_PlannedOrders[Order_Month])),"m月")&amp;"発注)")</f>
        <v/>
      </c>
      <c r="BX1041">
        <f>IF(SUMIFS(T_PlannedOrders[EffectiveQty],T_PlannedOrders[Part Name],$A1033,T_PlannedOrders[WeekIndex],73)=0,"",SUMIFS(T_PlannedOrders[EffectiveQty],T_PlannedOrders[Part Name],$A1033,T_PlannedOrders[WeekIndex],73)&amp;" ("&amp;TEXT(SUMPRODUCT(MAX((T_PlannedOrders[Part Name]=$A1033)*(T_PlannedOrders[WeekIndex]=73)*(T_PlannedOrders[EffectiveQty]&gt;0)*T_PlannedOrders[Order_Month])),"m月")&amp;"発注)")</f>
        <v/>
      </c>
      <c r="BY1041">
        <f>IF(SUMIFS(T_PlannedOrders[EffectiveQty],T_PlannedOrders[Part Name],$A1033,T_PlannedOrders[WeekIndex],74)=0,"",SUMIFS(T_PlannedOrders[EffectiveQty],T_PlannedOrders[Part Name],$A1033,T_PlannedOrders[WeekIndex],74)&amp;" ("&amp;TEXT(SUMPRODUCT(MAX((T_PlannedOrders[Part Name]=$A1033)*(T_PlannedOrders[WeekIndex]=74)*(T_PlannedOrders[EffectiveQty]&gt;0)*T_PlannedOrders[Order_Month])),"m月")&amp;"発注)")</f>
        <v/>
      </c>
      <c r="BZ1041">
        <f>IF(SUMIFS(T_PlannedOrders[EffectiveQty],T_PlannedOrders[Part Name],$A1033,T_PlannedOrders[WeekIndex],75)=0,"",SUMIFS(T_PlannedOrders[EffectiveQty],T_PlannedOrders[Part Name],$A1033,T_PlannedOrders[WeekIndex],75)&amp;" ("&amp;TEXT(SUMPRODUCT(MAX((T_PlannedOrders[Part Name]=$A1033)*(T_PlannedOrders[WeekIndex]=75)*(T_PlannedOrders[EffectiveQty]&gt;0)*T_PlannedOrders[Order_Month])),"m月")&amp;"発注)")</f>
        <v/>
      </c>
      <c r="CA1041">
        <f>IF(SUMIFS(T_PlannedOrders[EffectiveQty],T_PlannedOrders[Part Name],$A1033,T_PlannedOrders[WeekIndex],76)=0,"",SUMIFS(T_PlannedOrders[EffectiveQty],T_PlannedOrders[Part Name],$A1033,T_PlannedOrders[WeekIndex],76)&amp;" ("&amp;TEXT(SUMPRODUCT(MAX((T_PlannedOrders[Part Name]=$A1033)*(T_PlannedOrders[WeekIndex]=76)*(T_PlannedOrders[EffectiveQty]&gt;0)*T_PlannedOrders[Order_Month])),"m月")&amp;"発注)")</f>
        <v/>
      </c>
      <c r="CB1041">
        <f>IF(SUMIFS(T_PlannedOrders[EffectiveQty],T_PlannedOrders[Part Name],$A1033,T_PlannedOrders[WeekIndex],77)=0,"",SUMIFS(T_PlannedOrders[EffectiveQty],T_PlannedOrders[Part Name],$A1033,T_PlannedOrders[WeekIndex],77)&amp;" ("&amp;TEXT(SUMPRODUCT(MAX((T_PlannedOrders[Part Name]=$A1033)*(T_PlannedOrders[WeekIndex]=77)*(T_PlannedOrders[EffectiveQty]&gt;0)*T_PlannedOrders[Order_Month])),"m月")&amp;"発注)")</f>
        <v/>
      </c>
      <c r="CC1041">
        <f>IF(SUMIFS(T_PlannedOrders[EffectiveQty],T_PlannedOrders[Part Name],$A1033,T_PlannedOrders[WeekIndex],78)=0,"",SUMIFS(T_PlannedOrders[EffectiveQty],T_PlannedOrders[Part Name],$A1033,T_PlannedOrders[WeekIndex],78)&amp;" ("&amp;TEXT(SUMPRODUCT(MAX((T_PlannedOrders[Part Name]=$A1033)*(T_PlannedOrders[WeekIndex]=78)*(T_PlannedOrders[EffectiveQty]&gt;0)*T_PlannedOrders[Order_Month])),"m月")&amp;"発注)")</f>
        <v/>
      </c>
      <c r="CD1041">
        <f>IF(SUMIFS(T_PlannedOrders[EffectiveQty],T_PlannedOrders[Part Name],$A1033,T_PlannedOrders[WeekIndex],79)=0,"",SUMIFS(T_PlannedOrders[EffectiveQty],T_PlannedOrders[Part Name],$A1033,T_PlannedOrders[WeekIndex],79)&amp;" ("&amp;TEXT(SUMPRODUCT(MAX((T_PlannedOrders[Part Name]=$A1033)*(T_PlannedOrders[WeekIndex]=79)*(T_PlannedOrders[EffectiveQty]&gt;0)*T_PlannedOrders[Order_Month])),"m月")&amp;"発注)")</f>
        <v/>
      </c>
      <c r="CE1041">
        <f>IF(SUMIFS(T_PlannedOrders[EffectiveQty],T_PlannedOrders[Part Name],$A1033,T_PlannedOrders[WeekIndex],80)=0,"",SUMIFS(T_PlannedOrders[EffectiveQty],T_PlannedOrders[Part Name],$A1033,T_PlannedOrders[WeekIndex],80)&amp;" ("&amp;TEXT(SUMPRODUCT(MAX((T_PlannedOrders[Part Name]=$A1033)*(T_PlannedOrders[WeekIndex]=80)*(T_PlannedOrders[EffectiveQty]&gt;0)*T_PlannedOrders[Order_Month])),"m月")&amp;"発注)")</f>
        <v/>
      </c>
      <c r="CF1041">
        <f>IF(SUMIFS(T_PlannedOrders[EffectiveQty],T_PlannedOrders[Part Name],$A1033,T_PlannedOrders[WeekIndex],81)=0,"",SUMIFS(T_PlannedOrders[EffectiveQty],T_PlannedOrders[Part Name],$A1033,T_PlannedOrders[WeekIndex],81)&amp;" ("&amp;TEXT(SUMPRODUCT(MAX((T_PlannedOrders[Part Name]=$A1033)*(T_PlannedOrders[WeekIndex]=81)*(T_PlannedOrders[EffectiveQty]&gt;0)*T_PlannedOrders[Order_Month])),"m月")&amp;"発注)")</f>
        <v/>
      </c>
      <c r="CG1041">
        <f>IF(SUMIFS(T_PlannedOrders[EffectiveQty],T_PlannedOrders[Part Name],$A1033,T_PlannedOrders[WeekIndex],82)=0,"",SUMIFS(T_PlannedOrders[EffectiveQty],T_PlannedOrders[Part Name],$A1033,T_PlannedOrders[WeekIndex],82)&amp;" ("&amp;TEXT(SUMPRODUCT(MAX((T_PlannedOrders[Part Name]=$A1033)*(T_PlannedOrders[WeekIndex]=82)*(T_PlannedOrders[EffectiveQty]&gt;0)*T_PlannedOrders[Order_Month])),"m月")&amp;"発注)")</f>
        <v/>
      </c>
      <c r="CH1041">
        <f>IF(SUMIFS(T_PlannedOrders[EffectiveQty],T_PlannedOrders[Part Name],$A1033,T_PlannedOrders[WeekIndex],83)=0,"",SUMIFS(T_PlannedOrders[EffectiveQty],T_PlannedOrders[Part Name],$A1033,T_PlannedOrders[WeekIndex],83)&amp;" ("&amp;TEXT(SUMPRODUCT(MAX((T_PlannedOrders[Part Name]=$A1033)*(T_PlannedOrders[WeekIndex]=83)*(T_PlannedOrders[EffectiveQty]&gt;0)*T_PlannedOrders[Order_Month])),"m月")&amp;"発注)")</f>
        <v/>
      </c>
      <c r="CI1041">
        <f>IF(SUMIFS(T_PlannedOrders[EffectiveQty],T_PlannedOrders[Part Name],$A1033,T_PlannedOrders[WeekIndex],84)=0,"",SUMIFS(T_PlannedOrders[EffectiveQty],T_PlannedOrders[Part Name],$A1033,T_PlannedOrders[WeekIndex],84)&amp;" ("&amp;TEXT(SUMPRODUCT(MAX((T_PlannedOrders[Part Name]=$A1033)*(T_PlannedOrders[WeekIndex]=84)*(T_PlannedOrders[EffectiveQty]&gt;0)*T_PlannedOrders[Order_Month])),"m月")&amp;"発注)")</f>
        <v/>
      </c>
      <c r="CJ1041">
        <f>IF(SUMIFS(T_PlannedOrders[EffectiveQty],T_PlannedOrders[Part Name],$A1033,T_PlannedOrders[WeekIndex],85)=0,"",SUMIFS(T_PlannedOrders[EffectiveQty],T_PlannedOrders[Part Name],$A1033,T_PlannedOrders[WeekIndex],85)&amp;" ("&amp;TEXT(SUMPRODUCT(MAX((T_PlannedOrders[Part Name]=$A1033)*(T_PlannedOrders[WeekIndex]=85)*(T_PlannedOrders[EffectiveQty]&gt;0)*T_PlannedOrders[Order_Month])),"m月")&amp;"発注)")</f>
        <v/>
      </c>
      <c r="CK1041">
        <f>IF(SUMIFS(T_PlannedOrders[EffectiveQty],T_PlannedOrders[Part Name],$A1033,T_PlannedOrders[WeekIndex],86)=0,"",SUMIFS(T_PlannedOrders[EffectiveQty],T_PlannedOrders[Part Name],$A1033,T_PlannedOrders[WeekIndex],86)&amp;" ("&amp;TEXT(SUMPRODUCT(MAX((T_PlannedOrders[Part Name]=$A1033)*(T_PlannedOrders[WeekIndex]=86)*(T_PlannedOrders[EffectiveQty]&gt;0)*T_PlannedOrders[Order_Month])),"m月")&amp;"発注)")</f>
        <v/>
      </c>
      <c r="CL1041">
        <f>IF(SUMIFS(T_PlannedOrders[EffectiveQty],T_PlannedOrders[Part Name],$A1033,T_PlannedOrders[WeekIndex],87)=0,"",SUMIFS(T_PlannedOrders[EffectiveQty],T_PlannedOrders[Part Name],$A1033,T_PlannedOrders[WeekIndex],87)&amp;" ("&amp;TEXT(SUMPRODUCT(MAX((T_PlannedOrders[Part Name]=$A1033)*(T_PlannedOrders[WeekIndex]=87)*(T_PlannedOrders[EffectiveQty]&gt;0)*T_PlannedOrders[Order_Month])),"m月")&amp;"発注)")</f>
        <v/>
      </c>
      <c r="CM1041">
        <f>IF(SUMIFS(T_PlannedOrders[EffectiveQty],T_PlannedOrders[Part Name],$A1033,T_PlannedOrders[WeekIndex],88)=0,"",SUMIFS(T_PlannedOrders[EffectiveQty],T_PlannedOrders[Part Name],$A1033,T_PlannedOrders[WeekIndex],88)&amp;" ("&amp;TEXT(SUMPRODUCT(MAX((T_PlannedOrders[Part Name]=$A1033)*(T_PlannedOrders[WeekIndex]=88)*(T_PlannedOrders[EffectiveQty]&gt;0)*T_PlannedOrders[Order_Month])),"m月")&amp;"発注)")</f>
        <v/>
      </c>
      <c r="CN1041">
        <f>IF(SUMIFS(T_PlannedOrders[EffectiveQty],T_PlannedOrders[Part Name],$A1033,T_PlannedOrders[WeekIndex],89)=0,"",SUMIFS(T_PlannedOrders[EffectiveQty],T_PlannedOrders[Part Name],$A1033,T_PlannedOrders[WeekIndex],89)&amp;" ("&amp;TEXT(SUMPRODUCT(MAX((T_PlannedOrders[Part Name]=$A1033)*(T_PlannedOrders[WeekIndex]=89)*(T_PlannedOrders[EffectiveQty]&gt;0)*T_PlannedOrders[Order_Month])),"m月")&amp;"発注)")</f>
        <v/>
      </c>
      <c r="CO1041">
        <f>IF(SUMIFS(T_PlannedOrders[EffectiveQty],T_PlannedOrders[Part Name],$A1033,T_PlannedOrders[WeekIndex],90)=0,"",SUMIFS(T_PlannedOrders[EffectiveQty],T_PlannedOrders[Part Name],$A1033,T_PlannedOrders[WeekIndex],90)&amp;" ("&amp;TEXT(SUMPRODUCT(MAX((T_PlannedOrders[Part Name]=$A1033)*(T_PlannedOrders[WeekIndex]=90)*(T_PlannedOrders[EffectiveQty]&gt;0)*T_PlannedOrders[Order_Month])),"m月")&amp;"発注)")</f>
        <v/>
      </c>
      <c r="CP1041">
        <f>IF(SUMIFS(T_PlannedOrders[EffectiveQty],T_PlannedOrders[Part Name],$A1033,T_PlannedOrders[WeekIndex],91)=0,"",SUMIFS(T_PlannedOrders[EffectiveQty],T_PlannedOrders[Part Name],$A1033,T_PlannedOrders[WeekIndex],91)&amp;" ("&amp;TEXT(SUMPRODUCT(MAX((T_PlannedOrders[Part Name]=$A1033)*(T_PlannedOrders[WeekIndex]=91)*(T_PlannedOrders[EffectiveQty]&gt;0)*T_PlannedOrders[Order_Month])),"m月")&amp;"発注)")</f>
        <v/>
      </c>
      <c r="CQ1041">
        <f>IF(SUMIFS(T_PlannedOrders[EffectiveQty],T_PlannedOrders[Part Name],$A1033,T_PlannedOrders[WeekIndex],92)=0,"",SUMIFS(T_PlannedOrders[EffectiveQty],T_PlannedOrders[Part Name],$A1033,T_PlannedOrders[WeekIndex],92)&amp;" ("&amp;TEXT(SUMPRODUCT(MAX((T_PlannedOrders[Part Name]=$A1033)*(T_PlannedOrders[WeekIndex]=92)*(T_PlannedOrders[EffectiveQty]&gt;0)*T_PlannedOrders[Order_Month])),"m月")&amp;"発注)")</f>
        <v/>
      </c>
      <c r="CR1041">
        <f>IF(SUMIFS(T_PlannedOrders[EffectiveQty],T_PlannedOrders[Part Name],$A1033,T_PlannedOrders[WeekIndex],93)=0,"",SUMIFS(T_PlannedOrders[EffectiveQty],T_PlannedOrders[Part Name],$A1033,T_PlannedOrders[WeekIndex],93)&amp;" ("&amp;TEXT(SUMPRODUCT(MAX((T_PlannedOrders[Part Name]=$A1033)*(T_PlannedOrders[WeekIndex]=93)*(T_PlannedOrders[EffectiveQty]&gt;0)*T_PlannedOrders[Order_Month])),"m月")&amp;"発注)")</f>
        <v/>
      </c>
      <c r="CS1041">
        <f>IF(SUMIFS(T_PlannedOrders[EffectiveQty],T_PlannedOrders[Part Name],$A1033,T_PlannedOrders[WeekIndex],94)=0,"",SUMIFS(T_PlannedOrders[EffectiveQty],T_PlannedOrders[Part Name],$A1033,T_PlannedOrders[WeekIndex],94)&amp;" ("&amp;TEXT(SUMPRODUCT(MAX((T_PlannedOrders[Part Name]=$A1033)*(T_PlannedOrders[WeekIndex]=94)*(T_PlannedOrders[EffectiveQty]&gt;0)*T_PlannedOrders[Order_Month])),"m月")&amp;"発注)")</f>
        <v/>
      </c>
      <c r="CT1041">
        <f>IF(SUMIFS(T_PlannedOrders[EffectiveQty],T_PlannedOrders[Part Name],$A1033,T_PlannedOrders[WeekIndex],95)=0,"",SUMIFS(T_PlannedOrders[EffectiveQty],T_PlannedOrders[Part Name],$A1033,T_PlannedOrders[WeekIndex],95)&amp;" ("&amp;TEXT(SUMPRODUCT(MAX((T_PlannedOrders[Part Name]=$A1033)*(T_PlannedOrders[WeekIndex]=95)*(T_PlannedOrders[EffectiveQty]&gt;0)*T_PlannedOrders[Order_Month])),"m月")&amp;"発注)")</f>
        <v/>
      </c>
      <c r="CU1041">
        <f>IF(SUMIFS(T_PlannedOrders[EffectiveQty],T_PlannedOrders[Part Name],$A1033,T_PlannedOrders[WeekIndex],96)=0,"",SUMIFS(T_PlannedOrders[EffectiveQty],T_PlannedOrders[Part Name],$A1033,T_PlannedOrders[WeekIndex],96)&amp;" ("&amp;TEXT(SUMPRODUCT(MAX((T_PlannedOrders[Part Name]=$A1033)*(T_PlannedOrders[WeekIndex]=96)*(T_PlannedOrders[EffectiveQty]&gt;0)*T_PlannedOrders[Order_Month])),"m月")&amp;"発注)")</f>
        <v/>
      </c>
      <c r="CV1041">
        <f>IF(SUMIFS(T_PlannedOrders[EffectiveQty],T_PlannedOrders[Part Name],$A1033,T_PlannedOrders[WeekIndex],97)=0,"",SUMIFS(T_PlannedOrders[EffectiveQty],T_PlannedOrders[Part Name],$A1033,T_PlannedOrders[WeekIndex],97)&amp;" ("&amp;TEXT(SUMPRODUCT(MAX((T_PlannedOrders[Part Name]=$A1033)*(T_PlannedOrders[WeekIndex]=97)*(T_PlannedOrders[EffectiveQty]&gt;0)*T_PlannedOrders[Order_Month])),"m月")&amp;"発注)")</f>
        <v/>
      </c>
      <c r="CW1041">
        <f>IF(SUMIFS(T_PlannedOrders[EffectiveQty],T_PlannedOrders[Part Name],$A1033,T_PlannedOrders[WeekIndex],98)=0,"",SUMIFS(T_PlannedOrders[EffectiveQty],T_PlannedOrders[Part Name],$A1033,T_PlannedOrders[WeekIndex],98)&amp;" ("&amp;TEXT(SUMPRODUCT(MAX((T_PlannedOrders[Part Name]=$A1033)*(T_PlannedOrders[WeekIndex]=98)*(T_PlannedOrders[EffectiveQty]&gt;0)*T_PlannedOrders[Order_Month])),"m月")&amp;"発注)")</f>
        <v/>
      </c>
      <c r="CX1041">
        <f>IF(SUMIFS(T_PlannedOrders[EffectiveQty],T_PlannedOrders[Part Name],$A1033,T_PlannedOrders[WeekIndex],99)=0,"",SUMIFS(T_PlannedOrders[EffectiveQty],T_PlannedOrders[Part Name],$A1033,T_PlannedOrders[WeekIndex],99)&amp;" ("&amp;TEXT(SUMPRODUCT(MAX((T_PlannedOrders[Part Name]=$A1033)*(T_PlannedOrders[WeekIndex]=99)*(T_PlannedOrders[EffectiveQty]&gt;0)*T_PlannedOrders[Order_Month])),"m月")&amp;"発注)")</f>
        <v/>
      </c>
      <c r="CY1041">
        <f>IF(SUMIFS(T_PlannedOrders[EffectiveQty],T_PlannedOrders[Part Name],$A1033,T_PlannedOrders[WeekIndex],100)=0,"",SUMIFS(T_PlannedOrders[EffectiveQty],T_PlannedOrders[Part Name],$A1033,T_PlannedOrders[WeekIndex],100)&amp;" ("&amp;TEXT(SUMPRODUCT(MAX((T_PlannedOrders[Part Name]=$A1033)*(T_PlannedOrders[WeekIndex]=100)*(T_PlannedOrders[EffectiveQty]&gt;0)*T_PlannedOrders[Order_Month])),"m月")&amp;"発注)")</f>
        <v/>
      </c>
      <c r="CZ1041">
        <f>IF(SUMIFS(T_PlannedOrders[EffectiveQty],T_PlannedOrders[Part Name],$A1033,T_PlannedOrders[WeekIndex],101)=0,"",SUMIFS(T_PlannedOrders[EffectiveQty],T_PlannedOrders[Part Name],$A1033,T_PlannedOrders[WeekIndex],101)&amp;" ("&amp;TEXT(SUMPRODUCT(MAX((T_PlannedOrders[Part Name]=$A1033)*(T_PlannedOrders[WeekIndex]=101)*(T_PlannedOrders[EffectiveQty]&gt;0)*T_PlannedOrders[Order_Month])),"m月")&amp;"発注)")</f>
        <v/>
      </c>
      <c r="DA1041">
        <f>IF(SUMIFS(T_PlannedOrders[EffectiveQty],T_PlannedOrders[Part Name],$A1033,T_PlannedOrders[WeekIndex],102)=0,"",SUMIFS(T_PlannedOrders[EffectiveQty],T_PlannedOrders[Part Name],$A1033,T_PlannedOrders[WeekIndex],102)&amp;" ("&amp;TEXT(SUMPRODUCT(MAX((T_PlannedOrders[Part Name]=$A1033)*(T_PlannedOrders[WeekIndex]=102)*(T_PlannedOrders[EffectiveQty]&gt;0)*T_PlannedOrders[Order_Month])),"m月")&amp;"発注)")</f>
        <v/>
      </c>
      <c r="DB1041">
        <f>IF(SUMIFS(T_PlannedOrders[EffectiveQty],T_PlannedOrders[Part Name],$A1033,T_PlannedOrders[WeekIndex],103)=0,"",SUMIFS(T_PlannedOrders[EffectiveQty],T_PlannedOrders[Part Name],$A1033,T_PlannedOrders[WeekIndex],103)&amp;" ("&amp;TEXT(SUMPRODUCT(MAX((T_PlannedOrders[Part Name]=$A1033)*(T_PlannedOrders[WeekIndex]=103)*(T_PlannedOrders[EffectiveQty]&gt;0)*T_PlannedOrders[Order_Month])),"m月")&amp;"発注)")</f>
        <v/>
      </c>
      <c r="DC1041">
        <f>IF(SUMIFS(T_PlannedOrders[EffectiveQty],T_PlannedOrders[Part Name],$A1033,T_PlannedOrders[WeekIndex],104)=0,"",SUMIFS(T_PlannedOrders[EffectiveQty],T_PlannedOrders[Part Name],$A1033,T_PlannedOrders[WeekIndex],104)&amp;" ("&amp;TEXT(SUMPRODUCT(MAX((T_PlannedOrders[Part Name]=$A1033)*(T_PlannedOrders[WeekIndex]=104)*(T_PlannedOrders[EffectiveQty]&gt;0)*T_PlannedOrders[Order_Month])),"m月")&amp;"発注)")</f>
        <v/>
      </c>
    </row>
    <row r="1042">
      <c r="B1042" s="5" t="inlineStr">
        <is>
          <t>合計在庫(週末時点,kg)</t>
        </is>
      </c>
      <c r="D1042">
        <f>'Grid_Stock'!B45</f>
        <v/>
      </c>
      <c r="E1042">
        <f>'Grid_Stock'!C45</f>
        <v/>
      </c>
      <c r="F1042">
        <f>'Grid_Stock'!D45</f>
        <v/>
      </c>
      <c r="G1042">
        <f>'Grid_Stock'!E45</f>
        <v/>
      </c>
      <c r="H1042">
        <f>'Grid_Stock'!F45</f>
        <v/>
      </c>
      <c r="I1042">
        <f>'Grid_Stock'!G45</f>
        <v/>
      </c>
      <c r="J1042">
        <f>'Grid_Stock'!H45</f>
        <v/>
      </c>
      <c r="K1042">
        <f>'Grid_Stock'!I45</f>
        <v/>
      </c>
      <c r="L1042">
        <f>'Grid_Stock'!J45</f>
        <v/>
      </c>
      <c r="M1042">
        <f>'Grid_Stock'!K45</f>
        <v/>
      </c>
      <c r="N1042">
        <f>'Grid_Stock'!L45</f>
        <v/>
      </c>
      <c r="O1042">
        <f>'Grid_Stock'!M45</f>
        <v/>
      </c>
      <c r="P1042">
        <f>'Grid_Stock'!N45</f>
        <v/>
      </c>
      <c r="Q1042">
        <f>'Grid_Stock'!O45</f>
        <v/>
      </c>
      <c r="R1042">
        <f>'Grid_Stock'!P45</f>
        <v/>
      </c>
      <c r="S1042">
        <f>'Grid_Stock'!Q45</f>
        <v/>
      </c>
      <c r="T1042">
        <f>'Grid_Stock'!R45</f>
        <v/>
      </c>
      <c r="U1042">
        <f>'Grid_Stock'!S45</f>
        <v/>
      </c>
      <c r="V1042">
        <f>'Grid_Stock'!T45</f>
        <v/>
      </c>
      <c r="W1042">
        <f>'Grid_Stock'!U45</f>
        <v/>
      </c>
      <c r="X1042">
        <f>'Grid_Stock'!V45</f>
        <v/>
      </c>
      <c r="Y1042">
        <f>'Grid_Stock'!W45</f>
        <v/>
      </c>
      <c r="Z1042">
        <f>'Grid_Stock'!X45</f>
        <v/>
      </c>
      <c r="AA1042">
        <f>'Grid_Stock'!Y45</f>
        <v/>
      </c>
      <c r="AB1042">
        <f>'Grid_Stock'!Z45</f>
        <v/>
      </c>
      <c r="AC1042">
        <f>'Grid_Stock'!AA45</f>
        <v/>
      </c>
      <c r="AD1042">
        <f>'Grid_Stock'!AB45</f>
        <v/>
      </c>
      <c r="AE1042">
        <f>'Grid_Stock'!AC45</f>
        <v/>
      </c>
      <c r="AF1042">
        <f>'Grid_Stock'!AD45</f>
        <v/>
      </c>
      <c r="AG1042">
        <f>'Grid_Stock'!AE45</f>
        <v/>
      </c>
      <c r="AH1042">
        <f>'Grid_Stock'!AF45</f>
        <v/>
      </c>
      <c r="AI1042">
        <f>'Grid_Stock'!AG45</f>
        <v/>
      </c>
      <c r="AJ1042">
        <f>'Grid_Stock'!AH45</f>
        <v/>
      </c>
      <c r="AK1042">
        <f>'Grid_Stock'!AI45</f>
        <v/>
      </c>
      <c r="AL1042">
        <f>'Grid_Stock'!AJ45</f>
        <v/>
      </c>
      <c r="AM1042">
        <f>'Grid_Stock'!AK45</f>
        <v/>
      </c>
      <c r="AN1042">
        <f>'Grid_Stock'!AL45</f>
        <v/>
      </c>
      <c r="AO1042">
        <f>'Grid_Stock'!AM45</f>
        <v/>
      </c>
      <c r="AP1042">
        <f>'Grid_Stock'!AN45</f>
        <v/>
      </c>
      <c r="AQ1042">
        <f>'Grid_Stock'!AO45</f>
        <v/>
      </c>
      <c r="AR1042">
        <f>'Grid_Stock'!AP45</f>
        <v/>
      </c>
      <c r="AS1042">
        <f>'Grid_Stock'!AQ45</f>
        <v/>
      </c>
      <c r="AT1042">
        <f>'Grid_Stock'!AR45</f>
        <v/>
      </c>
      <c r="AU1042">
        <f>'Grid_Stock'!AS45</f>
        <v/>
      </c>
      <c r="AV1042">
        <f>'Grid_Stock'!AT45</f>
        <v/>
      </c>
      <c r="AW1042">
        <f>'Grid_Stock'!AU45</f>
        <v/>
      </c>
      <c r="AX1042">
        <f>'Grid_Stock'!AV45</f>
        <v/>
      </c>
      <c r="AY1042">
        <f>'Grid_Stock'!AW45</f>
        <v/>
      </c>
      <c r="AZ1042">
        <f>'Grid_Stock'!AX45</f>
        <v/>
      </c>
      <c r="BA1042">
        <f>'Grid_Stock'!AY45</f>
        <v/>
      </c>
      <c r="BB1042">
        <f>'Grid_Stock'!AZ45</f>
        <v/>
      </c>
      <c r="BC1042">
        <f>'Grid_Stock'!BA45</f>
        <v/>
      </c>
      <c r="BD1042">
        <f>'Grid_Stock'!BB45</f>
        <v/>
      </c>
      <c r="BE1042">
        <f>'Grid_Stock'!BC45</f>
        <v/>
      </c>
      <c r="BF1042">
        <f>'Grid_Stock'!BD45</f>
        <v/>
      </c>
      <c r="BG1042">
        <f>'Grid_Stock'!BE45</f>
        <v/>
      </c>
      <c r="BH1042">
        <f>'Grid_Stock'!BF45</f>
        <v/>
      </c>
      <c r="BI1042">
        <f>'Grid_Stock'!BG45</f>
        <v/>
      </c>
      <c r="BJ1042">
        <f>'Grid_Stock'!BH45</f>
        <v/>
      </c>
      <c r="BK1042">
        <f>'Grid_Stock'!BI45</f>
        <v/>
      </c>
      <c r="BL1042">
        <f>'Grid_Stock'!BJ45</f>
        <v/>
      </c>
      <c r="BM1042">
        <f>'Grid_Stock'!BK45</f>
        <v/>
      </c>
      <c r="BN1042">
        <f>'Grid_Stock'!BL45</f>
        <v/>
      </c>
      <c r="BO1042">
        <f>'Grid_Stock'!BM45</f>
        <v/>
      </c>
      <c r="BP1042">
        <f>'Grid_Stock'!BN45</f>
        <v/>
      </c>
      <c r="BQ1042">
        <f>'Grid_Stock'!BO45</f>
        <v/>
      </c>
      <c r="BR1042">
        <f>'Grid_Stock'!BP45</f>
        <v/>
      </c>
      <c r="BS1042">
        <f>'Grid_Stock'!BQ45</f>
        <v/>
      </c>
      <c r="BT1042">
        <f>'Grid_Stock'!BR45</f>
        <v/>
      </c>
      <c r="BU1042">
        <f>'Grid_Stock'!BS45</f>
        <v/>
      </c>
      <c r="BV1042">
        <f>'Grid_Stock'!BT45</f>
        <v/>
      </c>
      <c r="BW1042">
        <f>'Grid_Stock'!BU45</f>
        <v/>
      </c>
      <c r="BX1042">
        <f>'Grid_Stock'!BV45</f>
        <v/>
      </c>
      <c r="BY1042">
        <f>'Grid_Stock'!BW45</f>
        <v/>
      </c>
      <c r="BZ1042">
        <f>'Grid_Stock'!BX45</f>
        <v/>
      </c>
      <c r="CA1042">
        <f>'Grid_Stock'!BY45</f>
        <v/>
      </c>
      <c r="CB1042">
        <f>'Grid_Stock'!BZ45</f>
        <v/>
      </c>
      <c r="CC1042">
        <f>'Grid_Stock'!CA45</f>
        <v/>
      </c>
      <c r="CD1042">
        <f>'Grid_Stock'!CB45</f>
        <v/>
      </c>
      <c r="CE1042">
        <f>'Grid_Stock'!CC45</f>
        <v/>
      </c>
      <c r="CF1042">
        <f>'Grid_Stock'!CD45</f>
        <v/>
      </c>
      <c r="CG1042">
        <f>'Grid_Stock'!CE45</f>
        <v/>
      </c>
      <c r="CH1042">
        <f>'Grid_Stock'!CF45</f>
        <v/>
      </c>
      <c r="CI1042">
        <f>'Grid_Stock'!CG45</f>
        <v/>
      </c>
      <c r="CJ1042">
        <f>'Grid_Stock'!CH45</f>
        <v/>
      </c>
      <c r="CK1042">
        <f>'Grid_Stock'!CI45</f>
        <v/>
      </c>
      <c r="CL1042">
        <f>'Grid_Stock'!CJ45</f>
        <v/>
      </c>
      <c r="CM1042">
        <f>'Grid_Stock'!CK45</f>
        <v/>
      </c>
      <c r="CN1042">
        <f>'Grid_Stock'!CL45</f>
        <v/>
      </c>
      <c r="CO1042">
        <f>'Grid_Stock'!CM45</f>
        <v/>
      </c>
      <c r="CP1042">
        <f>'Grid_Stock'!CN45</f>
        <v/>
      </c>
      <c r="CQ1042">
        <f>'Grid_Stock'!CO45</f>
        <v/>
      </c>
      <c r="CR1042">
        <f>'Grid_Stock'!CP45</f>
        <v/>
      </c>
      <c r="CS1042">
        <f>'Grid_Stock'!CQ45</f>
        <v/>
      </c>
      <c r="CT1042">
        <f>'Grid_Stock'!CR45</f>
        <v/>
      </c>
      <c r="CU1042">
        <f>'Grid_Stock'!CS45</f>
        <v/>
      </c>
      <c r="CV1042">
        <f>'Grid_Stock'!CT45</f>
        <v/>
      </c>
      <c r="CW1042">
        <f>'Grid_Stock'!CU45</f>
        <v/>
      </c>
      <c r="CX1042">
        <f>'Grid_Stock'!CV45</f>
        <v/>
      </c>
      <c r="CY1042">
        <f>'Grid_Stock'!CW45</f>
        <v/>
      </c>
      <c r="CZ1042">
        <f>'Grid_Stock'!CX45</f>
        <v/>
      </c>
      <c r="DA1042">
        <f>'Grid_Stock'!CY45</f>
        <v/>
      </c>
      <c r="DB1042">
        <f>'Grid_Stock'!CZ45</f>
        <v/>
      </c>
      <c r="DC1042">
        <f>'Grid_Stock'!DA45</f>
        <v/>
      </c>
    </row>
    <row r="1043">
      <c r="B1043" s="23" t="inlineStr">
        <is>
          <t>（発注の目安はDashboardの基準在庫[下限/上限]と色分けを参照）</t>
        </is>
      </c>
    </row>
    <row r="1045">
      <c r="A1045" s="21" t="inlineStr">
        <is>
          <t>CHEM-1430</t>
        </is>
      </c>
      <c r="B1045" s="21" t="inlineStr">
        <is>
          <t>RCT22</t>
        </is>
      </c>
      <c r="C1045" s="22" t="n"/>
      <c r="D1045" s="21" t="n"/>
      <c r="E1045" s="21" t="n"/>
      <c r="F1045" s="21" t="n"/>
      <c r="G1045" s="21" t="n"/>
      <c r="H1045" s="21" t="n"/>
      <c r="I1045" s="21" t="n"/>
      <c r="J1045" s="21" t="n"/>
      <c r="K1045" s="21" t="n"/>
      <c r="L1045" s="21" t="n"/>
      <c r="M1045" s="21" t="n"/>
      <c r="N1045" s="21" t="n"/>
      <c r="O1045" s="21" t="n"/>
      <c r="P1045" s="21" t="n"/>
      <c r="Q1045" s="21" t="n"/>
      <c r="R1045" s="21" t="n"/>
      <c r="S1045" s="21" t="n"/>
      <c r="T1045" s="21" t="n"/>
      <c r="U1045" s="21" t="n"/>
      <c r="V1045" s="21" t="n"/>
      <c r="W1045" s="21" t="n"/>
      <c r="X1045" s="21" t="n"/>
      <c r="Y1045" s="21" t="n"/>
      <c r="Z1045" s="21" t="n"/>
      <c r="AA1045" s="21" t="n"/>
      <c r="AB1045" s="21" t="n"/>
      <c r="AC1045" s="21" t="n"/>
      <c r="AD1045" s="21" t="n"/>
      <c r="AE1045" s="21" t="n"/>
      <c r="AF1045" s="21" t="n"/>
      <c r="AG1045" s="21" t="n"/>
      <c r="AH1045" s="21" t="n"/>
      <c r="AI1045" s="21" t="n"/>
      <c r="AJ1045" s="21" t="n"/>
      <c r="AK1045" s="21" t="n"/>
      <c r="AL1045" s="21" t="n"/>
      <c r="AM1045" s="21" t="n"/>
      <c r="AN1045" s="21" t="n"/>
      <c r="AO1045" s="21" t="n"/>
      <c r="AP1045" s="21" t="n"/>
      <c r="AQ1045" s="21" t="n"/>
      <c r="AR1045" s="21" t="n"/>
      <c r="AS1045" s="21" t="n"/>
      <c r="AT1045" s="21" t="n"/>
      <c r="AU1045" s="21" t="n"/>
      <c r="AV1045" s="21" t="n"/>
      <c r="AW1045" s="21" t="n"/>
      <c r="AX1045" s="21" t="n"/>
      <c r="AY1045" s="21" t="n"/>
      <c r="AZ1045" s="21" t="n"/>
      <c r="BA1045" s="21" t="n"/>
      <c r="BB1045" s="21" t="n"/>
      <c r="BC1045" s="21" t="n"/>
      <c r="BD1045" s="21" t="n"/>
      <c r="BE1045" s="21" t="n"/>
      <c r="BF1045" s="21" t="n"/>
      <c r="BG1045" s="21" t="n"/>
      <c r="BH1045" s="21" t="n"/>
      <c r="BI1045" s="21" t="n"/>
      <c r="BJ1045" s="21" t="n"/>
      <c r="BK1045" s="21" t="n"/>
      <c r="BL1045" s="21" t="n"/>
      <c r="BM1045" s="21" t="n"/>
      <c r="BN1045" s="21" t="n"/>
      <c r="BO1045" s="21" t="n"/>
      <c r="BP1045" s="21" t="n"/>
      <c r="BQ1045" s="21" t="n"/>
      <c r="BR1045" s="21" t="n"/>
      <c r="BS1045" s="21" t="n"/>
      <c r="BT1045" s="21" t="n"/>
      <c r="BU1045" s="21" t="n"/>
      <c r="BV1045" s="21" t="n"/>
      <c r="BW1045" s="21" t="n"/>
      <c r="BX1045" s="21" t="n"/>
      <c r="BY1045" s="21" t="n"/>
      <c r="BZ1045" s="21" t="n"/>
      <c r="CA1045" s="21" t="n"/>
      <c r="CB1045" s="21" t="n"/>
      <c r="CC1045" s="21" t="n"/>
      <c r="CD1045" s="21" t="n"/>
      <c r="CE1045" s="21" t="n"/>
      <c r="CF1045" s="21" t="n"/>
      <c r="CG1045" s="21" t="n"/>
      <c r="CH1045" s="21" t="n"/>
      <c r="CI1045" s="21" t="n"/>
      <c r="CJ1045" s="21" t="n"/>
      <c r="CK1045" s="21" t="n"/>
      <c r="CL1045" s="21" t="n"/>
      <c r="CM1045" s="21" t="n"/>
      <c r="CN1045" s="21" t="n"/>
      <c r="CO1045" s="21" t="n"/>
      <c r="CP1045" s="21" t="n"/>
      <c r="CQ1045" s="21" t="n"/>
      <c r="CR1045" s="21" t="n"/>
      <c r="CS1045" s="21" t="n"/>
      <c r="CT1045" s="21" t="n"/>
      <c r="CU1045" s="21" t="n"/>
      <c r="CV1045" s="21" t="n"/>
      <c r="CW1045" s="21" t="n"/>
      <c r="CX1045" s="21" t="n"/>
      <c r="CY1045" s="21" t="n"/>
      <c r="CZ1045" s="21" t="n"/>
      <c r="DA1045" s="21" t="n"/>
      <c r="DB1045" s="21" t="n"/>
      <c r="DC1045" s="21" t="n"/>
    </row>
    <row r="1046">
      <c r="B1046" t="inlineStr">
        <is>
          <t>TSP-050</t>
        </is>
      </c>
      <c r="C1046" t="inlineStr">
        <is>
          <t>No. of batches</t>
        </is>
      </c>
      <c r="D1046">
        <f>IFERROR(INDEX(PP_Grid[#Data],$DD1046,2),0)</f>
        <v/>
      </c>
      <c r="E1046">
        <f>IFERROR(INDEX(PP_Grid[#Data],$DD1046,3),0)</f>
        <v/>
      </c>
      <c r="F1046">
        <f>IFERROR(INDEX(PP_Grid[#Data],$DD1046,4),0)</f>
        <v/>
      </c>
      <c r="G1046">
        <f>IFERROR(INDEX(PP_Grid[#Data],$DD1046,5),0)</f>
        <v/>
      </c>
      <c r="H1046">
        <f>IFERROR(INDEX(PP_Grid[#Data],$DD1046,6),0)</f>
        <v/>
      </c>
      <c r="I1046">
        <f>IFERROR(INDEX(PP_Grid[#Data],$DD1046,7),0)</f>
        <v/>
      </c>
      <c r="J1046">
        <f>IFERROR(INDEX(PP_Grid[#Data],$DD1046,8),0)</f>
        <v/>
      </c>
      <c r="K1046">
        <f>IFERROR(INDEX(PP_Grid[#Data],$DD1046,9),0)</f>
        <v/>
      </c>
      <c r="L1046">
        <f>IFERROR(INDEX(PP_Grid[#Data],$DD1046,10),0)</f>
        <v/>
      </c>
      <c r="M1046">
        <f>IFERROR(INDEX(PP_Grid[#Data],$DD1046,11),0)</f>
        <v/>
      </c>
      <c r="N1046">
        <f>IFERROR(INDEX(PP_Grid[#Data],$DD1046,12),0)</f>
        <v/>
      </c>
      <c r="O1046">
        <f>IFERROR(INDEX(PP_Grid[#Data],$DD1046,13),0)</f>
        <v/>
      </c>
      <c r="P1046">
        <f>IFERROR(INDEX(PP_Grid[#Data],$DD1046,14),0)</f>
        <v/>
      </c>
      <c r="Q1046">
        <f>IFERROR(INDEX(PP_Grid[#Data],$DD1046,15),0)</f>
        <v/>
      </c>
      <c r="R1046">
        <f>IFERROR(INDEX(PP_Grid[#Data],$DD1046,16),0)</f>
        <v/>
      </c>
      <c r="S1046">
        <f>IFERROR(INDEX(PP_Grid[#Data],$DD1046,17),0)</f>
        <v/>
      </c>
      <c r="T1046">
        <f>IFERROR(INDEX(PP_Grid[#Data],$DD1046,18),0)</f>
        <v/>
      </c>
      <c r="U1046">
        <f>IFERROR(INDEX(PP_Grid[#Data],$DD1046,19),0)</f>
        <v/>
      </c>
      <c r="V1046">
        <f>IFERROR(INDEX(PP_Grid[#Data],$DD1046,20),0)</f>
        <v/>
      </c>
      <c r="W1046">
        <f>IFERROR(INDEX(PP_Grid[#Data],$DD1046,21),0)</f>
        <v/>
      </c>
      <c r="X1046">
        <f>IFERROR(INDEX(PP_Grid[#Data],$DD1046,22),0)</f>
        <v/>
      </c>
      <c r="Y1046">
        <f>IFERROR(INDEX(PP_Grid[#Data],$DD1046,23),0)</f>
        <v/>
      </c>
      <c r="Z1046">
        <f>IFERROR(INDEX(PP_Grid[#Data],$DD1046,24),0)</f>
        <v/>
      </c>
      <c r="AA1046">
        <f>IFERROR(INDEX(PP_Grid[#Data],$DD1046,25),0)</f>
        <v/>
      </c>
      <c r="AB1046">
        <f>IFERROR(INDEX(PP_Grid[#Data],$DD1046,26),0)</f>
        <v/>
      </c>
      <c r="AC1046">
        <f>IFERROR(INDEX(PP_Grid[#Data],$DD1046,27),0)</f>
        <v/>
      </c>
      <c r="AD1046">
        <f>IFERROR(INDEX(PP_Grid[#Data],$DD1046,28),0)</f>
        <v/>
      </c>
      <c r="AE1046">
        <f>IFERROR(INDEX(PP_Grid[#Data],$DD1046,29),0)</f>
        <v/>
      </c>
      <c r="AF1046">
        <f>IFERROR(INDEX(PP_Grid[#Data],$DD1046,30),0)</f>
        <v/>
      </c>
      <c r="AG1046">
        <f>IFERROR(INDEX(PP_Grid[#Data],$DD1046,31),0)</f>
        <v/>
      </c>
      <c r="AH1046">
        <f>IFERROR(INDEX(PP_Grid[#Data],$DD1046,32),0)</f>
        <v/>
      </c>
      <c r="AI1046">
        <f>IFERROR(INDEX(PP_Grid[#Data],$DD1046,33),0)</f>
        <v/>
      </c>
      <c r="AJ1046">
        <f>IFERROR(INDEX(PP_Grid[#Data],$DD1046,34),0)</f>
        <v/>
      </c>
      <c r="AK1046">
        <f>IFERROR(INDEX(PP_Grid[#Data],$DD1046,35),0)</f>
        <v/>
      </c>
      <c r="AL1046">
        <f>IFERROR(INDEX(PP_Grid[#Data],$DD1046,36),0)</f>
        <v/>
      </c>
      <c r="AM1046">
        <f>IFERROR(INDEX(PP_Grid[#Data],$DD1046,37),0)</f>
        <v/>
      </c>
      <c r="AN1046">
        <f>IFERROR(INDEX(PP_Grid[#Data],$DD1046,38),0)</f>
        <v/>
      </c>
      <c r="AO1046">
        <f>IFERROR(INDEX(PP_Grid[#Data],$DD1046,39),0)</f>
        <v/>
      </c>
      <c r="AP1046">
        <f>IFERROR(INDEX(PP_Grid[#Data],$DD1046,40),0)</f>
        <v/>
      </c>
      <c r="AQ1046">
        <f>IFERROR(INDEX(PP_Grid[#Data],$DD1046,41),0)</f>
        <v/>
      </c>
      <c r="AR1046">
        <f>IFERROR(INDEX(PP_Grid[#Data],$DD1046,42),0)</f>
        <v/>
      </c>
      <c r="AS1046">
        <f>IFERROR(INDEX(PP_Grid[#Data],$DD1046,43),0)</f>
        <v/>
      </c>
      <c r="AT1046">
        <f>IFERROR(INDEX(PP_Grid[#Data],$DD1046,44),0)</f>
        <v/>
      </c>
      <c r="AU1046">
        <f>IFERROR(INDEX(PP_Grid[#Data],$DD1046,45),0)</f>
        <v/>
      </c>
      <c r="AV1046">
        <f>IFERROR(INDEX(PP_Grid[#Data],$DD1046,46),0)</f>
        <v/>
      </c>
      <c r="AW1046">
        <f>IFERROR(INDEX(PP_Grid[#Data],$DD1046,47),0)</f>
        <v/>
      </c>
      <c r="AX1046">
        <f>IFERROR(INDEX(PP_Grid[#Data],$DD1046,48),0)</f>
        <v/>
      </c>
      <c r="AY1046">
        <f>IFERROR(INDEX(PP_Grid[#Data],$DD1046,49),0)</f>
        <v/>
      </c>
      <c r="AZ1046">
        <f>IFERROR(INDEX(PP_Grid[#Data],$DD1046,50),0)</f>
        <v/>
      </c>
      <c r="BA1046">
        <f>IFERROR(INDEX(PP_Grid[#Data],$DD1046,51),0)</f>
        <v/>
      </c>
      <c r="BB1046">
        <f>IFERROR(INDEX(PP_Grid[#Data],$DD1046,52),0)</f>
        <v/>
      </c>
      <c r="BC1046">
        <f>IFERROR(INDEX(PP_Grid[#Data],$DD1046,53),0)</f>
        <v/>
      </c>
      <c r="BD1046">
        <f>IFERROR(INDEX(PP_Grid[#Data],$DD1046,54),0)</f>
        <v/>
      </c>
      <c r="BE1046">
        <f>IFERROR(INDEX(PP_Grid[#Data],$DD1046,55),0)</f>
        <v/>
      </c>
      <c r="BF1046">
        <f>IFERROR(INDEX(PP_Grid[#Data],$DD1046,56),0)</f>
        <v/>
      </c>
      <c r="BG1046">
        <f>IFERROR(INDEX(PP_Grid[#Data],$DD1046,57),0)</f>
        <v/>
      </c>
      <c r="BH1046">
        <f>IFERROR(INDEX(PP_Grid[#Data],$DD1046,58),0)</f>
        <v/>
      </c>
      <c r="BI1046">
        <f>IFERROR(INDEX(PP_Grid[#Data],$DD1046,59),0)</f>
        <v/>
      </c>
      <c r="BJ1046">
        <f>IFERROR(INDEX(PP_Grid[#Data],$DD1046,60),0)</f>
        <v/>
      </c>
      <c r="BK1046">
        <f>IFERROR(INDEX(PP_Grid[#Data],$DD1046,61),0)</f>
        <v/>
      </c>
      <c r="BL1046">
        <f>IFERROR(INDEX(PP_Grid[#Data],$DD1046,62),0)</f>
        <v/>
      </c>
      <c r="BM1046">
        <f>IFERROR(INDEX(PP_Grid[#Data],$DD1046,63),0)</f>
        <v/>
      </c>
      <c r="BN1046">
        <f>IFERROR(INDEX(PP_Grid[#Data],$DD1046,64),0)</f>
        <v/>
      </c>
      <c r="BO1046">
        <f>IFERROR(INDEX(PP_Grid[#Data],$DD1046,65),0)</f>
        <v/>
      </c>
      <c r="BP1046">
        <f>IFERROR(INDEX(PP_Grid[#Data],$DD1046,66),0)</f>
        <v/>
      </c>
      <c r="BQ1046">
        <f>IFERROR(INDEX(PP_Grid[#Data],$DD1046,67),0)</f>
        <v/>
      </c>
      <c r="BR1046">
        <f>IFERROR(INDEX(PP_Grid[#Data],$DD1046,68),0)</f>
        <v/>
      </c>
      <c r="BS1046">
        <f>IFERROR(INDEX(PP_Grid[#Data],$DD1046,69),0)</f>
        <v/>
      </c>
      <c r="BT1046">
        <f>IFERROR(INDEX(PP_Grid[#Data],$DD1046,70),0)</f>
        <v/>
      </c>
      <c r="BU1046">
        <f>IFERROR(INDEX(PP_Grid[#Data],$DD1046,71),0)</f>
        <v/>
      </c>
      <c r="BV1046">
        <f>IFERROR(INDEX(PP_Grid[#Data],$DD1046,72),0)</f>
        <v/>
      </c>
      <c r="BW1046">
        <f>IFERROR(INDEX(PP_Grid[#Data],$DD1046,73),0)</f>
        <v/>
      </c>
      <c r="BX1046">
        <f>IFERROR(INDEX(PP_Grid[#Data],$DD1046,74),0)</f>
        <v/>
      </c>
      <c r="BY1046">
        <f>IFERROR(INDEX(PP_Grid[#Data],$DD1046,75),0)</f>
        <v/>
      </c>
      <c r="BZ1046">
        <f>IFERROR(INDEX(PP_Grid[#Data],$DD1046,76),0)</f>
        <v/>
      </c>
      <c r="CA1046">
        <f>IFERROR(INDEX(PP_Grid[#Data],$DD1046,77),0)</f>
        <v/>
      </c>
      <c r="CB1046">
        <f>IFERROR(INDEX(PP_Grid[#Data],$DD1046,78),0)</f>
        <v/>
      </c>
      <c r="CC1046">
        <f>IFERROR(INDEX(PP_Grid[#Data],$DD1046,79),0)</f>
        <v/>
      </c>
      <c r="CD1046">
        <f>IFERROR(INDEX(PP_Grid[#Data],$DD1046,80),0)</f>
        <v/>
      </c>
      <c r="CE1046">
        <f>IFERROR(INDEX(PP_Grid[#Data],$DD1046,81),0)</f>
        <v/>
      </c>
      <c r="CF1046">
        <f>IFERROR(INDEX(PP_Grid[#Data],$DD1046,82),0)</f>
        <v/>
      </c>
      <c r="CG1046">
        <f>IFERROR(INDEX(PP_Grid[#Data],$DD1046,83),0)</f>
        <v/>
      </c>
      <c r="CH1046">
        <f>IFERROR(INDEX(PP_Grid[#Data],$DD1046,84),0)</f>
        <v/>
      </c>
      <c r="CI1046">
        <f>IFERROR(INDEX(PP_Grid[#Data],$DD1046,85),0)</f>
        <v/>
      </c>
      <c r="CJ1046">
        <f>IFERROR(INDEX(PP_Grid[#Data],$DD1046,86),0)</f>
        <v/>
      </c>
      <c r="CK1046">
        <f>IFERROR(INDEX(PP_Grid[#Data],$DD1046,87),0)</f>
        <v/>
      </c>
      <c r="CL1046">
        <f>IFERROR(INDEX(PP_Grid[#Data],$DD1046,88),0)</f>
        <v/>
      </c>
      <c r="CM1046">
        <f>IFERROR(INDEX(PP_Grid[#Data],$DD1046,89),0)</f>
        <v/>
      </c>
      <c r="CN1046">
        <f>IFERROR(INDEX(PP_Grid[#Data],$DD1046,90),0)</f>
        <v/>
      </c>
      <c r="CO1046">
        <f>IFERROR(INDEX(PP_Grid[#Data],$DD1046,91),0)</f>
        <v/>
      </c>
      <c r="CP1046">
        <f>IFERROR(INDEX(PP_Grid[#Data],$DD1046,92),0)</f>
        <v/>
      </c>
      <c r="CQ1046">
        <f>IFERROR(INDEX(PP_Grid[#Data],$DD1046,93),0)</f>
        <v/>
      </c>
      <c r="CR1046">
        <f>IFERROR(INDEX(PP_Grid[#Data],$DD1046,94),0)</f>
        <v/>
      </c>
      <c r="CS1046">
        <f>IFERROR(INDEX(PP_Grid[#Data],$DD1046,95),0)</f>
        <v/>
      </c>
      <c r="CT1046">
        <f>IFERROR(INDEX(PP_Grid[#Data],$DD1046,96),0)</f>
        <v/>
      </c>
      <c r="CU1046">
        <f>IFERROR(INDEX(PP_Grid[#Data],$DD1046,97),0)</f>
        <v/>
      </c>
      <c r="CV1046">
        <f>IFERROR(INDEX(PP_Grid[#Data],$DD1046,98),0)</f>
        <v/>
      </c>
      <c r="CW1046">
        <f>IFERROR(INDEX(PP_Grid[#Data],$DD1046,99),0)</f>
        <v/>
      </c>
      <c r="CX1046">
        <f>IFERROR(INDEX(PP_Grid[#Data],$DD1046,100),0)</f>
        <v/>
      </c>
      <c r="CY1046">
        <f>IFERROR(INDEX(PP_Grid[#Data],$DD1046,101),0)</f>
        <v/>
      </c>
      <c r="CZ1046">
        <f>IFERROR(INDEX(PP_Grid[#Data],$DD1046,102),0)</f>
        <v/>
      </c>
      <c r="DA1046">
        <f>IFERROR(INDEX(PP_Grid[#Data],$DD1046,103),0)</f>
        <v/>
      </c>
      <c r="DB1046">
        <f>IFERROR(INDEX(PP_Grid[#Data],$DD1046,104),0)</f>
        <v/>
      </c>
      <c r="DC1046">
        <f>IFERROR(INDEX(PP_Grid[#Data],$DD1046,105),0)</f>
        <v/>
      </c>
      <c r="DD1046" s="12">
        <f>IFERROR(MATCH($B1046,PP_Grid[Intermediate],0),99999)</f>
        <v/>
      </c>
    </row>
    <row r="1047">
      <c r="B1047" t="inlineStr">
        <is>
          <t>使用量(kg)</t>
        </is>
      </c>
      <c r="C1047">
        <f>SUMIFS(M_BOM[RM_Qty_Per_Batch],M_BOM[Intermediate],$B1046,M_BOM[Part Name],$A1045)</f>
        <v/>
      </c>
      <c r="D1047">
        <f>$C1047*D1046</f>
        <v/>
      </c>
      <c r="E1047">
        <f>$C1047*E1046</f>
        <v/>
      </c>
      <c r="F1047">
        <f>$C1047*F1046</f>
        <v/>
      </c>
      <c r="G1047">
        <f>$C1047*G1046</f>
        <v/>
      </c>
      <c r="H1047">
        <f>$C1047*H1046</f>
        <v/>
      </c>
      <c r="I1047">
        <f>$C1047*I1046</f>
        <v/>
      </c>
      <c r="J1047">
        <f>$C1047*J1046</f>
        <v/>
      </c>
      <c r="K1047">
        <f>$C1047*K1046</f>
        <v/>
      </c>
      <c r="L1047">
        <f>$C1047*L1046</f>
        <v/>
      </c>
      <c r="M1047">
        <f>$C1047*M1046</f>
        <v/>
      </c>
      <c r="N1047">
        <f>$C1047*N1046</f>
        <v/>
      </c>
      <c r="O1047">
        <f>$C1047*O1046</f>
        <v/>
      </c>
      <c r="P1047">
        <f>$C1047*P1046</f>
        <v/>
      </c>
      <c r="Q1047">
        <f>$C1047*Q1046</f>
        <v/>
      </c>
      <c r="R1047">
        <f>$C1047*R1046</f>
        <v/>
      </c>
      <c r="S1047">
        <f>$C1047*S1046</f>
        <v/>
      </c>
      <c r="T1047">
        <f>$C1047*T1046</f>
        <v/>
      </c>
      <c r="U1047">
        <f>$C1047*U1046</f>
        <v/>
      </c>
      <c r="V1047">
        <f>$C1047*V1046</f>
        <v/>
      </c>
      <c r="W1047">
        <f>$C1047*W1046</f>
        <v/>
      </c>
      <c r="X1047">
        <f>$C1047*X1046</f>
        <v/>
      </c>
      <c r="Y1047">
        <f>$C1047*Y1046</f>
        <v/>
      </c>
      <c r="Z1047">
        <f>$C1047*Z1046</f>
        <v/>
      </c>
      <c r="AA1047">
        <f>$C1047*AA1046</f>
        <v/>
      </c>
      <c r="AB1047">
        <f>$C1047*AB1046</f>
        <v/>
      </c>
      <c r="AC1047">
        <f>$C1047*AC1046</f>
        <v/>
      </c>
      <c r="AD1047">
        <f>$C1047*AD1046</f>
        <v/>
      </c>
      <c r="AE1047">
        <f>$C1047*AE1046</f>
        <v/>
      </c>
      <c r="AF1047">
        <f>$C1047*AF1046</f>
        <v/>
      </c>
      <c r="AG1047">
        <f>$C1047*AG1046</f>
        <v/>
      </c>
      <c r="AH1047">
        <f>$C1047*AH1046</f>
        <v/>
      </c>
      <c r="AI1047">
        <f>$C1047*AI1046</f>
        <v/>
      </c>
      <c r="AJ1047">
        <f>$C1047*AJ1046</f>
        <v/>
      </c>
      <c r="AK1047">
        <f>$C1047*AK1046</f>
        <v/>
      </c>
      <c r="AL1047">
        <f>$C1047*AL1046</f>
        <v/>
      </c>
      <c r="AM1047">
        <f>$C1047*AM1046</f>
        <v/>
      </c>
      <c r="AN1047">
        <f>$C1047*AN1046</f>
        <v/>
      </c>
      <c r="AO1047">
        <f>$C1047*AO1046</f>
        <v/>
      </c>
      <c r="AP1047">
        <f>$C1047*AP1046</f>
        <v/>
      </c>
      <c r="AQ1047">
        <f>$C1047*AQ1046</f>
        <v/>
      </c>
      <c r="AR1047">
        <f>$C1047*AR1046</f>
        <v/>
      </c>
      <c r="AS1047">
        <f>$C1047*AS1046</f>
        <v/>
      </c>
      <c r="AT1047">
        <f>$C1047*AT1046</f>
        <v/>
      </c>
      <c r="AU1047">
        <f>$C1047*AU1046</f>
        <v/>
      </c>
      <c r="AV1047">
        <f>$C1047*AV1046</f>
        <v/>
      </c>
      <c r="AW1047">
        <f>$C1047*AW1046</f>
        <v/>
      </c>
      <c r="AX1047">
        <f>$C1047*AX1046</f>
        <v/>
      </c>
      <c r="AY1047">
        <f>$C1047*AY1046</f>
        <v/>
      </c>
      <c r="AZ1047">
        <f>$C1047*AZ1046</f>
        <v/>
      </c>
      <c r="BA1047">
        <f>$C1047*BA1046</f>
        <v/>
      </c>
      <c r="BB1047">
        <f>$C1047*BB1046</f>
        <v/>
      </c>
      <c r="BC1047">
        <f>$C1047*BC1046</f>
        <v/>
      </c>
      <c r="BD1047">
        <f>$C1047*BD1046</f>
        <v/>
      </c>
      <c r="BE1047">
        <f>$C1047*BE1046</f>
        <v/>
      </c>
      <c r="BF1047">
        <f>$C1047*BF1046</f>
        <v/>
      </c>
      <c r="BG1047">
        <f>$C1047*BG1046</f>
        <v/>
      </c>
      <c r="BH1047">
        <f>$C1047*BH1046</f>
        <v/>
      </c>
      <c r="BI1047">
        <f>$C1047*BI1046</f>
        <v/>
      </c>
      <c r="BJ1047">
        <f>$C1047*BJ1046</f>
        <v/>
      </c>
      <c r="BK1047">
        <f>$C1047*BK1046</f>
        <v/>
      </c>
      <c r="BL1047">
        <f>$C1047*BL1046</f>
        <v/>
      </c>
      <c r="BM1047">
        <f>$C1047*BM1046</f>
        <v/>
      </c>
      <c r="BN1047">
        <f>$C1047*BN1046</f>
        <v/>
      </c>
      <c r="BO1047">
        <f>$C1047*BO1046</f>
        <v/>
      </c>
      <c r="BP1047">
        <f>$C1047*BP1046</f>
        <v/>
      </c>
      <c r="BQ1047">
        <f>$C1047*BQ1046</f>
        <v/>
      </c>
      <c r="BR1047">
        <f>$C1047*BR1046</f>
        <v/>
      </c>
      <c r="BS1047">
        <f>$C1047*BS1046</f>
        <v/>
      </c>
      <c r="BT1047">
        <f>$C1047*BT1046</f>
        <v/>
      </c>
      <c r="BU1047">
        <f>$C1047*BU1046</f>
        <v/>
      </c>
      <c r="BV1047">
        <f>$C1047*BV1046</f>
        <v/>
      </c>
      <c r="BW1047">
        <f>$C1047*BW1046</f>
        <v/>
      </c>
      <c r="BX1047">
        <f>$C1047*BX1046</f>
        <v/>
      </c>
      <c r="BY1047">
        <f>$C1047*BY1046</f>
        <v/>
      </c>
      <c r="BZ1047">
        <f>$C1047*BZ1046</f>
        <v/>
      </c>
      <c r="CA1047">
        <f>$C1047*CA1046</f>
        <v/>
      </c>
      <c r="CB1047">
        <f>$C1047*CB1046</f>
        <v/>
      </c>
      <c r="CC1047">
        <f>$C1047*CC1046</f>
        <v/>
      </c>
      <c r="CD1047">
        <f>$C1047*CD1046</f>
        <v/>
      </c>
      <c r="CE1047">
        <f>$C1047*CE1046</f>
        <v/>
      </c>
      <c r="CF1047">
        <f>$C1047*CF1046</f>
        <v/>
      </c>
      <c r="CG1047">
        <f>$C1047*CG1046</f>
        <v/>
      </c>
      <c r="CH1047">
        <f>$C1047*CH1046</f>
        <v/>
      </c>
      <c r="CI1047">
        <f>$C1047*CI1046</f>
        <v/>
      </c>
      <c r="CJ1047">
        <f>$C1047*CJ1046</f>
        <v/>
      </c>
      <c r="CK1047">
        <f>$C1047*CK1046</f>
        <v/>
      </c>
      <c r="CL1047">
        <f>$C1047*CL1046</f>
        <v/>
      </c>
      <c r="CM1047">
        <f>$C1047*CM1046</f>
        <v/>
      </c>
      <c r="CN1047">
        <f>$C1047*CN1046</f>
        <v/>
      </c>
      <c r="CO1047">
        <f>$C1047*CO1046</f>
        <v/>
      </c>
      <c r="CP1047">
        <f>$C1047*CP1046</f>
        <v/>
      </c>
      <c r="CQ1047">
        <f>$C1047*CQ1046</f>
        <v/>
      </c>
      <c r="CR1047">
        <f>$C1047*CR1046</f>
        <v/>
      </c>
      <c r="CS1047">
        <f>$C1047*CS1046</f>
        <v/>
      </c>
      <c r="CT1047">
        <f>$C1047*CT1046</f>
        <v/>
      </c>
      <c r="CU1047">
        <f>$C1047*CU1046</f>
        <v/>
      </c>
      <c r="CV1047">
        <f>$C1047*CV1046</f>
        <v/>
      </c>
      <c r="CW1047">
        <f>$C1047*CW1046</f>
        <v/>
      </c>
      <c r="CX1047">
        <f>$C1047*CX1046</f>
        <v/>
      </c>
      <c r="CY1047">
        <f>$C1047*CY1046</f>
        <v/>
      </c>
      <c r="CZ1047">
        <f>$C1047*CZ1046</f>
        <v/>
      </c>
      <c r="DA1047">
        <f>$C1047*DA1046</f>
        <v/>
      </c>
      <c r="DB1047">
        <f>$C1047*DB1046</f>
        <v/>
      </c>
      <c r="DC1047">
        <f>$C1047*DC1046</f>
        <v/>
      </c>
    </row>
    <row r="1048">
      <c r="B1048" t="inlineStr">
        <is>
          <t>TSP-078</t>
        </is>
      </c>
      <c r="C1048" t="inlineStr">
        <is>
          <t>No. of batches</t>
        </is>
      </c>
      <c r="D1048">
        <f>IFERROR(INDEX(PP_Grid[#Data],$DD1048,2),0)</f>
        <v/>
      </c>
      <c r="E1048">
        <f>IFERROR(INDEX(PP_Grid[#Data],$DD1048,3),0)</f>
        <v/>
      </c>
      <c r="F1048">
        <f>IFERROR(INDEX(PP_Grid[#Data],$DD1048,4),0)</f>
        <v/>
      </c>
      <c r="G1048">
        <f>IFERROR(INDEX(PP_Grid[#Data],$DD1048,5),0)</f>
        <v/>
      </c>
      <c r="H1048">
        <f>IFERROR(INDEX(PP_Grid[#Data],$DD1048,6),0)</f>
        <v/>
      </c>
      <c r="I1048">
        <f>IFERROR(INDEX(PP_Grid[#Data],$DD1048,7),0)</f>
        <v/>
      </c>
      <c r="J1048">
        <f>IFERROR(INDEX(PP_Grid[#Data],$DD1048,8),0)</f>
        <v/>
      </c>
      <c r="K1048">
        <f>IFERROR(INDEX(PP_Grid[#Data],$DD1048,9),0)</f>
        <v/>
      </c>
      <c r="L1048">
        <f>IFERROR(INDEX(PP_Grid[#Data],$DD1048,10),0)</f>
        <v/>
      </c>
      <c r="M1048">
        <f>IFERROR(INDEX(PP_Grid[#Data],$DD1048,11),0)</f>
        <v/>
      </c>
      <c r="N1048">
        <f>IFERROR(INDEX(PP_Grid[#Data],$DD1048,12),0)</f>
        <v/>
      </c>
      <c r="O1048">
        <f>IFERROR(INDEX(PP_Grid[#Data],$DD1048,13),0)</f>
        <v/>
      </c>
      <c r="P1048">
        <f>IFERROR(INDEX(PP_Grid[#Data],$DD1048,14),0)</f>
        <v/>
      </c>
      <c r="Q1048">
        <f>IFERROR(INDEX(PP_Grid[#Data],$DD1048,15),0)</f>
        <v/>
      </c>
      <c r="R1048">
        <f>IFERROR(INDEX(PP_Grid[#Data],$DD1048,16),0)</f>
        <v/>
      </c>
      <c r="S1048">
        <f>IFERROR(INDEX(PP_Grid[#Data],$DD1048,17),0)</f>
        <v/>
      </c>
      <c r="T1048">
        <f>IFERROR(INDEX(PP_Grid[#Data],$DD1048,18),0)</f>
        <v/>
      </c>
      <c r="U1048">
        <f>IFERROR(INDEX(PP_Grid[#Data],$DD1048,19),0)</f>
        <v/>
      </c>
      <c r="V1048">
        <f>IFERROR(INDEX(PP_Grid[#Data],$DD1048,20),0)</f>
        <v/>
      </c>
      <c r="W1048">
        <f>IFERROR(INDEX(PP_Grid[#Data],$DD1048,21),0)</f>
        <v/>
      </c>
      <c r="X1048">
        <f>IFERROR(INDEX(PP_Grid[#Data],$DD1048,22),0)</f>
        <v/>
      </c>
      <c r="Y1048">
        <f>IFERROR(INDEX(PP_Grid[#Data],$DD1048,23),0)</f>
        <v/>
      </c>
      <c r="Z1048">
        <f>IFERROR(INDEX(PP_Grid[#Data],$DD1048,24),0)</f>
        <v/>
      </c>
      <c r="AA1048">
        <f>IFERROR(INDEX(PP_Grid[#Data],$DD1048,25),0)</f>
        <v/>
      </c>
      <c r="AB1048">
        <f>IFERROR(INDEX(PP_Grid[#Data],$DD1048,26),0)</f>
        <v/>
      </c>
      <c r="AC1048">
        <f>IFERROR(INDEX(PP_Grid[#Data],$DD1048,27),0)</f>
        <v/>
      </c>
      <c r="AD1048">
        <f>IFERROR(INDEX(PP_Grid[#Data],$DD1048,28),0)</f>
        <v/>
      </c>
      <c r="AE1048">
        <f>IFERROR(INDEX(PP_Grid[#Data],$DD1048,29),0)</f>
        <v/>
      </c>
      <c r="AF1048">
        <f>IFERROR(INDEX(PP_Grid[#Data],$DD1048,30),0)</f>
        <v/>
      </c>
      <c r="AG1048">
        <f>IFERROR(INDEX(PP_Grid[#Data],$DD1048,31),0)</f>
        <v/>
      </c>
      <c r="AH1048">
        <f>IFERROR(INDEX(PP_Grid[#Data],$DD1048,32),0)</f>
        <v/>
      </c>
      <c r="AI1048">
        <f>IFERROR(INDEX(PP_Grid[#Data],$DD1048,33),0)</f>
        <v/>
      </c>
      <c r="AJ1048">
        <f>IFERROR(INDEX(PP_Grid[#Data],$DD1048,34),0)</f>
        <v/>
      </c>
      <c r="AK1048">
        <f>IFERROR(INDEX(PP_Grid[#Data],$DD1048,35),0)</f>
        <v/>
      </c>
      <c r="AL1048">
        <f>IFERROR(INDEX(PP_Grid[#Data],$DD1048,36),0)</f>
        <v/>
      </c>
      <c r="AM1048">
        <f>IFERROR(INDEX(PP_Grid[#Data],$DD1048,37),0)</f>
        <v/>
      </c>
      <c r="AN1048">
        <f>IFERROR(INDEX(PP_Grid[#Data],$DD1048,38),0)</f>
        <v/>
      </c>
      <c r="AO1048">
        <f>IFERROR(INDEX(PP_Grid[#Data],$DD1048,39),0)</f>
        <v/>
      </c>
      <c r="AP1048">
        <f>IFERROR(INDEX(PP_Grid[#Data],$DD1048,40),0)</f>
        <v/>
      </c>
      <c r="AQ1048">
        <f>IFERROR(INDEX(PP_Grid[#Data],$DD1048,41),0)</f>
        <v/>
      </c>
      <c r="AR1048">
        <f>IFERROR(INDEX(PP_Grid[#Data],$DD1048,42),0)</f>
        <v/>
      </c>
      <c r="AS1048">
        <f>IFERROR(INDEX(PP_Grid[#Data],$DD1048,43),0)</f>
        <v/>
      </c>
      <c r="AT1048">
        <f>IFERROR(INDEX(PP_Grid[#Data],$DD1048,44),0)</f>
        <v/>
      </c>
      <c r="AU1048">
        <f>IFERROR(INDEX(PP_Grid[#Data],$DD1048,45),0)</f>
        <v/>
      </c>
      <c r="AV1048">
        <f>IFERROR(INDEX(PP_Grid[#Data],$DD1048,46),0)</f>
        <v/>
      </c>
      <c r="AW1048">
        <f>IFERROR(INDEX(PP_Grid[#Data],$DD1048,47),0)</f>
        <v/>
      </c>
      <c r="AX1048">
        <f>IFERROR(INDEX(PP_Grid[#Data],$DD1048,48),0)</f>
        <v/>
      </c>
      <c r="AY1048">
        <f>IFERROR(INDEX(PP_Grid[#Data],$DD1048,49),0)</f>
        <v/>
      </c>
      <c r="AZ1048">
        <f>IFERROR(INDEX(PP_Grid[#Data],$DD1048,50),0)</f>
        <v/>
      </c>
      <c r="BA1048">
        <f>IFERROR(INDEX(PP_Grid[#Data],$DD1048,51),0)</f>
        <v/>
      </c>
      <c r="BB1048">
        <f>IFERROR(INDEX(PP_Grid[#Data],$DD1048,52),0)</f>
        <v/>
      </c>
      <c r="BC1048">
        <f>IFERROR(INDEX(PP_Grid[#Data],$DD1048,53),0)</f>
        <v/>
      </c>
      <c r="BD1048">
        <f>IFERROR(INDEX(PP_Grid[#Data],$DD1048,54),0)</f>
        <v/>
      </c>
      <c r="BE1048">
        <f>IFERROR(INDEX(PP_Grid[#Data],$DD1048,55),0)</f>
        <v/>
      </c>
      <c r="BF1048">
        <f>IFERROR(INDEX(PP_Grid[#Data],$DD1048,56),0)</f>
        <v/>
      </c>
      <c r="BG1048">
        <f>IFERROR(INDEX(PP_Grid[#Data],$DD1048,57),0)</f>
        <v/>
      </c>
      <c r="BH1048">
        <f>IFERROR(INDEX(PP_Grid[#Data],$DD1048,58),0)</f>
        <v/>
      </c>
      <c r="BI1048">
        <f>IFERROR(INDEX(PP_Grid[#Data],$DD1048,59),0)</f>
        <v/>
      </c>
      <c r="BJ1048">
        <f>IFERROR(INDEX(PP_Grid[#Data],$DD1048,60),0)</f>
        <v/>
      </c>
      <c r="BK1048">
        <f>IFERROR(INDEX(PP_Grid[#Data],$DD1048,61),0)</f>
        <v/>
      </c>
      <c r="BL1048">
        <f>IFERROR(INDEX(PP_Grid[#Data],$DD1048,62),0)</f>
        <v/>
      </c>
      <c r="BM1048">
        <f>IFERROR(INDEX(PP_Grid[#Data],$DD1048,63),0)</f>
        <v/>
      </c>
      <c r="BN1048">
        <f>IFERROR(INDEX(PP_Grid[#Data],$DD1048,64),0)</f>
        <v/>
      </c>
      <c r="BO1048">
        <f>IFERROR(INDEX(PP_Grid[#Data],$DD1048,65),0)</f>
        <v/>
      </c>
      <c r="BP1048">
        <f>IFERROR(INDEX(PP_Grid[#Data],$DD1048,66),0)</f>
        <v/>
      </c>
      <c r="BQ1048">
        <f>IFERROR(INDEX(PP_Grid[#Data],$DD1048,67),0)</f>
        <v/>
      </c>
      <c r="BR1048">
        <f>IFERROR(INDEX(PP_Grid[#Data],$DD1048,68),0)</f>
        <v/>
      </c>
      <c r="BS1048">
        <f>IFERROR(INDEX(PP_Grid[#Data],$DD1048,69),0)</f>
        <v/>
      </c>
      <c r="BT1048">
        <f>IFERROR(INDEX(PP_Grid[#Data],$DD1048,70),0)</f>
        <v/>
      </c>
      <c r="BU1048">
        <f>IFERROR(INDEX(PP_Grid[#Data],$DD1048,71),0)</f>
        <v/>
      </c>
      <c r="BV1048">
        <f>IFERROR(INDEX(PP_Grid[#Data],$DD1048,72),0)</f>
        <v/>
      </c>
      <c r="BW1048">
        <f>IFERROR(INDEX(PP_Grid[#Data],$DD1048,73),0)</f>
        <v/>
      </c>
      <c r="BX1048">
        <f>IFERROR(INDEX(PP_Grid[#Data],$DD1048,74),0)</f>
        <v/>
      </c>
      <c r="BY1048">
        <f>IFERROR(INDEX(PP_Grid[#Data],$DD1048,75),0)</f>
        <v/>
      </c>
      <c r="BZ1048">
        <f>IFERROR(INDEX(PP_Grid[#Data],$DD1048,76),0)</f>
        <v/>
      </c>
      <c r="CA1048">
        <f>IFERROR(INDEX(PP_Grid[#Data],$DD1048,77),0)</f>
        <v/>
      </c>
      <c r="CB1048">
        <f>IFERROR(INDEX(PP_Grid[#Data],$DD1048,78),0)</f>
        <v/>
      </c>
      <c r="CC1048">
        <f>IFERROR(INDEX(PP_Grid[#Data],$DD1048,79),0)</f>
        <v/>
      </c>
      <c r="CD1048">
        <f>IFERROR(INDEX(PP_Grid[#Data],$DD1048,80),0)</f>
        <v/>
      </c>
      <c r="CE1048">
        <f>IFERROR(INDEX(PP_Grid[#Data],$DD1048,81),0)</f>
        <v/>
      </c>
      <c r="CF1048">
        <f>IFERROR(INDEX(PP_Grid[#Data],$DD1048,82),0)</f>
        <v/>
      </c>
      <c r="CG1048">
        <f>IFERROR(INDEX(PP_Grid[#Data],$DD1048,83),0)</f>
        <v/>
      </c>
      <c r="CH1048">
        <f>IFERROR(INDEX(PP_Grid[#Data],$DD1048,84),0)</f>
        <v/>
      </c>
      <c r="CI1048">
        <f>IFERROR(INDEX(PP_Grid[#Data],$DD1048,85),0)</f>
        <v/>
      </c>
      <c r="CJ1048">
        <f>IFERROR(INDEX(PP_Grid[#Data],$DD1048,86),0)</f>
        <v/>
      </c>
      <c r="CK1048">
        <f>IFERROR(INDEX(PP_Grid[#Data],$DD1048,87),0)</f>
        <v/>
      </c>
      <c r="CL1048">
        <f>IFERROR(INDEX(PP_Grid[#Data],$DD1048,88),0)</f>
        <v/>
      </c>
      <c r="CM1048">
        <f>IFERROR(INDEX(PP_Grid[#Data],$DD1048,89),0)</f>
        <v/>
      </c>
      <c r="CN1048">
        <f>IFERROR(INDEX(PP_Grid[#Data],$DD1048,90),0)</f>
        <v/>
      </c>
      <c r="CO1048">
        <f>IFERROR(INDEX(PP_Grid[#Data],$DD1048,91),0)</f>
        <v/>
      </c>
      <c r="CP1048">
        <f>IFERROR(INDEX(PP_Grid[#Data],$DD1048,92),0)</f>
        <v/>
      </c>
      <c r="CQ1048">
        <f>IFERROR(INDEX(PP_Grid[#Data],$DD1048,93),0)</f>
        <v/>
      </c>
      <c r="CR1048">
        <f>IFERROR(INDEX(PP_Grid[#Data],$DD1048,94),0)</f>
        <v/>
      </c>
      <c r="CS1048">
        <f>IFERROR(INDEX(PP_Grid[#Data],$DD1048,95),0)</f>
        <v/>
      </c>
      <c r="CT1048">
        <f>IFERROR(INDEX(PP_Grid[#Data],$DD1048,96),0)</f>
        <v/>
      </c>
      <c r="CU1048">
        <f>IFERROR(INDEX(PP_Grid[#Data],$DD1048,97),0)</f>
        <v/>
      </c>
      <c r="CV1048">
        <f>IFERROR(INDEX(PP_Grid[#Data],$DD1048,98),0)</f>
        <v/>
      </c>
      <c r="CW1048">
        <f>IFERROR(INDEX(PP_Grid[#Data],$DD1048,99),0)</f>
        <v/>
      </c>
      <c r="CX1048">
        <f>IFERROR(INDEX(PP_Grid[#Data],$DD1048,100),0)</f>
        <v/>
      </c>
      <c r="CY1048">
        <f>IFERROR(INDEX(PP_Grid[#Data],$DD1048,101),0)</f>
        <v/>
      </c>
      <c r="CZ1048">
        <f>IFERROR(INDEX(PP_Grid[#Data],$DD1048,102),0)</f>
        <v/>
      </c>
      <c r="DA1048">
        <f>IFERROR(INDEX(PP_Grid[#Data],$DD1048,103),0)</f>
        <v/>
      </c>
      <c r="DB1048">
        <f>IFERROR(INDEX(PP_Grid[#Data],$DD1048,104),0)</f>
        <v/>
      </c>
      <c r="DC1048">
        <f>IFERROR(INDEX(PP_Grid[#Data],$DD1048,105),0)</f>
        <v/>
      </c>
      <c r="DD1048" s="12">
        <f>IFERROR(MATCH($B1048,PP_Grid[Intermediate],0),99999)</f>
        <v/>
      </c>
    </row>
    <row r="1049">
      <c r="B1049" t="inlineStr">
        <is>
          <t>使用量(kg)</t>
        </is>
      </c>
      <c r="C1049">
        <f>SUMIFS(M_BOM[RM_Qty_Per_Batch],M_BOM[Intermediate],$B1048,M_BOM[Part Name],$A1045)</f>
        <v/>
      </c>
      <c r="D1049">
        <f>$C1049*D1048</f>
        <v/>
      </c>
      <c r="E1049">
        <f>$C1049*E1048</f>
        <v/>
      </c>
      <c r="F1049">
        <f>$C1049*F1048</f>
        <v/>
      </c>
      <c r="G1049">
        <f>$C1049*G1048</f>
        <v/>
      </c>
      <c r="H1049">
        <f>$C1049*H1048</f>
        <v/>
      </c>
      <c r="I1049">
        <f>$C1049*I1048</f>
        <v/>
      </c>
      <c r="J1049">
        <f>$C1049*J1048</f>
        <v/>
      </c>
      <c r="K1049">
        <f>$C1049*K1048</f>
        <v/>
      </c>
      <c r="L1049">
        <f>$C1049*L1048</f>
        <v/>
      </c>
      <c r="M1049">
        <f>$C1049*M1048</f>
        <v/>
      </c>
      <c r="N1049">
        <f>$C1049*N1048</f>
        <v/>
      </c>
      <c r="O1049">
        <f>$C1049*O1048</f>
        <v/>
      </c>
      <c r="P1049">
        <f>$C1049*P1048</f>
        <v/>
      </c>
      <c r="Q1049">
        <f>$C1049*Q1048</f>
        <v/>
      </c>
      <c r="R1049">
        <f>$C1049*R1048</f>
        <v/>
      </c>
      <c r="S1049">
        <f>$C1049*S1048</f>
        <v/>
      </c>
      <c r="T1049">
        <f>$C1049*T1048</f>
        <v/>
      </c>
      <c r="U1049">
        <f>$C1049*U1048</f>
        <v/>
      </c>
      <c r="V1049">
        <f>$C1049*V1048</f>
        <v/>
      </c>
      <c r="W1049">
        <f>$C1049*W1048</f>
        <v/>
      </c>
      <c r="X1049">
        <f>$C1049*X1048</f>
        <v/>
      </c>
      <c r="Y1049">
        <f>$C1049*Y1048</f>
        <v/>
      </c>
      <c r="Z1049">
        <f>$C1049*Z1048</f>
        <v/>
      </c>
      <c r="AA1049">
        <f>$C1049*AA1048</f>
        <v/>
      </c>
      <c r="AB1049">
        <f>$C1049*AB1048</f>
        <v/>
      </c>
      <c r="AC1049">
        <f>$C1049*AC1048</f>
        <v/>
      </c>
      <c r="AD1049">
        <f>$C1049*AD1048</f>
        <v/>
      </c>
      <c r="AE1049">
        <f>$C1049*AE1048</f>
        <v/>
      </c>
      <c r="AF1049">
        <f>$C1049*AF1048</f>
        <v/>
      </c>
      <c r="AG1049">
        <f>$C1049*AG1048</f>
        <v/>
      </c>
      <c r="AH1049">
        <f>$C1049*AH1048</f>
        <v/>
      </c>
      <c r="AI1049">
        <f>$C1049*AI1048</f>
        <v/>
      </c>
      <c r="AJ1049">
        <f>$C1049*AJ1048</f>
        <v/>
      </c>
      <c r="AK1049">
        <f>$C1049*AK1048</f>
        <v/>
      </c>
      <c r="AL1049">
        <f>$C1049*AL1048</f>
        <v/>
      </c>
      <c r="AM1049">
        <f>$C1049*AM1048</f>
        <v/>
      </c>
      <c r="AN1049">
        <f>$C1049*AN1048</f>
        <v/>
      </c>
      <c r="AO1049">
        <f>$C1049*AO1048</f>
        <v/>
      </c>
      <c r="AP1049">
        <f>$C1049*AP1048</f>
        <v/>
      </c>
      <c r="AQ1049">
        <f>$C1049*AQ1048</f>
        <v/>
      </c>
      <c r="AR1049">
        <f>$C1049*AR1048</f>
        <v/>
      </c>
      <c r="AS1049">
        <f>$C1049*AS1048</f>
        <v/>
      </c>
      <c r="AT1049">
        <f>$C1049*AT1048</f>
        <v/>
      </c>
      <c r="AU1049">
        <f>$C1049*AU1048</f>
        <v/>
      </c>
      <c r="AV1049">
        <f>$C1049*AV1048</f>
        <v/>
      </c>
      <c r="AW1049">
        <f>$C1049*AW1048</f>
        <v/>
      </c>
      <c r="AX1049">
        <f>$C1049*AX1048</f>
        <v/>
      </c>
      <c r="AY1049">
        <f>$C1049*AY1048</f>
        <v/>
      </c>
      <c r="AZ1049">
        <f>$C1049*AZ1048</f>
        <v/>
      </c>
      <c r="BA1049">
        <f>$C1049*BA1048</f>
        <v/>
      </c>
      <c r="BB1049">
        <f>$C1049*BB1048</f>
        <v/>
      </c>
      <c r="BC1049">
        <f>$C1049*BC1048</f>
        <v/>
      </c>
      <c r="BD1049">
        <f>$C1049*BD1048</f>
        <v/>
      </c>
      <c r="BE1049">
        <f>$C1049*BE1048</f>
        <v/>
      </c>
      <c r="BF1049">
        <f>$C1049*BF1048</f>
        <v/>
      </c>
      <c r="BG1049">
        <f>$C1049*BG1048</f>
        <v/>
      </c>
      <c r="BH1049">
        <f>$C1049*BH1048</f>
        <v/>
      </c>
      <c r="BI1049">
        <f>$C1049*BI1048</f>
        <v/>
      </c>
      <c r="BJ1049">
        <f>$C1049*BJ1048</f>
        <v/>
      </c>
      <c r="BK1049">
        <f>$C1049*BK1048</f>
        <v/>
      </c>
      <c r="BL1049">
        <f>$C1049*BL1048</f>
        <v/>
      </c>
      <c r="BM1049">
        <f>$C1049*BM1048</f>
        <v/>
      </c>
      <c r="BN1049">
        <f>$C1049*BN1048</f>
        <v/>
      </c>
      <c r="BO1049">
        <f>$C1049*BO1048</f>
        <v/>
      </c>
      <c r="BP1049">
        <f>$C1049*BP1048</f>
        <v/>
      </c>
      <c r="BQ1049">
        <f>$C1049*BQ1048</f>
        <v/>
      </c>
      <c r="BR1049">
        <f>$C1049*BR1048</f>
        <v/>
      </c>
      <c r="BS1049">
        <f>$C1049*BS1048</f>
        <v/>
      </c>
      <c r="BT1049">
        <f>$C1049*BT1048</f>
        <v/>
      </c>
      <c r="BU1049">
        <f>$C1049*BU1048</f>
        <v/>
      </c>
      <c r="BV1049">
        <f>$C1049*BV1048</f>
        <v/>
      </c>
      <c r="BW1049">
        <f>$C1049*BW1048</f>
        <v/>
      </c>
      <c r="BX1049">
        <f>$C1049*BX1048</f>
        <v/>
      </c>
      <c r="BY1049">
        <f>$C1049*BY1048</f>
        <v/>
      </c>
      <c r="BZ1049">
        <f>$C1049*BZ1048</f>
        <v/>
      </c>
      <c r="CA1049">
        <f>$C1049*CA1048</f>
        <v/>
      </c>
      <c r="CB1049">
        <f>$C1049*CB1048</f>
        <v/>
      </c>
      <c r="CC1049">
        <f>$C1049*CC1048</f>
        <v/>
      </c>
      <c r="CD1049">
        <f>$C1049*CD1048</f>
        <v/>
      </c>
      <c r="CE1049">
        <f>$C1049*CE1048</f>
        <v/>
      </c>
      <c r="CF1049">
        <f>$C1049*CF1048</f>
        <v/>
      </c>
      <c r="CG1049">
        <f>$C1049*CG1048</f>
        <v/>
      </c>
      <c r="CH1049">
        <f>$C1049*CH1048</f>
        <v/>
      </c>
      <c r="CI1049">
        <f>$C1049*CI1048</f>
        <v/>
      </c>
      <c r="CJ1049">
        <f>$C1049*CJ1048</f>
        <v/>
      </c>
      <c r="CK1049">
        <f>$C1049*CK1048</f>
        <v/>
      </c>
      <c r="CL1049">
        <f>$C1049*CL1048</f>
        <v/>
      </c>
      <c r="CM1049">
        <f>$C1049*CM1048</f>
        <v/>
      </c>
      <c r="CN1049">
        <f>$C1049*CN1048</f>
        <v/>
      </c>
      <c r="CO1049">
        <f>$C1049*CO1048</f>
        <v/>
      </c>
      <c r="CP1049">
        <f>$C1049*CP1048</f>
        <v/>
      </c>
      <c r="CQ1049">
        <f>$C1049*CQ1048</f>
        <v/>
      </c>
      <c r="CR1049">
        <f>$C1049*CR1048</f>
        <v/>
      </c>
      <c r="CS1049">
        <f>$C1049*CS1048</f>
        <v/>
      </c>
      <c r="CT1049">
        <f>$C1049*CT1048</f>
        <v/>
      </c>
      <c r="CU1049">
        <f>$C1049*CU1048</f>
        <v/>
      </c>
      <c r="CV1049">
        <f>$C1049*CV1048</f>
        <v/>
      </c>
      <c r="CW1049">
        <f>$C1049*CW1048</f>
        <v/>
      </c>
      <c r="CX1049">
        <f>$C1049*CX1048</f>
        <v/>
      </c>
      <c r="CY1049">
        <f>$C1049*CY1048</f>
        <v/>
      </c>
      <c r="CZ1049">
        <f>$C1049*CZ1048</f>
        <v/>
      </c>
      <c r="DA1049">
        <f>$C1049*DA1048</f>
        <v/>
      </c>
      <c r="DB1049">
        <f>$C1049*DB1048</f>
        <v/>
      </c>
      <c r="DC1049">
        <f>$C1049*DC1048</f>
        <v/>
      </c>
    </row>
    <row r="1050">
      <c r="B1050" t="inlineStr">
        <is>
          <t>TSP-080</t>
        </is>
      </c>
      <c r="C1050" t="inlineStr">
        <is>
          <t>No. of batches</t>
        </is>
      </c>
      <c r="D1050">
        <f>IFERROR(INDEX(PP_Grid[#Data],$DD1050,2),0)</f>
        <v/>
      </c>
      <c r="E1050">
        <f>IFERROR(INDEX(PP_Grid[#Data],$DD1050,3),0)</f>
        <v/>
      </c>
      <c r="F1050">
        <f>IFERROR(INDEX(PP_Grid[#Data],$DD1050,4),0)</f>
        <v/>
      </c>
      <c r="G1050">
        <f>IFERROR(INDEX(PP_Grid[#Data],$DD1050,5),0)</f>
        <v/>
      </c>
      <c r="H1050">
        <f>IFERROR(INDEX(PP_Grid[#Data],$DD1050,6),0)</f>
        <v/>
      </c>
      <c r="I1050">
        <f>IFERROR(INDEX(PP_Grid[#Data],$DD1050,7),0)</f>
        <v/>
      </c>
      <c r="J1050">
        <f>IFERROR(INDEX(PP_Grid[#Data],$DD1050,8),0)</f>
        <v/>
      </c>
      <c r="K1050">
        <f>IFERROR(INDEX(PP_Grid[#Data],$DD1050,9),0)</f>
        <v/>
      </c>
      <c r="L1050">
        <f>IFERROR(INDEX(PP_Grid[#Data],$DD1050,10),0)</f>
        <v/>
      </c>
      <c r="M1050">
        <f>IFERROR(INDEX(PP_Grid[#Data],$DD1050,11),0)</f>
        <v/>
      </c>
      <c r="N1050">
        <f>IFERROR(INDEX(PP_Grid[#Data],$DD1050,12),0)</f>
        <v/>
      </c>
      <c r="O1050">
        <f>IFERROR(INDEX(PP_Grid[#Data],$DD1050,13),0)</f>
        <v/>
      </c>
      <c r="P1050">
        <f>IFERROR(INDEX(PP_Grid[#Data],$DD1050,14),0)</f>
        <v/>
      </c>
      <c r="Q1050">
        <f>IFERROR(INDEX(PP_Grid[#Data],$DD1050,15),0)</f>
        <v/>
      </c>
      <c r="R1050">
        <f>IFERROR(INDEX(PP_Grid[#Data],$DD1050,16),0)</f>
        <v/>
      </c>
      <c r="S1050">
        <f>IFERROR(INDEX(PP_Grid[#Data],$DD1050,17),0)</f>
        <v/>
      </c>
      <c r="T1050">
        <f>IFERROR(INDEX(PP_Grid[#Data],$DD1050,18),0)</f>
        <v/>
      </c>
      <c r="U1050">
        <f>IFERROR(INDEX(PP_Grid[#Data],$DD1050,19),0)</f>
        <v/>
      </c>
      <c r="V1050">
        <f>IFERROR(INDEX(PP_Grid[#Data],$DD1050,20),0)</f>
        <v/>
      </c>
      <c r="W1050">
        <f>IFERROR(INDEX(PP_Grid[#Data],$DD1050,21),0)</f>
        <v/>
      </c>
      <c r="X1050">
        <f>IFERROR(INDEX(PP_Grid[#Data],$DD1050,22),0)</f>
        <v/>
      </c>
      <c r="Y1050">
        <f>IFERROR(INDEX(PP_Grid[#Data],$DD1050,23),0)</f>
        <v/>
      </c>
      <c r="Z1050">
        <f>IFERROR(INDEX(PP_Grid[#Data],$DD1050,24),0)</f>
        <v/>
      </c>
      <c r="AA1050">
        <f>IFERROR(INDEX(PP_Grid[#Data],$DD1050,25),0)</f>
        <v/>
      </c>
      <c r="AB1050">
        <f>IFERROR(INDEX(PP_Grid[#Data],$DD1050,26),0)</f>
        <v/>
      </c>
      <c r="AC1050">
        <f>IFERROR(INDEX(PP_Grid[#Data],$DD1050,27),0)</f>
        <v/>
      </c>
      <c r="AD1050">
        <f>IFERROR(INDEX(PP_Grid[#Data],$DD1050,28),0)</f>
        <v/>
      </c>
      <c r="AE1050">
        <f>IFERROR(INDEX(PP_Grid[#Data],$DD1050,29),0)</f>
        <v/>
      </c>
      <c r="AF1050">
        <f>IFERROR(INDEX(PP_Grid[#Data],$DD1050,30),0)</f>
        <v/>
      </c>
      <c r="AG1050">
        <f>IFERROR(INDEX(PP_Grid[#Data],$DD1050,31),0)</f>
        <v/>
      </c>
      <c r="AH1050">
        <f>IFERROR(INDEX(PP_Grid[#Data],$DD1050,32),0)</f>
        <v/>
      </c>
      <c r="AI1050">
        <f>IFERROR(INDEX(PP_Grid[#Data],$DD1050,33),0)</f>
        <v/>
      </c>
      <c r="AJ1050">
        <f>IFERROR(INDEX(PP_Grid[#Data],$DD1050,34),0)</f>
        <v/>
      </c>
      <c r="AK1050">
        <f>IFERROR(INDEX(PP_Grid[#Data],$DD1050,35),0)</f>
        <v/>
      </c>
      <c r="AL1050">
        <f>IFERROR(INDEX(PP_Grid[#Data],$DD1050,36),0)</f>
        <v/>
      </c>
      <c r="AM1050">
        <f>IFERROR(INDEX(PP_Grid[#Data],$DD1050,37),0)</f>
        <v/>
      </c>
      <c r="AN1050">
        <f>IFERROR(INDEX(PP_Grid[#Data],$DD1050,38),0)</f>
        <v/>
      </c>
      <c r="AO1050">
        <f>IFERROR(INDEX(PP_Grid[#Data],$DD1050,39),0)</f>
        <v/>
      </c>
      <c r="AP1050">
        <f>IFERROR(INDEX(PP_Grid[#Data],$DD1050,40),0)</f>
        <v/>
      </c>
      <c r="AQ1050">
        <f>IFERROR(INDEX(PP_Grid[#Data],$DD1050,41),0)</f>
        <v/>
      </c>
      <c r="AR1050">
        <f>IFERROR(INDEX(PP_Grid[#Data],$DD1050,42),0)</f>
        <v/>
      </c>
      <c r="AS1050">
        <f>IFERROR(INDEX(PP_Grid[#Data],$DD1050,43),0)</f>
        <v/>
      </c>
      <c r="AT1050">
        <f>IFERROR(INDEX(PP_Grid[#Data],$DD1050,44),0)</f>
        <v/>
      </c>
      <c r="AU1050">
        <f>IFERROR(INDEX(PP_Grid[#Data],$DD1050,45),0)</f>
        <v/>
      </c>
      <c r="AV1050">
        <f>IFERROR(INDEX(PP_Grid[#Data],$DD1050,46),0)</f>
        <v/>
      </c>
      <c r="AW1050">
        <f>IFERROR(INDEX(PP_Grid[#Data],$DD1050,47),0)</f>
        <v/>
      </c>
      <c r="AX1050">
        <f>IFERROR(INDEX(PP_Grid[#Data],$DD1050,48),0)</f>
        <v/>
      </c>
      <c r="AY1050">
        <f>IFERROR(INDEX(PP_Grid[#Data],$DD1050,49),0)</f>
        <v/>
      </c>
      <c r="AZ1050">
        <f>IFERROR(INDEX(PP_Grid[#Data],$DD1050,50),0)</f>
        <v/>
      </c>
      <c r="BA1050">
        <f>IFERROR(INDEX(PP_Grid[#Data],$DD1050,51),0)</f>
        <v/>
      </c>
      <c r="BB1050">
        <f>IFERROR(INDEX(PP_Grid[#Data],$DD1050,52),0)</f>
        <v/>
      </c>
      <c r="BC1050">
        <f>IFERROR(INDEX(PP_Grid[#Data],$DD1050,53),0)</f>
        <v/>
      </c>
      <c r="BD1050">
        <f>IFERROR(INDEX(PP_Grid[#Data],$DD1050,54),0)</f>
        <v/>
      </c>
      <c r="BE1050">
        <f>IFERROR(INDEX(PP_Grid[#Data],$DD1050,55),0)</f>
        <v/>
      </c>
      <c r="BF1050">
        <f>IFERROR(INDEX(PP_Grid[#Data],$DD1050,56),0)</f>
        <v/>
      </c>
      <c r="BG1050">
        <f>IFERROR(INDEX(PP_Grid[#Data],$DD1050,57),0)</f>
        <v/>
      </c>
      <c r="BH1050">
        <f>IFERROR(INDEX(PP_Grid[#Data],$DD1050,58),0)</f>
        <v/>
      </c>
      <c r="BI1050">
        <f>IFERROR(INDEX(PP_Grid[#Data],$DD1050,59),0)</f>
        <v/>
      </c>
      <c r="BJ1050">
        <f>IFERROR(INDEX(PP_Grid[#Data],$DD1050,60),0)</f>
        <v/>
      </c>
      <c r="BK1050">
        <f>IFERROR(INDEX(PP_Grid[#Data],$DD1050,61),0)</f>
        <v/>
      </c>
      <c r="BL1050">
        <f>IFERROR(INDEX(PP_Grid[#Data],$DD1050,62),0)</f>
        <v/>
      </c>
      <c r="BM1050">
        <f>IFERROR(INDEX(PP_Grid[#Data],$DD1050,63),0)</f>
        <v/>
      </c>
      <c r="BN1050">
        <f>IFERROR(INDEX(PP_Grid[#Data],$DD1050,64),0)</f>
        <v/>
      </c>
      <c r="BO1050">
        <f>IFERROR(INDEX(PP_Grid[#Data],$DD1050,65),0)</f>
        <v/>
      </c>
      <c r="BP1050">
        <f>IFERROR(INDEX(PP_Grid[#Data],$DD1050,66),0)</f>
        <v/>
      </c>
      <c r="BQ1050">
        <f>IFERROR(INDEX(PP_Grid[#Data],$DD1050,67),0)</f>
        <v/>
      </c>
      <c r="BR1050">
        <f>IFERROR(INDEX(PP_Grid[#Data],$DD1050,68),0)</f>
        <v/>
      </c>
      <c r="BS1050">
        <f>IFERROR(INDEX(PP_Grid[#Data],$DD1050,69),0)</f>
        <v/>
      </c>
      <c r="BT1050">
        <f>IFERROR(INDEX(PP_Grid[#Data],$DD1050,70),0)</f>
        <v/>
      </c>
      <c r="BU1050">
        <f>IFERROR(INDEX(PP_Grid[#Data],$DD1050,71),0)</f>
        <v/>
      </c>
      <c r="BV1050">
        <f>IFERROR(INDEX(PP_Grid[#Data],$DD1050,72),0)</f>
        <v/>
      </c>
      <c r="BW1050">
        <f>IFERROR(INDEX(PP_Grid[#Data],$DD1050,73),0)</f>
        <v/>
      </c>
      <c r="BX1050">
        <f>IFERROR(INDEX(PP_Grid[#Data],$DD1050,74),0)</f>
        <v/>
      </c>
      <c r="BY1050">
        <f>IFERROR(INDEX(PP_Grid[#Data],$DD1050,75),0)</f>
        <v/>
      </c>
      <c r="BZ1050">
        <f>IFERROR(INDEX(PP_Grid[#Data],$DD1050,76),0)</f>
        <v/>
      </c>
      <c r="CA1050">
        <f>IFERROR(INDEX(PP_Grid[#Data],$DD1050,77),0)</f>
        <v/>
      </c>
      <c r="CB1050">
        <f>IFERROR(INDEX(PP_Grid[#Data],$DD1050,78),0)</f>
        <v/>
      </c>
      <c r="CC1050">
        <f>IFERROR(INDEX(PP_Grid[#Data],$DD1050,79),0)</f>
        <v/>
      </c>
      <c r="CD1050">
        <f>IFERROR(INDEX(PP_Grid[#Data],$DD1050,80),0)</f>
        <v/>
      </c>
      <c r="CE1050">
        <f>IFERROR(INDEX(PP_Grid[#Data],$DD1050,81),0)</f>
        <v/>
      </c>
      <c r="CF1050">
        <f>IFERROR(INDEX(PP_Grid[#Data],$DD1050,82),0)</f>
        <v/>
      </c>
      <c r="CG1050">
        <f>IFERROR(INDEX(PP_Grid[#Data],$DD1050,83),0)</f>
        <v/>
      </c>
      <c r="CH1050">
        <f>IFERROR(INDEX(PP_Grid[#Data],$DD1050,84),0)</f>
        <v/>
      </c>
      <c r="CI1050">
        <f>IFERROR(INDEX(PP_Grid[#Data],$DD1050,85),0)</f>
        <v/>
      </c>
      <c r="CJ1050">
        <f>IFERROR(INDEX(PP_Grid[#Data],$DD1050,86),0)</f>
        <v/>
      </c>
      <c r="CK1050">
        <f>IFERROR(INDEX(PP_Grid[#Data],$DD1050,87),0)</f>
        <v/>
      </c>
      <c r="CL1050">
        <f>IFERROR(INDEX(PP_Grid[#Data],$DD1050,88),0)</f>
        <v/>
      </c>
      <c r="CM1050">
        <f>IFERROR(INDEX(PP_Grid[#Data],$DD1050,89),0)</f>
        <v/>
      </c>
      <c r="CN1050">
        <f>IFERROR(INDEX(PP_Grid[#Data],$DD1050,90),0)</f>
        <v/>
      </c>
      <c r="CO1050">
        <f>IFERROR(INDEX(PP_Grid[#Data],$DD1050,91),0)</f>
        <v/>
      </c>
      <c r="CP1050">
        <f>IFERROR(INDEX(PP_Grid[#Data],$DD1050,92),0)</f>
        <v/>
      </c>
      <c r="CQ1050">
        <f>IFERROR(INDEX(PP_Grid[#Data],$DD1050,93),0)</f>
        <v/>
      </c>
      <c r="CR1050">
        <f>IFERROR(INDEX(PP_Grid[#Data],$DD1050,94),0)</f>
        <v/>
      </c>
      <c r="CS1050">
        <f>IFERROR(INDEX(PP_Grid[#Data],$DD1050,95),0)</f>
        <v/>
      </c>
      <c r="CT1050">
        <f>IFERROR(INDEX(PP_Grid[#Data],$DD1050,96),0)</f>
        <v/>
      </c>
      <c r="CU1050">
        <f>IFERROR(INDEX(PP_Grid[#Data],$DD1050,97),0)</f>
        <v/>
      </c>
      <c r="CV1050">
        <f>IFERROR(INDEX(PP_Grid[#Data],$DD1050,98),0)</f>
        <v/>
      </c>
      <c r="CW1050">
        <f>IFERROR(INDEX(PP_Grid[#Data],$DD1050,99),0)</f>
        <v/>
      </c>
      <c r="CX1050">
        <f>IFERROR(INDEX(PP_Grid[#Data],$DD1050,100),0)</f>
        <v/>
      </c>
      <c r="CY1050">
        <f>IFERROR(INDEX(PP_Grid[#Data],$DD1050,101),0)</f>
        <v/>
      </c>
      <c r="CZ1050">
        <f>IFERROR(INDEX(PP_Grid[#Data],$DD1050,102),0)</f>
        <v/>
      </c>
      <c r="DA1050">
        <f>IFERROR(INDEX(PP_Grid[#Data],$DD1050,103),0)</f>
        <v/>
      </c>
      <c r="DB1050">
        <f>IFERROR(INDEX(PP_Grid[#Data],$DD1050,104),0)</f>
        <v/>
      </c>
      <c r="DC1050">
        <f>IFERROR(INDEX(PP_Grid[#Data],$DD1050,105),0)</f>
        <v/>
      </c>
      <c r="DD1050" s="12">
        <f>IFERROR(MATCH($B1050,PP_Grid[Intermediate],0),99999)</f>
        <v/>
      </c>
    </row>
    <row r="1051">
      <c r="B1051" t="inlineStr">
        <is>
          <t>使用量(kg)</t>
        </is>
      </c>
      <c r="C1051">
        <f>SUMIFS(M_BOM[RM_Qty_Per_Batch],M_BOM[Intermediate],$B1050,M_BOM[Part Name],$A1045)</f>
        <v/>
      </c>
      <c r="D1051">
        <f>$C1051*D1050</f>
        <v/>
      </c>
      <c r="E1051">
        <f>$C1051*E1050</f>
        <v/>
      </c>
      <c r="F1051">
        <f>$C1051*F1050</f>
        <v/>
      </c>
      <c r="G1051">
        <f>$C1051*G1050</f>
        <v/>
      </c>
      <c r="H1051">
        <f>$C1051*H1050</f>
        <v/>
      </c>
      <c r="I1051">
        <f>$C1051*I1050</f>
        <v/>
      </c>
      <c r="J1051">
        <f>$C1051*J1050</f>
        <v/>
      </c>
      <c r="K1051">
        <f>$C1051*K1050</f>
        <v/>
      </c>
      <c r="L1051">
        <f>$C1051*L1050</f>
        <v/>
      </c>
      <c r="M1051">
        <f>$C1051*M1050</f>
        <v/>
      </c>
      <c r="N1051">
        <f>$C1051*N1050</f>
        <v/>
      </c>
      <c r="O1051">
        <f>$C1051*O1050</f>
        <v/>
      </c>
      <c r="P1051">
        <f>$C1051*P1050</f>
        <v/>
      </c>
      <c r="Q1051">
        <f>$C1051*Q1050</f>
        <v/>
      </c>
      <c r="R1051">
        <f>$C1051*R1050</f>
        <v/>
      </c>
      <c r="S1051">
        <f>$C1051*S1050</f>
        <v/>
      </c>
      <c r="T1051">
        <f>$C1051*T1050</f>
        <v/>
      </c>
      <c r="U1051">
        <f>$C1051*U1050</f>
        <v/>
      </c>
      <c r="V1051">
        <f>$C1051*V1050</f>
        <v/>
      </c>
      <c r="W1051">
        <f>$C1051*W1050</f>
        <v/>
      </c>
      <c r="X1051">
        <f>$C1051*X1050</f>
        <v/>
      </c>
      <c r="Y1051">
        <f>$C1051*Y1050</f>
        <v/>
      </c>
      <c r="Z1051">
        <f>$C1051*Z1050</f>
        <v/>
      </c>
      <c r="AA1051">
        <f>$C1051*AA1050</f>
        <v/>
      </c>
      <c r="AB1051">
        <f>$C1051*AB1050</f>
        <v/>
      </c>
      <c r="AC1051">
        <f>$C1051*AC1050</f>
        <v/>
      </c>
      <c r="AD1051">
        <f>$C1051*AD1050</f>
        <v/>
      </c>
      <c r="AE1051">
        <f>$C1051*AE1050</f>
        <v/>
      </c>
      <c r="AF1051">
        <f>$C1051*AF1050</f>
        <v/>
      </c>
      <c r="AG1051">
        <f>$C1051*AG1050</f>
        <v/>
      </c>
      <c r="AH1051">
        <f>$C1051*AH1050</f>
        <v/>
      </c>
      <c r="AI1051">
        <f>$C1051*AI1050</f>
        <v/>
      </c>
      <c r="AJ1051">
        <f>$C1051*AJ1050</f>
        <v/>
      </c>
      <c r="AK1051">
        <f>$C1051*AK1050</f>
        <v/>
      </c>
      <c r="AL1051">
        <f>$C1051*AL1050</f>
        <v/>
      </c>
      <c r="AM1051">
        <f>$C1051*AM1050</f>
        <v/>
      </c>
      <c r="AN1051">
        <f>$C1051*AN1050</f>
        <v/>
      </c>
      <c r="AO1051">
        <f>$C1051*AO1050</f>
        <v/>
      </c>
      <c r="AP1051">
        <f>$C1051*AP1050</f>
        <v/>
      </c>
      <c r="AQ1051">
        <f>$C1051*AQ1050</f>
        <v/>
      </c>
      <c r="AR1051">
        <f>$C1051*AR1050</f>
        <v/>
      </c>
      <c r="AS1051">
        <f>$C1051*AS1050</f>
        <v/>
      </c>
      <c r="AT1051">
        <f>$C1051*AT1050</f>
        <v/>
      </c>
      <c r="AU1051">
        <f>$C1051*AU1050</f>
        <v/>
      </c>
      <c r="AV1051">
        <f>$C1051*AV1050</f>
        <v/>
      </c>
      <c r="AW1051">
        <f>$C1051*AW1050</f>
        <v/>
      </c>
      <c r="AX1051">
        <f>$C1051*AX1050</f>
        <v/>
      </c>
      <c r="AY1051">
        <f>$C1051*AY1050</f>
        <v/>
      </c>
      <c r="AZ1051">
        <f>$C1051*AZ1050</f>
        <v/>
      </c>
      <c r="BA1051">
        <f>$C1051*BA1050</f>
        <v/>
      </c>
      <c r="BB1051">
        <f>$C1051*BB1050</f>
        <v/>
      </c>
      <c r="BC1051">
        <f>$C1051*BC1050</f>
        <v/>
      </c>
      <c r="BD1051">
        <f>$C1051*BD1050</f>
        <v/>
      </c>
      <c r="BE1051">
        <f>$C1051*BE1050</f>
        <v/>
      </c>
      <c r="BF1051">
        <f>$C1051*BF1050</f>
        <v/>
      </c>
      <c r="BG1051">
        <f>$C1051*BG1050</f>
        <v/>
      </c>
      <c r="BH1051">
        <f>$C1051*BH1050</f>
        <v/>
      </c>
      <c r="BI1051">
        <f>$C1051*BI1050</f>
        <v/>
      </c>
      <c r="BJ1051">
        <f>$C1051*BJ1050</f>
        <v/>
      </c>
      <c r="BK1051">
        <f>$C1051*BK1050</f>
        <v/>
      </c>
      <c r="BL1051">
        <f>$C1051*BL1050</f>
        <v/>
      </c>
      <c r="BM1051">
        <f>$C1051*BM1050</f>
        <v/>
      </c>
      <c r="BN1051">
        <f>$C1051*BN1050</f>
        <v/>
      </c>
      <c r="BO1051">
        <f>$C1051*BO1050</f>
        <v/>
      </c>
      <c r="BP1051">
        <f>$C1051*BP1050</f>
        <v/>
      </c>
      <c r="BQ1051">
        <f>$C1051*BQ1050</f>
        <v/>
      </c>
      <c r="BR1051">
        <f>$C1051*BR1050</f>
        <v/>
      </c>
      <c r="BS1051">
        <f>$C1051*BS1050</f>
        <v/>
      </c>
      <c r="BT1051">
        <f>$C1051*BT1050</f>
        <v/>
      </c>
      <c r="BU1051">
        <f>$C1051*BU1050</f>
        <v/>
      </c>
      <c r="BV1051">
        <f>$C1051*BV1050</f>
        <v/>
      </c>
      <c r="BW1051">
        <f>$C1051*BW1050</f>
        <v/>
      </c>
      <c r="BX1051">
        <f>$C1051*BX1050</f>
        <v/>
      </c>
      <c r="BY1051">
        <f>$C1051*BY1050</f>
        <v/>
      </c>
      <c r="BZ1051">
        <f>$C1051*BZ1050</f>
        <v/>
      </c>
      <c r="CA1051">
        <f>$C1051*CA1050</f>
        <v/>
      </c>
      <c r="CB1051">
        <f>$C1051*CB1050</f>
        <v/>
      </c>
      <c r="CC1051">
        <f>$C1051*CC1050</f>
        <v/>
      </c>
      <c r="CD1051">
        <f>$C1051*CD1050</f>
        <v/>
      </c>
      <c r="CE1051">
        <f>$C1051*CE1050</f>
        <v/>
      </c>
      <c r="CF1051">
        <f>$C1051*CF1050</f>
        <v/>
      </c>
      <c r="CG1051">
        <f>$C1051*CG1050</f>
        <v/>
      </c>
      <c r="CH1051">
        <f>$C1051*CH1050</f>
        <v/>
      </c>
      <c r="CI1051">
        <f>$C1051*CI1050</f>
        <v/>
      </c>
      <c r="CJ1051">
        <f>$C1051*CJ1050</f>
        <v/>
      </c>
      <c r="CK1051">
        <f>$C1051*CK1050</f>
        <v/>
      </c>
      <c r="CL1051">
        <f>$C1051*CL1050</f>
        <v/>
      </c>
      <c r="CM1051">
        <f>$C1051*CM1050</f>
        <v/>
      </c>
      <c r="CN1051">
        <f>$C1051*CN1050</f>
        <v/>
      </c>
      <c r="CO1051">
        <f>$C1051*CO1050</f>
        <v/>
      </c>
      <c r="CP1051">
        <f>$C1051*CP1050</f>
        <v/>
      </c>
      <c r="CQ1051">
        <f>$C1051*CQ1050</f>
        <v/>
      </c>
      <c r="CR1051">
        <f>$C1051*CR1050</f>
        <v/>
      </c>
      <c r="CS1051">
        <f>$C1051*CS1050</f>
        <v/>
      </c>
      <c r="CT1051">
        <f>$C1051*CT1050</f>
        <v/>
      </c>
      <c r="CU1051">
        <f>$C1051*CU1050</f>
        <v/>
      </c>
      <c r="CV1051">
        <f>$C1051*CV1050</f>
        <v/>
      </c>
      <c r="CW1051">
        <f>$C1051*CW1050</f>
        <v/>
      </c>
      <c r="CX1051">
        <f>$C1051*CX1050</f>
        <v/>
      </c>
      <c r="CY1051">
        <f>$C1051*CY1050</f>
        <v/>
      </c>
      <c r="CZ1051">
        <f>$C1051*CZ1050</f>
        <v/>
      </c>
      <c r="DA1051">
        <f>$C1051*DA1050</f>
        <v/>
      </c>
      <c r="DB1051">
        <f>$C1051*DB1050</f>
        <v/>
      </c>
      <c r="DC1051">
        <f>$C1051*DC1050</f>
        <v/>
      </c>
    </row>
    <row r="1052">
      <c r="B1052" t="inlineStr">
        <is>
          <t>TSP-105</t>
        </is>
      </c>
      <c r="C1052" t="inlineStr">
        <is>
          <t>No. of batches</t>
        </is>
      </c>
      <c r="D1052">
        <f>IFERROR(INDEX(PP_Grid[#Data],$DD1052,2),0)</f>
        <v/>
      </c>
      <c r="E1052">
        <f>IFERROR(INDEX(PP_Grid[#Data],$DD1052,3),0)</f>
        <v/>
      </c>
      <c r="F1052">
        <f>IFERROR(INDEX(PP_Grid[#Data],$DD1052,4),0)</f>
        <v/>
      </c>
      <c r="G1052">
        <f>IFERROR(INDEX(PP_Grid[#Data],$DD1052,5),0)</f>
        <v/>
      </c>
      <c r="H1052">
        <f>IFERROR(INDEX(PP_Grid[#Data],$DD1052,6),0)</f>
        <v/>
      </c>
      <c r="I1052">
        <f>IFERROR(INDEX(PP_Grid[#Data],$DD1052,7),0)</f>
        <v/>
      </c>
      <c r="J1052">
        <f>IFERROR(INDEX(PP_Grid[#Data],$DD1052,8),0)</f>
        <v/>
      </c>
      <c r="K1052">
        <f>IFERROR(INDEX(PP_Grid[#Data],$DD1052,9),0)</f>
        <v/>
      </c>
      <c r="L1052">
        <f>IFERROR(INDEX(PP_Grid[#Data],$DD1052,10),0)</f>
        <v/>
      </c>
      <c r="M1052">
        <f>IFERROR(INDEX(PP_Grid[#Data],$DD1052,11),0)</f>
        <v/>
      </c>
      <c r="N1052">
        <f>IFERROR(INDEX(PP_Grid[#Data],$DD1052,12),0)</f>
        <v/>
      </c>
      <c r="O1052">
        <f>IFERROR(INDEX(PP_Grid[#Data],$DD1052,13),0)</f>
        <v/>
      </c>
      <c r="P1052">
        <f>IFERROR(INDEX(PP_Grid[#Data],$DD1052,14),0)</f>
        <v/>
      </c>
      <c r="Q1052">
        <f>IFERROR(INDEX(PP_Grid[#Data],$DD1052,15),0)</f>
        <v/>
      </c>
      <c r="R1052">
        <f>IFERROR(INDEX(PP_Grid[#Data],$DD1052,16),0)</f>
        <v/>
      </c>
      <c r="S1052">
        <f>IFERROR(INDEX(PP_Grid[#Data],$DD1052,17),0)</f>
        <v/>
      </c>
      <c r="T1052">
        <f>IFERROR(INDEX(PP_Grid[#Data],$DD1052,18),0)</f>
        <v/>
      </c>
      <c r="U1052">
        <f>IFERROR(INDEX(PP_Grid[#Data],$DD1052,19),0)</f>
        <v/>
      </c>
      <c r="V1052">
        <f>IFERROR(INDEX(PP_Grid[#Data],$DD1052,20),0)</f>
        <v/>
      </c>
      <c r="W1052">
        <f>IFERROR(INDEX(PP_Grid[#Data],$DD1052,21),0)</f>
        <v/>
      </c>
      <c r="X1052">
        <f>IFERROR(INDEX(PP_Grid[#Data],$DD1052,22),0)</f>
        <v/>
      </c>
      <c r="Y1052">
        <f>IFERROR(INDEX(PP_Grid[#Data],$DD1052,23),0)</f>
        <v/>
      </c>
      <c r="Z1052">
        <f>IFERROR(INDEX(PP_Grid[#Data],$DD1052,24),0)</f>
        <v/>
      </c>
      <c r="AA1052">
        <f>IFERROR(INDEX(PP_Grid[#Data],$DD1052,25),0)</f>
        <v/>
      </c>
      <c r="AB1052">
        <f>IFERROR(INDEX(PP_Grid[#Data],$DD1052,26),0)</f>
        <v/>
      </c>
      <c r="AC1052">
        <f>IFERROR(INDEX(PP_Grid[#Data],$DD1052,27),0)</f>
        <v/>
      </c>
      <c r="AD1052">
        <f>IFERROR(INDEX(PP_Grid[#Data],$DD1052,28),0)</f>
        <v/>
      </c>
      <c r="AE1052">
        <f>IFERROR(INDEX(PP_Grid[#Data],$DD1052,29),0)</f>
        <v/>
      </c>
      <c r="AF1052">
        <f>IFERROR(INDEX(PP_Grid[#Data],$DD1052,30),0)</f>
        <v/>
      </c>
      <c r="AG1052">
        <f>IFERROR(INDEX(PP_Grid[#Data],$DD1052,31),0)</f>
        <v/>
      </c>
      <c r="AH1052">
        <f>IFERROR(INDEX(PP_Grid[#Data],$DD1052,32),0)</f>
        <v/>
      </c>
      <c r="AI1052">
        <f>IFERROR(INDEX(PP_Grid[#Data],$DD1052,33),0)</f>
        <v/>
      </c>
      <c r="AJ1052">
        <f>IFERROR(INDEX(PP_Grid[#Data],$DD1052,34),0)</f>
        <v/>
      </c>
      <c r="AK1052">
        <f>IFERROR(INDEX(PP_Grid[#Data],$DD1052,35),0)</f>
        <v/>
      </c>
      <c r="AL1052">
        <f>IFERROR(INDEX(PP_Grid[#Data],$DD1052,36),0)</f>
        <v/>
      </c>
      <c r="AM1052">
        <f>IFERROR(INDEX(PP_Grid[#Data],$DD1052,37),0)</f>
        <v/>
      </c>
      <c r="AN1052">
        <f>IFERROR(INDEX(PP_Grid[#Data],$DD1052,38),0)</f>
        <v/>
      </c>
      <c r="AO1052">
        <f>IFERROR(INDEX(PP_Grid[#Data],$DD1052,39),0)</f>
        <v/>
      </c>
      <c r="AP1052">
        <f>IFERROR(INDEX(PP_Grid[#Data],$DD1052,40),0)</f>
        <v/>
      </c>
      <c r="AQ1052">
        <f>IFERROR(INDEX(PP_Grid[#Data],$DD1052,41),0)</f>
        <v/>
      </c>
      <c r="AR1052">
        <f>IFERROR(INDEX(PP_Grid[#Data],$DD1052,42),0)</f>
        <v/>
      </c>
      <c r="AS1052">
        <f>IFERROR(INDEX(PP_Grid[#Data],$DD1052,43),0)</f>
        <v/>
      </c>
      <c r="AT1052">
        <f>IFERROR(INDEX(PP_Grid[#Data],$DD1052,44),0)</f>
        <v/>
      </c>
      <c r="AU1052">
        <f>IFERROR(INDEX(PP_Grid[#Data],$DD1052,45),0)</f>
        <v/>
      </c>
      <c r="AV1052">
        <f>IFERROR(INDEX(PP_Grid[#Data],$DD1052,46),0)</f>
        <v/>
      </c>
      <c r="AW1052">
        <f>IFERROR(INDEX(PP_Grid[#Data],$DD1052,47),0)</f>
        <v/>
      </c>
      <c r="AX1052">
        <f>IFERROR(INDEX(PP_Grid[#Data],$DD1052,48),0)</f>
        <v/>
      </c>
      <c r="AY1052">
        <f>IFERROR(INDEX(PP_Grid[#Data],$DD1052,49),0)</f>
        <v/>
      </c>
      <c r="AZ1052">
        <f>IFERROR(INDEX(PP_Grid[#Data],$DD1052,50),0)</f>
        <v/>
      </c>
      <c r="BA1052">
        <f>IFERROR(INDEX(PP_Grid[#Data],$DD1052,51),0)</f>
        <v/>
      </c>
      <c r="BB1052">
        <f>IFERROR(INDEX(PP_Grid[#Data],$DD1052,52),0)</f>
        <v/>
      </c>
      <c r="BC1052">
        <f>IFERROR(INDEX(PP_Grid[#Data],$DD1052,53),0)</f>
        <v/>
      </c>
      <c r="BD1052">
        <f>IFERROR(INDEX(PP_Grid[#Data],$DD1052,54),0)</f>
        <v/>
      </c>
      <c r="BE1052">
        <f>IFERROR(INDEX(PP_Grid[#Data],$DD1052,55),0)</f>
        <v/>
      </c>
      <c r="BF1052">
        <f>IFERROR(INDEX(PP_Grid[#Data],$DD1052,56),0)</f>
        <v/>
      </c>
      <c r="BG1052">
        <f>IFERROR(INDEX(PP_Grid[#Data],$DD1052,57),0)</f>
        <v/>
      </c>
      <c r="BH1052">
        <f>IFERROR(INDEX(PP_Grid[#Data],$DD1052,58),0)</f>
        <v/>
      </c>
      <c r="BI1052">
        <f>IFERROR(INDEX(PP_Grid[#Data],$DD1052,59),0)</f>
        <v/>
      </c>
      <c r="BJ1052">
        <f>IFERROR(INDEX(PP_Grid[#Data],$DD1052,60),0)</f>
        <v/>
      </c>
      <c r="BK1052">
        <f>IFERROR(INDEX(PP_Grid[#Data],$DD1052,61),0)</f>
        <v/>
      </c>
      <c r="BL1052">
        <f>IFERROR(INDEX(PP_Grid[#Data],$DD1052,62),0)</f>
        <v/>
      </c>
      <c r="BM1052">
        <f>IFERROR(INDEX(PP_Grid[#Data],$DD1052,63),0)</f>
        <v/>
      </c>
      <c r="BN1052">
        <f>IFERROR(INDEX(PP_Grid[#Data],$DD1052,64),0)</f>
        <v/>
      </c>
      <c r="BO1052">
        <f>IFERROR(INDEX(PP_Grid[#Data],$DD1052,65),0)</f>
        <v/>
      </c>
      <c r="BP1052">
        <f>IFERROR(INDEX(PP_Grid[#Data],$DD1052,66),0)</f>
        <v/>
      </c>
      <c r="BQ1052">
        <f>IFERROR(INDEX(PP_Grid[#Data],$DD1052,67),0)</f>
        <v/>
      </c>
      <c r="BR1052">
        <f>IFERROR(INDEX(PP_Grid[#Data],$DD1052,68),0)</f>
        <v/>
      </c>
      <c r="BS1052">
        <f>IFERROR(INDEX(PP_Grid[#Data],$DD1052,69),0)</f>
        <v/>
      </c>
      <c r="BT1052">
        <f>IFERROR(INDEX(PP_Grid[#Data],$DD1052,70),0)</f>
        <v/>
      </c>
      <c r="BU1052">
        <f>IFERROR(INDEX(PP_Grid[#Data],$DD1052,71),0)</f>
        <v/>
      </c>
      <c r="BV1052">
        <f>IFERROR(INDEX(PP_Grid[#Data],$DD1052,72),0)</f>
        <v/>
      </c>
      <c r="BW1052">
        <f>IFERROR(INDEX(PP_Grid[#Data],$DD1052,73),0)</f>
        <v/>
      </c>
      <c r="BX1052">
        <f>IFERROR(INDEX(PP_Grid[#Data],$DD1052,74),0)</f>
        <v/>
      </c>
      <c r="BY1052">
        <f>IFERROR(INDEX(PP_Grid[#Data],$DD1052,75),0)</f>
        <v/>
      </c>
      <c r="BZ1052">
        <f>IFERROR(INDEX(PP_Grid[#Data],$DD1052,76),0)</f>
        <v/>
      </c>
      <c r="CA1052">
        <f>IFERROR(INDEX(PP_Grid[#Data],$DD1052,77),0)</f>
        <v/>
      </c>
      <c r="CB1052">
        <f>IFERROR(INDEX(PP_Grid[#Data],$DD1052,78),0)</f>
        <v/>
      </c>
      <c r="CC1052">
        <f>IFERROR(INDEX(PP_Grid[#Data],$DD1052,79),0)</f>
        <v/>
      </c>
      <c r="CD1052">
        <f>IFERROR(INDEX(PP_Grid[#Data],$DD1052,80),0)</f>
        <v/>
      </c>
      <c r="CE1052">
        <f>IFERROR(INDEX(PP_Grid[#Data],$DD1052,81),0)</f>
        <v/>
      </c>
      <c r="CF1052">
        <f>IFERROR(INDEX(PP_Grid[#Data],$DD1052,82),0)</f>
        <v/>
      </c>
      <c r="CG1052">
        <f>IFERROR(INDEX(PP_Grid[#Data],$DD1052,83),0)</f>
        <v/>
      </c>
      <c r="CH1052">
        <f>IFERROR(INDEX(PP_Grid[#Data],$DD1052,84),0)</f>
        <v/>
      </c>
      <c r="CI1052">
        <f>IFERROR(INDEX(PP_Grid[#Data],$DD1052,85),0)</f>
        <v/>
      </c>
      <c r="CJ1052">
        <f>IFERROR(INDEX(PP_Grid[#Data],$DD1052,86),0)</f>
        <v/>
      </c>
      <c r="CK1052">
        <f>IFERROR(INDEX(PP_Grid[#Data],$DD1052,87),0)</f>
        <v/>
      </c>
      <c r="CL1052">
        <f>IFERROR(INDEX(PP_Grid[#Data],$DD1052,88),0)</f>
        <v/>
      </c>
      <c r="CM1052">
        <f>IFERROR(INDEX(PP_Grid[#Data],$DD1052,89),0)</f>
        <v/>
      </c>
      <c r="CN1052">
        <f>IFERROR(INDEX(PP_Grid[#Data],$DD1052,90),0)</f>
        <v/>
      </c>
      <c r="CO1052">
        <f>IFERROR(INDEX(PP_Grid[#Data],$DD1052,91),0)</f>
        <v/>
      </c>
      <c r="CP1052">
        <f>IFERROR(INDEX(PP_Grid[#Data],$DD1052,92),0)</f>
        <v/>
      </c>
      <c r="CQ1052">
        <f>IFERROR(INDEX(PP_Grid[#Data],$DD1052,93),0)</f>
        <v/>
      </c>
      <c r="CR1052">
        <f>IFERROR(INDEX(PP_Grid[#Data],$DD1052,94),0)</f>
        <v/>
      </c>
      <c r="CS1052">
        <f>IFERROR(INDEX(PP_Grid[#Data],$DD1052,95),0)</f>
        <v/>
      </c>
      <c r="CT1052">
        <f>IFERROR(INDEX(PP_Grid[#Data],$DD1052,96),0)</f>
        <v/>
      </c>
      <c r="CU1052">
        <f>IFERROR(INDEX(PP_Grid[#Data],$DD1052,97),0)</f>
        <v/>
      </c>
      <c r="CV1052">
        <f>IFERROR(INDEX(PP_Grid[#Data],$DD1052,98),0)</f>
        <v/>
      </c>
      <c r="CW1052">
        <f>IFERROR(INDEX(PP_Grid[#Data],$DD1052,99),0)</f>
        <v/>
      </c>
      <c r="CX1052">
        <f>IFERROR(INDEX(PP_Grid[#Data],$DD1052,100),0)</f>
        <v/>
      </c>
      <c r="CY1052">
        <f>IFERROR(INDEX(PP_Grid[#Data],$DD1052,101),0)</f>
        <v/>
      </c>
      <c r="CZ1052">
        <f>IFERROR(INDEX(PP_Grid[#Data],$DD1052,102),0)</f>
        <v/>
      </c>
      <c r="DA1052">
        <f>IFERROR(INDEX(PP_Grid[#Data],$DD1052,103),0)</f>
        <v/>
      </c>
      <c r="DB1052">
        <f>IFERROR(INDEX(PP_Grid[#Data],$DD1052,104),0)</f>
        <v/>
      </c>
      <c r="DC1052">
        <f>IFERROR(INDEX(PP_Grid[#Data],$DD1052,105),0)</f>
        <v/>
      </c>
      <c r="DD1052" s="12">
        <f>IFERROR(MATCH($B1052,PP_Grid[Intermediate],0),99999)</f>
        <v/>
      </c>
    </row>
    <row r="1053">
      <c r="B1053" t="inlineStr">
        <is>
          <t>使用量(kg)</t>
        </is>
      </c>
      <c r="C1053">
        <f>SUMIFS(M_BOM[RM_Qty_Per_Batch],M_BOM[Intermediate],$B1052,M_BOM[Part Name],$A1045)</f>
        <v/>
      </c>
      <c r="D1053">
        <f>$C1053*D1052</f>
        <v/>
      </c>
      <c r="E1053">
        <f>$C1053*E1052</f>
        <v/>
      </c>
      <c r="F1053">
        <f>$C1053*F1052</f>
        <v/>
      </c>
      <c r="G1053">
        <f>$C1053*G1052</f>
        <v/>
      </c>
      <c r="H1053">
        <f>$C1053*H1052</f>
        <v/>
      </c>
      <c r="I1053">
        <f>$C1053*I1052</f>
        <v/>
      </c>
      <c r="J1053">
        <f>$C1053*J1052</f>
        <v/>
      </c>
      <c r="K1053">
        <f>$C1053*K1052</f>
        <v/>
      </c>
      <c r="L1053">
        <f>$C1053*L1052</f>
        <v/>
      </c>
      <c r="M1053">
        <f>$C1053*M1052</f>
        <v/>
      </c>
      <c r="N1053">
        <f>$C1053*N1052</f>
        <v/>
      </c>
      <c r="O1053">
        <f>$C1053*O1052</f>
        <v/>
      </c>
      <c r="P1053">
        <f>$C1053*P1052</f>
        <v/>
      </c>
      <c r="Q1053">
        <f>$C1053*Q1052</f>
        <v/>
      </c>
      <c r="R1053">
        <f>$C1053*R1052</f>
        <v/>
      </c>
      <c r="S1053">
        <f>$C1053*S1052</f>
        <v/>
      </c>
      <c r="T1053">
        <f>$C1053*T1052</f>
        <v/>
      </c>
      <c r="U1053">
        <f>$C1053*U1052</f>
        <v/>
      </c>
      <c r="V1053">
        <f>$C1053*V1052</f>
        <v/>
      </c>
      <c r="W1053">
        <f>$C1053*W1052</f>
        <v/>
      </c>
      <c r="X1053">
        <f>$C1053*X1052</f>
        <v/>
      </c>
      <c r="Y1053">
        <f>$C1053*Y1052</f>
        <v/>
      </c>
      <c r="Z1053">
        <f>$C1053*Z1052</f>
        <v/>
      </c>
      <c r="AA1053">
        <f>$C1053*AA1052</f>
        <v/>
      </c>
      <c r="AB1053">
        <f>$C1053*AB1052</f>
        <v/>
      </c>
      <c r="AC1053">
        <f>$C1053*AC1052</f>
        <v/>
      </c>
      <c r="AD1053">
        <f>$C1053*AD1052</f>
        <v/>
      </c>
      <c r="AE1053">
        <f>$C1053*AE1052</f>
        <v/>
      </c>
      <c r="AF1053">
        <f>$C1053*AF1052</f>
        <v/>
      </c>
      <c r="AG1053">
        <f>$C1053*AG1052</f>
        <v/>
      </c>
      <c r="AH1053">
        <f>$C1053*AH1052</f>
        <v/>
      </c>
      <c r="AI1053">
        <f>$C1053*AI1052</f>
        <v/>
      </c>
      <c r="AJ1053">
        <f>$C1053*AJ1052</f>
        <v/>
      </c>
      <c r="AK1053">
        <f>$C1053*AK1052</f>
        <v/>
      </c>
      <c r="AL1053">
        <f>$C1053*AL1052</f>
        <v/>
      </c>
      <c r="AM1053">
        <f>$C1053*AM1052</f>
        <v/>
      </c>
      <c r="AN1053">
        <f>$C1053*AN1052</f>
        <v/>
      </c>
      <c r="AO1053">
        <f>$C1053*AO1052</f>
        <v/>
      </c>
      <c r="AP1053">
        <f>$C1053*AP1052</f>
        <v/>
      </c>
      <c r="AQ1053">
        <f>$C1053*AQ1052</f>
        <v/>
      </c>
      <c r="AR1053">
        <f>$C1053*AR1052</f>
        <v/>
      </c>
      <c r="AS1053">
        <f>$C1053*AS1052</f>
        <v/>
      </c>
      <c r="AT1053">
        <f>$C1053*AT1052</f>
        <v/>
      </c>
      <c r="AU1053">
        <f>$C1053*AU1052</f>
        <v/>
      </c>
      <c r="AV1053">
        <f>$C1053*AV1052</f>
        <v/>
      </c>
      <c r="AW1053">
        <f>$C1053*AW1052</f>
        <v/>
      </c>
      <c r="AX1053">
        <f>$C1053*AX1052</f>
        <v/>
      </c>
      <c r="AY1053">
        <f>$C1053*AY1052</f>
        <v/>
      </c>
      <c r="AZ1053">
        <f>$C1053*AZ1052</f>
        <v/>
      </c>
      <c r="BA1053">
        <f>$C1053*BA1052</f>
        <v/>
      </c>
      <c r="BB1053">
        <f>$C1053*BB1052</f>
        <v/>
      </c>
      <c r="BC1053">
        <f>$C1053*BC1052</f>
        <v/>
      </c>
      <c r="BD1053">
        <f>$C1053*BD1052</f>
        <v/>
      </c>
      <c r="BE1053">
        <f>$C1053*BE1052</f>
        <v/>
      </c>
      <c r="BF1053">
        <f>$C1053*BF1052</f>
        <v/>
      </c>
      <c r="BG1053">
        <f>$C1053*BG1052</f>
        <v/>
      </c>
      <c r="BH1053">
        <f>$C1053*BH1052</f>
        <v/>
      </c>
      <c r="BI1053">
        <f>$C1053*BI1052</f>
        <v/>
      </c>
      <c r="BJ1053">
        <f>$C1053*BJ1052</f>
        <v/>
      </c>
      <c r="BK1053">
        <f>$C1053*BK1052</f>
        <v/>
      </c>
      <c r="BL1053">
        <f>$C1053*BL1052</f>
        <v/>
      </c>
      <c r="BM1053">
        <f>$C1053*BM1052</f>
        <v/>
      </c>
      <c r="BN1053">
        <f>$C1053*BN1052</f>
        <v/>
      </c>
      <c r="BO1053">
        <f>$C1053*BO1052</f>
        <v/>
      </c>
      <c r="BP1053">
        <f>$C1053*BP1052</f>
        <v/>
      </c>
      <c r="BQ1053">
        <f>$C1053*BQ1052</f>
        <v/>
      </c>
      <c r="BR1053">
        <f>$C1053*BR1052</f>
        <v/>
      </c>
      <c r="BS1053">
        <f>$C1053*BS1052</f>
        <v/>
      </c>
      <c r="BT1053">
        <f>$C1053*BT1052</f>
        <v/>
      </c>
      <c r="BU1053">
        <f>$C1053*BU1052</f>
        <v/>
      </c>
      <c r="BV1053">
        <f>$C1053*BV1052</f>
        <v/>
      </c>
      <c r="BW1053">
        <f>$C1053*BW1052</f>
        <v/>
      </c>
      <c r="BX1053">
        <f>$C1053*BX1052</f>
        <v/>
      </c>
      <c r="BY1053">
        <f>$C1053*BY1052</f>
        <v/>
      </c>
      <c r="BZ1053">
        <f>$C1053*BZ1052</f>
        <v/>
      </c>
      <c r="CA1053">
        <f>$C1053*CA1052</f>
        <v/>
      </c>
      <c r="CB1053">
        <f>$C1053*CB1052</f>
        <v/>
      </c>
      <c r="CC1053">
        <f>$C1053*CC1052</f>
        <v/>
      </c>
      <c r="CD1053">
        <f>$C1053*CD1052</f>
        <v/>
      </c>
      <c r="CE1053">
        <f>$C1053*CE1052</f>
        <v/>
      </c>
      <c r="CF1053">
        <f>$C1053*CF1052</f>
        <v/>
      </c>
      <c r="CG1053">
        <f>$C1053*CG1052</f>
        <v/>
      </c>
      <c r="CH1053">
        <f>$C1053*CH1052</f>
        <v/>
      </c>
      <c r="CI1053">
        <f>$C1053*CI1052</f>
        <v/>
      </c>
      <c r="CJ1053">
        <f>$C1053*CJ1052</f>
        <v/>
      </c>
      <c r="CK1053">
        <f>$C1053*CK1052</f>
        <v/>
      </c>
      <c r="CL1053">
        <f>$C1053*CL1052</f>
        <v/>
      </c>
      <c r="CM1053">
        <f>$C1053*CM1052</f>
        <v/>
      </c>
      <c r="CN1053">
        <f>$C1053*CN1052</f>
        <v/>
      </c>
      <c r="CO1053">
        <f>$C1053*CO1052</f>
        <v/>
      </c>
      <c r="CP1053">
        <f>$C1053*CP1052</f>
        <v/>
      </c>
      <c r="CQ1053">
        <f>$C1053*CQ1052</f>
        <v/>
      </c>
      <c r="CR1053">
        <f>$C1053*CR1052</f>
        <v/>
      </c>
      <c r="CS1053">
        <f>$C1053*CS1052</f>
        <v/>
      </c>
      <c r="CT1053">
        <f>$C1053*CT1052</f>
        <v/>
      </c>
      <c r="CU1053">
        <f>$C1053*CU1052</f>
        <v/>
      </c>
      <c r="CV1053">
        <f>$C1053*CV1052</f>
        <v/>
      </c>
      <c r="CW1053">
        <f>$C1053*CW1052</f>
        <v/>
      </c>
      <c r="CX1053">
        <f>$C1053*CX1052</f>
        <v/>
      </c>
      <c r="CY1053">
        <f>$C1053*CY1052</f>
        <v/>
      </c>
      <c r="CZ1053">
        <f>$C1053*CZ1052</f>
        <v/>
      </c>
      <c r="DA1053">
        <f>$C1053*DA1052</f>
        <v/>
      </c>
      <c r="DB1053">
        <f>$C1053*DB1052</f>
        <v/>
      </c>
      <c r="DC1053">
        <f>$C1053*DC1052</f>
        <v/>
      </c>
    </row>
    <row r="1054">
      <c r="B1054" t="inlineStr">
        <is>
          <t>TSP-225</t>
        </is>
      </c>
      <c r="C1054" t="inlineStr">
        <is>
          <t>No. of batches</t>
        </is>
      </c>
      <c r="D1054">
        <f>IFERROR(INDEX(PP_Grid[#Data],$DD1054,2),0)</f>
        <v/>
      </c>
      <c r="E1054">
        <f>IFERROR(INDEX(PP_Grid[#Data],$DD1054,3),0)</f>
        <v/>
      </c>
      <c r="F1054">
        <f>IFERROR(INDEX(PP_Grid[#Data],$DD1054,4),0)</f>
        <v/>
      </c>
      <c r="G1054">
        <f>IFERROR(INDEX(PP_Grid[#Data],$DD1054,5),0)</f>
        <v/>
      </c>
      <c r="H1054">
        <f>IFERROR(INDEX(PP_Grid[#Data],$DD1054,6),0)</f>
        <v/>
      </c>
      <c r="I1054">
        <f>IFERROR(INDEX(PP_Grid[#Data],$DD1054,7),0)</f>
        <v/>
      </c>
      <c r="J1054">
        <f>IFERROR(INDEX(PP_Grid[#Data],$DD1054,8),0)</f>
        <v/>
      </c>
      <c r="K1054">
        <f>IFERROR(INDEX(PP_Grid[#Data],$DD1054,9),0)</f>
        <v/>
      </c>
      <c r="L1054">
        <f>IFERROR(INDEX(PP_Grid[#Data],$DD1054,10),0)</f>
        <v/>
      </c>
      <c r="M1054">
        <f>IFERROR(INDEX(PP_Grid[#Data],$DD1054,11),0)</f>
        <v/>
      </c>
      <c r="N1054">
        <f>IFERROR(INDEX(PP_Grid[#Data],$DD1054,12),0)</f>
        <v/>
      </c>
      <c r="O1054">
        <f>IFERROR(INDEX(PP_Grid[#Data],$DD1054,13),0)</f>
        <v/>
      </c>
      <c r="P1054">
        <f>IFERROR(INDEX(PP_Grid[#Data],$DD1054,14),0)</f>
        <v/>
      </c>
      <c r="Q1054">
        <f>IFERROR(INDEX(PP_Grid[#Data],$DD1054,15),0)</f>
        <v/>
      </c>
      <c r="R1054">
        <f>IFERROR(INDEX(PP_Grid[#Data],$DD1054,16),0)</f>
        <v/>
      </c>
      <c r="S1054">
        <f>IFERROR(INDEX(PP_Grid[#Data],$DD1054,17),0)</f>
        <v/>
      </c>
      <c r="T1054">
        <f>IFERROR(INDEX(PP_Grid[#Data],$DD1054,18),0)</f>
        <v/>
      </c>
      <c r="U1054">
        <f>IFERROR(INDEX(PP_Grid[#Data],$DD1054,19),0)</f>
        <v/>
      </c>
      <c r="V1054">
        <f>IFERROR(INDEX(PP_Grid[#Data],$DD1054,20),0)</f>
        <v/>
      </c>
      <c r="W1054">
        <f>IFERROR(INDEX(PP_Grid[#Data],$DD1054,21),0)</f>
        <v/>
      </c>
      <c r="X1054">
        <f>IFERROR(INDEX(PP_Grid[#Data],$DD1054,22),0)</f>
        <v/>
      </c>
      <c r="Y1054">
        <f>IFERROR(INDEX(PP_Grid[#Data],$DD1054,23),0)</f>
        <v/>
      </c>
      <c r="Z1054">
        <f>IFERROR(INDEX(PP_Grid[#Data],$DD1054,24),0)</f>
        <v/>
      </c>
      <c r="AA1054">
        <f>IFERROR(INDEX(PP_Grid[#Data],$DD1054,25),0)</f>
        <v/>
      </c>
      <c r="AB1054">
        <f>IFERROR(INDEX(PP_Grid[#Data],$DD1054,26),0)</f>
        <v/>
      </c>
      <c r="AC1054">
        <f>IFERROR(INDEX(PP_Grid[#Data],$DD1054,27),0)</f>
        <v/>
      </c>
      <c r="AD1054">
        <f>IFERROR(INDEX(PP_Grid[#Data],$DD1054,28),0)</f>
        <v/>
      </c>
      <c r="AE1054">
        <f>IFERROR(INDEX(PP_Grid[#Data],$DD1054,29),0)</f>
        <v/>
      </c>
      <c r="AF1054">
        <f>IFERROR(INDEX(PP_Grid[#Data],$DD1054,30),0)</f>
        <v/>
      </c>
      <c r="AG1054">
        <f>IFERROR(INDEX(PP_Grid[#Data],$DD1054,31),0)</f>
        <v/>
      </c>
      <c r="AH1054">
        <f>IFERROR(INDEX(PP_Grid[#Data],$DD1054,32),0)</f>
        <v/>
      </c>
      <c r="AI1054">
        <f>IFERROR(INDEX(PP_Grid[#Data],$DD1054,33),0)</f>
        <v/>
      </c>
      <c r="AJ1054">
        <f>IFERROR(INDEX(PP_Grid[#Data],$DD1054,34),0)</f>
        <v/>
      </c>
      <c r="AK1054">
        <f>IFERROR(INDEX(PP_Grid[#Data],$DD1054,35),0)</f>
        <v/>
      </c>
      <c r="AL1054">
        <f>IFERROR(INDEX(PP_Grid[#Data],$DD1054,36),0)</f>
        <v/>
      </c>
      <c r="AM1054">
        <f>IFERROR(INDEX(PP_Grid[#Data],$DD1054,37),0)</f>
        <v/>
      </c>
      <c r="AN1054">
        <f>IFERROR(INDEX(PP_Grid[#Data],$DD1054,38),0)</f>
        <v/>
      </c>
      <c r="AO1054">
        <f>IFERROR(INDEX(PP_Grid[#Data],$DD1054,39),0)</f>
        <v/>
      </c>
      <c r="AP1054">
        <f>IFERROR(INDEX(PP_Grid[#Data],$DD1054,40),0)</f>
        <v/>
      </c>
      <c r="AQ1054">
        <f>IFERROR(INDEX(PP_Grid[#Data],$DD1054,41),0)</f>
        <v/>
      </c>
      <c r="AR1054">
        <f>IFERROR(INDEX(PP_Grid[#Data],$DD1054,42),0)</f>
        <v/>
      </c>
      <c r="AS1054">
        <f>IFERROR(INDEX(PP_Grid[#Data],$DD1054,43),0)</f>
        <v/>
      </c>
      <c r="AT1054">
        <f>IFERROR(INDEX(PP_Grid[#Data],$DD1054,44),0)</f>
        <v/>
      </c>
      <c r="AU1054">
        <f>IFERROR(INDEX(PP_Grid[#Data],$DD1054,45),0)</f>
        <v/>
      </c>
      <c r="AV1054">
        <f>IFERROR(INDEX(PP_Grid[#Data],$DD1054,46),0)</f>
        <v/>
      </c>
      <c r="AW1054">
        <f>IFERROR(INDEX(PP_Grid[#Data],$DD1054,47),0)</f>
        <v/>
      </c>
      <c r="AX1054">
        <f>IFERROR(INDEX(PP_Grid[#Data],$DD1054,48),0)</f>
        <v/>
      </c>
      <c r="AY1054">
        <f>IFERROR(INDEX(PP_Grid[#Data],$DD1054,49),0)</f>
        <v/>
      </c>
      <c r="AZ1054">
        <f>IFERROR(INDEX(PP_Grid[#Data],$DD1054,50),0)</f>
        <v/>
      </c>
      <c r="BA1054">
        <f>IFERROR(INDEX(PP_Grid[#Data],$DD1054,51),0)</f>
        <v/>
      </c>
      <c r="BB1054">
        <f>IFERROR(INDEX(PP_Grid[#Data],$DD1054,52),0)</f>
        <v/>
      </c>
      <c r="BC1054">
        <f>IFERROR(INDEX(PP_Grid[#Data],$DD1054,53),0)</f>
        <v/>
      </c>
      <c r="BD1054">
        <f>IFERROR(INDEX(PP_Grid[#Data],$DD1054,54),0)</f>
        <v/>
      </c>
      <c r="BE1054">
        <f>IFERROR(INDEX(PP_Grid[#Data],$DD1054,55),0)</f>
        <v/>
      </c>
      <c r="BF1054">
        <f>IFERROR(INDEX(PP_Grid[#Data],$DD1054,56),0)</f>
        <v/>
      </c>
      <c r="BG1054">
        <f>IFERROR(INDEX(PP_Grid[#Data],$DD1054,57),0)</f>
        <v/>
      </c>
      <c r="BH1054">
        <f>IFERROR(INDEX(PP_Grid[#Data],$DD1054,58),0)</f>
        <v/>
      </c>
      <c r="BI1054">
        <f>IFERROR(INDEX(PP_Grid[#Data],$DD1054,59),0)</f>
        <v/>
      </c>
      <c r="BJ1054">
        <f>IFERROR(INDEX(PP_Grid[#Data],$DD1054,60),0)</f>
        <v/>
      </c>
      <c r="BK1054">
        <f>IFERROR(INDEX(PP_Grid[#Data],$DD1054,61),0)</f>
        <v/>
      </c>
      <c r="BL1054">
        <f>IFERROR(INDEX(PP_Grid[#Data],$DD1054,62),0)</f>
        <v/>
      </c>
      <c r="BM1054">
        <f>IFERROR(INDEX(PP_Grid[#Data],$DD1054,63),0)</f>
        <v/>
      </c>
      <c r="BN1054">
        <f>IFERROR(INDEX(PP_Grid[#Data],$DD1054,64),0)</f>
        <v/>
      </c>
      <c r="BO1054">
        <f>IFERROR(INDEX(PP_Grid[#Data],$DD1054,65),0)</f>
        <v/>
      </c>
      <c r="BP1054">
        <f>IFERROR(INDEX(PP_Grid[#Data],$DD1054,66),0)</f>
        <v/>
      </c>
      <c r="BQ1054">
        <f>IFERROR(INDEX(PP_Grid[#Data],$DD1054,67),0)</f>
        <v/>
      </c>
      <c r="BR1054">
        <f>IFERROR(INDEX(PP_Grid[#Data],$DD1054,68),0)</f>
        <v/>
      </c>
      <c r="BS1054">
        <f>IFERROR(INDEX(PP_Grid[#Data],$DD1054,69),0)</f>
        <v/>
      </c>
      <c r="BT1054">
        <f>IFERROR(INDEX(PP_Grid[#Data],$DD1054,70),0)</f>
        <v/>
      </c>
      <c r="BU1054">
        <f>IFERROR(INDEX(PP_Grid[#Data],$DD1054,71),0)</f>
        <v/>
      </c>
      <c r="BV1054">
        <f>IFERROR(INDEX(PP_Grid[#Data],$DD1054,72),0)</f>
        <v/>
      </c>
      <c r="BW1054">
        <f>IFERROR(INDEX(PP_Grid[#Data],$DD1054,73),0)</f>
        <v/>
      </c>
      <c r="BX1054">
        <f>IFERROR(INDEX(PP_Grid[#Data],$DD1054,74),0)</f>
        <v/>
      </c>
      <c r="BY1054">
        <f>IFERROR(INDEX(PP_Grid[#Data],$DD1054,75),0)</f>
        <v/>
      </c>
      <c r="BZ1054">
        <f>IFERROR(INDEX(PP_Grid[#Data],$DD1054,76),0)</f>
        <v/>
      </c>
      <c r="CA1054">
        <f>IFERROR(INDEX(PP_Grid[#Data],$DD1054,77),0)</f>
        <v/>
      </c>
      <c r="CB1054">
        <f>IFERROR(INDEX(PP_Grid[#Data],$DD1054,78),0)</f>
        <v/>
      </c>
      <c r="CC1054">
        <f>IFERROR(INDEX(PP_Grid[#Data],$DD1054,79),0)</f>
        <v/>
      </c>
      <c r="CD1054">
        <f>IFERROR(INDEX(PP_Grid[#Data],$DD1054,80),0)</f>
        <v/>
      </c>
      <c r="CE1054">
        <f>IFERROR(INDEX(PP_Grid[#Data],$DD1054,81),0)</f>
        <v/>
      </c>
      <c r="CF1054">
        <f>IFERROR(INDEX(PP_Grid[#Data],$DD1054,82),0)</f>
        <v/>
      </c>
      <c r="CG1054">
        <f>IFERROR(INDEX(PP_Grid[#Data],$DD1054,83),0)</f>
        <v/>
      </c>
      <c r="CH1054">
        <f>IFERROR(INDEX(PP_Grid[#Data],$DD1054,84),0)</f>
        <v/>
      </c>
      <c r="CI1054">
        <f>IFERROR(INDEX(PP_Grid[#Data],$DD1054,85),0)</f>
        <v/>
      </c>
      <c r="CJ1054">
        <f>IFERROR(INDEX(PP_Grid[#Data],$DD1054,86),0)</f>
        <v/>
      </c>
      <c r="CK1054">
        <f>IFERROR(INDEX(PP_Grid[#Data],$DD1054,87),0)</f>
        <v/>
      </c>
      <c r="CL1054">
        <f>IFERROR(INDEX(PP_Grid[#Data],$DD1054,88),0)</f>
        <v/>
      </c>
      <c r="CM1054">
        <f>IFERROR(INDEX(PP_Grid[#Data],$DD1054,89),0)</f>
        <v/>
      </c>
      <c r="CN1054">
        <f>IFERROR(INDEX(PP_Grid[#Data],$DD1054,90),0)</f>
        <v/>
      </c>
      <c r="CO1054">
        <f>IFERROR(INDEX(PP_Grid[#Data],$DD1054,91),0)</f>
        <v/>
      </c>
      <c r="CP1054">
        <f>IFERROR(INDEX(PP_Grid[#Data],$DD1054,92),0)</f>
        <v/>
      </c>
      <c r="CQ1054">
        <f>IFERROR(INDEX(PP_Grid[#Data],$DD1054,93),0)</f>
        <v/>
      </c>
      <c r="CR1054">
        <f>IFERROR(INDEX(PP_Grid[#Data],$DD1054,94),0)</f>
        <v/>
      </c>
      <c r="CS1054">
        <f>IFERROR(INDEX(PP_Grid[#Data],$DD1054,95),0)</f>
        <v/>
      </c>
      <c r="CT1054">
        <f>IFERROR(INDEX(PP_Grid[#Data],$DD1054,96),0)</f>
        <v/>
      </c>
      <c r="CU1054">
        <f>IFERROR(INDEX(PP_Grid[#Data],$DD1054,97),0)</f>
        <v/>
      </c>
      <c r="CV1054">
        <f>IFERROR(INDEX(PP_Grid[#Data],$DD1054,98),0)</f>
        <v/>
      </c>
      <c r="CW1054">
        <f>IFERROR(INDEX(PP_Grid[#Data],$DD1054,99),0)</f>
        <v/>
      </c>
      <c r="CX1054">
        <f>IFERROR(INDEX(PP_Grid[#Data],$DD1054,100),0)</f>
        <v/>
      </c>
      <c r="CY1054">
        <f>IFERROR(INDEX(PP_Grid[#Data],$DD1054,101),0)</f>
        <v/>
      </c>
      <c r="CZ1054">
        <f>IFERROR(INDEX(PP_Grid[#Data],$DD1054,102),0)</f>
        <v/>
      </c>
      <c r="DA1054">
        <f>IFERROR(INDEX(PP_Grid[#Data],$DD1054,103),0)</f>
        <v/>
      </c>
      <c r="DB1054">
        <f>IFERROR(INDEX(PP_Grid[#Data],$DD1054,104),0)</f>
        <v/>
      </c>
      <c r="DC1054">
        <f>IFERROR(INDEX(PP_Grid[#Data],$DD1054,105),0)</f>
        <v/>
      </c>
      <c r="DD1054" s="12">
        <f>IFERROR(MATCH($B1054,PP_Grid[Intermediate],0),99999)</f>
        <v/>
      </c>
    </row>
    <row r="1055">
      <c r="B1055" t="inlineStr">
        <is>
          <t>使用量(kg)</t>
        </is>
      </c>
      <c r="C1055">
        <f>SUMIFS(M_BOM[RM_Qty_Per_Batch],M_BOM[Intermediate],$B1054,M_BOM[Part Name],$A1045)</f>
        <v/>
      </c>
      <c r="D1055">
        <f>$C1055*D1054</f>
        <v/>
      </c>
      <c r="E1055">
        <f>$C1055*E1054</f>
        <v/>
      </c>
      <c r="F1055">
        <f>$C1055*F1054</f>
        <v/>
      </c>
      <c r="G1055">
        <f>$C1055*G1054</f>
        <v/>
      </c>
      <c r="H1055">
        <f>$C1055*H1054</f>
        <v/>
      </c>
      <c r="I1055">
        <f>$C1055*I1054</f>
        <v/>
      </c>
      <c r="J1055">
        <f>$C1055*J1054</f>
        <v/>
      </c>
      <c r="K1055">
        <f>$C1055*K1054</f>
        <v/>
      </c>
      <c r="L1055">
        <f>$C1055*L1054</f>
        <v/>
      </c>
      <c r="M1055">
        <f>$C1055*M1054</f>
        <v/>
      </c>
      <c r="N1055">
        <f>$C1055*N1054</f>
        <v/>
      </c>
      <c r="O1055">
        <f>$C1055*O1054</f>
        <v/>
      </c>
      <c r="P1055">
        <f>$C1055*P1054</f>
        <v/>
      </c>
      <c r="Q1055">
        <f>$C1055*Q1054</f>
        <v/>
      </c>
      <c r="R1055">
        <f>$C1055*R1054</f>
        <v/>
      </c>
      <c r="S1055">
        <f>$C1055*S1054</f>
        <v/>
      </c>
      <c r="T1055">
        <f>$C1055*T1054</f>
        <v/>
      </c>
      <c r="U1055">
        <f>$C1055*U1054</f>
        <v/>
      </c>
      <c r="V1055">
        <f>$C1055*V1054</f>
        <v/>
      </c>
      <c r="W1055">
        <f>$C1055*W1054</f>
        <v/>
      </c>
      <c r="X1055">
        <f>$C1055*X1054</f>
        <v/>
      </c>
      <c r="Y1055">
        <f>$C1055*Y1054</f>
        <v/>
      </c>
      <c r="Z1055">
        <f>$C1055*Z1054</f>
        <v/>
      </c>
      <c r="AA1055">
        <f>$C1055*AA1054</f>
        <v/>
      </c>
      <c r="AB1055">
        <f>$C1055*AB1054</f>
        <v/>
      </c>
      <c r="AC1055">
        <f>$C1055*AC1054</f>
        <v/>
      </c>
      <c r="AD1055">
        <f>$C1055*AD1054</f>
        <v/>
      </c>
      <c r="AE1055">
        <f>$C1055*AE1054</f>
        <v/>
      </c>
      <c r="AF1055">
        <f>$C1055*AF1054</f>
        <v/>
      </c>
      <c r="AG1055">
        <f>$C1055*AG1054</f>
        <v/>
      </c>
      <c r="AH1055">
        <f>$C1055*AH1054</f>
        <v/>
      </c>
      <c r="AI1055">
        <f>$C1055*AI1054</f>
        <v/>
      </c>
      <c r="AJ1055">
        <f>$C1055*AJ1054</f>
        <v/>
      </c>
      <c r="AK1055">
        <f>$C1055*AK1054</f>
        <v/>
      </c>
      <c r="AL1055">
        <f>$C1055*AL1054</f>
        <v/>
      </c>
      <c r="AM1055">
        <f>$C1055*AM1054</f>
        <v/>
      </c>
      <c r="AN1055">
        <f>$C1055*AN1054</f>
        <v/>
      </c>
      <c r="AO1055">
        <f>$C1055*AO1054</f>
        <v/>
      </c>
      <c r="AP1055">
        <f>$C1055*AP1054</f>
        <v/>
      </c>
      <c r="AQ1055">
        <f>$C1055*AQ1054</f>
        <v/>
      </c>
      <c r="AR1055">
        <f>$C1055*AR1054</f>
        <v/>
      </c>
      <c r="AS1055">
        <f>$C1055*AS1054</f>
        <v/>
      </c>
      <c r="AT1055">
        <f>$C1055*AT1054</f>
        <v/>
      </c>
      <c r="AU1055">
        <f>$C1055*AU1054</f>
        <v/>
      </c>
      <c r="AV1055">
        <f>$C1055*AV1054</f>
        <v/>
      </c>
      <c r="AW1055">
        <f>$C1055*AW1054</f>
        <v/>
      </c>
      <c r="AX1055">
        <f>$C1055*AX1054</f>
        <v/>
      </c>
      <c r="AY1055">
        <f>$C1055*AY1054</f>
        <v/>
      </c>
      <c r="AZ1055">
        <f>$C1055*AZ1054</f>
        <v/>
      </c>
      <c r="BA1055">
        <f>$C1055*BA1054</f>
        <v/>
      </c>
      <c r="BB1055">
        <f>$C1055*BB1054</f>
        <v/>
      </c>
      <c r="BC1055">
        <f>$C1055*BC1054</f>
        <v/>
      </c>
      <c r="BD1055">
        <f>$C1055*BD1054</f>
        <v/>
      </c>
      <c r="BE1055">
        <f>$C1055*BE1054</f>
        <v/>
      </c>
      <c r="BF1055">
        <f>$C1055*BF1054</f>
        <v/>
      </c>
      <c r="BG1055">
        <f>$C1055*BG1054</f>
        <v/>
      </c>
      <c r="BH1055">
        <f>$C1055*BH1054</f>
        <v/>
      </c>
      <c r="BI1055">
        <f>$C1055*BI1054</f>
        <v/>
      </c>
      <c r="BJ1055">
        <f>$C1055*BJ1054</f>
        <v/>
      </c>
      <c r="BK1055">
        <f>$C1055*BK1054</f>
        <v/>
      </c>
      <c r="BL1055">
        <f>$C1055*BL1054</f>
        <v/>
      </c>
      <c r="BM1055">
        <f>$C1055*BM1054</f>
        <v/>
      </c>
      <c r="BN1055">
        <f>$C1055*BN1054</f>
        <v/>
      </c>
      <c r="BO1055">
        <f>$C1055*BO1054</f>
        <v/>
      </c>
      <c r="BP1055">
        <f>$C1055*BP1054</f>
        <v/>
      </c>
      <c r="BQ1055">
        <f>$C1055*BQ1054</f>
        <v/>
      </c>
      <c r="BR1055">
        <f>$C1055*BR1054</f>
        <v/>
      </c>
      <c r="BS1055">
        <f>$C1055*BS1054</f>
        <v/>
      </c>
      <c r="BT1055">
        <f>$C1055*BT1054</f>
        <v/>
      </c>
      <c r="BU1055">
        <f>$C1055*BU1054</f>
        <v/>
      </c>
      <c r="BV1055">
        <f>$C1055*BV1054</f>
        <v/>
      </c>
      <c r="BW1055">
        <f>$C1055*BW1054</f>
        <v/>
      </c>
      <c r="BX1055">
        <f>$C1055*BX1054</f>
        <v/>
      </c>
      <c r="BY1055">
        <f>$C1055*BY1054</f>
        <v/>
      </c>
      <c r="BZ1055">
        <f>$C1055*BZ1054</f>
        <v/>
      </c>
      <c r="CA1055">
        <f>$C1055*CA1054</f>
        <v/>
      </c>
      <c r="CB1055">
        <f>$C1055*CB1054</f>
        <v/>
      </c>
      <c r="CC1055">
        <f>$C1055*CC1054</f>
        <v/>
      </c>
      <c r="CD1055">
        <f>$C1055*CD1054</f>
        <v/>
      </c>
      <c r="CE1055">
        <f>$C1055*CE1054</f>
        <v/>
      </c>
      <c r="CF1055">
        <f>$C1055*CF1054</f>
        <v/>
      </c>
      <c r="CG1055">
        <f>$C1055*CG1054</f>
        <v/>
      </c>
      <c r="CH1055">
        <f>$C1055*CH1054</f>
        <v/>
      </c>
      <c r="CI1055">
        <f>$C1055*CI1054</f>
        <v/>
      </c>
      <c r="CJ1055">
        <f>$C1055*CJ1054</f>
        <v/>
      </c>
      <c r="CK1055">
        <f>$C1055*CK1054</f>
        <v/>
      </c>
      <c r="CL1055">
        <f>$C1055*CL1054</f>
        <v/>
      </c>
      <c r="CM1055">
        <f>$C1055*CM1054</f>
        <v/>
      </c>
      <c r="CN1055">
        <f>$C1055*CN1054</f>
        <v/>
      </c>
      <c r="CO1055">
        <f>$C1055*CO1054</f>
        <v/>
      </c>
      <c r="CP1055">
        <f>$C1055*CP1054</f>
        <v/>
      </c>
      <c r="CQ1055">
        <f>$C1055*CQ1054</f>
        <v/>
      </c>
      <c r="CR1055">
        <f>$C1055*CR1054</f>
        <v/>
      </c>
      <c r="CS1055">
        <f>$C1055*CS1054</f>
        <v/>
      </c>
      <c r="CT1055">
        <f>$C1055*CT1054</f>
        <v/>
      </c>
      <c r="CU1055">
        <f>$C1055*CU1054</f>
        <v/>
      </c>
      <c r="CV1055">
        <f>$C1055*CV1054</f>
        <v/>
      </c>
      <c r="CW1055">
        <f>$C1055*CW1054</f>
        <v/>
      </c>
      <c r="CX1055">
        <f>$C1055*CX1054</f>
        <v/>
      </c>
      <c r="CY1055">
        <f>$C1055*CY1054</f>
        <v/>
      </c>
      <c r="CZ1055">
        <f>$C1055*CZ1054</f>
        <v/>
      </c>
      <c r="DA1055">
        <f>$C1055*DA1054</f>
        <v/>
      </c>
      <c r="DB1055">
        <f>$C1055*DB1054</f>
        <v/>
      </c>
      <c r="DC1055">
        <f>$C1055*DC1054</f>
        <v/>
      </c>
    </row>
    <row r="1056">
      <c r="B1056" s="5" t="inlineStr">
        <is>
          <t>合計使用量(kg)/週</t>
        </is>
      </c>
      <c r="D1056">
        <f>'Grid_Requirement'!B46</f>
        <v/>
      </c>
      <c r="E1056">
        <f>'Grid_Requirement'!C46</f>
        <v/>
      </c>
      <c r="F1056">
        <f>'Grid_Requirement'!D46</f>
        <v/>
      </c>
      <c r="G1056">
        <f>'Grid_Requirement'!E46</f>
        <v/>
      </c>
      <c r="H1056">
        <f>'Grid_Requirement'!F46</f>
        <v/>
      </c>
      <c r="I1056">
        <f>'Grid_Requirement'!G46</f>
        <v/>
      </c>
      <c r="J1056">
        <f>'Grid_Requirement'!H46</f>
        <v/>
      </c>
      <c r="K1056">
        <f>'Grid_Requirement'!I46</f>
        <v/>
      </c>
      <c r="L1056">
        <f>'Grid_Requirement'!J46</f>
        <v/>
      </c>
      <c r="M1056">
        <f>'Grid_Requirement'!K46</f>
        <v/>
      </c>
      <c r="N1056">
        <f>'Grid_Requirement'!L46</f>
        <v/>
      </c>
      <c r="O1056">
        <f>'Grid_Requirement'!M46</f>
        <v/>
      </c>
      <c r="P1056">
        <f>'Grid_Requirement'!N46</f>
        <v/>
      </c>
      <c r="Q1056">
        <f>'Grid_Requirement'!O46</f>
        <v/>
      </c>
      <c r="R1056">
        <f>'Grid_Requirement'!P46</f>
        <v/>
      </c>
      <c r="S1056">
        <f>'Grid_Requirement'!Q46</f>
        <v/>
      </c>
      <c r="T1056">
        <f>'Grid_Requirement'!R46</f>
        <v/>
      </c>
      <c r="U1056">
        <f>'Grid_Requirement'!S46</f>
        <v/>
      </c>
      <c r="V1056">
        <f>'Grid_Requirement'!T46</f>
        <v/>
      </c>
      <c r="W1056">
        <f>'Grid_Requirement'!U46</f>
        <v/>
      </c>
      <c r="X1056">
        <f>'Grid_Requirement'!V46</f>
        <v/>
      </c>
      <c r="Y1056">
        <f>'Grid_Requirement'!W46</f>
        <v/>
      </c>
      <c r="Z1056">
        <f>'Grid_Requirement'!X46</f>
        <v/>
      </c>
      <c r="AA1056">
        <f>'Grid_Requirement'!Y46</f>
        <v/>
      </c>
      <c r="AB1056">
        <f>'Grid_Requirement'!Z46</f>
        <v/>
      </c>
      <c r="AC1056">
        <f>'Grid_Requirement'!AA46</f>
        <v/>
      </c>
      <c r="AD1056">
        <f>'Grid_Requirement'!AB46</f>
        <v/>
      </c>
      <c r="AE1056">
        <f>'Grid_Requirement'!AC46</f>
        <v/>
      </c>
      <c r="AF1056">
        <f>'Grid_Requirement'!AD46</f>
        <v/>
      </c>
      <c r="AG1056">
        <f>'Grid_Requirement'!AE46</f>
        <v/>
      </c>
      <c r="AH1056">
        <f>'Grid_Requirement'!AF46</f>
        <v/>
      </c>
      <c r="AI1056">
        <f>'Grid_Requirement'!AG46</f>
        <v/>
      </c>
      <c r="AJ1056">
        <f>'Grid_Requirement'!AH46</f>
        <v/>
      </c>
      <c r="AK1056">
        <f>'Grid_Requirement'!AI46</f>
        <v/>
      </c>
      <c r="AL1056">
        <f>'Grid_Requirement'!AJ46</f>
        <v/>
      </c>
      <c r="AM1056">
        <f>'Grid_Requirement'!AK46</f>
        <v/>
      </c>
      <c r="AN1056">
        <f>'Grid_Requirement'!AL46</f>
        <v/>
      </c>
      <c r="AO1056">
        <f>'Grid_Requirement'!AM46</f>
        <v/>
      </c>
      <c r="AP1056">
        <f>'Grid_Requirement'!AN46</f>
        <v/>
      </c>
      <c r="AQ1056">
        <f>'Grid_Requirement'!AO46</f>
        <v/>
      </c>
      <c r="AR1056">
        <f>'Grid_Requirement'!AP46</f>
        <v/>
      </c>
      <c r="AS1056">
        <f>'Grid_Requirement'!AQ46</f>
        <v/>
      </c>
      <c r="AT1056">
        <f>'Grid_Requirement'!AR46</f>
        <v/>
      </c>
      <c r="AU1056">
        <f>'Grid_Requirement'!AS46</f>
        <v/>
      </c>
      <c r="AV1056">
        <f>'Grid_Requirement'!AT46</f>
        <v/>
      </c>
      <c r="AW1056">
        <f>'Grid_Requirement'!AU46</f>
        <v/>
      </c>
      <c r="AX1056">
        <f>'Grid_Requirement'!AV46</f>
        <v/>
      </c>
      <c r="AY1056">
        <f>'Grid_Requirement'!AW46</f>
        <v/>
      </c>
      <c r="AZ1056">
        <f>'Grid_Requirement'!AX46</f>
        <v/>
      </c>
      <c r="BA1056">
        <f>'Grid_Requirement'!AY46</f>
        <v/>
      </c>
      <c r="BB1056">
        <f>'Grid_Requirement'!AZ46</f>
        <v/>
      </c>
      <c r="BC1056">
        <f>'Grid_Requirement'!BA46</f>
        <v/>
      </c>
      <c r="BD1056">
        <f>'Grid_Requirement'!BB46</f>
        <v/>
      </c>
      <c r="BE1056">
        <f>'Grid_Requirement'!BC46</f>
        <v/>
      </c>
      <c r="BF1056">
        <f>'Grid_Requirement'!BD46</f>
        <v/>
      </c>
      <c r="BG1056">
        <f>'Grid_Requirement'!BE46</f>
        <v/>
      </c>
      <c r="BH1056">
        <f>'Grid_Requirement'!BF46</f>
        <v/>
      </c>
      <c r="BI1056">
        <f>'Grid_Requirement'!BG46</f>
        <v/>
      </c>
      <c r="BJ1056">
        <f>'Grid_Requirement'!BH46</f>
        <v/>
      </c>
      <c r="BK1056">
        <f>'Grid_Requirement'!BI46</f>
        <v/>
      </c>
      <c r="BL1056">
        <f>'Grid_Requirement'!BJ46</f>
        <v/>
      </c>
      <c r="BM1056">
        <f>'Grid_Requirement'!BK46</f>
        <v/>
      </c>
      <c r="BN1056">
        <f>'Grid_Requirement'!BL46</f>
        <v/>
      </c>
      <c r="BO1056">
        <f>'Grid_Requirement'!BM46</f>
        <v/>
      </c>
      <c r="BP1056">
        <f>'Grid_Requirement'!BN46</f>
        <v/>
      </c>
      <c r="BQ1056">
        <f>'Grid_Requirement'!BO46</f>
        <v/>
      </c>
      <c r="BR1056">
        <f>'Grid_Requirement'!BP46</f>
        <v/>
      </c>
      <c r="BS1056">
        <f>'Grid_Requirement'!BQ46</f>
        <v/>
      </c>
      <c r="BT1056">
        <f>'Grid_Requirement'!BR46</f>
        <v/>
      </c>
      <c r="BU1056">
        <f>'Grid_Requirement'!BS46</f>
        <v/>
      </c>
      <c r="BV1056">
        <f>'Grid_Requirement'!BT46</f>
        <v/>
      </c>
      <c r="BW1056">
        <f>'Grid_Requirement'!BU46</f>
        <v/>
      </c>
      <c r="BX1056">
        <f>'Grid_Requirement'!BV46</f>
        <v/>
      </c>
      <c r="BY1056">
        <f>'Grid_Requirement'!BW46</f>
        <v/>
      </c>
      <c r="BZ1056">
        <f>'Grid_Requirement'!BX46</f>
        <v/>
      </c>
      <c r="CA1056">
        <f>'Grid_Requirement'!BY46</f>
        <v/>
      </c>
      <c r="CB1056">
        <f>'Grid_Requirement'!BZ46</f>
        <v/>
      </c>
      <c r="CC1056">
        <f>'Grid_Requirement'!CA46</f>
        <v/>
      </c>
      <c r="CD1056">
        <f>'Grid_Requirement'!CB46</f>
        <v/>
      </c>
      <c r="CE1056">
        <f>'Grid_Requirement'!CC46</f>
        <v/>
      </c>
      <c r="CF1056">
        <f>'Grid_Requirement'!CD46</f>
        <v/>
      </c>
      <c r="CG1056">
        <f>'Grid_Requirement'!CE46</f>
        <v/>
      </c>
      <c r="CH1056">
        <f>'Grid_Requirement'!CF46</f>
        <v/>
      </c>
      <c r="CI1056">
        <f>'Grid_Requirement'!CG46</f>
        <v/>
      </c>
      <c r="CJ1056">
        <f>'Grid_Requirement'!CH46</f>
        <v/>
      </c>
      <c r="CK1056">
        <f>'Grid_Requirement'!CI46</f>
        <v/>
      </c>
      <c r="CL1056">
        <f>'Grid_Requirement'!CJ46</f>
        <v/>
      </c>
      <c r="CM1056">
        <f>'Grid_Requirement'!CK46</f>
        <v/>
      </c>
      <c r="CN1056">
        <f>'Grid_Requirement'!CL46</f>
        <v/>
      </c>
      <c r="CO1056">
        <f>'Grid_Requirement'!CM46</f>
        <v/>
      </c>
      <c r="CP1056">
        <f>'Grid_Requirement'!CN46</f>
        <v/>
      </c>
      <c r="CQ1056">
        <f>'Grid_Requirement'!CO46</f>
        <v/>
      </c>
      <c r="CR1056">
        <f>'Grid_Requirement'!CP46</f>
        <v/>
      </c>
      <c r="CS1056">
        <f>'Grid_Requirement'!CQ46</f>
        <v/>
      </c>
      <c r="CT1056">
        <f>'Grid_Requirement'!CR46</f>
        <v/>
      </c>
      <c r="CU1056">
        <f>'Grid_Requirement'!CS46</f>
        <v/>
      </c>
      <c r="CV1056">
        <f>'Grid_Requirement'!CT46</f>
        <v/>
      </c>
      <c r="CW1056">
        <f>'Grid_Requirement'!CU46</f>
        <v/>
      </c>
      <c r="CX1056">
        <f>'Grid_Requirement'!CV46</f>
        <v/>
      </c>
      <c r="CY1056">
        <f>'Grid_Requirement'!CW46</f>
        <v/>
      </c>
      <c r="CZ1056">
        <f>'Grid_Requirement'!CX46</f>
        <v/>
      </c>
      <c r="DA1056">
        <f>'Grid_Requirement'!CY46</f>
        <v/>
      </c>
      <c r="DB1056">
        <f>'Grid_Requirement'!CZ46</f>
        <v/>
      </c>
      <c r="DC1056">
        <f>'Grid_Requirement'!DA46</f>
        <v/>
      </c>
    </row>
    <row r="1057">
      <c r="B1057" t="inlineStr">
        <is>
          <t>TTAF在庫(実績,kg)</t>
        </is>
      </c>
      <c r="D1057">
        <f>'T_TTAFStock'!B50</f>
        <v/>
      </c>
      <c r="E1057">
        <f>'T_TTAFStock'!C50</f>
        <v/>
      </c>
      <c r="F1057">
        <f>'T_TTAFStock'!D50</f>
        <v/>
      </c>
      <c r="G1057">
        <f>'T_TTAFStock'!E50</f>
        <v/>
      </c>
      <c r="H1057">
        <f>'T_TTAFStock'!F50</f>
        <v/>
      </c>
      <c r="I1057">
        <f>'T_TTAFStock'!G50</f>
        <v/>
      </c>
      <c r="J1057">
        <f>'T_TTAFStock'!H50</f>
        <v/>
      </c>
      <c r="K1057">
        <f>'T_TTAFStock'!I50</f>
        <v/>
      </c>
      <c r="L1057">
        <f>'T_TTAFStock'!J50</f>
        <v/>
      </c>
      <c r="M1057">
        <f>'T_TTAFStock'!K50</f>
        <v/>
      </c>
      <c r="N1057">
        <f>'T_TTAFStock'!L50</f>
        <v/>
      </c>
      <c r="O1057">
        <f>'T_TTAFStock'!M50</f>
        <v/>
      </c>
      <c r="P1057">
        <f>'T_TTAFStock'!N50</f>
        <v/>
      </c>
      <c r="Q1057">
        <f>'T_TTAFStock'!O50</f>
        <v/>
      </c>
      <c r="R1057">
        <f>'T_TTAFStock'!P50</f>
        <v/>
      </c>
      <c r="S1057">
        <f>'T_TTAFStock'!Q50</f>
        <v/>
      </c>
      <c r="T1057">
        <f>'T_TTAFStock'!R50</f>
        <v/>
      </c>
      <c r="U1057">
        <f>'T_TTAFStock'!S50</f>
        <v/>
      </c>
      <c r="V1057">
        <f>'T_TTAFStock'!T50</f>
        <v/>
      </c>
      <c r="W1057">
        <f>'T_TTAFStock'!U50</f>
        <v/>
      </c>
      <c r="X1057">
        <f>'T_TTAFStock'!V50</f>
        <v/>
      </c>
      <c r="Y1057">
        <f>'T_TTAFStock'!W50</f>
        <v/>
      </c>
      <c r="Z1057">
        <f>'T_TTAFStock'!X50</f>
        <v/>
      </c>
      <c r="AA1057">
        <f>'T_TTAFStock'!Y50</f>
        <v/>
      </c>
      <c r="AB1057">
        <f>'T_TTAFStock'!Z50</f>
        <v/>
      </c>
      <c r="AC1057">
        <f>'T_TTAFStock'!AA50</f>
        <v/>
      </c>
      <c r="AD1057">
        <f>'T_TTAFStock'!AB50</f>
        <v/>
      </c>
      <c r="AE1057">
        <f>'T_TTAFStock'!AC50</f>
        <v/>
      </c>
      <c r="AF1057">
        <f>'T_TTAFStock'!AD50</f>
        <v/>
      </c>
      <c r="AG1057">
        <f>'T_TTAFStock'!AE50</f>
        <v/>
      </c>
      <c r="AH1057">
        <f>'T_TTAFStock'!AF50</f>
        <v/>
      </c>
      <c r="AI1057">
        <f>'T_TTAFStock'!AG50</f>
        <v/>
      </c>
      <c r="AJ1057">
        <f>'T_TTAFStock'!AH50</f>
        <v/>
      </c>
      <c r="AK1057">
        <f>'T_TTAFStock'!AI50</f>
        <v/>
      </c>
      <c r="AL1057">
        <f>'T_TTAFStock'!AJ50</f>
        <v/>
      </c>
      <c r="AM1057">
        <f>'T_TTAFStock'!AK50</f>
        <v/>
      </c>
      <c r="AN1057">
        <f>'T_TTAFStock'!AL50</f>
        <v/>
      </c>
      <c r="AO1057">
        <f>'T_TTAFStock'!AM50</f>
        <v/>
      </c>
      <c r="AP1057">
        <f>'T_TTAFStock'!AN50</f>
        <v/>
      </c>
      <c r="AQ1057">
        <f>'T_TTAFStock'!AO50</f>
        <v/>
      </c>
      <c r="AR1057">
        <f>'T_TTAFStock'!AP50</f>
        <v/>
      </c>
      <c r="AS1057">
        <f>'T_TTAFStock'!AQ50</f>
        <v/>
      </c>
      <c r="AT1057">
        <f>'T_TTAFStock'!AR50</f>
        <v/>
      </c>
      <c r="AU1057">
        <f>'T_TTAFStock'!AS50</f>
        <v/>
      </c>
      <c r="AV1057">
        <f>'T_TTAFStock'!AT50</f>
        <v/>
      </c>
      <c r="AW1057">
        <f>'T_TTAFStock'!AU50</f>
        <v/>
      </c>
      <c r="AX1057">
        <f>'T_TTAFStock'!AV50</f>
        <v/>
      </c>
      <c r="AY1057">
        <f>'T_TTAFStock'!AW50</f>
        <v/>
      </c>
      <c r="AZ1057">
        <f>'T_TTAFStock'!AX50</f>
        <v/>
      </c>
      <c r="BA1057">
        <f>'T_TTAFStock'!AY50</f>
        <v/>
      </c>
      <c r="BB1057">
        <f>'T_TTAFStock'!AZ50</f>
        <v/>
      </c>
      <c r="BC1057">
        <f>'T_TTAFStock'!BA50</f>
        <v/>
      </c>
      <c r="BD1057">
        <f>'T_TTAFStock'!BB50</f>
        <v/>
      </c>
      <c r="BE1057">
        <f>'T_TTAFStock'!BC50</f>
        <v/>
      </c>
      <c r="BF1057">
        <f>'T_TTAFStock'!BD50</f>
        <v/>
      </c>
      <c r="BG1057">
        <f>'T_TTAFStock'!BE50</f>
        <v/>
      </c>
      <c r="BH1057">
        <f>'T_TTAFStock'!BF50</f>
        <v/>
      </c>
      <c r="BI1057">
        <f>'T_TTAFStock'!BG50</f>
        <v/>
      </c>
      <c r="BJ1057">
        <f>'T_TTAFStock'!BH50</f>
        <v/>
      </c>
      <c r="BK1057">
        <f>'T_TTAFStock'!BI50</f>
        <v/>
      </c>
      <c r="BL1057">
        <f>'T_TTAFStock'!BJ50</f>
        <v/>
      </c>
      <c r="BM1057">
        <f>'T_TTAFStock'!BK50</f>
        <v/>
      </c>
      <c r="BN1057">
        <f>'T_TTAFStock'!BL50</f>
        <v/>
      </c>
      <c r="BO1057">
        <f>'T_TTAFStock'!BM50</f>
        <v/>
      </c>
      <c r="BP1057">
        <f>'T_TTAFStock'!BN50</f>
        <v/>
      </c>
      <c r="BQ1057">
        <f>'T_TTAFStock'!BO50</f>
        <v/>
      </c>
      <c r="BR1057">
        <f>'T_TTAFStock'!BP50</f>
        <v/>
      </c>
      <c r="BS1057">
        <f>'T_TTAFStock'!BQ50</f>
        <v/>
      </c>
      <c r="BT1057">
        <f>'T_TTAFStock'!BR50</f>
        <v/>
      </c>
      <c r="BU1057">
        <f>'T_TTAFStock'!BS50</f>
        <v/>
      </c>
      <c r="BV1057">
        <f>'T_TTAFStock'!BT50</f>
        <v/>
      </c>
      <c r="BW1057">
        <f>'T_TTAFStock'!BU50</f>
        <v/>
      </c>
      <c r="BX1057">
        <f>'T_TTAFStock'!BV50</f>
        <v/>
      </c>
      <c r="BY1057">
        <f>'T_TTAFStock'!BW50</f>
        <v/>
      </c>
      <c r="BZ1057">
        <f>'T_TTAFStock'!BX50</f>
        <v/>
      </c>
      <c r="CA1057">
        <f>'T_TTAFStock'!BY50</f>
        <v/>
      </c>
      <c r="CB1057">
        <f>'T_TTAFStock'!BZ50</f>
        <v/>
      </c>
      <c r="CC1057">
        <f>'T_TTAFStock'!CA50</f>
        <v/>
      </c>
      <c r="CD1057">
        <f>'T_TTAFStock'!CB50</f>
        <v/>
      </c>
      <c r="CE1057">
        <f>'T_TTAFStock'!CC50</f>
        <v/>
      </c>
      <c r="CF1057">
        <f>'T_TTAFStock'!CD50</f>
        <v/>
      </c>
      <c r="CG1057">
        <f>'T_TTAFStock'!CE50</f>
        <v/>
      </c>
      <c r="CH1057">
        <f>'T_TTAFStock'!CF50</f>
        <v/>
      </c>
      <c r="CI1057">
        <f>'T_TTAFStock'!CG50</f>
        <v/>
      </c>
      <c r="CJ1057">
        <f>'T_TTAFStock'!CH50</f>
        <v/>
      </c>
      <c r="CK1057">
        <f>'T_TTAFStock'!CI50</f>
        <v/>
      </c>
      <c r="CL1057">
        <f>'T_TTAFStock'!CJ50</f>
        <v/>
      </c>
      <c r="CM1057">
        <f>'T_TTAFStock'!CK50</f>
        <v/>
      </c>
      <c r="CN1057">
        <f>'T_TTAFStock'!CL50</f>
        <v/>
      </c>
      <c r="CO1057">
        <f>'T_TTAFStock'!CM50</f>
        <v/>
      </c>
      <c r="CP1057">
        <f>'T_TTAFStock'!CN50</f>
        <v/>
      </c>
      <c r="CQ1057">
        <f>'T_TTAFStock'!CO50</f>
        <v/>
      </c>
      <c r="CR1057">
        <f>'T_TTAFStock'!CP50</f>
        <v/>
      </c>
      <c r="CS1057">
        <f>'T_TTAFStock'!CQ50</f>
        <v/>
      </c>
      <c r="CT1057">
        <f>'T_TTAFStock'!CR50</f>
        <v/>
      </c>
      <c r="CU1057">
        <f>'T_TTAFStock'!CS50</f>
        <v/>
      </c>
      <c r="CV1057">
        <f>'T_TTAFStock'!CT50</f>
        <v/>
      </c>
      <c r="CW1057">
        <f>'T_TTAFStock'!CU50</f>
        <v/>
      </c>
      <c r="CX1057">
        <f>'T_TTAFStock'!CV50</f>
        <v/>
      </c>
      <c r="CY1057">
        <f>'T_TTAFStock'!CW50</f>
        <v/>
      </c>
      <c r="CZ1057">
        <f>'T_TTAFStock'!CX50</f>
        <v/>
      </c>
      <c r="DA1057">
        <f>'T_TTAFStock'!CY50</f>
        <v/>
      </c>
      <c r="DB1057">
        <f>'T_TTAFStock'!CZ50</f>
        <v/>
      </c>
      <c r="DC1057">
        <f>'T_TTAFStock'!DA50</f>
        <v/>
      </c>
    </row>
    <row r="1058">
      <c r="B1058" t="inlineStr">
        <is>
          <t>自社在庫(実績,kg)</t>
        </is>
      </c>
      <c r="D1058">
        <f>'T_SelfStock'!B50</f>
        <v/>
      </c>
      <c r="E1058">
        <f>'T_SelfStock'!C50</f>
        <v/>
      </c>
      <c r="F1058">
        <f>'T_SelfStock'!D50</f>
        <v/>
      </c>
      <c r="G1058">
        <f>'T_SelfStock'!E50</f>
        <v/>
      </c>
      <c r="H1058">
        <f>'T_SelfStock'!F50</f>
        <v/>
      </c>
      <c r="I1058">
        <f>'T_SelfStock'!G50</f>
        <v/>
      </c>
      <c r="J1058">
        <f>'T_SelfStock'!H50</f>
        <v/>
      </c>
      <c r="K1058">
        <f>'T_SelfStock'!I50</f>
        <v/>
      </c>
      <c r="L1058">
        <f>'T_SelfStock'!J50</f>
        <v/>
      </c>
      <c r="M1058">
        <f>'T_SelfStock'!K50</f>
        <v/>
      </c>
      <c r="N1058">
        <f>'T_SelfStock'!L50</f>
        <v/>
      </c>
      <c r="O1058">
        <f>'T_SelfStock'!M50</f>
        <v/>
      </c>
      <c r="P1058">
        <f>'T_SelfStock'!N50</f>
        <v/>
      </c>
      <c r="Q1058">
        <f>'T_SelfStock'!O50</f>
        <v/>
      </c>
      <c r="R1058">
        <f>'T_SelfStock'!P50</f>
        <v/>
      </c>
      <c r="S1058">
        <f>'T_SelfStock'!Q50</f>
        <v/>
      </c>
      <c r="T1058">
        <f>'T_SelfStock'!R50</f>
        <v/>
      </c>
      <c r="U1058">
        <f>'T_SelfStock'!S50</f>
        <v/>
      </c>
      <c r="V1058">
        <f>'T_SelfStock'!T50</f>
        <v/>
      </c>
      <c r="W1058">
        <f>'T_SelfStock'!U50</f>
        <v/>
      </c>
      <c r="X1058">
        <f>'T_SelfStock'!V50</f>
        <v/>
      </c>
      <c r="Y1058">
        <f>'T_SelfStock'!W50</f>
        <v/>
      </c>
      <c r="Z1058">
        <f>'T_SelfStock'!X50</f>
        <v/>
      </c>
      <c r="AA1058">
        <f>'T_SelfStock'!Y50</f>
        <v/>
      </c>
      <c r="AB1058">
        <f>'T_SelfStock'!Z50</f>
        <v/>
      </c>
      <c r="AC1058">
        <f>'T_SelfStock'!AA50</f>
        <v/>
      </c>
      <c r="AD1058">
        <f>'T_SelfStock'!AB50</f>
        <v/>
      </c>
      <c r="AE1058">
        <f>'T_SelfStock'!AC50</f>
        <v/>
      </c>
      <c r="AF1058">
        <f>'T_SelfStock'!AD50</f>
        <v/>
      </c>
      <c r="AG1058">
        <f>'T_SelfStock'!AE50</f>
        <v/>
      </c>
      <c r="AH1058">
        <f>'T_SelfStock'!AF50</f>
        <v/>
      </c>
      <c r="AI1058">
        <f>'T_SelfStock'!AG50</f>
        <v/>
      </c>
      <c r="AJ1058">
        <f>'T_SelfStock'!AH50</f>
        <v/>
      </c>
      <c r="AK1058">
        <f>'T_SelfStock'!AI50</f>
        <v/>
      </c>
      <c r="AL1058">
        <f>'T_SelfStock'!AJ50</f>
        <v/>
      </c>
      <c r="AM1058">
        <f>'T_SelfStock'!AK50</f>
        <v/>
      </c>
      <c r="AN1058">
        <f>'T_SelfStock'!AL50</f>
        <v/>
      </c>
      <c r="AO1058">
        <f>'T_SelfStock'!AM50</f>
        <v/>
      </c>
      <c r="AP1058">
        <f>'T_SelfStock'!AN50</f>
        <v/>
      </c>
      <c r="AQ1058">
        <f>'T_SelfStock'!AO50</f>
        <v/>
      </c>
      <c r="AR1058">
        <f>'T_SelfStock'!AP50</f>
        <v/>
      </c>
      <c r="AS1058">
        <f>'T_SelfStock'!AQ50</f>
        <v/>
      </c>
      <c r="AT1058">
        <f>'T_SelfStock'!AR50</f>
        <v/>
      </c>
      <c r="AU1058">
        <f>'T_SelfStock'!AS50</f>
        <v/>
      </c>
      <c r="AV1058">
        <f>'T_SelfStock'!AT50</f>
        <v/>
      </c>
      <c r="AW1058">
        <f>'T_SelfStock'!AU50</f>
        <v/>
      </c>
      <c r="AX1058">
        <f>'T_SelfStock'!AV50</f>
        <v/>
      </c>
      <c r="AY1058">
        <f>'T_SelfStock'!AW50</f>
        <v/>
      </c>
      <c r="AZ1058">
        <f>'T_SelfStock'!AX50</f>
        <v/>
      </c>
      <c r="BA1058">
        <f>'T_SelfStock'!AY50</f>
        <v/>
      </c>
      <c r="BB1058">
        <f>'T_SelfStock'!AZ50</f>
        <v/>
      </c>
      <c r="BC1058">
        <f>'T_SelfStock'!BA50</f>
        <v/>
      </c>
      <c r="BD1058">
        <f>'T_SelfStock'!BB50</f>
        <v/>
      </c>
      <c r="BE1058">
        <f>'T_SelfStock'!BC50</f>
        <v/>
      </c>
      <c r="BF1058">
        <f>'T_SelfStock'!BD50</f>
        <v/>
      </c>
      <c r="BG1058">
        <f>'T_SelfStock'!BE50</f>
        <v/>
      </c>
      <c r="BH1058">
        <f>'T_SelfStock'!BF50</f>
        <v/>
      </c>
      <c r="BI1058">
        <f>'T_SelfStock'!BG50</f>
        <v/>
      </c>
      <c r="BJ1058">
        <f>'T_SelfStock'!BH50</f>
        <v/>
      </c>
      <c r="BK1058">
        <f>'T_SelfStock'!BI50</f>
        <v/>
      </c>
      <c r="BL1058">
        <f>'T_SelfStock'!BJ50</f>
        <v/>
      </c>
      <c r="BM1058">
        <f>'T_SelfStock'!BK50</f>
        <v/>
      </c>
      <c r="BN1058">
        <f>'T_SelfStock'!BL50</f>
        <v/>
      </c>
      <c r="BO1058">
        <f>'T_SelfStock'!BM50</f>
        <v/>
      </c>
      <c r="BP1058">
        <f>'T_SelfStock'!BN50</f>
        <v/>
      </c>
      <c r="BQ1058">
        <f>'T_SelfStock'!BO50</f>
        <v/>
      </c>
      <c r="BR1058">
        <f>'T_SelfStock'!BP50</f>
        <v/>
      </c>
      <c r="BS1058">
        <f>'T_SelfStock'!BQ50</f>
        <v/>
      </c>
      <c r="BT1058">
        <f>'T_SelfStock'!BR50</f>
        <v/>
      </c>
      <c r="BU1058">
        <f>'T_SelfStock'!BS50</f>
        <v/>
      </c>
      <c r="BV1058">
        <f>'T_SelfStock'!BT50</f>
        <v/>
      </c>
      <c r="BW1058">
        <f>'T_SelfStock'!BU50</f>
        <v/>
      </c>
      <c r="BX1058">
        <f>'T_SelfStock'!BV50</f>
        <v/>
      </c>
      <c r="BY1058">
        <f>'T_SelfStock'!BW50</f>
        <v/>
      </c>
      <c r="BZ1058">
        <f>'T_SelfStock'!BX50</f>
        <v/>
      </c>
      <c r="CA1058">
        <f>'T_SelfStock'!BY50</f>
        <v/>
      </c>
      <c r="CB1058">
        <f>'T_SelfStock'!BZ50</f>
        <v/>
      </c>
      <c r="CC1058">
        <f>'T_SelfStock'!CA50</f>
        <v/>
      </c>
      <c r="CD1058">
        <f>'T_SelfStock'!CB50</f>
        <v/>
      </c>
      <c r="CE1058">
        <f>'T_SelfStock'!CC50</f>
        <v/>
      </c>
      <c r="CF1058">
        <f>'T_SelfStock'!CD50</f>
        <v/>
      </c>
      <c r="CG1058">
        <f>'T_SelfStock'!CE50</f>
        <v/>
      </c>
      <c r="CH1058">
        <f>'T_SelfStock'!CF50</f>
        <v/>
      </c>
      <c r="CI1058">
        <f>'T_SelfStock'!CG50</f>
        <v/>
      </c>
      <c r="CJ1058">
        <f>'T_SelfStock'!CH50</f>
        <v/>
      </c>
      <c r="CK1058">
        <f>'T_SelfStock'!CI50</f>
        <v/>
      </c>
      <c r="CL1058">
        <f>'T_SelfStock'!CJ50</f>
        <v/>
      </c>
      <c r="CM1058">
        <f>'T_SelfStock'!CK50</f>
        <v/>
      </c>
      <c r="CN1058">
        <f>'T_SelfStock'!CL50</f>
        <v/>
      </c>
      <c r="CO1058">
        <f>'T_SelfStock'!CM50</f>
        <v/>
      </c>
      <c r="CP1058">
        <f>'T_SelfStock'!CN50</f>
        <v/>
      </c>
      <c r="CQ1058">
        <f>'T_SelfStock'!CO50</f>
        <v/>
      </c>
      <c r="CR1058">
        <f>'T_SelfStock'!CP50</f>
        <v/>
      </c>
      <c r="CS1058">
        <f>'T_SelfStock'!CQ50</f>
        <v/>
      </c>
      <c r="CT1058">
        <f>'T_SelfStock'!CR50</f>
        <v/>
      </c>
      <c r="CU1058">
        <f>'T_SelfStock'!CS50</f>
        <v/>
      </c>
      <c r="CV1058">
        <f>'T_SelfStock'!CT50</f>
        <v/>
      </c>
      <c r="CW1058">
        <f>'T_SelfStock'!CU50</f>
        <v/>
      </c>
      <c r="CX1058">
        <f>'T_SelfStock'!CV50</f>
        <v/>
      </c>
      <c r="CY1058">
        <f>'T_SelfStock'!CW50</f>
        <v/>
      </c>
      <c r="CZ1058">
        <f>'T_SelfStock'!CX50</f>
        <v/>
      </c>
      <c r="DA1058">
        <f>'T_SelfStock'!CY50</f>
        <v/>
      </c>
      <c r="DB1058">
        <f>'T_SelfStock'!CZ50</f>
        <v/>
      </c>
      <c r="DC1058">
        <f>'T_SelfStock'!DA50</f>
        <v/>
      </c>
    </row>
    <row r="1059">
      <c r="B1059" t="inlineStr">
        <is>
          <t>Order(発注予定,kg)</t>
        </is>
      </c>
      <c r="D1059">
        <f>IF(SUMIFS(T_PlannedOrders[EffectiveQty],T_PlannedOrders[Part Name],$A1045,T_PlannedOrders[WeekIndex],1)=0,"",SUMIFS(T_PlannedOrders[EffectiveQty],T_PlannedOrders[Part Name],$A1045,T_PlannedOrders[WeekIndex],1)&amp;" ("&amp;TEXT(SUMPRODUCT(MAX((T_PlannedOrders[Part Name]=$A1045)*(T_PlannedOrders[WeekIndex]=1)*(T_PlannedOrders[EffectiveQty]&gt;0)*T_PlannedOrders[Order_Month])),"m月")&amp;"発注)")</f>
        <v/>
      </c>
      <c r="E1059">
        <f>IF(SUMIFS(T_PlannedOrders[EffectiveQty],T_PlannedOrders[Part Name],$A1045,T_PlannedOrders[WeekIndex],2)=0,"",SUMIFS(T_PlannedOrders[EffectiveQty],T_PlannedOrders[Part Name],$A1045,T_PlannedOrders[WeekIndex],2)&amp;" ("&amp;TEXT(SUMPRODUCT(MAX((T_PlannedOrders[Part Name]=$A1045)*(T_PlannedOrders[WeekIndex]=2)*(T_PlannedOrders[EffectiveQty]&gt;0)*T_PlannedOrders[Order_Month])),"m月")&amp;"発注)")</f>
        <v/>
      </c>
      <c r="F1059">
        <f>IF(SUMIFS(T_PlannedOrders[EffectiveQty],T_PlannedOrders[Part Name],$A1045,T_PlannedOrders[WeekIndex],3)=0,"",SUMIFS(T_PlannedOrders[EffectiveQty],T_PlannedOrders[Part Name],$A1045,T_PlannedOrders[WeekIndex],3)&amp;" ("&amp;TEXT(SUMPRODUCT(MAX((T_PlannedOrders[Part Name]=$A1045)*(T_PlannedOrders[WeekIndex]=3)*(T_PlannedOrders[EffectiveQty]&gt;0)*T_PlannedOrders[Order_Month])),"m月")&amp;"発注)")</f>
        <v/>
      </c>
      <c r="G1059">
        <f>IF(SUMIFS(T_PlannedOrders[EffectiveQty],T_PlannedOrders[Part Name],$A1045,T_PlannedOrders[WeekIndex],4)=0,"",SUMIFS(T_PlannedOrders[EffectiveQty],T_PlannedOrders[Part Name],$A1045,T_PlannedOrders[WeekIndex],4)&amp;" ("&amp;TEXT(SUMPRODUCT(MAX((T_PlannedOrders[Part Name]=$A1045)*(T_PlannedOrders[WeekIndex]=4)*(T_PlannedOrders[EffectiveQty]&gt;0)*T_PlannedOrders[Order_Month])),"m月")&amp;"発注)")</f>
        <v/>
      </c>
      <c r="H1059">
        <f>IF(SUMIFS(T_PlannedOrders[EffectiveQty],T_PlannedOrders[Part Name],$A1045,T_PlannedOrders[WeekIndex],5)=0,"",SUMIFS(T_PlannedOrders[EffectiveQty],T_PlannedOrders[Part Name],$A1045,T_PlannedOrders[WeekIndex],5)&amp;" ("&amp;TEXT(SUMPRODUCT(MAX((T_PlannedOrders[Part Name]=$A1045)*(T_PlannedOrders[WeekIndex]=5)*(T_PlannedOrders[EffectiveQty]&gt;0)*T_PlannedOrders[Order_Month])),"m月")&amp;"発注)")</f>
        <v/>
      </c>
      <c r="I1059">
        <f>IF(SUMIFS(T_PlannedOrders[EffectiveQty],T_PlannedOrders[Part Name],$A1045,T_PlannedOrders[WeekIndex],6)=0,"",SUMIFS(T_PlannedOrders[EffectiveQty],T_PlannedOrders[Part Name],$A1045,T_PlannedOrders[WeekIndex],6)&amp;" ("&amp;TEXT(SUMPRODUCT(MAX((T_PlannedOrders[Part Name]=$A1045)*(T_PlannedOrders[WeekIndex]=6)*(T_PlannedOrders[EffectiveQty]&gt;0)*T_PlannedOrders[Order_Month])),"m月")&amp;"発注)")</f>
        <v/>
      </c>
      <c r="J1059">
        <f>IF(SUMIFS(T_PlannedOrders[EffectiveQty],T_PlannedOrders[Part Name],$A1045,T_PlannedOrders[WeekIndex],7)=0,"",SUMIFS(T_PlannedOrders[EffectiveQty],T_PlannedOrders[Part Name],$A1045,T_PlannedOrders[WeekIndex],7)&amp;" ("&amp;TEXT(SUMPRODUCT(MAX((T_PlannedOrders[Part Name]=$A1045)*(T_PlannedOrders[WeekIndex]=7)*(T_PlannedOrders[EffectiveQty]&gt;0)*T_PlannedOrders[Order_Month])),"m月")&amp;"発注)")</f>
        <v/>
      </c>
      <c r="K1059">
        <f>IF(SUMIFS(T_PlannedOrders[EffectiveQty],T_PlannedOrders[Part Name],$A1045,T_PlannedOrders[WeekIndex],8)=0,"",SUMIFS(T_PlannedOrders[EffectiveQty],T_PlannedOrders[Part Name],$A1045,T_PlannedOrders[WeekIndex],8)&amp;" ("&amp;TEXT(SUMPRODUCT(MAX((T_PlannedOrders[Part Name]=$A1045)*(T_PlannedOrders[WeekIndex]=8)*(T_PlannedOrders[EffectiveQty]&gt;0)*T_PlannedOrders[Order_Month])),"m月")&amp;"発注)")</f>
        <v/>
      </c>
      <c r="L1059">
        <f>IF(SUMIFS(T_PlannedOrders[EffectiveQty],T_PlannedOrders[Part Name],$A1045,T_PlannedOrders[WeekIndex],9)=0,"",SUMIFS(T_PlannedOrders[EffectiveQty],T_PlannedOrders[Part Name],$A1045,T_PlannedOrders[WeekIndex],9)&amp;" ("&amp;TEXT(SUMPRODUCT(MAX((T_PlannedOrders[Part Name]=$A1045)*(T_PlannedOrders[WeekIndex]=9)*(T_PlannedOrders[EffectiveQty]&gt;0)*T_PlannedOrders[Order_Month])),"m月")&amp;"発注)")</f>
        <v/>
      </c>
      <c r="M1059">
        <f>IF(SUMIFS(T_PlannedOrders[EffectiveQty],T_PlannedOrders[Part Name],$A1045,T_PlannedOrders[WeekIndex],10)=0,"",SUMIFS(T_PlannedOrders[EffectiveQty],T_PlannedOrders[Part Name],$A1045,T_PlannedOrders[WeekIndex],10)&amp;" ("&amp;TEXT(SUMPRODUCT(MAX((T_PlannedOrders[Part Name]=$A1045)*(T_PlannedOrders[WeekIndex]=10)*(T_PlannedOrders[EffectiveQty]&gt;0)*T_PlannedOrders[Order_Month])),"m月")&amp;"発注)")</f>
        <v/>
      </c>
      <c r="N1059">
        <f>IF(SUMIFS(T_PlannedOrders[EffectiveQty],T_PlannedOrders[Part Name],$A1045,T_PlannedOrders[WeekIndex],11)=0,"",SUMIFS(T_PlannedOrders[EffectiveQty],T_PlannedOrders[Part Name],$A1045,T_PlannedOrders[WeekIndex],11)&amp;" ("&amp;TEXT(SUMPRODUCT(MAX((T_PlannedOrders[Part Name]=$A1045)*(T_PlannedOrders[WeekIndex]=11)*(T_PlannedOrders[EffectiveQty]&gt;0)*T_PlannedOrders[Order_Month])),"m月")&amp;"発注)")</f>
        <v/>
      </c>
      <c r="O1059">
        <f>IF(SUMIFS(T_PlannedOrders[EffectiveQty],T_PlannedOrders[Part Name],$A1045,T_PlannedOrders[WeekIndex],12)=0,"",SUMIFS(T_PlannedOrders[EffectiveQty],T_PlannedOrders[Part Name],$A1045,T_PlannedOrders[WeekIndex],12)&amp;" ("&amp;TEXT(SUMPRODUCT(MAX((T_PlannedOrders[Part Name]=$A1045)*(T_PlannedOrders[WeekIndex]=12)*(T_PlannedOrders[EffectiveQty]&gt;0)*T_PlannedOrders[Order_Month])),"m月")&amp;"発注)")</f>
        <v/>
      </c>
      <c r="P1059">
        <f>IF(SUMIFS(T_PlannedOrders[EffectiveQty],T_PlannedOrders[Part Name],$A1045,T_PlannedOrders[WeekIndex],13)=0,"",SUMIFS(T_PlannedOrders[EffectiveQty],T_PlannedOrders[Part Name],$A1045,T_PlannedOrders[WeekIndex],13)&amp;" ("&amp;TEXT(SUMPRODUCT(MAX((T_PlannedOrders[Part Name]=$A1045)*(T_PlannedOrders[WeekIndex]=13)*(T_PlannedOrders[EffectiveQty]&gt;0)*T_PlannedOrders[Order_Month])),"m月")&amp;"発注)")</f>
        <v/>
      </c>
      <c r="Q1059">
        <f>IF(SUMIFS(T_PlannedOrders[EffectiveQty],T_PlannedOrders[Part Name],$A1045,T_PlannedOrders[WeekIndex],14)=0,"",SUMIFS(T_PlannedOrders[EffectiveQty],T_PlannedOrders[Part Name],$A1045,T_PlannedOrders[WeekIndex],14)&amp;" ("&amp;TEXT(SUMPRODUCT(MAX((T_PlannedOrders[Part Name]=$A1045)*(T_PlannedOrders[WeekIndex]=14)*(T_PlannedOrders[EffectiveQty]&gt;0)*T_PlannedOrders[Order_Month])),"m月")&amp;"発注)")</f>
        <v/>
      </c>
      <c r="R1059">
        <f>IF(SUMIFS(T_PlannedOrders[EffectiveQty],T_PlannedOrders[Part Name],$A1045,T_PlannedOrders[WeekIndex],15)=0,"",SUMIFS(T_PlannedOrders[EffectiveQty],T_PlannedOrders[Part Name],$A1045,T_PlannedOrders[WeekIndex],15)&amp;" ("&amp;TEXT(SUMPRODUCT(MAX((T_PlannedOrders[Part Name]=$A1045)*(T_PlannedOrders[WeekIndex]=15)*(T_PlannedOrders[EffectiveQty]&gt;0)*T_PlannedOrders[Order_Month])),"m月")&amp;"発注)")</f>
        <v/>
      </c>
      <c r="S1059">
        <f>IF(SUMIFS(T_PlannedOrders[EffectiveQty],T_PlannedOrders[Part Name],$A1045,T_PlannedOrders[WeekIndex],16)=0,"",SUMIFS(T_PlannedOrders[EffectiveQty],T_PlannedOrders[Part Name],$A1045,T_PlannedOrders[WeekIndex],16)&amp;" ("&amp;TEXT(SUMPRODUCT(MAX((T_PlannedOrders[Part Name]=$A1045)*(T_PlannedOrders[WeekIndex]=16)*(T_PlannedOrders[EffectiveQty]&gt;0)*T_PlannedOrders[Order_Month])),"m月")&amp;"発注)")</f>
        <v/>
      </c>
      <c r="T1059">
        <f>IF(SUMIFS(T_PlannedOrders[EffectiveQty],T_PlannedOrders[Part Name],$A1045,T_PlannedOrders[WeekIndex],17)=0,"",SUMIFS(T_PlannedOrders[EffectiveQty],T_PlannedOrders[Part Name],$A1045,T_PlannedOrders[WeekIndex],17)&amp;" ("&amp;TEXT(SUMPRODUCT(MAX((T_PlannedOrders[Part Name]=$A1045)*(T_PlannedOrders[WeekIndex]=17)*(T_PlannedOrders[EffectiveQty]&gt;0)*T_PlannedOrders[Order_Month])),"m月")&amp;"発注)")</f>
        <v/>
      </c>
      <c r="U1059">
        <f>IF(SUMIFS(T_PlannedOrders[EffectiveQty],T_PlannedOrders[Part Name],$A1045,T_PlannedOrders[WeekIndex],18)=0,"",SUMIFS(T_PlannedOrders[EffectiveQty],T_PlannedOrders[Part Name],$A1045,T_PlannedOrders[WeekIndex],18)&amp;" ("&amp;TEXT(SUMPRODUCT(MAX((T_PlannedOrders[Part Name]=$A1045)*(T_PlannedOrders[WeekIndex]=18)*(T_PlannedOrders[EffectiveQty]&gt;0)*T_PlannedOrders[Order_Month])),"m月")&amp;"発注)")</f>
        <v/>
      </c>
      <c r="V1059">
        <f>IF(SUMIFS(T_PlannedOrders[EffectiveQty],T_PlannedOrders[Part Name],$A1045,T_PlannedOrders[WeekIndex],19)=0,"",SUMIFS(T_PlannedOrders[EffectiveQty],T_PlannedOrders[Part Name],$A1045,T_PlannedOrders[WeekIndex],19)&amp;" ("&amp;TEXT(SUMPRODUCT(MAX((T_PlannedOrders[Part Name]=$A1045)*(T_PlannedOrders[WeekIndex]=19)*(T_PlannedOrders[EffectiveQty]&gt;0)*T_PlannedOrders[Order_Month])),"m月")&amp;"発注)")</f>
        <v/>
      </c>
      <c r="W1059">
        <f>IF(SUMIFS(T_PlannedOrders[EffectiveQty],T_PlannedOrders[Part Name],$A1045,T_PlannedOrders[WeekIndex],20)=0,"",SUMIFS(T_PlannedOrders[EffectiveQty],T_PlannedOrders[Part Name],$A1045,T_PlannedOrders[WeekIndex],20)&amp;" ("&amp;TEXT(SUMPRODUCT(MAX((T_PlannedOrders[Part Name]=$A1045)*(T_PlannedOrders[WeekIndex]=20)*(T_PlannedOrders[EffectiveQty]&gt;0)*T_PlannedOrders[Order_Month])),"m月")&amp;"発注)")</f>
        <v/>
      </c>
      <c r="X1059">
        <f>IF(SUMIFS(T_PlannedOrders[EffectiveQty],T_PlannedOrders[Part Name],$A1045,T_PlannedOrders[WeekIndex],21)=0,"",SUMIFS(T_PlannedOrders[EffectiveQty],T_PlannedOrders[Part Name],$A1045,T_PlannedOrders[WeekIndex],21)&amp;" ("&amp;TEXT(SUMPRODUCT(MAX((T_PlannedOrders[Part Name]=$A1045)*(T_PlannedOrders[WeekIndex]=21)*(T_PlannedOrders[EffectiveQty]&gt;0)*T_PlannedOrders[Order_Month])),"m月")&amp;"発注)")</f>
        <v/>
      </c>
      <c r="Y1059">
        <f>IF(SUMIFS(T_PlannedOrders[EffectiveQty],T_PlannedOrders[Part Name],$A1045,T_PlannedOrders[WeekIndex],22)=0,"",SUMIFS(T_PlannedOrders[EffectiveQty],T_PlannedOrders[Part Name],$A1045,T_PlannedOrders[WeekIndex],22)&amp;" ("&amp;TEXT(SUMPRODUCT(MAX((T_PlannedOrders[Part Name]=$A1045)*(T_PlannedOrders[WeekIndex]=22)*(T_PlannedOrders[EffectiveQty]&gt;0)*T_PlannedOrders[Order_Month])),"m月")&amp;"発注)")</f>
        <v/>
      </c>
      <c r="Z1059">
        <f>IF(SUMIFS(T_PlannedOrders[EffectiveQty],T_PlannedOrders[Part Name],$A1045,T_PlannedOrders[WeekIndex],23)=0,"",SUMIFS(T_PlannedOrders[EffectiveQty],T_PlannedOrders[Part Name],$A1045,T_PlannedOrders[WeekIndex],23)&amp;" ("&amp;TEXT(SUMPRODUCT(MAX((T_PlannedOrders[Part Name]=$A1045)*(T_PlannedOrders[WeekIndex]=23)*(T_PlannedOrders[EffectiveQty]&gt;0)*T_PlannedOrders[Order_Month])),"m月")&amp;"発注)")</f>
        <v/>
      </c>
      <c r="AA1059">
        <f>IF(SUMIFS(T_PlannedOrders[EffectiveQty],T_PlannedOrders[Part Name],$A1045,T_PlannedOrders[WeekIndex],24)=0,"",SUMIFS(T_PlannedOrders[EffectiveQty],T_PlannedOrders[Part Name],$A1045,T_PlannedOrders[WeekIndex],24)&amp;" ("&amp;TEXT(SUMPRODUCT(MAX((T_PlannedOrders[Part Name]=$A1045)*(T_PlannedOrders[WeekIndex]=24)*(T_PlannedOrders[EffectiveQty]&gt;0)*T_PlannedOrders[Order_Month])),"m月")&amp;"発注)")</f>
        <v/>
      </c>
      <c r="AB1059">
        <f>IF(SUMIFS(T_PlannedOrders[EffectiveQty],T_PlannedOrders[Part Name],$A1045,T_PlannedOrders[WeekIndex],25)=0,"",SUMIFS(T_PlannedOrders[EffectiveQty],T_PlannedOrders[Part Name],$A1045,T_PlannedOrders[WeekIndex],25)&amp;" ("&amp;TEXT(SUMPRODUCT(MAX((T_PlannedOrders[Part Name]=$A1045)*(T_PlannedOrders[WeekIndex]=25)*(T_PlannedOrders[EffectiveQty]&gt;0)*T_PlannedOrders[Order_Month])),"m月")&amp;"発注)")</f>
        <v/>
      </c>
      <c r="AC1059">
        <f>IF(SUMIFS(T_PlannedOrders[EffectiveQty],T_PlannedOrders[Part Name],$A1045,T_PlannedOrders[WeekIndex],26)=0,"",SUMIFS(T_PlannedOrders[EffectiveQty],T_PlannedOrders[Part Name],$A1045,T_PlannedOrders[WeekIndex],26)&amp;" ("&amp;TEXT(SUMPRODUCT(MAX((T_PlannedOrders[Part Name]=$A1045)*(T_PlannedOrders[WeekIndex]=26)*(T_PlannedOrders[EffectiveQty]&gt;0)*T_PlannedOrders[Order_Month])),"m月")&amp;"発注)")</f>
        <v/>
      </c>
      <c r="AD1059">
        <f>IF(SUMIFS(T_PlannedOrders[EffectiveQty],T_PlannedOrders[Part Name],$A1045,T_PlannedOrders[WeekIndex],27)=0,"",SUMIFS(T_PlannedOrders[EffectiveQty],T_PlannedOrders[Part Name],$A1045,T_PlannedOrders[WeekIndex],27)&amp;" ("&amp;TEXT(SUMPRODUCT(MAX((T_PlannedOrders[Part Name]=$A1045)*(T_PlannedOrders[WeekIndex]=27)*(T_PlannedOrders[EffectiveQty]&gt;0)*T_PlannedOrders[Order_Month])),"m月")&amp;"発注)")</f>
        <v/>
      </c>
      <c r="AE1059">
        <f>IF(SUMIFS(T_PlannedOrders[EffectiveQty],T_PlannedOrders[Part Name],$A1045,T_PlannedOrders[WeekIndex],28)=0,"",SUMIFS(T_PlannedOrders[EffectiveQty],T_PlannedOrders[Part Name],$A1045,T_PlannedOrders[WeekIndex],28)&amp;" ("&amp;TEXT(SUMPRODUCT(MAX((T_PlannedOrders[Part Name]=$A1045)*(T_PlannedOrders[WeekIndex]=28)*(T_PlannedOrders[EffectiveQty]&gt;0)*T_PlannedOrders[Order_Month])),"m月")&amp;"発注)")</f>
        <v/>
      </c>
      <c r="AF1059">
        <f>IF(SUMIFS(T_PlannedOrders[EffectiveQty],T_PlannedOrders[Part Name],$A1045,T_PlannedOrders[WeekIndex],29)=0,"",SUMIFS(T_PlannedOrders[EffectiveQty],T_PlannedOrders[Part Name],$A1045,T_PlannedOrders[WeekIndex],29)&amp;" ("&amp;TEXT(SUMPRODUCT(MAX((T_PlannedOrders[Part Name]=$A1045)*(T_PlannedOrders[WeekIndex]=29)*(T_PlannedOrders[EffectiveQty]&gt;0)*T_PlannedOrders[Order_Month])),"m月")&amp;"発注)")</f>
        <v/>
      </c>
      <c r="AG1059">
        <f>IF(SUMIFS(T_PlannedOrders[EffectiveQty],T_PlannedOrders[Part Name],$A1045,T_PlannedOrders[WeekIndex],30)=0,"",SUMIFS(T_PlannedOrders[EffectiveQty],T_PlannedOrders[Part Name],$A1045,T_PlannedOrders[WeekIndex],30)&amp;" ("&amp;TEXT(SUMPRODUCT(MAX((T_PlannedOrders[Part Name]=$A1045)*(T_PlannedOrders[WeekIndex]=30)*(T_PlannedOrders[EffectiveQty]&gt;0)*T_PlannedOrders[Order_Month])),"m月")&amp;"発注)")</f>
        <v/>
      </c>
      <c r="AH1059">
        <f>IF(SUMIFS(T_PlannedOrders[EffectiveQty],T_PlannedOrders[Part Name],$A1045,T_PlannedOrders[WeekIndex],31)=0,"",SUMIFS(T_PlannedOrders[EffectiveQty],T_PlannedOrders[Part Name],$A1045,T_PlannedOrders[WeekIndex],31)&amp;" ("&amp;TEXT(SUMPRODUCT(MAX((T_PlannedOrders[Part Name]=$A1045)*(T_PlannedOrders[WeekIndex]=31)*(T_PlannedOrders[EffectiveQty]&gt;0)*T_PlannedOrders[Order_Month])),"m月")&amp;"発注)")</f>
        <v/>
      </c>
      <c r="AI1059">
        <f>IF(SUMIFS(T_PlannedOrders[EffectiveQty],T_PlannedOrders[Part Name],$A1045,T_PlannedOrders[WeekIndex],32)=0,"",SUMIFS(T_PlannedOrders[EffectiveQty],T_PlannedOrders[Part Name],$A1045,T_PlannedOrders[WeekIndex],32)&amp;" ("&amp;TEXT(SUMPRODUCT(MAX((T_PlannedOrders[Part Name]=$A1045)*(T_PlannedOrders[WeekIndex]=32)*(T_PlannedOrders[EffectiveQty]&gt;0)*T_PlannedOrders[Order_Month])),"m月")&amp;"発注)")</f>
        <v/>
      </c>
      <c r="AJ1059">
        <f>IF(SUMIFS(T_PlannedOrders[EffectiveQty],T_PlannedOrders[Part Name],$A1045,T_PlannedOrders[WeekIndex],33)=0,"",SUMIFS(T_PlannedOrders[EffectiveQty],T_PlannedOrders[Part Name],$A1045,T_PlannedOrders[WeekIndex],33)&amp;" ("&amp;TEXT(SUMPRODUCT(MAX((T_PlannedOrders[Part Name]=$A1045)*(T_PlannedOrders[WeekIndex]=33)*(T_PlannedOrders[EffectiveQty]&gt;0)*T_PlannedOrders[Order_Month])),"m月")&amp;"発注)")</f>
        <v/>
      </c>
      <c r="AK1059">
        <f>IF(SUMIFS(T_PlannedOrders[EffectiveQty],T_PlannedOrders[Part Name],$A1045,T_PlannedOrders[WeekIndex],34)=0,"",SUMIFS(T_PlannedOrders[EffectiveQty],T_PlannedOrders[Part Name],$A1045,T_PlannedOrders[WeekIndex],34)&amp;" ("&amp;TEXT(SUMPRODUCT(MAX((T_PlannedOrders[Part Name]=$A1045)*(T_PlannedOrders[WeekIndex]=34)*(T_PlannedOrders[EffectiveQty]&gt;0)*T_PlannedOrders[Order_Month])),"m月")&amp;"発注)")</f>
        <v/>
      </c>
      <c r="AL1059">
        <f>IF(SUMIFS(T_PlannedOrders[EffectiveQty],T_PlannedOrders[Part Name],$A1045,T_PlannedOrders[WeekIndex],35)=0,"",SUMIFS(T_PlannedOrders[EffectiveQty],T_PlannedOrders[Part Name],$A1045,T_PlannedOrders[WeekIndex],35)&amp;" ("&amp;TEXT(SUMPRODUCT(MAX((T_PlannedOrders[Part Name]=$A1045)*(T_PlannedOrders[WeekIndex]=35)*(T_PlannedOrders[EffectiveQty]&gt;0)*T_PlannedOrders[Order_Month])),"m月")&amp;"発注)")</f>
        <v/>
      </c>
      <c r="AM1059">
        <f>IF(SUMIFS(T_PlannedOrders[EffectiveQty],T_PlannedOrders[Part Name],$A1045,T_PlannedOrders[WeekIndex],36)=0,"",SUMIFS(T_PlannedOrders[EffectiveQty],T_PlannedOrders[Part Name],$A1045,T_PlannedOrders[WeekIndex],36)&amp;" ("&amp;TEXT(SUMPRODUCT(MAX((T_PlannedOrders[Part Name]=$A1045)*(T_PlannedOrders[WeekIndex]=36)*(T_PlannedOrders[EffectiveQty]&gt;0)*T_PlannedOrders[Order_Month])),"m月")&amp;"発注)")</f>
        <v/>
      </c>
      <c r="AN1059">
        <f>IF(SUMIFS(T_PlannedOrders[EffectiveQty],T_PlannedOrders[Part Name],$A1045,T_PlannedOrders[WeekIndex],37)=0,"",SUMIFS(T_PlannedOrders[EffectiveQty],T_PlannedOrders[Part Name],$A1045,T_PlannedOrders[WeekIndex],37)&amp;" ("&amp;TEXT(SUMPRODUCT(MAX((T_PlannedOrders[Part Name]=$A1045)*(T_PlannedOrders[WeekIndex]=37)*(T_PlannedOrders[EffectiveQty]&gt;0)*T_PlannedOrders[Order_Month])),"m月")&amp;"発注)")</f>
        <v/>
      </c>
      <c r="AO1059">
        <f>IF(SUMIFS(T_PlannedOrders[EffectiveQty],T_PlannedOrders[Part Name],$A1045,T_PlannedOrders[WeekIndex],38)=0,"",SUMIFS(T_PlannedOrders[EffectiveQty],T_PlannedOrders[Part Name],$A1045,T_PlannedOrders[WeekIndex],38)&amp;" ("&amp;TEXT(SUMPRODUCT(MAX((T_PlannedOrders[Part Name]=$A1045)*(T_PlannedOrders[WeekIndex]=38)*(T_PlannedOrders[EffectiveQty]&gt;0)*T_PlannedOrders[Order_Month])),"m月")&amp;"発注)")</f>
        <v/>
      </c>
      <c r="AP1059">
        <f>IF(SUMIFS(T_PlannedOrders[EffectiveQty],T_PlannedOrders[Part Name],$A1045,T_PlannedOrders[WeekIndex],39)=0,"",SUMIFS(T_PlannedOrders[EffectiveQty],T_PlannedOrders[Part Name],$A1045,T_PlannedOrders[WeekIndex],39)&amp;" ("&amp;TEXT(SUMPRODUCT(MAX((T_PlannedOrders[Part Name]=$A1045)*(T_PlannedOrders[WeekIndex]=39)*(T_PlannedOrders[EffectiveQty]&gt;0)*T_PlannedOrders[Order_Month])),"m月")&amp;"発注)")</f>
        <v/>
      </c>
      <c r="AQ1059">
        <f>IF(SUMIFS(T_PlannedOrders[EffectiveQty],T_PlannedOrders[Part Name],$A1045,T_PlannedOrders[WeekIndex],40)=0,"",SUMIFS(T_PlannedOrders[EffectiveQty],T_PlannedOrders[Part Name],$A1045,T_PlannedOrders[WeekIndex],40)&amp;" ("&amp;TEXT(SUMPRODUCT(MAX((T_PlannedOrders[Part Name]=$A1045)*(T_PlannedOrders[WeekIndex]=40)*(T_PlannedOrders[EffectiveQty]&gt;0)*T_PlannedOrders[Order_Month])),"m月")&amp;"発注)")</f>
        <v/>
      </c>
      <c r="AR1059">
        <f>IF(SUMIFS(T_PlannedOrders[EffectiveQty],T_PlannedOrders[Part Name],$A1045,T_PlannedOrders[WeekIndex],41)=0,"",SUMIFS(T_PlannedOrders[EffectiveQty],T_PlannedOrders[Part Name],$A1045,T_PlannedOrders[WeekIndex],41)&amp;" ("&amp;TEXT(SUMPRODUCT(MAX((T_PlannedOrders[Part Name]=$A1045)*(T_PlannedOrders[WeekIndex]=41)*(T_PlannedOrders[EffectiveQty]&gt;0)*T_PlannedOrders[Order_Month])),"m月")&amp;"発注)")</f>
        <v/>
      </c>
      <c r="AS1059">
        <f>IF(SUMIFS(T_PlannedOrders[EffectiveQty],T_PlannedOrders[Part Name],$A1045,T_PlannedOrders[WeekIndex],42)=0,"",SUMIFS(T_PlannedOrders[EffectiveQty],T_PlannedOrders[Part Name],$A1045,T_PlannedOrders[WeekIndex],42)&amp;" ("&amp;TEXT(SUMPRODUCT(MAX((T_PlannedOrders[Part Name]=$A1045)*(T_PlannedOrders[WeekIndex]=42)*(T_PlannedOrders[EffectiveQty]&gt;0)*T_PlannedOrders[Order_Month])),"m月")&amp;"発注)")</f>
        <v/>
      </c>
      <c r="AT1059">
        <f>IF(SUMIFS(T_PlannedOrders[EffectiveQty],T_PlannedOrders[Part Name],$A1045,T_PlannedOrders[WeekIndex],43)=0,"",SUMIFS(T_PlannedOrders[EffectiveQty],T_PlannedOrders[Part Name],$A1045,T_PlannedOrders[WeekIndex],43)&amp;" ("&amp;TEXT(SUMPRODUCT(MAX((T_PlannedOrders[Part Name]=$A1045)*(T_PlannedOrders[WeekIndex]=43)*(T_PlannedOrders[EffectiveQty]&gt;0)*T_PlannedOrders[Order_Month])),"m月")&amp;"発注)")</f>
        <v/>
      </c>
      <c r="AU1059">
        <f>IF(SUMIFS(T_PlannedOrders[EffectiveQty],T_PlannedOrders[Part Name],$A1045,T_PlannedOrders[WeekIndex],44)=0,"",SUMIFS(T_PlannedOrders[EffectiveQty],T_PlannedOrders[Part Name],$A1045,T_PlannedOrders[WeekIndex],44)&amp;" ("&amp;TEXT(SUMPRODUCT(MAX((T_PlannedOrders[Part Name]=$A1045)*(T_PlannedOrders[WeekIndex]=44)*(T_PlannedOrders[EffectiveQty]&gt;0)*T_PlannedOrders[Order_Month])),"m月")&amp;"発注)")</f>
        <v/>
      </c>
      <c r="AV1059">
        <f>IF(SUMIFS(T_PlannedOrders[EffectiveQty],T_PlannedOrders[Part Name],$A1045,T_PlannedOrders[WeekIndex],45)=0,"",SUMIFS(T_PlannedOrders[EffectiveQty],T_PlannedOrders[Part Name],$A1045,T_PlannedOrders[WeekIndex],45)&amp;" ("&amp;TEXT(SUMPRODUCT(MAX((T_PlannedOrders[Part Name]=$A1045)*(T_PlannedOrders[WeekIndex]=45)*(T_PlannedOrders[EffectiveQty]&gt;0)*T_PlannedOrders[Order_Month])),"m月")&amp;"発注)")</f>
        <v/>
      </c>
      <c r="AW1059">
        <f>IF(SUMIFS(T_PlannedOrders[EffectiveQty],T_PlannedOrders[Part Name],$A1045,T_PlannedOrders[WeekIndex],46)=0,"",SUMIFS(T_PlannedOrders[EffectiveQty],T_PlannedOrders[Part Name],$A1045,T_PlannedOrders[WeekIndex],46)&amp;" ("&amp;TEXT(SUMPRODUCT(MAX((T_PlannedOrders[Part Name]=$A1045)*(T_PlannedOrders[WeekIndex]=46)*(T_PlannedOrders[EffectiveQty]&gt;0)*T_PlannedOrders[Order_Month])),"m月")&amp;"発注)")</f>
        <v/>
      </c>
      <c r="AX1059">
        <f>IF(SUMIFS(T_PlannedOrders[EffectiveQty],T_PlannedOrders[Part Name],$A1045,T_PlannedOrders[WeekIndex],47)=0,"",SUMIFS(T_PlannedOrders[EffectiveQty],T_PlannedOrders[Part Name],$A1045,T_PlannedOrders[WeekIndex],47)&amp;" ("&amp;TEXT(SUMPRODUCT(MAX((T_PlannedOrders[Part Name]=$A1045)*(T_PlannedOrders[WeekIndex]=47)*(T_PlannedOrders[EffectiveQty]&gt;0)*T_PlannedOrders[Order_Month])),"m月")&amp;"発注)")</f>
        <v/>
      </c>
      <c r="AY1059">
        <f>IF(SUMIFS(T_PlannedOrders[EffectiveQty],T_PlannedOrders[Part Name],$A1045,T_PlannedOrders[WeekIndex],48)=0,"",SUMIFS(T_PlannedOrders[EffectiveQty],T_PlannedOrders[Part Name],$A1045,T_PlannedOrders[WeekIndex],48)&amp;" ("&amp;TEXT(SUMPRODUCT(MAX((T_PlannedOrders[Part Name]=$A1045)*(T_PlannedOrders[WeekIndex]=48)*(T_PlannedOrders[EffectiveQty]&gt;0)*T_PlannedOrders[Order_Month])),"m月")&amp;"発注)")</f>
        <v/>
      </c>
      <c r="AZ1059">
        <f>IF(SUMIFS(T_PlannedOrders[EffectiveQty],T_PlannedOrders[Part Name],$A1045,T_PlannedOrders[WeekIndex],49)=0,"",SUMIFS(T_PlannedOrders[EffectiveQty],T_PlannedOrders[Part Name],$A1045,T_PlannedOrders[WeekIndex],49)&amp;" ("&amp;TEXT(SUMPRODUCT(MAX((T_PlannedOrders[Part Name]=$A1045)*(T_PlannedOrders[WeekIndex]=49)*(T_PlannedOrders[EffectiveQty]&gt;0)*T_PlannedOrders[Order_Month])),"m月")&amp;"発注)")</f>
        <v/>
      </c>
      <c r="BA1059">
        <f>IF(SUMIFS(T_PlannedOrders[EffectiveQty],T_PlannedOrders[Part Name],$A1045,T_PlannedOrders[WeekIndex],50)=0,"",SUMIFS(T_PlannedOrders[EffectiveQty],T_PlannedOrders[Part Name],$A1045,T_PlannedOrders[WeekIndex],50)&amp;" ("&amp;TEXT(SUMPRODUCT(MAX((T_PlannedOrders[Part Name]=$A1045)*(T_PlannedOrders[WeekIndex]=50)*(T_PlannedOrders[EffectiveQty]&gt;0)*T_PlannedOrders[Order_Month])),"m月")&amp;"発注)")</f>
        <v/>
      </c>
      <c r="BB1059">
        <f>IF(SUMIFS(T_PlannedOrders[EffectiveQty],T_PlannedOrders[Part Name],$A1045,T_PlannedOrders[WeekIndex],51)=0,"",SUMIFS(T_PlannedOrders[EffectiveQty],T_PlannedOrders[Part Name],$A1045,T_PlannedOrders[WeekIndex],51)&amp;" ("&amp;TEXT(SUMPRODUCT(MAX((T_PlannedOrders[Part Name]=$A1045)*(T_PlannedOrders[WeekIndex]=51)*(T_PlannedOrders[EffectiveQty]&gt;0)*T_PlannedOrders[Order_Month])),"m月")&amp;"発注)")</f>
        <v/>
      </c>
      <c r="BC1059">
        <f>IF(SUMIFS(T_PlannedOrders[EffectiveQty],T_PlannedOrders[Part Name],$A1045,T_PlannedOrders[WeekIndex],52)=0,"",SUMIFS(T_PlannedOrders[EffectiveQty],T_PlannedOrders[Part Name],$A1045,T_PlannedOrders[WeekIndex],52)&amp;" ("&amp;TEXT(SUMPRODUCT(MAX((T_PlannedOrders[Part Name]=$A1045)*(T_PlannedOrders[WeekIndex]=52)*(T_PlannedOrders[EffectiveQty]&gt;0)*T_PlannedOrders[Order_Month])),"m月")&amp;"発注)")</f>
        <v/>
      </c>
      <c r="BD1059">
        <f>IF(SUMIFS(T_PlannedOrders[EffectiveQty],T_PlannedOrders[Part Name],$A1045,T_PlannedOrders[WeekIndex],53)=0,"",SUMIFS(T_PlannedOrders[EffectiveQty],T_PlannedOrders[Part Name],$A1045,T_PlannedOrders[WeekIndex],53)&amp;" ("&amp;TEXT(SUMPRODUCT(MAX((T_PlannedOrders[Part Name]=$A1045)*(T_PlannedOrders[WeekIndex]=53)*(T_PlannedOrders[EffectiveQty]&gt;0)*T_PlannedOrders[Order_Month])),"m月")&amp;"発注)")</f>
        <v/>
      </c>
      <c r="BE1059">
        <f>IF(SUMIFS(T_PlannedOrders[EffectiveQty],T_PlannedOrders[Part Name],$A1045,T_PlannedOrders[WeekIndex],54)=0,"",SUMIFS(T_PlannedOrders[EffectiveQty],T_PlannedOrders[Part Name],$A1045,T_PlannedOrders[WeekIndex],54)&amp;" ("&amp;TEXT(SUMPRODUCT(MAX((T_PlannedOrders[Part Name]=$A1045)*(T_PlannedOrders[WeekIndex]=54)*(T_PlannedOrders[EffectiveQty]&gt;0)*T_PlannedOrders[Order_Month])),"m月")&amp;"発注)")</f>
        <v/>
      </c>
      <c r="BF1059">
        <f>IF(SUMIFS(T_PlannedOrders[EffectiveQty],T_PlannedOrders[Part Name],$A1045,T_PlannedOrders[WeekIndex],55)=0,"",SUMIFS(T_PlannedOrders[EffectiveQty],T_PlannedOrders[Part Name],$A1045,T_PlannedOrders[WeekIndex],55)&amp;" ("&amp;TEXT(SUMPRODUCT(MAX((T_PlannedOrders[Part Name]=$A1045)*(T_PlannedOrders[WeekIndex]=55)*(T_PlannedOrders[EffectiveQty]&gt;0)*T_PlannedOrders[Order_Month])),"m月")&amp;"発注)")</f>
        <v/>
      </c>
      <c r="BG1059">
        <f>IF(SUMIFS(T_PlannedOrders[EffectiveQty],T_PlannedOrders[Part Name],$A1045,T_PlannedOrders[WeekIndex],56)=0,"",SUMIFS(T_PlannedOrders[EffectiveQty],T_PlannedOrders[Part Name],$A1045,T_PlannedOrders[WeekIndex],56)&amp;" ("&amp;TEXT(SUMPRODUCT(MAX((T_PlannedOrders[Part Name]=$A1045)*(T_PlannedOrders[WeekIndex]=56)*(T_PlannedOrders[EffectiveQty]&gt;0)*T_PlannedOrders[Order_Month])),"m月")&amp;"発注)")</f>
        <v/>
      </c>
      <c r="BH1059">
        <f>IF(SUMIFS(T_PlannedOrders[EffectiveQty],T_PlannedOrders[Part Name],$A1045,T_PlannedOrders[WeekIndex],57)=0,"",SUMIFS(T_PlannedOrders[EffectiveQty],T_PlannedOrders[Part Name],$A1045,T_PlannedOrders[WeekIndex],57)&amp;" ("&amp;TEXT(SUMPRODUCT(MAX((T_PlannedOrders[Part Name]=$A1045)*(T_PlannedOrders[WeekIndex]=57)*(T_PlannedOrders[EffectiveQty]&gt;0)*T_PlannedOrders[Order_Month])),"m月")&amp;"発注)")</f>
        <v/>
      </c>
      <c r="BI1059">
        <f>IF(SUMIFS(T_PlannedOrders[EffectiveQty],T_PlannedOrders[Part Name],$A1045,T_PlannedOrders[WeekIndex],58)=0,"",SUMIFS(T_PlannedOrders[EffectiveQty],T_PlannedOrders[Part Name],$A1045,T_PlannedOrders[WeekIndex],58)&amp;" ("&amp;TEXT(SUMPRODUCT(MAX((T_PlannedOrders[Part Name]=$A1045)*(T_PlannedOrders[WeekIndex]=58)*(T_PlannedOrders[EffectiveQty]&gt;0)*T_PlannedOrders[Order_Month])),"m月")&amp;"発注)")</f>
        <v/>
      </c>
      <c r="BJ1059">
        <f>IF(SUMIFS(T_PlannedOrders[EffectiveQty],T_PlannedOrders[Part Name],$A1045,T_PlannedOrders[WeekIndex],59)=0,"",SUMIFS(T_PlannedOrders[EffectiveQty],T_PlannedOrders[Part Name],$A1045,T_PlannedOrders[WeekIndex],59)&amp;" ("&amp;TEXT(SUMPRODUCT(MAX((T_PlannedOrders[Part Name]=$A1045)*(T_PlannedOrders[WeekIndex]=59)*(T_PlannedOrders[EffectiveQty]&gt;0)*T_PlannedOrders[Order_Month])),"m月")&amp;"発注)")</f>
        <v/>
      </c>
      <c r="BK1059">
        <f>IF(SUMIFS(T_PlannedOrders[EffectiveQty],T_PlannedOrders[Part Name],$A1045,T_PlannedOrders[WeekIndex],60)=0,"",SUMIFS(T_PlannedOrders[EffectiveQty],T_PlannedOrders[Part Name],$A1045,T_PlannedOrders[WeekIndex],60)&amp;" ("&amp;TEXT(SUMPRODUCT(MAX((T_PlannedOrders[Part Name]=$A1045)*(T_PlannedOrders[WeekIndex]=60)*(T_PlannedOrders[EffectiveQty]&gt;0)*T_PlannedOrders[Order_Month])),"m月")&amp;"発注)")</f>
        <v/>
      </c>
      <c r="BL1059">
        <f>IF(SUMIFS(T_PlannedOrders[EffectiveQty],T_PlannedOrders[Part Name],$A1045,T_PlannedOrders[WeekIndex],61)=0,"",SUMIFS(T_PlannedOrders[EffectiveQty],T_PlannedOrders[Part Name],$A1045,T_PlannedOrders[WeekIndex],61)&amp;" ("&amp;TEXT(SUMPRODUCT(MAX((T_PlannedOrders[Part Name]=$A1045)*(T_PlannedOrders[WeekIndex]=61)*(T_PlannedOrders[EffectiveQty]&gt;0)*T_PlannedOrders[Order_Month])),"m月")&amp;"発注)")</f>
        <v/>
      </c>
      <c r="BM1059">
        <f>IF(SUMIFS(T_PlannedOrders[EffectiveQty],T_PlannedOrders[Part Name],$A1045,T_PlannedOrders[WeekIndex],62)=0,"",SUMIFS(T_PlannedOrders[EffectiveQty],T_PlannedOrders[Part Name],$A1045,T_PlannedOrders[WeekIndex],62)&amp;" ("&amp;TEXT(SUMPRODUCT(MAX((T_PlannedOrders[Part Name]=$A1045)*(T_PlannedOrders[WeekIndex]=62)*(T_PlannedOrders[EffectiveQty]&gt;0)*T_PlannedOrders[Order_Month])),"m月")&amp;"発注)")</f>
        <v/>
      </c>
      <c r="BN1059">
        <f>IF(SUMIFS(T_PlannedOrders[EffectiveQty],T_PlannedOrders[Part Name],$A1045,T_PlannedOrders[WeekIndex],63)=0,"",SUMIFS(T_PlannedOrders[EffectiveQty],T_PlannedOrders[Part Name],$A1045,T_PlannedOrders[WeekIndex],63)&amp;" ("&amp;TEXT(SUMPRODUCT(MAX((T_PlannedOrders[Part Name]=$A1045)*(T_PlannedOrders[WeekIndex]=63)*(T_PlannedOrders[EffectiveQty]&gt;0)*T_PlannedOrders[Order_Month])),"m月")&amp;"発注)")</f>
        <v/>
      </c>
      <c r="BO1059">
        <f>IF(SUMIFS(T_PlannedOrders[EffectiveQty],T_PlannedOrders[Part Name],$A1045,T_PlannedOrders[WeekIndex],64)=0,"",SUMIFS(T_PlannedOrders[EffectiveQty],T_PlannedOrders[Part Name],$A1045,T_PlannedOrders[WeekIndex],64)&amp;" ("&amp;TEXT(SUMPRODUCT(MAX((T_PlannedOrders[Part Name]=$A1045)*(T_PlannedOrders[WeekIndex]=64)*(T_PlannedOrders[EffectiveQty]&gt;0)*T_PlannedOrders[Order_Month])),"m月")&amp;"発注)")</f>
        <v/>
      </c>
      <c r="BP1059">
        <f>IF(SUMIFS(T_PlannedOrders[EffectiveQty],T_PlannedOrders[Part Name],$A1045,T_PlannedOrders[WeekIndex],65)=0,"",SUMIFS(T_PlannedOrders[EffectiveQty],T_PlannedOrders[Part Name],$A1045,T_PlannedOrders[WeekIndex],65)&amp;" ("&amp;TEXT(SUMPRODUCT(MAX((T_PlannedOrders[Part Name]=$A1045)*(T_PlannedOrders[WeekIndex]=65)*(T_PlannedOrders[EffectiveQty]&gt;0)*T_PlannedOrders[Order_Month])),"m月")&amp;"発注)")</f>
        <v/>
      </c>
      <c r="BQ1059">
        <f>IF(SUMIFS(T_PlannedOrders[EffectiveQty],T_PlannedOrders[Part Name],$A1045,T_PlannedOrders[WeekIndex],66)=0,"",SUMIFS(T_PlannedOrders[EffectiveQty],T_PlannedOrders[Part Name],$A1045,T_PlannedOrders[WeekIndex],66)&amp;" ("&amp;TEXT(SUMPRODUCT(MAX((T_PlannedOrders[Part Name]=$A1045)*(T_PlannedOrders[WeekIndex]=66)*(T_PlannedOrders[EffectiveQty]&gt;0)*T_PlannedOrders[Order_Month])),"m月")&amp;"発注)")</f>
        <v/>
      </c>
      <c r="BR1059">
        <f>IF(SUMIFS(T_PlannedOrders[EffectiveQty],T_PlannedOrders[Part Name],$A1045,T_PlannedOrders[WeekIndex],67)=0,"",SUMIFS(T_PlannedOrders[EffectiveQty],T_PlannedOrders[Part Name],$A1045,T_PlannedOrders[WeekIndex],67)&amp;" ("&amp;TEXT(SUMPRODUCT(MAX((T_PlannedOrders[Part Name]=$A1045)*(T_PlannedOrders[WeekIndex]=67)*(T_PlannedOrders[EffectiveQty]&gt;0)*T_PlannedOrders[Order_Month])),"m月")&amp;"発注)")</f>
        <v/>
      </c>
      <c r="BS1059">
        <f>IF(SUMIFS(T_PlannedOrders[EffectiveQty],T_PlannedOrders[Part Name],$A1045,T_PlannedOrders[WeekIndex],68)=0,"",SUMIFS(T_PlannedOrders[EffectiveQty],T_PlannedOrders[Part Name],$A1045,T_PlannedOrders[WeekIndex],68)&amp;" ("&amp;TEXT(SUMPRODUCT(MAX((T_PlannedOrders[Part Name]=$A1045)*(T_PlannedOrders[WeekIndex]=68)*(T_PlannedOrders[EffectiveQty]&gt;0)*T_PlannedOrders[Order_Month])),"m月")&amp;"発注)")</f>
        <v/>
      </c>
      <c r="BT1059">
        <f>IF(SUMIFS(T_PlannedOrders[EffectiveQty],T_PlannedOrders[Part Name],$A1045,T_PlannedOrders[WeekIndex],69)=0,"",SUMIFS(T_PlannedOrders[EffectiveQty],T_PlannedOrders[Part Name],$A1045,T_PlannedOrders[WeekIndex],69)&amp;" ("&amp;TEXT(SUMPRODUCT(MAX((T_PlannedOrders[Part Name]=$A1045)*(T_PlannedOrders[WeekIndex]=69)*(T_PlannedOrders[EffectiveQty]&gt;0)*T_PlannedOrders[Order_Month])),"m月")&amp;"発注)")</f>
        <v/>
      </c>
      <c r="BU1059">
        <f>IF(SUMIFS(T_PlannedOrders[EffectiveQty],T_PlannedOrders[Part Name],$A1045,T_PlannedOrders[WeekIndex],70)=0,"",SUMIFS(T_PlannedOrders[EffectiveQty],T_PlannedOrders[Part Name],$A1045,T_PlannedOrders[WeekIndex],70)&amp;" ("&amp;TEXT(SUMPRODUCT(MAX((T_PlannedOrders[Part Name]=$A1045)*(T_PlannedOrders[WeekIndex]=70)*(T_PlannedOrders[EffectiveQty]&gt;0)*T_PlannedOrders[Order_Month])),"m月")&amp;"発注)")</f>
        <v/>
      </c>
      <c r="BV1059">
        <f>IF(SUMIFS(T_PlannedOrders[EffectiveQty],T_PlannedOrders[Part Name],$A1045,T_PlannedOrders[WeekIndex],71)=0,"",SUMIFS(T_PlannedOrders[EffectiveQty],T_PlannedOrders[Part Name],$A1045,T_PlannedOrders[WeekIndex],71)&amp;" ("&amp;TEXT(SUMPRODUCT(MAX((T_PlannedOrders[Part Name]=$A1045)*(T_PlannedOrders[WeekIndex]=71)*(T_PlannedOrders[EffectiveQty]&gt;0)*T_PlannedOrders[Order_Month])),"m月")&amp;"発注)")</f>
        <v/>
      </c>
      <c r="BW1059">
        <f>IF(SUMIFS(T_PlannedOrders[EffectiveQty],T_PlannedOrders[Part Name],$A1045,T_PlannedOrders[WeekIndex],72)=0,"",SUMIFS(T_PlannedOrders[EffectiveQty],T_PlannedOrders[Part Name],$A1045,T_PlannedOrders[WeekIndex],72)&amp;" ("&amp;TEXT(SUMPRODUCT(MAX((T_PlannedOrders[Part Name]=$A1045)*(T_PlannedOrders[WeekIndex]=72)*(T_PlannedOrders[EffectiveQty]&gt;0)*T_PlannedOrders[Order_Month])),"m月")&amp;"発注)")</f>
        <v/>
      </c>
      <c r="BX1059">
        <f>IF(SUMIFS(T_PlannedOrders[EffectiveQty],T_PlannedOrders[Part Name],$A1045,T_PlannedOrders[WeekIndex],73)=0,"",SUMIFS(T_PlannedOrders[EffectiveQty],T_PlannedOrders[Part Name],$A1045,T_PlannedOrders[WeekIndex],73)&amp;" ("&amp;TEXT(SUMPRODUCT(MAX((T_PlannedOrders[Part Name]=$A1045)*(T_PlannedOrders[WeekIndex]=73)*(T_PlannedOrders[EffectiveQty]&gt;0)*T_PlannedOrders[Order_Month])),"m月")&amp;"発注)")</f>
        <v/>
      </c>
      <c r="BY1059">
        <f>IF(SUMIFS(T_PlannedOrders[EffectiveQty],T_PlannedOrders[Part Name],$A1045,T_PlannedOrders[WeekIndex],74)=0,"",SUMIFS(T_PlannedOrders[EffectiveQty],T_PlannedOrders[Part Name],$A1045,T_PlannedOrders[WeekIndex],74)&amp;" ("&amp;TEXT(SUMPRODUCT(MAX((T_PlannedOrders[Part Name]=$A1045)*(T_PlannedOrders[WeekIndex]=74)*(T_PlannedOrders[EffectiveQty]&gt;0)*T_PlannedOrders[Order_Month])),"m月")&amp;"発注)")</f>
        <v/>
      </c>
      <c r="BZ1059">
        <f>IF(SUMIFS(T_PlannedOrders[EffectiveQty],T_PlannedOrders[Part Name],$A1045,T_PlannedOrders[WeekIndex],75)=0,"",SUMIFS(T_PlannedOrders[EffectiveQty],T_PlannedOrders[Part Name],$A1045,T_PlannedOrders[WeekIndex],75)&amp;" ("&amp;TEXT(SUMPRODUCT(MAX((T_PlannedOrders[Part Name]=$A1045)*(T_PlannedOrders[WeekIndex]=75)*(T_PlannedOrders[EffectiveQty]&gt;0)*T_PlannedOrders[Order_Month])),"m月")&amp;"発注)")</f>
        <v/>
      </c>
      <c r="CA1059">
        <f>IF(SUMIFS(T_PlannedOrders[EffectiveQty],T_PlannedOrders[Part Name],$A1045,T_PlannedOrders[WeekIndex],76)=0,"",SUMIFS(T_PlannedOrders[EffectiveQty],T_PlannedOrders[Part Name],$A1045,T_PlannedOrders[WeekIndex],76)&amp;" ("&amp;TEXT(SUMPRODUCT(MAX((T_PlannedOrders[Part Name]=$A1045)*(T_PlannedOrders[WeekIndex]=76)*(T_PlannedOrders[EffectiveQty]&gt;0)*T_PlannedOrders[Order_Month])),"m月")&amp;"発注)")</f>
        <v/>
      </c>
      <c r="CB1059">
        <f>IF(SUMIFS(T_PlannedOrders[EffectiveQty],T_PlannedOrders[Part Name],$A1045,T_PlannedOrders[WeekIndex],77)=0,"",SUMIFS(T_PlannedOrders[EffectiveQty],T_PlannedOrders[Part Name],$A1045,T_PlannedOrders[WeekIndex],77)&amp;" ("&amp;TEXT(SUMPRODUCT(MAX((T_PlannedOrders[Part Name]=$A1045)*(T_PlannedOrders[WeekIndex]=77)*(T_PlannedOrders[EffectiveQty]&gt;0)*T_PlannedOrders[Order_Month])),"m月")&amp;"発注)")</f>
        <v/>
      </c>
      <c r="CC1059">
        <f>IF(SUMIFS(T_PlannedOrders[EffectiveQty],T_PlannedOrders[Part Name],$A1045,T_PlannedOrders[WeekIndex],78)=0,"",SUMIFS(T_PlannedOrders[EffectiveQty],T_PlannedOrders[Part Name],$A1045,T_PlannedOrders[WeekIndex],78)&amp;" ("&amp;TEXT(SUMPRODUCT(MAX((T_PlannedOrders[Part Name]=$A1045)*(T_PlannedOrders[WeekIndex]=78)*(T_PlannedOrders[EffectiveQty]&gt;0)*T_PlannedOrders[Order_Month])),"m月")&amp;"発注)")</f>
        <v/>
      </c>
      <c r="CD1059">
        <f>IF(SUMIFS(T_PlannedOrders[EffectiveQty],T_PlannedOrders[Part Name],$A1045,T_PlannedOrders[WeekIndex],79)=0,"",SUMIFS(T_PlannedOrders[EffectiveQty],T_PlannedOrders[Part Name],$A1045,T_PlannedOrders[WeekIndex],79)&amp;" ("&amp;TEXT(SUMPRODUCT(MAX((T_PlannedOrders[Part Name]=$A1045)*(T_PlannedOrders[WeekIndex]=79)*(T_PlannedOrders[EffectiveQty]&gt;0)*T_PlannedOrders[Order_Month])),"m月")&amp;"発注)")</f>
        <v/>
      </c>
      <c r="CE1059">
        <f>IF(SUMIFS(T_PlannedOrders[EffectiveQty],T_PlannedOrders[Part Name],$A1045,T_PlannedOrders[WeekIndex],80)=0,"",SUMIFS(T_PlannedOrders[EffectiveQty],T_PlannedOrders[Part Name],$A1045,T_PlannedOrders[WeekIndex],80)&amp;" ("&amp;TEXT(SUMPRODUCT(MAX((T_PlannedOrders[Part Name]=$A1045)*(T_PlannedOrders[WeekIndex]=80)*(T_PlannedOrders[EffectiveQty]&gt;0)*T_PlannedOrders[Order_Month])),"m月")&amp;"発注)")</f>
        <v/>
      </c>
      <c r="CF1059">
        <f>IF(SUMIFS(T_PlannedOrders[EffectiveQty],T_PlannedOrders[Part Name],$A1045,T_PlannedOrders[WeekIndex],81)=0,"",SUMIFS(T_PlannedOrders[EffectiveQty],T_PlannedOrders[Part Name],$A1045,T_PlannedOrders[WeekIndex],81)&amp;" ("&amp;TEXT(SUMPRODUCT(MAX((T_PlannedOrders[Part Name]=$A1045)*(T_PlannedOrders[WeekIndex]=81)*(T_PlannedOrders[EffectiveQty]&gt;0)*T_PlannedOrders[Order_Month])),"m月")&amp;"発注)")</f>
        <v/>
      </c>
      <c r="CG1059">
        <f>IF(SUMIFS(T_PlannedOrders[EffectiveQty],T_PlannedOrders[Part Name],$A1045,T_PlannedOrders[WeekIndex],82)=0,"",SUMIFS(T_PlannedOrders[EffectiveQty],T_PlannedOrders[Part Name],$A1045,T_PlannedOrders[WeekIndex],82)&amp;" ("&amp;TEXT(SUMPRODUCT(MAX((T_PlannedOrders[Part Name]=$A1045)*(T_PlannedOrders[WeekIndex]=82)*(T_PlannedOrders[EffectiveQty]&gt;0)*T_PlannedOrders[Order_Month])),"m月")&amp;"発注)")</f>
        <v/>
      </c>
      <c r="CH1059">
        <f>IF(SUMIFS(T_PlannedOrders[EffectiveQty],T_PlannedOrders[Part Name],$A1045,T_PlannedOrders[WeekIndex],83)=0,"",SUMIFS(T_PlannedOrders[EffectiveQty],T_PlannedOrders[Part Name],$A1045,T_PlannedOrders[WeekIndex],83)&amp;" ("&amp;TEXT(SUMPRODUCT(MAX((T_PlannedOrders[Part Name]=$A1045)*(T_PlannedOrders[WeekIndex]=83)*(T_PlannedOrders[EffectiveQty]&gt;0)*T_PlannedOrders[Order_Month])),"m月")&amp;"発注)")</f>
        <v/>
      </c>
      <c r="CI1059">
        <f>IF(SUMIFS(T_PlannedOrders[EffectiveQty],T_PlannedOrders[Part Name],$A1045,T_PlannedOrders[WeekIndex],84)=0,"",SUMIFS(T_PlannedOrders[EffectiveQty],T_PlannedOrders[Part Name],$A1045,T_PlannedOrders[WeekIndex],84)&amp;" ("&amp;TEXT(SUMPRODUCT(MAX((T_PlannedOrders[Part Name]=$A1045)*(T_PlannedOrders[WeekIndex]=84)*(T_PlannedOrders[EffectiveQty]&gt;0)*T_PlannedOrders[Order_Month])),"m月")&amp;"発注)")</f>
        <v/>
      </c>
      <c r="CJ1059">
        <f>IF(SUMIFS(T_PlannedOrders[EffectiveQty],T_PlannedOrders[Part Name],$A1045,T_PlannedOrders[WeekIndex],85)=0,"",SUMIFS(T_PlannedOrders[EffectiveQty],T_PlannedOrders[Part Name],$A1045,T_PlannedOrders[WeekIndex],85)&amp;" ("&amp;TEXT(SUMPRODUCT(MAX((T_PlannedOrders[Part Name]=$A1045)*(T_PlannedOrders[WeekIndex]=85)*(T_PlannedOrders[EffectiveQty]&gt;0)*T_PlannedOrders[Order_Month])),"m月")&amp;"発注)")</f>
        <v/>
      </c>
      <c r="CK1059">
        <f>IF(SUMIFS(T_PlannedOrders[EffectiveQty],T_PlannedOrders[Part Name],$A1045,T_PlannedOrders[WeekIndex],86)=0,"",SUMIFS(T_PlannedOrders[EffectiveQty],T_PlannedOrders[Part Name],$A1045,T_PlannedOrders[WeekIndex],86)&amp;" ("&amp;TEXT(SUMPRODUCT(MAX((T_PlannedOrders[Part Name]=$A1045)*(T_PlannedOrders[WeekIndex]=86)*(T_PlannedOrders[EffectiveQty]&gt;0)*T_PlannedOrders[Order_Month])),"m月")&amp;"発注)")</f>
        <v/>
      </c>
      <c r="CL1059">
        <f>IF(SUMIFS(T_PlannedOrders[EffectiveQty],T_PlannedOrders[Part Name],$A1045,T_PlannedOrders[WeekIndex],87)=0,"",SUMIFS(T_PlannedOrders[EffectiveQty],T_PlannedOrders[Part Name],$A1045,T_PlannedOrders[WeekIndex],87)&amp;" ("&amp;TEXT(SUMPRODUCT(MAX((T_PlannedOrders[Part Name]=$A1045)*(T_PlannedOrders[WeekIndex]=87)*(T_PlannedOrders[EffectiveQty]&gt;0)*T_PlannedOrders[Order_Month])),"m月")&amp;"発注)")</f>
        <v/>
      </c>
      <c r="CM1059">
        <f>IF(SUMIFS(T_PlannedOrders[EffectiveQty],T_PlannedOrders[Part Name],$A1045,T_PlannedOrders[WeekIndex],88)=0,"",SUMIFS(T_PlannedOrders[EffectiveQty],T_PlannedOrders[Part Name],$A1045,T_PlannedOrders[WeekIndex],88)&amp;" ("&amp;TEXT(SUMPRODUCT(MAX((T_PlannedOrders[Part Name]=$A1045)*(T_PlannedOrders[WeekIndex]=88)*(T_PlannedOrders[EffectiveQty]&gt;0)*T_PlannedOrders[Order_Month])),"m月")&amp;"発注)")</f>
        <v/>
      </c>
      <c r="CN1059">
        <f>IF(SUMIFS(T_PlannedOrders[EffectiveQty],T_PlannedOrders[Part Name],$A1045,T_PlannedOrders[WeekIndex],89)=0,"",SUMIFS(T_PlannedOrders[EffectiveQty],T_PlannedOrders[Part Name],$A1045,T_PlannedOrders[WeekIndex],89)&amp;" ("&amp;TEXT(SUMPRODUCT(MAX((T_PlannedOrders[Part Name]=$A1045)*(T_PlannedOrders[WeekIndex]=89)*(T_PlannedOrders[EffectiveQty]&gt;0)*T_PlannedOrders[Order_Month])),"m月")&amp;"発注)")</f>
        <v/>
      </c>
      <c r="CO1059">
        <f>IF(SUMIFS(T_PlannedOrders[EffectiveQty],T_PlannedOrders[Part Name],$A1045,T_PlannedOrders[WeekIndex],90)=0,"",SUMIFS(T_PlannedOrders[EffectiveQty],T_PlannedOrders[Part Name],$A1045,T_PlannedOrders[WeekIndex],90)&amp;" ("&amp;TEXT(SUMPRODUCT(MAX((T_PlannedOrders[Part Name]=$A1045)*(T_PlannedOrders[WeekIndex]=90)*(T_PlannedOrders[EffectiveQty]&gt;0)*T_PlannedOrders[Order_Month])),"m月")&amp;"発注)")</f>
        <v/>
      </c>
      <c r="CP1059">
        <f>IF(SUMIFS(T_PlannedOrders[EffectiveQty],T_PlannedOrders[Part Name],$A1045,T_PlannedOrders[WeekIndex],91)=0,"",SUMIFS(T_PlannedOrders[EffectiveQty],T_PlannedOrders[Part Name],$A1045,T_PlannedOrders[WeekIndex],91)&amp;" ("&amp;TEXT(SUMPRODUCT(MAX((T_PlannedOrders[Part Name]=$A1045)*(T_PlannedOrders[WeekIndex]=91)*(T_PlannedOrders[EffectiveQty]&gt;0)*T_PlannedOrders[Order_Month])),"m月")&amp;"発注)")</f>
        <v/>
      </c>
      <c r="CQ1059">
        <f>IF(SUMIFS(T_PlannedOrders[EffectiveQty],T_PlannedOrders[Part Name],$A1045,T_PlannedOrders[WeekIndex],92)=0,"",SUMIFS(T_PlannedOrders[EffectiveQty],T_PlannedOrders[Part Name],$A1045,T_PlannedOrders[WeekIndex],92)&amp;" ("&amp;TEXT(SUMPRODUCT(MAX((T_PlannedOrders[Part Name]=$A1045)*(T_PlannedOrders[WeekIndex]=92)*(T_PlannedOrders[EffectiveQty]&gt;0)*T_PlannedOrders[Order_Month])),"m月")&amp;"発注)")</f>
        <v/>
      </c>
      <c r="CR1059">
        <f>IF(SUMIFS(T_PlannedOrders[EffectiveQty],T_PlannedOrders[Part Name],$A1045,T_PlannedOrders[WeekIndex],93)=0,"",SUMIFS(T_PlannedOrders[EffectiveQty],T_PlannedOrders[Part Name],$A1045,T_PlannedOrders[WeekIndex],93)&amp;" ("&amp;TEXT(SUMPRODUCT(MAX((T_PlannedOrders[Part Name]=$A1045)*(T_PlannedOrders[WeekIndex]=93)*(T_PlannedOrders[EffectiveQty]&gt;0)*T_PlannedOrders[Order_Month])),"m月")&amp;"発注)")</f>
        <v/>
      </c>
      <c r="CS1059">
        <f>IF(SUMIFS(T_PlannedOrders[EffectiveQty],T_PlannedOrders[Part Name],$A1045,T_PlannedOrders[WeekIndex],94)=0,"",SUMIFS(T_PlannedOrders[EffectiveQty],T_PlannedOrders[Part Name],$A1045,T_PlannedOrders[WeekIndex],94)&amp;" ("&amp;TEXT(SUMPRODUCT(MAX((T_PlannedOrders[Part Name]=$A1045)*(T_PlannedOrders[WeekIndex]=94)*(T_PlannedOrders[EffectiveQty]&gt;0)*T_PlannedOrders[Order_Month])),"m月")&amp;"発注)")</f>
        <v/>
      </c>
      <c r="CT1059">
        <f>IF(SUMIFS(T_PlannedOrders[EffectiveQty],T_PlannedOrders[Part Name],$A1045,T_PlannedOrders[WeekIndex],95)=0,"",SUMIFS(T_PlannedOrders[EffectiveQty],T_PlannedOrders[Part Name],$A1045,T_PlannedOrders[WeekIndex],95)&amp;" ("&amp;TEXT(SUMPRODUCT(MAX((T_PlannedOrders[Part Name]=$A1045)*(T_PlannedOrders[WeekIndex]=95)*(T_PlannedOrders[EffectiveQty]&gt;0)*T_PlannedOrders[Order_Month])),"m月")&amp;"発注)")</f>
        <v/>
      </c>
      <c r="CU1059">
        <f>IF(SUMIFS(T_PlannedOrders[EffectiveQty],T_PlannedOrders[Part Name],$A1045,T_PlannedOrders[WeekIndex],96)=0,"",SUMIFS(T_PlannedOrders[EffectiveQty],T_PlannedOrders[Part Name],$A1045,T_PlannedOrders[WeekIndex],96)&amp;" ("&amp;TEXT(SUMPRODUCT(MAX((T_PlannedOrders[Part Name]=$A1045)*(T_PlannedOrders[WeekIndex]=96)*(T_PlannedOrders[EffectiveQty]&gt;0)*T_PlannedOrders[Order_Month])),"m月")&amp;"発注)")</f>
        <v/>
      </c>
      <c r="CV1059">
        <f>IF(SUMIFS(T_PlannedOrders[EffectiveQty],T_PlannedOrders[Part Name],$A1045,T_PlannedOrders[WeekIndex],97)=0,"",SUMIFS(T_PlannedOrders[EffectiveQty],T_PlannedOrders[Part Name],$A1045,T_PlannedOrders[WeekIndex],97)&amp;" ("&amp;TEXT(SUMPRODUCT(MAX((T_PlannedOrders[Part Name]=$A1045)*(T_PlannedOrders[WeekIndex]=97)*(T_PlannedOrders[EffectiveQty]&gt;0)*T_PlannedOrders[Order_Month])),"m月")&amp;"発注)")</f>
        <v/>
      </c>
      <c r="CW1059">
        <f>IF(SUMIFS(T_PlannedOrders[EffectiveQty],T_PlannedOrders[Part Name],$A1045,T_PlannedOrders[WeekIndex],98)=0,"",SUMIFS(T_PlannedOrders[EffectiveQty],T_PlannedOrders[Part Name],$A1045,T_PlannedOrders[WeekIndex],98)&amp;" ("&amp;TEXT(SUMPRODUCT(MAX((T_PlannedOrders[Part Name]=$A1045)*(T_PlannedOrders[WeekIndex]=98)*(T_PlannedOrders[EffectiveQty]&gt;0)*T_PlannedOrders[Order_Month])),"m月")&amp;"発注)")</f>
        <v/>
      </c>
      <c r="CX1059">
        <f>IF(SUMIFS(T_PlannedOrders[EffectiveQty],T_PlannedOrders[Part Name],$A1045,T_PlannedOrders[WeekIndex],99)=0,"",SUMIFS(T_PlannedOrders[EffectiveQty],T_PlannedOrders[Part Name],$A1045,T_PlannedOrders[WeekIndex],99)&amp;" ("&amp;TEXT(SUMPRODUCT(MAX((T_PlannedOrders[Part Name]=$A1045)*(T_PlannedOrders[WeekIndex]=99)*(T_PlannedOrders[EffectiveQty]&gt;0)*T_PlannedOrders[Order_Month])),"m月")&amp;"発注)")</f>
        <v/>
      </c>
      <c r="CY1059">
        <f>IF(SUMIFS(T_PlannedOrders[EffectiveQty],T_PlannedOrders[Part Name],$A1045,T_PlannedOrders[WeekIndex],100)=0,"",SUMIFS(T_PlannedOrders[EffectiveQty],T_PlannedOrders[Part Name],$A1045,T_PlannedOrders[WeekIndex],100)&amp;" ("&amp;TEXT(SUMPRODUCT(MAX((T_PlannedOrders[Part Name]=$A1045)*(T_PlannedOrders[WeekIndex]=100)*(T_PlannedOrders[EffectiveQty]&gt;0)*T_PlannedOrders[Order_Month])),"m月")&amp;"発注)")</f>
        <v/>
      </c>
      <c r="CZ1059">
        <f>IF(SUMIFS(T_PlannedOrders[EffectiveQty],T_PlannedOrders[Part Name],$A1045,T_PlannedOrders[WeekIndex],101)=0,"",SUMIFS(T_PlannedOrders[EffectiveQty],T_PlannedOrders[Part Name],$A1045,T_PlannedOrders[WeekIndex],101)&amp;" ("&amp;TEXT(SUMPRODUCT(MAX((T_PlannedOrders[Part Name]=$A1045)*(T_PlannedOrders[WeekIndex]=101)*(T_PlannedOrders[EffectiveQty]&gt;0)*T_PlannedOrders[Order_Month])),"m月")&amp;"発注)")</f>
        <v/>
      </c>
      <c r="DA1059">
        <f>IF(SUMIFS(T_PlannedOrders[EffectiveQty],T_PlannedOrders[Part Name],$A1045,T_PlannedOrders[WeekIndex],102)=0,"",SUMIFS(T_PlannedOrders[EffectiveQty],T_PlannedOrders[Part Name],$A1045,T_PlannedOrders[WeekIndex],102)&amp;" ("&amp;TEXT(SUMPRODUCT(MAX((T_PlannedOrders[Part Name]=$A1045)*(T_PlannedOrders[WeekIndex]=102)*(T_PlannedOrders[EffectiveQty]&gt;0)*T_PlannedOrders[Order_Month])),"m月")&amp;"発注)")</f>
        <v/>
      </c>
      <c r="DB1059">
        <f>IF(SUMIFS(T_PlannedOrders[EffectiveQty],T_PlannedOrders[Part Name],$A1045,T_PlannedOrders[WeekIndex],103)=0,"",SUMIFS(T_PlannedOrders[EffectiveQty],T_PlannedOrders[Part Name],$A1045,T_PlannedOrders[WeekIndex],103)&amp;" ("&amp;TEXT(SUMPRODUCT(MAX((T_PlannedOrders[Part Name]=$A1045)*(T_PlannedOrders[WeekIndex]=103)*(T_PlannedOrders[EffectiveQty]&gt;0)*T_PlannedOrders[Order_Month])),"m月")&amp;"発注)")</f>
        <v/>
      </c>
      <c r="DC1059">
        <f>IF(SUMIFS(T_PlannedOrders[EffectiveQty],T_PlannedOrders[Part Name],$A1045,T_PlannedOrders[WeekIndex],104)=0,"",SUMIFS(T_PlannedOrders[EffectiveQty],T_PlannedOrders[Part Name],$A1045,T_PlannedOrders[WeekIndex],104)&amp;" ("&amp;TEXT(SUMPRODUCT(MAX((T_PlannedOrders[Part Name]=$A1045)*(T_PlannedOrders[WeekIndex]=104)*(T_PlannedOrders[EffectiveQty]&gt;0)*T_PlannedOrders[Order_Month])),"m月")&amp;"発注)")</f>
        <v/>
      </c>
    </row>
    <row r="1060">
      <c r="B1060" s="5" t="inlineStr">
        <is>
          <t>合計在庫(週末時点,kg)</t>
        </is>
      </c>
      <c r="D1060">
        <f>'Grid_Stock'!B46</f>
        <v/>
      </c>
      <c r="E1060">
        <f>'Grid_Stock'!C46</f>
        <v/>
      </c>
      <c r="F1060">
        <f>'Grid_Stock'!D46</f>
        <v/>
      </c>
      <c r="G1060">
        <f>'Grid_Stock'!E46</f>
        <v/>
      </c>
      <c r="H1060">
        <f>'Grid_Stock'!F46</f>
        <v/>
      </c>
      <c r="I1060">
        <f>'Grid_Stock'!G46</f>
        <v/>
      </c>
      <c r="J1060">
        <f>'Grid_Stock'!H46</f>
        <v/>
      </c>
      <c r="K1060">
        <f>'Grid_Stock'!I46</f>
        <v/>
      </c>
      <c r="L1060">
        <f>'Grid_Stock'!J46</f>
        <v/>
      </c>
      <c r="M1060">
        <f>'Grid_Stock'!K46</f>
        <v/>
      </c>
      <c r="N1060">
        <f>'Grid_Stock'!L46</f>
        <v/>
      </c>
      <c r="O1060">
        <f>'Grid_Stock'!M46</f>
        <v/>
      </c>
      <c r="P1060">
        <f>'Grid_Stock'!N46</f>
        <v/>
      </c>
      <c r="Q1060">
        <f>'Grid_Stock'!O46</f>
        <v/>
      </c>
      <c r="R1060">
        <f>'Grid_Stock'!P46</f>
        <v/>
      </c>
      <c r="S1060">
        <f>'Grid_Stock'!Q46</f>
        <v/>
      </c>
      <c r="T1060">
        <f>'Grid_Stock'!R46</f>
        <v/>
      </c>
      <c r="U1060">
        <f>'Grid_Stock'!S46</f>
        <v/>
      </c>
      <c r="V1060">
        <f>'Grid_Stock'!T46</f>
        <v/>
      </c>
      <c r="W1060">
        <f>'Grid_Stock'!U46</f>
        <v/>
      </c>
      <c r="X1060">
        <f>'Grid_Stock'!V46</f>
        <v/>
      </c>
      <c r="Y1060">
        <f>'Grid_Stock'!W46</f>
        <v/>
      </c>
      <c r="Z1060">
        <f>'Grid_Stock'!X46</f>
        <v/>
      </c>
      <c r="AA1060">
        <f>'Grid_Stock'!Y46</f>
        <v/>
      </c>
      <c r="AB1060">
        <f>'Grid_Stock'!Z46</f>
        <v/>
      </c>
      <c r="AC1060">
        <f>'Grid_Stock'!AA46</f>
        <v/>
      </c>
      <c r="AD1060">
        <f>'Grid_Stock'!AB46</f>
        <v/>
      </c>
      <c r="AE1060">
        <f>'Grid_Stock'!AC46</f>
        <v/>
      </c>
      <c r="AF1060">
        <f>'Grid_Stock'!AD46</f>
        <v/>
      </c>
      <c r="AG1060">
        <f>'Grid_Stock'!AE46</f>
        <v/>
      </c>
      <c r="AH1060">
        <f>'Grid_Stock'!AF46</f>
        <v/>
      </c>
      <c r="AI1060">
        <f>'Grid_Stock'!AG46</f>
        <v/>
      </c>
      <c r="AJ1060">
        <f>'Grid_Stock'!AH46</f>
        <v/>
      </c>
      <c r="AK1060">
        <f>'Grid_Stock'!AI46</f>
        <v/>
      </c>
      <c r="AL1060">
        <f>'Grid_Stock'!AJ46</f>
        <v/>
      </c>
      <c r="AM1060">
        <f>'Grid_Stock'!AK46</f>
        <v/>
      </c>
      <c r="AN1060">
        <f>'Grid_Stock'!AL46</f>
        <v/>
      </c>
      <c r="AO1060">
        <f>'Grid_Stock'!AM46</f>
        <v/>
      </c>
      <c r="AP1060">
        <f>'Grid_Stock'!AN46</f>
        <v/>
      </c>
      <c r="AQ1060">
        <f>'Grid_Stock'!AO46</f>
        <v/>
      </c>
      <c r="AR1060">
        <f>'Grid_Stock'!AP46</f>
        <v/>
      </c>
      <c r="AS1060">
        <f>'Grid_Stock'!AQ46</f>
        <v/>
      </c>
      <c r="AT1060">
        <f>'Grid_Stock'!AR46</f>
        <v/>
      </c>
      <c r="AU1060">
        <f>'Grid_Stock'!AS46</f>
        <v/>
      </c>
      <c r="AV1060">
        <f>'Grid_Stock'!AT46</f>
        <v/>
      </c>
      <c r="AW1060">
        <f>'Grid_Stock'!AU46</f>
        <v/>
      </c>
      <c r="AX1060">
        <f>'Grid_Stock'!AV46</f>
        <v/>
      </c>
      <c r="AY1060">
        <f>'Grid_Stock'!AW46</f>
        <v/>
      </c>
      <c r="AZ1060">
        <f>'Grid_Stock'!AX46</f>
        <v/>
      </c>
      <c r="BA1060">
        <f>'Grid_Stock'!AY46</f>
        <v/>
      </c>
      <c r="BB1060">
        <f>'Grid_Stock'!AZ46</f>
        <v/>
      </c>
      <c r="BC1060">
        <f>'Grid_Stock'!BA46</f>
        <v/>
      </c>
      <c r="BD1060">
        <f>'Grid_Stock'!BB46</f>
        <v/>
      </c>
      <c r="BE1060">
        <f>'Grid_Stock'!BC46</f>
        <v/>
      </c>
      <c r="BF1060">
        <f>'Grid_Stock'!BD46</f>
        <v/>
      </c>
      <c r="BG1060">
        <f>'Grid_Stock'!BE46</f>
        <v/>
      </c>
      <c r="BH1060">
        <f>'Grid_Stock'!BF46</f>
        <v/>
      </c>
      <c r="BI1060">
        <f>'Grid_Stock'!BG46</f>
        <v/>
      </c>
      <c r="BJ1060">
        <f>'Grid_Stock'!BH46</f>
        <v/>
      </c>
      <c r="BK1060">
        <f>'Grid_Stock'!BI46</f>
        <v/>
      </c>
      <c r="BL1060">
        <f>'Grid_Stock'!BJ46</f>
        <v/>
      </c>
      <c r="BM1060">
        <f>'Grid_Stock'!BK46</f>
        <v/>
      </c>
      <c r="BN1060">
        <f>'Grid_Stock'!BL46</f>
        <v/>
      </c>
      <c r="BO1060">
        <f>'Grid_Stock'!BM46</f>
        <v/>
      </c>
      <c r="BP1060">
        <f>'Grid_Stock'!BN46</f>
        <v/>
      </c>
      <c r="BQ1060">
        <f>'Grid_Stock'!BO46</f>
        <v/>
      </c>
      <c r="BR1060">
        <f>'Grid_Stock'!BP46</f>
        <v/>
      </c>
      <c r="BS1060">
        <f>'Grid_Stock'!BQ46</f>
        <v/>
      </c>
      <c r="BT1060">
        <f>'Grid_Stock'!BR46</f>
        <v/>
      </c>
      <c r="BU1060">
        <f>'Grid_Stock'!BS46</f>
        <v/>
      </c>
      <c r="BV1060">
        <f>'Grid_Stock'!BT46</f>
        <v/>
      </c>
      <c r="BW1060">
        <f>'Grid_Stock'!BU46</f>
        <v/>
      </c>
      <c r="BX1060">
        <f>'Grid_Stock'!BV46</f>
        <v/>
      </c>
      <c r="BY1060">
        <f>'Grid_Stock'!BW46</f>
        <v/>
      </c>
      <c r="BZ1060">
        <f>'Grid_Stock'!BX46</f>
        <v/>
      </c>
      <c r="CA1060">
        <f>'Grid_Stock'!BY46</f>
        <v/>
      </c>
      <c r="CB1060">
        <f>'Grid_Stock'!BZ46</f>
        <v/>
      </c>
      <c r="CC1060">
        <f>'Grid_Stock'!CA46</f>
        <v/>
      </c>
      <c r="CD1060">
        <f>'Grid_Stock'!CB46</f>
        <v/>
      </c>
      <c r="CE1060">
        <f>'Grid_Stock'!CC46</f>
        <v/>
      </c>
      <c r="CF1060">
        <f>'Grid_Stock'!CD46</f>
        <v/>
      </c>
      <c r="CG1060">
        <f>'Grid_Stock'!CE46</f>
        <v/>
      </c>
      <c r="CH1060">
        <f>'Grid_Stock'!CF46</f>
        <v/>
      </c>
      <c r="CI1060">
        <f>'Grid_Stock'!CG46</f>
        <v/>
      </c>
      <c r="CJ1060">
        <f>'Grid_Stock'!CH46</f>
        <v/>
      </c>
      <c r="CK1060">
        <f>'Grid_Stock'!CI46</f>
        <v/>
      </c>
      <c r="CL1060">
        <f>'Grid_Stock'!CJ46</f>
        <v/>
      </c>
      <c r="CM1060">
        <f>'Grid_Stock'!CK46</f>
        <v/>
      </c>
      <c r="CN1060">
        <f>'Grid_Stock'!CL46</f>
        <v/>
      </c>
      <c r="CO1060">
        <f>'Grid_Stock'!CM46</f>
        <v/>
      </c>
      <c r="CP1060">
        <f>'Grid_Stock'!CN46</f>
        <v/>
      </c>
      <c r="CQ1060">
        <f>'Grid_Stock'!CO46</f>
        <v/>
      </c>
      <c r="CR1060">
        <f>'Grid_Stock'!CP46</f>
        <v/>
      </c>
      <c r="CS1060">
        <f>'Grid_Stock'!CQ46</f>
        <v/>
      </c>
      <c r="CT1060">
        <f>'Grid_Stock'!CR46</f>
        <v/>
      </c>
      <c r="CU1060">
        <f>'Grid_Stock'!CS46</f>
        <v/>
      </c>
      <c r="CV1060">
        <f>'Grid_Stock'!CT46</f>
        <v/>
      </c>
      <c r="CW1060">
        <f>'Grid_Stock'!CU46</f>
        <v/>
      </c>
      <c r="CX1060">
        <f>'Grid_Stock'!CV46</f>
        <v/>
      </c>
      <c r="CY1060">
        <f>'Grid_Stock'!CW46</f>
        <v/>
      </c>
      <c r="CZ1060">
        <f>'Grid_Stock'!CX46</f>
        <v/>
      </c>
      <c r="DA1060">
        <f>'Grid_Stock'!CY46</f>
        <v/>
      </c>
      <c r="DB1060">
        <f>'Grid_Stock'!CZ46</f>
        <v/>
      </c>
      <c r="DC1060">
        <f>'Grid_Stock'!DA46</f>
        <v/>
      </c>
    </row>
    <row r="1061">
      <c r="B1061" s="23" t="inlineStr">
        <is>
          <t>（発注の目安はDashboardの基準在庫[下限/上限]と色分けを参照）</t>
        </is>
      </c>
    </row>
    <row r="1063">
      <c r="A1063" s="21" t="inlineStr">
        <is>
          <t>CHEM-1470</t>
        </is>
      </c>
      <c r="B1063" s="21" t="inlineStr">
        <is>
          <t>Aluminium Oxide [SCFA-100] - NO LANTHANUM</t>
        </is>
      </c>
      <c r="C1063" s="22" t="n"/>
      <c r="D1063" s="21" t="n"/>
      <c r="E1063" s="21" t="n"/>
      <c r="F1063" s="21" t="n"/>
      <c r="G1063" s="21" t="n"/>
      <c r="H1063" s="21" t="n"/>
      <c r="I1063" s="21" t="n"/>
      <c r="J1063" s="21" t="n"/>
      <c r="K1063" s="21" t="n"/>
      <c r="L1063" s="21" t="n"/>
      <c r="M1063" s="21" t="n"/>
      <c r="N1063" s="21" t="n"/>
      <c r="O1063" s="21" t="n"/>
      <c r="P1063" s="21" t="n"/>
      <c r="Q1063" s="21" t="n"/>
      <c r="R1063" s="21" t="n"/>
      <c r="S1063" s="21" t="n"/>
      <c r="T1063" s="21" t="n"/>
      <c r="U1063" s="21" t="n"/>
      <c r="V1063" s="21" t="n"/>
      <c r="W1063" s="21" t="n"/>
      <c r="X1063" s="21" t="n"/>
      <c r="Y1063" s="21" t="n"/>
      <c r="Z1063" s="21" t="n"/>
      <c r="AA1063" s="21" t="n"/>
      <c r="AB1063" s="21" t="n"/>
      <c r="AC1063" s="21" t="n"/>
      <c r="AD1063" s="21" t="n"/>
      <c r="AE1063" s="21" t="n"/>
      <c r="AF1063" s="21" t="n"/>
      <c r="AG1063" s="21" t="n"/>
      <c r="AH1063" s="21" t="n"/>
      <c r="AI1063" s="21" t="n"/>
      <c r="AJ1063" s="21" t="n"/>
      <c r="AK1063" s="21" t="n"/>
      <c r="AL1063" s="21" t="n"/>
      <c r="AM1063" s="21" t="n"/>
      <c r="AN1063" s="21" t="n"/>
      <c r="AO1063" s="21" t="n"/>
      <c r="AP1063" s="21" t="n"/>
      <c r="AQ1063" s="21" t="n"/>
      <c r="AR1063" s="21" t="n"/>
      <c r="AS1063" s="21" t="n"/>
      <c r="AT1063" s="21" t="n"/>
      <c r="AU1063" s="21" t="n"/>
      <c r="AV1063" s="21" t="n"/>
      <c r="AW1063" s="21" t="n"/>
      <c r="AX1063" s="21" t="n"/>
      <c r="AY1063" s="21" t="n"/>
      <c r="AZ1063" s="21" t="n"/>
      <c r="BA1063" s="21" t="n"/>
      <c r="BB1063" s="21" t="n"/>
      <c r="BC1063" s="21" t="n"/>
      <c r="BD1063" s="21" t="n"/>
      <c r="BE1063" s="21" t="n"/>
      <c r="BF1063" s="21" t="n"/>
      <c r="BG1063" s="21" t="n"/>
      <c r="BH1063" s="21" t="n"/>
      <c r="BI1063" s="21" t="n"/>
      <c r="BJ1063" s="21" t="n"/>
      <c r="BK1063" s="21" t="n"/>
      <c r="BL1063" s="21" t="n"/>
      <c r="BM1063" s="21" t="n"/>
      <c r="BN1063" s="21" t="n"/>
      <c r="BO1063" s="21" t="n"/>
      <c r="BP1063" s="21" t="n"/>
      <c r="BQ1063" s="21" t="n"/>
      <c r="BR1063" s="21" t="n"/>
      <c r="BS1063" s="21" t="n"/>
      <c r="BT1063" s="21" t="n"/>
      <c r="BU1063" s="21" t="n"/>
      <c r="BV1063" s="21" t="n"/>
      <c r="BW1063" s="21" t="n"/>
      <c r="BX1063" s="21" t="n"/>
      <c r="BY1063" s="21" t="n"/>
      <c r="BZ1063" s="21" t="n"/>
      <c r="CA1063" s="21" t="n"/>
      <c r="CB1063" s="21" t="n"/>
      <c r="CC1063" s="21" t="n"/>
      <c r="CD1063" s="21" t="n"/>
      <c r="CE1063" s="21" t="n"/>
      <c r="CF1063" s="21" t="n"/>
      <c r="CG1063" s="21" t="n"/>
      <c r="CH1063" s="21" t="n"/>
      <c r="CI1063" s="21" t="n"/>
      <c r="CJ1063" s="21" t="n"/>
      <c r="CK1063" s="21" t="n"/>
      <c r="CL1063" s="21" t="n"/>
      <c r="CM1063" s="21" t="n"/>
      <c r="CN1063" s="21" t="n"/>
      <c r="CO1063" s="21" t="n"/>
      <c r="CP1063" s="21" t="n"/>
      <c r="CQ1063" s="21" t="n"/>
      <c r="CR1063" s="21" t="n"/>
      <c r="CS1063" s="21" t="n"/>
      <c r="CT1063" s="21" t="n"/>
      <c r="CU1063" s="21" t="n"/>
      <c r="CV1063" s="21" t="n"/>
      <c r="CW1063" s="21" t="n"/>
      <c r="CX1063" s="21" t="n"/>
      <c r="CY1063" s="21" t="n"/>
      <c r="CZ1063" s="21" t="n"/>
      <c r="DA1063" s="21" t="n"/>
      <c r="DB1063" s="21" t="n"/>
      <c r="DC1063" s="21" t="n"/>
    </row>
    <row r="1064">
      <c r="B1064" t="inlineStr">
        <is>
          <t>TSP-224</t>
        </is>
      </c>
      <c r="C1064" t="inlineStr">
        <is>
          <t>No. of batches</t>
        </is>
      </c>
      <c r="D1064">
        <f>IFERROR(INDEX(PP_Grid[#Data],$DD1064,2),0)</f>
        <v/>
      </c>
      <c r="E1064">
        <f>IFERROR(INDEX(PP_Grid[#Data],$DD1064,3),0)</f>
        <v/>
      </c>
      <c r="F1064">
        <f>IFERROR(INDEX(PP_Grid[#Data],$DD1064,4),0)</f>
        <v/>
      </c>
      <c r="G1064">
        <f>IFERROR(INDEX(PP_Grid[#Data],$DD1064,5),0)</f>
        <v/>
      </c>
      <c r="H1064">
        <f>IFERROR(INDEX(PP_Grid[#Data],$DD1064,6),0)</f>
        <v/>
      </c>
      <c r="I1064">
        <f>IFERROR(INDEX(PP_Grid[#Data],$DD1064,7),0)</f>
        <v/>
      </c>
      <c r="J1064">
        <f>IFERROR(INDEX(PP_Grid[#Data],$DD1064,8),0)</f>
        <v/>
      </c>
      <c r="K1064">
        <f>IFERROR(INDEX(PP_Grid[#Data],$DD1064,9),0)</f>
        <v/>
      </c>
      <c r="L1064">
        <f>IFERROR(INDEX(PP_Grid[#Data],$DD1064,10),0)</f>
        <v/>
      </c>
      <c r="M1064">
        <f>IFERROR(INDEX(PP_Grid[#Data],$DD1064,11),0)</f>
        <v/>
      </c>
      <c r="N1064">
        <f>IFERROR(INDEX(PP_Grid[#Data],$DD1064,12),0)</f>
        <v/>
      </c>
      <c r="O1064">
        <f>IFERROR(INDEX(PP_Grid[#Data],$DD1064,13),0)</f>
        <v/>
      </c>
      <c r="P1064">
        <f>IFERROR(INDEX(PP_Grid[#Data],$DD1064,14),0)</f>
        <v/>
      </c>
      <c r="Q1064">
        <f>IFERROR(INDEX(PP_Grid[#Data],$DD1064,15),0)</f>
        <v/>
      </c>
      <c r="R1064">
        <f>IFERROR(INDEX(PP_Grid[#Data],$DD1064,16),0)</f>
        <v/>
      </c>
      <c r="S1064">
        <f>IFERROR(INDEX(PP_Grid[#Data],$DD1064,17),0)</f>
        <v/>
      </c>
      <c r="T1064">
        <f>IFERROR(INDEX(PP_Grid[#Data],$DD1064,18),0)</f>
        <v/>
      </c>
      <c r="U1064">
        <f>IFERROR(INDEX(PP_Grid[#Data],$DD1064,19),0)</f>
        <v/>
      </c>
      <c r="V1064">
        <f>IFERROR(INDEX(PP_Grid[#Data],$DD1064,20),0)</f>
        <v/>
      </c>
      <c r="W1064">
        <f>IFERROR(INDEX(PP_Grid[#Data],$DD1064,21),0)</f>
        <v/>
      </c>
      <c r="X1064">
        <f>IFERROR(INDEX(PP_Grid[#Data],$DD1064,22),0)</f>
        <v/>
      </c>
      <c r="Y1064">
        <f>IFERROR(INDEX(PP_Grid[#Data],$DD1064,23),0)</f>
        <v/>
      </c>
      <c r="Z1064">
        <f>IFERROR(INDEX(PP_Grid[#Data],$DD1064,24),0)</f>
        <v/>
      </c>
      <c r="AA1064">
        <f>IFERROR(INDEX(PP_Grid[#Data],$DD1064,25),0)</f>
        <v/>
      </c>
      <c r="AB1064">
        <f>IFERROR(INDEX(PP_Grid[#Data],$DD1064,26),0)</f>
        <v/>
      </c>
      <c r="AC1064">
        <f>IFERROR(INDEX(PP_Grid[#Data],$DD1064,27),0)</f>
        <v/>
      </c>
      <c r="AD1064">
        <f>IFERROR(INDEX(PP_Grid[#Data],$DD1064,28),0)</f>
        <v/>
      </c>
      <c r="AE1064">
        <f>IFERROR(INDEX(PP_Grid[#Data],$DD1064,29),0)</f>
        <v/>
      </c>
      <c r="AF1064">
        <f>IFERROR(INDEX(PP_Grid[#Data],$DD1064,30),0)</f>
        <v/>
      </c>
      <c r="AG1064">
        <f>IFERROR(INDEX(PP_Grid[#Data],$DD1064,31),0)</f>
        <v/>
      </c>
      <c r="AH1064">
        <f>IFERROR(INDEX(PP_Grid[#Data],$DD1064,32),0)</f>
        <v/>
      </c>
      <c r="AI1064">
        <f>IFERROR(INDEX(PP_Grid[#Data],$DD1064,33),0)</f>
        <v/>
      </c>
      <c r="AJ1064">
        <f>IFERROR(INDEX(PP_Grid[#Data],$DD1064,34),0)</f>
        <v/>
      </c>
      <c r="AK1064">
        <f>IFERROR(INDEX(PP_Grid[#Data],$DD1064,35),0)</f>
        <v/>
      </c>
      <c r="AL1064">
        <f>IFERROR(INDEX(PP_Grid[#Data],$DD1064,36),0)</f>
        <v/>
      </c>
      <c r="AM1064">
        <f>IFERROR(INDEX(PP_Grid[#Data],$DD1064,37),0)</f>
        <v/>
      </c>
      <c r="AN1064">
        <f>IFERROR(INDEX(PP_Grid[#Data],$DD1064,38),0)</f>
        <v/>
      </c>
      <c r="AO1064">
        <f>IFERROR(INDEX(PP_Grid[#Data],$DD1064,39),0)</f>
        <v/>
      </c>
      <c r="AP1064">
        <f>IFERROR(INDEX(PP_Grid[#Data],$DD1064,40),0)</f>
        <v/>
      </c>
      <c r="AQ1064">
        <f>IFERROR(INDEX(PP_Grid[#Data],$DD1064,41),0)</f>
        <v/>
      </c>
      <c r="AR1064">
        <f>IFERROR(INDEX(PP_Grid[#Data],$DD1064,42),0)</f>
        <v/>
      </c>
      <c r="AS1064">
        <f>IFERROR(INDEX(PP_Grid[#Data],$DD1064,43),0)</f>
        <v/>
      </c>
      <c r="AT1064">
        <f>IFERROR(INDEX(PP_Grid[#Data],$DD1064,44),0)</f>
        <v/>
      </c>
      <c r="AU1064">
        <f>IFERROR(INDEX(PP_Grid[#Data],$DD1064,45),0)</f>
        <v/>
      </c>
      <c r="AV1064">
        <f>IFERROR(INDEX(PP_Grid[#Data],$DD1064,46),0)</f>
        <v/>
      </c>
      <c r="AW1064">
        <f>IFERROR(INDEX(PP_Grid[#Data],$DD1064,47),0)</f>
        <v/>
      </c>
      <c r="AX1064">
        <f>IFERROR(INDEX(PP_Grid[#Data],$DD1064,48),0)</f>
        <v/>
      </c>
      <c r="AY1064">
        <f>IFERROR(INDEX(PP_Grid[#Data],$DD1064,49),0)</f>
        <v/>
      </c>
      <c r="AZ1064">
        <f>IFERROR(INDEX(PP_Grid[#Data],$DD1064,50),0)</f>
        <v/>
      </c>
      <c r="BA1064">
        <f>IFERROR(INDEX(PP_Grid[#Data],$DD1064,51),0)</f>
        <v/>
      </c>
      <c r="BB1064">
        <f>IFERROR(INDEX(PP_Grid[#Data],$DD1064,52),0)</f>
        <v/>
      </c>
      <c r="BC1064">
        <f>IFERROR(INDEX(PP_Grid[#Data],$DD1064,53),0)</f>
        <v/>
      </c>
      <c r="BD1064">
        <f>IFERROR(INDEX(PP_Grid[#Data],$DD1064,54),0)</f>
        <v/>
      </c>
      <c r="BE1064">
        <f>IFERROR(INDEX(PP_Grid[#Data],$DD1064,55),0)</f>
        <v/>
      </c>
      <c r="BF1064">
        <f>IFERROR(INDEX(PP_Grid[#Data],$DD1064,56),0)</f>
        <v/>
      </c>
      <c r="BG1064">
        <f>IFERROR(INDEX(PP_Grid[#Data],$DD1064,57),0)</f>
        <v/>
      </c>
      <c r="BH1064">
        <f>IFERROR(INDEX(PP_Grid[#Data],$DD1064,58),0)</f>
        <v/>
      </c>
      <c r="BI1064">
        <f>IFERROR(INDEX(PP_Grid[#Data],$DD1064,59),0)</f>
        <v/>
      </c>
      <c r="BJ1064">
        <f>IFERROR(INDEX(PP_Grid[#Data],$DD1064,60),0)</f>
        <v/>
      </c>
      <c r="BK1064">
        <f>IFERROR(INDEX(PP_Grid[#Data],$DD1064,61),0)</f>
        <v/>
      </c>
      <c r="BL1064">
        <f>IFERROR(INDEX(PP_Grid[#Data],$DD1064,62),0)</f>
        <v/>
      </c>
      <c r="BM1064">
        <f>IFERROR(INDEX(PP_Grid[#Data],$DD1064,63),0)</f>
        <v/>
      </c>
      <c r="BN1064">
        <f>IFERROR(INDEX(PP_Grid[#Data],$DD1064,64),0)</f>
        <v/>
      </c>
      <c r="BO1064">
        <f>IFERROR(INDEX(PP_Grid[#Data],$DD1064,65),0)</f>
        <v/>
      </c>
      <c r="BP1064">
        <f>IFERROR(INDEX(PP_Grid[#Data],$DD1064,66),0)</f>
        <v/>
      </c>
      <c r="BQ1064">
        <f>IFERROR(INDEX(PP_Grid[#Data],$DD1064,67),0)</f>
        <v/>
      </c>
      <c r="BR1064">
        <f>IFERROR(INDEX(PP_Grid[#Data],$DD1064,68),0)</f>
        <v/>
      </c>
      <c r="BS1064">
        <f>IFERROR(INDEX(PP_Grid[#Data],$DD1064,69),0)</f>
        <v/>
      </c>
      <c r="BT1064">
        <f>IFERROR(INDEX(PP_Grid[#Data],$DD1064,70),0)</f>
        <v/>
      </c>
      <c r="BU1064">
        <f>IFERROR(INDEX(PP_Grid[#Data],$DD1064,71),0)</f>
        <v/>
      </c>
      <c r="BV1064">
        <f>IFERROR(INDEX(PP_Grid[#Data],$DD1064,72),0)</f>
        <v/>
      </c>
      <c r="BW1064">
        <f>IFERROR(INDEX(PP_Grid[#Data],$DD1064,73),0)</f>
        <v/>
      </c>
      <c r="BX1064">
        <f>IFERROR(INDEX(PP_Grid[#Data],$DD1064,74),0)</f>
        <v/>
      </c>
      <c r="BY1064">
        <f>IFERROR(INDEX(PP_Grid[#Data],$DD1064,75),0)</f>
        <v/>
      </c>
      <c r="BZ1064">
        <f>IFERROR(INDEX(PP_Grid[#Data],$DD1064,76),0)</f>
        <v/>
      </c>
      <c r="CA1064">
        <f>IFERROR(INDEX(PP_Grid[#Data],$DD1064,77),0)</f>
        <v/>
      </c>
      <c r="CB1064">
        <f>IFERROR(INDEX(PP_Grid[#Data],$DD1064,78),0)</f>
        <v/>
      </c>
      <c r="CC1064">
        <f>IFERROR(INDEX(PP_Grid[#Data],$DD1064,79),0)</f>
        <v/>
      </c>
      <c r="CD1064">
        <f>IFERROR(INDEX(PP_Grid[#Data],$DD1064,80),0)</f>
        <v/>
      </c>
      <c r="CE1064">
        <f>IFERROR(INDEX(PP_Grid[#Data],$DD1064,81),0)</f>
        <v/>
      </c>
      <c r="CF1064">
        <f>IFERROR(INDEX(PP_Grid[#Data],$DD1064,82),0)</f>
        <v/>
      </c>
      <c r="CG1064">
        <f>IFERROR(INDEX(PP_Grid[#Data],$DD1064,83),0)</f>
        <v/>
      </c>
      <c r="CH1064">
        <f>IFERROR(INDEX(PP_Grid[#Data],$DD1064,84),0)</f>
        <v/>
      </c>
      <c r="CI1064">
        <f>IFERROR(INDEX(PP_Grid[#Data],$DD1064,85),0)</f>
        <v/>
      </c>
      <c r="CJ1064">
        <f>IFERROR(INDEX(PP_Grid[#Data],$DD1064,86),0)</f>
        <v/>
      </c>
      <c r="CK1064">
        <f>IFERROR(INDEX(PP_Grid[#Data],$DD1064,87),0)</f>
        <v/>
      </c>
      <c r="CL1064">
        <f>IFERROR(INDEX(PP_Grid[#Data],$DD1064,88),0)</f>
        <v/>
      </c>
      <c r="CM1064">
        <f>IFERROR(INDEX(PP_Grid[#Data],$DD1064,89),0)</f>
        <v/>
      </c>
      <c r="CN1064">
        <f>IFERROR(INDEX(PP_Grid[#Data],$DD1064,90),0)</f>
        <v/>
      </c>
      <c r="CO1064">
        <f>IFERROR(INDEX(PP_Grid[#Data],$DD1064,91),0)</f>
        <v/>
      </c>
      <c r="CP1064">
        <f>IFERROR(INDEX(PP_Grid[#Data],$DD1064,92),0)</f>
        <v/>
      </c>
      <c r="CQ1064">
        <f>IFERROR(INDEX(PP_Grid[#Data],$DD1064,93),0)</f>
        <v/>
      </c>
      <c r="CR1064">
        <f>IFERROR(INDEX(PP_Grid[#Data],$DD1064,94),0)</f>
        <v/>
      </c>
      <c r="CS1064">
        <f>IFERROR(INDEX(PP_Grid[#Data],$DD1064,95),0)</f>
        <v/>
      </c>
      <c r="CT1064">
        <f>IFERROR(INDEX(PP_Grid[#Data],$DD1064,96),0)</f>
        <v/>
      </c>
      <c r="CU1064">
        <f>IFERROR(INDEX(PP_Grid[#Data],$DD1064,97),0)</f>
        <v/>
      </c>
      <c r="CV1064">
        <f>IFERROR(INDEX(PP_Grid[#Data],$DD1064,98),0)</f>
        <v/>
      </c>
      <c r="CW1064">
        <f>IFERROR(INDEX(PP_Grid[#Data],$DD1064,99),0)</f>
        <v/>
      </c>
      <c r="CX1064">
        <f>IFERROR(INDEX(PP_Grid[#Data],$DD1064,100),0)</f>
        <v/>
      </c>
      <c r="CY1064">
        <f>IFERROR(INDEX(PP_Grid[#Data],$DD1064,101),0)</f>
        <v/>
      </c>
      <c r="CZ1064">
        <f>IFERROR(INDEX(PP_Grid[#Data],$DD1064,102),0)</f>
        <v/>
      </c>
      <c r="DA1064">
        <f>IFERROR(INDEX(PP_Grid[#Data],$DD1064,103),0)</f>
        <v/>
      </c>
      <c r="DB1064">
        <f>IFERROR(INDEX(PP_Grid[#Data],$DD1064,104),0)</f>
        <v/>
      </c>
      <c r="DC1064">
        <f>IFERROR(INDEX(PP_Grid[#Data],$DD1064,105),0)</f>
        <v/>
      </c>
      <c r="DD1064" s="12">
        <f>IFERROR(MATCH($B1064,PP_Grid[Intermediate],0),99999)</f>
        <v/>
      </c>
    </row>
    <row r="1065">
      <c r="B1065" t="inlineStr">
        <is>
          <t>使用量(kg)</t>
        </is>
      </c>
      <c r="C1065">
        <f>SUMIFS(M_BOM[RM_Qty_Per_Batch],M_BOM[Intermediate],$B1064,M_BOM[Part Name],$A1063)</f>
        <v/>
      </c>
      <c r="D1065">
        <f>$C1065*D1064</f>
        <v/>
      </c>
      <c r="E1065">
        <f>$C1065*E1064</f>
        <v/>
      </c>
      <c r="F1065">
        <f>$C1065*F1064</f>
        <v/>
      </c>
      <c r="G1065">
        <f>$C1065*G1064</f>
        <v/>
      </c>
      <c r="H1065">
        <f>$C1065*H1064</f>
        <v/>
      </c>
      <c r="I1065">
        <f>$C1065*I1064</f>
        <v/>
      </c>
      <c r="J1065">
        <f>$C1065*J1064</f>
        <v/>
      </c>
      <c r="K1065">
        <f>$C1065*K1064</f>
        <v/>
      </c>
      <c r="L1065">
        <f>$C1065*L1064</f>
        <v/>
      </c>
      <c r="M1065">
        <f>$C1065*M1064</f>
        <v/>
      </c>
      <c r="N1065">
        <f>$C1065*N1064</f>
        <v/>
      </c>
      <c r="O1065">
        <f>$C1065*O1064</f>
        <v/>
      </c>
      <c r="P1065">
        <f>$C1065*P1064</f>
        <v/>
      </c>
      <c r="Q1065">
        <f>$C1065*Q1064</f>
        <v/>
      </c>
      <c r="R1065">
        <f>$C1065*R1064</f>
        <v/>
      </c>
      <c r="S1065">
        <f>$C1065*S1064</f>
        <v/>
      </c>
      <c r="T1065">
        <f>$C1065*T1064</f>
        <v/>
      </c>
      <c r="U1065">
        <f>$C1065*U1064</f>
        <v/>
      </c>
      <c r="V1065">
        <f>$C1065*V1064</f>
        <v/>
      </c>
      <c r="W1065">
        <f>$C1065*W1064</f>
        <v/>
      </c>
      <c r="X1065">
        <f>$C1065*X1064</f>
        <v/>
      </c>
      <c r="Y1065">
        <f>$C1065*Y1064</f>
        <v/>
      </c>
      <c r="Z1065">
        <f>$C1065*Z1064</f>
        <v/>
      </c>
      <c r="AA1065">
        <f>$C1065*AA1064</f>
        <v/>
      </c>
      <c r="AB1065">
        <f>$C1065*AB1064</f>
        <v/>
      </c>
      <c r="AC1065">
        <f>$C1065*AC1064</f>
        <v/>
      </c>
      <c r="AD1065">
        <f>$C1065*AD1064</f>
        <v/>
      </c>
      <c r="AE1065">
        <f>$C1065*AE1064</f>
        <v/>
      </c>
      <c r="AF1065">
        <f>$C1065*AF1064</f>
        <v/>
      </c>
      <c r="AG1065">
        <f>$C1065*AG1064</f>
        <v/>
      </c>
      <c r="AH1065">
        <f>$C1065*AH1064</f>
        <v/>
      </c>
      <c r="AI1065">
        <f>$C1065*AI1064</f>
        <v/>
      </c>
      <c r="AJ1065">
        <f>$C1065*AJ1064</f>
        <v/>
      </c>
      <c r="AK1065">
        <f>$C1065*AK1064</f>
        <v/>
      </c>
      <c r="AL1065">
        <f>$C1065*AL1064</f>
        <v/>
      </c>
      <c r="AM1065">
        <f>$C1065*AM1064</f>
        <v/>
      </c>
      <c r="AN1065">
        <f>$C1065*AN1064</f>
        <v/>
      </c>
      <c r="AO1065">
        <f>$C1065*AO1064</f>
        <v/>
      </c>
      <c r="AP1065">
        <f>$C1065*AP1064</f>
        <v/>
      </c>
      <c r="AQ1065">
        <f>$C1065*AQ1064</f>
        <v/>
      </c>
      <c r="AR1065">
        <f>$C1065*AR1064</f>
        <v/>
      </c>
      <c r="AS1065">
        <f>$C1065*AS1064</f>
        <v/>
      </c>
      <c r="AT1065">
        <f>$C1065*AT1064</f>
        <v/>
      </c>
      <c r="AU1065">
        <f>$C1065*AU1064</f>
        <v/>
      </c>
      <c r="AV1065">
        <f>$C1065*AV1064</f>
        <v/>
      </c>
      <c r="AW1065">
        <f>$C1065*AW1064</f>
        <v/>
      </c>
      <c r="AX1065">
        <f>$C1065*AX1064</f>
        <v/>
      </c>
      <c r="AY1065">
        <f>$C1065*AY1064</f>
        <v/>
      </c>
      <c r="AZ1065">
        <f>$C1065*AZ1064</f>
        <v/>
      </c>
      <c r="BA1065">
        <f>$C1065*BA1064</f>
        <v/>
      </c>
      <c r="BB1065">
        <f>$C1065*BB1064</f>
        <v/>
      </c>
      <c r="BC1065">
        <f>$C1065*BC1064</f>
        <v/>
      </c>
      <c r="BD1065">
        <f>$C1065*BD1064</f>
        <v/>
      </c>
      <c r="BE1065">
        <f>$C1065*BE1064</f>
        <v/>
      </c>
      <c r="BF1065">
        <f>$C1065*BF1064</f>
        <v/>
      </c>
      <c r="BG1065">
        <f>$C1065*BG1064</f>
        <v/>
      </c>
      <c r="BH1065">
        <f>$C1065*BH1064</f>
        <v/>
      </c>
      <c r="BI1065">
        <f>$C1065*BI1064</f>
        <v/>
      </c>
      <c r="BJ1065">
        <f>$C1065*BJ1064</f>
        <v/>
      </c>
      <c r="BK1065">
        <f>$C1065*BK1064</f>
        <v/>
      </c>
      <c r="BL1065">
        <f>$C1065*BL1064</f>
        <v/>
      </c>
      <c r="BM1065">
        <f>$C1065*BM1064</f>
        <v/>
      </c>
      <c r="BN1065">
        <f>$C1065*BN1064</f>
        <v/>
      </c>
      <c r="BO1065">
        <f>$C1065*BO1064</f>
        <v/>
      </c>
      <c r="BP1065">
        <f>$C1065*BP1064</f>
        <v/>
      </c>
      <c r="BQ1065">
        <f>$C1065*BQ1064</f>
        <v/>
      </c>
      <c r="BR1065">
        <f>$C1065*BR1064</f>
        <v/>
      </c>
      <c r="BS1065">
        <f>$C1065*BS1064</f>
        <v/>
      </c>
      <c r="BT1065">
        <f>$C1065*BT1064</f>
        <v/>
      </c>
      <c r="BU1065">
        <f>$C1065*BU1064</f>
        <v/>
      </c>
      <c r="BV1065">
        <f>$C1065*BV1064</f>
        <v/>
      </c>
      <c r="BW1065">
        <f>$C1065*BW1064</f>
        <v/>
      </c>
      <c r="BX1065">
        <f>$C1065*BX1064</f>
        <v/>
      </c>
      <c r="BY1065">
        <f>$C1065*BY1064</f>
        <v/>
      </c>
      <c r="BZ1065">
        <f>$C1065*BZ1064</f>
        <v/>
      </c>
      <c r="CA1065">
        <f>$C1065*CA1064</f>
        <v/>
      </c>
      <c r="CB1065">
        <f>$C1065*CB1064</f>
        <v/>
      </c>
      <c r="CC1065">
        <f>$C1065*CC1064</f>
        <v/>
      </c>
      <c r="CD1065">
        <f>$C1065*CD1064</f>
        <v/>
      </c>
      <c r="CE1065">
        <f>$C1065*CE1064</f>
        <v/>
      </c>
      <c r="CF1065">
        <f>$C1065*CF1064</f>
        <v/>
      </c>
      <c r="CG1065">
        <f>$C1065*CG1064</f>
        <v/>
      </c>
      <c r="CH1065">
        <f>$C1065*CH1064</f>
        <v/>
      </c>
      <c r="CI1065">
        <f>$C1065*CI1064</f>
        <v/>
      </c>
      <c r="CJ1065">
        <f>$C1065*CJ1064</f>
        <v/>
      </c>
      <c r="CK1065">
        <f>$C1065*CK1064</f>
        <v/>
      </c>
      <c r="CL1065">
        <f>$C1065*CL1064</f>
        <v/>
      </c>
      <c r="CM1065">
        <f>$C1065*CM1064</f>
        <v/>
      </c>
      <c r="CN1065">
        <f>$C1065*CN1064</f>
        <v/>
      </c>
      <c r="CO1065">
        <f>$C1065*CO1064</f>
        <v/>
      </c>
      <c r="CP1065">
        <f>$C1065*CP1064</f>
        <v/>
      </c>
      <c r="CQ1065">
        <f>$C1065*CQ1064</f>
        <v/>
      </c>
      <c r="CR1065">
        <f>$C1065*CR1064</f>
        <v/>
      </c>
      <c r="CS1065">
        <f>$C1065*CS1064</f>
        <v/>
      </c>
      <c r="CT1065">
        <f>$C1065*CT1064</f>
        <v/>
      </c>
      <c r="CU1065">
        <f>$C1065*CU1064</f>
        <v/>
      </c>
      <c r="CV1065">
        <f>$C1065*CV1064</f>
        <v/>
      </c>
      <c r="CW1065">
        <f>$C1065*CW1064</f>
        <v/>
      </c>
      <c r="CX1065">
        <f>$C1065*CX1064</f>
        <v/>
      </c>
      <c r="CY1065">
        <f>$C1065*CY1064</f>
        <v/>
      </c>
      <c r="CZ1065">
        <f>$C1065*CZ1064</f>
        <v/>
      </c>
      <c r="DA1065">
        <f>$C1065*DA1064</f>
        <v/>
      </c>
      <c r="DB1065">
        <f>$C1065*DB1064</f>
        <v/>
      </c>
      <c r="DC1065">
        <f>$C1065*DC1064</f>
        <v/>
      </c>
    </row>
    <row r="1066">
      <c r="B1066" t="inlineStr">
        <is>
          <t>TSP-225</t>
        </is>
      </c>
      <c r="C1066" t="inlineStr">
        <is>
          <t>No. of batches</t>
        </is>
      </c>
      <c r="D1066">
        <f>IFERROR(INDEX(PP_Grid[#Data],$DD1066,2),0)</f>
        <v/>
      </c>
      <c r="E1066">
        <f>IFERROR(INDEX(PP_Grid[#Data],$DD1066,3),0)</f>
        <v/>
      </c>
      <c r="F1066">
        <f>IFERROR(INDEX(PP_Grid[#Data],$DD1066,4),0)</f>
        <v/>
      </c>
      <c r="G1066">
        <f>IFERROR(INDEX(PP_Grid[#Data],$DD1066,5),0)</f>
        <v/>
      </c>
      <c r="H1066">
        <f>IFERROR(INDEX(PP_Grid[#Data],$DD1066,6),0)</f>
        <v/>
      </c>
      <c r="I1066">
        <f>IFERROR(INDEX(PP_Grid[#Data],$DD1066,7),0)</f>
        <v/>
      </c>
      <c r="J1066">
        <f>IFERROR(INDEX(PP_Grid[#Data],$DD1066,8),0)</f>
        <v/>
      </c>
      <c r="K1066">
        <f>IFERROR(INDEX(PP_Grid[#Data],$DD1066,9),0)</f>
        <v/>
      </c>
      <c r="L1066">
        <f>IFERROR(INDEX(PP_Grid[#Data],$DD1066,10),0)</f>
        <v/>
      </c>
      <c r="M1066">
        <f>IFERROR(INDEX(PP_Grid[#Data],$DD1066,11),0)</f>
        <v/>
      </c>
      <c r="N1066">
        <f>IFERROR(INDEX(PP_Grid[#Data],$DD1066,12),0)</f>
        <v/>
      </c>
      <c r="O1066">
        <f>IFERROR(INDEX(PP_Grid[#Data],$DD1066,13),0)</f>
        <v/>
      </c>
      <c r="P1066">
        <f>IFERROR(INDEX(PP_Grid[#Data],$DD1066,14),0)</f>
        <v/>
      </c>
      <c r="Q1066">
        <f>IFERROR(INDEX(PP_Grid[#Data],$DD1066,15),0)</f>
        <v/>
      </c>
      <c r="R1066">
        <f>IFERROR(INDEX(PP_Grid[#Data],$DD1066,16),0)</f>
        <v/>
      </c>
      <c r="S1066">
        <f>IFERROR(INDEX(PP_Grid[#Data],$DD1066,17),0)</f>
        <v/>
      </c>
      <c r="T1066">
        <f>IFERROR(INDEX(PP_Grid[#Data],$DD1066,18),0)</f>
        <v/>
      </c>
      <c r="U1066">
        <f>IFERROR(INDEX(PP_Grid[#Data],$DD1066,19),0)</f>
        <v/>
      </c>
      <c r="V1066">
        <f>IFERROR(INDEX(PP_Grid[#Data],$DD1066,20),0)</f>
        <v/>
      </c>
      <c r="W1066">
        <f>IFERROR(INDEX(PP_Grid[#Data],$DD1066,21),0)</f>
        <v/>
      </c>
      <c r="X1066">
        <f>IFERROR(INDEX(PP_Grid[#Data],$DD1066,22),0)</f>
        <v/>
      </c>
      <c r="Y1066">
        <f>IFERROR(INDEX(PP_Grid[#Data],$DD1066,23),0)</f>
        <v/>
      </c>
      <c r="Z1066">
        <f>IFERROR(INDEX(PP_Grid[#Data],$DD1066,24),0)</f>
        <v/>
      </c>
      <c r="AA1066">
        <f>IFERROR(INDEX(PP_Grid[#Data],$DD1066,25),0)</f>
        <v/>
      </c>
      <c r="AB1066">
        <f>IFERROR(INDEX(PP_Grid[#Data],$DD1066,26),0)</f>
        <v/>
      </c>
      <c r="AC1066">
        <f>IFERROR(INDEX(PP_Grid[#Data],$DD1066,27),0)</f>
        <v/>
      </c>
      <c r="AD1066">
        <f>IFERROR(INDEX(PP_Grid[#Data],$DD1066,28),0)</f>
        <v/>
      </c>
      <c r="AE1066">
        <f>IFERROR(INDEX(PP_Grid[#Data],$DD1066,29),0)</f>
        <v/>
      </c>
      <c r="AF1066">
        <f>IFERROR(INDEX(PP_Grid[#Data],$DD1066,30),0)</f>
        <v/>
      </c>
      <c r="AG1066">
        <f>IFERROR(INDEX(PP_Grid[#Data],$DD1066,31),0)</f>
        <v/>
      </c>
      <c r="AH1066">
        <f>IFERROR(INDEX(PP_Grid[#Data],$DD1066,32),0)</f>
        <v/>
      </c>
      <c r="AI1066">
        <f>IFERROR(INDEX(PP_Grid[#Data],$DD1066,33),0)</f>
        <v/>
      </c>
      <c r="AJ1066">
        <f>IFERROR(INDEX(PP_Grid[#Data],$DD1066,34),0)</f>
        <v/>
      </c>
      <c r="AK1066">
        <f>IFERROR(INDEX(PP_Grid[#Data],$DD1066,35),0)</f>
        <v/>
      </c>
      <c r="AL1066">
        <f>IFERROR(INDEX(PP_Grid[#Data],$DD1066,36),0)</f>
        <v/>
      </c>
      <c r="AM1066">
        <f>IFERROR(INDEX(PP_Grid[#Data],$DD1066,37),0)</f>
        <v/>
      </c>
      <c r="AN1066">
        <f>IFERROR(INDEX(PP_Grid[#Data],$DD1066,38),0)</f>
        <v/>
      </c>
      <c r="AO1066">
        <f>IFERROR(INDEX(PP_Grid[#Data],$DD1066,39),0)</f>
        <v/>
      </c>
      <c r="AP1066">
        <f>IFERROR(INDEX(PP_Grid[#Data],$DD1066,40),0)</f>
        <v/>
      </c>
      <c r="AQ1066">
        <f>IFERROR(INDEX(PP_Grid[#Data],$DD1066,41),0)</f>
        <v/>
      </c>
      <c r="AR1066">
        <f>IFERROR(INDEX(PP_Grid[#Data],$DD1066,42),0)</f>
        <v/>
      </c>
      <c r="AS1066">
        <f>IFERROR(INDEX(PP_Grid[#Data],$DD1066,43),0)</f>
        <v/>
      </c>
      <c r="AT1066">
        <f>IFERROR(INDEX(PP_Grid[#Data],$DD1066,44),0)</f>
        <v/>
      </c>
      <c r="AU1066">
        <f>IFERROR(INDEX(PP_Grid[#Data],$DD1066,45),0)</f>
        <v/>
      </c>
      <c r="AV1066">
        <f>IFERROR(INDEX(PP_Grid[#Data],$DD1066,46),0)</f>
        <v/>
      </c>
      <c r="AW1066">
        <f>IFERROR(INDEX(PP_Grid[#Data],$DD1066,47),0)</f>
        <v/>
      </c>
      <c r="AX1066">
        <f>IFERROR(INDEX(PP_Grid[#Data],$DD1066,48),0)</f>
        <v/>
      </c>
      <c r="AY1066">
        <f>IFERROR(INDEX(PP_Grid[#Data],$DD1066,49),0)</f>
        <v/>
      </c>
      <c r="AZ1066">
        <f>IFERROR(INDEX(PP_Grid[#Data],$DD1066,50),0)</f>
        <v/>
      </c>
      <c r="BA1066">
        <f>IFERROR(INDEX(PP_Grid[#Data],$DD1066,51),0)</f>
        <v/>
      </c>
      <c r="BB1066">
        <f>IFERROR(INDEX(PP_Grid[#Data],$DD1066,52),0)</f>
        <v/>
      </c>
      <c r="BC1066">
        <f>IFERROR(INDEX(PP_Grid[#Data],$DD1066,53),0)</f>
        <v/>
      </c>
      <c r="BD1066">
        <f>IFERROR(INDEX(PP_Grid[#Data],$DD1066,54),0)</f>
        <v/>
      </c>
      <c r="BE1066">
        <f>IFERROR(INDEX(PP_Grid[#Data],$DD1066,55),0)</f>
        <v/>
      </c>
      <c r="BF1066">
        <f>IFERROR(INDEX(PP_Grid[#Data],$DD1066,56),0)</f>
        <v/>
      </c>
      <c r="BG1066">
        <f>IFERROR(INDEX(PP_Grid[#Data],$DD1066,57),0)</f>
        <v/>
      </c>
      <c r="BH1066">
        <f>IFERROR(INDEX(PP_Grid[#Data],$DD1066,58),0)</f>
        <v/>
      </c>
      <c r="BI1066">
        <f>IFERROR(INDEX(PP_Grid[#Data],$DD1066,59),0)</f>
        <v/>
      </c>
      <c r="BJ1066">
        <f>IFERROR(INDEX(PP_Grid[#Data],$DD1066,60),0)</f>
        <v/>
      </c>
      <c r="BK1066">
        <f>IFERROR(INDEX(PP_Grid[#Data],$DD1066,61),0)</f>
        <v/>
      </c>
      <c r="BL1066">
        <f>IFERROR(INDEX(PP_Grid[#Data],$DD1066,62),0)</f>
        <v/>
      </c>
      <c r="BM1066">
        <f>IFERROR(INDEX(PP_Grid[#Data],$DD1066,63),0)</f>
        <v/>
      </c>
      <c r="BN1066">
        <f>IFERROR(INDEX(PP_Grid[#Data],$DD1066,64),0)</f>
        <v/>
      </c>
      <c r="BO1066">
        <f>IFERROR(INDEX(PP_Grid[#Data],$DD1066,65),0)</f>
        <v/>
      </c>
      <c r="BP1066">
        <f>IFERROR(INDEX(PP_Grid[#Data],$DD1066,66),0)</f>
        <v/>
      </c>
      <c r="BQ1066">
        <f>IFERROR(INDEX(PP_Grid[#Data],$DD1066,67),0)</f>
        <v/>
      </c>
      <c r="BR1066">
        <f>IFERROR(INDEX(PP_Grid[#Data],$DD1066,68),0)</f>
        <v/>
      </c>
      <c r="BS1066">
        <f>IFERROR(INDEX(PP_Grid[#Data],$DD1066,69),0)</f>
        <v/>
      </c>
      <c r="BT1066">
        <f>IFERROR(INDEX(PP_Grid[#Data],$DD1066,70),0)</f>
        <v/>
      </c>
      <c r="BU1066">
        <f>IFERROR(INDEX(PP_Grid[#Data],$DD1066,71),0)</f>
        <v/>
      </c>
      <c r="BV1066">
        <f>IFERROR(INDEX(PP_Grid[#Data],$DD1066,72),0)</f>
        <v/>
      </c>
      <c r="BW1066">
        <f>IFERROR(INDEX(PP_Grid[#Data],$DD1066,73),0)</f>
        <v/>
      </c>
      <c r="BX1066">
        <f>IFERROR(INDEX(PP_Grid[#Data],$DD1066,74),0)</f>
        <v/>
      </c>
      <c r="BY1066">
        <f>IFERROR(INDEX(PP_Grid[#Data],$DD1066,75),0)</f>
        <v/>
      </c>
      <c r="BZ1066">
        <f>IFERROR(INDEX(PP_Grid[#Data],$DD1066,76),0)</f>
        <v/>
      </c>
      <c r="CA1066">
        <f>IFERROR(INDEX(PP_Grid[#Data],$DD1066,77),0)</f>
        <v/>
      </c>
      <c r="CB1066">
        <f>IFERROR(INDEX(PP_Grid[#Data],$DD1066,78),0)</f>
        <v/>
      </c>
      <c r="CC1066">
        <f>IFERROR(INDEX(PP_Grid[#Data],$DD1066,79),0)</f>
        <v/>
      </c>
      <c r="CD1066">
        <f>IFERROR(INDEX(PP_Grid[#Data],$DD1066,80),0)</f>
        <v/>
      </c>
      <c r="CE1066">
        <f>IFERROR(INDEX(PP_Grid[#Data],$DD1066,81),0)</f>
        <v/>
      </c>
      <c r="CF1066">
        <f>IFERROR(INDEX(PP_Grid[#Data],$DD1066,82),0)</f>
        <v/>
      </c>
      <c r="CG1066">
        <f>IFERROR(INDEX(PP_Grid[#Data],$DD1066,83),0)</f>
        <v/>
      </c>
      <c r="CH1066">
        <f>IFERROR(INDEX(PP_Grid[#Data],$DD1066,84),0)</f>
        <v/>
      </c>
      <c r="CI1066">
        <f>IFERROR(INDEX(PP_Grid[#Data],$DD1066,85),0)</f>
        <v/>
      </c>
      <c r="CJ1066">
        <f>IFERROR(INDEX(PP_Grid[#Data],$DD1066,86),0)</f>
        <v/>
      </c>
      <c r="CK1066">
        <f>IFERROR(INDEX(PP_Grid[#Data],$DD1066,87),0)</f>
        <v/>
      </c>
      <c r="CL1066">
        <f>IFERROR(INDEX(PP_Grid[#Data],$DD1066,88),0)</f>
        <v/>
      </c>
      <c r="CM1066">
        <f>IFERROR(INDEX(PP_Grid[#Data],$DD1066,89),0)</f>
        <v/>
      </c>
      <c r="CN1066">
        <f>IFERROR(INDEX(PP_Grid[#Data],$DD1066,90),0)</f>
        <v/>
      </c>
      <c r="CO1066">
        <f>IFERROR(INDEX(PP_Grid[#Data],$DD1066,91),0)</f>
        <v/>
      </c>
      <c r="CP1066">
        <f>IFERROR(INDEX(PP_Grid[#Data],$DD1066,92),0)</f>
        <v/>
      </c>
      <c r="CQ1066">
        <f>IFERROR(INDEX(PP_Grid[#Data],$DD1066,93),0)</f>
        <v/>
      </c>
      <c r="CR1066">
        <f>IFERROR(INDEX(PP_Grid[#Data],$DD1066,94),0)</f>
        <v/>
      </c>
      <c r="CS1066">
        <f>IFERROR(INDEX(PP_Grid[#Data],$DD1066,95),0)</f>
        <v/>
      </c>
      <c r="CT1066">
        <f>IFERROR(INDEX(PP_Grid[#Data],$DD1066,96),0)</f>
        <v/>
      </c>
      <c r="CU1066">
        <f>IFERROR(INDEX(PP_Grid[#Data],$DD1066,97),0)</f>
        <v/>
      </c>
      <c r="CV1066">
        <f>IFERROR(INDEX(PP_Grid[#Data],$DD1066,98),0)</f>
        <v/>
      </c>
      <c r="CW1066">
        <f>IFERROR(INDEX(PP_Grid[#Data],$DD1066,99),0)</f>
        <v/>
      </c>
      <c r="CX1066">
        <f>IFERROR(INDEX(PP_Grid[#Data],$DD1066,100),0)</f>
        <v/>
      </c>
      <c r="CY1066">
        <f>IFERROR(INDEX(PP_Grid[#Data],$DD1066,101),0)</f>
        <v/>
      </c>
      <c r="CZ1066">
        <f>IFERROR(INDEX(PP_Grid[#Data],$DD1066,102),0)</f>
        <v/>
      </c>
      <c r="DA1066">
        <f>IFERROR(INDEX(PP_Grid[#Data],$DD1066,103),0)</f>
        <v/>
      </c>
      <c r="DB1066">
        <f>IFERROR(INDEX(PP_Grid[#Data],$DD1066,104),0)</f>
        <v/>
      </c>
      <c r="DC1066">
        <f>IFERROR(INDEX(PP_Grid[#Data],$DD1066,105),0)</f>
        <v/>
      </c>
      <c r="DD1066" s="12">
        <f>IFERROR(MATCH($B1066,PP_Grid[Intermediate],0),99999)</f>
        <v/>
      </c>
    </row>
    <row r="1067">
      <c r="B1067" t="inlineStr">
        <is>
          <t>使用量(kg)</t>
        </is>
      </c>
      <c r="C1067">
        <f>SUMIFS(M_BOM[RM_Qty_Per_Batch],M_BOM[Intermediate],$B1066,M_BOM[Part Name],$A1063)</f>
        <v/>
      </c>
      <c r="D1067">
        <f>$C1067*D1066</f>
        <v/>
      </c>
      <c r="E1067">
        <f>$C1067*E1066</f>
        <v/>
      </c>
      <c r="F1067">
        <f>$C1067*F1066</f>
        <v/>
      </c>
      <c r="G1067">
        <f>$C1067*G1066</f>
        <v/>
      </c>
      <c r="H1067">
        <f>$C1067*H1066</f>
        <v/>
      </c>
      <c r="I1067">
        <f>$C1067*I1066</f>
        <v/>
      </c>
      <c r="J1067">
        <f>$C1067*J1066</f>
        <v/>
      </c>
      <c r="K1067">
        <f>$C1067*K1066</f>
        <v/>
      </c>
      <c r="L1067">
        <f>$C1067*L1066</f>
        <v/>
      </c>
      <c r="M1067">
        <f>$C1067*M1066</f>
        <v/>
      </c>
      <c r="N1067">
        <f>$C1067*N1066</f>
        <v/>
      </c>
      <c r="O1067">
        <f>$C1067*O1066</f>
        <v/>
      </c>
      <c r="P1067">
        <f>$C1067*P1066</f>
        <v/>
      </c>
      <c r="Q1067">
        <f>$C1067*Q1066</f>
        <v/>
      </c>
      <c r="R1067">
        <f>$C1067*R1066</f>
        <v/>
      </c>
      <c r="S1067">
        <f>$C1067*S1066</f>
        <v/>
      </c>
      <c r="T1067">
        <f>$C1067*T1066</f>
        <v/>
      </c>
      <c r="U1067">
        <f>$C1067*U1066</f>
        <v/>
      </c>
      <c r="V1067">
        <f>$C1067*V1066</f>
        <v/>
      </c>
      <c r="W1067">
        <f>$C1067*W1066</f>
        <v/>
      </c>
      <c r="X1067">
        <f>$C1067*X1066</f>
        <v/>
      </c>
      <c r="Y1067">
        <f>$C1067*Y1066</f>
        <v/>
      </c>
      <c r="Z1067">
        <f>$C1067*Z1066</f>
        <v/>
      </c>
      <c r="AA1067">
        <f>$C1067*AA1066</f>
        <v/>
      </c>
      <c r="AB1067">
        <f>$C1067*AB1066</f>
        <v/>
      </c>
      <c r="AC1067">
        <f>$C1067*AC1066</f>
        <v/>
      </c>
      <c r="AD1067">
        <f>$C1067*AD1066</f>
        <v/>
      </c>
      <c r="AE1067">
        <f>$C1067*AE1066</f>
        <v/>
      </c>
      <c r="AF1067">
        <f>$C1067*AF1066</f>
        <v/>
      </c>
      <c r="AG1067">
        <f>$C1067*AG1066</f>
        <v/>
      </c>
      <c r="AH1067">
        <f>$C1067*AH1066</f>
        <v/>
      </c>
      <c r="AI1067">
        <f>$C1067*AI1066</f>
        <v/>
      </c>
      <c r="AJ1067">
        <f>$C1067*AJ1066</f>
        <v/>
      </c>
      <c r="AK1067">
        <f>$C1067*AK1066</f>
        <v/>
      </c>
      <c r="AL1067">
        <f>$C1067*AL1066</f>
        <v/>
      </c>
      <c r="AM1067">
        <f>$C1067*AM1066</f>
        <v/>
      </c>
      <c r="AN1067">
        <f>$C1067*AN1066</f>
        <v/>
      </c>
      <c r="AO1067">
        <f>$C1067*AO1066</f>
        <v/>
      </c>
      <c r="AP1067">
        <f>$C1067*AP1066</f>
        <v/>
      </c>
      <c r="AQ1067">
        <f>$C1067*AQ1066</f>
        <v/>
      </c>
      <c r="AR1067">
        <f>$C1067*AR1066</f>
        <v/>
      </c>
      <c r="AS1067">
        <f>$C1067*AS1066</f>
        <v/>
      </c>
      <c r="AT1067">
        <f>$C1067*AT1066</f>
        <v/>
      </c>
      <c r="AU1067">
        <f>$C1067*AU1066</f>
        <v/>
      </c>
      <c r="AV1067">
        <f>$C1067*AV1066</f>
        <v/>
      </c>
      <c r="AW1067">
        <f>$C1067*AW1066</f>
        <v/>
      </c>
      <c r="AX1067">
        <f>$C1067*AX1066</f>
        <v/>
      </c>
      <c r="AY1067">
        <f>$C1067*AY1066</f>
        <v/>
      </c>
      <c r="AZ1067">
        <f>$C1067*AZ1066</f>
        <v/>
      </c>
      <c r="BA1067">
        <f>$C1067*BA1066</f>
        <v/>
      </c>
      <c r="BB1067">
        <f>$C1067*BB1066</f>
        <v/>
      </c>
      <c r="BC1067">
        <f>$C1067*BC1066</f>
        <v/>
      </c>
      <c r="BD1067">
        <f>$C1067*BD1066</f>
        <v/>
      </c>
      <c r="BE1067">
        <f>$C1067*BE1066</f>
        <v/>
      </c>
      <c r="BF1067">
        <f>$C1067*BF1066</f>
        <v/>
      </c>
      <c r="BG1067">
        <f>$C1067*BG1066</f>
        <v/>
      </c>
      <c r="BH1067">
        <f>$C1067*BH1066</f>
        <v/>
      </c>
      <c r="BI1067">
        <f>$C1067*BI1066</f>
        <v/>
      </c>
      <c r="BJ1067">
        <f>$C1067*BJ1066</f>
        <v/>
      </c>
      <c r="BK1067">
        <f>$C1067*BK1066</f>
        <v/>
      </c>
      <c r="BL1067">
        <f>$C1067*BL1066</f>
        <v/>
      </c>
      <c r="BM1067">
        <f>$C1067*BM1066</f>
        <v/>
      </c>
      <c r="BN1067">
        <f>$C1067*BN1066</f>
        <v/>
      </c>
      <c r="BO1067">
        <f>$C1067*BO1066</f>
        <v/>
      </c>
      <c r="BP1067">
        <f>$C1067*BP1066</f>
        <v/>
      </c>
      <c r="BQ1067">
        <f>$C1067*BQ1066</f>
        <v/>
      </c>
      <c r="BR1067">
        <f>$C1067*BR1066</f>
        <v/>
      </c>
      <c r="BS1067">
        <f>$C1067*BS1066</f>
        <v/>
      </c>
      <c r="BT1067">
        <f>$C1067*BT1066</f>
        <v/>
      </c>
      <c r="BU1067">
        <f>$C1067*BU1066</f>
        <v/>
      </c>
      <c r="BV1067">
        <f>$C1067*BV1066</f>
        <v/>
      </c>
      <c r="BW1067">
        <f>$C1067*BW1066</f>
        <v/>
      </c>
      <c r="BX1067">
        <f>$C1067*BX1066</f>
        <v/>
      </c>
      <c r="BY1067">
        <f>$C1067*BY1066</f>
        <v/>
      </c>
      <c r="BZ1067">
        <f>$C1067*BZ1066</f>
        <v/>
      </c>
      <c r="CA1067">
        <f>$C1067*CA1066</f>
        <v/>
      </c>
      <c r="CB1067">
        <f>$C1067*CB1066</f>
        <v/>
      </c>
      <c r="CC1067">
        <f>$C1067*CC1066</f>
        <v/>
      </c>
      <c r="CD1067">
        <f>$C1067*CD1066</f>
        <v/>
      </c>
      <c r="CE1067">
        <f>$C1067*CE1066</f>
        <v/>
      </c>
      <c r="CF1067">
        <f>$C1067*CF1066</f>
        <v/>
      </c>
      <c r="CG1067">
        <f>$C1067*CG1066</f>
        <v/>
      </c>
      <c r="CH1067">
        <f>$C1067*CH1066</f>
        <v/>
      </c>
      <c r="CI1067">
        <f>$C1067*CI1066</f>
        <v/>
      </c>
      <c r="CJ1067">
        <f>$C1067*CJ1066</f>
        <v/>
      </c>
      <c r="CK1067">
        <f>$C1067*CK1066</f>
        <v/>
      </c>
      <c r="CL1067">
        <f>$C1067*CL1066</f>
        <v/>
      </c>
      <c r="CM1067">
        <f>$C1067*CM1066</f>
        <v/>
      </c>
      <c r="CN1067">
        <f>$C1067*CN1066</f>
        <v/>
      </c>
      <c r="CO1067">
        <f>$C1067*CO1066</f>
        <v/>
      </c>
      <c r="CP1067">
        <f>$C1067*CP1066</f>
        <v/>
      </c>
      <c r="CQ1067">
        <f>$C1067*CQ1066</f>
        <v/>
      </c>
      <c r="CR1067">
        <f>$C1067*CR1066</f>
        <v/>
      </c>
      <c r="CS1067">
        <f>$C1067*CS1066</f>
        <v/>
      </c>
      <c r="CT1067">
        <f>$C1067*CT1066</f>
        <v/>
      </c>
      <c r="CU1067">
        <f>$C1067*CU1066</f>
        <v/>
      </c>
      <c r="CV1067">
        <f>$C1067*CV1066</f>
        <v/>
      </c>
      <c r="CW1067">
        <f>$C1067*CW1066</f>
        <v/>
      </c>
      <c r="CX1067">
        <f>$C1067*CX1066</f>
        <v/>
      </c>
      <c r="CY1067">
        <f>$C1067*CY1066</f>
        <v/>
      </c>
      <c r="CZ1067">
        <f>$C1067*CZ1066</f>
        <v/>
      </c>
      <c r="DA1067">
        <f>$C1067*DA1066</f>
        <v/>
      </c>
      <c r="DB1067">
        <f>$C1067*DB1066</f>
        <v/>
      </c>
      <c r="DC1067">
        <f>$C1067*DC1066</f>
        <v/>
      </c>
    </row>
    <row r="1068">
      <c r="B1068" s="5" t="inlineStr">
        <is>
          <t>合計使用量(kg)/週</t>
        </is>
      </c>
      <c r="D1068">
        <f>'Grid_Requirement'!B47</f>
        <v/>
      </c>
      <c r="E1068">
        <f>'Grid_Requirement'!C47</f>
        <v/>
      </c>
      <c r="F1068">
        <f>'Grid_Requirement'!D47</f>
        <v/>
      </c>
      <c r="G1068">
        <f>'Grid_Requirement'!E47</f>
        <v/>
      </c>
      <c r="H1068">
        <f>'Grid_Requirement'!F47</f>
        <v/>
      </c>
      <c r="I1068">
        <f>'Grid_Requirement'!G47</f>
        <v/>
      </c>
      <c r="J1068">
        <f>'Grid_Requirement'!H47</f>
        <v/>
      </c>
      <c r="K1068">
        <f>'Grid_Requirement'!I47</f>
        <v/>
      </c>
      <c r="L1068">
        <f>'Grid_Requirement'!J47</f>
        <v/>
      </c>
      <c r="M1068">
        <f>'Grid_Requirement'!K47</f>
        <v/>
      </c>
      <c r="N1068">
        <f>'Grid_Requirement'!L47</f>
        <v/>
      </c>
      <c r="O1068">
        <f>'Grid_Requirement'!M47</f>
        <v/>
      </c>
      <c r="P1068">
        <f>'Grid_Requirement'!N47</f>
        <v/>
      </c>
      <c r="Q1068">
        <f>'Grid_Requirement'!O47</f>
        <v/>
      </c>
      <c r="R1068">
        <f>'Grid_Requirement'!P47</f>
        <v/>
      </c>
      <c r="S1068">
        <f>'Grid_Requirement'!Q47</f>
        <v/>
      </c>
      <c r="T1068">
        <f>'Grid_Requirement'!R47</f>
        <v/>
      </c>
      <c r="U1068">
        <f>'Grid_Requirement'!S47</f>
        <v/>
      </c>
      <c r="V1068">
        <f>'Grid_Requirement'!T47</f>
        <v/>
      </c>
      <c r="W1068">
        <f>'Grid_Requirement'!U47</f>
        <v/>
      </c>
      <c r="X1068">
        <f>'Grid_Requirement'!V47</f>
        <v/>
      </c>
      <c r="Y1068">
        <f>'Grid_Requirement'!W47</f>
        <v/>
      </c>
      <c r="Z1068">
        <f>'Grid_Requirement'!X47</f>
        <v/>
      </c>
      <c r="AA1068">
        <f>'Grid_Requirement'!Y47</f>
        <v/>
      </c>
      <c r="AB1068">
        <f>'Grid_Requirement'!Z47</f>
        <v/>
      </c>
      <c r="AC1068">
        <f>'Grid_Requirement'!AA47</f>
        <v/>
      </c>
      <c r="AD1068">
        <f>'Grid_Requirement'!AB47</f>
        <v/>
      </c>
      <c r="AE1068">
        <f>'Grid_Requirement'!AC47</f>
        <v/>
      </c>
      <c r="AF1068">
        <f>'Grid_Requirement'!AD47</f>
        <v/>
      </c>
      <c r="AG1068">
        <f>'Grid_Requirement'!AE47</f>
        <v/>
      </c>
      <c r="AH1068">
        <f>'Grid_Requirement'!AF47</f>
        <v/>
      </c>
      <c r="AI1068">
        <f>'Grid_Requirement'!AG47</f>
        <v/>
      </c>
      <c r="AJ1068">
        <f>'Grid_Requirement'!AH47</f>
        <v/>
      </c>
      <c r="AK1068">
        <f>'Grid_Requirement'!AI47</f>
        <v/>
      </c>
      <c r="AL1068">
        <f>'Grid_Requirement'!AJ47</f>
        <v/>
      </c>
      <c r="AM1068">
        <f>'Grid_Requirement'!AK47</f>
        <v/>
      </c>
      <c r="AN1068">
        <f>'Grid_Requirement'!AL47</f>
        <v/>
      </c>
      <c r="AO1068">
        <f>'Grid_Requirement'!AM47</f>
        <v/>
      </c>
      <c r="AP1068">
        <f>'Grid_Requirement'!AN47</f>
        <v/>
      </c>
      <c r="AQ1068">
        <f>'Grid_Requirement'!AO47</f>
        <v/>
      </c>
      <c r="AR1068">
        <f>'Grid_Requirement'!AP47</f>
        <v/>
      </c>
      <c r="AS1068">
        <f>'Grid_Requirement'!AQ47</f>
        <v/>
      </c>
      <c r="AT1068">
        <f>'Grid_Requirement'!AR47</f>
        <v/>
      </c>
      <c r="AU1068">
        <f>'Grid_Requirement'!AS47</f>
        <v/>
      </c>
      <c r="AV1068">
        <f>'Grid_Requirement'!AT47</f>
        <v/>
      </c>
      <c r="AW1068">
        <f>'Grid_Requirement'!AU47</f>
        <v/>
      </c>
      <c r="AX1068">
        <f>'Grid_Requirement'!AV47</f>
        <v/>
      </c>
      <c r="AY1068">
        <f>'Grid_Requirement'!AW47</f>
        <v/>
      </c>
      <c r="AZ1068">
        <f>'Grid_Requirement'!AX47</f>
        <v/>
      </c>
      <c r="BA1068">
        <f>'Grid_Requirement'!AY47</f>
        <v/>
      </c>
      <c r="BB1068">
        <f>'Grid_Requirement'!AZ47</f>
        <v/>
      </c>
      <c r="BC1068">
        <f>'Grid_Requirement'!BA47</f>
        <v/>
      </c>
      <c r="BD1068">
        <f>'Grid_Requirement'!BB47</f>
        <v/>
      </c>
      <c r="BE1068">
        <f>'Grid_Requirement'!BC47</f>
        <v/>
      </c>
      <c r="BF1068">
        <f>'Grid_Requirement'!BD47</f>
        <v/>
      </c>
      <c r="BG1068">
        <f>'Grid_Requirement'!BE47</f>
        <v/>
      </c>
      <c r="BH1068">
        <f>'Grid_Requirement'!BF47</f>
        <v/>
      </c>
      <c r="BI1068">
        <f>'Grid_Requirement'!BG47</f>
        <v/>
      </c>
      <c r="BJ1068">
        <f>'Grid_Requirement'!BH47</f>
        <v/>
      </c>
      <c r="BK1068">
        <f>'Grid_Requirement'!BI47</f>
        <v/>
      </c>
      <c r="BL1068">
        <f>'Grid_Requirement'!BJ47</f>
        <v/>
      </c>
      <c r="BM1068">
        <f>'Grid_Requirement'!BK47</f>
        <v/>
      </c>
      <c r="BN1068">
        <f>'Grid_Requirement'!BL47</f>
        <v/>
      </c>
      <c r="BO1068">
        <f>'Grid_Requirement'!BM47</f>
        <v/>
      </c>
      <c r="BP1068">
        <f>'Grid_Requirement'!BN47</f>
        <v/>
      </c>
      <c r="BQ1068">
        <f>'Grid_Requirement'!BO47</f>
        <v/>
      </c>
      <c r="BR1068">
        <f>'Grid_Requirement'!BP47</f>
        <v/>
      </c>
      <c r="BS1068">
        <f>'Grid_Requirement'!BQ47</f>
        <v/>
      </c>
      <c r="BT1068">
        <f>'Grid_Requirement'!BR47</f>
        <v/>
      </c>
      <c r="BU1068">
        <f>'Grid_Requirement'!BS47</f>
        <v/>
      </c>
      <c r="BV1068">
        <f>'Grid_Requirement'!BT47</f>
        <v/>
      </c>
      <c r="BW1068">
        <f>'Grid_Requirement'!BU47</f>
        <v/>
      </c>
      <c r="BX1068">
        <f>'Grid_Requirement'!BV47</f>
        <v/>
      </c>
      <c r="BY1068">
        <f>'Grid_Requirement'!BW47</f>
        <v/>
      </c>
      <c r="BZ1068">
        <f>'Grid_Requirement'!BX47</f>
        <v/>
      </c>
      <c r="CA1068">
        <f>'Grid_Requirement'!BY47</f>
        <v/>
      </c>
      <c r="CB1068">
        <f>'Grid_Requirement'!BZ47</f>
        <v/>
      </c>
      <c r="CC1068">
        <f>'Grid_Requirement'!CA47</f>
        <v/>
      </c>
      <c r="CD1068">
        <f>'Grid_Requirement'!CB47</f>
        <v/>
      </c>
      <c r="CE1068">
        <f>'Grid_Requirement'!CC47</f>
        <v/>
      </c>
      <c r="CF1068">
        <f>'Grid_Requirement'!CD47</f>
        <v/>
      </c>
      <c r="CG1068">
        <f>'Grid_Requirement'!CE47</f>
        <v/>
      </c>
      <c r="CH1068">
        <f>'Grid_Requirement'!CF47</f>
        <v/>
      </c>
      <c r="CI1068">
        <f>'Grid_Requirement'!CG47</f>
        <v/>
      </c>
      <c r="CJ1068">
        <f>'Grid_Requirement'!CH47</f>
        <v/>
      </c>
      <c r="CK1068">
        <f>'Grid_Requirement'!CI47</f>
        <v/>
      </c>
      <c r="CL1068">
        <f>'Grid_Requirement'!CJ47</f>
        <v/>
      </c>
      <c r="CM1068">
        <f>'Grid_Requirement'!CK47</f>
        <v/>
      </c>
      <c r="CN1068">
        <f>'Grid_Requirement'!CL47</f>
        <v/>
      </c>
      <c r="CO1068">
        <f>'Grid_Requirement'!CM47</f>
        <v/>
      </c>
      <c r="CP1068">
        <f>'Grid_Requirement'!CN47</f>
        <v/>
      </c>
      <c r="CQ1068">
        <f>'Grid_Requirement'!CO47</f>
        <v/>
      </c>
      <c r="CR1068">
        <f>'Grid_Requirement'!CP47</f>
        <v/>
      </c>
      <c r="CS1068">
        <f>'Grid_Requirement'!CQ47</f>
        <v/>
      </c>
      <c r="CT1068">
        <f>'Grid_Requirement'!CR47</f>
        <v/>
      </c>
      <c r="CU1068">
        <f>'Grid_Requirement'!CS47</f>
        <v/>
      </c>
      <c r="CV1068">
        <f>'Grid_Requirement'!CT47</f>
        <v/>
      </c>
      <c r="CW1068">
        <f>'Grid_Requirement'!CU47</f>
        <v/>
      </c>
      <c r="CX1068">
        <f>'Grid_Requirement'!CV47</f>
        <v/>
      </c>
      <c r="CY1068">
        <f>'Grid_Requirement'!CW47</f>
        <v/>
      </c>
      <c r="CZ1068">
        <f>'Grid_Requirement'!CX47</f>
        <v/>
      </c>
      <c r="DA1068">
        <f>'Grid_Requirement'!CY47</f>
        <v/>
      </c>
      <c r="DB1068">
        <f>'Grid_Requirement'!CZ47</f>
        <v/>
      </c>
      <c r="DC1068">
        <f>'Grid_Requirement'!DA47</f>
        <v/>
      </c>
    </row>
    <row r="1069">
      <c r="B1069" t="inlineStr">
        <is>
          <t>TTAF在庫(実績,kg)</t>
        </is>
      </c>
      <c r="D1069">
        <f>'T_TTAFStock'!B51</f>
        <v/>
      </c>
      <c r="E1069">
        <f>'T_TTAFStock'!C51</f>
        <v/>
      </c>
      <c r="F1069">
        <f>'T_TTAFStock'!D51</f>
        <v/>
      </c>
      <c r="G1069">
        <f>'T_TTAFStock'!E51</f>
        <v/>
      </c>
      <c r="H1069">
        <f>'T_TTAFStock'!F51</f>
        <v/>
      </c>
      <c r="I1069">
        <f>'T_TTAFStock'!G51</f>
        <v/>
      </c>
      <c r="J1069">
        <f>'T_TTAFStock'!H51</f>
        <v/>
      </c>
      <c r="K1069">
        <f>'T_TTAFStock'!I51</f>
        <v/>
      </c>
      <c r="L1069">
        <f>'T_TTAFStock'!J51</f>
        <v/>
      </c>
      <c r="M1069">
        <f>'T_TTAFStock'!K51</f>
        <v/>
      </c>
      <c r="N1069">
        <f>'T_TTAFStock'!L51</f>
        <v/>
      </c>
      <c r="O1069">
        <f>'T_TTAFStock'!M51</f>
        <v/>
      </c>
      <c r="P1069">
        <f>'T_TTAFStock'!N51</f>
        <v/>
      </c>
      <c r="Q1069">
        <f>'T_TTAFStock'!O51</f>
        <v/>
      </c>
      <c r="R1069">
        <f>'T_TTAFStock'!P51</f>
        <v/>
      </c>
      <c r="S1069">
        <f>'T_TTAFStock'!Q51</f>
        <v/>
      </c>
      <c r="T1069">
        <f>'T_TTAFStock'!R51</f>
        <v/>
      </c>
      <c r="U1069">
        <f>'T_TTAFStock'!S51</f>
        <v/>
      </c>
      <c r="V1069">
        <f>'T_TTAFStock'!T51</f>
        <v/>
      </c>
      <c r="W1069">
        <f>'T_TTAFStock'!U51</f>
        <v/>
      </c>
      <c r="X1069">
        <f>'T_TTAFStock'!V51</f>
        <v/>
      </c>
      <c r="Y1069">
        <f>'T_TTAFStock'!W51</f>
        <v/>
      </c>
      <c r="Z1069">
        <f>'T_TTAFStock'!X51</f>
        <v/>
      </c>
      <c r="AA1069">
        <f>'T_TTAFStock'!Y51</f>
        <v/>
      </c>
      <c r="AB1069">
        <f>'T_TTAFStock'!Z51</f>
        <v/>
      </c>
      <c r="AC1069">
        <f>'T_TTAFStock'!AA51</f>
        <v/>
      </c>
      <c r="AD1069">
        <f>'T_TTAFStock'!AB51</f>
        <v/>
      </c>
      <c r="AE1069">
        <f>'T_TTAFStock'!AC51</f>
        <v/>
      </c>
      <c r="AF1069">
        <f>'T_TTAFStock'!AD51</f>
        <v/>
      </c>
      <c r="AG1069">
        <f>'T_TTAFStock'!AE51</f>
        <v/>
      </c>
      <c r="AH1069">
        <f>'T_TTAFStock'!AF51</f>
        <v/>
      </c>
      <c r="AI1069">
        <f>'T_TTAFStock'!AG51</f>
        <v/>
      </c>
      <c r="AJ1069">
        <f>'T_TTAFStock'!AH51</f>
        <v/>
      </c>
      <c r="AK1069">
        <f>'T_TTAFStock'!AI51</f>
        <v/>
      </c>
      <c r="AL1069">
        <f>'T_TTAFStock'!AJ51</f>
        <v/>
      </c>
      <c r="AM1069">
        <f>'T_TTAFStock'!AK51</f>
        <v/>
      </c>
      <c r="AN1069">
        <f>'T_TTAFStock'!AL51</f>
        <v/>
      </c>
      <c r="AO1069">
        <f>'T_TTAFStock'!AM51</f>
        <v/>
      </c>
      <c r="AP1069">
        <f>'T_TTAFStock'!AN51</f>
        <v/>
      </c>
      <c r="AQ1069">
        <f>'T_TTAFStock'!AO51</f>
        <v/>
      </c>
      <c r="AR1069">
        <f>'T_TTAFStock'!AP51</f>
        <v/>
      </c>
      <c r="AS1069">
        <f>'T_TTAFStock'!AQ51</f>
        <v/>
      </c>
      <c r="AT1069">
        <f>'T_TTAFStock'!AR51</f>
        <v/>
      </c>
      <c r="AU1069">
        <f>'T_TTAFStock'!AS51</f>
        <v/>
      </c>
      <c r="AV1069">
        <f>'T_TTAFStock'!AT51</f>
        <v/>
      </c>
      <c r="AW1069">
        <f>'T_TTAFStock'!AU51</f>
        <v/>
      </c>
      <c r="AX1069">
        <f>'T_TTAFStock'!AV51</f>
        <v/>
      </c>
      <c r="AY1069">
        <f>'T_TTAFStock'!AW51</f>
        <v/>
      </c>
      <c r="AZ1069">
        <f>'T_TTAFStock'!AX51</f>
        <v/>
      </c>
      <c r="BA1069">
        <f>'T_TTAFStock'!AY51</f>
        <v/>
      </c>
      <c r="BB1069">
        <f>'T_TTAFStock'!AZ51</f>
        <v/>
      </c>
      <c r="BC1069">
        <f>'T_TTAFStock'!BA51</f>
        <v/>
      </c>
      <c r="BD1069">
        <f>'T_TTAFStock'!BB51</f>
        <v/>
      </c>
      <c r="BE1069">
        <f>'T_TTAFStock'!BC51</f>
        <v/>
      </c>
      <c r="BF1069">
        <f>'T_TTAFStock'!BD51</f>
        <v/>
      </c>
      <c r="BG1069">
        <f>'T_TTAFStock'!BE51</f>
        <v/>
      </c>
      <c r="BH1069">
        <f>'T_TTAFStock'!BF51</f>
        <v/>
      </c>
      <c r="BI1069">
        <f>'T_TTAFStock'!BG51</f>
        <v/>
      </c>
      <c r="BJ1069">
        <f>'T_TTAFStock'!BH51</f>
        <v/>
      </c>
      <c r="BK1069">
        <f>'T_TTAFStock'!BI51</f>
        <v/>
      </c>
      <c r="BL1069">
        <f>'T_TTAFStock'!BJ51</f>
        <v/>
      </c>
      <c r="BM1069">
        <f>'T_TTAFStock'!BK51</f>
        <v/>
      </c>
      <c r="BN1069">
        <f>'T_TTAFStock'!BL51</f>
        <v/>
      </c>
      <c r="BO1069">
        <f>'T_TTAFStock'!BM51</f>
        <v/>
      </c>
      <c r="BP1069">
        <f>'T_TTAFStock'!BN51</f>
        <v/>
      </c>
      <c r="BQ1069">
        <f>'T_TTAFStock'!BO51</f>
        <v/>
      </c>
      <c r="BR1069">
        <f>'T_TTAFStock'!BP51</f>
        <v/>
      </c>
      <c r="BS1069">
        <f>'T_TTAFStock'!BQ51</f>
        <v/>
      </c>
      <c r="BT1069">
        <f>'T_TTAFStock'!BR51</f>
        <v/>
      </c>
      <c r="BU1069">
        <f>'T_TTAFStock'!BS51</f>
        <v/>
      </c>
      <c r="BV1069">
        <f>'T_TTAFStock'!BT51</f>
        <v/>
      </c>
      <c r="BW1069">
        <f>'T_TTAFStock'!BU51</f>
        <v/>
      </c>
      <c r="BX1069">
        <f>'T_TTAFStock'!BV51</f>
        <v/>
      </c>
      <c r="BY1069">
        <f>'T_TTAFStock'!BW51</f>
        <v/>
      </c>
      <c r="BZ1069">
        <f>'T_TTAFStock'!BX51</f>
        <v/>
      </c>
      <c r="CA1069">
        <f>'T_TTAFStock'!BY51</f>
        <v/>
      </c>
      <c r="CB1069">
        <f>'T_TTAFStock'!BZ51</f>
        <v/>
      </c>
      <c r="CC1069">
        <f>'T_TTAFStock'!CA51</f>
        <v/>
      </c>
      <c r="CD1069">
        <f>'T_TTAFStock'!CB51</f>
        <v/>
      </c>
      <c r="CE1069">
        <f>'T_TTAFStock'!CC51</f>
        <v/>
      </c>
      <c r="CF1069">
        <f>'T_TTAFStock'!CD51</f>
        <v/>
      </c>
      <c r="CG1069">
        <f>'T_TTAFStock'!CE51</f>
        <v/>
      </c>
      <c r="CH1069">
        <f>'T_TTAFStock'!CF51</f>
        <v/>
      </c>
      <c r="CI1069">
        <f>'T_TTAFStock'!CG51</f>
        <v/>
      </c>
      <c r="CJ1069">
        <f>'T_TTAFStock'!CH51</f>
        <v/>
      </c>
      <c r="CK1069">
        <f>'T_TTAFStock'!CI51</f>
        <v/>
      </c>
      <c r="CL1069">
        <f>'T_TTAFStock'!CJ51</f>
        <v/>
      </c>
      <c r="CM1069">
        <f>'T_TTAFStock'!CK51</f>
        <v/>
      </c>
      <c r="CN1069">
        <f>'T_TTAFStock'!CL51</f>
        <v/>
      </c>
      <c r="CO1069">
        <f>'T_TTAFStock'!CM51</f>
        <v/>
      </c>
      <c r="CP1069">
        <f>'T_TTAFStock'!CN51</f>
        <v/>
      </c>
      <c r="CQ1069">
        <f>'T_TTAFStock'!CO51</f>
        <v/>
      </c>
      <c r="CR1069">
        <f>'T_TTAFStock'!CP51</f>
        <v/>
      </c>
      <c r="CS1069">
        <f>'T_TTAFStock'!CQ51</f>
        <v/>
      </c>
      <c r="CT1069">
        <f>'T_TTAFStock'!CR51</f>
        <v/>
      </c>
      <c r="CU1069">
        <f>'T_TTAFStock'!CS51</f>
        <v/>
      </c>
      <c r="CV1069">
        <f>'T_TTAFStock'!CT51</f>
        <v/>
      </c>
      <c r="CW1069">
        <f>'T_TTAFStock'!CU51</f>
        <v/>
      </c>
      <c r="CX1069">
        <f>'T_TTAFStock'!CV51</f>
        <v/>
      </c>
      <c r="CY1069">
        <f>'T_TTAFStock'!CW51</f>
        <v/>
      </c>
      <c r="CZ1069">
        <f>'T_TTAFStock'!CX51</f>
        <v/>
      </c>
      <c r="DA1069">
        <f>'T_TTAFStock'!CY51</f>
        <v/>
      </c>
      <c r="DB1069">
        <f>'T_TTAFStock'!CZ51</f>
        <v/>
      </c>
      <c r="DC1069">
        <f>'T_TTAFStock'!DA51</f>
        <v/>
      </c>
    </row>
    <row r="1070">
      <c r="B1070" t="inlineStr">
        <is>
          <t>自社在庫(実績,kg)</t>
        </is>
      </c>
      <c r="D1070">
        <f>'T_SelfStock'!B51</f>
        <v/>
      </c>
      <c r="E1070">
        <f>'T_SelfStock'!C51</f>
        <v/>
      </c>
      <c r="F1070">
        <f>'T_SelfStock'!D51</f>
        <v/>
      </c>
      <c r="G1070">
        <f>'T_SelfStock'!E51</f>
        <v/>
      </c>
      <c r="H1070">
        <f>'T_SelfStock'!F51</f>
        <v/>
      </c>
      <c r="I1070">
        <f>'T_SelfStock'!G51</f>
        <v/>
      </c>
      <c r="J1070">
        <f>'T_SelfStock'!H51</f>
        <v/>
      </c>
      <c r="K1070">
        <f>'T_SelfStock'!I51</f>
        <v/>
      </c>
      <c r="L1070">
        <f>'T_SelfStock'!J51</f>
        <v/>
      </c>
      <c r="M1070">
        <f>'T_SelfStock'!K51</f>
        <v/>
      </c>
      <c r="N1070">
        <f>'T_SelfStock'!L51</f>
        <v/>
      </c>
      <c r="O1070">
        <f>'T_SelfStock'!M51</f>
        <v/>
      </c>
      <c r="P1070">
        <f>'T_SelfStock'!N51</f>
        <v/>
      </c>
      <c r="Q1070">
        <f>'T_SelfStock'!O51</f>
        <v/>
      </c>
      <c r="R1070">
        <f>'T_SelfStock'!P51</f>
        <v/>
      </c>
      <c r="S1070">
        <f>'T_SelfStock'!Q51</f>
        <v/>
      </c>
      <c r="T1070">
        <f>'T_SelfStock'!R51</f>
        <v/>
      </c>
      <c r="U1070">
        <f>'T_SelfStock'!S51</f>
        <v/>
      </c>
      <c r="V1070">
        <f>'T_SelfStock'!T51</f>
        <v/>
      </c>
      <c r="W1070">
        <f>'T_SelfStock'!U51</f>
        <v/>
      </c>
      <c r="X1070">
        <f>'T_SelfStock'!V51</f>
        <v/>
      </c>
      <c r="Y1070">
        <f>'T_SelfStock'!W51</f>
        <v/>
      </c>
      <c r="Z1070">
        <f>'T_SelfStock'!X51</f>
        <v/>
      </c>
      <c r="AA1070">
        <f>'T_SelfStock'!Y51</f>
        <v/>
      </c>
      <c r="AB1070">
        <f>'T_SelfStock'!Z51</f>
        <v/>
      </c>
      <c r="AC1070">
        <f>'T_SelfStock'!AA51</f>
        <v/>
      </c>
      <c r="AD1070">
        <f>'T_SelfStock'!AB51</f>
        <v/>
      </c>
      <c r="AE1070">
        <f>'T_SelfStock'!AC51</f>
        <v/>
      </c>
      <c r="AF1070">
        <f>'T_SelfStock'!AD51</f>
        <v/>
      </c>
      <c r="AG1070">
        <f>'T_SelfStock'!AE51</f>
        <v/>
      </c>
      <c r="AH1070">
        <f>'T_SelfStock'!AF51</f>
        <v/>
      </c>
      <c r="AI1070">
        <f>'T_SelfStock'!AG51</f>
        <v/>
      </c>
      <c r="AJ1070">
        <f>'T_SelfStock'!AH51</f>
        <v/>
      </c>
      <c r="AK1070">
        <f>'T_SelfStock'!AI51</f>
        <v/>
      </c>
      <c r="AL1070">
        <f>'T_SelfStock'!AJ51</f>
        <v/>
      </c>
      <c r="AM1070">
        <f>'T_SelfStock'!AK51</f>
        <v/>
      </c>
      <c r="AN1070">
        <f>'T_SelfStock'!AL51</f>
        <v/>
      </c>
      <c r="AO1070">
        <f>'T_SelfStock'!AM51</f>
        <v/>
      </c>
      <c r="AP1070">
        <f>'T_SelfStock'!AN51</f>
        <v/>
      </c>
      <c r="AQ1070">
        <f>'T_SelfStock'!AO51</f>
        <v/>
      </c>
      <c r="AR1070">
        <f>'T_SelfStock'!AP51</f>
        <v/>
      </c>
      <c r="AS1070">
        <f>'T_SelfStock'!AQ51</f>
        <v/>
      </c>
      <c r="AT1070">
        <f>'T_SelfStock'!AR51</f>
        <v/>
      </c>
      <c r="AU1070">
        <f>'T_SelfStock'!AS51</f>
        <v/>
      </c>
      <c r="AV1070">
        <f>'T_SelfStock'!AT51</f>
        <v/>
      </c>
      <c r="AW1070">
        <f>'T_SelfStock'!AU51</f>
        <v/>
      </c>
      <c r="AX1070">
        <f>'T_SelfStock'!AV51</f>
        <v/>
      </c>
      <c r="AY1070">
        <f>'T_SelfStock'!AW51</f>
        <v/>
      </c>
      <c r="AZ1070">
        <f>'T_SelfStock'!AX51</f>
        <v/>
      </c>
      <c r="BA1070">
        <f>'T_SelfStock'!AY51</f>
        <v/>
      </c>
      <c r="BB1070">
        <f>'T_SelfStock'!AZ51</f>
        <v/>
      </c>
      <c r="BC1070">
        <f>'T_SelfStock'!BA51</f>
        <v/>
      </c>
      <c r="BD1070">
        <f>'T_SelfStock'!BB51</f>
        <v/>
      </c>
      <c r="BE1070">
        <f>'T_SelfStock'!BC51</f>
        <v/>
      </c>
      <c r="BF1070">
        <f>'T_SelfStock'!BD51</f>
        <v/>
      </c>
      <c r="BG1070">
        <f>'T_SelfStock'!BE51</f>
        <v/>
      </c>
      <c r="BH1070">
        <f>'T_SelfStock'!BF51</f>
        <v/>
      </c>
      <c r="BI1070">
        <f>'T_SelfStock'!BG51</f>
        <v/>
      </c>
      <c r="BJ1070">
        <f>'T_SelfStock'!BH51</f>
        <v/>
      </c>
      <c r="BK1070">
        <f>'T_SelfStock'!BI51</f>
        <v/>
      </c>
      <c r="BL1070">
        <f>'T_SelfStock'!BJ51</f>
        <v/>
      </c>
      <c r="BM1070">
        <f>'T_SelfStock'!BK51</f>
        <v/>
      </c>
      <c r="BN1070">
        <f>'T_SelfStock'!BL51</f>
        <v/>
      </c>
      <c r="BO1070">
        <f>'T_SelfStock'!BM51</f>
        <v/>
      </c>
      <c r="BP1070">
        <f>'T_SelfStock'!BN51</f>
        <v/>
      </c>
      <c r="BQ1070">
        <f>'T_SelfStock'!BO51</f>
        <v/>
      </c>
      <c r="BR1070">
        <f>'T_SelfStock'!BP51</f>
        <v/>
      </c>
      <c r="BS1070">
        <f>'T_SelfStock'!BQ51</f>
        <v/>
      </c>
      <c r="BT1070">
        <f>'T_SelfStock'!BR51</f>
        <v/>
      </c>
      <c r="BU1070">
        <f>'T_SelfStock'!BS51</f>
        <v/>
      </c>
      <c r="BV1070">
        <f>'T_SelfStock'!BT51</f>
        <v/>
      </c>
      <c r="BW1070">
        <f>'T_SelfStock'!BU51</f>
        <v/>
      </c>
      <c r="BX1070">
        <f>'T_SelfStock'!BV51</f>
        <v/>
      </c>
      <c r="BY1070">
        <f>'T_SelfStock'!BW51</f>
        <v/>
      </c>
      <c r="BZ1070">
        <f>'T_SelfStock'!BX51</f>
        <v/>
      </c>
      <c r="CA1070">
        <f>'T_SelfStock'!BY51</f>
        <v/>
      </c>
      <c r="CB1070">
        <f>'T_SelfStock'!BZ51</f>
        <v/>
      </c>
      <c r="CC1070">
        <f>'T_SelfStock'!CA51</f>
        <v/>
      </c>
      <c r="CD1070">
        <f>'T_SelfStock'!CB51</f>
        <v/>
      </c>
      <c r="CE1070">
        <f>'T_SelfStock'!CC51</f>
        <v/>
      </c>
      <c r="CF1070">
        <f>'T_SelfStock'!CD51</f>
        <v/>
      </c>
      <c r="CG1070">
        <f>'T_SelfStock'!CE51</f>
        <v/>
      </c>
      <c r="CH1070">
        <f>'T_SelfStock'!CF51</f>
        <v/>
      </c>
      <c r="CI1070">
        <f>'T_SelfStock'!CG51</f>
        <v/>
      </c>
      <c r="CJ1070">
        <f>'T_SelfStock'!CH51</f>
        <v/>
      </c>
      <c r="CK1070">
        <f>'T_SelfStock'!CI51</f>
        <v/>
      </c>
      <c r="CL1070">
        <f>'T_SelfStock'!CJ51</f>
        <v/>
      </c>
      <c r="CM1070">
        <f>'T_SelfStock'!CK51</f>
        <v/>
      </c>
      <c r="CN1070">
        <f>'T_SelfStock'!CL51</f>
        <v/>
      </c>
      <c r="CO1070">
        <f>'T_SelfStock'!CM51</f>
        <v/>
      </c>
      <c r="CP1070">
        <f>'T_SelfStock'!CN51</f>
        <v/>
      </c>
      <c r="CQ1070">
        <f>'T_SelfStock'!CO51</f>
        <v/>
      </c>
      <c r="CR1070">
        <f>'T_SelfStock'!CP51</f>
        <v/>
      </c>
      <c r="CS1070">
        <f>'T_SelfStock'!CQ51</f>
        <v/>
      </c>
      <c r="CT1070">
        <f>'T_SelfStock'!CR51</f>
        <v/>
      </c>
      <c r="CU1070">
        <f>'T_SelfStock'!CS51</f>
        <v/>
      </c>
      <c r="CV1070">
        <f>'T_SelfStock'!CT51</f>
        <v/>
      </c>
      <c r="CW1070">
        <f>'T_SelfStock'!CU51</f>
        <v/>
      </c>
      <c r="CX1070">
        <f>'T_SelfStock'!CV51</f>
        <v/>
      </c>
      <c r="CY1070">
        <f>'T_SelfStock'!CW51</f>
        <v/>
      </c>
      <c r="CZ1070">
        <f>'T_SelfStock'!CX51</f>
        <v/>
      </c>
      <c r="DA1070">
        <f>'T_SelfStock'!CY51</f>
        <v/>
      </c>
      <c r="DB1070">
        <f>'T_SelfStock'!CZ51</f>
        <v/>
      </c>
      <c r="DC1070">
        <f>'T_SelfStock'!DA51</f>
        <v/>
      </c>
    </row>
    <row r="1071">
      <c r="B1071" t="inlineStr">
        <is>
          <t>Order(発注予定,kg)</t>
        </is>
      </c>
      <c r="D1071">
        <f>IF(SUMIFS(T_PlannedOrders[EffectiveQty],T_PlannedOrders[Part Name],$A1063,T_PlannedOrders[WeekIndex],1)=0,"",SUMIFS(T_PlannedOrders[EffectiveQty],T_PlannedOrders[Part Name],$A1063,T_PlannedOrders[WeekIndex],1)&amp;" ("&amp;TEXT(SUMPRODUCT(MAX((T_PlannedOrders[Part Name]=$A1063)*(T_PlannedOrders[WeekIndex]=1)*(T_PlannedOrders[EffectiveQty]&gt;0)*T_PlannedOrders[Order_Month])),"m月")&amp;"発注)")</f>
        <v/>
      </c>
      <c r="E1071">
        <f>IF(SUMIFS(T_PlannedOrders[EffectiveQty],T_PlannedOrders[Part Name],$A1063,T_PlannedOrders[WeekIndex],2)=0,"",SUMIFS(T_PlannedOrders[EffectiveQty],T_PlannedOrders[Part Name],$A1063,T_PlannedOrders[WeekIndex],2)&amp;" ("&amp;TEXT(SUMPRODUCT(MAX((T_PlannedOrders[Part Name]=$A1063)*(T_PlannedOrders[WeekIndex]=2)*(T_PlannedOrders[EffectiveQty]&gt;0)*T_PlannedOrders[Order_Month])),"m月")&amp;"発注)")</f>
        <v/>
      </c>
      <c r="F1071">
        <f>IF(SUMIFS(T_PlannedOrders[EffectiveQty],T_PlannedOrders[Part Name],$A1063,T_PlannedOrders[WeekIndex],3)=0,"",SUMIFS(T_PlannedOrders[EffectiveQty],T_PlannedOrders[Part Name],$A1063,T_PlannedOrders[WeekIndex],3)&amp;" ("&amp;TEXT(SUMPRODUCT(MAX((T_PlannedOrders[Part Name]=$A1063)*(T_PlannedOrders[WeekIndex]=3)*(T_PlannedOrders[EffectiveQty]&gt;0)*T_PlannedOrders[Order_Month])),"m月")&amp;"発注)")</f>
        <v/>
      </c>
      <c r="G1071">
        <f>IF(SUMIFS(T_PlannedOrders[EffectiveQty],T_PlannedOrders[Part Name],$A1063,T_PlannedOrders[WeekIndex],4)=0,"",SUMIFS(T_PlannedOrders[EffectiveQty],T_PlannedOrders[Part Name],$A1063,T_PlannedOrders[WeekIndex],4)&amp;" ("&amp;TEXT(SUMPRODUCT(MAX((T_PlannedOrders[Part Name]=$A1063)*(T_PlannedOrders[WeekIndex]=4)*(T_PlannedOrders[EffectiveQty]&gt;0)*T_PlannedOrders[Order_Month])),"m月")&amp;"発注)")</f>
        <v/>
      </c>
      <c r="H1071">
        <f>IF(SUMIFS(T_PlannedOrders[EffectiveQty],T_PlannedOrders[Part Name],$A1063,T_PlannedOrders[WeekIndex],5)=0,"",SUMIFS(T_PlannedOrders[EffectiveQty],T_PlannedOrders[Part Name],$A1063,T_PlannedOrders[WeekIndex],5)&amp;" ("&amp;TEXT(SUMPRODUCT(MAX((T_PlannedOrders[Part Name]=$A1063)*(T_PlannedOrders[WeekIndex]=5)*(T_PlannedOrders[EffectiveQty]&gt;0)*T_PlannedOrders[Order_Month])),"m月")&amp;"発注)")</f>
        <v/>
      </c>
      <c r="I1071">
        <f>IF(SUMIFS(T_PlannedOrders[EffectiveQty],T_PlannedOrders[Part Name],$A1063,T_PlannedOrders[WeekIndex],6)=0,"",SUMIFS(T_PlannedOrders[EffectiveQty],T_PlannedOrders[Part Name],$A1063,T_PlannedOrders[WeekIndex],6)&amp;" ("&amp;TEXT(SUMPRODUCT(MAX((T_PlannedOrders[Part Name]=$A1063)*(T_PlannedOrders[WeekIndex]=6)*(T_PlannedOrders[EffectiveQty]&gt;0)*T_PlannedOrders[Order_Month])),"m月")&amp;"発注)")</f>
        <v/>
      </c>
      <c r="J1071">
        <f>IF(SUMIFS(T_PlannedOrders[EffectiveQty],T_PlannedOrders[Part Name],$A1063,T_PlannedOrders[WeekIndex],7)=0,"",SUMIFS(T_PlannedOrders[EffectiveQty],T_PlannedOrders[Part Name],$A1063,T_PlannedOrders[WeekIndex],7)&amp;" ("&amp;TEXT(SUMPRODUCT(MAX((T_PlannedOrders[Part Name]=$A1063)*(T_PlannedOrders[WeekIndex]=7)*(T_PlannedOrders[EffectiveQty]&gt;0)*T_PlannedOrders[Order_Month])),"m月")&amp;"発注)")</f>
        <v/>
      </c>
      <c r="K1071">
        <f>IF(SUMIFS(T_PlannedOrders[EffectiveQty],T_PlannedOrders[Part Name],$A1063,T_PlannedOrders[WeekIndex],8)=0,"",SUMIFS(T_PlannedOrders[EffectiveQty],T_PlannedOrders[Part Name],$A1063,T_PlannedOrders[WeekIndex],8)&amp;" ("&amp;TEXT(SUMPRODUCT(MAX((T_PlannedOrders[Part Name]=$A1063)*(T_PlannedOrders[WeekIndex]=8)*(T_PlannedOrders[EffectiveQty]&gt;0)*T_PlannedOrders[Order_Month])),"m月")&amp;"発注)")</f>
        <v/>
      </c>
      <c r="L1071">
        <f>IF(SUMIFS(T_PlannedOrders[EffectiveQty],T_PlannedOrders[Part Name],$A1063,T_PlannedOrders[WeekIndex],9)=0,"",SUMIFS(T_PlannedOrders[EffectiveQty],T_PlannedOrders[Part Name],$A1063,T_PlannedOrders[WeekIndex],9)&amp;" ("&amp;TEXT(SUMPRODUCT(MAX((T_PlannedOrders[Part Name]=$A1063)*(T_PlannedOrders[WeekIndex]=9)*(T_PlannedOrders[EffectiveQty]&gt;0)*T_PlannedOrders[Order_Month])),"m月")&amp;"発注)")</f>
        <v/>
      </c>
      <c r="M1071">
        <f>IF(SUMIFS(T_PlannedOrders[EffectiveQty],T_PlannedOrders[Part Name],$A1063,T_PlannedOrders[WeekIndex],10)=0,"",SUMIFS(T_PlannedOrders[EffectiveQty],T_PlannedOrders[Part Name],$A1063,T_PlannedOrders[WeekIndex],10)&amp;" ("&amp;TEXT(SUMPRODUCT(MAX((T_PlannedOrders[Part Name]=$A1063)*(T_PlannedOrders[WeekIndex]=10)*(T_PlannedOrders[EffectiveQty]&gt;0)*T_PlannedOrders[Order_Month])),"m月")&amp;"発注)")</f>
        <v/>
      </c>
      <c r="N1071">
        <f>IF(SUMIFS(T_PlannedOrders[EffectiveQty],T_PlannedOrders[Part Name],$A1063,T_PlannedOrders[WeekIndex],11)=0,"",SUMIFS(T_PlannedOrders[EffectiveQty],T_PlannedOrders[Part Name],$A1063,T_PlannedOrders[WeekIndex],11)&amp;" ("&amp;TEXT(SUMPRODUCT(MAX((T_PlannedOrders[Part Name]=$A1063)*(T_PlannedOrders[WeekIndex]=11)*(T_PlannedOrders[EffectiveQty]&gt;0)*T_PlannedOrders[Order_Month])),"m月")&amp;"発注)")</f>
        <v/>
      </c>
      <c r="O1071">
        <f>IF(SUMIFS(T_PlannedOrders[EffectiveQty],T_PlannedOrders[Part Name],$A1063,T_PlannedOrders[WeekIndex],12)=0,"",SUMIFS(T_PlannedOrders[EffectiveQty],T_PlannedOrders[Part Name],$A1063,T_PlannedOrders[WeekIndex],12)&amp;" ("&amp;TEXT(SUMPRODUCT(MAX((T_PlannedOrders[Part Name]=$A1063)*(T_PlannedOrders[WeekIndex]=12)*(T_PlannedOrders[EffectiveQty]&gt;0)*T_PlannedOrders[Order_Month])),"m月")&amp;"発注)")</f>
        <v/>
      </c>
      <c r="P1071">
        <f>IF(SUMIFS(T_PlannedOrders[EffectiveQty],T_PlannedOrders[Part Name],$A1063,T_PlannedOrders[WeekIndex],13)=0,"",SUMIFS(T_PlannedOrders[EffectiveQty],T_PlannedOrders[Part Name],$A1063,T_PlannedOrders[WeekIndex],13)&amp;" ("&amp;TEXT(SUMPRODUCT(MAX((T_PlannedOrders[Part Name]=$A1063)*(T_PlannedOrders[WeekIndex]=13)*(T_PlannedOrders[EffectiveQty]&gt;0)*T_PlannedOrders[Order_Month])),"m月")&amp;"発注)")</f>
        <v/>
      </c>
      <c r="Q1071">
        <f>IF(SUMIFS(T_PlannedOrders[EffectiveQty],T_PlannedOrders[Part Name],$A1063,T_PlannedOrders[WeekIndex],14)=0,"",SUMIFS(T_PlannedOrders[EffectiveQty],T_PlannedOrders[Part Name],$A1063,T_PlannedOrders[WeekIndex],14)&amp;" ("&amp;TEXT(SUMPRODUCT(MAX((T_PlannedOrders[Part Name]=$A1063)*(T_PlannedOrders[WeekIndex]=14)*(T_PlannedOrders[EffectiveQty]&gt;0)*T_PlannedOrders[Order_Month])),"m月")&amp;"発注)")</f>
        <v/>
      </c>
      <c r="R1071">
        <f>IF(SUMIFS(T_PlannedOrders[EffectiveQty],T_PlannedOrders[Part Name],$A1063,T_PlannedOrders[WeekIndex],15)=0,"",SUMIFS(T_PlannedOrders[EffectiveQty],T_PlannedOrders[Part Name],$A1063,T_PlannedOrders[WeekIndex],15)&amp;" ("&amp;TEXT(SUMPRODUCT(MAX((T_PlannedOrders[Part Name]=$A1063)*(T_PlannedOrders[WeekIndex]=15)*(T_PlannedOrders[EffectiveQty]&gt;0)*T_PlannedOrders[Order_Month])),"m月")&amp;"発注)")</f>
        <v/>
      </c>
      <c r="S1071">
        <f>IF(SUMIFS(T_PlannedOrders[EffectiveQty],T_PlannedOrders[Part Name],$A1063,T_PlannedOrders[WeekIndex],16)=0,"",SUMIFS(T_PlannedOrders[EffectiveQty],T_PlannedOrders[Part Name],$A1063,T_PlannedOrders[WeekIndex],16)&amp;" ("&amp;TEXT(SUMPRODUCT(MAX((T_PlannedOrders[Part Name]=$A1063)*(T_PlannedOrders[WeekIndex]=16)*(T_PlannedOrders[EffectiveQty]&gt;0)*T_PlannedOrders[Order_Month])),"m月")&amp;"発注)")</f>
        <v/>
      </c>
      <c r="T1071">
        <f>IF(SUMIFS(T_PlannedOrders[EffectiveQty],T_PlannedOrders[Part Name],$A1063,T_PlannedOrders[WeekIndex],17)=0,"",SUMIFS(T_PlannedOrders[EffectiveQty],T_PlannedOrders[Part Name],$A1063,T_PlannedOrders[WeekIndex],17)&amp;" ("&amp;TEXT(SUMPRODUCT(MAX((T_PlannedOrders[Part Name]=$A1063)*(T_PlannedOrders[WeekIndex]=17)*(T_PlannedOrders[EffectiveQty]&gt;0)*T_PlannedOrders[Order_Month])),"m月")&amp;"発注)")</f>
        <v/>
      </c>
      <c r="U1071">
        <f>IF(SUMIFS(T_PlannedOrders[EffectiveQty],T_PlannedOrders[Part Name],$A1063,T_PlannedOrders[WeekIndex],18)=0,"",SUMIFS(T_PlannedOrders[EffectiveQty],T_PlannedOrders[Part Name],$A1063,T_PlannedOrders[WeekIndex],18)&amp;" ("&amp;TEXT(SUMPRODUCT(MAX((T_PlannedOrders[Part Name]=$A1063)*(T_PlannedOrders[WeekIndex]=18)*(T_PlannedOrders[EffectiveQty]&gt;0)*T_PlannedOrders[Order_Month])),"m月")&amp;"発注)")</f>
        <v/>
      </c>
      <c r="V1071">
        <f>IF(SUMIFS(T_PlannedOrders[EffectiveQty],T_PlannedOrders[Part Name],$A1063,T_PlannedOrders[WeekIndex],19)=0,"",SUMIFS(T_PlannedOrders[EffectiveQty],T_PlannedOrders[Part Name],$A1063,T_PlannedOrders[WeekIndex],19)&amp;" ("&amp;TEXT(SUMPRODUCT(MAX((T_PlannedOrders[Part Name]=$A1063)*(T_PlannedOrders[WeekIndex]=19)*(T_PlannedOrders[EffectiveQty]&gt;0)*T_PlannedOrders[Order_Month])),"m月")&amp;"発注)")</f>
        <v/>
      </c>
      <c r="W1071">
        <f>IF(SUMIFS(T_PlannedOrders[EffectiveQty],T_PlannedOrders[Part Name],$A1063,T_PlannedOrders[WeekIndex],20)=0,"",SUMIFS(T_PlannedOrders[EffectiveQty],T_PlannedOrders[Part Name],$A1063,T_PlannedOrders[WeekIndex],20)&amp;" ("&amp;TEXT(SUMPRODUCT(MAX((T_PlannedOrders[Part Name]=$A1063)*(T_PlannedOrders[WeekIndex]=20)*(T_PlannedOrders[EffectiveQty]&gt;0)*T_PlannedOrders[Order_Month])),"m月")&amp;"発注)")</f>
        <v/>
      </c>
      <c r="X1071">
        <f>IF(SUMIFS(T_PlannedOrders[EffectiveQty],T_PlannedOrders[Part Name],$A1063,T_PlannedOrders[WeekIndex],21)=0,"",SUMIFS(T_PlannedOrders[EffectiveQty],T_PlannedOrders[Part Name],$A1063,T_PlannedOrders[WeekIndex],21)&amp;" ("&amp;TEXT(SUMPRODUCT(MAX((T_PlannedOrders[Part Name]=$A1063)*(T_PlannedOrders[WeekIndex]=21)*(T_PlannedOrders[EffectiveQty]&gt;0)*T_PlannedOrders[Order_Month])),"m月")&amp;"発注)")</f>
        <v/>
      </c>
      <c r="Y1071">
        <f>IF(SUMIFS(T_PlannedOrders[EffectiveQty],T_PlannedOrders[Part Name],$A1063,T_PlannedOrders[WeekIndex],22)=0,"",SUMIFS(T_PlannedOrders[EffectiveQty],T_PlannedOrders[Part Name],$A1063,T_PlannedOrders[WeekIndex],22)&amp;" ("&amp;TEXT(SUMPRODUCT(MAX((T_PlannedOrders[Part Name]=$A1063)*(T_PlannedOrders[WeekIndex]=22)*(T_PlannedOrders[EffectiveQty]&gt;0)*T_PlannedOrders[Order_Month])),"m月")&amp;"発注)")</f>
        <v/>
      </c>
      <c r="Z1071">
        <f>IF(SUMIFS(T_PlannedOrders[EffectiveQty],T_PlannedOrders[Part Name],$A1063,T_PlannedOrders[WeekIndex],23)=0,"",SUMIFS(T_PlannedOrders[EffectiveQty],T_PlannedOrders[Part Name],$A1063,T_PlannedOrders[WeekIndex],23)&amp;" ("&amp;TEXT(SUMPRODUCT(MAX((T_PlannedOrders[Part Name]=$A1063)*(T_PlannedOrders[WeekIndex]=23)*(T_PlannedOrders[EffectiveQty]&gt;0)*T_PlannedOrders[Order_Month])),"m月")&amp;"発注)")</f>
        <v/>
      </c>
      <c r="AA1071">
        <f>IF(SUMIFS(T_PlannedOrders[EffectiveQty],T_PlannedOrders[Part Name],$A1063,T_PlannedOrders[WeekIndex],24)=0,"",SUMIFS(T_PlannedOrders[EffectiveQty],T_PlannedOrders[Part Name],$A1063,T_PlannedOrders[WeekIndex],24)&amp;" ("&amp;TEXT(SUMPRODUCT(MAX((T_PlannedOrders[Part Name]=$A1063)*(T_PlannedOrders[WeekIndex]=24)*(T_PlannedOrders[EffectiveQty]&gt;0)*T_PlannedOrders[Order_Month])),"m月")&amp;"発注)")</f>
        <v/>
      </c>
      <c r="AB1071">
        <f>IF(SUMIFS(T_PlannedOrders[EffectiveQty],T_PlannedOrders[Part Name],$A1063,T_PlannedOrders[WeekIndex],25)=0,"",SUMIFS(T_PlannedOrders[EffectiveQty],T_PlannedOrders[Part Name],$A1063,T_PlannedOrders[WeekIndex],25)&amp;" ("&amp;TEXT(SUMPRODUCT(MAX((T_PlannedOrders[Part Name]=$A1063)*(T_PlannedOrders[WeekIndex]=25)*(T_PlannedOrders[EffectiveQty]&gt;0)*T_PlannedOrders[Order_Month])),"m月")&amp;"発注)")</f>
        <v/>
      </c>
      <c r="AC1071">
        <f>IF(SUMIFS(T_PlannedOrders[EffectiveQty],T_PlannedOrders[Part Name],$A1063,T_PlannedOrders[WeekIndex],26)=0,"",SUMIFS(T_PlannedOrders[EffectiveQty],T_PlannedOrders[Part Name],$A1063,T_PlannedOrders[WeekIndex],26)&amp;" ("&amp;TEXT(SUMPRODUCT(MAX((T_PlannedOrders[Part Name]=$A1063)*(T_PlannedOrders[WeekIndex]=26)*(T_PlannedOrders[EffectiveQty]&gt;0)*T_PlannedOrders[Order_Month])),"m月")&amp;"発注)")</f>
        <v/>
      </c>
      <c r="AD1071">
        <f>IF(SUMIFS(T_PlannedOrders[EffectiveQty],T_PlannedOrders[Part Name],$A1063,T_PlannedOrders[WeekIndex],27)=0,"",SUMIFS(T_PlannedOrders[EffectiveQty],T_PlannedOrders[Part Name],$A1063,T_PlannedOrders[WeekIndex],27)&amp;" ("&amp;TEXT(SUMPRODUCT(MAX((T_PlannedOrders[Part Name]=$A1063)*(T_PlannedOrders[WeekIndex]=27)*(T_PlannedOrders[EffectiveQty]&gt;0)*T_PlannedOrders[Order_Month])),"m月")&amp;"発注)")</f>
        <v/>
      </c>
      <c r="AE1071">
        <f>IF(SUMIFS(T_PlannedOrders[EffectiveQty],T_PlannedOrders[Part Name],$A1063,T_PlannedOrders[WeekIndex],28)=0,"",SUMIFS(T_PlannedOrders[EffectiveQty],T_PlannedOrders[Part Name],$A1063,T_PlannedOrders[WeekIndex],28)&amp;" ("&amp;TEXT(SUMPRODUCT(MAX((T_PlannedOrders[Part Name]=$A1063)*(T_PlannedOrders[WeekIndex]=28)*(T_PlannedOrders[EffectiveQty]&gt;0)*T_PlannedOrders[Order_Month])),"m月")&amp;"発注)")</f>
        <v/>
      </c>
      <c r="AF1071">
        <f>IF(SUMIFS(T_PlannedOrders[EffectiveQty],T_PlannedOrders[Part Name],$A1063,T_PlannedOrders[WeekIndex],29)=0,"",SUMIFS(T_PlannedOrders[EffectiveQty],T_PlannedOrders[Part Name],$A1063,T_PlannedOrders[WeekIndex],29)&amp;" ("&amp;TEXT(SUMPRODUCT(MAX((T_PlannedOrders[Part Name]=$A1063)*(T_PlannedOrders[WeekIndex]=29)*(T_PlannedOrders[EffectiveQty]&gt;0)*T_PlannedOrders[Order_Month])),"m月")&amp;"発注)")</f>
        <v/>
      </c>
      <c r="AG1071">
        <f>IF(SUMIFS(T_PlannedOrders[EffectiveQty],T_PlannedOrders[Part Name],$A1063,T_PlannedOrders[WeekIndex],30)=0,"",SUMIFS(T_PlannedOrders[EffectiveQty],T_PlannedOrders[Part Name],$A1063,T_PlannedOrders[WeekIndex],30)&amp;" ("&amp;TEXT(SUMPRODUCT(MAX((T_PlannedOrders[Part Name]=$A1063)*(T_PlannedOrders[WeekIndex]=30)*(T_PlannedOrders[EffectiveQty]&gt;0)*T_PlannedOrders[Order_Month])),"m月")&amp;"発注)")</f>
        <v/>
      </c>
      <c r="AH1071">
        <f>IF(SUMIFS(T_PlannedOrders[EffectiveQty],T_PlannedOrders[Part Name],$A1063,T_PlannedOrders[WeekIndex],31)=0,"",SUMIFS(T_PlannedOrders[EffectiveQty],T_PlannedOrders[Part Name],$A1063,T_PlannedOrders[WeekIndex],31)&amp;" ("&amp;TEXT(SUMPRODUCT(MAX((T_PlannedOrders[Part Name]=$A1063)*(T_PlannedOrders[WeekIndex]=31)*(T_PlannedOrders[EffectiveQty]&gt;0)*T_PlannedOrders[Order_Month])),"m月")&amp;"発注)")</f>
        <v/>
      </c>
      <c r="AI1071">
        <f>IF(SUMIFS(T_PlannedOrders[EffectiveQty],T_PlannedOrders[Part Name],$A1063,T_PlannedOrders[WeekIndex],32)=0,"",SUMIFS(T_PlannedOrders[EffectiveQty],T_PlannedOrders[Part Name],$A1063,T_PlannedOrders[WeekIndex],32)&amp;" ("&amp;TEXT(SUMPRODUCT(MAX((T_PlannedOrders[Part Name]=$A1063)*(T_PlannedOrders[WeekIndex]=32)*(T_PlannedOrders[EffectiveQty]&gt;0)*T_PlannedOrders[Order_Month])),"m月")&amp;"発注)")</f>
        <v/>
      </c>
      <c r="AJ1071">
        <f>IF(SUMIFS(T_PlannedOrders[EffectiveQty],T_PlannedOrders[Part Name],$A1063,T_PlannedOrders[WeekIndex],33)=0,"",SUMIFS(T_PlannedOrders[EffectiveQty],T_PlannedOrders[Part Name],$A1063,T_PlannedOrders[WeekIndex],33)&amp;" ("&amp;TEXT(SUMPRODUCT(MAX((T_PlannedOrders[Part Name]=$A1063)*(T_PlannedOrders[WeekIndex]=33)*(T_PlannedOrders[EffectiveQty]&gt;0)*T_PlannedOrders[Order_Month])),"m月")&amp;"発注)")</f>
        <v/>
      </c>
      <c r="AK1071">
        <f>IF(SUMIFS(T_PlannedOrders[EffectiveQty],T_PlannedOrders[Part Name],$A1063,T_PlannedOrders[WeekIndex],34)=0,"",SUMIFS(T_PlannedOrders[EffectiveQty],T_PlannedOrders[Part Name],$A1063,T_PlannedOrders[WeekIndex],34)&amp;" ("&amp;TEXT(SUMPRODUCT(MAX((T_PlannedOrders[Part Name]=$A1063)*(T_PlannedOrders[WeekIndex]=34)*(T_PlannedOrders[EffectiveQty]&gt;0)*T_PlannedOrders[Order_Month])),"m月")&amp;"発注)")</f>
        <v/>
      </c>
      <c r="AL1071">
        <f>IF(SUMIFS(T_PlannedOrders[EffectiveQty],T_PlannedOrders[Part Name],$A1063,T_PlannedOrders[WeekIndex],35)=0,"",SUMIFS(T_PlannedOrders[EffectiveQty],T_PlannedOrders[Part Name],$A1063,T_PlannedOrders[WeekIndex],35)&amp;" ("&amp;TEXT(SUMPRODUCT(MAX((T_PlannedOrders[Part Name]=$A1063)*(T_PlannedOrders[WeekIndex]=35)*(T_PlannedOrders[EffectiveQty]&gt;0)*T_PlannedOrders[Order_Month])),"m月")&amp;"発注)")</f>
        <v/>
      </c>
      <c r="AM1071">
        <f>IF(SUMIFS(T_PlannedOrders[EffectiveQty],T_PlannedOrders[Part Name],$A1063,T_PlannedOrders[WeekIndex],36)=0,"",SUMIFS(T_PlannedOrders[EffectiveQty],T_PlannedOrders[Part Name],$A1063,T_PlannedOrders[WeekIndex],36)&amp;" ("&amp;TEXT(SUMPRODUCT(MAX((T_PlannedOrders[Part Name]=$A1063)*(T_PlannedOrders[WeekIndex]=36)*(T_PlannedOrders[EffectiveQty]&gt;0)*T_PlannedOrders[Order_Month])),"m月")&amp;"発注)")</f>
        <v/>
      </c>
      <c r="AN1071">
        <f>IF(SUMIFS(T_PlannedOrders[EffectiveQty],T_PlannedOrders[Part Name],$A1063,T_PlannedOrders[WeekIndex],37)=0,"",SUMIFS(T_PlannedOrders[EffectiveQty],T_PlannedOrders[Part Name],$A1063,T_PlannedOrders[WeekIndex],37)&amp;" ("&amp;TEXT(SUMPRODUCT(MAX((T_PlannedOrders[Part Name]=$A1063)*(T_PlannedOrders[WeekIndex]=37)*(T_PlannedOrders[EffectiveQty]&gt;0)*T_PlannedOrders[Order_Month])),"m月")&amp;"発注)")</f>
        <v/>
      </c>
      <c r="AO1071">
        <f>IF(SUMIFS(T_PlannedOrders[EffectiveQty],T_PlannedOrders[Part Name],$A1063,T_PlannedOrders[WeekIndex],38)=0,"",SUMIFS(T_PlannedOrders[EffectiveQty],T_PlannedOrders[Part Name],$A1063,T_PlannedOrders[WeekIndex],38)&amp;" ("&amp;TEXT(SUMPRODUCT(MAX((T_PlannedOrders[Part Name]=$A1063)*(T_PlannedOrders[WeekIndex]=38)*(T_PlannedOrders[EffectiveQty]&gt;0)*T_PlannedOrders[Order_Month])),"m月")&amp;"発注)")</f>
        <v/>
      </c>
      <c r="AP1071">
        <f>IF(SUMIFS(T_PlannedOrders[EffectiveQty],T_PlannedOrders[Part Name],$A1063,T_PlannedOrders[WeekIndex],39)=0,"",SUMIFS(T_PlannedOrders[EffectiveQty],T_PlannedOrders[Part Name],$A1063,T_PlannedOrders[WeekIndex],39)&amp;" ("&amp;TEXT(SUMPRODUCT(MAX((T_PlannedOrders[Part Name]=$A1063)*(T_PlannedOrders[WeekIndex]=39)*(T_PlannedOrders[EffectiveQty]&gt;0)*T_PlannedOrders[Order_Month])),"m月")&amp;"発注)")</f>
        <v/>
      </c>
      <c r="AQ1071">
        <f>IF(SUMIFS(T_PlannedOrders[EffectiveQty],T_PlannedOrders[Part Name],$A1063,T_PlannedOrders[WeekIndex],40)=0,"",SUMIFS(T_PlannedOrders[EffectiveQty],T_PlannedOrders[Part Name],$A1063,T_PlannedOrders[WeekIndex],40)&amp;" ("&amp;TEXT(SUMPRODUCT(MAX((T_PlannedOrders[Part Name]=$A1063)*(T_PlannedOrders[WeekIndex]=40)*(T_PlannedOrders[EffectiveQty]&gt;0)*T_PlannedOrders[Order_Month])),"m月")&amp;"発注)")</f>
        <v/>
      </c>
      <c r="AR1071">
        <f>IF(SUMIFS(T_PlannedOrders[EffectiveQty],T_PlannedOrders[Part Name],$A1063,T_PlannedOrders[WeekIndex],41)=0,"",SUMIFS(T_PlannedOrders[EffectiveQty],T_PlannedOrders[Part Name],$A1063,T_PlannedOrders[WeekIndex],41)&amp;" ("&amp;TEXT(SUMPRODUCT(MAX((T_PlannedOrders[Part Name]=$A1063)*(T_PlannedOrders[WeekIndex]=41)*(T_PlannedOrders[EffectiveQty]&gt;0)*T_PlannedOrders[Order_Month])),"m月")&amp;"発注)")</f>
        <v/>
      </c>
      <c r="AS1071">
        <f>IF(SUMIFS(T_PlannedOrders[EffectiveQty],T_PlannedOrders[Part Name],$A1063,T_PlannedOrders[WeekIndex],42)=0,"",SUMIFS(T_PlannedOrders[EffectiveQty],T_PlannedOrders[Part Name],$A1063,T_PlannedOrders[WeekIndex],42)&amp;" ("&amp;TEXT(SUMPRODUCT(MAX((T_PlannedOrders[Part Name]=$A1063)*(T_PlannedOrders[WeekIndex]=42)*(T_PlannedOrders[EffectiveQty]&gt;0)*T_PlannedOrders[Order_Month])),"m月")&amp;"発注)")</f>
        <v/>
      </c>
      <c r="AT1071">
        <f>IF(SUMIFS(T_PlannedOrders[EffectiveQty],T_PlannedOrders[Part Name],$A1063,T_PlannedOrders[WeekIndex],43)=0,"",SUMIFS(T_PlannedOrders[EffectiveQty],T_PlannedOrders[Part Name],$A1063,T_PlannedOrders[WeekIndex],43)&amp;" ("&amp;TEXT(SUMPRODUCT(MAX((T_PlannedOrders[Part Name]=$A1063)*(T_PlannedOrders[WeekIndex]=43)*(T_PlannedOrders[EffectiveQty]&gt;0)*T_PlannedOrders[Order_Month])),"m月")&amp;"発注)")</f>
        <v/>
      </c>
      <c r="AU1071">
        <f>IF(SUMIFS(T_PlannedOrders[EffectiveQty],T_PlannedOrders[Part Name],$A1063,T_PlannedOrders[WeekIndex],44)=0,"",SUMIFS(T_PlannedOrders[EffectiveQty],T_PlannedOrders[Part Name],$A1063,T_PlannedOrders[WeekIndex],44)&amp;" ("&amp;TEXT(SUMPRODUCT(MAX((T_PlannedOrders[Part Name]=$A1063)*(T_PlannedOrders[WeekIndex]=44)*(T_PlannedOrders[EffectiveQty]&gt;0)*T_PlannedOrders[Order_Month])),"m月")&amp;"発注)")</f>
        <v/>
      </c>
      <c r="AV1071">
        <f>IF(SUMIFS(T_PlannedOrders[EffectiveQty],T_PlannedOrders[Part Name],$A1063,T_PlannedOrders[WeekIndex],45)=0,"",SUMIFS(T_PlannedOrders[EffectiveQty],T_PlannedOrders[Part Name],$A1063,T_PlannedOrders[WeekIndex],45)&amp;" ("&amp;TEXT(SUMPRODUCT(MAX((T_PlannedOrders[Part Name]=$A1063)*(T_PlannedOrders[WeekIndex]=45)*(T_PlannedOrders[EffectiveQty]&gt;0)*T_PlannedOrders[Order_Month])),"m月")&amp;"発注)")</f>
        <v/>
      </c>
      <c r="AW1071">
        <f>IF(SUMIFS(T_PlannedOrders[EffectiveQty],T_PlannedOrders[Part Name],$A1063,T_PlannedOrders[WeekIndex],46)=0,"",SUMIFS(T_PlannedOrders[EffectiveQty],T_PlannedOrders[Part Name],$A1063,T_PlannedOrders[WeekIndex],46)&amp;" ("&amp;TEXT(SUMPRODUCT(MAX((T_PlannedOrders[Part Name]=$A1063)*(T_PlannedOrders[WeekIndex]=46)*(T_PlannedOrders[EffectiveQty]&gt;0)*T_PlannedOrders[Order_Month])),"m月")&amp;"発注)")</f>
        <v/>
      </c>
      <c r="AX1071">
        <f>IF(SUMIFS(T_PlannedOrders[EffectiveQty],T_PlannedOrders[Part Name],$A1063,T_PlannedOrders[WeekIndex],47)=0,"",SUMIFS(T_PlannedOrders[EffectiveQty],T_PlannedOrders[Part Name],$A1063,T_PlannedOrders[WeekIndex],47)&amp;" ("&amp;TEXT(SUMPRODUCT(MAX((T_PlannedOrders[Part Name]=$A1063)*(T_PlannedOrders[WeekIndex]=47)*(T_PlannedOrders[EffectiveQty]&gt;0)*T_PlannedOrders[Order_Month])),"m月")&amp;"発注)")</f>
        <v/>
      </c>
      <c r="AY1071">
        <f>IF(SUMIFS(T_PlannedOrders[EffectiveQty],T_PlannedOrders[Part Name],$A1063,T_PlannedOrders[WeekIndex],48)=0,"",SUMIFS(T_PlannedOrders[EffectiveQty],T_PlannedOrders[Part Name],$A1063,T_PlannedOrders[WeekIndex],48)&amp;" ("&amp;TEXT(SUMPRODUCT(MAX((T_PlannedOrders[Part Name]=$A1063)*(T_PlannedOrders[WeekIndex]=48)*(T_PlannedOrders[EffectiveQty]&gt;0)*T_PlannedOrders[Order_Month])),"m月")&amp;"発注)")</f>
        <v/>
      </c>
      <c r="AZ1071">
        <f>IF(SUMIFS(T_PlannedOrders[EffectiveQty],T_PlannedOrders[Part Name],$A1063,T_PlannedOrders[WeekIndex],49)=0,"",SUMIFS(T_PlannedOrders[EffectiveQty],T_PlannedOrders[Part Name],$A1063,T_PlannedOrders[WeekIndex],49)&amp;" ("&amp;TEXT(SUMPRODUCT(MAX((T_PlannedOrders[Part Name]=$A1063)*(T_PlannedOrders[WeekIndex]=49)*(T_PlannedOrders[EffectiveQty]&gt;0)*T_PlannedOrders[Order_Month])),"m月")&amp;"発注)")</f>
        <v/>
      </c>
      <c r="BA1071">
        <f>IF(SUMIFS(T_PlannedOrders[EffectiveQty],T_PlannedOrders[Part Name],$A1063,T_PlannedOrders[WeekIndex],50)=0,"",SUMIFS(T_PlannedOrders[EffectiveQty],T_PlannedOrders[Part Name],$A1063,T_PlannedOrders[WeekIndex],50)&amp;" ("&amp;TEXT(SUMPRODUCT(MAX((T_PlannedOrders[Part Name]=$A1063)*(T_PlannedOrders[WeekIndex]=50)*(T_PlannedOrders[EffectiveQty]&gt;0)*T_PlannedOrders[Order_Month])),"m月")&amp;"発注)")</f>
        <v/>
      </c>
      <c r="BB1071">
        <f>IF(SUMIFS(T_PlannedOrders[EffectiveQty],T_PlannedOrders[Part Name],$A1063,T_PlannedOrders[WeekIndex],51)=0,"",SUMIFS(T_PlannedOrders[EffectiveQty],T_PlannedOrders[Part Name],$A1063,T_PlannedOrders[WeekIndex],51)&amp;" ("&amp;TEXT(SUMPRODUCT(MAX((T_PlannedOrders[Part Name]=$A1063)*(T_PlannedOrders[WeekIndex]=51)*(T_PlannedOrders[EffectiveQty]&gt;0)*T_PlannedOrders[Order_Month])),"m月")&amp;"発注)")</f>
        <v/>
      </c>
      <c r="BC1071">
        <f>IF(SUMIFS(T_PlannedOrders[EffectiveQty],T_PlannedOrders[Part Name],$A1063,T_PlannedOrders[WeekIndex],52)=0,"",SUMIFS(T_PlannedOrders[EffectiveQty],T_PlannedOrders[Part Name],$A1063,T_PlannedOrders[WeekIndex],52)&amp;" ("&amp;TEXT(SUMPRODUCT(MAX((T_PlannedOrders[Part Name]=$A1063)*(T_PlannedOrders[WeekIndex]=52)*(T_PlannedOrders[EffectiveQty]&gt;0)*T_PlannedOrders[Order_Month])),"m月")&amp;"発注)")</f>
        <v/>
      </c>
      <c r="BD1071">
        <f>IF(SUMIFS(T_PlannedOrders[EffectiveQty],T_PlannedOrders[Part Name],$A1063,T_PlannedOrders[WeekIndex],53)=0,"",SUMIFS(T_PlannedOrders[EffectiveQty],T_PlannedOrders[Part Name],$A1063,T_PlannedOrders[WeekIndex],53)&amp;" ("&amp;TEXT(SUMPRODUCT(MAX((T_PlannedOrders[Part Name]=$A1063)*(T_PlannedOrders[WeekIndex]=53)*(T_PlannedOrders[EffectiveQty]&gt;0)*T_PlannedOrders[Order_Month])),"m月")&amp;"発注)")</f>
        <v/>
      </c>
      <c r="BE1071">
        <f>IF(SUMIFS(T_PlannedOrders[EffectiveQty],T_PlannedOrders[Part Name],$A1063,T_PlannedOrders[WeekIndex],54)=0,"",SUMIFS(T_PlannedOrders[EffectiveQty],T_PlannedOrders[Part Name],$A1063,T_PlannedOrders[WeekIndex],54)&amp;" ("&amp;TEXT(SUMPRODUCT(MAX((T_PlannedOrders[Part Name]=$A1063)*(T_PlannedOrders[WeekIndex]=54)*(T_PlannedOrders[EffectiveQty]&gt;0)*T_PlannedOrders[Order_Month])),"m月")&amp;"発注)")</f>
        <v/>
      </c>
      <c r="BF1071">
        <f>IF(SUMIFS(T_PlannedOrders[EffectiveQty],T_PlannedOrders[Part Name],$A1063,T_PlannedOrders[WeekIndex],55)=0,"",SUMIFS(T_PlannedOrders[EffectiveQty],T_PlannedOrders[Part Name],$A1063,T_PlannedOrders[WeekIndex],55)&amp;" ("&amp;TEXT(SUMPRODUCT(MAX((T_PlannedOrders[Part Name]=$A1063)*(T_PlannedOrders[WeekIndex]=55)*(T_PlannedOrders[EffectiveQty]&gt;0)*T_PlannedOrders[Order_Month])),"m月")&amp;"発注)")</f>
        <v/>
      </c>
      <c r="BG1071">
        <f>IF(SUMIFS(T_PlannedOrders[EffectiveQty],T_PlannedOrders[Part Name],$A1063,T_PlannedOrders[WeekIndex],56)=0,"",SUMIFS(T_PlannedOrders[EffectiveQty],T_PlannedOrders[Part Name],$A1063,T_PlannedOrders[WeekIndex],56)&amp;" ("&amp;TEXT(SUMPRODUCT(MAX((T_PlannedOrders[Part Name]=$A1063)*(T_PlannedOrders[WeekIndex]=56)*(T_PlannedOrders[EffectiveQty]&gt;0)*T_PlannedOrders[Order_Month])),"m月")&amp;"発注)")</f>
        <v/>
      </c>
      <c r="BH1071">
        <f>IF(SUMIFS(T_PlannedOrders[EffectiveQty],T_PlannedOrders[Part Name],$A1063,T_PlannedOrders[WeekIndex],57)=0,"",SUMIFS(T_PlannedOrders[EffectiveQty],T_PlannedOrders[Part Name],$A1063,T_PlannedOrders[WeekIndex],57)&amp;" ("&amp;TEXT(SUMPRODUCT(MAX((T_PlannedOrders[Part Name]=$A1063)*(T_PlannedOrders[WeekIndex]=57)*(T_PlannedOrders[EffectiveQty]&gt;0)*T_PlannedOrders[Order_Month])),"m月")&amp;"発注)")</f>
        <v/>
      </c>
      <c r="BI1071">
        <f>IF(SUMIFS(T_PlannedOrders[EffectiveQty],T_PlannedOrders[Part Name],$A1063,T_PlannedOrders[WeekIndex],58)=0,"",SUMIFS(T_PlannedOrders[EffectiveQty],T_PlannedOrders[Part Name],$A1063,T_PlannedOrders[WeekIndex],58)&amp;" ("&amp;TEXT(SUMPRODUCT(MAX((T_PlannedOrders[Part Name]=$A1063)*(T_PlannedOrders[WeekIndex]=58)*(T_PlannedOrders[EffectiveQty]&gt;0)*T_PlannedOrders[Order_Month])),"m月")&amp;"発注)")</f>
        <v/>
      </c>
      <c r="BJ1071">
        <f>IF(SUMIFS(T_PlannedOrders[EffectiveQty],T_PlannedOrders[Part Name],$A1063,T_PlannedOrders[WeekIndex],59)=0,"",SUMIFS(T_PlannedOrders[EffectiveQty],T_PlannedOrders[Part Name],$A1063,T_PlannedOrders[WeekIndex],59)&amp;" ("&amp;TEXT(SUMPRODUCT(MAX((T_PlannedOrders[Part Name]=$A1063)*(T_PlannedOrders[WeekIndex]=59)*(T_PlannedOrders[EffectiveQty]&gt;0)*T_PlannedOrders[Order_Month])),"m月")&amp;"発注)")</f>
        <v/>
      </c>
      <c r="BK1071">
        <f>IF(SUMIFS(T_PlannedOrders[EffectiveQty],T_PlannedOrders[Part Name],$A1063,T_PlannedOrders[WeekIndex],60)=0,"",SUMIFS(T_PlannedOrders[EffectiveQty],T_PlannedOrders[Part Name],$A1063,T_PlannedOrders[WeekIndex],60)&amp;" ("&amp;TEXT(SUMPRODUCT(MAX((T_PlannedOrders[Part Name]=$A1063)*(T_PlannedOrders[WeekIndex]=60)*(T_PlannedOrders[EffectiveQty]&gt;0)*T_PlannedOrders[Order_Month])),"m月")&amp;"発注)")</f>
        <v/>
      </c>
      <c r="BL1071">
        <f>IF(SUMIFS(T_PlannedOrders[EffectiveQty],T_PlannedOrders[Part Name],$A1063,T_PlannedOrders[WeekIndex],61)=0,"",SUMIFS(T_PlannedOrders[EffectiveQty],T_PlannedOrders[Part Name],$A1063,T_PlannedOrders[WeekIndex],61)&amp;" ("&amp;TEXT(SUMPRODUCT(MAX((T_PlannedOrders[Part Name]=$A1063)*(T_PlannedOrders[WeekIndex]=61)*(T_PlannedOrders[EffectiveQty]&gt;0)*T_PlannedOrders[Order_Month])),"m月")&amp;"発注)")</f>
        <v/>
      </c>
      <c r="BM1071">
        <f>IF(SUMIFS(T_PlannedOrders[EffectiveQty],T_PlannedOrders[Part Name],$A1063,T_PlannedOrders[WeekIndex],62)=0,"",SUMIFS(T_PlannedOrders[EffectiveQty],T_PlannedOrders[Part Name],$A1063,T_PlannedOrders[WeekIndex],62)&amp;" ("&amp;TEXT(SUMPRODUCT(MAX((T_PlannedOrders[Part Name]=$A1063)*(T_PlannedOrders[WeekIndex]=62)*(T_PlannedOrders[EffectiveQty]&gt;0)*T_PlannedOrders[Order_Month])),"m月")&amp;"発注)")</f>
        <v/>
      </c>
      <c r="BN1071">
        <f>IF(SUMIFS(T_PlannedOrders[EffectiveQty],T_PlannedOrders[Part Name],$A1063,T_PlannedOrders[WeekIndex],63)=0,"",SUMIFS(T_PlannedOrders[EffectiveQty],T_PlannedOrders[Part Name],$A1063,T_PlannedOrders[WeekIndex],63)&amp;" ("&amp;TEXT(SUMPRODUCT(MAX((T_PlannedOrders[Part Name]=$A1063)*(T_PlannedOrders[WeekIndex]=63)*(T_PlannedOrders[EffectiveQty]&gt;0)*T_PlannedOrders[Order_Month])),"m月")&amp;"発注)")</f>
        <v/>
      </c>
      <c r="BO1071">
        <f>IF(SUMIFS(T_PlannedOrders[EffectiveQty],T_PlannedOrders[Part Name],$A1063,T_PlannedOrders[WeekIndex],64)=0,"",SUMIFS(T_PlannedOrders[EffectiveQty],T_PlannedOrders[Part Name],$A1063,T_PlannedOrders[WeekIndex],64)&amp;" ("&amp;TEXT(SUMPRODUCT(MAX((T_PlannedOrders[Part Name]=$A1063)*(T_PlannedOrders[WeekIndex]=64)*(T_PlannedOrders[EffectiveQty]&gt;0)*T_PlannedOrders[Order_Month])),"m月")&amp;"発注)")</f>
        <v/>
      </c>
      <c r="BP1071">
        <f>IF(SUMIFS(T_PlannedOrders[EffectiveQty],T_PlannedOrders[Part Name],$A1063,T_PlannedOrders[WeekIndex],65)=0,"",SUMIFS(T_PlannedOrders[EffectiveQty],T_PlannedOrders[Part Name],$A1063,T_PlannedOrders[WeekIndex],65)&amp;" ("&amp;TEXT(SUMPRODUCT(MAX((T_PlannedOrders[Part Name]=$A1063)*(T_PlannedOrders[WeekIndex]=65)*(T_PlannedOrders[EffectiveQty]&gt;0)*T_PlannedOrders[Order_Month])),"m月")&amp;"発注)")</f>
        <v/>
      </c>
      <c r="BQ1071">
        <f>IF(SUMIFS(T_PlannedOrders[EffectiveQty],T_PlannedOrders[Part Name],$A1063,T_PlannedOrders[WeekIndex],66)=0,"",SUMIFS(T_PlannedOrders[EffectiveQty],T_PlannedOrders[Part Name],$A1063,T_PlannedOrders[WeekIndex],66)&amp;" ("&amp;TEXT(SUMPRODUCT(MAX((T_PlannedOrders[Part Name]=$A1063)*(T_PlannedOrders[WeekIndex]=66)*(T_PlannedOrders[EffectiveQty]&gt;0)*T_PlannedOrders[Order_Month])),"m月")&amp;"発注)")</f>
        <v/>
      </c>
      <c r="BR1071">
        <f>IF(SUMIFS(T_PlannedOrders[EffectiveQty],T_PlannedOrders[Part Name],$A1063,T_PlannedOrders[WeekIndex],67)=0,"",SUMIFS(T_PlannedOrders[EffectiveQty],T_PlannedOrders[Part Name],$A1063,T_PlannedOrders[WeekIndex],67)&amp;" ("&amp;TEXT(SUMPRODUCT(MAX((T_PlannedOrders[Part Name]=$A1063)*(T_PlannedOrders[WeekIndex]=67)*(T_PlannedOrders[EffectiveQty]&gt;0)*T_PlannedOrders[Order_Month])),"m月")&amp;"発注)")</f>
        <v/>
      </c>
      <c r="BS1071">
        <f>IF(SUMIFS(T_PlannedOrders[EffectiveQty],T_PlannedOrders[Part Name],$A1063,T_PlannedOrders[WeekIndex],68)=0,"",SUMIFS(T_PlannedOrders[EffectiveQty],T_PlannedOrders[Part Name],$A1063,T_PlannedOrders[WeekIndex],68)&amp;" ("&amp;TEXT(SUMPRODUCT(MAX((T_PlannedOrders[Part Name]=$A1063)*(T_PlannedOrders[WeekIndex]=68)*(T_PlannedOrders[EffectiveQty]&gt;0)*T_PlannedOrders[Order_Month])),"m月")&amp;"発注)")</f>
        <v/>
      </c>
      <c r="BT1071">
        <f>IF(SUMIFS(T_PlannedOrders[EffectiveQty],T_PlannedOrders[Part Name],$A1063,T_PlannedOrders[WeekIndex],69)=0,"",SUMIFS(T_PlannedOrders[EffectiveQty],T_PlannedOrders[Part Name],$A1063,T_PlannedOrders[WeekIndex],69)&amp;" ("&amp;TEXT(SUMPRODUCT(MAX((T_PlannedOrders[Part Name]=$A1063)*(T_PlannedOrders[WeekIndex]=69)*(T_PlannedOrders[EffectiveQty]&gt;0)*T_PlannedOrders[Order_Month])),"m月")&amp;"発注)")</f>
        <v/>
      </c>
      <c r="BU1071">
        <f>IF(SUMIFS(T_PlannedOrders[EffectiveQty],T_PlannedOrders[Part Name],$A1063,T_PlannedOrders[WeekIndex],70)=0,"",SUMIFS(T_PlannedOrders[EffectiveQty],T_PlannedOrders[Part Name],$A1063,T_PlannedOrders[WeekIndex],70)&amp;" ("&amp;TEXT(SUMPRODUCT(MAX((T_PlannedOrders[Part Name]=$A1063)*(T_PlannedOrders[WeekIndex]=70)*(T_PlannedOrders[EffectiveQty]&gt;0)*T_PlannedOrders[Order_Month])),"m月")&amp;"発注)")</f>
        <v/>
      </c>
      <c r="BV1071">
        <f>IF(SUMIFS(T_PlannedOrders[EffectiveQty],T_PlannedOrders[Part Name],$A1063,T_PlannedOrders[WeekIndex],71)=0,"",SUMIFS(T_PlannedOrders[EffectiveQty],T_PlannedOrders[Part Name],$A1063,T_PlannedOrders[WeekIndex],71)&amp;" ("&amp;TEXT(SUMPRODUCT(MAX((T_PlannedOrders[Part Name]=$A1063)*(T_PlannedOrders[WeekIndex]=71)*(T_PlannedOrders[EffectiveQty]&gt;0)*T_PlannedOrders[Order_Month])),"m月")&amp;"発注)")</f>
        <v/>
      </c>
      <c r="BW1071">
        <f>IF(SUMIFS(T_PlannedOrders[EffectiveQty],T_PlannedOrders[Part Name],$A1063,T_PlannedOrders[WeekIndex],72)=0,"",SUMIFS(T_PlannedOrders[EffectiveQty],T_PlannedOrders[Part Name],$A1063,T_PlannedOrders[WeekIndex],72)&amp;" ("&amp;TEXT(SUMPRODUCT(MAX((T_PlannedOrders[Part Name]=$A1063)*(T_PlannedOrders[WeekIndex]=72)*(T_PlannedOrders[EffectiveQty]&gt;0)*T_PlannedOrders[Order_Month])),"m月")&amp;"発注)")</f>
        <v/>
      </c>
      <c r="BX1071">
        <f>IF(SUMIFS(T_PlannedOrders[EffectiveQty],T_PlannedOrders[Part Name],$A1063,T_PlannedOrders[WeekIndex],73)=0,"",SUMIFS(T_PlannedOrders[EffectiveQty],T_PlannedOrders[Part Name],$A1063,T_PlannedOrders[WeekIndex],73)&amp;" ("&amp;TEXT(SUMPRODUCT(MAX((T_PlannedOrders[Part Name]=$A1063)*(T_PlannedOrders[WeekIndex]=73)*(T_PlannedOrders[EffectiveQty]&gt;0)*T_PlannedOrders[Order_Month])),"m月")&amp;"発注)")</f>
        <v/>
      </c>
      <c r="BY1071">
        <f>IF(SUMIFS(T_PlannedOrders[EffectiveQty],T_PlannedOrders[Part Name],$A1063,T_PlannedOrders[WeekIndex],74)=0,"",SUMIFS(T_PlannedOrders[EffectiveQty],T_PlannedOrders[Part Name],$A1063,T_PlannedOrders[WeekIndex],74)&amp;" ("&amp;TEXT(SUMPRODUCT(MAX((T_PlannedOrders[Part Name]=$A1063)*(T_PlannedOrders[WeekIndex]=74)*(T_PlannedOrders[EffectiveQty]&gt;0)*T_PlannedOrders[Order_Month])),"m月")&amp;"発注)")</f>
        <v/>
      </c>
      <c r="BZ1071">
        <f>IF(SUMIFS(T_PlannedOrders[EffectiveQty],T_PlannedOrders[Part Name],$A1063,T_PlannedOrders[WeekIndex],75)=0,"",SUMIFS(T_PlannedOrders[EffectiveQty],T_PlannedOrders[Part Name],$A1063,T_PlannedOrders[WeekIndex],75)&amp;" ("&amp;TEXT(SUMPRODUCT(MAX((T_PlannedOrders[Part Name]=$A1063)*(T_PlannedOrders[WeekIndex]=75)*(T_PlannedOrders[EffectiveQty]&gt;0)*T_PlannedOrders[Order_Month])),"m月")&amp;"発注)")</f>
        <v/>
      </c>
      <c r="CA1071">
        <f>IF(SUMIFS(T_PlannedOrders[EffectiveQty],T_PlannedOrders[Part Name],$A1063,T_PlannedOrders[WeekIndex],76)=0,"",SUMIFS(T_PlannedOrders[EffectiveQty],T_PlannedOrders[Part Name],$A1063,T_PlannedOrders[WeekIndex],76)&amp;" ("&amp;TEXT(SUMPRODUCT(MAX((T_PlannedOrders[Part Name]=$A1063)*(T_PlannedOrders[WeekIndex]=76)*(T_PlannedOrders[EffectiveQty]&gt;0)*T_PlannedOrders[Order_Month])),"m月")&amp;"発注)")</f>
        <v/>
      </c>
      <c r="CB1071">
        <f>IF(SUMIFS(T_PlannedOrders[EffectiveQty],T_PlannedOrders[Part Name],$A1063,T_PlannedOrders[WeekIndex],77)=0,"",SUMIFS(T_PlannedOrders[EffectiveQty],T_PlannedOrders[Part Name],$A1063,T_PlannedOrders[WeekIndex],77)&amp;" ("&amp;TEXT(SUMPRODUCT(MAX((T_PlannedOrders[Part Name]=$A1063)*(T_PlannedOrders[WeekIndex]=77)*(T_PlannedOrders[EffectiveQty]&gt;0)*T_PlannedOrders[Order_Month])),"m月")&amp;"発注)")</f>
        <v/>
      </c>
      <c r="CC1071">
        <f>IF(SUMIFS(T_PlannedOrders[EffectiveQty],T_PlannedOrders[Part Name],$A1063,T_PlannedOrders[WeekIndex],78)=0,"",SUMIFS(T_PlannedOrders[EffectiveQty],T_PlannedOrders[Part Name],$A1063,T_PlannedOrders[WeekIndex],78)&amp;" ("&amp;TEXT(SUMPRODUCT(MAX((T_PlannedOrders[Part Name]=$A1063)*(T_PlannedOrders[WeekIndex]=78)*(T_PlannedOrders[EffectiveQty]&gt;0)*T_PlannedOrders[Order_Month])),"m月")&amp;"発注)")</f>
        <v/>
      </c>
      <c r="CD1071">
        <f>IF(SUMIFS(T_PlannedOrders[EffectiveQty],T_PlannedOrders[Part Name],$A1063,T_PlannedOrders[WeekIndex],79)=0,"",SUMIFS(T_PlannedOrders[EffectiveQty],T_PlannedOrders[Part Name],$A1063,T_PlannedOrders[WeekIndex],79)&amp;" ("&amp;TEXT(SUMPRODUCT(MAX((T_PlannedOrders[Part Name]=$A1063)*(T_PlannedOrders[WeekIndex]=79)*(T_PlannedOrders[EffectiveQty]&gt;0)*T_PlannedOrders[Order_Month])),"m月")&amp;"発注)")</f>
        <v/>
      </c>
      <c r="CE1071">
        <f>IF(SUMIFS(T_PlannedOrders[EffectiveQty],T_PlannedOrders[Part Name],$A1063,T_PlannedOrders[WeekIndex],80)=0,"",SUMIFS(T_PlannedOrders[EffectiveQty],T_PlannedOrders[Part Name],$A1063,T_PlannedOrders[WeekIndex],80)&amp;" ("&amp;TEXT(SUMPRODUCT(MAX((T_PlannedOrders[Part Name]=$A1063)*(T_PlannedOrders[WeekIndex]=80)*(T_PlannedOrders[EffectiveQty]&gt;0)*T_PlannedOrders[Order_Month])),"m月")&amp;"発注)")</f>
        <v/>
      </c>
      <c r="CF1071">
        <f>IF(SUMIFS(T_PlannedOrders[EffectiveQty],T_PlannedOrders[Part Name],$A1063,T_PlannedOrders[WeekIndex],81)=0,"",SUMIFS(T_PlannedOrders[EffectiveQty],T_PlannedOrders[Part Name],$A1063,T_PlannedOrders[WeekIndex],81)&amp;" ("&amp;TEXT(SUMPRODUCT(MAX((T_PlannedOrders[Part Name]=$A1063)*(T_PlannedOrders[WeekIndex]=81)*(T_PlannedOrders[EffectiveQty]&gt;0)*T_PlannedOrders[Order_Month])),"m月")&amp;"発注)")</f>
        <v/>
      </c>
      <c r="CG1071">
        <f>IF(SUMIFS(T_PlannedOrders[EffectiveQty],T_PlannedOrders[Part Name],$A1063,T_PlannedOrders[WeekIndex],82)=0,"",SUMIFS(T_PlannedOrders[EffectiveQty],T_PlannedOrders[Part Name],$A1063,T_PlannedOrders[WeekIndex],82)&amp;" ("&amp;TEXT(SUMPRODUCT(MAX((T_PlannedOrders[Part Name]=$A1063)*(T_PlannedOrders[WeekIndex]=82)*(T_PlannedOrders[EffectiveQty]&gt;0)*T_PlannedOrders[Order_Month])),"m月")&amp;"発注)")</f>
        <v/>
      </c>
      <c r="CH1071">
        <f>IF(SUMIFS(T_PlannedOrders[EffectiveQty],T_PlannedOrders[Part Name],$A1063,T_PlannedOrders[WeekIndex],83)=0,"",SUMIFS(T_PlannedOrders[EffectiveQty],T_PlannedOrders[Part Name],$A1063,T_PlannedOrders[WeekIndex],83)&amp;" ("&amp;TEXT(SUMPRODUCT(MAX((T_PlannedOrders[Part Name]=$A1063)*(T_PlannedOrders[WeekIndex]=83)*(T_PlannedOrders[EffectiveQty]&gt;0)*T_PlannedOrders[Order_Month])),"m月")&amp;"発注)")</f>
        <v/>
      </c>
      <c r="CI1071">
        <f>IF(SUMIFS(T_PlannedOrders[EffectiveQty],T_PlannedOrders[Part Name],$A1063,T_PlannedOrders[WeekIndex],84)=0,"",SUMIFS(T_PlannedOrders[EffectiveQty],T_PlannedOrders[Part Name],$A1063,T_PlannedOrders[WeekIndex],84)&amp;" ("&amp;TEXT(SUMPRODUCT(MAX((T_PlannedOrders[Part Name]=$A1063)*(T_PlannedOrders[WeekIndex]=84)*(T_PlannedOrders[EffectiveQty]&gt;0)*T_PlannedOrders[Order_Month])),"m月")&amp;"発注)")</f>
        <v/>
      </c>
      <c r="CJ1071">
        <f>IF(SUMIFS(T_PlannedOrders[EffectiveQty],T_PlannedOrders[Part Name],$A1063,T_PlannedOrders[WeekIndex],85)=0,"",SUMIFS(T_PlannedOrders[EffectiveQty],T_PlannedOrders[Part Name],$A1063,T_PlannedOrders[WeekIndex],85)&amp;" ("&amp;TEXT(SUMPRODUCT(MAX((T_PlannedOrders[Part Name]=$A1063)*(T_PlannedOrders[WeekIndex]=85)*(T_PlannedOrders[EffectiveQty]&gt;0)*T_PlannedOrders[Order_Month])),"m月")&amp;"発注)")</f>
        <v/>
      </c>
      <c r="CK1071">
        <f>IF(SUMIFS(T_PlannedOrders[EffectiveQty],T_PlannedOrders[Part Name],$A1063,T_PlannedOrders[WeekIndex],86)=0,"",SUMIFS(T_PlannedOrders[EffectiveQty],T_PlannedOrders[Part Name],$A1063,T_PlannedOrders[WeekIndex],86)&amp;" ("&amp;TEXT(SUMPRODUCT(MAX((T_PlannedOrders[Part Name]=$A1063)*(T_PlannedOrders[WeekIndex]=86)*(T_PlannedOrders[EffectiveQty]&gt;0)*T_PlannedOrders[Order_Month])),"m月")&amp;"発注)")</f>
        <v/>
      </c>
      <c r="CL1071">
        <f>IF(SUMIFS(T_PlannedOrders[EffectiveQty],T_PlannedOrders[Part Name],$A1063,T_PlannedOrders[WeekIndex],87)=0,"",SUMIFS(T_PlannedOrders[EffectiveQty],T_PlannedOrders[Part Name],$A1063,T_PlannedOrders[WeekIndex],87)&amp;" ("&amp;TEXT(SUMPRODUCT(MAX((T_PlannedOrders[Part Name]=$A1063)*(T_PlannedOrders[WeekIndex]=87)*(T_PlannedOrders[EffectiveQty]&gt;0)*T_PlannedOrders[Order_Month])),"m月")&amp;"発注)")</f>
        <v/>
      </c>
      <c r="CM1071">
        <f>IF(SUMIFS(T_PlannedOrders[EffectiveQty],T_PlannedOrders[Part Name],$A1063,T_PlannedOrders[WeekIndex],88)=0,"",SUMIFS(T_PlannedOrders[EffectiveQty],T_PlannedOrders[Part Name],$A1063,T_PlannedOrders[WeekIndex],88)&amp;" ("&amp;TEXT(SUMPRODUCT(MAX((T_PlannedOrders[Part Name]=$A1063)*(T_PlannedOrders[WeekIndex]=88)*(T_PlannedOrders[EffectiveQty]&gt;0)*T_PlannedOrders[Order_Month])),"m月")&amp;"発注)")</f>
        <v/>
      </c>
      <c r="CN1071">
        <f>IF(SUMIFS(T_PlannedOrders[EffectiveQty],T_PlannedOrders[Part Name],$A1063,T_PlannedOrders[WeekIndex],89)=0,"",SUMIFS(T_PlannedOrders[EffectiveQty],T_PlannedOrders[Part Name],$A1063,T_PlannedOrders[WeekIndex],89)&amp;" ("&amp;TEXT(SUMPRODUCT(MAX((T_PlannedOrders[Part Name]=$A1063)*(T_PlannedOrders[WeekIndex]=89)*(T_PlannedOrders[EffectiveQty]&gt;0)*T_PlannedOrders[Order_Month])),"m月")&amp;"発注)")</f>
        <v/>
      </c>
      <c r="CO1071">
        <f>IF(SUMIFS(T_PlannedOrders[EffectiveQty],T_PlannedOrders[Part Name],$A1063,T_PlannedOrders[WeekIndex],90)=0,"",SUMIFS(T_PlannedOrders[EffectiveQty],T_PlannedOrders[Part Name],$A1063,T_PlannedOrders[WeekIndex],90)&amp;" ("&amp;TEXT(SUMPRODUCT(MAX((T_PlannedOrders[Part Name]=$A1063)*(T_PlannedOrders[WeekIndex]=90)*(T_PlannedOrders[EffectiveQty]&gt;0)*T_PlannedOrders[Order_Month])),"m月")&amp;"発注)")</f>
        <v/>
      </c>
      <c r="CP1071">
        <f>IF(SUMIFS(T_PlannedOrders[EffectiveQty],T_PlannedOrders[Part Name],$A1063,T_PlannedOrders[WeekIndex],91)=0,"",SUMIFS(T_PlannedOrders[EffectiveQty],T_PlannedOrders[Part Name],$A1063,T_PlannedOrders[WeekIndex],91)&amp;" ("&amp;TEXT(SUMPRODUCT(MAX((T_PlannedOrders[Part Name]=$A1063)*(T_PlannedOrders[WeekIndex]=91)*(T_PlannedOrders[EffectiveQty]&gt;0)*T_PlannedOrders[Order_Month])),"m月")&amp;"発注)")</f>
        <v/>
      </c>
      <c r="CQ1071">
        <f>IF(SUMIFS(T_PlannedOrders[EffectiveQty],T_PlannedOrders[Part Name],$A1063,T_PlannedOrders[WeekIndex],92)=0,"",SUMIFS(T_PlannedOrders[EffectiveQty],T_PlannedOrders[Part Name],$A1063,T_PlannedOrders[WeekIndex],92)&amp;" ("&amp;TEXT(SUMPRODUCT(MAX((T_PlannedOrders[Part Name]=$A1063)*(T_PlannedOrders[WeekIndex]=92)*(T_PlannedOrders[EffectiveQty]&gt;0)*T_PlannedOrders[Order_Month])),"m月")&amp;"発注)")</f>
        <v/>
      </c>
      <c r="CR1071">
        <f>IF(SUMIFS(T_PlannedOrders[EffectiveQty],T_PlannedOrders[Part Name],$A1063,T_PlannedOrders[WeekIndex],93)=0,"",SUMIFS(T_PlannedOrders[EffectiveQty],T_PlannedOrders[Part Name],$A1063,T_PlannedOrders[WeekIndex],93)&amp;" ("&amp;TEXT(SUMPRODUCT(MAX((T_PlannedOrders[Part Name]=$A1063)*(T_PlannedOrders[WeekIndex]=93)*(T_PlannedOrders[EffectiveQty]&gt;0)*T_PlannedOrders[Order_Month])),"m月")&amp;"発注)")</f>
        <v/>
      </c>
      <c r="CS1071">
        <f>IF(SUMIFS(T_PlannedOrders[EffectiveQty],T_PlannedOrders[Part Name],$A1063,T_PlannedOrders[WeekIndex],94)=0,"",SUMIFS(T_PlannedOrders[EffectiveQty],T_PlannedOrders[Part Name],$A1063,T_PlannedOrders[WeekIndex],94)&amp;" ("&amp;TEXT(SUMPRODUCT(MAX((T_PlannedOrders[Part Name]=$A1063)*(T_PlannedOrders[WeekIndex]=94)*(T_PlannedOrders[EffectiveQty]&gt;0)*T_PlannedOrders[Order_Month])),"m月")&amp;"発注)")</f>
        <v/>
      </c>
      <c r="CT1071">
        <f>IF(SUMIFS(T_PlannedOrders[EffectiveQty],T_PlannedOrders[Part Name],$A1063,T_PlannedOrders[WeekIndex],95)=0,"",SUMIFS(T_PlannedOrders[EffectiveQty],T_PlannedOrders[Part Name],$A1063,T_PlannedOrders[WeekIndex],95)&amp;" ("&amp;TEXT(SUMPRODUCT(MAX((T_PlannedOrders[Part Name]=$A1063)*(T_PlannedOrders[WeekIndex]=95)*(T_PlannedOrders[EffectiveQty]&gt;0)*T_PlannedOrders[Order_Month])),"m月")&amp;"発注)")</f>
        <v/>
      </c>
      <c r="CU1071">
        <f>IF(SUMIFS(T_PlannedOrders[EffectiveQty],T_PlannedOrders[Part Name],$A1063,T_PlannedOrders[WeekIndex],96)=0,"",SUMIFS(T_PlannedOrders[EffectiveQty],T_PlannedOrders[Part Name],$A1063,T_PlannedOrders[WeekIndex],96)&amp;" ("&amp;TEXT(SUMPRODUCT(MAX((T_PlannedOrders[Part Name]=$A1063)*(T_PlannedOrders[WeekIndex]=96)*(T_PlannedOrders[EffectiveQty]&gt;0)*T_PlannedOrders[Order_Month])),"m月")&amp;"発注)")</f>
        <v/>
      </c>
      <c r="CV1071">
        <f>IF(SUMIFS(T_PlannedOrders[EffectiveQty],T_PlannedOrders[Part Name],$A1063,T_PlannedOrders[WeekIndex],97)=0,"",SUMIFS(T_PlannedOrders[EffectiveQty],T_PlannedOrders[Part Name],$A1063,T_PlannedOrders[WeekIndex],97)&amp;" ("&amp;TEXT(SUMPRODUCT(MAX((T_PlannedOrders[Part Name]=$A1063)*(T_PlannedOrders[WeekIndex]=97)*(T_PlannedOrders[EffectiveQty]&gt;0)*T_PlannedOrders[Order_Month])),"m月")&amp;"発注)")</f>
        <v/>
      </c>
      <c r="CW1071">
        <f>IF(SUMIFS(T_PlannedOrders[EffectiveQty],T_PlannedOrders[Part Name],$A1063,T_PlannedOrders[WeekIndex],98)=0,"",SUMIFS(T_PlannedOrders[EffectiveQty],T_PlannedOrders[Part Name],$A1063,T_PlannedOrders[WeekIndex],98)&amp;" ("&amp;TEXT(SUMPRODUCT(MAX((T_PlannedOrders[Part Name]=$A1063)*(T_PlannedOrders[WeekIndex]=98)*(T_PlannedOrders[EffectiveQty]&gt;0)*T_PlannedOrders[Order_Month])),"m月")&amp;"発注)")</f>
        <v/>
      </c>
      <c r="CX1071">
        <f>IF(SUMIFS(T_PlannedOrders[EffectiveQty],T_PlannedOrders[Part Name],$A1063,T_PlannedOrders[WeekIndex],99)=0,"",SUMIFS(T_PlannedOrders[EffectiveQty],T_PlannedOrders[Part Name],$A1063,T_PlannedOrders[WeekIndex],99)&amp;" ("&amp;TEXT(SUMPRODUCT(MAX((T_PlannedOrders[Part Name]=$A1063)*(T_PlannedOrders[WeekIndex]=99)*(T_PlannedOrders[EffectiveQty]&gt;0)*T_PlannedOrders[Order_Month])),"m月")&amp;"発注)")</f>
        <v/>
      </c>
      <c r="CY1071">
        <f>IF(SUMIFS(T_PlannedOrders[EffectiveQty],T_PlannedOrders[Part Name],$A1063,T_PlannedOrders[WeekIndex],100)=0,"",SUMIFS(T_PlannedOrders[EffectiveQty],T_PlannedOrders[Part Name],$A1063,T_PlannedOrders[WeekIndex],100)&amp;" ("&amp;TEXT(SUMPRODUCT(MAX((T_PlannedOrders[Part Name]=$A1063)*(T_PlannedOrders[WeekIndex]=100)*(T_PlannedOrders[EffectiveQty]&gt;0)*T_PlannedOrders[Order_Month])),"m月")&amp;"発注)")</f>
        <v/>
      </c>
      <c r="CZ1071">
        <f>IF(SUMIFS(T_PlannedOrders[EffectiveQty],T_PlannedOrders[Part Name],$A1063,T_PlannedOrders[WeekIndex],101)=0,"",SUMIFS(T_PlannedOrders[EffectiveQty],T_PlannedOrders[Part Name],$A1063,T_PlannedOrders[WeekIndex],101)&amp;" ("&amp;TEXT(SUMPRODUCT(MAX((T_PlannedOrders[Part Name]=$A1063)*(T_PlannedOrders[WeekIndex]=101)*(T_PlannedOrders[EffectiveQty]&gt;0)*T_PlannedOrders[Order_Month])),"m月")&amp;"発注)")</f>
        <v/>
      </c>
      <c r="DA1071">
        <f>IF(SUMIFS(T_PlannedOrders[EffectiveQty],T_PlannedOrders[Part Name],$A1063,T_PlannedOrders[WeekIndex],102)=0,"",SUMIFS(T_PlannedOrders[EffectiveQty],T_PlannedOrders[Part Name],$A1063,T_PlannedOrders[WeekIndex],102)&amp;" ("&amp;TEXT(SUMPRODUCT(MAX((T_PlannedOrders[Part Name]=$A1063)*(T_PlannedOrders[WeekIndex]=102)*(T_PlannedOrders[EffectiveQty]&gt;0)*T_PlannedOrders[Order_Month])),"m月")&amp;"発注)")</f>
        <v/>
      </c>
      <c r="DB1071">
        <f>IF(SUMIFS(T_PlannedOrders[EffectiveQty],T_PlannedOrders[Part Name],$A1063,T_PlannedOrders[WeekIndex],103)=0,"",SUMIFS(T_PlannedOrders[EffectiveQty],T_PlannedOrders[Part Name],$A1063,T_PlannedOrders[WeekIndex],103)&amp;" ("&amp;TEXT(SUMPRODUCT(MAX((T_PlannedOrders[Part Name]=$A1063)*(T_PlannedOrders[WeekIndex]=103)*(T_PlannedOrders[EffectiveQty]&gt;0)*T_PlannedOrders[Order_Month])),"m月")&amp;"発注)")</f>
        <v/>
      </c>
      <c r="DC1071">
        <f>IF(SUMIFS(T_PlannedOrders[EffectiveQty],T_PlannedOrders[Part Name],$A1063,T_PlannedOrders[WeekIndex],104)=0,"",SUMIFS(T_PlannedOrders[EffectiveQty],T_PlannedOrders[Part Name],$A1063,T_PlannedOrders[WeekIndex],104)&amp;" ("&amp;TEXT(SUMPRODUCT(MAX((T_PlannedOrders[Part Name]=$A1063)*(T_PlannedOrders[WeekIndex]=104)*(T_PlannedOrders[EffectiveQty]&gt;0)*T_PlannedOrders[Order_Month])),"m月")&amp;"発注)")</f>
        <v/>
      </c>
    </row>
    <row r="1072">
      <c r="B1072" s="5" t="inlineStr">
        <is>
          <t>合計在庫(週末時点,kg)</t>
        </is>
      </c>
      <c r="D1072">
        <f>'Grid_Stock'!B47</f>
        <v/>
      </c>
      <c r="E1072">
        <f>'Grid_Stock'!C47</f>
        <v/>
      </c>
      <c r="F1072">
        <f>'Grid_Stock'!D47</f>
        <v/>
      </c>
      <c r="G1072">
        <f>'Grid_Stock'!E47</f>
        <v/>
      </c>
      <c r="H1072">
        <f>'Grid_Stock'!F47</f>
        <v/>
      </c>
      <c r="I1072">
        <f>'Grid_Stock'!G47</f>
        <v/>
      </c>
      <c r="J1072">
        <f>'Grid_Stock'!H47</f>
        <v/>
      </c>
      <c r="K1072">
        <f>'Grid_Stock'!I47</f>
        <v/>
      </c>
      <c r="L1072">
        <f>'Grid_Stock'!J47</f>
        <v/>
      </c>
      <c r="M1072">
        <f>'Grid_Stock'!K47</f>
        <v/>
      </c>
      <c r="N1072">
        <f>'Grid_Stock'!L47</f>
        <v/>
      </c>
      <c r="O1072">
        <f>'Grid_Stock'!M47</f>
        <v/>
      </c>
      <c r="P1072">
        <f>'Grid_Stock'!N47</f>
        <v/>
      </c>
      <c r="Q1072">
        <f>'Grid_Stock'!O47</f>
        <v/>
      </c>
      <c r="R1072">
        <f>'Grid_Stock'!P47</f>
        <v/>
      </c>
      <c r="S1072">
        <f>'Grid_Stock'!Q47</f>
        <v/>
      </c>
      <c r="T1072">
        <f>'Grid_Stock'!R47</f>
        <v/>
      </c>
      <c r="U1072">
        <f>'Grid_Stock'!S47</f>
        <v/>
      </c>
      <c r="V1072">
        <f>'Grid_Stock'!T47</f>
        <v/>
      </c>
      <c r="W1072">
        <f>'Grid_Stock'!U47</f>
        <v/>
      </c>
      <c r="X1072">
        <f>'Grid_Stock'!V47</f>
        <v/>
      </c>
      <c r="Y1072">
        <f>'Grid_Stock'!W47</f>
        <v/>
      </c>
      <c r="Z1072">
        <f>'Grid_Stock'!X47</f>
        <v/>
      </c>
      <c r="AA1072">
        <f>'Grid_Stock'!Y47</f>
        <v/>
      </c>
      <c r="AB1072">
        <f>'Grid_Stock'!Z47</f>
        <v/>
      </c>
      <c r="AC1072">
        <f>'Grid_Stock'!AA47</f>
        <v/>
      </c>
      <c r="AD1072">
        <f>'Grid_Stock'!AB47</f>
        <v/>
      </c>
      <c r="AE1072">
        <f>'Grid_Stock'!AC47</f>
        <v/>
      </c>
      <c r="AF1072">
        <f>'Grid_Stock'!AD47</f>
        <v/>
      </c>
      <c r="AG1072">
        <f>'Grid_Stock'!AE47</f>
        <v/>
      </c>
      <c r="AH1072">
        <f>'Grid_Stock'!AF47</f>
        <v/>
      </c>
      <c r="AI1072">
        <f>'Grid_Stock'!AG47</f>
        <v/>
      </c>
      <c r="AJ1072">
        <f>'Grid_Stock'!AH47</f>
        <v/>
      </c>
      <c r="AK1072">
        <f>'Grid_Stock'!AI47</f>
        <v/>
      </c>
      <c r="AL1072">
        <f>'Grid_Stock'!AJ47</f>
        <v/>
      </c>
      <c r="AM1072">
        <f>'Grid_Stock'!AK47</f>
        <v/>
      </c>
      <c r="AN1072">
        <f>'Grid_Stock'!AL47</f>
        <v/>
      </c>
      <c r="AO1072">
        <f>'Grid_Stock'!AM47</f>
        <v/>
      </c>
      <c r="AP1072">
        <f>'Grid_Stock'!AN47</f>
        <v/>
      </c>
      <c r="AQ1072">
        <f>'Grid_Stock'!AO47</f>
        <v/>
      </c>
      <c r="AR1072">
        <f>'Grid_Stock'!AP47</f>
        <v/>
      </c>
      <c r="AS1072">
        <f>'Grid_Stock'!AQ47</f>
        <v/>
      </c>
      <c r="AT1072">
        <f>'Grid_Stock'!AR47</f>
        <v/>
      </c>
      <c r="AU1072">
        <f>'Grid_Stock'!AS47</f>
        <v/>
      </c>
      <c r="AV1072">
        <f>'Grid_Stock'!AT47</f>
        <v/>
      </c>
      <c r="AW1072">
        <f>'Grid_Stock'!AU47</f>
        <v/>
      </c>
      <c r="AX1072">
        <f>'Grid_Stock'!AV47</f>
        <v/>
      </c>
      <c r="AY1072">
        <f>'Grid_Stock'!AW47</f>
        <v/>
      </c>
      <c r="AZ1072">
        <f>'Grid_Stock'!AX47</f>
        <v/>
      </c>
      <c r="BA1072">
        <f>'Grid_Stock'!AY47</f>
        <v/>
      </c>
      <c r="BB1072">
        <f>'Grid_Stock'!AZ47</f>
        <v/>
      </c>
      <c r="BC1072">
        <f>'Grid_Stock'!BA47</f>
        <v/>
      </c>
      <c r="BD1072">
        <f>'Grid_Stock'!BB47</f>
        <v/>
      </c>
      <c r="BE1072">
        <f>'Grid_Stock'!BC47</f>
        <v/>
      </c>
      <c r="BF1072">
        <f>'Grid_Stock'!BD47</f>
        <v/>
      </c>
      <c r="BG1072">
        <f>'Grid_Stock'!BE47</f>
        <v/>
      </c>
      <c r="BH1072">
        <f>'Grid_Stock'!BF47</f>
        <v/>
      </c>
      <c r="BI1072">
        <f>'Grid_Stock'!BG47</f>
        <v/>
      </c>
      <c r="BJ1072">
        <f>'Grid_Stock'!BH47</f>
        <v/>
      </c>
      <c r="BK1072">
        <f>'Grid_Stock'!BI47</f>
        <v/>
      </c>
      <c r="BL1072">
        <f>'Grid_Stock'!BJ47</f>
        <v/>
      </c>
      <c r="BM1072">
        <f>'Grid_Stock'!BK47</f>
        <v/>
      </c>
      <c r="BN1072">
        <f>'Grid_Stock'!BL47</f>
        <v/>
      </c>
      <c r="BO1072">
        <f>'Grid_Stock'!BM47</f>
        <v/>
      </c>
      <c r="BP1072">
        <f>'Grid_Stock'!BN47</f>
        <v/>
      </c>
      <c r="BQ1072">
        <f>'Grid_Stock'!BO47</f>
        <v/>
      </c>
      <c r="BR1072">
        <f>'Grid_Stock'!BP47</f>
        <v/>
      </c>
      <c r="BS1072">
        <f>'Grid_Stock'!BQ47</f>
        <v/>
      </c>
      <c r="BT1072">
        <f>'Grid_Stock'!BR47</f>
        <v/>
      </c>
      <c r="BU1072">
        <f>'Grid_Stock'!BS47</f>
        <v/>
      </c>
      <c r="BV1072">
        <f>'Grid_Stock'!BT47</f>
        <v/>
      </c>
      <c r="BW1072">
        <f>'Grid_Stock'!BU47</f>
        <v/>
      </c>
      <c r="BX1072">
        <f>'Grid_Stock'!BV47</f>
        <v/>
      </c>
      <c r="BY1072">
        <f>'Grid_Stock'!BW47</f>
        <v/>
      </c>
      <c r="BZ1072">
        <f>'Grid_Stock'!BX47</f>
        <v/>
      </c>
      <c r="CA1072">
        <f>'Grid_Stock'!BY47</f>
        <v/>
      </c>
      <c r="CB1072">
        <f>'Grid_Stock'!BZ47</f>
        <v/>
      </c>
      <c r="CC1072">
        <f>'Grid_Stock'!CA47</f>
        <v/>
      </c>
      <c r="CD1072">
        <f>'Grid_Stock'!CB47</f>
        <v/>
      </c>
      <c r="CE1072">
        <f>'Grid_Stock'!CC47</f>
        <v/>
      </c>
      <c r="CF1072">
        <f>'Grid_Stock'!CD47</f>
        <v/>
      </c>
      <c r="CG1072">
        <f>'Grid_Stock'!CE47</f>
        <v/>
      </c>
      <c r="CH1072">
        <f>'Grid_Stock'!CF47</f>
        <v/>
      </c>
      <c r="CI1072">
        <f>'Grid_Stock'!CG47</f>
        <v/>
      </c>
      <c r="CJ1072">
        <f>'Grid_Stock'!CH47</f>
        <v/>
      </c>
      <c r="CK1072">
        <f>'Grid_Stock'!CI47</f>
        <v/>
      </c>
      <c r="CL1072">
        <f>'Grid_Stock'!CJ47</f>
        <v/>
      </c>
      <c r="CM1072">
        <f>'Grid_Stock'!CK47</f>
        <v/>
      </c>
      <c r="CN1072">
        <f>'Grid_Stock'!CL47</f>
        <v/>
      </c>
      <c r="CO1072">
        <f>'Grid_Stock'!CM47</f>
        <v/>
      </c>
      <c r="CP1072">
        <f>'Grid_Stock'!CN47</f>
        <v/>
      </c>
      <c r="CQ1072">
        <f>'Grid_Stock'!CO47</f>
        <v/>
      </c>
      <c r="CR1072">
        <f>'Grid_Stock'!CP47</f>
        <v/>
      </c>
      <c r="CS1072">
        <f>'Grid_Stock'!CQ47</f>
        <v/>
      </c>
      <c r="CT1072">
        <f>'Grid_Stock'!CR47</f>
        <v/>
      </c>
      <c r="CU1072">
        <f>'Grid_Stock'!CS47</f>
        <v/>
      </c>
      <c r="CV1072">
        <f>'Grid_Stock'!CT47</f>
        <v/>
      </c>
      <c r="CW1072">
        <f>'Grid_Stock'!CU47</f>
        <v/>
      </c>
      <c r="CX1072">
        <f>'Grid_Stock'!CV47</f>
        <v/>
      </c>
      <c r="CY1072">
        <f>'Grid_Stock'!CW47</f>
        <v/>
      </c>
      <c r="CZ1072">
        <f>'Grid_Stock'!CX47</f>
        <v/>
      </c>
      <c r="DA1072">
        <f>'Grid_Stock'!CY47</f>
        <v/>
      </c>
      <c r="DB1072">
        <f>'Grid_Stock'!CZ47</f>
        <v/>
      </c>
      <c r="DC1072">
        <f>'Grid_Stock'!DA47</f>
        <v/>
      </c>
    </row>
    <row r="1073">
      <c r="B1073" s="23" t="inlineStr">
        <is>
          <t>（発注の目安はDashboardの基準在庫[下限/上限]と色分けを参照）</t>
        </is>
      </c>
    </row>
    <row r="1075">
      <c r="A1075" s="21" t="inlineStr">
        <is>
          <t>CHEM-1010</t>
        </is>
      </c>
      <c r="B1075" s="21" t="inlineStr">
        <is>
          <t>Sodium Carbonate Anhydrous</t>
        </is>
      </c>
      <c r="C1075" s="22" t="n"/>
      <c r="D1075" s="21" t="n"/>
      <c r="E1075" s="21" t="n"/>
      <c r="F1075" s="21" t="n"/>
      <c r="G1075" s="21" t="n"/>
      <c r="H1075" s="21" t="n"/>
      <c r="I1075" s="21" t="n"/>
      <c r="J1075" s="21" t="n"/>
      <c r="K1075" s="21" t="n"/>
      <c r="L1075" s="21" t="n"/>
      <c r="M1075" s="21" t="n"/>
      <c r="N1075" s="21" t="n"/>
      <c r="O1075" s="21" t="n"/>
      <c r="P1075" s="21" t="n"/>
      <c r="Q1075" s="21" t="n"/>
      <c r="R1075" s="21" t="n"/>
      <c r="S1075" s="21" t="n"/>
      <c r="T1075" s="21" t="n"/>
      <c r="U1075" s="21" t="n"/>
      <c r="V1075" s="21" t="n"/>
      <c r="W1075" s="21" t="n"/>
      <c r="X1075" s="21" t="n"/>
      <c r="Y1075" s="21" t="n"/>
      <c r="Z1075" s="21" t="n"/>
      <c r="AA1075" s="21" t="n"/>
      <c r="AB1075" s="21" t="n"/>
      <c r="AC1075" s="21" t="n"/>
      <c r="AD1075" s="21" t="n"/>
      <c r="AE1075" s="21" t="n"/>
      <c r="AF1075" s="21" t="n"/>
      <c r="AG1075" s="21" t="n"/>
      <c r="AH1075" s="21" t="n"/>
      <c r="AI1075" s="21" t="n"/>
      <c r="AJ1075" s="21" t="n"/>
      <c r="AK1075" s="21" t="n"/>
      <c r="AL1075" s="21" t="n"/>
      <c r="AM1075" s="21" t="n"/>
      <c r="AN1075" s="21" t="n"/>
      <c r="AO1075" s="21" t="n"/>
      <c r="AP1075" s="21" t="n"/>
      <c r="AQ1075" s="21" t="n"/>
      <c r="AR1075" s="21" t="n"/>
      <c r="AS1075" s="21" t="n"/>
      <c r="AT1075" s="21" t="n"/>
      <c r="AU1075" s="21" t="n"/>
      <c r="AV1075" s="21" t="n"/>
      <c r="AW1075" s="21" t="n"/>
      <c r="AX1075" s="21" t="n"/>
      <c r="AY1075" s="21" t="n"/>
      <c r="AZ1075" s="21" t="n"/>
      <c r="BA1075" s="21" t="n"/>
      <c r="BB1075" s="21" t="n"/>
      <c r="BC1075" s="21" t="n"/>
      <c r="BD1075" s="21" t="n"/>
      <c r="BE1075" s="21" t="n"/>
      <c r="BF1075" s="21" t="n"/>
      <c r="BG1075" s="21" t="n"/>
      <c r="BH1075" s="21" t="n"/>
      <c r="BI1075" s="21" t="n"/>
      <c r="BJ1075" s="21" t="n"/>
      <c r="BK1075" s="21" t="n"/>
      <c r="BL1075" s="21" t="n"/>
      <c r="BM1075" s="21" t="n"/>
      <c r="BN1075" s="21" t="n"/>
      <c r="BO1075" s="21" t="n"/>
      <c r="BP1075" s="21" t="n"/>
      <c r="BQ1075" s="21" t="n"/>
      <c r="BR1075" s="21" t="n"/>
      <c r="BS1075" s="21" t="n"/>
      <c r="BT1075" s="21" t="n"/>
      <c r="BU1075" s="21" t="n"/>
      <c r="BV1075" s="21" t="n"/>
      <c r="BW1075" s="21" t="n"/>
      <c r="BX1075" s="21" t="n"/>
      <c r="BY1075" s="21" t="n"/>
      <c r="BZ1075" s="21" t="n"/>
      <c r="CA1075" s="21" t="n"/>
      <c r="CB1075" s="21" t="n"/>
      <c r="CC1075" s="21" t="n"/>
      <c r="CD1075" s="21" t="n"/>
      <c r="CE1075" s="21" t="n"/>
      <c r="CF1075" s="21" t="n"/>
      <c r="CG1075" s="21" t="n"/>
      <c r="CH1075" s="21" t="n"/>
      <c r="CI1075" s="21" t="n"/>
      <c r="CJ1075" s="21" t="n"/>
      <c r="CK1075" s="21" t="n"/>
      <c r="CL1075" s="21" t="n"/>
      <c r="CM1075" s="21" t="n"/>
      <c r="CN1075" s="21" t="n"/>
      <c r="CO1075" s="21" t="n"/>
      <c r="CP1075" s="21" t="n"/>
      <c r="CQ1075" s="21" t="n"/>
      <c r="CR1075" s="21" t="n"/>
      <c r="CS1075" s="21" t="n"/>
      <c r="CT1075" s="21" t="n"/>
      <c r="CU1075" s="21" t="n"/>
      <c r="CV1075" s="21" t="n"/>
      <c r="CW1075" s="21" t="n"/>
      <c r="CX1075" s="21" t="n"/>
      <c r="CY1075" s="21" t="n"/>
      <c r="CZ1075" s="21" t="n"/>
      <c r="DA1075" s="21" t="n"/>
      <c r="DB1075" s="21" t="n"/>
      <c r="DC1075" s="21" t="n"/>
    </row>
    <row r="1076">
      <c r="B1076" t="inlineStr">
        <is>
          <t>SOL-20P</t>
        </is>
      </c>
      <c r="C1076" t="inlineStr">
        <is>
          <t>No. of batches</t>
        </is>
      </c>
      <c r="D1076">
        <f>IFERROR(INDEX(PP_Grid[#Data],$DD1076,2),0)</f>
        <v/>
      </c>
      <c r="E1076">
        <f>IFERROR(INDEX(PP_Grid[#Data],$DD1076,3),0)</f>
        <v/>
      </c>
      <c r="F1076">
        <f>IFERROR(INDEX(PP_Grid[#Data],$DD1076,4),0)</f>
        <v/>
      </c>
      <c r="G1076">
        <f>IFERROR(INDEX(PP_Grid[#Data],$DD1076,5),0)</f>
        <v/>
      </c>
      <c r="H1076">
        <f>IFERROR(INDEX(PP_Grid[#Data],$DD1076,6),0)</f>
        <v/>
      </c>
      <c r="I1076">
        <f>IFERROR(INDEX(PP_Grid[#Data],$DD1076,7),0)</f>
        <v/>
      </c>
      <c r="J1076">
        <f>IFERROR(INDEX(PP_Grid[#Data],$DD1076,8),0)</f>
        <v/>
      </c>
      <c r="K1076">
        <f>IFERROR(INDEX(PP_Grid[#Data],$DD1076,9),0)</f>
        <v/>
      </c>
      <c r="L1076">
        <f>IFERROR(INDEX(PP_Grid[#Data],$DD1076,10),0)</f>
        <v/>
      </c>
      <c r="M1076">
        <f>IFERROR(INDEX(PP_Grid[#Data],$DD1076,11),0)</f>
        <v/>
      </c>
      <c r="N1076">
        <f>IFERROR(INDEX(PP_Grid[#Data],$DD1076,12),0)</f>
        <v/>
      </c>
      <c r="O1076">
        <f>IFERROR(INDEX(PP_Grid[#Data],$DD1076,13),0)</f>
        <v/>
      </c>
      <c r="P1076">
        <f>IFERROR(INDEX(PP_Grid[#Data],$DD1076,14),0)</f>
        <v/>
      </c>
      <c r="Q1076">
        <f>IFERROR(INDEX(PP_Grid[#Data],$DD1076,15),0)</f>
        <v/>
      </c>
      <c r="R1076">
        <f>IFERROR(INDEX(PP_Grid[#Data],$DD1076,16),0)</f>
        <v/>
      </c>
      <c r="S1076">
        <f>IFERROR(INDEX(PP_Grid[#Data],$DD1076,17),0)</f>
        <v/>
      </c>
      <c r="T1076">
        <f>IFERROR(INDEX(PP_Grid[#Data],$DD1076,18),0)</f>
        <v/>
      </c>
      <c r="U1076">
        <f>IFERROR(INDEX(PP_Grid[#Data],$DD1076,19),0)</f>
        <v/>
      </c>
      <c r="V1076">
        <f>IFERROR(INDEX(PP_Grid[#Data],$DD1076,20),0)</f>
        <v/>
      </c>
      <c r="W1076">
        <f>IFERROR(INDEX(PP_Grid[#Data],$DD1076,21),0)</f>
        <v/>
      </c>
      <c r="X1076">
        <f>IFERROR(INDEX(PP_Grid[#Data],$DD1076,22),0)</f>
        <v/>
      </c>
      <c r="Y1076">
        <f>IFERROR(INDEX(PP_Grid[#Data],$DD1076,23),0)</f>
        <v/>
      </c>
      <c r="Z1076">
        <f>IFERROR(INDEX(PP_Grid[#Data],$DD1076,24),0)</f>
        <v/>
      </c>
      <c r="AA1076">
        <f>IFERROR(INDEX(PP_Grid[#Data],$DD1076,25),0)</f>
        <v/>
      </c>
      <c r="AB1076">
        <f>IFERROR(INDEX(PP_Grid[#Data],$DD1076,26),0)</f>
        <v/>
      </c>
      <c r="AC1076">
        <f>IFERROR(INDEX(PP_Grid[#Data],$DD1076,27),0)</f>
        <v/>
      </c>
      <c r="AD1076">
        <f>IFERROR(INDEX(PP_Grid[#Data],$DD1076,28),0)</f>
        <v/>
      </c>
      <c r="AE1076">
        <f>IFERROR(INDEX(PP_Grid[#Data],$DD1076,29),0)</f>
        <v/>
      </c>
      <c r="AF1076">
        <f>IFERROR(INDEX(PP_Grid[#Data],$DD1076,30),0)</f>
        <v/>
      </c>
      <c r="AG1076">
        <f>IFERROR(INDEX(PP_Grid[#Data],$DD1076,31),0)</f>
        <v/>
      </c>
      <c r="AH1076">
        <f>IFERROR(INDEX(PP_Grid[#Data],$DD1076,32),0)</f>
        <v/>
      </c>
      <c r="AI1076">
        <f>IFERROR(INDEX(PP_Grid[#Data],$DD1076,33),0)</f>
        <v/>
      </c>
      <c r="AJ1076">
        <f>IFERROR(INDEX(PP_Grid[#Data],$DD1076,34),0)</f>
        <v/>
      </c>
      <c r="AK1076">
        <f>IFERROR(INDEX(PP_Grid[#Data],$DD1076,35),0)</f>
        <v/>
      </c>
      <c r="AL1076">
        <f>IFERROR(INDEX(PP_Grid[#Data],$DD1076,36),0)</f>
        <v/>
      </c>
      <c r="AM1076">
        <f>IFERROR(INDEX(PP_Grid[#Data],$DD1076,37),0)</f>
        <v/>
      </c>
      <c r="AN1076">
        <f>IFERROR(INDEX(PP_Grid[#Data],$DD1076,38),0)</f>
        <v/>
      </c>
      <c r="AO1076">
        <f>IFERROR(INDEX(PP_Grid[#Data],$DD1076,39),0)</f>
        <v/>
      </c>
      <c r="AP1076">
        <f>IFERROR(INDEX(PP_Grid[#Data],$DD1076,40),0)</f>
        <v/>
      </c>
      <c r="AQ1076">
        <f>IFERROR(INDEX(PP_Grid[#Data],$DD1076,41),0)</f>
        <v/>
      </c>
      <c r="AR1076">
        <f>IFERROR(INDEX(PP_Grid[#Data],$DD1076,42),0)</f>
        <v/>
      </c>
      <c r="AS1076">
        <f>IFERROR(INDEX(PP_Grid[#Data],$DD1076,43),0)</f>
        <v/>
      </c>
      <c r="AT1076">
        <f>IFERROR(INDEX(PP_Grid[#Data],$DD1076,44),0)</f>
        <v/>
      </c>
      <c r="AU1076">
        <f>IFERROR(INDEX(PP_Grid[#Data],$DD1076,45),0)</f>
        <v/>
      </c>
      <c r="AV1076">
        <f>IFERROR(INDEX(PP_Grid[#Data],$DD1076,46),0)</f>
        <v/>
      </c>
      <c r="AW1076">
        <f>IFERROR(INDEX(PP_Grid[#Data],$DD1076,47),0)</f>
        <v/>
      </c>
      <c r="AX1076">
        <f>IFERROR(INDEX(PP_Grid[#Data],$DD1076,48),0)</f>
        <v/>
      </c>
      <c r="AY1076">
        <f>IFERROR(INDEX(PP_Grid[#Data],$DD1076,49),0)</f>
        <v/>
      </c>
      <c r="AZ1076">
        <f>IFERROR(INDEX(PP_Grid[#Data],$DD1076,50),0)</f>
        <v/>
      </c>
      <c r="BA1076">
        <f>IFERROR(INDEX(PP_Grid[#Data],$DD1076,51),0)</f>
        <v/>
      </c>
      <c r="BB1076">
        <f>IFERROR(INDEX(PP_Grid[#Data],$DD1076,52),0)</f>
        <v/>
      </c>
      <c r="BC1076">
        <f>IFERROR(INDEX(PP_Grid[#Data],$DD1076,53),0)</f>
        <v/>
      </c>
      <c r="BD1076">
        <f>IFERROR(INDEX(PP_Grid[#Data],$DD1076,54),0)</f>
        <v/>
      </c>
      <c r="BE1076">
        <f>IFERROR(INDEX(PP_Grid[#Data],$DD1076,55),0)</f>
        <v/>
      </c>
      <c r="BF1076">
        <f>IFERROR(INDEX(PP_Grid[#Data],$DD1076,56),0)</f>
        <v/>
      </c>
      <c r="BG1076">
        <f>IFERROR(INDEX(PP_Grid[#Data],$DD1076,57),0)</f>
        <v/>
      </c>
      <c r="BH1076">
        <f>IFERROR(INDEX(PP_Grid[#Data],$DD1076,58),0)</f>
        <v/>
      </c>
      <c r="BI1076">
        <f>IFERROR(INDEX(PP_Grid[#Data],$DD1076,59),0)</f>
        <v/>
      </c>
      <c r="BJ1076">
        <f>IFERROR(INDEX(PP_Grid[#Data],$DD1076,60),0)</f>
        <v/>
      </c>
      <c r="BK1076">
        <f>IFERROR(INDEX(PP_Grid[#Data],$DD1076,61),0)</f>
        <v/>
      </c>
      <c r="BL1076">
        <f>IFERROR(INDEX(PP_Grid[#Data],$DD1076,62),0)</f>
        <v/>
      </c>
      <c r="BM1076">
        <f>IFERROR(INDEX(PP_Grid[#Data],$DD1076,63),0)</f>
        <v/>
      </c>
      <c r="BN1076">
        <f>IFERROR(INDEX(PP_Grid[#Data],$DD1076,64),0)</f>
        <v/>
      </c>
      <c r="BO1076">
        <f>IFERROR(INDEX(PP_Grid[#Data],$DD1076,65),0)</f>
        <v/>
      </c>
      <c r="BP1076">
        <f>IFERROR(INDEX(PP_Grid[#Data],$DD1076,66),0)</f>
        <v/>
      </c>
      <c r="BQ1076">
        <f>IFERROR(INDEX(PP_Grid[#Data],$DD1076,67),0)</f>
        <v/>
      </c>
      <c r="BR1076">
        <f>IFERROR(INDEX(PP_Grid[#Data],$DD1076,68),0)</f>
        <v/>
      </c>
      <c r="BS1076">
        <f>IFERROR(INDEX(PP_Grid[#Data],$DD1076,69),0)</f>
        <v/>
      </c>
      <c r="BT1076">
        <f>IFERROR(INDEX(PP_Grid[#Data],$DD1076,70),0)</f>
        <v/>
      </c>
      <c r="BU1076">
        <f>IFERROR(INDEX(PP_Grid[#Data],$DD1076,71),0)</f>
        <v/>
      </c>
      <c r="BV1076">
        <f>IFERROR(INDEX(PP_Grid[#Data],$DD1076,72),0)</f>
        <v/>
      </c>
      <c r="BW1076">
        <f>IFERROR(INDEX(PP_Grid[#Data],$DD1076,73),0)</f>
        <v/>
      </c>
      <c r="BX1076">
        <f>IFERROR(INDEX(PP_Grid[#Data],$DD1076,74),0)</f>
        <v/>
      </c>
      <c r="BY1076">
        <f>IFERROR(INDEX(PP_Grid[#Data],$DD1076,75),0)</f>
        <v/>
      </c>
      <c r="BZ1076">
        <f>IFERROR(INDEX(PP_Grid[#Data],$DD1076,76),0)</f>
        <v/>
      </c>
      <c r="CA1076">
        <f>IFERROR(INDEX(PP_Grid[#Data],$DD1076,77),0)</f>
        <v/>
      </c>
      <c r="CB1076">
        <f>IFERROR(INDEX(PP_Grid[#Data],$DD1076,78),0)</f>
        <v/>
      </c>
      <c r="CC1076">
        <f>IFERROR(INDEX(PP_Grid[#Data],$DD1076,79),0)</f>
        <v/>
      </c>
      <c r="CD1076">
        <f>IFERROR(INDEX(PP_Grid[#Data],$DD1076,80),0)</f>
        <v/>
      </c>
      <c r="CE1076">
        <f>IFERROR(INDEX(PP_Grid[#Data],$DD1076,81),0)</f>
        <v/>
      </c>
      <c r="CF1076">
        <f>IFERROR(INDEX(PP_Grid[#Data],$DD1076,82),0)</f>
        <v/>
      </c>
      <c r="CG1076">
        <f>IFERROR(INDEX(PP_Grid[#Data],$DD1076,83),0)</f>
        <v/>
      </c>
      <c r="CH1076">
        <f>IFERROR(INDEX(PP_Grid[#Data],$DD1076,84),0)</f>
        <v/>
      </c>
      <c r="CI1076">
        <f>IFERROR(INDEX(PP_Grid[#Data],$DD1076,85),0)</f>
        <v/>
      </c>
      <c r="CJ1076">
        <f>IFERROR(INDEX(PP_Grid[#Data],$DD1076,86),0)</f>
        <v/>
      </c>
      <c r="CK1076">
        <f>IFERROR(INDEX(PP_Grid[#Data],$DD1076,87),0)</f>
        <v/>
      </c>
      <c r="CL1076">
        <f>IFERROR(INDEX(PP_Grid[#Data],$DD1076,88),0)</f>
        <v/>
      </c>
      <c r="CM1076">
        <f>IFERROR(INDEX(PP_Grid[#Data],$DD1076,89),0)</f>
        <v/>
      </c>
      <c r="CN1076">
        <f>IFERROR(INDEX(PP_Grid[#Data],$DD1076,90),0)</f>
        <v/>
      </c>
      <c r="CO1076">
        <f>IFERROR(INDEX(PP_Grid[#Data],$DD1076,91),0)</f>
        <v/>
      </c>
      <c r="CP1076">
        <f>IFERROR(INDEX(PP_Grid[#Data],$DD1076,92),0)</f>
        <v/>
      </c>
      <c r="CQ1076">
        <f>IFERROR(INDEX(PP_Grid[#Data],$DD1076,93),0)</f>
        <v/>
      </c>
      <c r="CR1076">
        <f>IFERROR(INDEX(PP_Grid[#Data],$DD1076,94),0)</f>
        <v/>
      </c>
      <c r="CS1076">
        <f>IFERROR(INDEX(PP_Grid[#Data],$DD1076,95),0)</f>
        <v/>
      </c>
      <c r="CT1076">
        <f>IFERROR(INDEX(PP_Grid[#Data],$DD1076,96),0)</f>
        <v/>
      </c>
      <c r="CU1076">
        <f>IFERROR(INDEX(PP_Grid[#Data],$DD1076,97),0)</f>
        <v/>
      </c>
      <c r="CV1076">
        <f>IFERROR(INDEX(PP_Grid[#Data],$DD1076,98),0)</f>
        <v/>
      </c>
      <c r="CW1076">
        <f>IFERROR(INDEX(PP_Grid[#Data],$DD1076,99),0)</f>
        <v/>
      </c>
      <c r="CX1076">
        <f>IFERROR(INDEX(PP_Grid[#Data],$DD1076,100),0)</f>
        <v/>
      </c>
      <c r="CY1076">
        <f>IFERROR(INDEX(PP_Grid[#Data],$DD1076,101),0)</f>
        <v/>
      </c>
      <c r="CZ1076">
        <f>IFERROR(INDEX(PP_Grid[#Data],$DD1076,102),0)</f>
        <v/>
      </c>
      <c r="DA1076">
        <f>IFERROR(INDEX(PP_Grid[#Data],$DD1076,103),0)</f>
        <v/>
      </c>
      <c r="DB1076">
        <f>IFERROR(INDEX(PP_Grid[#Data],$DD1076,104),0)</f>
        <v/>
      </c>
      <c r="DC1076">
        <f>IFERROR(INDEX(PP_Grid[#Data],$DD1076,105),0)</f>
        <v/>
      </c>
      <c r="DD1076" s="12">
        <f>IFERROR(MATCH($B1076,PP_Grid[Intermediate],0),99999)</f>
        <v/>
      </c>
    </row>
    <row r="1077">
      <c r="B1077" t="inlineStr">
        <is>
          <t>使用量(kg)</t>
        </is>
      </c>
      <c r="C1077">
        <f>SUMIFS(M_BOM[RM_Qty_Per_Batch],M_BOM[Intermediate],$B1076,M_BOM[Part Name],$A1075)</f>
        <v/>
      </c>
      <c r="D1077">
        <f>$C1077*D1076</f>
        <v/>
      </c>
      <c r="E1077">
        <f>$C1077*E1076</f>
        <v/>
      </c>
      <c r="F1077">
        <f>$C1077*F1076</f>
        <v/>
      </c>
      <c r="G1077">
        <f>$C1077*G1076</f>
        <v/>
      </c>
      <c r="H1077">
        <f>$C1077*H1076</f>
        <v/>
      </c>
      <c r="I1077">
        <f>$C1077*I1076</f>
        <v/>
      </c>
      <c r="J1077">
        <f>$C1077*J1076</f>
        <v/>
      </c>
      <c r="K1077">
        <f>$C1077*K1076</f>
        <v/>
      </c>
      <c r="L1077">
        <f>$C1077*L1076</f>
        <v/>
      </c>
      <c r="M1077">
        <f>$C1077*M1076</f>
        <v/>
      </c>
      <c r="N1077">
        <f>$C1077*N1076</f>
        <v/>
      </c>
      <c r="O1077">
        <f>$C1077*O1076</f>
        <v/>
      </c>
      <c r="P1077">
        <f>$C1077*P1076</f>
        <v/>
      </c>
      <c r="Q1077">
        <f>$C1077*Q1076</f>
        <v/>
      </c>
      <c r="R1077">
        <f>$C1077*R1076</f>
        <v/>
      </c>
      <c r="S1077">
        <f>$C1077*S1076</f>
        <v/>
      </c>
      <c r="T1077">
        <f>$C1077*T1076</f>
        <v/>
      </c>
      <c r="U1077">
        <f>$C1077*U1076</f>
        <v/>
      </c>
      <c r="V1077">
        <f>$C1077*V1076</f>
        <v/>
      </c>
      <c r="W1077">
        <f>$C1077*W1076</f>
        <v/>
      </c>
      <c r="X1077">
        <f>$C1077*X1076</f>
        <v/>
      </c>
      <c r="Y1077">
        <f>$C1077*Y1076</f>
        <v/>
      </c>
      <c r="Z1077">
        <f>$C1077*Z1076</f>
        <v/>
      </c>
      <c r="AA1077">
        <f>$C1077*AA1076</f>
        <v/>
      </c>
      <c r="AB1077">
        <f>$C1077*AB1076</f>
        <v/>
      </c>
      <c r="AC1077">
        <f>$C1077*AC1076</f>
        <v/>
      </c>
      <c r="AD1077">
        <f>$C1077*AD1076</f>
        <v/>
      </c>
      <c r="AE1077">
        <f>$C1077*AE1076</f>
        <v/>
      </c>
      <c r="AF1077">
        <f>$C1077*AF1076</f>
        <v/>
      </c>
      <c r="AG1077">
        <f>$C1077*AG1076</f>
        <v/>
      </c>
      <c r="AH1077">
        <f>$C1077*AH1076</f>
        <v/>
      </c>
      <c r="AI1077">
        <f>$C1077*AI1076</f>
        <v/>
      </c>
      <c r="AJ1077">
        <f>$C1077*AJ1076</f>
        <v/>
      </c>
      <c r="AK1077">
        <f>$C1077*AK1076</f>
        <v/>
      </c>
      <c r="AL1077">
        <f>$C1077*AL1076</f>
        <v/>
      </c>
      <c r="AM1077">
        <f>$C1077*AM1076</f>
        <v/>
      </c>
      <c r="AN1077">
        <f>$C1077*AN1076</f>
        <v/>
      </c>
      <c r="AO1077">
        <f>$C1077*AO1076</f>
        <v/>
      </c>
      <c r="AP1077">
        <f>$C1077*AP1076</f>
        <v/>
      </c>
      <c r="AQ1077">
        <f>$C1077*AQ1076</f>
        <v/>
      </c>
      <c r="AR1077">
        <f>$C1077*AR1076</f>
        <v/>
      </c>
      <c r="AS1077">
        <f>$C1077*AS1076</f>
        <v/>
      </c>
      <c r="AT1077">
        <f>$C1077*AT1076</f>
        <v/>
      </c>
      <c r="AU1077">
        <f>$C1077*AU1076</f>
        <v/>
      </c>
      <c r="AV1077">
        <f>$C1077*AV1076</f>
        <v/>
      </c>
      <c r="AW1077">
        <f>$C1077*AW1076</f>
        <v/>
      </c>
      <c r="AX1077">
        <f>$C1077*AX1076</f>
        <v/>
      </c>
      <c r="AY1077">
        <f>$C1077*AY1076</f>
        <v/>
      </c>
      <c r="AZ1077">
        <f>$C1077*AZ1076</f>
        <v/>
      </c>
      <c r="BA1077">
        <f>$C1077*BA1076</f>
        <v/>
      </c>
      <c r="BB1077">
        <f>$C1077*BB1076</f>
        <v/>
      </c>
      <c r="BC1077">
        <f>$C1077*BC1076</f>
        <v/>
      </c>
      <c r="BD1077">
        <f>$C1077*BD1076</f>
        <v/>
      </c>
      <c r="BE1077">
        <f>$C1077*BE1076</f>
        <v/>
      </c>
      <c r="BF1077">
        <f>$C1077*BF1076</f>
        <v/>
      </c>
      <c r="BG1077">
        <f>$C1077*BG1076</f>
        <v/>
      </c>
      <c r="BH1077">
        <f>$C1077*BH1076</f>
        <v/>
      </c>
      <c r="BI1077">
        <f>$C1077*BI1076</f>
        <v/>
      </c>
      <c r="BJ1077">
        <f>$C1077*BJ1076</f>
        <v/>
      </c>
      <c r="BK1077">
        <f>$C1077*BK1076</f>
        <v/>
      </c>
      <c r="BL1077">
        <f>$C1077*BL1076</f>
        <v/>
      </c>
      <c r="BM1077">
        <f>$C1077*BM1076</f>
        <v/>
      </c>
      <c r="BN1077">
        <f>$C1077*BN1076</f>
        <v/>
      </c>
      <c r="BO1077">
        <f>$C1077*BO1076</f>
        <v/>
      </c>
      <c r="BP1077">
        <f>$C1077*BP1076</f>
        <v/>
      </c>
      <c r="BQ1077">
        <f>$C1077*BQ1076</f>
        <v/>
      </c>
      <c r="BR1077">
        <f>$C1077*BR1076</f>
        <v/>
      </c>
      <c r="BS1077">
        <f>$C1077*BS1076</f>
        <v/>
      </c>
      <c r="BT1077">
        <f>$C1077*BT1076</f>
        <v/>
      </c>
      <c r="BU1077">
        <f>$C1077*BU1076</f>
        <v/>
      </c>
      <c r="BV1077">
        <f>$C1077*BV1076</f>
        <v/>
      </c>
      <c r="BW1077">
        <f>$C1077*BW1076</f>
        <v/>
      </c>
      <c r="BX1077">
        <f>$C1077*BX1076</f>
        <v/>
      </c>
      <c r="BY1077">
        <f>$C1077*BY1076</f>
        <v/>
      </c>
      <c r="BZ1077">
        <f>$C1077*BZ1076</f>
        <v/>
      </c>
      <c r="CA1077">
        <f>$C1077*CA1076</f>
        <v/>
      </c>
      <c r="CB1077">
        <f>$C1077*CB1076</f>
        <v/>
      </c>
      <c r="CC1077">
        <f>$C1077*CC1076</f>
        <v/>
      </c>
      <c r="CD1077">
        <f>$C1077*CD1076</f>
        <v/>
      </c>
      <c r="CE1077">
        <f>$C1077*CE1076</f>
        <v/>
      </c>
      <c r="CF1077">
        <f>$C1077*CF1076</f>
        <v/>
      </c>
      <c r="CG1077">
        <f>$C1077*CG1076</f>
        <v/>
      </c>
      <c r="CH1077">
        <f>$C1077*CH1076</f>
        <v/>
      </c>
      <c r="CI1077">
        <f>$C1077*CI1076</f>
        <v/>
      </c>
      <c r="CJ1077">
        <f>$C1077*CJ1076</f>
        <v/>
      </c>
      <c r="CK1077">
        <f>$C1077*CK1076</f>
        <v/>
      </c>
      <c r="CL1077">
        <f>$C1077*CL1076</f>
        <v/>
      </c>
      <c r="CM1077">
        <f>$C1077*CM1076</f>
        <v/>
      </c>
      <c r="CN1077">
        <f>$C1077*CN1076</f>
        <v/>
      </c>
      <c r="CO1077">
        <f>$C1077*CO1076</f>
        <v/>
      </c>
      <c r="CP1077">
        <f>$C1077*CP1076</f>
        <v/>
      </c>
      <c r="CQ1077">
        <f>$C1077*CQ1076</f>
        <v/>
      </c>
      <c r="CR1077">
        <f>$C1077*CR1076</f>
        <v/>
      </c>
      <c r="CS1077">
        <f>$C1077*CS1076</f>
        <v/>
      </c>
      <c r="CT1077">
        <f>$C1077*CT1076</f>
        <v/>
      </c>
      <c r="CU1077">
        <f>$C1077*CU1076</f>
        <v/>
      </c>
      <c r="CV1077">
        <f>$C1077*CV1076</f>
        <v/>
      </c>
      <c r="CW1077">
        <f>$C1077*CW1076</f>
        <v/>
      </c>
      <c r="CX1077">
        <f>$C1077*CX1076</f>
        <v/>
      </c>
      <c r="CY1077">
        <f>$C1077*CY1076</f>
        <v/>
      </c>
      <c r="CZ1077">
        <f>$C1077*CZ1076</f>
        <v/>
      </c>
      <c r="DA1077">
        <f>$C1077*DA1076</f>
        <v/>
      </c>
      <c r="DB1077">
        <f>$C1077*DB1076</f>
        <v/>
      </c>
      <c r="DC1077">
        <f>$C1077*DC1076</f>
        <v/>
      </c>
    </row>
    <row r="1078">
      <c r="B1078" t="inlineStr">
        <is>
          <t>TPP-699</t>
        </is>
      </c>
      <c r="C1078" t="inlineStr">
        <is>
          <t>No. of batches</t>
        </is>
      </c>
      <c r="D1078">
        <f>IFERROR(INDEX(PP_Grid[#Data],$DD1078,2),0)</f>
        <v/>
      </c>
      <c r="E1078">
        <f>IFERROR(INDEX(PP_Grid[#Data],$DD1078,3),0)</f>
        <v/>
      </c>
      <c r="F1078">
        <f>IFERROR(INDEX(PP_Grid[#Data],$DD1078,4),0)</f>
        <v/>
      </c>
      <c r="G1078">
        <f>IFERROR(INDEX(PP_Grid[#Data],$DD1078,5),0)</f>
        <v/>
      </c>
      <c r="H1078">
        <f>IFERROR(INDEX(PP_Grid[#Data],$DD1078,6),0)</f>
        <v/>
      </c>
      <c r="I1078">
        <f>IFERROR(INDEX(PP_Grid[#Data],$DD1078,7),0)</f>
        <v/>
      </c>
      <c r="J1078">
        <f>IFERROR(INDEX(PP_Grid[#Data],$DD1078,8),0)</f>
        <v/>
      </c>
      <c r="K1078">
        <f>IFERROR(INDEX(PP_Grid[#Data],$DD1078,9),0)</f>
        <v/>
      </c>
      <c r="L1078">
        <f>IFERROR(INDEX(PP_Grid[#Data],$DD1078,10),0)</f>
        <v/>
      </c>
      <c r="M1078">
        <f>IFERROR(INDEX(PP_Grid[#Data],$DD1078,11),0)</f>
        <v/>
      </c>
      <c r="N1078">
        <f>IFERROR(INDEX(PP_Grid[#Data],$DD1078,12),0)</f>
        <v/>
      </c>
      <c r="O1078">
        <f>IFERROR(INDEX(PP_Grid[#Data],$DD1078,13),0)</f>
        <v/>
      </c>
      <c r="P1078">
        <f>IFERROR(INDEX(PP_Grid[#Data],$DD1078,14),0)</f>
        <v/>
      </c>
      <c r="Q1078">
        <f>IFERROR(INDEX(PP_Grid[#Data],$DD1078,15),0)</f>
        <v/>
      </c>
      <c r="R1078">
        <f>IFERROR(INDEX(PP_Grid[#Data],$DD1078,16),0)</f>
        <v/>
      </c>
      <c r="S1078">
        <f>IFERROR(INDEX(PP_Grid[#Data],$DD1078,17),0)</f>
        <v/>
      </c>
      <c r="T1078">
        <f>IFERROR(INDEX(PP_Grid[#Data],$DD1078,18),0)</f>
        <v/>
      </c>
      <c r="U1078">
        <f>IFERROR(INDEX(PP_Grid[#Data],$DD1078,19),0)</f>
        <v/>
      </c>
      <c r="V1078">
        <f>IFERROR(INDEX(PP_Grid[#Data],$DD1078,20),0)</f>
        <v/>
      </c>
      <c r="W1078">
        <f>IFERROR(INDEX(PP_Grid[#Data],$DD1078,21),0)</f>
        <v/>
      </c>
      <c r="X1078">
        <f>IFERROR(INDEX(PP_Grid[#Data],$DD1078,22),0)</f>
        <v/>
      </c>
      <c r="Y1078">
        <f>IFERROR(INDEX(PP_Grid[#Data],$DD1078,23),0)</f>
        <v/>
      </c>
      <c r="Z1078">
        <f>IFERROR(INDEX(PP_Grid[#Data],$DD1078,24),0)</f>
        <v/>
      </c>
      <c r="AA1078">
        <f>IFERROR(INDEX(PP_Grid[#Data],$DD1078,25),0)</f>
        <v/>
      </c>
      <c r="AB1078">
        <f>IFERROR(INDEX(PP_Grid[#Data],$DD1078,26),0)</f>
        <v/>
      </c>
      <c r="AC1078">
        <f>IFERROR(INDEX(PP_Grid[#Data],$DD1078,27),0)</f>
        <v/>
      </c>
      <c r="AD1078">
        <f>IFERROR(INDEX(PP_Grid[#Data],$DD1078,28),0)</f>
        <v/>
      </c>
      <c r="AE1078">
        <f>IFERROR(INDEX(PP_Grid[#Data],$DD1078,29),0)</f>
        <v/>
      </c>
      <c r="AF1078">
        <f>IFERROR(INDEX(PP_Grid[#Data],$DD1078,30),0)</f>
        <v/>
      </c>
      <c r="AG1078">
        <f>IFERROR(INDEX(PP_Grid[#Data],$DD1078,31),0)</f>
        <v/>
      </c>
      <c r="AH1078">
        <f>IFERROR(INDEX(PP_Grid[#Data],$DD1078,32),0)</f>
        <v/>
      </c>
      <c r="AI1078">
        <f>IFERROR(INDEX(PP_Grid[#Data],$DD1078,33),0)</f>
        <v/>
      </c>
      <c r="AJ1078">
        <f>IFERROR(INDEX(PP_Grid[#Data],$DD1078,34),0)</f>
        <v/>
      </c>
      <c r="AK1078">
        <f>IFERROR(INDEX(PP_Grid[#Data],$DD1078,35),0)</f>
        <v/>
      </c>
      <c r="AL1078">
        <f>IFERROR(INDEX(PP_Grid[#Data],$DD1078,36),0)</f>
        <v/>
      </c>
      <c r="AM1078">
        <f>IFERROR(INDEX(PP_Grid[#Data],$DD1078,37),0)</f>
        <v/>
      </c>
      <c r="AN1078">
        <f>IFERROR(INDEX(PP_Grid[#Data],$DD1078,38),0)</f>
        <v/>
      </c>
      <c r="AO1078">
        <f>IFERROR(INDEX(PP_Grid[#Data],$DD1078,39),0)</f>
        <v/>
      </c>
      <c r="AP1078">
        <f>IFERROR(INDEX(PP_Grid[#Data],$DD1078,40),0)</f>
        <v/>
      </c>
      <c r="AQ1078">
        <f>IFERROR(INDEX(PP_Grid[#Data],$DD1078,41),0)</f>
        <v/>
      </c>
      <c r="AR1078">
        <f>IFERROR(INDEX(PP_Grid[#Data],$DD1078,42),0)</f>
        <v/>
      </c>
      <c r="AS1078">
        <f>IFERROR(INDEX(PP_Grid[#Data],$DD1078,43),0)</f>
        <v/>
      </c>
      <c r="AT1078">
        <f>IFERROR(INDEX(PP_Grid[#Data],$DD1078,44),0)</f>
        <v/>
      </c>
      <c r="AU1078">
        <f>IFERROR(INDEX(PP_Grid[#Data],$DD1078,45),0)</f>
        <v/>
      </c>
      <c r="AV1078">
        <f>IFERROR(INDEX(PP_Grid[#Data],$DD1078,46),0)</f>
        <v/>
      </c>
      <c r="AW1078">
        <f>IFERROR(INDEX(PP_Grid[#Data],$DD1078,47),0)</f>
        <v/>
      </c>
      <c r="AX1078">
        <f>IFERROR(INDEX(PP_Grid[#Data],$DD1078,48),0)</f>
        <v/>
      </c>
      <c r="AY1078">
        <f>IFERROR(INDEX(PP_Grid[#Data],$DD1078,49),0)</f>
        <v/>
      </c>
      <c r="AZ1078">
        <f>IFERROR(INDEX(PP_Grid[#Data],$DD1078,50),0)</f>
        <v/>
      </c>
      <c r="BA1078">
        <f>IFERROR(INDEX(PP_Grid[#Data],$DD1078,51),0)</f>
        <v/>
      </c>
      <c r="BB1078">
        <f>IFERROR(INDEX(PP_Grid[#Data],$DD1078,52),0)</f>
        <v/>
      </c>
      <c r="BC1078">
        <f>IFERROR(INDEX(PP_Grid[#Data],$DD1078,53),0)</f>
        <v/>
      </c>
      <c r="BD1078">
        <f>IFERROR(INDEX(PP_Grid[#Data],$DD1078,54),0)</f>
        <v/>
      </c>
      <c r="BE1078">
        <f>IFERROR(INDEX(PP_Grid[#Data],$DD1078,55),0)</f>
        <v/>
      </c>
      <c r="BF1078">
        <f>IFERROR(INDEX(PP_Grid[#Data],$DD1078,56),0)</f>
        <v/>
      </c>
      <c r="BG1078">
        <f>IFERROR(INDEX(PP_Grid[#Data],$DD1078,57),0)</f>
        <v/>
      </c>
      <c r="BH1078">
        <f>IFERROR(INDEX(PP_Grid[#Data],$DD1078,58),0)</f>
        <v/>
      </c>
      <c r="BI1078">
        <f>IFERROR(INDEX(PP_Grid[#Data],$DD1078,59),0)</f>
        <v/>
      </c>
      <c r="BJ1078">
        <f>IFERROR(INDEX(PP_Grid[#Data],$DD1078,60),0)</f>
        <v/>
      </c>
      <c r="BK1078">
        <f>IFERROR(INDEX(PP_Grid[#Data],$DD1078,61),0)</f>
        <v/>
      </c>
      <c r="BL1078">
        <f>IFERROR(INDEX(PP_Grid[#Data],$DD1078,62),0)</f>
        <v/>
      </c>
      <c r="BM1078">
        <f>IFERROR(INDEX(PP_Grid[#Data],$DD1078,63),0)</f>
        <v/>
      </c>
      <c r="BN1078">
        <f>IFERROR(INDEX(PP_Grid[#Data],$DD1078,64),0)</f>
        <v/>
      </c>
      <c r="BO1078">
        <f>IFERROR(INDEX(PP_Grid[#Data],$DD1078,65),0)</f>
        <v/>
      </c>
      <c r="BP1078">
        <f>IFERROR(INDEX(PP_Grid[#Data],$DD1078,66),0)</f>
        <v/>
      </c>
      <c r="BQ1078">
        <f>IFERROR(INDEX(PP_Grid[#Data],$DD1078,67),0)</f>
        <v/>
      </c>
      <c r="BR1078">
        <f>IFERROR(INDEX(PP_Grid[#Data],$DD1078,68),0)</f>
        <v/>
      </c>
      <c r="BS1078">
        <f>IFERROR(INDEX(PP_Grid[#Data],$DD1078,69),0)</f>
        <v/>
      </c>
      <c r="BT1078">
        <f>IFERROR(INDEX(PP_Grid[#Data],$DD1078,70),0)</f>
        <v/>
      </c>
      <c r="BU1078">
        <f>IFERROR(INDEX(PP_Grid[#Data],$DD1078,71),0)</f>
        <v/>
      </c>
      <c r="BV1078">
        <f>IFERROR(INDEX(PP_Grid[#Data],$DD1078,72),0)</f>
        <v/>
      </c>
      <c r="BW1078">
        <f>IFERROR(INDEX(PP_Grid[#Data],$DD1078,73),0)</f>
        <v/>
      </c>
      <c r="BX1078">
        <f>IFERROR(INDEX(PP_Grid[#Data],$DD1078,74),0)</f>
        <v/>
      </c>
      <c r="BY1078">
        <f>IFERROR(INDEX(PP_Grid[#Data],$DD1078,75),0)</f>
        <v/>
      </c>
      <c r="BZ1078">
        <f>IFERROR(INDEX(PP_Grid[#Data],$DD1078,76),0)</f>
        <v/>
      </c>
      <c r="CA1078">
        <f>IFERROR(INDEX(PP_Grid[#Data],$DD1078,77),0)</f>
        <v/>
      </c>
      <c r="CB1078">
        <f>IFERROR(INDEX(PP_Grid[#Data],$DD1078,78),0)</f>
        <v/>
      </c>
      <c r="CC1078">
        <f>IFERROR(INDEX(PP_Grid[#Data],$DD1078,79),0)</f>
        <v/>
      </c>
      <c r="CD1078">
        <f>IFERROR(INDEX(PP_Grid[#Data],$DD1078,80),0)</f>
        <v/>
      </c>
      <c r="CE1078">
        <f>IFERROR(INDEX(PP_Grid[#Data],$DD1078,81),0)</f>
        <v/>
      </c>
      <c r="CF1078">
        <f>IFERROR(INDEX(PP_Grid[#Data],$DD1078,82),0)</f>
        <v/>
      </c>
      <c r="CG1078">
        <f>IFERROR(INDEX(PP_Grid[#Data],$DD1078,83),0)</f>
        <v/>
      </c>
      <c r="CH1078">
        <f>IFERROR(INDEX(PP_Grid[#Data],$DD1078,84),0)</f>
        <v/>
      </c>
      <c r="CI1078">
        <f>IFERROR(INDEX(PP_Grid[#Data],$DD1078,85),0)</f>
        <v/>
      </c>
      <c r="CJ1078">
        <f>IFERROR(INDEX(PP_Grid[#Data],$DD1078,86),0)</f>
        <v/>
      </c>
      <c r="CK1078">
        <f>IFERROR(INDEX(PP_Grid[#Data],$DD1078,87),0)</f>
        <v/>
      </c>
      <c r="CL1078">
        <f>IFERROR(INDEX(PP_Grid[#Data],$DD1078,88),0)</f>
        <v/>
      </c>
      <c r="CM1078">
        <f>IFERROR(INDEX(PP_Grid[#Data],$DD1078,89),0)</f>
        <v/>
      </c>
      <c r="CN1078">
        <f>IFERROR(INDEX(PP_Grid[#Data],$DD1078,90),0)</f>
        <v/>
      </c>
      <c r="CO1078">
        <f>IFERROR(INDEX(PP_Grid[#Data],$DD1078,91),0)</f>
        <v/>
      </c>
      <c r="CP1078">
        <f>IFERROR(INDEX(PP_Grid[#Data],$DD1078,92),0)</f>
        <v/>
      </c>
      <c r="CQ1078">
        <f>IFERROR(INDEX(PP_Grid[#Data],$DD1078,93),0)</f>
        <v/>
      </c>
      <c r="CR1078">
        <f>IFERROR(INDEX(PP_Grid[#Data],$DD1078,94),0)</f>
        <v/>
      </c>
      <c r="CS1078">
        <f>IFERROR(INDEX(PP_Grid[#Data],$DD1078,95),0)</f>
        <v/>
      </c>
      <c r="CT1078">
        <f>IFERROR(INDEX(PP_Grid[#Data],$DD1078,96),0)</f>
        <v/>
      </c>
      <c r="CU1078">
        <f>IFERROR(INDEX(PP_Grid[#Data],$DD1078,97),0)</f>
        <v/>
      </c>
      <c r="CV1078">
        <f>IFERROR(INDEX(PP_Grid[#Data],$DD1078,98),0)</f>
        <v/>
      </c>
      <c r="CW1078">
        <f>IFERROR(INDEX(PP_Grid[#Data],$DD1078,99),0)</f>
        <v/>
      </c>
      <c r="CX1078">
        <f>IFERROR(INDEX(PP_Grid[#Data],$DD1078,100),0)</f>
        <v/>
      </c>
      <c r="CY1078">
        <f>IFERROR(INDEX(PP_Grid[#Data],$DD1078,101),0)</f>
        <v/>
      </c>
      <c r="CZ1078">
        <f>IFERROR(INDEX(PP_Grid[#Data],$DD1078,102),0)</f>
        <v/>
      </c>
      <c r="DA1078">
        <f>IFERROR(INDEX(PP_Grid[#Data],$DD1078,103),0)</f>
        <v/>
      </c>
      <c r="DB1078">
        <f>IFERROR(INDEX(PP_Grid[#Data],$DD1078,104),0)</f>
        <v/>
      </c>
      <c r="DC1078">
        <f>IFERROR(INDEX(PP_Grid[#Data],$DD1078,105),0)</f>
        <v/>
      </c>
      <c r="DD1078" s="12">
        <f>IFERROR(MATCH($B1078,PP_Grid[Intermediate],0),99999)</f>
        <v/>
      </c>
    </row>
    <row r="1079">
      <c r="B1079" t="inlineStr">
        <is>
          <t>使用量(kg)</t>
        </is>
      </c>
      <c r="C1079">
        <f>SUMIFS(M_BOM[RM_Qty_Per_Batch],M_BOM[Intermediate],$B1078,M_BOM[Part Name],$A1075)</f>
        <v/>
      </c>
      <c r="D1079">
        <f>$C1079*D1078</f>
        <v/>
      </c>
      <c r="E1079">
        <f>$C1079*E1078</f>
        <v/>
      </c>
      <c r="F1079">
        <f>$C1079*F1078</f>
        <v/>
      </c>
      <c r="G1079">
        <f>$C1079*G1078</f>
        <v/>
      </c>
      <c r="H1079">
        <f>$C1079*H1078</f>
        <v/>
      </c>
      <c r="I1079">
        <f>$C1079*I1078</f>
        <v/>
      </c>
      <c r="J1079">
        <f>$C1079*J1078</f>
        <v/>
      </c>
      <c r="K1079">
        <f>$C1079*K1078</f>
        <v/>
      </c>
      <c r="L1079">
        <f>$C1079*L1078</f>
        <v/>
      </c>
      <c r="M1079">
        <f>$C1079*M1078</f>
        <v/>
      </c>
      <c r="N1079">
        <f>$C1079*N1078</f>
        <v/>
      </c>
      <c r="O1079">
        <f>$C1079*O1078</f>
        <v/>
      </c>
      <c r="P1079">
        <f>$C1079*P1078</f>
        <v/>
      </c>
      <c r="Q1079">
        <f>$C1079*Q1078</f>
        <v/>
      </c>
      <c r="R1079">
        <f>$C1079*R1078</f>
        <v/>
      </c>
      <c r="S1079">
        <f>$C1079*S1078</f>
        <v/>
      </c>
      <c r="T1079">
        <f>$C1079*T1078</f>
        <v/>
      </c>
      <c r="U1079">
        <f>$C1079*U1078</f>
        <v/>
      </c>
      <c r="V1079">
        <f>$C1079*V1078</f>
        <v/>
      </c>
      <c r="W1079">
        <f>$C1079*W1078</f>
        <v/>
      </c>
      <c r="X1079">
        <f>$C1079*X1078</f>
        <v/>
      </c>
      <c r="Y1079">
        <f>$C1079*Y1078</f>
        <v/>
      </c>
      <c r="Z1079">
        <f>$C1079*Z1078</f>
        <v/>
      </c>
      <c r="AA1079">
        <f>$C1079*AA1078</f>
        <v/>
      </c>
      <c r="AB1079">
        <f>$C1079*AB1078</f>
        <v/>
      </c>
      <c r="AC1079">
        <f>$C1079*AC1078</f>
        <v/>
      </c>
      <c r="AD1079">
        <f>$C1079*AD1078</f>
        <v/>
      </c>
      <c r="AE1079">
        <f>$C1079*AE1078</f>
        <v/>
      </c>
      <c r="AF1079">
        <f>$C1079*AF1078</f>
        <v/>
      </c>
      <c r="AG1079">
        <f>$C1079*AG1078</f>
        <v/>
      </c>
      <c r="AH1079">
        <f>$C1079*AH1078</f>
        <v/>
      </c>
      <c r="AI1079">
        <f>$C1079*AI1078</f>
        <v/>
      </c>
      <c r="AJ1079">
        <f>$C1079*AJ1078</f>
        <v/>
      </c>
      <c r="AK1079">
        <f>$C1079*AK1078</f>
        <v/>
      </c>
      <c r="AL1079">
        <f>$C1079*AL1078</f>
        <v/>
      </c>
      <c r="AM1079">
        <f>$C1079*AM1078</f>
        <v/>
      </c>
      <c r="AN1079">
        <f>$C1079*AN1078</f>
        <v/>
      </c>
      <c r="AO1079">
        <f>$C1079*AO1078</f>
        <v/>
      </c>
      <c r="AP1079">
        <f>$C1079*AP1078</f>
        <v/>
      </c>
      <c r="AQ1079">
        <f>$C1079*AQ1078</f>
        <v/>
      </c>
      <c r="AR1079">
        <f>$C1079*AR1078</f>
        <v/>
      </c>
      <c r="AS1079">
        <f>$C1079*AS1078</f>
        <v/>
      </c>
      <c r="AT1079">
        <f>$C1079*AT1078</f>
        <v/>
      </c>
      <c r="AU1079">
        <f>$C1079*AU1078</f>
        <v/>
      </c>
      <c r="AV1079">
        <f>$C1079*AV1078</f>
        <v/>
      </c>
      <c r="AW1079">
        <f>$C1079*AW1078</f>
        <v/>
      </c>
      <c r="AX1079">
        <f>$C1079*AX1078</f>
        <v/>
      </c>
      <c r="AY1079">
        <f>$C1079*AY1078</f>
        <v/>
      </c>
      <c r="AZ1079">
        <f>$C1079*AZ1078</f>
        <v/>
      </c>
      <c r="BA1079">
        <f>$C1079*BA1078</f>
        <v/>
      </c>
      <c r="BB1079">
        <f>$C1079*BB1078</f>
        <v/>
      </c>
      <c r="BC1079">
        <f>$C1079*BC1078</f>
        <v/>
      </c>
      <c r="BD1079">
        <f>$C1079*BD1078</f>
        <v/>
      </c>
      <c r="BE1079">
        <f>$C1079*BE1078</f>
        <v/>
      </c>
      <c r="BF1079">
        <f>$C1079*BF1078</f>
        <v/>
      </c>
      <c r="BG1079">
        <f>$C1079*BG1078</f>
        <v/>
      </c>
      <c r="BH1079">
        <f>$C1079*BH1078</f>
        <v/>
      </c>
      <c r="BI1079">
        <f>$C1079*BI1078</f>
        <v/>
      </c>
      <c r="BJ1079">
        <f>$C1079*BJ1078</f>
        <v/>
      </c>
      <c r="BK1079">
        <f>$C1079*BK1078</f>
        <v/>
      </c>
      <c r="BL1079">
        <f>$C1079*BL1078</f>
        <v/>
      </c>
      <c r="BM1079">
        <f>$C1079*BM1078</f>
        <v/>
      </c>
      <c r="BN1079">
        <f>$C1079*BN1078</f>
        <v/>
      </c>
      <c r="BO1079">
        <f>$C1079*BO1078</f>
        <v/>
      </c>
      <c r="BP1079">
        <f>$C1079*BP1078</f>
        <v/>
      </c>
      <c r="BQ1079">
        <f>$C1079*BQ1078</f>
        <v/>
      </c>
      <c r="BR1079">
        <f>$C1079*BR1078</f>
        <v/>
      </c>
      <c r="BS1079">
        <f>$C1079*BS1078</f>
        <v/>
      </c>
      <c r="BT1079">
        <f>$C1079*BT1078</f>
        <v/>
      </c>
      <c r="BU1079">
        <f>$C1079*BU1078</f>
        <v/>
      </c>
      <c r="BV1079">
        <f>$C1079*BV1078</f>
        <v/>
      </c>
      <c r="BW1079">
        <f>$C1079*BW1078</f>
        <v/>
      </c>
      <c r="BX1079">
        <f>$C1079*BX1078</f>
        <v/>
      </c>
      <c r="BY1079">
        <f>$C1079*BY1078</f>
        <v/>
      </c>
      <c r="BZ1079">
        <f>$C1079*BZ1078</f>
        <v/>
      </c>
      <c r="CA1079">
        <f>$C1079*CA1078</f>
        <v/>
      </c>
      <c r="CB1079">
        <f>$C1079*CB1078</f>
        <v/>
      </c>
      <c r="CC1079">
        <f>$C1079*CC1078</f>
        <v/>
      </c>
      <c r="CD1079">
        <f>$C1079*CD1078</f>
        <v/>
      </c>
      <c r="CE1079">
        <f>$C1079*CE1078</f>
        <v/>
      </c>
      <c r="CF1079">
        <f>$C1079*CF1078</f>
        <v/>
      </c>
      <c r="CG1079">
        <f>$C1079*CG1078</f>
        <v/>
      </c>
      <c r="CH1079">
        <f>$C1079*CH1078</f>
        <v/>
      </c>
      <c r="CI1079">
        <f>$C1079*CI1078</f>
        <v/>
      </c>
      <c r="CJ1079">
        <f>$C1079*CJ1078</f>
        <v/>
      </c>
      <c r="CK1079">
        <f>$C1079*CK1078</f>
        <v/>
      </c>
      <c r="CL1079">
        <f>$C1079*CL1078</f>
        <v/>
      </c>
      <c r="CM1079">
        <f>$C1079*CM1078</f>
        <v/>
      </c>
      <c r="CN1079">
        <f>$C1079*CN1078</f>
        <v/>
      </c>
      <c r="CO1079">
        <f>$C1079*CO1078</f>
        <v/>
      </c>
      <c r="CP1079">
        <f>$C1079*CP1078</f>
        <v/>
      </c>
      <c r="CQ1079">
        <f>$C1079*CQ1078</f>
        <v/>
      </c>
      <c r="CR1079">
        <f>$C1079*CR1078</f>
        <v/>
      </c>
      <c r="CS1079">
        <f>$C1079*CS1078</f>
        <v/>
      </c>
      <c r="CT1079">
        <f>$C1079*CT1078</f>
        <v/>
      </c>
      <c r="CU1079">
        <f>$C1079*CU1078</f>
        <v/>
      </c>
      <c r="CV1079">
        <f>$C1079*CV1078</f>
        <v/>
      </c>
      <c r="CW1079">
        <f>$C1079*CW1078</f>
        <v/>
      </c>
      <c r="CX1079">
        <f>$C1079*CX1078</f>
        <v/>
      </c>
      <c r="CY1079">
        <f>$C1079*CY1078</f>
        <v/>
      </c>
      <c r="CZ1079">
        <f>$C1079*CZ1078</f>
        <v/>
      </c>
      <c r="DA1079">
        <f>$C1079*DA1078</f>
        <v/>
      </c>
      <c r="DB1079">
        <f>$C1079*DB1078</f>
        <v/>
      </c>
      <c r="DC1079">
        <f>$C1079*DC1078</f>
        <v/>
      </c>
    </row>
    <row r="1080">
      <c r="B1080" t="inlineStr">
        <is>
          <t>TPP-700</t>
        </is>
      </c>
      <c r="C1080" t="inlineStr">
        <is>
          <t>No. of batches</t>
        </is>
      </c>
      <c r="D1080">
        <f>IFERROR(INDEX(PP_Grid[#Data],$DD1080,2),0)</f>
        <v/>
      </c>
      <c r="E1080">
        <f>IFERROR(INDEX(PP_Grid[#Data],$DD1080,3),0)</f>
        <v/>
      </c>
      <c r="F1080">
        <f>IFERROR(INDEX(PP_Grid[#Data],$DD1080,4),0)</f>
        <v/>
      </c>
      <c r="G1080">
        <f>IFERROR(INDEX(PP_Grid[#Data],$DD1080,5),0)</f>
        <v/>
      </c>
      <c r="H1080">
        <f>IFERROR(INDEX(PP_Grid[#Data],$DD1080,6),0)</f>
        <v/>
      </c>
      <c r="I1080">
        <f>IFERROR(INDEX(PP_Grid[#Data],$DD1080,7),0)</f>
        <v/>
      </c>
      <c r="J1080">
        <f>IFERROR(INDEX(PP_Grid[#Data],$DD1080,8),0)</f>
        <v/>
      </c>
      <c r="K1080">
        <f>IFERROR(INDEX(PP_Grid[#Data],$DD1080,9),0)</f>
        <v/>
      </c>
      <c r="L1080">
        <f>IFERROR(INDEX(PP_Grid[#Data],$DD1080,10),0)</f>
        <v/>
      </c>
      <c r="M1080">
        <f>IFERROR(INDEX(PP_Grid[#Data],$DD1080,11),0)</f>
        <v/>
      </c>
      <c r="N1080">
        <f>IFERROR(INDEX(PP_Grid[#Data],$DD1080,12),0)</f>
        <v/>
      </c>
      <c r="O1080">
        <f>IFERROR(INDEX(PP_Grid[#Data],$DD1080,13),0)</f>
        <v/>
      </c>
      <c r="P1080">
        <f>IFERROR(INDEX(PP_Grid[#Data],$DD1080,14),0)</f>
        <v/>
      </c>
      <c r="Q1080">
        <f>IFERROR(INDEX(PP_Grid[#Data],$DD1080,15),0)</f>
        <v/>
      </c>
      <c r="R1080">
        <f>IFERROR(INDEX(PP_Grid[#Data],$DD1080,16),0)</f>
        <v/>
      </c>
      <c r="S1080">
        <f>IFERROR(INDEX(PP_Grid[#Data],$DD1080,17),0)</f>
        <v/>
      </c>
      <c r="T1080">
        <f>IFERROR(INDEX(PP_Grid[#Data],$DD1080,18),0)</f>
        <v/>
      </c>
      <c r="U1080">
        <f>IFERROR(INDEX(PP_Grid[#Data],$DD1080,19),0)</f>
        <v/>
      </c>
      <c r="V1080">
        <f>IFERROR(INDEX(PP_Grid[#Data],$DD1080,20),0)</f>
        <v/>
      </c>
      <c r="W1080">
        <f>IFERROR(INDEX(PP_Grid[#Data],$DD1080,21),0)</f>
        <v/>
      </c>
      <c r="X1080">
        <f>IFERROR(INDEX(PP_Grid[#Data],$DD1080,22),0)</f>
        <v/>
      </c>
      <c r="Y1080">
        <f>IFERROR(INDEX(PP_Grid[#Data],$DD1080,23),0)</f>
        <v/>
      </c>
      <c r="Z1080">
        <f>IFERROR(INDEX(PP_Grid[#Data],$DD1080,24),0)</f>
        <v/>
      </c>
      <c r="AA1080">
        <f>IFERROR(INDEX(PP_Grid[#Data],$DD1080,25),0)</f>
        <v/>
      </c>
      <c r="AB1080">
        <f>IFERROR(INDEX(PP_Grid[#Data],$DD1080,26),0)</f>
        <v/>
      </c>
      <c r="AC1080">
        <f>IFERROR(INDEX(PP_Grid[#Data],$DD1080,27),0)</f>
        <v/>
      </c>
      <c r="AD1080">
        <f>IFERROR(INDEX(PP_Grid[#Data],$DD1080,28),0)</f>
        <v/>
      </c>
      <c r="AE1080">
        <f>IFERROR(INDEX(PP_Grid[#Data],$DD1080,29),0)</f>
        <v/>
      </c>
      <c r="AF1080">
        <f>IFERROR(INDEX(PP_Grid[#Data],$DD1080,30),0)</f>
        <v/>
      </c>
      <c r="AG1080">
        <f>IFERROR(INDEX(PP_Grid[#Data],$DD1080,31),0)</f>
        <v/>
      </c>
      <c r="AH1080">
        <f>IFERROR(INDEX(PP_Grid[#Data],$DD1080,32),0)</f>
        <v/>
      </c>
      <c r="AI1080">
        <f>IFERROR(INDEX(PP_Grid[#Data],$DD1080,33),0)</f>
        <v/>
      </c>
      <c r="AJ1080">
        <f>IFERROR(INDEX(PP_Grid[#Data],$DD1080,34),0)</f>
        <v/>
      </c>
      <c r="AK1080">
        <f>IFERROR(INDEX(PP_Grid[#Data],$DD1080,35),0)</f>
        <v/>
      </c>
      <c r="AL1080">
        <f>IFERROR(INDEX(PP_Grid[#Data],$DD1080,36),0)</f>
        <v/>
      </c>
      <c r="AM1080">
        <f>IFERROR(INDEX(PP_Grid[#Data],$DD1080,37),0)</f>
        <v/>
      </c>
      <c r="AN1080">
        <f>IFERROR(INDEX(PP_Grid[#Data],$DD1080,38),0)</f>
        <v/>
      </c>
      <c r="AO1080">
        <f>IFERROR(INDEX(PP_Grid[#Data],$DD1080,39),0)</f>
        <v/>
      </c>
      <c r="AP1080">
        <f>IFERROR(INDEX(PP_Grid[#Data],$DD1080,40),0)</f>
        <v/>
      </c>
      <c r="AQ1080">
        <f>IFERROR(INDEX(PP_Grid[#Data],$DD1080,41),0)</f>
        <v/>
      </c>
      <c r="AR1080">
        <f>IFERROR(INDEX(PP_Grid[#Data],$DD1080,42),0)</f>
        <v/>
      </c>
      <c r="AS1080">
        <f>IFERROR(INDEX(PP_Grid[#Data],$DD1080,43),0)</f>
        <v/>
      </c>
      <c r="AT1080">
        <f>IFERROR(INDEX(PP_Grid[#Data],$DD1080,44),0)</f>
        <v/>
      </c>
      <c r="AU1080">
        <f>IFERROR(INDEX(PP_Grid[#Data],$DD1080,45),0)</f>
        <v/>
      </c>
      <c r="AV1080">
        <f>IFERROR(INDEX(PP_Grid[#Data],$DD1080,46),0)</f>
        <v/>
      </c>
      <c r="AW1080">
        <f>IFERROR(INDEX(PP_Grid[#Data],$DD1080,47),0)</f>
        <v/>
      </c>
      <c r="AX1080">
        <f>IFERROR(INDEX(PP_Grid[#Data],$DD1080,48),0)</f>
        <v/>
      </c>
      <c r="AY1080">
        <f>IFERROR(INDEX(PP_Grid[#Data],$DD1080,49),0)</f>
        <v/>
      </c>
      <c r="AZ1080">
        <f>IFERROR(INDEX(PP_Grid[#Data],$DD1080,50),0)</f>
        <v/>
      </c>
      <c r="BA1080">
        <f>IFERROR(INDEX(PP_Grid[#Data],$DD1080,51),0)</f>
        <v/>
      </c>
      <c r="BB1080">
        <f>IFERROR(INDEX(PP_Grid[#Data],$DD1080,52),0)</f>
        <v/>
      </c>
      <c r="BC1080">
        <f>IFERROR(INDEX(PP_Grid[#Data],$DD1080,53),0)</f>
        <v/>
      </c>
      <c r="BD1080">
        <f>IFERROR(INDEX(PP_Grid[#Data],$DD1080,54),0)</f>
        <v/>
      </c>
      <c r="BE1080">
        <f>IFERROR(INDEX(PP_Grid[#Data],$DD1080,55),0)</f>
        <v/>
      </c>
      <c r="BF1080">
        <f>IFERROR(INDEX(PP_Grid[#Data],$DD1080,56),0)</f>
        <v/>
      </c>
      <c r="BG1080">
        <f>IFERROR(INDEX(PP_Grid[#Data],$DD1080,57),0)</f>
        <v/>
      </c>
      <c r="BH1080">
        <f>IFERROR(INDEX(PP_Grid[#Data],$DD1080,58),0)</f>
        <v/>
      </c>
      <c r="BI1080">
        <f>IFERROR(INDEX(PP_Grid[#Data],$DD1080,59),0)</f>
        <v/>
      </c>
      <c r="BJ1080">
        <f>IFERROR(INDEX(PP_Grid[#Data],$DD1080,60),0)</f>
        <v/>
      </c>
      <c r="BK1080">
        <f>IFERROR(INDEX(PP_Grid[#Data],$DD1080,61),0)</f>
        <v/>
      </c>
      <c r="BL1080">
        <f>IFERROR(INDEX(PP_Grid[#Data],$DD1080,62),0)</f>
        <v/>
      </c>
      <c r="BM1080">
        <f>IFERROR(INDEX(PP_Grid[#Data],$DD1080,63),0)</f>
        <v/>
      </c>
      <c r="BN1080">
        <f>IFERROR(INDEX(PP_Grid[#Data],$DD1080,64),0)</f>
        <v/>
      </c>
      <c r="BO1080">
        <f>IFERROR(INDEX(PP_Grid[#Data],$DD1080,65),0)</f>
        <v/>
      </c>
      <c r="BP1080">
        <f>IFERROR(INDEX(PP_Grid[#Data],$DD1080,66),0)</f>
        <v/>
      </c>
      <c r="BQ1080">
        <f>IFERROR(INDEX(PP_Grid[#Data],$DD1080,67),0)</f>
        <v/>
      </c>
      <c r="BR1080">
        <f>IFERROR(INDEX(PP_Grid[#Data],$DD1080,68),0)</f>
        <v/>
      </c>
      <c r="BS1080">
        <f>IFERROR(INDEX(PP_Grid[#Data],$DD1080,69),0)</f>
        <v/>
      </c>
      <c r="BT1080">
        <f>IFERROR(INDEX(PP_Grid[#Data],$DD1080,70),0)</f>
        <v/>
      </c>
      <c r="BU1080">
        <f>IFERROR(INDEX(PP_Grid[#Data],$DD1080,71),0)</f>
        <v/>
      </c>
      <c r="BV1080">
        <f>IFERROR(INDEX(PP_Grid[#Data],$DD1080,72),0)</f>
        <v/>
      </c>
      <c r="BW1080">
        <f>IFERROR(INDEX(PP_Grid[#Data],$DD1080,73),0)</f>
        <v/>
      </c>
      <c r="BX1080">
        <f>IFERROR(INDEX(PP_Grid[#Data],$DD1080,74),0)</f>
        <v/>
      </c>
      <c r="BY1080">
        <f>IFERROR(INDEX(PP_Grid[#Data],$DD1080,75),0)</f>
        <v/>
      </c>
      <c r="BZ1080">
        <f>IFERROR(INDEX(PP_Grid[#Data],$DD1080,76),0)</f>
        <v/>
      </c>
      <c r="CA1080">
        <f>IFERROR(INDEX(PP_Grid[#Data],$DD1080,77),0)</f>
        <v/>
      </c>
      <c r="CB1080">
        <f>IFERROR(INDEX(PP_Grid[#Data],$DD1080,78),0)</f>
        <v/>
      </c>
      <c r="CC1080">
        <f>IFERROR(INDEX(PP_Grid[#Data],$DD1080,79),0)</f>
        <v/>
      </c>
      <c r="CD1080">
        <f>IFERROR(INDEX(PP_Grid[#Data],$DD1080,80),0)</f>
        <v/>
      </c>
      <c r="CE1080">
        <f>IFERROR(INDEX(PP_Grid[#Data],$DD1080,81),0)</f>
        <v/>
      </c>
      <c r="CF1080">
        <f>IFERROR(INDEX(PP_Grid[#Data],$DD1080,82),0)</f>
        <v/>
      </c>
      <c r="CG1080">
        <f>IFERROR(INDEX(PP_Grid[#Data],$DD1080,83),0)</f>
        <v/>
      </c>
      <c r="CH1080">
        <f>IFERROR(INDEX(PP_Grid[#Data],$DD1080,84),0)</f>
        <v/>
      </c>
      <c r="CI1080">
        <f>IFERROR(INDEX(PP_Grid[#Data],$DD1080,85),0)</f>
        <v/>
      </c>
      <c r="CJ1080">
        <f>IFERROR(INDEX(PP_Grid[#Data],$DD1080,86),0)</f>
        <v/>
      </c>
      <c r="CK1080">
        <f>IFERROR(INDEX(PP_Grid[#Data],$DD1080,87),0)</f>
        <v/>
      </c>
      <c r="CL1080">
        <f>IFERROR(INDEX(PP_Grid[#Data],$DD1080,88),0)</f>
        <v/>
      </c>
      <c r="CM1080">
        <f>IFERROR(INDEX(PP_Grid[#Data],$DD1080,89),0)</f>
        <v/>
      </c>
      <c r="CN1080">
        <f>IFERROR(INDEX(PP_Grid[#Data],$DD1080,90),0)</f>
        <v/>
      </c>
      <c r="CO1080">
        <f>IFERROR(INDEX(PP_Grid[#Data],$DD1080,91),0)</f>
        <v/>
      </c>
      <c r="CP1080">
        <f>IFERROR(INDEX(PP_Grid[#Data],$DD1080,92),0)</f>
        <v/>
      </c>
      <c r="CQ1080">
        <f>IFERROR(INDEX(PP_Grid[#Data],$DD1080,93),0)</f>
        <v/>
      </c>
      <c r="CR1080">
        <f>IFERROR(INDEX(PP_Grid[#Data],$DD1080,94),0)</f>
        <v/>
      </c>
      <c r="CS1080">
        <f>IFERROR(INDEX(PP_Grid[#Data],$DD1080,95),0)</f>
        <v/>
      </c>
      <c r="CT1080">
        <f>IFERROR(INDEX(PP_Grid[#Data],$DD1080,96),0)</f>
        <v/>
      </c>
      <c r="CU1080">
        <f>IFERROR(INDEX(PP_Grid[#Data],$DD1080,97),0)</f>
        <v/>
      </c>
      <c r="CV1080">
        <f>IFERROR(INDEX(PP_Grid[#Data],$DD1080,98),0)</f>
        <v/>
      </c>
      <c r="CW1080">
        <f>IFERROR(INDEX(PP_Grid[#Data],$DD1080,99),0)</f>
        <v/>
      </c>
      <c r="CX1080">
        <f>IFERROR(INDEX(PP_Grid[#Data],$DD1080,100),0)</f>
        <v/>
      </c>
      <c r="CY1080">
        <f>IFERROR(INDEX(PP_Grid[#Data],$DD1080,101),0)</f>
        <v/>
      </c>
      <c r="CZ1080">
        <f>IFERROR(INDEX(PP_Grid[#Data],$DD1080,102),0)</f>
        <v/>
      </c>
      <c r="DA1080">
        <f>IFERROR(INDEX(PP_Grid[#Data],$DD1080,103),0)</f>
        <v/>
      </c>
      <c r="DB1080">
        <f>IFERROR(INDEX(PP_Grid[#Data],$DD1080,104),0)</f>
        <v/>
      </c>
      <c r="DC1080">
        <f>IFERROR(INDEX(PP_Grid[#Data],$DD1080,105),0)</f>
        <v/>
      </c>
      <c r="DD1080" s="12">
        <f>IFERROR(MATCH($B1080,PP_Grid[Intermediate],0),99999)</f>
        <v/>
      </c>
    </row>
    <row r="1081">
      <c r="B1081" t="inlineStr">
        <is>
          <t>使用量(kg)</t>
        </is>
      </c>
      <c r="C1081">
        <f>SUMIFS(M_BOM[RM_Qty_Per_Batch],M_BOM[Intermediate],$B1080,M_BOM[Part Name],$A1075)</f>
        <v/>
      </c>
      <c r="D1081">
        <f>$C1081*D1080</f>
        <v/>
      </c>
      <c r="E1081">
        <f>$C1081*E1080</f>
        <v/>
      </c>
      <c r="F1081">
        <f>$C1081*F1080</f>
        <v/>
      </c>
      <c r="G1081">
        <f>$C1081*G1080</f>
        <v/>
      </c>
      <c r="H1081">
        <f>$C1081*H1080</f>
        <v/>
      </c>
      <c r="I1081">
        <f>$C1081*I1080</f>
        <v/>
      </c>
      <c r="J1081">
        <f>$C1081*J1080</f>
        <v/>
      </c>
      <c r="K1081">
        <f>$C1081*K1080</f>
        <v/>
      </c>
      <c r="L1081">
        <f>$C1081*L1080</f>
        <v/>
      </c>
      <c r="M1081">
        <f>$C1081*M1080</f>
        <v/>
      </c>
      <c r="N1081">
        <f>$C1081*N1080</f>
        <v/>
      </c>
      <c r="O1081">
        <f>$C1081*O1080</f>
        <v/>
      </c>
      <c r="P1081">
        <f>$C1081*P1080</f>
        <v/>
      </c>
      <c r="Q1081">
        <f>$C1081*Q1080</f>
        <v/>
      </c>
      <c r="R1081">
        <f>$C1081*R1080</f>
        <v/>
      </c>
      <c r="S1081">
        <f>$C1081*S1080</f>
        <v/>
      </c>
      <c r="T1081">
        <f>$C1081*T1080</f>
        <v/>
      </c>
      <c r="U1081">
        <f>$C1081*U1080</f>
        <v/>
      </c>
      <c r="V1081">
        <f>$C1081*V1080</f>
        <v/>
      </c>
      <c r="W1081">
        <f>$C1081*W1080</f>
        <v/>
      </c>
      <c r="X1081">
        <f>$C1081*X1080</f>
        <v/>
      </c>
      <c r="Y1081">
        <f>$C1081*Y1080</f>
        <v/>
      </c>
      <c r="Z1081">
        <f>$C1081*Z1080</f>
        <v/>
      </c>
      <c r="AA1081">
        <f>$C1081*AA1080</f>
        <v/>
      </c>
      <c r="AB1081">
        <f>$C1081*AB1080</f>
        <v/>
      </c>
      <c r="AC1081">
        <f>$C1081*AC1080</f>
        <v/>
      </c>
      <c r="AD1081">
        <f>$C1081*AD1080</f>
        <v/>
      </c>
      <c r="AE1081">
        <f>$C1081*AE1080</f>
        <v/>
      </c>
      <c r="AF1081">
        <f>$C1081*AF1080</f>
        <v/>
      </c>
      <c r="AG1081">
        <f>$C1081*AG1080</f>
        <v/>
      </c>
      <c r="AH1081">
        <f>$C1081*AH1080</f>
        <v/>
      </c>
      <c r="AI1081">
        <f>$C1081*AI1080</f>
        <v/>
      </c>
      <c r="AJ1081">
        <f>$C1081*AJ1080</f>
        <v/>
      </c>
      <c r="AK1081">
        <f>$C1081*AK1080</f>
        <v/>
      </c>
      <c r="AL1081">
        <f>$C1081*AL1080</f>
        <v/>
      </c>
      <c r="AM1081">
        <f>$C1081*AM1080</f>
        <v/>
      </c>
      <c r="AN1081">
        <f>$C1081*AN1080</f>
        <v/>
      </c>
      <c r="AO1081">
        <f>$C1081*AO1080</f>
        <v/>
      </c>
      <c r="AP1081">
        <f>$C1081*AP1080</f>
        <v/>
      </c>
      <c r="AQ1081">
        <f>$C1081*AQ1080</f>
        <v/>
      </c>
      <c r="AR1081">
        <f>$C1081*AR1080</f>
        <v/>
      </c>
      <c r="AS1081">
        <f>$C1081*AS1080</f>
        <v/>
      </c>
      <c r="AT1081">
        <f>$C1081*AT1080</f>
        <v/>
      </c>
      <c r="AU1081">
        <f>$C1081*AU1080</f>
        <v/>
      </c>
      <c r="AV1081">
        <f>$C1081*AV1080</f>
        <v/>
      </c>
      <c r="AW1081">
        <f>$C1081*AW1080</f>
        <v/>
      </c>
      <c r="AX1081">
        <f>$C1081*AX1080</f>
        <v/>
      </c>
      <c r="AY1081">
        <f>$C1081*AY1080</f>
        <v/>
      </c>
      <c r="AZ1081">
        <f>$C1081*AZ1080</f>
        <v/>
      </c>
      <c r="BA1081">
        <f>$C1081*BA1080</f>
        <v/>
      </c>
      <c r="BB1081">
        <f>$C1081*BB1080</f>
        <v/>
      </c>
      <c r="BC1081">
        <f>$C1081*BC1080</f>
        <v/>
      </c>
      <c r="BD1081">
        <f>$C1081*BD1080</f>
        <v/>
      </c>
      <c r="BE1081">
        <f>$C1081*BE1080</f>
        <v/>
      </c>
      <c r="BF1081">
        <f>$C1081*BF1080</f>
        <v/>
      </c>
      <c r="BG1081">
        <f>$C1081*BG1080</f>
        <v/>
      </c>
      <c r="BH1081">
        <f>$C1081*BH1080</f>
        <v/>
      </c>
      <c r="BI1081">
        <f>$C1081*BI1080</f>
        <v/>
      </c>
      <c r="BJ1081">
        <f>$C1081*BJ1080</f>
        <v/>
      </c>
      <c r="BK1081">
        <f>$C1081*BK1080</f>
        <v/>
      </c>
      <c r="BL1081">
        <f>$C1081*BL1080</f>
        <v/>
      </c>
      <c r="BM1081">
        <f>$C1081*BM1080</f>
        <v/>
      </c>
      <c r="BN1081">
        <f>$C1081*BN1080</f>
        <v/>
      </c>
      <c r="BO1081">
        <f>$C1081*BO1080</f>
        <v/>
      </c>
      <c r="BP1081">
        <f>$C1081*BP1080</f>
        <v/>
      </c>
      <c r="BQ1081">
        <f>$C1081*BQ1080</f>
        <v/>
      </c>
      <c r="BR1081">
        <f>$C1081*BR1080</f>
        <v/>
      </c>
      <c r="BS1081">
        <f>$C1081*BS1080</f>
        <v/>
      </c>
      <c r="BT1081">
        <f>$C1081*BT1080</f>
        <v/>
      </c>
      <c r="BU1081">
        <f>$C1081*BU1080</f>
        <v/>
      </c>
      <c r="BV1081">
        <f>$C1081*BV1080</f>
        <v/>
      </c>
      <c r="BW1081">
        <f>$C1081*BW1080</f>
        <v/>
      </c>
      <c r="BX1081">
        <f>$C1081*BX1080</f>
        <v/>
      </c>
      <c r="BY1081">
        <f>$C1081*BY1080</f>
        <v/>
      </c>
      <c r="BZ1081">
        <f>$C1081*BZ1080</f>
        <v/>
      </c>
      <c r="CA1081">
        <f>$C1081*CA1080</f>
        <v/>
      </c>
      <c r="CB1081">
        <f>$C1081*CB1080</f>
        <v/>
      </c>
      <c r="CC1081">
        <f>$C1081*CC1080</f>
        <v/>
      </c>
      <c r="CD1081">
        <f>$C1081*CD1080</f>
        <v/>
      </c>
      <c r="CE1081">
        <f>$C1081*CE1080</f>
        <v/>
      </c>
      <c r="CF1081">
        <f>$C1081*CF1080</f>
        <v/>
      </c>
      <c r="CG1081">
        <f>$C1081*CG1080</f>
        <v/>
      </c>
      <c r="CH1081">
        <f>$C1081*CH1080</f>
        <v/>
      </c>
      <c r="CI1081">
        <f>$C1081*CI1080</f>
        <v/>
      </c>
      <c r="CJ1081">
        <f>$C1081*CJ1080</f>
        <v/>
      </c>
      <c r="CK1081">
        <f>$C1081*CK1080</f>
        <v/>
      </c>
      <c r="CL1081">
        <f>$C1081*CL1080</f>
        <v/>
      </c>
      <c r="CM1081">
        <f>$C1081*CM1080</f>
        <v/>
      </c>
      <c r="CN1081">
        <f>$C1081*CN1080</f>
        <v/>
      </c>
      <c r="CO1081">
        <f>$C1081*CO1080</f>
        <v/>
      </c>
      <c r="CP1081">
        <f>$C1081*CP1080</f>
        <v/>
      </c>
      <c r="CQ1081">
        <f>$C1081*CQ1080</f>
        <v/>
      </c>
      <c r="CR1081">
        <f>$C1081*CR1080</f>
        <v/>
      </c>
      <c r="CS1081">
        <f>$C1081*CS1080</f>
        <v/>
      </c>
      <c r="CT1081">
        <f>$C1081*CT1080</f>
        <v/>
      </c>
      <c r="CU1081">
        <f>$C1081*CU1080</f>
        <v/>
      </c>
      <c r="CV1081">
        <f>$C1081*CV1080</f>
        <v/>
      </c>
      <c r="CW1081">
        <f>$C1081*CW1080</f>
        <v/>
      </c>
      <c r="CX1081">
        <f>$C1081*CX1080</f>
        <v/>
      </c>
      <c r="CY1081">
        <f>$C1081*CY1080</f>
        <v/>
      </c>
      <c r="CZ1081">
        <f>$C1081*CZ1080</f>
        <v/>
      </c>
      <c r="DA1081">
        <f>$C1081*DA1080</f>
        <v/>
      </c>
      <c r="DB1081">
        <f>$C1081*DB1080</f>
        <v/>
      </c>
      <c r="DC1081">
        <f>$C1081*DC1080</f>
        <v/>
      </c>
    </row>
    <row r="1082">
      <c r="B1082" t="inlineStr">
        <is>
          <t>TPP-701</t>
        </is>
      </c>
      <c r="C1082" t="inlineStr">
        <is>
          <t>No. of batches</t>
        </is>
      </c>
      <c r="D1082">
        <f>IFERROR(INDEX(PP_Grid[#Data],$DD1082,2),0)</f>
        <v/>
      </c>
      <c r="E1082">
        <f>IFERROR(INDEX(PP_Grid[#Data],$DD1082,3),0)</f>
        <v/>
      </c>
      <c r="F1082">
        <f>IFERROR(INDEX(PP_Grid[#Data],$DD1082,4),0)</f>
        <v/>
      </c>
      <c r="G1082">
        <f>IFERROR(INDEX(PP_Grid[#Data],$DD1082,5),0)</f>
        <v/>
      </c>
      <c r="H1082">
        <f>IFERROR(INDEX(PP_Grid[#Data],$DD1082,6),0)</f>
        <v/>
      </c>
      <c r="I1082">
        <f>IFERROR(INDEX(PP_Grid[#Data],$DD1082,7),0)</f>
        <v/>
      </c>
      <c r="J1082">
        <f>IFERROR(INDEX(PP_Grid[#Data],$DD1082,8),0)</f>
        <v/>
      </c>
      <c r="K1082">
        <f>IFERROR(INDEX(PP_Grid[#Data],$DD1082,9),0)</f>
        <v/>
      </c>
      <c r="L1082">
        <f>IFERROR(INDEX(PP_Grid[#Data],$DD1082,10),0)</f>
        <v/>
      </c>
      <c r="M1082">
        <f>IFERROR(INDEX(PP_Grid[#Data],$DD1082,11),0)</f>
        <v/>
      </c>
      <c r="N1082">
        <f>IFERROR(INDEX(PP_Grid[#Data],$DD1082,12),0)</f>
        <v/>
      </c>
      <c r="O1082">
        <f>IFERROR(INDEX(PP_Grid[#Data],$DD1082,13),0)</f>
        <v/>
      </c>
      <c r="P1082">
        <f>IFERROR(INDEX(PP_Grid[#Data],$DD1082,14),0)</f>
        <v/>
      </c>
      <c r="Q1082">
        <f>IFERROR(INDEX(PP_Grid[#Data],$DD1082,15),0)</f>
        <v/>
      </c>
      <c r="R1082">
        <f>IFERROR(INDEX(PP_Grid[#Data],$DD1082,16),0)</f>
        <v/>
      </c>
      <c r="S1082">
        <f>IFERROR(INDEX(PP_Grid[#Data],$DD1082,17),0)</f>
        <v/>
      </c>
      <c r="T1082">
        <f>IFERROR(INDEX(PP_Grid[#Data],$DD1082,18),0)</f>
        <v/>
      </c>
      <c r="U1082">
        <f>IFERROR(INDEX(PP_Grid[#Data],$DD1082,19),0)</f>
        <v/>
      </c>
      <c r="V1082">
        <f>IFERROR(INDEX(PP_Grid[#Data],$DD1082,20),0)</f>
        <v/>
      </c>
      <c r="W1082">
        <f>IFERROR(INDEX(PP_Grid[#Data],$DD1082,21),0)</f>
        <v/>
      </c>
      <c r="X1082">
        <f>IFERROR(INDEX(PP_Grid[#Data],$DD1082,22),0)</f>
        <v/>
      </c>
      <c r="Y1082">
        <f>IFERROR(INDEX(PP_Grid[#Data],$DD1082,23),0)</f>
        <v/>
      </c>
      <c r="Z1082">
        <f>IFERROR(INDEX(PP_Grid[#Data],$DD1082,24),0)</f>
        <v/>
      </c>
      <c r="AA1082">
        <f>IFERROR(INDEX(PP_Grid[#Data],$DD1082,25),0)</f>
        <v/>
      </c>
      <c r="AB1082">
        <f>IFERROR(INDEX(PP_Grid[#Data],$DD1082,26),0)</f>
        <v/>
      </c>
      <c r="AC1082">
        <f>IFERROR(INDEX(PP_Grid[#Data],$DD1082,27),0)</f>
        <v/>
      </c>
      <c r="AD1082">
        <f>IFERROR(INDEX(PP_Grid[#Data],$DD1082,28),0)</f>
        <v/>
      </c>
      <c r="AE1082">
        <f>IFERROR(INDEX(PP_Grid[#Data],$DD1082,29),0)</f>
        <v/>
      </c>
      <c r="AF1082">
        <f>IFERROR(INDEX(PP_Grid[#Data],$DD1082,30),0)</f>
        <v/>
      </c>
      <c r="AG1082">
        <f>IFERROR(INDEX(PP_Grid[#Data],$DD1082,31),0)</f>
        <v/>
      </c>
      <c r="AH1082">
        <f>IFERROR(INDEX(PP_Grid[#Data],$DD1082,32),0)</f>
        <v/>
      </c>
      <c r="AI1082">
        <f>IFERROR(INDEX(PP_Grid[#Data],$DD1082,33),0)</f>
        <v/>
      </c>
      <c r="AJ1082">
        <f>IFERROR(INDEX(PP_Grid[#Data],$DD1082,34),0)</f>
        <v/>
      </c>
      <c r="AK1082">
        <f>IFERROR(INDEX(PP_Grid[#Data],$DD1082,35),0)</f>
        <v/>
      </c>
      <c r="AL1082">
        <f>IFERROR(INDEX(PP_Grid[#Data],$DD1082,36),0)</f>
        <v/>
      </c>
      <c r="AM1082">
        <f>IFERROR(INDEX(PP_Grid[#Data],$DD1082,37),0)</f>
        <v/>
      </c>
      <c r="AN1082">
        <f>IFERROR(INDEX(PP_Grid[#Data],$DD1082,38),0)</f>
        <v/>
      </c>
      <c r="AO1082">
        <f>IFERROR(INDEX(PP_Grid[#Data],$DD1082,39),0)</f>
        <v/>
      </c>
      <c r="AP1082">
        <f>IFERROR(INDEX(PP_Grid[#Data],$DD1082,40),0)</f>
        <v/>
      </c>
      <c r="AQ1082">
        <f>IFERROR(INDEX(PP_Grid[#Data],$DD1082,41),0)</f>
        <v/>
      </c>
      <c r="AR1082">
        <f>IFERROR(INDEX(PP_Grid[#Data],$DD1082,42),0)</f>
        <v/>
      </c>
      <c r="AS1082">
        <f>IFERROR(INDEX(PP_Grid[#Data],$DD1082,43),0)</f>
        <v/>
      </c>
      <c r="AT1082">
        <f>IFERROR(INDEX(PP_Grid[#Data],$DD1082,44),0)</f>
        <v/>
      </c>
      <c r="AU1082">
        <f>IFERROR(INDEX(PP_Grid[#Data],$DD1082,45),0)</f>
        <v/>
      </c>
      <c r="AV1082">
        <f>IFERROR(INDEX(PP_Grid[#Data],$DD1082,46),0)</f>
        <v/>
      </c>
      <c r="AW1082">
        <f>IFERROR(INDEX(PP_Grid[#Data],$DD1082,47),0)</f>
        <v/>
      </c>
      <c r="AX1082">
        <f>IFERROR(INDEX(PP_Grid[#Data],$DD1082,48),0)</f>
        <v/>
      </c>
      <c r="AY1082">
        <f>IFERROR(INDEX(PP_Grid[#Data],$DD1082,49),0)</f>
        <v/>
      </c>
      <c r="AZ1082">
        <f>IFERROR(INDEX(PP_Grid[#Data],$DD1082,50),0)</f>
        <v/>
      </c>
      <c r="BA1082">
        <f>IFERROR(INDEX(PP_Grid[#Data],$DD1082,51),0)</f>
        <v/>
      </c>
      <c r="BB1082">
        <f>IFERROR(INDEX(PP_Grid[#Data],$DD1082,52),0)</f>
        <v/>
      </c>
      <c r="BC1082">
        <f>IFERROR(INDEX(PP_Grid[#Data],$DD1082,53),0)</f>
        <v/>
      </c>
      <c r="BD1082">
        <f>IFERROR(INDEX(PP_Grid[#Data],$DD1082,54),0)</f>
        <v/>
      </c>
      <c r="BE1082">
        <f>IFERROR(INDEX(PP_Grid[#Data],$DD1082,55),0)</f>
        <v/>
      </c>
      <c r="BF1082">
        <f>IFERROR(INDEX(PP_Grid[#Data],$DD1082,56),0)</f>
        <v/>
      </c>
      <c r="BG1082">
        <f>IFERROR(INDEX(PP_Grid[#Data],$DD1082,57),0)</f>
        <v/>
      </c>
      <c r="BH1082">
        <f>IFERROR(INDEX(PP_Grid[#Data],$DD1082,58),0)</f>
        <v/>
      </c>
      <c r="BI1082">
        <f>IFERROR(INDEX(PP_Grid[#Data],$DD1082,59),0)</f>
        <v/>
      </c>
      <c r="BJ1082">
        <f>IFERROR(INDEX(PP_Grid[#Data],$DD1082,60),0)</f>
        <v/>
      </c>
      <c r="BK1082">
        <f>IFERROR(INDEX(PP_Grid[#Data],$DD1082,61),0)</f>
        <v/>
      </c>
      <c r="BL1082">
        <f>IFERROR(INDEX(PP_Grid[#Data],$DD1082,62),0)</f>
        <v/>
      </c>
      <c r="BM1082">
        <f>IFERROR(INDEX(PP_Grid[#Data],$DD1082,63),0)</f>
        <v/>
      </c>
      <c r="BN1082">
        <f>IFERROR(INDEX(PP_Grid[#Data],$DD1082,64),0)</f>
        <v/>
      </c>
      <c r="BO1082">
        <f>IFERROR(INDEX(PP_Grid[#Data],$DD1082,65),0)</f>
        <v/>
      </c>
      <c r="BP1082">
        <f>IFERROR(INDEX(PP_Grid[#Data],$DD1082,66),0)</f>
        <v/>
      </c>
      <c r="BQ1082">
        <f>IFERROR(INDEX(PP_Grid[#Data],$DD1082,67),0)</f>
        <v/>
      </c>
      <c r="BR1082">
        <f>IFERROR(INDEX(PP_Grid[#Data],$DD1082,68),0)</f>
        <v/>
      </c>
      <c r="BS1082">
        <f>IFERROR(INDEX(PP_Grid[#Data],$DD1082,69),0)</f>
        <v/>
      </c>
      <c r="BT1082">
        <f>IFERROR(INDEX(PP_Grid[#Data],$DD1082,70),0)</f>
        <v/>
      </c>
      <c r="BU1082">
        <f>IFERROR(INDEX(PP_Grid[#Data],$DD1082,71),0)</f>
        <v/>
      </c>
      <c r="BV1082">
        <f>IFERROR(INDEX(PP_Grid[#Data],$DD1082,72),0)</f>
        <v/>
      </c>
      <c r="BW1082">
        <f>IFERROR(INDEX(PP_Grid[#Data],$DD1082,73),0)</f>
        <v/>
      </c>
      <c r="BX1082">
        <f>IFERROR(INDEX(PP_Grid[#Data],$DD1082,74),0)</f>
        <v/>
      </c>
      <c r="BY1082">
        <f>IFERROR(INDEX(PP_Grid[#Data],$DD1082,75),0)</f>
        <v/>
      </c>
      <c r="BZ1082">
        <f>IFERROR(INDEX(PP_Grid[#Data],$DD1082,76),0)</f>
        <v/>
      </c>
      <c r="CA1082">
        <f>IFERROR(INDEX(PP_Grid[#Data],$DD1082,77),0)</f>
        <v/>
      </c>
      <c r="CB1082">
        <f>IFERROR(INDEX(PP_Grid[#Data],$DD1082,78),0)</f>
        <v/>
      </c>
      <c r="CC1082">
        <f>IFERROR(INDEX(PP_Grid[#Data],$DD1082,79),0)</f>
        <v/>
      </c>
      <c r="CD1082">
        <f>IFERROR(INDEX(PP_Grid[#Data],$DD1082,80),0)</f>
        <v/>
      </c>
      <c r="CE1082">
        <f>IFERROR(INDEX(PP_Grid[#Data],$DD1082,81),0)</f>
        <v/>
      </c>
      <c r="CF1082">
        <f>IFERROR(INDEX(PP_Grid[#Data],$DD1082,82),0)</f>
        <v/>
      </c>
      <c r="CG1082">
        <f>IFERROR(INDEX(PP_Grid[#Data],$DD1082,83),0)</f>
        <v/>
      </c>
      <c r="CH1082">
        <f>IFERROR(INDEX(PP_Grid[#Data],$DD1082,84),0)</f>
        <v/>
      </c>
      <c r="CI1082">
        <f>IFERROR(INDEX(PP_Grid[#Data],$DD1082,85),0)</f>
        <v/>
      </c>
      <c r="CJ1082">
        <f>IFERROR(INDEX(PP_Grid[#Data],$DD1082,86),0)</f>
        <v/>
      </c>
      <c r="CK1082">
        <f>IFERROR(INDEX(PP_Grid[#Data],$DD1082,87),0)</f>
        <v/>
      </c>
      <c r="CL1082">
        <f>IFERROR(INDEX(PP_Grid[#Data],$DD1082,88),0)</f>
        <v/>
      </c>
      <c r="CM1082">
        <f>IFERROR(INDEX(PP_Grid[#Data],$DD1082,89),0)</f>
        <v/>
      </c>
      <c r="CN1082">
        <f>IFERROR(INDEX(PP_Grid[#Data],$DD1082,90),0)</f>
        <v/>
      </c>
      <c r="CO1082">
        <f>IFERROR(INDEX(PP_Grid[#Data],$DD1082,91),0)</f>
        <v/>
      </c>
      <c r="CP1082">
        <f>IFERROR(INDEX(PP_Grid[#Data],$DD1082,92),0)</f>
        <v/>
      </c>
      <c r="CQ1082">
        <f>IFERROR(INDEX(PP_Grid[#Data],$DD1082,93),0)</f>
        <v/>
      </c>
      <c r="CR1082">
        <f>IFERROR(INDEX(PP_Grid[#Data],$DD1082,94),0)</f>
        <v/>
      </c>
      <c r="CS1082">
        <f>IFERROR(INDEX(PP_Grid[#Data],$DD1082,95),0)</f>
        <v/>
      </c>
      <c r="CT1082">
        <f>IFERROR(INDEX(PP_Grid[#Data],$DD1082,96),0)</f>
        <v/>
      </c>
      <c r="CU1082">
        <f>IFERROR(INDEX(PP_Grid[#Data],$DD1082,97),0)</f>
        <v/>
      </c>
      <c r="CV1082">
        <f>IFERROR(INDEX(PP_Grid[#Data],$DD1082,98),0)</f>
        <v/>
      </c>
      <c r="CW1082">
        <f>IFERROR(INDEX(PP_Grid[#Data],$DD1082,99),0)</f>
        <v/>
      </c>
      <c r="CX1082">
        <f>IFERROR(INDEX(PP_Grid[#Data],$DD1082,100),0)</f>
        <v/>
      </c>
      <c r="CY1082">
        <f>IFERROR(INDEX(PP_Grid[#Data],$DD1082,101),0)</f>
        <v/>
      </c>
      <c r="CZ1082">
        <f>IFERROR(INDEX(PP_Grid[#Data],$DD1082,102),0)</f>
        <v/>
      </c>
      <c r="DA1082">
        <f>IFERROR(INDEX(PP_Grid[#Data],$DD1082,103),0)</f>
        <v/>
      </c>
      <c r="DB1082">
        <f>IFERROR(INDEX(PP_Grid[#Data],$DD1082,104),0)</f>
        <v/>
      </c>
      <c r="DC1082">
        <f>IFERROR(INDEX(PP_Grid[#Data],$DD1082,105),0)</f>
        <v/>
      </c>
      <c r="DD1082" s="12">
        <f>IFERROR(MATCH($B1082,PP_Grid[Intermediate],0),99999)</f>
        <v/>
      </c>
    </row>
    <row r="1083">
      <c r="B1083" t="inlineStr">
        <is>
          <t>使用量(kg)</t>
        </is>
      </c>
      <c r="C1083">
        <f>SUMIFS(M_BOM[RM_Qty_Per_Batch],M_BOM[Intermediate],$B1082,M_BOM[Part Name],$A1075)</f>
        <v/>
      </c>
      <c r="D1083">
        <f>$C1083*D1082</f>
        <v/>
      </c>
      <c r="E1083">
        <f>$C1083*E1082</f>
        <v/>
      </c>
      <c r="F1083">
        <f>$C1083*F1082</f>
        <v/>
      </c>
      <c r="G1083">
        <f>$C1083*G1082</f>
        <v/>
      </c>
      <c r="H1083">
        <f>$C1083*H1082</f>
        <v/>
      </c>
      <c r="I1083">
        <f>$C1083*I1082</f>
        <v/>
      </c>
      <c r="J1083">
        <f>$C1083*J1082</f>
        <v/>
      </c>
      <c r="K1083">
        <f>$C1083*K1082</f>
        <v/>
      </c>
      <c r="L1083">
        <f>$C1083*L1082</f>
        <v/>
      </c>
      <c r="M1083">
        <f>$C1083*M1082</f>
        <v/>
      </c>
      <c r="N1083">
        <f>$C1083*N1082</f>
        <v/>
      </c>
      <c r="O1083">
        <f>$C1083*O1082</f>
        <v/>
      </c>
      <c r="P1083">
        <f>$C1083*P1082</f>
        <v/>
      </c>
      <c r="Q1083">
        <f>$C1083*Q1082</f>
        <v/>
      </c>
      <c r="R1083">
        <f>$C1083*R1082</f>
        <v/>
      </c>
      <c r="S1083">
        <f>$C1083*S1082</f>
        <v/>
      </c>
      <c r="T1083">
        <f>$C1083*T1082</f>
        <v/>
      </c>
      <c r="U1083">
        <f>$C1083*U1082</f>
        <v/>
      </c>
      <c r="V1083">
        <f>$C1083*V1082</f>
        <v/>
      </c>
      <c r="W1083">
        <f>$C1083*W1082</f>
        <v/>
      </c>
      <c r="X1083">
        <f>$C1083*X1082</f>
        <v/>
      </c>
      <c r="Y1083">
        <f>$C1083*Y1082</f>
        <v/>
      </c>
      <c r="Z1083">
        <f>$C1083*Z1082</f>
        <v/>
      </c>
      <c r="AA1083">
        <f>$C1083*AA1082</f>
        <v/>
      </c>
      <c r="AB1083">
        <f>$C1083*AB1082</f>
        <v/>
      </c>
      <c r="AC1083">
        <f>$C1083*AC1082</f>
        <v/>
      </c>
      <c r="AD1083">
        <f>$C1083*AD1082</f>
        <v/>
      </c>
      <c r="AE1083">
        <f>$C1083*AE1082</f>
        <v/>
      </c>
      <c r="AF1083">
        <f>$C1083*AF1082</f>
        <v/>
      </c>
      <c r="AG1083">
        <f>$C1083*AG1082</f>
        <v/>
      </c>
      <c r="AH1083">
        <f>$C1083*AH1082</f>
        <v/>
      </c>
      <c r="AI1083">
        <f>$C1083*AI1082</f>
        <v/>
      </c>
      <c r="AJ1083">
        <f>$C1083*AJ1082</f>
        <v/>
      </c>
      <c r="AK1083">
        <f>$C1083*AK1082</f>
        <v/>
      </c>
      <c r="AL1083">
        <f>$C1083*AL1082</f>
        <v/>
      </c>
      <c r="AM1083">
        <f>$C1083*AM1082</f>
        <v/>
      </c>
      <c r="AN1083">
        <f>$C1083*AN1082</f>
        <v/>
      </c>
      <c r="AO1083">
        <f>$C1083*AO1082</f>
        <v/>
      </c>
      <c r="AP1083">
        <f>$C1083*AP1082</f>
        <v/>
      </c>
      <c r="AQ1083">
        <f>$C1083*AQ1082</f>
        <v/>
      </c>
      <c r="AR1083">
        <f>$C1083*AR1082</f>
        <v/>
      </c>
      <c r="AS1083">
        <f>$C1083*AS1082</f>
        <v/>
      </c>
      <c r="AT1083">
        <f>$C1083*AT1082</f>
        <v/>
      </c>
      <c r="AU1083">
        <f>$C1083*AU1082</f>
        <v/>
      </c>
      <c r="AV1083">
        <f>$C1083*AV1082</f>
        <v/>
      </c>
      <c r="AW1083">
        <f>$C1083*AW1082</f>
        <v/>
      </c>
      <c r="AX1083">
        <f>$C1083*AX1082</f>
        <v/>
      </c>
      <c r="AY1083">
        <f>$C1083*AY1082</f>
        <v/>
      </c>
      <c r="AZ1083">
        <f>$C1083*AZ1082</f>
        <v/>
      </c>
      <c r="BA1083">
        <f>$C1083*BA1082</f>
        <v/>
      </c>
      <c r="BB1083">
        <f>$C1083*BB1082</f>
        <v/>
      </c>
      <c r="BC1083">
        <f>$C1083*BC1082</f>
        <v/>
      </c>
      <c r="BD1083">
        <f>$C1083*BD1082</f>
        <v/>
      </c>
      <c r="BE1083">
        <f>$C1083*BE1082</f>
        <v/>
      </c>
      <c r="BF1083">
        <f>$C1083*BF1082</f>
        <v/>
      </c>
      <c r="BG1083">
        <f>$C1083*BG1082</f>
        <v/>
      </c>
      <c r="BH1083">
        <f>$C1083*BH1082</f>
        <v/>
      </c>
      <c r="BI1083">
        <f>$C1083*BI1082</f>
        <v/>
      </c>
      <c r="BJ1083">
        <f>$C1083*BJ1082</f>
        <v/>
      </c>
      <c r="BK1083">
        <f>$C1083*BK1082</f>
        <v/>
      </c>
      <c r="BL1083">
        <f>$C1083*BL1082</f>
        <v/>
      </c>
      <c r="BM1083">
        <f>$C1083*BM1082</f>
        <v/>
      </c>
      <c r="BN1083">
        <f>$C1083*BN1082</f>
        <v/>
      </c>
      <c r="BO1083">
        <f>$C1083*BO1082</f>
        <v/>
      </c>
      <c r="BP1083">
        <f>$C1083*BP1082</f>
        <v/>
      </c>
      <c r="BQ1083">
        <f>$C1083*BQ1082</f>
        <v/>
      </c>
      <c r="BR1083">
        <f>$C1083*BR1082</f>
        <v/>
      </c>
      <c r="BS1083">
        <f>$C1083*BS1082</f>
        <v/>
      </c>
      <c r="BT1083">
        <f>$C1083*BT1082</f>
        <v/>
      </c>
      <c r="BU1083">
        <f>$C1083*BU1082</f>
        <v/>
      </c>
      <c r="BV1083">
        <f>$C1083*BV1082</f>
        <v/>
      </c>
      <c r="BW1083">
        <f>$C1083*BW1082</f>
        <v/>
      </c>
      <c r="BX1083">
        <f>$C1083*BX1082</f>
        <v/>
      </c>
      <c r="BY1083">
        <f>$C1083*BY1082</f>
        <v/>
      </c>
      <c r="BZ1083">
        <f>$C1083*BZ1082</f>
        <v/>
      </c>
      <c r="CA1083">
        <f>$C1083*CA1082</f>
        <v/>
      </c>
      <c r="CB1083">
        <f>$C1083*CB1082</f>
        <v/>
      </c>
      <c r="CC1083">
        <f>$C1083*CC1082</f>
        <v/>
      </c>
      <c r="CD1083">
        <f>$C1083*CD1082</f>
        <v/>
      </c>
      <c r="CE1083">
        <f>$C1083*CE1082</f>
        <v/>
      </c>
      <c r="CF1083">
        <f>$C1083*CF1082</f>
        <v/>
      </c>
      <c r="CG1083">
        <f>$C1083*CG1082</f>
        <v/>
      </c>
      <c r="CH1083">
        <f>$C1083*CH1082</f>
        <v/>
      </c>
      <c r="CI1083">
        <f>$C1083*CI1082</f>
        <v/>
      </c>
      <c r="CJ1083">
        <f>$C1083*CJ1082</f>
        <v/>
      </c>
      <c r="CK1083">
        <f>$C1083*CK1082</f>
        <v/>
      </c>
      <c r="CL1083">
        <f>$C1083*CL1082</f>
        <v/>
      </c>
      <c r="CM1083">
        <f>$C1083*CM1082</f>
        <v/>
      </c>
      <c r="CN1083">
        <f>$C1083*CN1082</f>
        <v/>
      </c>
      <c r="CO1083">
        <f>$C1083*CO1082</f>
        <v/>
      </c>
      <c r="CP1083">
        <f>$C1083*CP1082</f>
        <v/>
      </c>
      <c r="CQ1083">
        <f>$C1083*CQ1082</f>
        <v/>
      </c>
      <c r="CR1083">
        <f>$C1083*CR1082</f>
        <v/>
      </c>
      <c r="CS1083">
        <f>$C1083*CS1082</f>
        <v/>
      </c>
      <c r="CT1083">
        <f>$C1083*CT1082</f>
        <v/>
      </c>
      <c r="CU1083">
        <f>$C1083*CU1082</f>
        <v/>
      </c>
      <c r="CV1083">
        <f>$C1083*CV1082</f>
        <v/>
      </c>
      <c r="CW1083">
        <f>$C1083*CW1082</f>
        <v/>
      </c>
      <c r="CX1083">
        <f>$C1083*CX1082</f>
        <v/>
      </c>
      <c r="CY1083">
        <f>$C1083*CY1082</f>
        <v/>
      </c>
      <c r="CZ1083">
        <f>$C1083*CZ1082</f>
        <v/>
      </c>
      <c r="DA1083">
        <f>$C1083*DA1082</f>
        <v/>
      </c>
      <c r="DB1083">
        <f>$C1083*DB1082</f>
        <v/>
      </c>
      <c r="DC1083">
        <f>$C1083*DC1082</f>
        <v/>
      </c>
    </row>
    <row r="1084">
      <c r="B1084" t="inlineStr">
        <is>
          <t>TPP-825</t>
        </is>
      </c>
      <c r="C1084" t="inlineStr">
        <is>
          <t>No. of batches</t>
        </is>
      </c>
      <c r="D1084">
        <f>IFERROR(INDEX(PP_Grid[#Data],$DD1084,2),0)</f>
        <v/>
      </c>
      <c r="E1084">
        <f>IFERROR(INDEX(PP_Grid[#Data],$DD1084,3),0)</f>
        <v/>
      </c>
      <c r="F1084">
        <f>IFERROR(INDEX(PP_Grid[#Data],$DD1084,4),0)</f>
        <v/>
      </c>
      <c r="G1084">
        <f>IFERROR(INDEX(PP_Grid[#Data],$DD1084,5),0)</f>
        <v/>
      </c>
      <c r="H1084">
        <f>IFERROR(INDEX(PP_Grid[#Data],$DD1084,6),0)</f>
        <v/>
      </c>
      <c r="I1084">
        <f>IFERROR(INDEX(PP_Grid[#Data],$DD1084,7),0)</f>
        <v/>
      </c>
      <c r="J1084">
        <f>IFERROR(INDEX(PP_Grid[#Data],$DD1084,8),0)</f>
        <v/>
      </c>
      <c r="K1084">
        <f>IFERROR(INDEX(PP_Grid[#Data],$DD1084,9),0)</f>
        <v/>
      </c>
      <c r="L1084">
        <f>IFERROR(INDEX(PP_Grid[#Data],$DD1084,10),0)</f>
        <v/>
      </c>
      <c r="M1084">
        <f>IFERROR(INDEX(PP_Grid[#Data],$DD1084,11),0)</f>
        <v/>
      </c>
      <c r="N1084">
        <f>IFERROR(INDEX(PP_Grid[#Data],$DD1084,12),0)</f>
        <v/>
      </c>
      <c r="O1084">
        <f>IFERROR(INDEX(PP_Grid[#Data],$DD1084,13),0)</f>
        <v/>
      </c>
      <c r="P1084">
        <f>IFERROR(INDEX(PP_Grid[#Data],$DD1084,14),0)</f>
        <v/>
      </c>
      <c r="Q1084">
        <f>IFERROR(INDEX(PP_Grid[#Data],$DD1084,15),0)</f>
        <v/>
      </c>
      <c r="R1084">
        <f>IFERROR(INDEX(PP_Grid[#Data],$DD1084,16),0)</f>
        <v/>
      </c>
      <c r="S1084">
        <f>IFERROR(INDEX(PP_Grid[#Data],$DD1084,17),0)</f>
        <v/>
      </c>
      <c r="T1084">
        <f>IFERROR(INDEX(PP_Grid[#Data],$DD1084,18),0)</f>
        <v/>
      </c>
      <c r="U1084">
        <f>IFERROR(INDEX(PP_Grid[#Data],$DD1084,19),0)</f>
        <v/>
      </c>
      <c r="V1084">
        <f>IFERROR(INDEX(PP_Grid[#Data],$DD1084,20),0)</f>
        <v/>
      </c>
      <c r="W1084">
        <f>IFERROR(INDEX(PP_Grid[#Data],$DD1084,21),0)</f>
        <v/>
      </c>
      <c r="X1084">
        <f>IFERROR(INDEX(PP_Grid[#Data],$DD1084,22),0)</f>
        <v/>
      </c>
      <c r="Y1084">
        <f>IFERROR(INDEX(PP_Grid[#Data],$DD1084,23),0)</f>
        <v/>
      </c>
      <c r="Z1084">
        <f>IFERROR(INDEX(PP_Grid[#Data],$DD1084,24),0)</f>
        <v/>
      </c>
      <c r="AA1084">
        <f>IFERROR(INDEX(PP_Grid[#Data],$DD1084,25),0)</f>
        <v/>
      </c>
      <c r="AB1084">
        <f>IFERROR(INDEX(PP_Grid[#Data],$DD1084,26),0)</f>
        <v/>
      </c>
      <c r="AC1084">
        <f>IFERROR(INDEX(PP_Grid[#Data],$DD1084,27),0)</f>
        <v/>
      </c>
      <c r="AD1084">
        <f>IFERROR(INDEX(PP_Grid[#Data],$DD1084,28),0)</f>
        <v/>
      </c>
      <c r="AE1084">
        <f>IFERROR(INDEX(PP_Grid[#Data],$DD1084,29),0)</f>
        <v/>
      </c>
      <c r="AF1084">
        <f>IFERROR(INDEX(PP_Grid[#Data],$DD1084,30),0)</f>
        <v/>
      </c>
      <c r="AG1084">
        <f>IFERROR(INDEX(PP_Grid[#Data],$DD1084,31),0)</f>
        <v/>
      </c>
      <c r="AH1084">
        <f>IFERROR(INDEX(PP_Grid[#Data],$DD1084,32),0)</f>
        <v/>
      </c>
      <c r="AI1084">
        <f>IFERROR(INDEX(PP_Grid[#Data],$DD1084,33),0)</f>
        <v/>
      </c>
      <c r="AJ1084">
        <f>IFERROR(INDEX(PP_Grid[#Data],$DD1084,34),0)</f>
        <v/>
      </c>
      <c r="AK1084">
        <f>IFERROR(INDEX(PP_Grid[#Data],$DD1084,35),0)</f>
        <v/>
      </c>
      <c r="AL1084">
        <f>IFERROR(INDEX(PP_Grid[#Data],$DD1084,36),0)</f>
        <v/>
      </c>
      <c r="AM1084">
        <f>IFERROR(INDEX(PP_Grid[#Data],$DD1084,37),0)</f>
        <v/>
      </c>
      <c r="AN1084">
        <f>IFERROR(INDEX(PP_Grid[#Data],$DD1084,38),0)</f>
        <v/>
      </c>
      <c r="AO1084">
        <f>IFERROR(INDEX(PP_Grid[#Data],$DD1084,39),0)</f>
        <v/>
      </c>
      <c r="AP1084">
        <f>IFERROR(INDEX(PP_Grid[#Data],$DD1084,40),0)</f>
        <v/>
      </c>
      <c r="AQ1084">
        <f>IFERROR(INDEX(PP_Grid[#Data],$DD1084,41),0)</f>
        <v/>
      </c>
      <c r="AR1084">
        <f>IFERROR(INDEX(PP_Grid[#Data],$DD1084,42),0)</f>
        <v/>
      </c>
      <c r="AS1084">
        <f>IFERROR(INDEX(PP_Grid[#Data],$DD1084,43),0)</f>
        <v/>
      </c>
      <c r="AT1084">
        <f>IFERROR(INDEX(PP_Grid[#Data],$DD1084,44),0)</f>
        <v/>
      </c>
      <c r="AU1084">
        <f>IFERROR(INDEX(PP_Grid[#Data],$DD1084,45),0)</f>
        <v/>
      </c>
      <c r="AV1084">
        <f>IFERROR(INDEX(PP_Grid[#Data],$DD1084,46),0)</f>
        <v/>
      </c>
      <c r="AW1084">
        <f>IFERROR(INDEX(PP_Grid[#Data],$DD1084,47),0)</f>
        <v/>
      </c>
      <c r="AX1084">
        <f>IFERROR(INDEX(PP_Grid[#Data],$DD1084,48),0)</f>
        <v/>
      </c>
      <c r="AY1084">
        <f>IFERROR(INDEX(PP_Grid[#Data],$DD1084,49),0)</f>
        <v/>
      </c>
      <c r="AZ1084">
        <f>IFERROR(INDEX(PP_Grid[#Data],$DD1084,50),0)</f>
        <v/>
      </c>
      <c r="BA1084">
        <f>IFERROR(INDEX(PP_Grid[#Data],$DD1084,51),0)</f>
        <v/>
      </c>
      <c r="BB1084">
        <f>IFERROR(INDEX(PP_Grid[#Data],$DD1084,52),0)</f>
        <v/>
      </c>
      <c r="BC1084">
        <f>IFERROR(INDEX(PP_Grid[#Data],$DD1084,53),0)</f>
        <v/>
      </c>
      <c r="BD1084">
        <f>IFERROR(INDEX(PP_Grid[#Data],$DD1084,54),0)</f>
        <v/>
      </c>
      <c r="BE1084">
        <f>IFERROR(INDEX(PP_Grid[#Data],$DD1084,55),0)</f>
        <v/>
      </c>
      <c r="BF1084">
        <f>IFERROR(INDEX(PP_Grid[#Data],$DD1084,56),0)</f>
        <v/>
      </c>
      <c r="BG1084">
        <f>IFERROR(INDEX(PP_Grid[#Data],$DD1084,57),0)</f>
        <v/>
      </c>
      <c r="BH1084">
        <f>IFERROR(INDEX(PP_Grid[#Data],$DD1084,58),0)</f>
        <v/>
      </c>
      <c r="BI1084">
        <f>IFERROR(INDEX(PP_Grid[#Data],$DD1084,59),0)</f>
        <v/>
      </c>
      <c r="BJ1084">
        <f>IFERROR(INDEX(PP_Grid[#Data],$DD1084,60),0)</f>
        <v/>
      </c>
      <c r="BK1084">
        <f>IFERROR(INDEX(PP_Grid[#Data],$DD1084,61),0)</f>
        <v/>
      </c>
      <c r="BL1084">
        <f>IFERROR(INDEX(PP_Grid[#Data],$DD1084,62),0)</f>
        <v/>
      </c>
      <c r="BM1084">
        <f>IFERROR(INDEX(PP_Grid[#Data],$DD1084,63),0)</f>
        <v/>
      </c>
      <c r="BN1084">
        <f>IFERROR(INDEX(PP_Grid[#Data],$DD1084,64),0)</f>
        <v/>
      </c>
      <c r="BO1084">
        <f>IFERROR(INDEX(PP_Grid[#Data],$DD1084,65),0)</f>
        <v/>
      </c>
      <c r="BP1084">
        <f>IFERROR(INDEX(PP_Grid[#Data],$DD1084,66),0)</f>
        <v/>
      </c>
      <c r="BQ1084">
        <f>IFERROR(INDEX(PP_Grid[#Data],$DD1084,67),0)</f>
        <v/>
      </c>
      <c r="BR1084">
        <f>IFERROR(INDEX(PP_Grid[#Data],$DD1084,68),0)</f>
        <v/>
      </c>
      <c r="BS1084">
        <f>IFERROR(INDEX(PP_Grid[#Data],$DD1084,69),0)</f>
        <v/>
      </c>
      <c r="BT1084">
        <f>IFERROR(INDEX(PP_Grid[#Data],$DD1084,70),0)</f>
        <v/>
      </c>
      <c r="BU1084">
        <f>IFERROR(INDEX(PP_Grid[#Data],$DD1084,71),0)</f>
        <v/>
      </c>
      <c r="BV1084">
        <f>IFERROR(INDEX(PP_Grid[#Data],$DD1084,72),0)</f>
        <v/>
      </c>
      <c r="BW1084">
        <f>IFERROR(INDEX(PP_Grid[#Data],$DD1084,73),0)</f>
        <v/>
      </c>
      <c r="BX1084">
        <f>IFERROR(INDEX(PP_Grid[#Data],$DD1084,74),0)</f>
        <v/>
      </c>
      <c r="BY1084">
        <f>IFERROR(INDEX(PP_Grid[#Data],$DD1084,75),0)</f>
        <v/>
      </c>
      <c r="BZ1084">
        <f>IFERROR(INDEX(PP_Grid[#Data],$DD1084,76),0)</f>
        <v/>
      </c>
      <c r="CA1084">
        <f>IFERROR(INDEX(PP_Grid[#Data],$DD1084,77),0)</f>
        <v/>
      </c>
      <c r="CB1084">
        <f>IFERROR(INDEX(PP_Grid[#Data],$DD1084,78),0)</f>
        <v/>
      </c>
      <c r="CC1084">
        <f>IFERROR(INDEX(PP_Grid[#Data],$DD1084,79),0)</f>
        <v/>
      </c>
      <c r="CD1084">
        <f>IFERROR(INDEX(PP_Grid[#Data],$DD1084,80),0)</f>
        <v/>
      </c>
      <c r="CE1084">
        <f>IFERROR(INDEX(PP_Grid[#Data],$DD1084,81),0)</f>
        <v/>
      </c>
      <c r="CF1084">
        <f>IFERROR(INDEX(PP_Grid[#Data],$DD1084,82),0)</f>
        <v/>
      </c>
      <c r="CG1084">
        <f>IFERROR(INDEX(PP_Grid[#Data],$DD1084,83),0)</f>
        <v/>
      </c>
      <c r="CH1084">
        <f>IFERROR(INDEX(PP_Grid[#Data],$DD1084,84),0)</f>
        <v/>
      </c>
      <c r="CI1084">
        <f>IFERROR(INDEX(PP_Grid[#Data],$DD1084,85),0)</f>
        <v/>
      </c>
      <c r="CJ1084">
        <f>IFERROR(INDEX(PP_Grid[#Data],$DD1084,86),0)</f>
        <v/>
      </c>
      <c r="CK1084">
        <f>IFERROR(INDEX(PP_Grid[#Data],$DD1084,87),0)</f>
        <v/>
      </c>
      <c r="CL1084">
        <f>IFERROR(INDEX(PP_Grid[#Data],$DD1084,88),0)</f>
        <v/>
      </c>
      <c r="CM1084">
        <f>IFERROR(INDEX(PP_Grid[#Data],$DD1084,89),0)</f>
        <v/>
      </c>
      <c r="CN1084">
        <f>IFERROR(INDEX(PP_Grid[#Data],$DD1084,90),0)</f>
        <v/>
      </c>
      <c r="CO1084">
        <f>IFERROR(INDEX(PP_Grid[#Data],$DD1084,91),0)</f>
        <v/>
      </c>
      <c r="CP1084">
        <f>IFERROR(INDEX(PP_Grid[#Data],$DD1084,92),0)</f>
        <v/>
      </c>
      <c r="CQ1084">
        <f>IFERROR(INDEX(PP_Grid[#Data],$DD1084,93),0)</f>
        <v/>
      </c>
      <c r="CR1084">
        <f>IFERROR(INDEX(PP_Grid[#Data],$DD1084,94),0)</f>
        <v/>
      </c>
      <c r="CS1084">
        <f>IFERROR(INDEX(PP_Grid[#Data],$DD1084,95),0)</f>
        <v/>
      </c>
      <c r="CT1084">
        <f>IFERROR(INDEX(PP_Grid[#Data],$DD1084,96),0)</f>
        <v/>
      </c>
      <c r="CU1084">
        <f>IFERROR(INDEX(PP_Grid[#Data],$DD1084,97),0)</f>
        <v/>
      </c>
      <c r="CV1084">
        <f>IFERROR(INDEX(PP_Grid[#Data],$DD1084,98),0)</f>
        <v/>
      </c>
      <c r="CW1084">
        <f>IFERROR(INDEX(PP_Grid[#Data],$DD1084,99),0)</f>
        <v/>
      </c>
      <c r="CX1084">
        <f>IFERROR(INDEX(PP_Grid[#Data],$DD1084,100),0)</f>
        <v/>
      </c>
      <c r="CY1084">
        <f>IFERROR(INDEX(PP_Grid[#Data],$DD1084,101),0)</f>
        <v/>
      </c>
      <c r="CZ1084">
        <f>IFERROR(INDEX(PP_Grid[#Data],$DD1084,102),0)</f>
        <v/>
      </c>
      <c r="DA1084">
        <f>IFERROR(INDEX(PP_Grid[#Data],$DD1084,103),0)</f>
        <v/>
      </c>
      <c r="DB1084">
        <f>IFERROR(INDEX(PP_Grid[#Data],$DD1084,104),0)</f>
        <v/>
      </c>
      <c r="DC1084">
        <f>IFERROR(INDEX(PP_Grid[#Data],$DD1084,105),0)</f>
        <v/>
      </c>
      <c r="DD1084" s="12">
        <f>IFERROR(MATCH($B1084,PP_Grid[Intermediate],0),99999)</f>
        <v/>
      </c>
    </row>
    <row r="1085">
      <c r="B1085" t="inlineStr">
        <is>
          <t>使用量(kg)</t>
        </is>
      </c>
      <c r="C1085">
        <f>SUMIFS(M_BOM[RM_Qty_Per_Batch],M_BOM[Intermediate],$B1084,M_BOM[Part Name],$A1075)</f>
        <v/>
      </c>
      <c r="D1085">
        <f>$C1085*D1084</f>
        <v/>
      </c>
      <c r="E1085">
        <f>$C1085*E1084</f>
        <v/>
      </c>
      <c r="F1085">
        <f>$C1085*F1084</f>
        <v/>
      </c>
      <c r="G1085">
        <f>$C1085*G1084</f>
        <v/>
      </c>
      <c r="H1085">
        <f>$C1085*H1084</f>
        <v/>
      </c>
      <c r="I1085">
        <f>$C1085*I1084</f>
        <v/>
      </c>
      <c r="J1085">
        <f>$C1085*J1084</f>
        <v/>
      </c>
      <c r="K1085">
        <f>$C1085*K1084</f>
        <v/>
      </c>
      <c r="L1085">
        <f>$C1085*L1084</f>
        <v/>
      </c>
      <c r="M1085">
        <f>$C1085*M1084</f>
        <v/>
      </c>
      <c r="N1085">
        <f>$C1085*N1084</f>
        <v/>
      </c>
      <c r="O1085">
        <f>$C1085*O1084</f>
        <v/>
      </c>
      <c r="P1085">
        <f>$C1085*P1084</f>
        <v/>
      </c>
      <c r="Q1085">
        <f>$C1085*Q1084</f>
        <v/>
      </c>
      <c r="R1085">
        <f>$C1085*R1084</f>
        <v/>
      </c>
      <c r="S1085">
        <f>$C1085*S1084</f>
        <v/>
      </c>
      <c r="T1085">
        <f>$C1085*T1084</f>
        <v/>
      </c>
      <c r="U1085">
        <f>$C1085*U1084</f>
        <v/>
      </c>
      <c r="V1085">
        <f>$C1085*V1084</f>
        <v/>
      </c>
      <c r="W1085">
        <f>$C1085*W1084</f>
        <v/>
      </c>
      <c r="X1085">
        <f>$C1085*X1084</f>
        <v/>
      </c>
      <c r="Y1085">
        <f>$C1085*Y1084</f>
        <v/>
      </c>
      <c r="Z1085">
        <f>$C1085*Z1084</f>
        <v/>
      </c>
      <c r="AA1085">
        <f>$C1085*AA1084</f>
        <v/>
      </c>
      <c r="AB1085">
        <f>$C1085*AB1084</f>
        <v/>
      </c>
      <c r="AC1085">
        <f>$C1085*AC1084</f>
        <v/>
      </c>
      <c r="AD1085">
        <f>$C1085*AD1084</f>
        <v/>
      </c>
      <c r="AE1085">
        <f>$C1085*AE1084</f>
        <v/>
      </c>
      <c r="AF1085">
        <f>$C1085*AF1084</f>
        <v/>
      </c>
      <c r="AG1085">
        <f>$C1085*AG1084</f>
        <v/>
      </c>
      <c r="AH1085">
        <f>$C1085*AH1084</f>
        <v/>
      </c>
      <c r="AI1085">
        <f>$C1085*AI1084</f>
        <v/>
      </c>
      <c r="AJ1085">
        <f>$C1085*AJ1084</f>
        <v/>
      </c>
      <c r="AK1085">
        <f>$C1085*AK1084</f>
        <v/>
      </c>
      <c r="AL1085">
        <f>$C1085*AL1084</f>
        <v/>
      </c>
      <c r="AM1085">
        <f>$C1085*AM1084</f>
        <v/>
      </c>
      <c r="AN1085">
        <f>$C1085*AN1084</f>
        <v/>
      </c>
      <c r="AO1085">
        <f>$C1085*AO1084</f>
        <v/>
      </c>
      <c r="AP1085">
        <f>$C1085*AP1084</f>
        <v/>
      </c>
      <c r="AQ1085">
        <f>$C1085*AQ1084</f>
        <v/>
      </c>
      <c r="AR1085">
        <f>$C1085*AR1084</f>
        <v/>
      </c>
      <c r="AS1085">
        <f>$C1085*AS1084</f>
        <v/>
      </c>
      <c r="AT1085">
        <f>$C1085*AT1084</f>
        <v/>
      </c>
      <c r="AU1085">
        <f>$C1085*AU1084</f>
        <v/>
      </c>
      <c r="AV1085">
        <f>$C1085*AV1084</f>
        <v/>
      </c>
      <c r="AW1085">
        <f>$C1085*AW1084</f>
        <v/>
      </c>
      <c r="AX1085">
        <f>$C1085*AX1084</f>
        <v/>
      </c>
      <c r="AY1085">
        <f>$C1085*AY1084</f>
        <v/>
      </c>
      <c r="AZ1085">
        <f>$C1085*AZ1084</f>
        <v/>
      </c>
      <c r="BA1085">
        <f>$C1085*BA1084</f>
        <v/>
      </c>
      <c r="BB1085">
        <f>$C1085*BB1084</f>
        <v/>
      </c>
      <c r="BC1085">
        <f>$C1085*BC1084</f>
        <v/>
      </c>
      <c r="BD1085">
        <f>$C1085*BD1084</f>
        <v/>
      </c>
      <c r="BE1085">
        <f>$C1085*BE1084</f>
        <v/>
      </c>
      <c r="BF1085">
        <f>$C1085*BF1084</f>
        <v/>
      </c>
      <c r="BG1085">
        <f>$C1085*BG1084</f>
        <v/>
      </c>
      <c r="BH1085">
        <f>$C1085*BH1084</f>
        <v/>
      </c>
      <c r="BI1085">
        <f>$C1085*BI1084</f>
        <v/>
      </c>
      <c r="BJ1085">
        <f>$C1085*BJ1084</f>
        <v/>
      </c>
      <c r="BK1085">
        <f>$C1085*BK1084</f>
        <v/>
      </c>
      <c r="BL1085">
        <f>$C1085*BL1084</f>
        <v/>
      </c>
      <c r="BM1085">
        <f>$C1085*BM1084</f>
        <v/>
      </c>
      <c r="BN1085">
        <f>$C1085*BN1084</f>
        <v/>
      </c>
      <c r="BO1085">
        <f>$C1085*BO1084</f>
        <v/>
      </c>
      <c r="BP1085">
        <f>$C1085*BP1084</f>
        <v/>
      </c>
      <c r="BQ1085">
        <f>$C1085*BQ1084</f>
        <v/>
      </c>
      <c r="BR1085">
        <f>$C1085*BR1084</f>
        <v/>
      </c>
      <c r="BS1085">
        <f>$C1085*BS1084</f>
        <v/>
      </c>
      <c r="BT1085">
        <f>$C1085*BT1084</f>
        <v/>
      </c>
      <c r="BU1085">
        <f>$C1085*BU1084</f>
        <v/>
      </c>
      <c r="BV1085">
        <f>$C1085*BV1084</f>
        <v/>
      </c>
      <c r="BW1085">
        <f>$C1085*BW1084</f>
        <v/>
      </c>
      <c r="BX1085">
        <f>$C1085*BX1084</f>
        <v/>
      </c>
      <c r="BY1085">
        <f>$C1085*BY1084</f>
        <v/>
      </c>
      <c r="BZ1085">
        <f>$C1085*BZ1084</f>
        <v/>
      </c>
      <c r="CA1085">
        <f>$C1085*CA1084</f>
        <v/>
      </c>
      <c r="CB1085">
        <f>$C1085*CB1084</f>
        <v/>
      </c>
      <c r="CC1085">
        <f>$C1085*CC1084</f>
        <v/>
      </c>
      <c r="CD1085">
        <f>$C1085*CD1084</f>
        <v/>
      </c>
      <c r="CE1085">
        <f>$C1085*CE1084</f>
        <v/>
      </c>
      <c r="CF1085">
        <f>$C1085*CF1084</f>
        <v/>
      </c>
      <c r="CG1085">
        <f>$C1085*CG1084</f>
        <v/>
      </c>
      <c r="CH1085">
        <f>$C1085*CH1084</f>
        <v/>
      </c>
      <c r="CI1085">
        <f>$C1085*CI1084</f>
        <v/>
      </c>
      <c r="CJ1085">
        <f>$C1085*CJ1084</f>
        <v/>
      </c>
      <c r="CK1085">
        <f>$C1085*CK1084</f>
        <v/>
      </c>
      <c r="CL1085">
        <f>$C1085*CL1084</f>
        <v/>
      </c>
      <c r="CM1085">
        <f>$C1085*CM1084</f>
        <v/>
      </c>
      <c r="CN1085">
        <f>$C1085*CN1084</f>
        <v/>
      </c>
      <c r="CO1085">
        <f>$C1085*CO1084</f>
        <v/>
      </c>
      <c r="CP1085">
        <f>$C1085*CP1084</f>
        <v/>
      </c>
      <c r="CQ1085">
        <f>$C1085*CQ1084</f>
        <v/>
      </c>
      <c r="CR1085">
        <f>$C1085*CR1084</f>
        <v/>
      </c>
      <c r="CS1085">
        <f>$C1085*CS1084</f>
        <v/>
      </c>
      <c r="CT1085">
        <f>$C1085*CT1084</f>
        <v/>
      </c>
      <c r="CU1085">
        <f>$C1085*CU1084</f>
        <v/>
      </c>
      <c r="CV1085">
        <f>$C1085*CV1084</f>
        <v/>
      </c>
      <c r="CW1085">
        <f>$C1085*CW1084</f>
        <v/>
      </c>
      <c r="CX1085">
        <f>$C1085*CX1084</f>
        <v/>
      </c>
      <c r="CY1085">
        <f>$C1085*CY1084</f>
        <v/>
      </c>
      <c r="CZ1085">
        <f>$C1085*CZ1084</f>
        <v/>
      </c>
      <c r="DA1085">
        <f>$C1085*DA1084</f>
        <v/>
      </c>
      <c r="DB1085">
        <f>$C1085*DB1084</f>
        <v/>
      </c>
      <c r="DC1085">
        <f>$C1085*DC1084</f>
        <v/>
      </c>
    </row>
    <row r="1086">
      <c r="B1086" t="inlineStr">
        <is>
          <t>TSP-049</t>
        </is>
      </c>
      <c r="C1086" t="inlineStr">
        <is>
          <t>No. of batches</t>
        </is>
      </c>
      <c r="D1086">
        <f>IFERROR(INDEX(PP_Grid[#Data],$DD1086,2),0)</f>
        <v/>
      </c>
      <c r="E1086">
        <f>IFERROR(INDEX(PP_Grid[#Data],$DD1086,3),0)</f>
        <v/>
      </c>
      <c r="F1086">
        <f>IFERROR(INDEX(PP_Grid[#Data],$DD1086,4),0)</f>
        <v/>
      </c>
      <c r="G1086">
        <f>IFERROR(INDEX(PP_Grid[#Data],$DD1086,5),0)</f>
        <v/>
      </c>
      <c r="H1086">
        <f>IFERROR(INDEX(PP_Grid[#Data],$DD1086,6),0)</f>
        <v/>
      </c>
      <c r="I1086">
        <f>IFERROR(INDEX(PP_Grid[#Data],$DD1086,7),0)</f>
        <v/>
      </c>
      <c r="J1086">
        <f>IFERROR(INDEX(PP_Grid[#Data],$DD1086,8),0)</f>
        <v/>
      </c>
      <c r="K1086">
        <f>IFERROR(INDEX(PP_Grid[#Data],$DD1086,9),0)</f>
        <v/>
      </c>
      <c r="L1086">
        <f>IFERROR(INDEX(PP_Grid[#Data],$DD1086,10),0)</f>
        <v/>
      </c>
      <c r="M1086">
        <f>IFERROR(INDEX(PP_Grid[#Data],$DD1086,11),0)</f>
        <v/>
      </c>
      <c r="N1086">
        <f>IFERROR(INDEX(PP_Grid[#Data],$DD1086,12),0)</f>
        <v/>
      </c>
      <c r="O1086">
        <f>IFERROR(INDEX(PP_Grid[#Data],$DD1086,13),0)</f>
        <v/>
      </c>
      <c r="P1086">
        <f>IFERROR(INDEX(PP_Grid[#Data],$DD1086,14),0)</f>
        <v/>
      </c>
      <c r="Q1086">
        <f>IFERROR(INDEX(PP_Grid[#Data],$DD1086,15),0)</f>
        <v/>
      </c>
      <c r="R1086">
        <f>IFERROR(INDEX(PP_Grid[#Data],$DD1086,16),0)</f>
        <v/>
      </c>
      <c r="S1086">
        <f>IFERROR(INDEX(PP_Grid[#Data],$DD1086,17),0)</f>
        <v/>
      </c>
      <c r="T1086">
        <f>IFERROR(INDEX(PP_Grid[#Data],$DD1086,18),0)</f>
        <v/>
      </c>
      <c r="U1086">
        <f>IFERROR(INDEX(PP_Grid[#Data],$DD1086,19),0)</f>
        <v/>
      </c>
      <c r="V1086">
        <f>IFERROR(INDEX(PP_Grid[#Data],$DD1086,20),0)</f>
        <v/>
      </c>
      <c r="W1086">
        <f>IFERROR(INDEX(PP_Grid[#Data],$DD1086,21),0)</f>
        <v/>
      </c>
      <c r="X1086">
        <f>IFERROR(INDEX(PP_Grid[#Data],$DD1086,22),0)</f>
        <v/>
      </c>
      <c r="Y1086">
        <f>IFERROR(INDEX(PP_Grid[#Data],$DD1086,23),0)</f>
        <v/>
      </c>
      <c r="Z1086">
        <f>IFERROR(INDEX(PP_Grid[#Data],$DD1086,24),0)</f>
        <v/>
      </c>
      <c r="AA1086">
        <f>IFERROR(INDEX(PP_Grid[#Data],$DD1086,25),0)</f>
        <v/>
      </c>
      <c r="AB1086">
        <f>IFERROR(INDEX(PP_Grid[#Data],$DD1086,26),0)</f>
        <v/>
      </c>
      <c r="AC1086">
        <f>IFERROR(INDEX(PP_Grid[#Data],$DD1086,27),0)</f>
        <v/>
      </c>
      <c r="AD1086">
        <f>IFERROR(INDEX(PP_Grid[#Data],$DD1086,28),0)</f>
        <v/>
      </c>
      <c r="AE1086">
        <f>IFERROR(INDEX(PP_Grid[#Data],$DD1086,29),0)</f>
        <v/>
      </c>
      <c r="AF1086">
        <f>IFERROR(INDEX(PP_Grid[#Data],$DD1086,30),0)</f>
        <v/>
      </c>
      <c r="AG1086">
        <f>IFERROR(INDEX(PP_Grid[#Data],$DD1086,31),0)</f>
        <v/>
      </c>
      <c r="AH1086">
        <f>IFERROR(INDEX(PP_Grid[#Data],$DD1086,32),0)</f>
        <v/>
      </c>
      <c r="AI1086">
        <f>IFERROR(INDEX(PP_Grid[#Data],$DD1086,33),0)</f>
        <v/>
      </c>
      <c r="AJ1086">
        <f>IFERROR(INDEX(PP_Grid[#Data],$DD1086,34),0)</f>
        <v/>
      </c>
      <c r="AK1086">
        <f>IFERROR(INDEX(PP_Grid[#Data],$DD1086,35),0)</f>
        <v/>
      </c>
      <c r="AL1086">
        <f>IFERROR(INDEX(PP_Grid[#Data],$DD1086,36),0)</f>
        <v/>
      </c>
      <c r="AM1086">
        <f>IFERROR(INDEX(PP_Grid[#Data],$DD1086,37),0)</f>
        <v/>
      </c>
      <c r="AN1086">
        <f>IFERROR(INDEX(PP_Grid[#Data],$DD1086,38),0)</f>
        <v/>
      </c>
      <c r="AO1086">
        <f>IFERROR(INDEX(PP_Grid[#Data],$DD1086,39),0)</f>
        <v/>
      </c>
      <c r="AP1086">
        <f>IFERROR(INDEX(PP_Grid[#Data],$DD1086,40),0)</f>
        <v/>
      </c>
      <c r="AQ1086">
        <f>IFERROR(INDEX(PP_Grid[#Data],$DD1086,41),0)</f>
        <v/>
      </c>
      <c r="AR1086">
        <f>IFERROR(INDEX(PP_Grid[#Data],$DD1086,42),0)</f>
        <v/>
      </c>
      <c r="AS1086">
        <f>IFERROR(INDEX(PP_Grid[#Data],$DD1086,43),0)</f>
        <v/>
      </c>
      <c r="AT1086">
        <f>IFERROR(INDEX(PP_Grid[#Data],$DD1086,44),0)</f>
        <v/>
      </c>
      <c r="AU1086">
        <f>IFERROR(INDEX(PP_Grid[#Data],$DD1086,45),0)</f>
        <v/>
      </c>
      <c r="AV1086">
        <f>IFERROR(INDEX(PP_Grid[#Data],$DD1086,46),0)</f>
        <v/>
      </c>
      <c r="AW1086">
        <f>IFERROR(INDEX(PP_Grid[#Data],$DD1086,47),0)</f>
        <v/>
      </c>
      <c r="AX1086">
        <f>IFERROR(INDEX(PP_Grid[#Data],$DD1086,48),0)</f>
        <v/>
      </c>
      <c r="AY1086">
        <f>IFERROR(INDEX(PP_Grid[#Data],$DD1086,49),0)</f>
        <v/>
      </c>
      <c r="AZ1086">
        <f>IFERROR(INDEX(PP_Grid[#Data],$DD1086,50),0)</f>
        <v/>
      </c>
      <c r="BA1086">
        <f>IFERROR(INDEX(PP_Grid[#Data],$DD1086,51),0)</f>
        <v/>
      </c>
      <c r="BB1086">
        <f>IFERROR(INDEX(PP_Grid[#Data],$DD1086,52),0)</f>
        <v/>
      </c>
      <c r="BC1086">
        <f>IFERROR(INDEX(PP_Grid[#Data],$DD1086,53),0)</f>
        <v/>
      </c>
      <c r="BD1086">
        <f>IFERROR(INDEX(PP_Grid[#Data],$DD1086,54),0)</f>
        <v/>
      </c>
      <c r="BE1086">
        <f>IFERROR(INDEX(PP_Grid[#Data],$DD1086,55),0)</f>
        <v/>
      </c>
      <c r="BF1086">
        <f>IFERROR(INDEX(PP_Grid[#Data],$DD1086,56),0)</f>
        <v/>
      </c>
      <c r="BG1086">
        <f>IFERROR(INDEX(PP_Grid[#Data],$DD1086,57),0)</f>
        <v/>
      </c>
      <c r="BH1086">
        <f>IFERROR(INDEX(PP_Grid[#Data],$DD1086,58),0)</f>
        <v/>
      </c>
      <c r="BI1086">
        <f>IFERROR(INDEX(PP_Grid[#Data],$DD1086,59),0)</f>
        <v/>
      </c>
      <c r="BJ1086">
        <f>IFERROR(INDEX(PP_Grid[#Data],$DD1086,60),0)</f>
        <v/>
      </c>
      <c r="BK1086">
        <f>IFERROR(INDEX(PP_Grid[#Data],$DD1086,61),0)</f>
        <v/>
      </c>
      <c r="BL1086">
        <f>IFERROR(INDEX(PP_Grid[#Data],$DD1086,62),0)</f>
        <v/>
      </c>
      <c r="BM1086">
        <f>IFERROR(INDEX(PP_Grid[#Data],$DD1086,63),0)</f>
        <v/>
      </c>
      <c r="BN1086">
        <f>IFERROR(INDEX(PP_Grid[#Data],$DD1086,64),0)</f>
        <v/>
      </c>
      <c r="BO1086">
        <f>IFERROR(INDEX(PP_Grid[#Data],$DD1086,65),0)</f>
        <v/>
      </c>
      <c r="BP1086">
        <f>IFERROR(INDEX(PP_Grid[#Data],$DD1086,66),0)</f>
        <v/>
      </c>
      <c r="BQ1086">
        <f>IFERROR(INDEX(PP_Grid[#Data],$DD1086,67),0)</f>
        <v/>
      </c>
      <c r="BR1086">
        <f>IFERROR(INDEX(PP_Grid[#Data],$DD1086,68),0)</f>
        <v/>
      </c>
      <c r="BS1086">
        <f>IFERROR(INDEX(PP_Grid[#Data],$DD1086,69),0)</f>
        <v/>
      </c>
      <c r="BT1086">
        <f>IFERROR(INDEX(PP_Grid[#Data],$DD1086,70),0)</f>
        <v/>
      </c>
      <c r="BU1086">
        <f>IFERROR(INDEX(PP_Grid[#Data],$DD1086,71),0)</f>
        <v/>
      </c>
      <c r="BV1086">
        <f>IFERROR(INDEX(PP_Grid[#Data],$DD1086,72),0)</f>
        <v/>
      </c>
      <c r="BW1086">
        <f>IFERROR(INDEX(PP_Grid[#Data],$DD1086,73),0)</f>
        <v/>
      </c>
      <c r="BX1086">
        <f>IFERROR(INDEX(PP_Grid[#Data],$DD1086,74),0)</f>
        <v/>
      </c>
      <c r="BY1086">
        <f>IFERROR(INDEX(PP_Grid[#Data],$DD1086,75),0)</f>
        <v/>
      </c>
      <c r="BZ1086">
        <f>IFERROR(INDEX(PP_Grid[#Data],$DD1086,76),0)</f>
        <v/>
      </c>
      <c r="CA1086">
        <f>IFERROR(INDEX(PP_Grid[#Data],$DD1086,77),0)</f>
        <v/>
      </c>
      <c r="CB1086">
        <f>IFERROR(INDEX(PP_Grid[#Data],$DD1086,78),0)</f>
        <v/>
      </c>
      <c r="CC1086">
        <f>IFERROR(INDEX(PP_Grid[#Data],$DD1086,79),0)</f>
        <v/>
      </c>
      <c r="CD1086">
        <f>IFERROR(INDEX(PP_Grid[#Data],$DD1086,80),0)</f>
        <v/>
      </c>
      <c r="CE1086">
        <f>IFERROR(INDEX(PP_Grid[#Data],$DD1086,81),0)</f>
        <v/>
      </c>
      <c r="CF1086">
        <f>IFERROR(INDEX(PP_Grid[#Data],$DD1086,82),0)</f>
        <v/>
      </c>
      <c r="CG1086">
        <f>IFERROR(INDEX(PP_Grid[#Data],$DD1086,83),0)</f>
        <v/>
      </c>
      <c r="CH1086">
        <f>IFERROR(INDEX(PP_Grid[#Data],$DD1086,84),0)</f>
        <v/>
      </c>
      <c r="CI1086">
        <f>IFERROR(INDEX(PP_Grid[#Data],$DD1086,85),0)</f>
        <v/>
      </c>
      <c r="CJ1086">
        <f>IFERROR(INDEX(PP_Grid[#Data],$DD1086,86),0)</f>
        <v/>
      </c>
      <c r="CK1086">
        <f>IFERROR(INDEX(PP_Grid[#Data],$DD1086,87),0)</f>
        <v/>
      </c>
      <c r="CL1086">
        <f>IFERROR(INDEX(PP_Grid[#Data],$DD1086,88),0)</f>
        <v/>
      </c>
      <c r="CM1086">
        <f>IFERROR(INDEX(PP_Grid[#Data],$DD1086,89),0)</f>
        <v/>
      </c>
      <c r="CN1086">
        <f>IFERROR(INDEX(PP_Grid[#Data],$DD1086,90),0)</f>
        <v/>
      </c>
      <c r="CO1086">
        <f>IFERROR(INDEX(PP_Grid[#Data],$DD1086,91),0)</f>
        <v/>
      </c>
      <c r="CP1086">
        <f>IFERROR(INDEX(PP_Grid[#Data],$DD1086,92),0)</f>
        <v/>
      </c>
      <c r="CQ1086">
        <f>IFERROR(INDEX(PP_Grid[#Data],$DD1086,93),0)</f>
        <v/>
      </c>
      <c r="CR1086">
        <f>IFERROR(INDEX(PP_Grid[#Data],$DD1086,94),0)</f>
        <v/>
      </c>
      <c r="CS1086">
        <f>IFERROR(INDEX(PP_Grid[#Data],$DD1086,95),0)</f>
        <v/>
      </c>
      <c r="CT1086">
        <f>IFERROR(INDEX(PP_Grid[#Data],$DD1086,96),0)</f>
        <v/>
      </c>
      <c r="CU1086">
        <f>IFERROR(INDEX(PP_Grid[#Data],$DD1086,97),0)</f>
        <v/>
      </c>
      <c r="CV1086">
        <f>IFERROR(INDEX(PP_Grid[#Data],$DD1086,98),0)</f>
        <v/>
      </c>
      <c r="CW1086">
        <f>IFERROR(INDEX(PP_Grid[#Data],$DD1086,99),0)</f>
        <v/>
      </c>
      <c r="CX1086">
        <f>IFERROR(INDEX(PP_Grid[#Data],$DD1086,100),0)</f>
        <v/>
      </c>
      <c r="CY1086">
        <f>IFERROR(INDEX(PP_Grid[#Data],$DD1086,101),0)</f>
        <v/>
      </c>
      <c r="CZ1086">
        <f>IFERROR(INDEX(PP_Grid[#Data],$DD1086,102),0)</f>
        <v/>
      </c>
      <c r="DA1086">
        <f>IFERROR(INDEX(PP_Grid[#Data],$DD1086,103),0)</f>
        <v/>
      </c>
      <c r="DB1086">
        <f>IFERROR(INDEX(PP_Grid[#Data],$DD1086,104),0)</f>
        <v/>
      </c>
      <c r="DC1086">
        <f>IFERROR(INDEX(PP_Grid[#Data],$DD1086,105),0)</f>
        <v/>
      </c>
      <c r="DD1086" s="12">
        <f>IFERROR(MATCH($B1086,PP_Grid[Intermediate],0),99999)</f>
        <v/>
      </c>
    </row>
    <row r="1087">
      <c r="B1087" t="inlineStr">
        <is>
          <t>使用量(kg)</t>
        </is>
      </c>
      <c r="C1087">
        <f>SUMIFS(M_BOM[RM_Qty_Per_Batch],M_BOM[Intermediate],$B1086,M_BOM[Part Name],$A1075)</f>
        <v/>
      </c>
      <c r="D1087">
        <f>$C1087*D1086</f>
        <v/>
      </c>
      <c r="E1087">
        <f>$C1087*E1086</f>
        <v/>
      </c>
      <c r="F1087">
        <f>$C1087*F1086</f>
        <v/>
      </c>
      <c r="G1087">
        <f>$C1087*G1086</f>
        <v/>
      </c>
      <c r="H1087">
        <f>$C1087*H1086</f>
        <v/>
      </c>
      <c r="I1087">
        <f>$C1087*I1086</f>
        <v/>
      </c>
      <c r="J1087">
        <f>$C1087*J1086</f>
        <v/>
      </c>
      <c r="K1087">
        <f>$C1087*K1086</f>
        <v/>
      </c>
      <c r="L1087">
        <f>$C1087*L1086</f>
        <v/>
      </c>
      <c r="M1087">
        <f>$C1087*M1086</f>
        <v/>
      </c>
      <c r="N1087">
        <f>$C1087*N1086</f>
        <v/>
      </c>
      <c r="O1087">
        <f>$C1087*O1086</f>
        <v/>
      </c>
      <c r="P1087">
        <f>$C1087*P1086</f>
        <v/>
      </c>
      <c r="Q1087">
        <f>$C1087*Q1086</f>
        <v/>
      </c>
      <c r="R1087">
        <f>$C1087*R1086</f>
        <v/>
      </c>
      <c r="S1087">
        <f>$C1087*S1086</f>
        <v/>
      </c>
      <c r="T1087">
        <f>$C1087*T1086</f>
        <v/>
      </c>
      <c r="U1087">
        <f>$C1087*U1086</f>
        <v/>
      </c>
      <c r="V1087">
        <f>$C1087*V1086</f>
        <v/>
      </c>
      <c r="W1087">
        <f>$C1087*W1086</f>
        <v/>
      </c>
      <c r="X1087">
        <f>$C1087*X1086</f>
        <v/>
      </c>
      <c r="Y1087">
        <f>$C1087*Y1086</f>
        <v/>
      </c>
      <c r="Z1087">
        <f>$C1087*Z1086</f>
        <v/>
      </c>
      <c r="AA1087">
        <f>$C1087*AA1086</f>
        <v/>
      </c>
      <c r="AB1087">
        <f>$C1087*AB1086</f>
        <v/>
      </c>
      <c r="AC1087">
        <f>$C1087*AC1086</f>
        <v/>
      </c>
      <c r="AD1087">
        <f>$C1087*AD1086</f>
        <v/>
      </c>
      <c r="AE1087">
        <f>$C1087*AE1086</f>
        <v/>
      </c>
      <c r="AF1087">
        <f>$C1087*AF1086</f>
        <v/>
      </c>
      <c r="AG1087">
        <f>$C1087*AG1086</f>
        <v/>
      </c>
      <c r="AH1087">
        <f>$C1087*AH1086</f>
        <v/>
      </c>
      <c r="AI1087">
        <f>$C1087*AI1086</f>
        <v/>
      </c>
      <c r="AJ1087">
        <f>$C1087*AJ1086</f>
        <v/>
      </c>
      <c r="AK1087">
        <f>$C1087*AK1086</f>
        <v/>
      </c>
      <c r="AL1087">
        <f>$C1087*AL1086</f>
        <v/>
      </c>
      <c r="AM1087">
        <f>$C1087*AM1086</f>
        <v/>
      </c>
      <c r="AN1087">
        <f>$C1087*AN1086</f>
        <v/>
      </c>
      <c r="AO1087">
        <f>$C1087*AO1086</f>
        <v/>
      </c>
      <c r="AP1087">
        <f>$C1087*AP1086</f>
        <v/>
      </c>
      <c r="AQ1087">
        <f>$C1087*AQ1086</f>
        <v/>
      </c>
      <c r="AR1087">
        <f>$C1087*AR1086</f>
        <v/>
      </c>
      <c r="AS1087">
        <f>$C1087*AS1086</f>
        <v/>
      </c>
      <c r="AT1087">
        <f>$C1087*AT1086</f>
        <v/>
      </c>
      <c r="AU1087">
        <f>$C1087*AU1086</f>
        <v/>
      </c>
      <c r="AV1087">
        <f>$C1087*AV1086</f>
        <v/>
      </c>
      <c r="AW1087">
        <f>$C1087*AW1086</f>
        <v/>
      </c>
      <c r="AX1087">
        <f>$C1087*AX1086</f>
        <v/>
      </c>
      <c r="AY1087">
        <f>$C1087*AY1086</f>
        <v/>
      </c>
      <c r="AZ1087">
        <f>$C1087*AZ1086</f>
        <v/>
      </c>
      <c r="BA1087">
        <f>$C1087*BA1086</f>
        <v/>
      </c>
      <c r="BB1087">
        <f>$C1087*BB1086</f>
        <v/>
      </c>
      <c r="BC1087">
        <f>$C1087*BC1086</f>
        <v/>
      </c>
      <c r="BD1087">
        <f>$C1087*BD1086</f>
        <v/>
      </c>
      <c r="BE1087">
        <f>$C1087*BE1086</f>
        <v/>
      </c>
      <c r="BF1087">
        <f>$C1087*BF1086</f>
        <v/>
      </c>
      <c r="BG1087">
        <f>$C1087*BG1086</f>
        <v/>
      </c>
      <c r="BH1087">
        <f>$C1087*BH1086</f>
        <v/>
      </c>
      <c r="BI1087">
        <f>$C1087*BI1086</f>
        <v/>
      </c>
      <c r="BJ1087">
        <f>$C1087*BJ1086</f>
        <v/>
      </c>
      <c r="BK1087">
        <f>$C1087*BK1086</f>
        <v/>
      </c>
      <c r="BL1087">
        <f>$C1087*BL1086</f>
        <v/>
      </c>
      <c r="BM1087">
        <f>$C1087*BM1086</f>
        <v/>
      </c>
      <c r="BN1087">
        <f>$C1087*BN1086</f>
        <v/>
      </c>
      <c r="BO1087">
        <f>$C1087*BO1086</f>
        <v/>
      </c>
      <c r="BP1087">
        <f>$C1087*BP1086</f>
        <v/>
      </c>
      <c r="BQ1087">
        <f>$C1087*BQ1086</f>
        <v/>
      </c>
      <c r="BR1087">
        <f>$C1087*BR1086</f>
        <v/>
      </c>
      <c r="BS1087">
        <f>$C1087*BS1086</f>
        <v/>
      </c>
      <c r="BT1087">
        <f>$C1087*BT1086</f>
        <v/>
      </c>
      <c r="BU1087">
        <f>$C1087*BU1086</f>
        <v/>
      </c>
      <c r="BV1087">
        <f>$C1087*BV1086</f>
        <v/>
      </c>
      <c r="BW1087">
        <f>$C1087*BW1086</f>
        <v/>
      </c>
      <c r="BX1087">
        <f>$C1087*BX1086</f>
        <v/>
      </c>
      <c r="BY1087">
        <f>$C1087*BY1086</f>
        <v/>
      </c>
      <c r="BZ1087">
        <f>$C1087*BZ1086</f>
        <v/>
      </c>
      <c r="CA1087">
        <f>$C1087*CA1086</f>
        <v/>
      </c>
      <c r="CB1087">
        <f>$C1087*CB1086</f>
        <v/>
      </c>
      <c r="CC1087">
        <f>$C1087*CC1086</f>
        <v/>
      </c>
      <c r="CD1087">
        <f>$C1087*CD1086</f>
        <v/>
      </c>
      <c r="CE1087">
        <f>$C1087*CE1086</f>
        <v/>
      </c>
      <c r="CF1087">
        <f>$C1087*CF1086</f>
        <v/>
      </c>
      <c r="CG1087">
        <f>$C1087*CG1086</f>
        <v/>
      </c>
      <c r="CH1087">
        <f>$C1087*CH1086</f>
        <v/>
      </c>
      <c r="CI1087">
        <f>$C1087*CI1086</f>
        <v/>
      </c>
      <c r="CJ1087">
        <f>$C1087*CJ1086</f>
        <v/>
      </c>
      <c r="CK1087">
        <f>$C1087*CK1086</f>
        <v/>
      </c>
      <c r="CL1087">
        <f>$C1087*CL1086</f>
        <v/>
      </c>
      <c r="CM1087">
        <f>$C1087*CM1086</f>
        <v/>
      </c>
      <c r="CN1087">
        <f>$C1087*CN1086</f>
        <v/>
      </c>
      <c r="CO1087">
        <f>$C1087*CO1086</f>
        <v/>
      </c>
      <c r="CP1087">
        <f>$C1087*CP1086</f>
        <v/>
      </c>
      <c r="CQ1087">
        <f>$C1087*CQ1086</f>
        <v/>
      </c>
      <c r="CR1087">
        <f>$C1087*CR1086</f>
        <v/>
      </c>
      <c r="CS1087">
        <f>$C1087*CS1086</f>
        <v/>
      </c>
      <c r="CT1087">
        <f>$C1087*CT1086</f>
        <v/>
      </c>
      <c r="CU1087">
        <f>$C1087*CU1086</f>
        <v/>
      </c>
      <c r="CV1087">
        <f>$C1087*CV1086</f>
        <v/>
      </c>
      <c r="CW1087">
        <f>$C1087*CW1086</f>
        <v/>
      </c>
      <c r="CX1087">
        <f>$C1087*CX1086</f>
        <v/>
      </c>
      <c r="CY1087">
        <f>$C1087*CY1086</f>
        <v/>
      </c>
      <c r="CZ1087">
        <f>$C1087*CZ1086</f>
        <v/>
      </c>
      <c r="DA1087">
        <f>$C1087*DA1086</f>
        <v/>
      </c>
      <c r="DB1087">
        <f>$C1087*DB1086</f>
        <v/>
      </c>
      <c r="DC1087">
        <f>$C1087*DC1086</f>
        <v/>
      </c>
    </row>
    <row r="1088">
      <c r="B1088" t="inlineStr">
        <is>
          <t>TSP-067</t>
        </is>
      </c>
      <c r="C1088" t="inlineStr">
        <is>
          <t>No. of batches</t>
        </is>
      </c>
      <c r="D1088">
        <f>IFERROR(INDEX(PP_Grid[#Data],$DD1088,2),0)</f>
        <v/>
      </c>
      <c r="E1088">
        <f>IFERROR(INDEX(PP_Grid[#Data],$DD1088,3),0)</f>
        <v/>
      </c>
      <c r="F1088">
        <f>IFERROR(INDEX(PP_Grid[#Data],$DD1088,4),0)</f>
        <v/>
      </c>
      <c r="G1088">
        <f>IFERROR(INDEX(PP_Grid[#Data],$DD1088,5),0)</f>
        <v/>
      </c>
      <c r="H1088">
        <f>IFERROR(INDEX(PP_Grid[#Data],$DD1088,6),0)</f>
        <v/>
      </c>
      <c r="I1088">
        <f>IFERROR(INDEX(PP_Grid[#Data],$DD1088,7),0)</f>
        <v/>
      </c>
      <c r="J1088">
        <f>IFERROR(INDEX(PP_Grid[#Data],$DD1088,8),0)</f>
        <v/>
      </c>
      <c r="K1088">
        <f>IFERROR(INDEX(PP_Grid[#Data],$DD1088,9),0)</f>
        <v/>
      </c>
      <c r="L1088">
        <f>IFERROR(INDEX(PP_Grid[#Data],$DD1088,10),0)</f>
        <v/>
      </c>
      <c r="M1088">
        <f>IFERROR(INDEX(PP_Grid[#Data],$DD1088,11),0)</f>
        <v/>
      </c>
      <c r="N1088">
        <f>IFERROR(INDEX(PP_Grid[#Data],$DD1088,12),0)</f>
        <v/>
      </c>
      <c r="O1088">
        <f>IFERROR(INDEX(PP_Grid[#Data],$DD1088,13),0)</f>
        <v/>
      </c>
      <c r="P1088">
        <f>IFERROR(INDEX(PP_Grid[#Data],$DD1088,14),0)</f>
        <v/>
      </c>
      <c r="Q1088">
        <f>IFERROR(INDEX(PP_Grid[#Data],$DD1088,15),0)</f>
        <v/>
      </c>
      <c r="R1088">
        <f>IFERROR(INDEX(PP_Grid[#Data],$DD1088,16),0)</f>
        <v/>
      </c>
      <c r="S1088">
        <f>IFERROR(INDEX(PP_Grid[#Data],$DD1088,17),0)</f>
        <v/>
      </c>
      <c r="T1088">
        <f>IFERROR(INDEX(PP_Grid[#Data],$DD1088,18),0)</f>
        <v/>
      </c>
      <c r="U1088">
        <f>IFERROR(INDEX(PP_Grid[#Data],$DD1088,19),0)</f>
        <v/>
      </c>
      <c r="V1088">
        <f>IFERROR(INDEX(PP_Grid[#Data],$DD1088,20),0)</f>
        <v/>
      </c>
      <c r="W1088">
        <f>IFERROR(INDEX(PP_Grid[#Data],$DD1088,21),0)</f>
        <v/>
      </c>
      <c r="X1088">
        <f>IFERROR(INDEX(PP_Grid[#Data],$DD1088,22),0)</f>
        <v/>
      </c>
      <c r="Y1088">
        <f>IFERROR(INDEX(PP_Grid[#Data],$DD1088,23),0)</f>
        <v/>
      </c>
      <c r="Z1088">
        <f>IFERROR(INDEX(PP_Grid[#Data],$DD1088,24),0)</f>
        <v/>
      </c>
      <c r="AA1088">
        <f>IFERROR(INDEX(PP_Grid[#Data],$DD1088,25),0)</f>
        <v/>
      </c>
      <c r="AB1088">
        <f>IFERROR(INDEX(PP_Grid[#Data],$DD1088,26),0)</f>
        <v/>
      </c>
      <c r="AC1088">
        <f>IFERROR(INDEX(PP_Grid[#Data],$DD1088,27),0)</f>
        <v/>
      </c>
      <c r="AD1088">
        <f>IFERROR(INDEX(PP_Grid[#Data],$DD1088,28),0)</f>
        <v/>
      </c>
      <c r="AE1088">
        <f>IFERROR(INDEX(PP_Grid[#Data],$DD1088,29),0)</f>
        <v/>
      </c>
      <c r="AF1088">
        <f>IFERROR(INDEX(PP_Grid[#Data],$DD1088,30),0)</f>
        <v/>
      </c>
      <c r="AG1088">
        <f>IFERROR(INDEX(PP_Grid[#Data],$DD1088,31),0)</f>
        <v/>
      </c>
      <c r="AH1088">
        <f>IFERROR(INDEX(PP_Grid[#Data],$DD1088,32),0)</f>
        <v/>
      </c>
      <c r="AI1088">
        <f>IFERROR(INDEX(PP_Grid[#Data],$DD1088,33),0)</f>
        <v/>
      </c>
      <c r="AJ1088">
        <f>IFERROR(INDEX(PP_Grid[#Data],$DD1088,34),0)</f>
        <v/>
      </c>
      <c r="AK1088">
        <f>IFERROR(INDEX(PP_Grid[#Data],$DD1088,35),0)</f>
        <v/>
      </c>
      <c r="AL1088">
        <f>IFERROR(INDEX(PP_Grid[#Data],$DD1088,36),0)</f>
        <v/>
      </c>
      <c r="AM1088">
        <f>IFERROR(INDEX(PP_Grid[#Data],$DD1088,37),0)</f>
        <v/>
      </c>
      <c r="AN1088">
        <f>IFERROR(INDEX(PP_Grid[#Data],$DD1088,38),0)</f>
        <v/>
      </c>
      <c r="AO1088">
        <f>IFERROR(INDEX(PP_Grid[#Data],$DD1088,39),0)</f>
        <v/>
      </c>
      <c r="AP1088">
        <f>IFERROR(INDEX(PP_Grid[#Data],$DD1088,40),0)</f>
        <v/>
      </c>
      <c r="AQ1088">
        <f>IFERROR(INDEX(PP_Grid[#Data],$DD1088,41),0)</f>
        <v/>
      </c>
      <c r="AR1088">
        <f>IFERROR(INDEX(PP_Grid[#Data],$DD1088,42),0)</f>
        <v/>
      </c>
      <c r="AS1088">
        <f>IFERROR(INDEX(PP_Grid[#Data],$DD1088,43),0)</f>
        <v/>
      </c>
      <c r="AT1088">
        <f>IFERROR(INDEX(PP_Grid[#Data],$DD1088,44),0)</f>
        <v/>
      </c>
      <c r="AU1088">
        <f>IFERROR(INDEX(PP_Grid[#Data],$DD1088,45),0)</f>
        <v/>
      </c>
      <c r="AV1088">
        <f>IFERROR(INDEX(PP_Grid[#Data],$DD1088,46),0)</f>
        <v/>
      </c>
      <c r="AW1088">
        <f>IFERROR(INDEX(PP_Grid[#Data],$DD1088,47),0)</f>
        <v/>
      </c>
      <c r="AX1088">
        <f>IFERROR(INDEX(PP_Grid[#Data],$DD1088,48),0)</f>
        <v/>
      </c>
      <c r="AY1088">
        <f>IFERROR(INDEX(PP_Grid[#Data],$DD1088,49),0)</f>
        <v/>
      </c>
      <c r="AZ1088">
        <f>IFERROR(INDEX(PP_Grid[#Data],$DD1088,50),0)</f>
        <v/>
      </c>
      <c r="BA1088">
        <f>IFERROR(INDEX(PP_Grid[#Data],$DD1088,51),0)</f>
        <v/>
      </c>
      <c r="BB1088">
        <f>IFERROR(INDEX(PP_Grid[#Data],$DD1088,52),0)</f>
        <v/>
      </c>
      <c r="BC1088">
        <f>IFERROR(INDEX(PP_Grid[#Data],$DD1088,53),0)</f>
        <v/>
      </c>
      <c r="BD1088">
        <f>IFERROR(INDEX(PP_Grid[#Data],$DD1088,54),0)</f>
        <v/>
      </c>
      <c r="BE1088">
        <f>IFERROR(INDEX(PP_Grid[#Data],$DD1088,55),0)</f>
        <v/>
      </c>
      <c r="BF1088">
        <f>IFERROR(INDEX(PP_Grid[#Data],$DD1088,56),0)</f>
        <v/>
      </c>
      <c r="BG1088">
        <f>IFERROR(INDEX(PP_Grid[#Data],$DD1088,57),0)</f>
        <v/>
      </c>
      <c r="BH1088">
        <f>IFERROR(INDEX(PP_Grid[#Data],$DD1088,58),0)</f>
        <v/>
      </c>
      <c r="BI1088">
        <f>IFERROR(INDEX(PP_Grid[#Data],$DD1088,59),0)</f>
        <v/>
      </c>
      <c r="BJ1088">
        <f>IFERROR(INDEX(PP_Grid[#Data],$DD1088,60),0)</f>
        <v/>
      </c>
      <c r="BK1088">
        <f>IFERROR(INDEX(PP_Grid[#Data],$DD1088,61),0)</f>
        <v/>
      </c>
      <c r="BL1088">
        <f>IFERROR(INDEX(PP_Grid[#Data],$DD1088,62),0)</f>
        <v/>
      </c>
      <c r="BM1088">
        <f>IFERROR(INDEX(PP_Grid[#Data],$DD1088,63),0)</f>
        <v/>
      </c>
      <c r="BN1088">
        <f>IFERROR(INDEX(PP_Grid[#Data],$DD1088,64),0)</f>
        <v/>
      </c>
      <c r="BO1088">
        <f>IFERROR(INDEX(PP_Grid[#Data],$DD1088,65),0)</f>
        <v/>
      </c>
      <c r="BP1088">
        <f>IFERROR(INDEX(PP_Grid[#Data],$DD1088,66),0)</f>
        <v/>
      </c>
      <c r="BQ1088">
        <f>IFERROR(INDEX(PP_Grid[#Data],$DD1088,67),0)</f>
        <v/>
      </c>
      <c r="BR1088">
        <f>IFERROR(INDEX(PP_Grid[#Data],$DD1088,68),0)</f>
        <v/>
      </c>
      <c r="BS1088">
        <f>IFERROR(INDEX(PP_Grid[#Data],$DD1088,69),0)</f>
        <v/>
      </c>
      <c r="BT1088">
        <f>IFERROR(INDEX(PP_Grid[#Data],$DD1088,70),0)</f>
        <v/>
      </c>
      <c r="BU1088">
        <f>IFERROR(INDEX(PP_Grid[#Data],$DD1088,71),0)</f>
        <v/>
      </c>
      <c r="BV1088">
        <f>IFERROR(INDEX(PP_Grid[#Data],$DD1088,72),0)</f>
        <v/>
      </c>
      <c r="BW1088">
        <f>IFERROR(INDEX(PP_Grid[#Data],$DD1088,73),0)</f>
        <v/>
      </c>
      <c r="BX1088">
        <f>IFERROR(INDEX(PP_Grid[#Data],$DD1088,74),0)</f>
        <v/>
      </c>
      <c r="BY1088">
        <f>IFERROR(INDEX(PP_Grid[#Data],$DD1088,75),0)</f>
        <v/>
      </c>
      <c r="BZ1088">
        <f>IFERROR(INDEX(PP_Grid[#Data],$DD1088,76),0)</f>
        <v/>
      </c>
      <c r="CA1088">
        <f>IFERROR(INDEX(PP_Grid[#Data],$DD1088,77),0)</f>
        <v/>
      </c>
      <c r="CB1088">
        <f>IFERROR(INDEX(PP_Grid[#Data],$DD1088,78),0)</f>
        <v/>
      </c>
      <c r="CC1088">
        <f>IFERROR(INDEX(PP_Grid[#Data],$DD1088,79),0)</f>
        <v/>
      </c>
      <c r="CD1088">
        <f>IFERROR(INDEX(PP_Grid[#Data],$DD1088,80),0)</f>
        <v/>
      </c>
      <c r="CE1088">
        <f>IFERROR(INDEX(PP_Grid[#Data],$DD1088,81),0)</f>
        <v/>
      </c>
      <c r="CF1088">
        <f>IFERROR(INDEX(PP_Grid[#Data],$DD1088,82),0)</f>
        <v/>
      </c>
      <c r="CG1088">
        <f>IFERROR(INDEX(PP_Grid[#Data],$DD1088,83),0)</f>
        <v/>
      </c>
      <c r="CH1088">
        <f>IFERROR(INDEX(PP_Grid[#Data],$DD1088,84),0)</f>
        <v/>
      </c>
      <c r="CI1088">
        <f>IFERROR(INDEX(PP_Grid[#Data],$DD1088,85),0)</f>
        <v/>
      </c>
      <c r="CJ1088">
        <f>IFERROR(INDEX(PP_Grid[#Data],$DD1088,86),0)</f>
        <v/>
      </c>
      <c r="CK1088">
        <f>IFERROR(INDEX(PP_Grid[#Data],$DD1088,87),0)</f>
        <v/>
      </c>
      <c r="CL1088">
        <f>IFERROR(INDEX(PP_Grid[#Data],$DD1088,88),0)</f>
        <v/>
      </c>
      <c r="CM1088">
        <f>IFERROR(INDEX(PP_Grid[#Data],$DD1088,89),0)</f>
        <v/>
      </c>
      <c r="CN1088">
        <f>IFERROR(INDEX(PP_Grid[#Data],$DD1088,90),0)</f>
        <v/>
      </c>
      <c r="CO1088">
        <f>IFERROR(INDEX(PP_Grid[#Data],$DD1088,91),0)</f>
        <v/>
      </c>
      <c r="CP1088">
        <f>IFERROR(INDEX(PP_Grid[#Data],$DD1088,92),0)</f>
        <v/>
      </c>
      <c r="CQ1088">
        <f>IFERROR(INDEX(PP_Grid[#Data],$DD1088,93),0)</f>
        <v/>
      </c>
      <c r="CR1088">
        <f>IFERROR(INDEX(PP_Grid[#Data],$DD1088,94),0)</f>
        <v/>
      </c>
      <c r="CS1088">
        <f>IFERROR(INDEX(PP_Grid[#Data],$DD1088,95),0)</f>
        <v/>
      </c>
      <c r="CT1088">
        <f>IFERROR(INDEX(PP_Grid[#Data],$DD1088,96),0)</f>
        <v/>
      </c>
      <c r="CU1088">
        <f>IFERROR(INDEX(PP_Grid[#Data],$DD1088,97),0)</f>
        <v/>
      </c>
      <c r="CV1088">
        <f>IFERROR(INDEX(PP_Grid[#Data],$DD1088,98),0)</f>
        <v/>
      </c>
      <c r="CW1088">
        <f>IFERROR(INDEX(PP_Grid[#Data],$DD1088,99),0)</f>
        <v/>
      </c>
      <c r="CX1088">
        <f>IFERROR(INDEX(PP_Grid[#Data],$DD1088,100),0)</f>
        <v/>
      </c>
      <c r="CY1088">
        <f>IFERROR(INDEX(PP_Grid[#Data],$DD1088,101),0)</f>
        <v/>
      </c>
      <c r="CZ1088">
        <f>IFERROR(INDEX(PP_Grid[#Data],$DD1088,102),0)</f>
        <v/>
      </c>
      <c r="DA1088">
        <f>IFERROR(INDEX(PP_Grid[#Data],$DD1088,103),0)</f>
        <v/>
      </c>
      <c r="DB1088">
        <f>IFERROR(INDEX(PP_Grid[#Data],$DD1088,104),0)</f>
        <v/>
      </c>
      <c r="DC1088">
        <f>IFERROR(INDEX(PP_Grid[#Data],$DD1088,105),0)</f>
        <v/>
      </c>
      <c r="DD1088" s="12">
        <f>IFERROR(MATCH($B1088,PP_Grid[Intermediate],0),99999)</f>
        <v/>
      </c>
    </row>
    <row r="1089">
      <c r="B1089" t="inlineStr">
        <is>
          <t>使用量(kg)</t>
        </is>
      </c>
      <c r="C1089">
        <f>SUMIFS(M_BOM[RM_Qty_Per_Batch],M_BOM[Intermediate],$B1088,M_BOM[Part Name],$A1075)</f>
        <v/>
      </c>
      <c r="D1089">
        <f>$C1089*D1088</f>
        <v/>
      </c>
      <c r="E1089">
        <f>$C1089*E1088</f>
        <v/>
      </c>
      <c r="F1089">
        <f>$C1089*F1088</f>
        <v/>
      </c>
      <c r="G1089">
        <f>$C1089*G1088</f>
        <v/>
      </c>
      <c r="H1089">
        <f>$C1089*H1088</f>
        <v/>
      </c>
      <c r="I1089">
        <f>$C1089*I1088</f>
        <v/>
      </c>
      <c r="J1089">
        <f>$C1089*J1088</f>
        <v/>
      </c>
      <c r="K1089">
        <f>$C1089*K1088</f>
        <v/>
      </c>
      <c r="L1089">
        <f>$C1089*L1088</f>
        <v/>
      </c>
      <c r="M1089">
        <f>$C1089*M1088</f>
        <v/>
      </c>
      <c r="N1089">
        <f>$C1089*N1088</f>
        <v/>
      </c>
      <c r="O1089">
        <f>$C1089*O1088</f>
        <v/>
      </c>
      <c r="P1089">
        <f>$C1089*P1088</f>
        <v/>
      </c>
      <c r="Q1089">
        <f>$C1089*Q1088</f>
        <v/>
      </c>
      <c r="R1089">
        <f>$C1089*R1088</f>
        <v/>
      </c>
      <c r="S1089">
        <f>$C1089*S1088</f>
        <v/>
      </c>
      <c r="T1089">
        <f>$C1089*T1088</f>
        <v/>
      </c>
      <c r="U1089">
        <f>$C1089*U1088</f>
        <v/>
      </c>
      <c r="V1089">
        <f>$C1089*V1088</f>
        <v/>
      </c>
      <c r="W1089">
        <f>$C1089*W1088</f>
        <v/>
      </c>
      <c r="X1089">
        <f>$C1089*X1088</f>
        <v/>
      </c>
      <c r="Y1089">
        <f>$C1089*Y1088</f>
        <v/>
      </c>
      <c r="Z1089">
        <f>$C1089*Z1088</f>
        <v/>
      </c>
      <c r="AA1089">
        <f>$C1089*AA1088</f>
        <v/>
      </c>
      <c r="AB1089">
        <f>$C1089*AB1088</f>
        <v/>
      </c>
      <c r="AC1089">
        <f>$C1089*AC1088</f>
        <v/>
      </c>
      <c r="AD1089">
        <f>$C1089*AD1088</f>
        <v/>
      </c>
      <c r="AE1089">
        <f>$C1089*AE1088</f>
        <v/>
      </c>
      <c r="AF1089">
        <f>$C1089*AF1088</f>
        <v/>
      </c>
      <c r="AG1089">
        <f>$C1089*AG1088</f>
        <v/>
      </c>
      <c r="AH1089">
        <f>$C1089*AH1088</f>
        <v/>
      </c>
      <c r="AI1089">
        <f>$C1089*AI1088</f>
        <v/>
      </c>
      <c r="AJ1089">
        <f>$C1089*AJ1088</f>
        <v/>
      </c>
      <c r="AK1089">
        <f>$C1089*AK1088</f>
        <v/>
      </c>
      <c r="AL1089">
        <f>$C1089*AL1088</f>
        <v/>
      </c>
      <c r="AM1089">
        <f>$C1089*AM1088</f>
        <v/>
      </c>
      <c r="AN1089">
        <f>$C1089*AN1088</f>
        <v/>
      </c>
      <c r="AO1089">
        <f>$C1089*AO1088</f>
        <v/>
      </c>
      <c r="AP1089">
        <f>$C1089*AP1088</f>
        <v/>
      </c>
      <c r="AQ1089">
        <f>$C1089*AQ1088</f>
        <v/>
      </c>
      <c r="AR1089">
        <f>$C1089*AR1088</f>
        <v/>
      </c>
      <c r="AS1089">
        <f>$C1089*AS1088</f>
        <v/>
      </c>
      <c r="AT1089">
        <f>$C1089*AT1088</f>
        <v/>
      </c>
      <c r="AU1089">
        <f>$C1089*AU1088</f>
        <v/>
      </c>
      <c r="AV1089">
        <f>$C1089*AV1088</f>
        <v/>
      </c>
      <c r="AW1089">
        <f>$C1089*AW1088</f>
        <v/>
      </c>
      <c r="AX1089">
        <f>$C1089*AX1088</f>
        <v/>
      </c>
      <c r="AY1089">
        <f>$C1089*AY1088</f>
        <v/>
      </c>
      <c r="AZ1089">
        <f>$C1089*AZ1088</f>
        <v/>
      </c>
      <c r="BA1089">
        <f>$C1089*BA1088</f>
        <v/>
      </c>
      <c r="BB1089">
        <f>$C1089*BB1088</f>
        <v/>
      </c>
      <c r="BC1089">
        <f>$C1089*BC1088</f>
        <v/>
      </c>
      <c r="BD1089">
        <f>$C1089*BD1088</f>
        <v/>
      </c>
      <c r="BE1089">
        <f>$C1089*BE1088</f>
        <v/>
      </c>
      <c r="BF1089">
        <f>$C1089*BF1088</f>
        <v/>
      </c>
      <c r="BG1089">
        <f>$C1089*BG1088</f>
        <v/>
      </c>
      <c r="BH1089">
        <f>$C1089*BH1088</f>
        <v/>
      </c>
      <c r="BI1089">
        <f>$C1089*BI1088</f>
        <v/>
      </c>
      <c r="BJ1089">
        <f>$C1089*BJ1088</f>
        <v/>
      </c>
      <c r="BK1089">
        <f>$C1089*BK1088</f>
        <v/>
      </c>
      <c r="BL1089">
        <f>$C1089*BL1088</f>
        <v/>
      </c>
      <c r="BM1089">
        <f>$C1089*BM1088</f>
        <v/>
      </c>
      <c r="BN1089">
        <f>$C1089*BN1088</f>
        <v/>
      </c>
      <c r="BO1089">
        <f>$C1089*BO1088</f>
        <v/>
      </c>
      <c r="BP1089">
        <f>$C1089*BP1088</f>
        <v/>
      </c>
      <c r="BQ1089">
        <f>$C1089*BQ1088</f>
        <v/>
      </c>
      <c r="BR1089">
        <f>$C1089*BR1088</f>
        <v/>
      </c>
      <c r="BS1089">
        <f>$C1089*BS1088</f>
        <v/>
      </c>
      <c r="BT1089">
        <f>$C1089*BT1088</f>
        <v/>
      </c>
      <c r="BU1089">
        <f>$C1089*BU1088</f>
        <v/>
      </c>
      <c r="BV1089">
        <f>$C1089*BV1088</f>
        <v/>
      </c>
      <c r="BW1089">
        <f>$C1089*BW1088</f>
        <v/>
      </c>
      <c r="BX1089">
        <f>$C1089*BX1088</f>
        <v/>
      </c>
      <c r="BY1089">
        <f>$C1089*BY1088</f>
        <v/>
      </c>
      <c r="BZ1089">
        <f>$C1089*BZ1088</f>
        <v/>
      </c>
      <c r="CA1089">
        <f>$C1089*CA1088</f>
        <v/>
      </c>
      <c r="CB1089">
        <f>$C1089*CB1088</f>
        <v/>
      </c>
      <c r="CC1089">
        <f>$C1089*CC1088</f>
        <v/>
      </c>
      <c r="CD1089">
        <f>$C1089*CD1088</f>
        <v/>
      </c>
      <c r="CE1089">
        <f>$C1089*CE1088</f>
        <v/>
      </c>
      <c r="CF1089">
        <f>$C1089*CF1088</f>
        <v/>
      </c>
      <c r="CG1089">
        <f>$C1089*CG1088</f>
        <v/>
      </c>
      <c r="CH1089">
        <f>$C1089*CH1088</f>
        <v/>
      </c>
      <c r="CI1089">
        <f>$C1089*CI1088</f>
        <v/>
      </c>
      <c r="CJ1089">
        <f>$C1089*CJ1088</f>
        <v/>
      </c>
      <c r="CK1089">
        <f>$C1089*CK1088</f>
        <v/>
      </c>
      <c r="CL1089">
        <f>$C1089*CL1088</f>
        <v/>
      </c>
      <c r="CM1089">
        <f>$C1089*CM1088</f>
        <v/>
      </c>
      <c r="CN1089">
        <f>$C1089*CN1088</f>
        <v/>
      </c>
      <c r="CO1089">
        <f>$C1089*CO1088</f>
        <v/>
      </c>
      <c r="CP1089">
        <f>$C1089*CP1088</f>
        <v/>
      </c>
      <c r="CQ1089">
        <f>$C1089*CQ1088</f>
        <v/>
      </c>
      <c r="CR1089">
        <f>$C1089*CR1088</f>
        <v/>
      </c>
      <c r="CS1089">
        <f>$C1089*CS1088</f>
        <v/>
      </c>
      <c r="CT1089">
        <f>$C1089*CT1088</f>
        <v/>
      </c>
      <c r="CU1089">
        <f>$C1089*CU1088</f>
        <v/>
      </c>
      <c r="CV1089">
        <f>$C1089*CV1088</f>
        <v/>
      </c>
      <c r="CW1089">
        <f>$C1089*CW1088</f>
        <v/>
      </c>
      <c r="CX1089">
        <f>$C1089*CX1088</f>
        <v/>
      </c>
      <c r="CY1089">
        <f>$C1089*CY1088</f>
        <v/>
      </c>
      <c r="CZ1089">
        <f>$C1089*CZ1088</f>
        <v/>
      </c>
      <c r="DA1089">
        <f>$C1089*DA1088</f>
        <v/>
      </c>
      <c r="DB1089">
        <f>$C1089*DB1088</f>
        <v/>
      </c>
      <c r="DC1089">
        <f>$C1089*DC1088</f>
        <v/>
      </c>
    </row>
    <row r="1090">
      <c r="B1090" t="inlineStr">
        <is>
          <t>TSP-069</t>
        </is>
      </c>
      <c r="C1090" t="inlineStr">
        <is>
          <t>No. of batches</t>
        </is>
      </c>
      <c r="D1090">
        <f>IFERROR(INDEX(PP_Grid[#Data],$DD1090,2),0)</f>
        <v/>
      </c>
      <c r="E1090">
        <f>IFERROR(INDEX(PP_Grid[#Data],$DD1090,3),0)</f>
        <v/>
      </c>
      <c r="F1090">
        <f>IFERROR(INDEX(PP_Grid[#Data],$DD1090,4),0)</f>
        <v/>
      </c>
      <c r="G1090">
        <f>IFERROR(INDEX(PP_Grid[#Data],$DD1090,5),0)</f>
        <v/>
      </c>
      <c r="H1090">
        <f>IFERROR(INDEX(PP_Grid[#Data],$DD1090,6),0)</f>
        <v/>
      </c>
      <c r="I1090">
        <f>IFERROR(INDEX(PP_Grid[#Data],$DD1090,7),0)</f>
        <v/>
      </c>
      <c r="J1090">
        <f>IFERROR(INDEX(PP_Grid[#Data],$DD1090,8),0)</f>
        <v/>
      </c>
      <c r="K1090">
        <f>IFERROR(INDEX(PP_Grid[#Data],$DD1090,9),0)</f>
        <v/>
      </c>
      <c r="L1090">
        <f>IFERROR(INDEX(PP_Grid[#Data],$DD1090,10),0)</f>
        <v/>
      </c>
      <c r="M1090">
        <f>IFERROR(INDEX(PP_Grid[#Data],$DD1090,11),0)</f>
        <v/>
      </c>
      <c r="N1090">
        <f>IFERROR(INDEX(PP_Grid[#Data],$DD1090,12),0)</f>
        <v/>
      </c>
      <c r="O1090">
        <f>IFERROR(INDEX(PP_Grid[#Data],$DD1090,13),0)</f>
        <v/>
      </c>
      <c r="P1090">
        <f>IFERROR(INDEX(PP_Grid[#Data],$DD1090,14),0)</f>
        <v/>
      </c>
      <c r="Q1090">
        <f>IFERROR(INDEX(PP_Grid[#Data],$DD1090,15),0)</f>
        <v/>
      </c>
      <c r="R1090">
        <f>IFERROR(INDEX(PP_Grid[#Data],$DD1090,16),0)</f>
        <v/>
      </c>
      <c r="S1090">
        <f>IFERROR(INDEX(PP_Grid[#Data],$DD1090,17),0)</f>
        <v/>
      </c>
      <c r="T1090">
        <f>IFERROR(INDEX(PP_Grid[#Data],$DD1090,18),0)</f>
        <v/>
      </c>
      <c r="U1090">
        <f>IFERROR(INDEX(PP_Grid[#Data],$DD1090,19),0)</f>
        <v/>
      </c>
      <c r="V1090">
        <f>IFERROR(INDEX(PP_Grid[#Data],$DD1090,20),0)</f>
        <v/>
      </c>
      <c r="W1090">
        <f>IFERROR(INDEX(PP_Grid[#Data],$DD1090,21),0)</f>
        <v/>
      </c>
      <c r="X1090">
        <f>IFERROR(INDEX(PP_Grid[#Data],$DD1090,22),0)</f>
        <v/>
      </c>
      <c r="Y1090">
        <f>IFERROR(INDEX(PP_Grid[#Data],$DD1090,23),0)</f>
        <v/>
      </c>
      <c r="Z1090">
        <f>IFERROR(INDEX(PP_Grid[#Data],$DD1090,24),0)</f>
        <v/>
      </c>
      <c r="AA1090">
        <f>IFERROR(INDEX(PP_Grid[#Data],$DD1090,25),0)</f>
        <v/>
      </c>
      <c r="AB1090">
        <f>IFERROR(INDEX(PP_Grid[#Data],$DD1090,26),0)</f>
        <v/>
      </c>
      <c r="AC1090">
        <f>IFERROR(INDEX(PP_Grid[#Data],$DD1090,27),0)</f>
        <v/>
      </c>
      <c r="AD1090">
        <f>IFERROR(INDEX(PP_Grid[#Data],$DD1090,28),0)</f>
        <v/>
      </c>
      <c r="AE1090">
        <f>IFERROR(INDEX(PP_Grid[#Data],$DD1090,29),0)</f>
        <v/>
      </c>
      <c r="AF1090">
        <f>IFERROR(INDEX(PP_Grid[#Data],$DD1090,30),0)</f>
        <v/>
      </c>
      <c r="AG1090">
        <f>IFERROR(INDEX(PP_Grid[#Data],$DD1090,31),0)</f>
        <v/>
      </c>
      <c r="AH1090">
        <f>IFERROR(INDEX(PP_Grid[#Data],$DD1090,32),0)</f>
        <v/>
      </c>
      <c r="AI1090">
        <f>IFERROR(INDEX(PP_Grid[#Data],$DD1090,33),0)</f>
        <v/>
      </c>
      <c r="AJ1090">
        <f>IFERROR(INDEX(PP_Grid[#Data],$DD1090,34),0)</f>
        <v/>
      </c>
      <c r="AK1090">
        <f>IFERROR(INDEX(PP_Grid[#Data],$DD1090,35),0)</f>
        <v/>
      </c>
      <c r="AL1090">
        <f>IFERROR(INDEX(PP_Grid[#Data],$DD1090,36),0)</f>
        <v/>
      </c>
      <c r="AM1090">
        <f>IFERROR(INDEX(PP_Grid[#Data],$DD1090,37),0)</f>
        <v/>
      </c>
      <c r="AN1090">
        <f>IFERROR(INDEX(PP_Grid[#Data],$DD1090,38),0)</f>
        <v/>
      </c>
      <c r="AO1090">
        <f>IFERROR(INDEX(PP_Grid[#Data],$DD1090,39),0)</f>
        <v/>
      </c>
      <c r="AP1090">
        <f>IFERROR(INDEX(PP_Grid[#Data],$DD1090,40),0)</f>
        <v/>
      </c>
      <c r="AQ1090">
        <f>IFERROR(INDEX(PP_Grid[#Data],$DD1090,41),0)</f>
        <v/>
      </c>
      <c r="AR1090">
        <f>IFERROR(INDEX(PP_Grid[#Data],$DD1090,42),0)</f>
        <v/>
      </c>
      <c r="AS1090">
        <f>IFERROR(INDEX(PP_Grid[#Data],$DD1090,43),0)</f>
        <v/>
      </c>
      <c r="AT1090">
        <f>IFERROR(INDEX(PP_Grid[#Data],$DD1090,44),0)</f>
        <v/>
      </c>
      <c r="AU1090">
        <f>IFERROR(INDEX(PP_Grid[#Data],$DD1090,45),0)</f>
        <v/>
      </c>
      <c r="AV1090">
        <f>IFERROR(INDEX(PP_Grid[#Data],$DD1090,46),0)</f>
        <v/>
      </c>
      <c r="AW1090">
        <f>IFERROR(INDEX(PP_Grid[#Data],$DD1090,47),0)</f>
        <v/>
      </c>
      <c r="AX1090">
        <f>IFERROR(INDEX(PP_Grid[#Data],$DD1090,48),0)</f>
        <v/>
      </c>
      <c r="AY1090">
        <f>IFERROR(INDEX(PP_Grid[#Data],$DD1090,49),0)</f>
        <v/>
      </c>
      <c r="AZ1090">
        <f>IFERROR(INDEX(PP_Grid[#Data],$DD1090,50),0)</f>
        <v/>
      </c>
      <c r="BA1090">
        <f>IFERROR(INDEX(PP_Grid[#Data],$DD1090,51),0)</f>
        <v/>
      </c>
      <c r="BB1090">
        <f>IFERROR(INDEX(PP_Grid[#Data],$DD1090,52),0)</f>
        <v/>
      </c>
      <c r="BC1090">
        <f>IFERROR(INDEX(PP_Grid[#Data],$DD1090,53),0)</f>
        <v/>
      </c>
      <c r="BD1090">
        <f>IFERROR(INDEX(PP_Grid[#Data],$DD1090,54),0)</f>
        <v/>
      </c>
      <c r="BE1090">
        <f>IFERROR(INDEX(PP_Grid[#Data],$DD1090,55),0)</f>
        <v/>
      </c>
      <c r="BF1090">
        <f>IFERROR(INDEX(PP_Grid[#Data],$DD1090,56),0)</f>
        <v/>
      </c>
      <c r="BG1090">
        <f>IFERROR(INDEX(PP_Grid[#Data],$DD1090,57),0)</f>
        <v/>
      </c>
      <c r="BH1090">
        <f>IFERROR(INDEX(PP_Grid[#Data],$DD1090,58),0)</f>
        <v/>
      </c>
      <c r="BI1090">
        <f>IFERROR(INDEX(PP_Grid[#Data],$DD1090,59),0)</f>
        <v/>
      </c>
      <c r="BJ1090">
        <f>IFERROR(INDEX(PP_Grid[#Data],$DD1090,60),0)</f>
        <v/>
      </c>
      <c r="BK1090">
        <f>IFERROR(INDEX(PP_Grid[#Data],$DD1090,61),0)</f>
        <v/>
      </c>
      <c r="BL1090">
        <f>IFERROR(INDEX(PP_Grid[#Data],$DD1090,62),0)</f>
        <v/>
      </c>
      <c r="BM1090">
        <f>IFERROR(INDEX(PP_Grid[#Data],$DD1090,63),0)</f>
        <v/>
      </c>
      <c r="BN1090">
        <f>IFERROR(INDEX(PP_Grid[#Data],$DD1090,64),0)</f>
        <v/>
      </c>
      <c r="BO1090">
        <f>IFERROR(INDEX(PP_Grid[#Data],$DD1090,65),0)</f>
        <v/>
      </c>
      <c r="BP1090">
        <f>IFERROR(INDEX(PP_Grid[#Data],$DD1090,66),0)</f>
        <v/>
      </c>
      <c r="BQ1090">
        <f>IFERROR(INDEX(PP_Grid[#Data],$DD1090,67),0)</f>
        <v/>
      </c>
      <c r="BR1090">
        <f>IFERROR(INDEX(PP_Grid[#Data],$DD1090,68),0)</f>
        <v/>
      </c>
      <c r="BS1090">
        <f>IFERROR(INDEX(PP_Grid[#Data],$DD1090,69),0)</f>
        <v/>
      </c>
      <c r="BT1090">
        <f>IFERROR(INDEX(PP_Grid[#Data],$DD1090,70),0)</f>
        <v/>
      </c>
      <c r="BU1090">
        <f>IFERROR(INDEX(PP_Grid[#Data],$DD1090,71),0)</f>
        <v/>
      </c>
      <c r="BV1090">
        <f>IFERROR(INDEX(PP_Grid[#Data],$DD1090,72),0)</f>
        <v/>
      </c>
      <c r="BW1090">
        <f>IFERROR(INDEX(PP_Grid[#Data],$DD1090,73),0)</f>
        <v/>
      </c>
      <c r="BX1090">
        <f>IFERROR(INDEX(PP_Grid[#Data],$DD1090,74),0)</f>
        <v/>
      </c>
      <c r="BY1090">
        <f>IFERROR(INDEX(PP_Grid[#Data],$DD1090,75),0)</f>
        <v/>
      </c>
      <c r="BZ1090">
        <f>IFERROR(INDEX(PP_Grid[#Data],$DD1090,76),0)</f>
        <v/>
      </c>
      <c r="CA1090">
        <f>IFERROR(INDEX(PP_Grid[#Data],$DD1090,77),0)</f>
        <v/>
      </c>
      <c r="CB1090">
        <f>IFERROR(INDEX(PP_Grid[#Data],$DD1090,78),0)</f>
        <v/>
      </c>
      <c r="CC1090">
        <f>IFERROR(INDEX(PP_Grid[#Data],$DD1090,79),0)</f>
        <v/>
      </c>
      <c r="CD1090">
        <f>IFERROR(INDEX(PP_Grid[#Data],$DD1090,80),0)</f>
        <v/>
      </c>
      <c r="CE1090">
        <f>IFERROR(INDEX(PP_Grid[#Data],$DD1090,81),0)</f>
        <v/>
      </c>
      <c r="CF1090">
        <f>IFERROR(INDEX(PP_Grid[#Data],$DD1090,82),0)</f>
        <v/>
      </c>
      <c r="CG1090">
        <f>IFERROR(INDEX(PP_Grid[#Data],$DD1090,83),0)</f>
        <v/>
      </c>
      <c r="CH1090">
        <f>IFERROR(INDEX(PP_Grid[#Data],$DD1090,84),0)</f>
        <v/>
      </c>
      <c r="CI1090">
        <f>IFERROR(INDEX(PP_Grid[#Data],$DD1090,85),0)</f>
        <v/>
      </c>
      <c r="CJ1090">
        <f>IFERROR(INDEX(PP_Grid[#Data],$DD1090,86),0)</f>
        <v/>
      </c>
      <c r="CK1090">
        <f>IFERROR(INDEX(PP_Grid[#Data],$DD1090,87),0)</f>
        <v/>
      </c>
      <c r="CL1090">
        <f>IFERROR(INDEX(PP_Grid[#Data],$DD1090,88),0)</f>
        <v/>
      </c>
      <c r="CM1090">
        <f>IFERROR(INDEX(PP_Grid[#Data],$DD1090,89),0)</f>
        <v/>
      </c>
      <c r="CN1090">
        <f>IFERROR(INDEX(PP_Grid[#Data],$DD1090,90),0)</f>
        <v/>
      </c>
      <c r="CO1090">
        <f>IFERROR(INDEX(PP_Grid[#Data],$DD1090,91),0)</f>
        <v/>
      </c>
      <c r="CP1090">
        <f>IFERROR(INDEX(PP_Grid[#Data],$DD1090,92),0)</f>
        <v/>
      </c>
      <c r="CQ1090">
        <f>IFERROR(INDEX(PP_Grid[#Data],$DD1090,93),0)</f>
        <v/>
      </c>
      <c r="CR1090">
        <f>IFERROR(INDEX(PP_Grid[#Data],$DD1090,94),0)</f>
        <v/>
      </c>
      <c r="CS1090">
        <f>IFERROR(INDEX(PP_Grid[#Data],$DD1090,95),0)</f>
        <v/>
      </c>
      <c r="CT1090">
        <f>IFERROR(INDEX(PP_Grid[#Data],$DD1090,96),0)</f>
        <v/>
      </c>
      <c r="CU1090">
        <f>IFERROR(INDEX(PP_Grid[#Data],$DD1090,97),0)</f>
        <v/>
      </c>
      <c r="CV1090">
        <f>IFERROR(INDEX(PP_Grid[#Data],$DD1090,98),0)</f>
        <v/>
      </c>
      <c r="CW1090">
        <f>IFERROR(INDEX(PP_Grid[#Data],$DD1090,99),0)</f>
        <v/>
      </c>
      <c r="CX1090">
        <f>IFERROR(INDEX(PP_Grid[#Data],$DD1090,100),0)</f>
        <v/>
      </c>
      <c r="CY1090">
        <f>IFERROR(INDEX(PP_Grid[#Data],$DD1090,101),0)</f>
        <v/>
      </c>
      <c r="CZ1090">
        <f>IFERROR(INDEX(PP_Grid[#Data],$DD1090,102),0)</f>
        <v/>
      </c>
      <c r="DA1090">
        <f>IFERROR(INDEX(PP_Grid[#Data],$DD1090,103),0)</f>
        <v/>
      </c>
      <c r="DB1090">
        <f>IFERROR(INDEX(PP_Grid[#Data],$DD1090,104),0)</f>
        <v/>
      </c>
      <c r="DC1090">
        <f>IFERROR(INDEX(PP_Grid[#Data],$DD1090,105),0)</f>
        <v/>
      </c>
      <c r="DD1090" s="12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SUMIFS(M_BOM[RM_Qty_Per_Batch],M_BOM[Intermediate],$B1090,M_BOM[Part Name],$A1075)</f>
        <v/>
      </c>
      <c r="D1091">
        <f>$C1091*D1090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</row>
    <row r="1092">
      <c r="B1092" t="inlineStr">
        <is>
          <t>TSP-224</t>
        </is>
      </c>
      <c r="C1092" t="inlineStr">
        <is>
          <t>No. of batches</t>
        </is>
      </c>
      <c r="D1092">
        <f>IFERROR(INDEX(PP_Grid[#Data],$DD1092,2),0)</f>
        <v/>
      </c>
      <c r="E1092">
        <f>IFERROR(INDEX(PP_Grid[#Data],$DD1092,3),0)</f>
        <v/>
      </c>
      <c r="F1092">
        <f>IFERROR(INDEX(PP_Grid[#Data],$DD1092,4),0)</f>
        <v/>
      </c>
      <c r="G1092">
        <f>IFERROR(INDEX(PP_Grid[#Data],$DD1092,5),0)</f>
        <v/>
      </c>
      <c r="H1092">
        <f>IFERROR(INDEX(PP_Grid[#Data],$DD1092,6),0)</f>
        <v/>
      </c>
      <c r="I1092">
        <f>IFERROR(INDEX(PP_Grid[#Data],$DD1092,7),0)</f>
        <v/>
      </c>
      <c r="J1092">
        <f>IFERROR(INDEX(PP_Grid[#Data],$DD1092,8),0)</f>
        <v/>
      </c>
      <c r="K1092">
        <f>IFERROR(INDEX(PP_Grid[#Data],$DD1092,9),0)</f>
        <v/>
      </c>
      <c r="L1092">
        <f>IFERROR(INDEX(PP_Grid[#Data],$DD1092,10),0)</f>
        <v/>
      </c>
      <c r="M1092">
        <f>IFERROR(INDEX(PP_Grid[#Data],$DD1092,11),0)</f>
        <v/>
      </c>
      <c r="N1092">
        <f>IFERROR(INDEX(PP_Grid[#Data],$DD1092,12),0)</f>
        <v/>
      </c>
      <c r="O1092">
        <f>IFERROR(INDEX(PP_Grid[#Data],$DD1092,13),0)</f>
        <v/>
      </c>
      <c r="P1092">
        <f>IFERROR(INDEX(PP_Grid[#Data],$DD1092,14),0)</f>
        <v/>
      </c>
      <c r="Q1092">
        <f>IFERROR(INDEX(PP_Grid[#Data],$DD1092,15),0)</f>
        <v/>
      </c>
      <c r="R1092">
        <f>IFERROR(INDEX(PP_Grid[#Data],$DD1092,16),0)</f>
        <v/>
      </c>
      <c r="S1092">
        <f>IFERROR(INDEX(PP_Grid[#Data],$DD1092,17),0)</f>
        <v/>
      </c>
      <c r="T1092">
        <f>IFERROR(INDEX(PP_Grid[#Data],$DD1092,18),0)</f>
        <v/>
      </c>
      <c r="U1092">
        <f>IFERROR(INDEX(PP_Grid[#Data],$DD1092,19),0)</f>
        <v/>
      </c>
      <c r="V1092">
        <f>IFERROR(INDEX(PP_Grid[#Data],$DD1092,20),0)</f>
        <v/>
      </c>
      <c r="W1092">
        <f>IFERROR(INDEX(PP_Grid[#Data],$DD1092,21),0)</f>
        <v/>
      </c>
      <c r="X1092">
        <f>IFERROR(INDEX(PP_Grid[#Data],$DD1092,22),0)</f>
        <v/>
      </c>
      <c r="Y1092">
        <f>IFERROR(INDEX(PP_Grid[#Data],$DD1092,23),0)</f>
        <v/>
      </c>
      <c r="Z1092">
        <f>IFERROR(INDEX(PP_Grid[#Data],$DD1092,24),0)</f>
        <v/>
      </c>
      <c r="AA1092">
        <f>IFERROR(INDEX(PP_Grid[#Data],$DD1092,25),0)</f>
        <v/>
      </c>
      <c r="AB1092">
        <f>IFERROR(INDEX(PP_Grid[#Data],$DD1092,26),0)</f>
        <v/>
      </c>
      <c r="AC1092">
        <f>IFERROR(INDEX(PP_Grid[#Data],$DD1092,27),0)</f>
        <v/>
      </c>
      <c r="AD1092">
        <f>IFERROR(INDEX(PP_Grid[#Data],$DD1092,28),0)</f>
        <v/>
      </c>
      <c r="AE1092">
        <f>IFERROR(INDEX(PP_Grid[#Data],$DD1092,29),0)</f>
        <v/>
      </c>
      <c r="AF1092">
        <f>IFERROR(INDEX(PP_Grid[#Data],$DD1092,30),0)</f>
        <v/>
      </c>
      <c r="AG1092">
        <f>IFERROR(INDEX(PP_Grid[#Data],$DD1092,31),0)</f>
        <v/>
      </c>
      <c r="AH1092">
        <f>IFERROR(INDEX(PP_Grid[#Data],$DD1092,32),0)</f>
        <v/>
      </c>
      <c r="AI1092">
        <f>IFERROR(INDEX(PP_Grid[#Data],$DD1092,33),0)</f>
        <v/>
      </c>
      <c r="AJ1092">
        <f>IFERROR(INDEX(PP_Grid[#Data],$DD1092,34),0)</f>
        <v/>
      </c>
      <c r="AK1092">
        <f>IFERROR(INDEX(PP_Grid[#Data],$DD1092,35),0)</f>
        <v/>
      </c>
      <c r="AL1092">
        <f>IFERROR(INDEX(PP_Grid[#Data],$DD1092,36),0)</f>
        <v/>
      </c>
      <c r="AM1092">
        <f>IFERROR(INDEX(PP_Grid[#Data],$DD1092,37),0)</f>
        <v/>
      </c>
      <c r="AN1092">
        <f>IFERROR(INDEX(PP_Grid[#Data],$DD1092,38),0)</f>
        <v/>
      </c>
      <c r="AO1092">
        <f>IFERROR(INDEX(PP_Grid[#Data],$DD1092,39),0)</f>
        <v/>
      </c>
      <c r="AP1092">
        <f>IFERROR(INDEX(PP_Grid[#Data],$DD1092,40),0)</f>
        <v/>
      </c>
      <c r="AQ1092">
        <f>IFERROR(INDEX(PP_Grid[#Data],$DD1092,41),0)</f>
        <v/>
      </c>
      <c r="AR1092">
        <f>IFERROR(INDEX(PP_Grid[#Data],$DD1092,42),0)</f>
        <v/>
      </c>
      <c r="AS1092">
        <f>IFERROR(INDEX(PP_Grid[#Data],$DD1092,43),0)</f>
        <v/>
      </c>
      <c r="AT1092">
        <f>IFERROR(INDEX(PP_Grid[#Data],$DD1092,44),0)</f>
        <v/>
      </c>
      <c r="AU1092">
        <f>IFERROR(INDEX(PP_Grid[#Data],$DD1092,45),0)</f>
        <v/>
      </c>
      <c r="AV1092">
        <f>IFERROR(INDEX(PP_Grid[#Data],$DD1092,46),0)</f>
        <v/>
      </c>
      <c r="AW1092">
        <f>IFERROR(INDEX(PP_Grid[#Data],$DD1092,47),0)</f>
        <v/>
      </c>
      <c r="AX1092">
        <f>IFERROR(INDEX(PP_Grid[#Data],$DD1092,48),0)</f>
        <v/>
      </c>
      <c r="AY1092">
        <f>IFERROR(INDEX(PP_Grid[#Data],$DD1092,49),0)</f>
        <v/>
      </c>
      <c r="AZ1092">
        <f>IFERROR(INDEX(PP_Grid[#Data],$DD1092,50),0)</f>
        <v/>
      </c>
      <c r="BA1092">
        <f>IFERROR(INDEX(PP_Grid[#Data],$DD1092,51),0)</f>
        <v/>
      </c>
      <c r="BB1092">
        <f>IFERROR(INDEX(PP_Grid[#Data],$DD1092,52),0)</f>
        <v/>
      </c>
      <c r="BC1092">
        <f>IFERROR(INDEX(PP_Grid[#Data],$DD1092,53),0)</f>
        <v/>
      </c>
      <c r="BD1092">
        <f>IFERROR(INDEX(PP_Grid[#Data],$DD1092,54),0)</f>
        <v/>
      </c>
      <c r="BE1092">
        <f>IFERROR(INDEX(PP_Grid[#Data],$DD1092,55),0)</f>
        <v/>
      </c>
      <c r="BF1092">
        <f>IFERROR(INDEX(PP_Grid[#Data],$DD1092,56),0)</f>
        <v/>
      </c>
      <c r="BG1092">
        <f>IFERROR(INDEX(PP_Grid[#Data],$DD1092,57),0)</f>
        <v/>
      </c>
      <c r="BH1092">
        <f>IFERROR(INDEX(PP_Grid[#Data],$DD1092,58),0)</f>
        <v/>
      </c>
      <c r="BI1092">
        <f>IFERROR(INDEX(PP_Grid[#Data],$DD1092,59),0)</f>
        <v/>
      </c>
      <c r="BJ1092">
        <f>IFERROR(INDEX(PP_Grid[#Data],$DD1092,60),0)</f>
        <v/>
      </c>
      <c r="BK1092">
        <f>IFERROR(INDEX(PP_Grid[#Data],$DD1092,61),0)</f>
        <v/>
      </c>
      <c r="BL1092">
        <f>IFERROR(INDEX(PP_Grid[#Data],$DD1092,62),0)</f>
        <v/>
      </c>
      <c r="BM1092">
        <f>IFERROR(INDEX(PP_Grid[#Data],$DD1092,63),0)</f>
        <v/>
      </c>
      <c r="BN1092">
        <f>IFERROR(INDEX(PP_Grid[#Data],$DD1092,64),0)</f>
        <v/>
      </c>
      <c r="BO1092">
        <f>IFERROR(INDEX(PP_Grid[#Data],$DD1092,65),0)</f>
        <v/>
      </c>
      <c r="BP1092">
        <f>IFERROR(INDEX(PP_Grid[#Data],$DD1092,66),0)</f>
        <v/>
      </c>
      <c r="BQ1092">
        <f>IFERROR(INDEX(PP_Grid[#Data],$DD1092,67),0)</f>
        <v/>
      </c>
      <c r="BR1092">
        <f>IFERROR(INDEX(PP_Grid[#Data],$DD1092,68),0)</f>
        <v/>
      </c>
      <c r="BS1092">
        <f>IFERROR(INDEX(PP_Grid[#Data],$DD1092,69),0)</f>
        <v/>
      </c>
      <c r="BT1092">
        <f>IFERROR(INDEX(PP_Grid[#Data],$DD1092,70),0)</f>
        <v/>
      </c>
      <c r="BU1092">
        <f>IFERROR(INDEX(PP_Grid[#Data],$DD1092,71),0)</f>
        <v/>
      </c>
      <c r="BV1092">
        <f>IFERROR(INDEX(PP_Grid[#Data],$DD1092,72),0)</f>
        <v/>
      </c>
      <c r="BW1092">
        <f>IFERROR(INDEX(PP_Grid[#Data],$DD1092,73),0)</f>
        <v/>
      </c>
      <c r="BX1092">
        <f>IFERROR(INDEX(PP_Grid[#Data],$DD1092,74),0)</f>
        <v/>
      </c>
      <c r="BY1092">
        <f>IFERROR(INDEX(PP_Grid[#Data],$DD1092,75),0)</f>
        <v/>
      </c>
      <c r="BZ1092">
        <f>IFERROR(INDEX(PP_Grid[#Data],$DD1092,76),0)</f>
        <v/>
      </c>
      <c r="CA1092">
        <f>IFERROR(INDEX(PP_Grid[#Data],$DD1092,77),0)</f>
        <v/>
      </c>
      <c r="CB1092">
        <f>IFERROR(INDEX(PP_Grid[#Data],$DD1092,78),0)</f>
        <v/>
      </c>
      <c r="CC1092">
        <f>IFERROR(INDEX(PP_Grid[#Data],$DD1092,79),0)</f>
        <v/>
      </c>
      <c r="CD1092">
        <f>IFERROR(INDEX(PP_Grid[#Data],$DD1092,80),0)</f>
        <v/>
      </c>
      <c r="CE1092">
        <f>IFERROR(INDEX(PP_Grid[#Data],$DD1092,81),0)</f>
        <v/>
      </c>
      <c r="CF1092">
        <f>IFERROR(INDEX(PP_Grid[#Data],$DD1092,82),0)</f>
        <v/>
      </c>
      <c r="CG1092">
        <f>IFERROR(INDEX(PP_Grid[#Data],$DD1092,83),0)</f>
        <v/>
      </c>
      <c r="CH1092">
        <f>IFERROR(INDEX(PP_Grid[#Data],$DD1092,84),0)</f>
        <v/>
      </c>
      <c r="CI1092">
        <f>IFERROR(INDEX(PP_Grid[#Data],$DD1092,85),0)</f>
        <v/>
      </c>
      <c r="CJ1092">
        <f>IFERROR(INDEX(PP_Grid[#Data],$DD1092,86),0)</f>
        <v/>
      </c>
      <c r="CK1092">
        <f>IFERROR(INDEX(PP_Grid[#Data],$DD1092,87),0)</f>
        <v/>
      </c>
      <c r="CL1092">
        <f>IFERROR(INDEX(PP_Grid[#Data],$DD1092,88),0)</f>
        <v/>
      </c>
      <c r="CM1092">
        <f>IFERROR(INDEX(PP_Grid[#Data],$DD1092,89),0)</f>
        <v/>
      </c>
      <c r="CN1092">
        <f>IFERROR(INDEX(PP_Grid[#Data],$DD1092,90),0)</f>
        <v/>
      </c>
      <c r="CO1092">
        <f>IFERROR(INDEX(PP_Grid[#Data],$DD1092,91),0)</f>
        <v/>
      </c>
      <c r="CP1092">
        <f>IFERROR(INDEX(PP_Grid[#Data],$DD1092,92),0)</f>
        <v/>
      </c>
      <c r="CQ1092">
        <f>IFERROR(INDEX(PP_Grid[#Data],$DD1092,93),0)</f>
        <v/>
      </c>
      <c r="CR1092">
        <f>IFERROR(INDEX(PP_Grid[#Data],$DD1092,94),0)</f>
        <v/>
      </c>
      <c r="CS1092">
        <f>IFERROR(INDEX(PP_Grid[#Data],$DD1092,95),0)</f>
        <v/>
      </c>
      <c r="CT1092">
        <f>IFERROR(INDEX(PP_Grid[#Data],$DD1092,96),0)</f>
        <v/>
      </c>
      <c r="CU1092">
        <f>IFERROR(INDEX(PP_Grid[#Data],$DD1092,97),0)</f>
        <v/>
      </c>
      <c r="CV1092">
        <f>IFERROR(INDEX(PP_Grid[#Data],$DD1092,98),0)</f>
        <v/>
      </c>
      <c r="CW1092">
        <f>IFERROR(INDEX(PP_Grid[#Data],$DD1092,99),0)</f>
        <v/>
      </c>
      <c r="CX1092">
        <f>IFERROR(INDEX(PP_Grid[#Data],$DD1092,100),0)</f>
        <v/>
      </c>
      <c r="CY1092">
        <f>IFERROR(INDEX(PP_Grid[#Data],$DD1092,101),0)</f>
        <v/>
      </c>
      <c r="CZ1092">
        <f>IFERROR(INDEX(PP_Grid[#Data],$DD1092,102),0)</f>
        <v/>
      </c>
      <c r="DA1092">
        <f>IFERROR(INDEX(PP_Grid[#Data],$DD1092,103),0)</f>
        <v/>
      </c>
      <c r="DB1092">
        <f>IFERROR(INDEX(PP_Grid[#Data],$DD1092,104),0)</f>
        <v/>
      </c>
      <c r="DC1092">
        <f>IFERROR(INDEX(PP_Grid[#Data],$DD1092,105),0)</f>
        <v/>
      </c>
      <c r="DD1092" s="12">
        <f>IFERROR(MATCH($B1092,PP_Grid[Intermediate],0),99999)</f>
        <v/>
      </c>
    </row>
    <row r="1093">
      <c r="B1093" t="inlineStr">
        <is>
          <t>使用量(kg)</t>
        </is>
      </c>
      <c r="C1093">
        <f>SUMIFS(M_BOM[RM_Qty_Per_Batch],M_BOM[Intermediate],$B1092,M_BOM[Part Name],$A1075)</f>
        <v/>
      </c>
      <c r="D1093">
        <f>$C1093*D1092</f>
        <v/>
      </c>
      <c r="E1093">
        <f>$C1093*E1092</f>
        <v/>
      </c>
      <c r="F1093">
        <f>$C1093*F1092</f>
        <v/>
      </c>
      <c r="G1093">
        <f>$C1093*G1092</f>
        <v/>
      </c>
      <c r="H1093">
        <f>$C1093*H1092</f>
        <v/>
      </c>
      <c r="I1093">
        <f>$C1093*I1092</f>
        <v/>
      </c>
      <c r="J1093">
        <f>$C1093*J1092</f>
        <v/>
      </c>
      <c r="K1093">
        <f>$C1093*K1092</f>
        <v/>
      </c>
      <c r="L1093">
        <f>$C1093*L1092</f>
        <v/>
      </c>
      <c r="M1093">
        <f>$C1093*M1092</f>
        <v/>
      </c>
      <c r="N1093">
        <f>$C1093*N1092</f>
        <v/>
      </c>
      <c r="O1093">
        <f>$C1093*O1092</f>
        <v/>
      </c>
      <c r="P1093">
        <f>$C1093*P1092</f>
        <v/>
      </c>
      <c r="Q1093">
        <f>$C1093*Q1092</f>
        <v/>
      </c>
      <c r="R1093">
        <f>$C1093*R1092</f>
        <v/>
      </c>
      <c r="S1093">
        <f>$C1093*S1092</f>
        <v/>
      </c>
      <c r="T1093">
        <f>$C1093*T1092</f>
        <v/>
      </c>
      <c r="U1093">
        <f>$C1093*U1092</f>
        <v/>
      </c>
      <c r="V1093">
        <f>$C1093*V1092</f>
        <v/>
      </c>
      <c r="W1093">
        <f>$C1093*W1092</f>
        <v/>
      </c>
      <c r="X1093">
        <f>$C1093*X1092</f>
        <v/>
      </c>
      <c r="Y1093">
        <f>$C1093*Y1092</f>
        <v/>
      </c>
      <c r="Z1093">
        <f>$C1093*Z1092</f>
        <v/>
      </c>
      <c r="AA1093">
        <f>$C1093*AA1092</f>
        <v/>
      </c>
      <c r="AB1093">
        <f>$C1093*AB1092</f>
        <v/>
      </c>
      <c r="AC1093">
        <f>$C1093*AC1092</f>
        <v/>
      </c>
      <c r="AD1093">
        <f>$C1093*AD1092</f>
        <v/>
      </c>
      <c r="AE1093">
        <f>$C1093*AE1092</f>
        <v/>
      </c>
      <c r="AF1093">
        <f>$C1093*AF1092</f>
        <v/>
      </c>
      <c r="AG1093">
        <f>$C1093*AG1092</f>
        <v/>
      </c>
      <c r="AH1093">
        <f>$C1093*AH1092</f>
        <v/>
      </c>
      <c r="AI1093">
        <f>$C1093*AI1092</f>
        <v/>
      </c>
      <c r="AJ1093">
        <f>$C1093*AJ1092</f>
        <v/>
      </c>
      <c r="AK1093">
        <f>$C1093*AK1092</f>
        <v/>
      </c>
      <c r="AL1093">
        <f>$C1093*AL1092</f>
        <v/>
      </c>
      <c r="AM1093">
        <f>$C1093*AM1092</f>
        <v/>
      </c>
      <c r="AN1093">
        <f>$C1093*AN1092</f>
        <v/>
      </c>
      <c r="AO1093">
        <f>$C1093*AO1092</f>
        <v/>
      </c>
      <c r="AP1093">
        <f>$C1093*AP1092</f>
        <v/>
      </c>
      <c r="AQ1093">
        <f>$C1093*AQ1092</f>
        <v/>
      </c>
      <c r="AR1093">
        <f>$C1093*AR1092</f>
        <v/>
      </c>
      <c r="AS1093">
        <f>$C1093*AS1092</f>
        <v/>
      </c>
      <c r="AT1093">
        <f>$C1093*AT1092</f>
        <v/>
      </c>
      <c r="AU1093">
        <f>$C1093*AU1092</f>
        <v/>
      </c>
      <c r="AV1093">
        <f>$C1093*AV1092</f>
        <v/>
      </c>
      <c r="AW1093">
        <f>$C1093*AW1092</f>
        <v/>
      </c>
      <c r="AX1093">
        <f>$C1093*AX1092</f>
        <v/>
      </c>
      <c r="AY1093">
        <f>$C1093*AY1092</f>
        <v/>
      </c>
      <c r="AZ1093">
        <f>$C1093*AZ1092</f>
        <v/>
      </c>
      <c r="BA1093">
        <f>$C1093*BA1092</f>
        <v/>
      </c>
      <c r="BB1093">
        <f>$C1093*BB1092</f>
        <v/>
      </c>
      <c r="BC1093">
        <f>$C1093*BC1092</f>
        <v/>
      </c>
      <c r="BD1093">
        <f>$C1093*BD1092</f>
        <v/>
      </c>
      <c r="BE1093">
        <f>$C1093*BE1092</f>
        <v/>
      </c>
      <c r="BF1093">
        <f>$C1093*BF1092</f>
        <v/>
      </c>
      <c r="BG1093">
        <f>$C1093*BG1092</f>
        <v/>
      </c>
      <c r="BH1093">
        <f>$C1093*BH1092</f>
        <v/>
      </c>
      <c r="BI1093">
        <f>$C1093*BI1092</f>
        <v/>
      </c>
      <c r="BJ1093">
        <f>$C1093*BJ1092</f>
        <v/>
      </c>
      <c r="BK1093">
        <f>$C1093*BK1092</f>
        <v/>
      </c>
      <c r="BL1093">
        <f>$C1093*BL1092</f>
        <v/>
      </c>
      <c r="BM1093">
        <f>$C1093*BM1092</f>
        <v/>
      </c>
      <c r="BN1093">
        <f>$C1093*BN1092</f>
        <v/>
      </c>
      <c r="BO1093">
        <f>$C1093*BO1092</f>
        <v/>
      </c>
      <c r="BP1093">
        <f>$C1093*BP1092</f>
        <v/>
      </c>
      <c r="BQ1093">
        <f>$C1093*BQ1092</f>
        <v/>
      </c>
      <c r="BR1093">
        <f>$C1093*BR1092</f>
        <v/>
      </c>
      <c r="BS1093">
        <f>$C1093*BS1092</f>
        <v/>
      </c>
      <c r="BT1093">
        <f>$C1093*BT1092</f>
        <v/>
      </c>
      <c r="BU1093">
        <f>$C1093*BU1092</f>
        <v/>
      </c>
      <c r="BV1093">
        <f>$C1093*BV1092</f>
        <v/>
      </c>
      <c r="BW1093">
        <f>$C1093*BW1092</f>
        <v/>
      </c>
      <c r="BX1093">
        <f>$C1093*BX1092</f>
        <v/>
      </c>
      <c r="BY1093">
        <f>$C1093*BY1092</f>
        <v/>
      </c>
      <c r="BZ1093">
        <f>$C1093*BZ1092</f>
        <v/>
      </c>
      <c r="CA1093">
        <f>$C1093*CA1092</f>
        <v/>
      </c>
      <c r="CB1093">
        <f>$C1093*CB1092</f>
        <v/>
      </c>
      <c r="CC1093">
        <f>$C1093*CC1092</f>
        <v/>
      </c>
      <c r="CD1093">
        <f>$C1093*CD1092</f>
        <v/>
      </c>
      <c r="CE1093">
        <f>$C1093*CE1092</f>
        <v/>
      </c>
      <c r="CF1093">
        <f>$C1093*CF1092</f>
        <v/>
      </c>
      <c r="CG1093">
        <f>$C1093*CG1092</f>
        <v/>
      </c>
      <c r="CH1093">
        <f>$C1093*CH1092</f>
        <v/>
      </c>
      <c r="CI1093">
        <f>$C1093*CI1092</f>
        <v/>
      </c>
      <c r="CJ1093">
        <f>$C1093*CJ1092</f>
        <v/>
      </c>
      <c r="CK1093">
        <f>$C1093*CK1092</f>
        <v/>
      </c>
      <c r="CL1093">
        <f>$C1093*CL1092</f>
        <v/>
      </c>
      <c r="CM1093">
        <f>$C1093*CM1092</f>
        <v/>
      </c>
      <c r="CN1093">
        <f>$C1093*CN1092</f>
        <v/>
      </c>
      <c r="CO1093">
        <f>$C1093*CO1092</f>
        <v/>
      </c>
      <c r="CP1093">
        <f>$C1093*CP1092</f>
        <v/>
      </c>
      <c r="CQ1093">
        <f>$C1093*CQ1092</f>
        <v/>
      </c>
      <c r="CR1093">
        <f>$C1093*CR1092</f>
        <v/>
      </c>
      <c r="CS1093">
        <f>$C1093*CS1092</f>
        <v/>
      </c>
      <c r="CT1093">
        <f>$C1093*CT1092</f>
        <v/>
      </c>
      <c r="CU1093">
        <f>$C1093*CU1092</f>
        <v/>
      </c>
      <c r="CV1093">
        <f>$C1093*CV1092</f>
        <v/>
      </c>
      <c r="CW1093">
        <f>$C1093*CW1092</f>
        <v/>
      </c>
      <c r="CX1093">
        <f>$C1093*CX1092</f>
        <v/>
      </c>
      <c r="CY1093">
        <f>$C1093*CY1092</f>
        <v/>
      </c>
      <c r="CZ1093">
        <f>$C1093*CZ1092</f>
        <v/>
      </c>
      <c r="DA1093">
        <f>$C1093*DA1092</f>
        <v/>
      </c>
      <c r="DB1093">
        <f>$C1093*DB1092</f>
        <v/>
      </c>
      <c r="DC1093">
        <f>$C1093*DC1092</f>
        <v/>
      </c>
    </row>
    <row r="1094">
      <c r="B1094" t="inlineStr">
        <is>
          <t>TSP-668</t>
        </is>
      </c>
      <c r="C1094" t="inlineStr">
        <is>
          <t>No. of batches</t>
        </is>
      </c>
      <c r="D1094">
        <f>IFERROR(INDEX(PP_Grid[#Data],$DD1094,2),0)</f>
        <v/>
      </c>
      <c r="E1094">
        <f>IFERROR(INDEX(PP_Grid[#Data],$DD1094,3),0)</f>
        <v/>
      </c>
      <c r="F1094">
        <f>IFERROR(INDEX(PP_Grid[#Data],$DD1094,4),0)</f>
        <v/>
      </c>
      <c r="G1094">
        <f>IFERROR(INDEX(PP_Grid[#Data],$DD1094,5),0)</f>
        <v/>
      </c>
      <c r="H1094">
        <f>IFERROR(INDEX(PP_Grid[#Data],$DD1094,6),0)</f>
        <v/>
      </c>
      <c r="I1094">
        <f>IFERROR(INDEX(PP_Grid[#Data],$DD1094,7),0)</f>
        <v/>
      </c>
      <c r="J1094">
        <f>IFERROR(INDEX(PP_Grid[#Data],$DD1094,8),0)</f>
        <v/>
      </c>
      <c r="K1094">
        <f>IFERROR(INDEX(PP_Grid[#Data],$DD1094,9),0)</f>
        <v/>
      </c>
      <c r="L1094">
        <f>IFERROR(INDEX(PP_Grid[#Data],$DD1094,10),0)</f>
        <v/>
      </c>
      <c r="M1094">
        <f>IFERROR(INDEX(PP_Grid[#Data],$DD1094,11),0)</f>
        <v/>
      </c>
      <c r="N1094">
        <f>IFERROR(INDEX(PP_Grid[#Data],$DD1094,12),0)</f>
        <v/>
      </c>
      <c r="O1094">
        <f>IFERROR(INDEX(PP_Grid[#Data],$DD1094,13),0)</f>
        <v/>
      </c>
      <c r="P1094">
        <f>IFERROR(INDEX(PP_Grid[#Data],$DD1094,14),0)</f>
        <v/>
      </c>
      <c r="Q1094">
        <f>IFERROR(INDEX(PP_Grid[#Data],$DD1094,15),0)</f>
        <v/>
      </c>
      <c r="R1094">
        <f>IFERROR(INDEX(PP_Grid[#Data],$DD1094,16),0)</f>
        <v/>
      </c>
      <c r="S1094">
        <f>IFERROR(INDEX(PP_Grid[#Data],$DD1094,17),0)</f>
        <v/>
      </c>
      <c r="T1094">
        <f>IFERROR(INDEX(PP_Grid[#Data],$DD1094,18),0)</f>
        <v/>
      </c>
      <c r="U1094">
        <f>IFERROR(INDEX(PP_Grid[#Data],$DD1094,19),0)</f>
        <v/>
      </c>
      <c r="V1094">
        <f>IFERROR(INDEX(PP_Grid[#Data],$DD1094,20),0)</f>
        <v/>
      </c>
      <c r="W1094">
        <f>IFERROR(INDEX(PP_Grid[#Data],$DD1094,21),0)</f>
        <v/>
      </c>
      <c r="X1094">
        <f>IFERROR(INDEX(PP_Grid[#Data],$DD1094,22),0)</f>
        <v/>
      </c>
      <c r="Y1094">
        <f>IFERROR(INDEX(PP_Grid[#Data],$DD1094,23),0)</f>
        <v/>
      </c>
      <c r="Z1094">
        <f>IFERROR(INDEX(PP_Grid[#Data],$DD1094,24),0)</f>
        <v/>
      </c>
      <c r="AA1094">
        <f>IFERROR(INDEX(PP_Grid[#Data],$DD1094,25),0)</f>
        <v/>
      </c>
      <c r="AB1094">
        <f>IFERROR(INDEX(PP_Grid[#Data],$DD1094,26),0)</f>
        <v/>
      </c>
      <c r="AC1094">
        <f>IFERROR(INDEX(PP_Grid[#Data],$DD1094,27),0)</f>
        <v/>
      </c>
      <c r="AD1094">
        <f>IFERROR(INDEX(PP_Grid[#Data],$DD1094,28),0)</f>
        <v/>
      </c>
      <c r="AE1094">
        <f>IFERROR(INDEX(PP_Grid[#Data],$DD1094,29),0)</f>
        <v/>
      </c>
      <c r="AF1094">
        <f>IFERROR(INDEX(PP_Grid[#Data],$DD1094,30),0)</f>
        <v/>
      </c>
      <c r="AG1094">
        <f>IFERROR(INDEX(PP_Grid[#Data],$DD1094,31),0)</f>
        <v/>
      </c>
      <c r="AH1094">
        <f>IFERROR(INDEX(PP_Grid[#Data],$DD1094,32),0)</f>
        <v/>
      </c>
      <c r="AI1094">
        <f>IFERROR(INDEX(PP_Grid[#Data],$DD1094,33),0)</f>
        <v/>
      </c>
      <c r="AJ1094">
        <f>IFERROR(INDEX(PP_Grid[#Data],$DD1094,34),0)</f>
        <v/>
      </c>
      <c r="AK1094">
        <f>IFERROR(INDEX(PP_Grid[#Data],$DD1094,35),0)</f>
        <v/>
      </c>
      <c r="AL1094">
        <f>IFERROR(INDEX(PP_Grid[#Data],$DD1094,36),0)</f>
        <v/>
      </c>
      <c r="AM1094">
        <f>IFERROR(INDEX(PP_Grid[#Data],$DD1094,37),0)</f>
        <v/>
      </c>
      <c r="AN1094">
        <f>IFERROR(INDEX(PP_Grid[#Data],$DD1094,38),0)</f>
        <v/>
      </c>
      <c r="AO1094">
        <f>IFERROR(INDEX(PP_Grid[#Data],$DD1094,39),0)</f>
        <v/>
      </c>
      <c r="AP1094">
        <f>IFERROR(INDEX(PP_Grid[#Data],$DD1094,40),0)</f>
        <v/>
      </c>
      <c r="AQ1094">
        <f>IFERROR(INDEX(PP_Grid[#Data],$DD1094,41),0)</f>
        <v/>
      </c>
      <c r="AR1094">
        <f>IFERROR(INDEX(PP_Grid[#Data],$DD1094,42),0)</f>
        <v/>
      </c>
      <c r="AS1094">
        <f>IFERROR(INDEX(PP_Grid[#Data],$DD1094,43),0)</f>
        <v/>
      </c>
      <c r="AT1094">
        <f>IFERROR(INDEX(PP_Grid[#Data],$DD1094,44),0)</f>
        <v/>
      </c>
      <c r="AU1094">
        <f>IFERROR(INDEX(PP_Grid[#Data],$DD1094,45),0)</f>
        <v/>
      </c>
      <c r="AV1094">
        <f>IFERROR(INDEX(PP_Grid[#Data],$DD1094,46),0)</f>
        <v/>
      </c>
      <c r="AW1094">
        <f>IFERROR(INDEX(PP_Grid[#Data],$DD1094,47),0)</f>
        <v/>
      </c>
      <c r="AX1094">
        <f>IFERROR(INDEX(PP_Grid[#Data],$DD1094,48),0)</f>
        <v/>
      </c>
      <c r="AY1094">
        <f>IFERROR(INDEX(PP_Grid[#Data],$DD1094,49),0)</f>
        <v/>
      </c>
      <c r="AZ1094">
        <f>IFERROR(INDEX(PP_Grid[#Data],$DD1094,50),0)</f>
        <v/>
      </c>
      <c r="BA1094">
        <f>IFERROR(INDEX(PP_Grid[#Data],$DD1094,51),0)</f>
        <v/>
      </c>
      <c r="BB1094">
        <f>IFERROR(INDEX(PP_Grid[#Data],$DD1094,52),0)</f>
        <v/>
      </c>
      <c r="BC1094">
        <f>IFERROR(INDEX(PP_Grid[#Data],$DD1094,53),0)</f>
        <v/>
      </c>
      <c r="BD1094">
        <f>IFERROR(INDEX(PP_Grid[#Data],$DD1094,54),0)</f>
        <v/>
      </c>
      <c r="BE1094">
        <f>IFERROR(INDEX(PP_Grid[#Data],$DD1094,55),0)</f>
        <v/>
      </c>
      <c r="BF1094">
        <f>IFERROR(INDEX(PP_Grid[#Data],$DD1094,56),0)</f>
        <v/>
      </c>
      <c r="BG1094">
        <f>IFERROR(INDEX(PP_Grid[#Data],$DD1094,57),0)</f>
        <v/>
      </c>
      <c r="BH1094">
        <f>IFERROR(INDEX(PP_Grid[#Data],$DD1094,58),0)</f>
        <v/>
      </c>
      <c r="BI1094">
        <f>IFERROR(INDEX(PP_Grid[#Data],$DD1094,59),0)</f>
        <v/>
      </c>
      <c r="BJ1094">
        <f>IFERROR(INDEX(PP_Grid[#Data],$DD1094,60),0)</f>
        <v/>
      </c>
      <c r="BK1094">
        <f>IFERROR(INDEX(PP_Grid[#Data],$DD1094,61),0)</f>
        <v/>
      </c>
      <c r="BL1094">
        <f>IFERROR(INDEX(PP_Grid[#Data],$DD1094,62),0)</f>
        <v/>
      </c>
      <c r="BM1094">
        <f>IFERROR(INDEX(PP_Grid[#Data],$DD1094,63),0)</f>
        <v/>
      </c>
      <c r="BN1094">
        <f>IFERROR(INDEX(PP_Grid[#Data],$DD1094,64),0)</f>
        <v/>
      </c>
      <c r="BO1094">
        <f>IFERROR(INDEX(PP_Grid[#Data],$DD1094,65),0)</f>
        <v/>
      </c>
      <c r="BP1094">
        <f>IFERROR(INDEX(PP_Grid[#Data],$DD1094,66),0)</f>
        <v/>
      </c>
      <c r="BQ1094">
        <f>IFERROR(INDEX(PP_Grid[#Data],$DD1094,67),0)</f>
        <v/>
      </c>
      <c r="BR1094">
        <f>IFERROR(INDEX(PP_Grid[#Data],$DD1094,68),0)</f>
        <v/>
      </c>
      <c r="BS1094">
        <f>IFERROR(INDEX(PP_Grid[#Data],$DD1094,69),0)</f>
        <v/>
      </c>
      <c r="BT1094">
        <f>IFERROR(INDEX(PP_Grid[#Data],$DD1094,70),0)</f>
        <v/>
      </c>
      <c r="BU1094">
        <f>IFERROR(INDEX(PP_Grid[#Data],$DD1094,71),0)</f>
        <v/>
      </c>
      <c r="BV1094">
        <f>IFERROR(INDEX(PP_Grid[#Data],$DD1094,72),0)</f>
        <v/>
      </c>
      <c r="BW1094">
        <f>IFERROR(INDEX(PP_Grid[#Data],$DD1094,73),0)</f>
        <v/>
      </c>
      <c r="BX1094">
        <f>IFERROR(INDEX(PP_Grid[#Data],$DD1094,74),0)</f>
        <v/>
      </c>
      <c r="BY1094">
        <f>IFERROR(INDEX(PP_Grid[#Data],$DD1094,75),0)</f>
        <v/>
      </c>
      <c r="BZ1094">
        <f>IFERROR(INDEX(PP_Grid[#Data],$DD1094,76),0)</f>
        <v/>
      </c>
      <c r="CA1094">
        <f>IFERROR(INDEX(PP_Grid[#Data],$DD1094,77),0)</f>
        <v/>
      </c>
      <c r="CB1094">
        <f>IFERROR(INDEX(PP_Grid[#Data],$DD1094,78),0)</f>
        <v/>
      </c>
      <c r="CC1094">
        <f>IFERROR(INDEX(PP_Grid[#Data],$DD1094,79),0)</f>
        <v/>
      </c>
      <c r="CD1094">
        <f>IFERROR(INDEX(PP_Grid[#Data],$DD1094,80),0)</f>
        <v/>
      </c>
      <c r="CE1094">
        <f>IFERROR(INDEX(PP_Grid[#Data],$DD1094,81),0)</f>
        <v/>
      </c>
      <c r="CF1094">
        <f>IFERROR(INDEX(PP_Grid[#Data],$DD1094,82),0)</f>
        <v/>
      </c>
      <c r="CG1094">
        <f>IFERROR(INDEX(PP_Grid[#Data],$DD1094,83),0)</f>
        <v/>
      </c>
      <c r="CH1094">
        <f>IFERROR(INDEX(PP_Grid[#Data],$DD1094,84),0)</f>
        <v/>
      </c>
      <c r="CI1094">
        <f>IFERROR(INDEX(PP_Grid[#Data],$DD1094,85),0)</f>
        <v/>
      </c>
      <c r="CJ1094">
        <f>IFERROR(INDEX(PP_Grid[#Data],$DD1094,86),0)</f>
        <v/>
      </c>
      <c r="CK1094">
        <f>IFERROR(INDEX(PP_Grid[#Data],$DD1094,87),0)</f>
        <v/>
      </c>
      <c r="CL1094">
        <f>IFERROR(INDEX(PP_Grid[#Data],$DD1094,88),0)</f>
        <v/>
      </c>
      <c r="CM1094">
        <f>IFERROR(INDEX(PP_Grid[#Data],$DD1094,89),0)</f>
        <v/>
      </c>
      <c r="CN1094">
        <f>IFERROR(INDEX(PP_Grid[#Data],$DD1094,90),0)</f>
        <v/>
      </c>
      <c r="CO1094">
        <f>IFERROR(INDEX(PP_Grid[#Data],$DD1094,91),0)</f>
        <v/>
      </c>
      <c r="CP1094">
        <f>IFERROR(INDEX(PP_Grid[#Data],$DD1094,92),0)</f>
        <v/>
      </c>
      <c r="CQ1094">
        <f>IFERROR(INDEX(PP_Grid[#Data],$DD1094,93),0)</f>
        <v/>
      </c>
      <c r="CR1094">
        <f>IFERROR(INDEX(PP_Grid[#Data],$DD1094,94),0)</f>
        <v/>
      </c>
      <c r="CS1094">
        <f>IFERROR(INDEX(PP_Grid[#Data],$DD1094,95),0)</f>
        <v/>
      </c>
      <c r="CT1094">
        <f>IFERROR(INDEX(PP_Grid[#Data],$DD1094,96),0)</f>
        <v/>
      </c>
      <c r="CU1094">
        <f>IFERROR(INDEX(PP_Grid[#Data],$DD1094,97),0)</f>
        <v/>
      </c>
      <c r="CV1094">
        <f>IFERROR(INDEX(PP_Grid[#Data],$DD1094,98),0)</f>
        <v/>
      </c>
      <c r="CW1094">
        <f>IFERROR(INDEX(PP_Grid[#Data],$DD1094,99),0)</f>
        <v/>
      </c>
      <c r="CX1094">
        <f>IFERROR(INDEX(PP_Grid[#Data],$DD1094,100),0)</f>
        <v/>
      </c>
      <c r="CY1094">
        <f>IFERROR(INDEX(PP_Grid[#Data],$DD1094,101),0)</f>
        <v/>
      </c>
      <c r="CZ1094">
        <f>IFERROR(INDEX(PP_Grid[#Data],$DD1094,102),0)</f>
        <v/>
      </c>
      <c r="DA1094">
        <f>IFERROR(INDEX(PP_Grid[#Data],$DD1094,103),0)</f>
        <v/>
      </c>
      <c r="DB1094">
        <f>IFERROR(INDEX(PP_Grid[#Data],$DD1094,104),0)</f>
        <v/>
      </c>
      <c r="DC1094">
        <f>IFERROR(INDEX(PP_Grid[#Data],$DD1094,105),0)</f>
        <v/>
      </c>
      <c r="DD1094" s="12">
        <f>IFERROR(MATCH($B1094,PP_Grid[Intermediate],0),99999)</f>
        <v/>
      </c>
    </row>
    <row r="1095">
      <c r="B1095" t="inlineStr">
        <is>
          <t>使用量(kg)</t>
        </is>
      </c>
      <c r="C1095">
        <f>SUMIFS(M_BOM[RM_Qty_Per_Batch],M_BOM[Intermediate],$B1094,M_BOM[Part Name],$A1075)</f>
        <v/>
      </c>
      <c r="D1095">
        <f>$C1095*D1094</f>
        <v/>
      </c>
      <c r="E1095">
        <f>$C1095*E1094</f>
        <v/>
      </c>
      <c r="F1095">
        <f>$C1095*F1094</f>
        <v/>
      </c>
      <c r="G1095">
        <f>$C1095*G1094</f>
        <v/>
      </c>
      <c r="H1095">
        <f>$C1095*H1094</f>
        <v/>
      </c>
      <c r="I1095">
        <f>$C1095*I1094</f>
        <v/>
      </c>
      <c r="J1095">
        <f>$C1095*J1094</f>
        <v/>
      </c>
      <c r="K1095">
        <f>$C1095*K1094</f>
        <v/>
      </c>
      <c r="L1095">
        <f>$C1095*L1094</f>
        <v/>
      </c>
      <c r="M1095">
        <f>$C1095*M1094</f>
        <v/>
      </c>
      <c r="N1095">
        <f>$C1095*N1094</f>
        <v/>
      </c>
      <c r="O1095">
        <f>$C1095*O1094</f>
        <v/>
      </c>
      <c r="P1095">
        <f>$C1095*P1094</f>
        <v/>
      </c>
      <c r="Q1095">
        <f>$C1095*Q1094</f>
        <v/>
      </c>
      <c r="R1095">
        <f>$C1095*R1094</f>
        <v/>
      </c>
      <c r="S1095">
        <f>$C1095*S1094</f>
        <v/>
      </c>
      <c r="T1095">
        <f>$C1095*T1094</f>
        <v/>
      </c>
      <c r="U1095">
        <f>$C1095*U1094</f>
        <v/>
      </c>
      <c r="V1095">
        <f>$C1095*V1094</f>
        <v/>
      </c>
      <c r="W1095">
        <f>$C1095*W1094</f>
        <v/>
      </c>
      <c r="X1095">
        <f>$C1095*X1094</f>
        <v/>
      </c>
      <c r="Y1095">
        <f>$C1095*Y1094</f>
        <v/>
      </c>
      <c r="Z1095">
        <f>$C1095*Z1094</f>
        <v/>
      </c>
      <c r="AA1095">
        <f>$C1095*AA1094</f>
        <v/>
      </c>
      <c r="AB1095">
        <f>$C1095*AB1094</f>
        <v/>
      </c>
      <c r="AC1095">
        <f>$C1095*AC1094</f>
        <v/>
      </c>
      <c r="AD1095">
        <f>$C1095*AD1094</f>
        <v/>
      </c>
      <c r="AE1095">
        <f>$C1095*AE1094</f>
        <v/>
      </c>
      <c r="AF1095">
        <f>$C1095*AF1094</f>
        <v/>
      </c>
      <c r="AG1095">
        <f>$C1095*AG1094</f>
        <v/>
      </c>
      <c r="AH1095">
        <f>$C1095*AH1094</f>
        <v/>
      </c>
      <c r="AI1095">
        <f>$C1095*AI1094</f>
        <v/>
      </c>
      <c r="AJ1095">
        <f>$C1095*AJ1094</f>
        <v/>
      </c>
      <c r="AK1095">
        <f>$C1095*AK1094</f>
        <v/>
      </c>
      <c r="AL1095">
        <f>$C1095*AL1094</f>
        <v/>
      </c>
      <c r="AM1095">
        <f>$C1095*AM1094</f>
        <v/>
      </c>
      <c r="AN1095">
        <f>$C1095*AN1094</f>
        <v/>
      </c>
      <c r="AO1095">
        <f>$C1095*AO1094</f>
        <v/>
      </c>
      <c r="AP1095">
        <f>$C1095*AP1094</f>
        <v/>
      </c>
      <c r="AQ1095">
        <f>$C1095*AQ1094</f>
        <v/>
      </c>
      <c r="AR1095">
        <f>$C1095*AR1094</f>
        <v/>
      </c>
      <c r="AS1095">
        <f>$C1095*AS1094</f>
        <v/>
      </c>
      <c r="AT1095">
        <f>$C1095*AT1094</f>
        <v/>
      </c>
      <c r="AU1095">
        <f>$C1095*AU1094</f>
        <v/>
      </c>
      <c r="AV1095">
        <f>$C1095*AV1094</f>
        <v/>
      </c>
      <c r="AW1095">
        <f>$C1095*AW1094</f>
        <v/>
      </c>
      <c r="AX1095">
        <f>$C1095*AX1094</f>
        <v/>
      </c>
      <c r="AY1095">
        <f>$C1095*AY1094</f>
        <v/>
      </c>
      <c r="AZ1095">
        <f>$C1095*AZ1094</f>
        <v/>
      </c>
      <c r="BA1095">
        <f>$C1095*BA1094</f>
        <v/>
      </c>
      <c r="BB1095">
        <f>$C1095*BB1094</f>
        <v/>
      </c>
      <c r="BC1095">
        <f>$C1095*BC1094</f>
        <v/>
      </c>
      <c r="BD1095">
        <f>$C1095*BD1094</f>
        <v/>
      </c>
      <c r="BE1095">
        <f>$C1095*BE1094</f>
        <v/>
      </c>
      <c r="BF1095">
        <f>$C1095*BF1094</f>
        <v/>
      </c>
      <c r="BG1095">
        <f>$C1095*BG1094</f>
        <v/>
      </c>
      <c r="BH1095">
        <f>$C1095*BH1094</f>
        <v/>
      </c>
      <c r="BI1095">
        <f>$C1095*BI1094</f>
        <v/>
      </c>
      <c r="BJ1095">
        <f>$C1095*BJ1094</f>
        <v/>
      </c>
      <c r="BK1095">
        <f>$C1095*BK1094</f>
        <v/>
      </c>
      <c r="BL1095">
        <f>$C1095*BL1094</f>
        <v/>
      </c>
      <c r="BM1095">
        <f>$C1095*BM1094</f>
        <v/>
      </c>
      <c r="BN1095">
        <f>$C1095*BN1094</f>
        <v/>
      </c>
      <c r="BO1095">
        <f>$C1095*BO1094</f>
        <v/>
      </c>
      <c r="BP1095">
        <f>$C1095*BP1094</f>
        <v/>
      </c>
      <c r="BQ1095">
        <f>$C1095*BQ1094</f>
        <v/>
      </c>
      <c r="BR1095">
        <f>$C1095*BR1094</f>
        <v/>
      </c>
      <c r="BS1095">
        <f>$C1095*BS1094</f>
        <v/>
      </c>
      <c r="BT1095">
        <f>$C1095*BT1094</f>
        <v/>
      </c>
      <c r="BU1095">
        <f>$C1095*BU1094</f>
        <v/>
      </c>
      <c r="BV1095">
        <f>$C1095*BV1094</f>
        <v/>
      </c>
      <c r="BW1095">
        <f>$C1095*BW1094</f>
        <v/>
      </c>
      <c r="BX1095">
        <f>$C1095*BX1094</f>
        <v/>
      </c>
      <c r="BY1095">
        <f>$C1095*BY1094</f>
        <v/>
      </c>
      <c r="BZ1095">
        <f>$C1095*BZ1094</f>
        <v/>
      </c>
      <c r="CA1095">
        <f>$C1095*CA1094</f>
        <v/>
      </c>
      <c r="CB1095">
        <f>$C1095*CB1094</f>
        <v/>
      </c>
      <c r="CC1095">
        <f>$C1095*CC1094</f>
        <v/>
      </c>
      <c r="CD1095">
        <f>$C1095*CD1094</f>
        <v/>
      </c>
      <c r="CE1095">
        <f>$C1095*CE1094</f>
        <v/>
      </c>
      <c r="CF1095">
        <f>$C1095*CF1094</f>
        <v/>
      </c>
      <c r="CG1095">
        <f>$C1095*CG1094</f>
        <v/>
      </c>
      <c r="CH1095">
        <f>$C1095*CH1094</f>
        <v/>
      </c>
      <c r="CI1095">
        <f>$C1095*CI1094</f>
        <v/>
      </c>
      <c r="CJ1095">
        <f>$C1095*CJ1094</f>
        <v/>
      </c>
      <c r="CK1095">
        <f>$C1095*CK1094</f>
        <v/>
      </c>
      <c r="CL1095">
        <f>$C1095*CL1094</f>
        <v/>
      </c>
      <c r="CM1095">
        <f>$C1095*CM1094</f>
        <v/>
      </c>
      <c r="CN1095">
        <f>$C1095*CN1094</f>
        <v/>
      </c>
      <c r="CO1095">
        <f>$C1095*CO1094</f>
        <v/>
      </c>
      <c r="CP1095">
        <f>$C1095*CP1094</f>
        <v/>
      </c>
      <c r="CQ1095">
        <f>$C1095*CQ1094</f>
        <v/>
      </c>
      <c r="CR1095">
        <f>$C1095*CR1094</f>
        <v/>
      </c>
      <c r="CS1095">
        <f>$C1095*CS1094</f>
        <v/>
      </c>
      <c r="CT1095">
        <f>$C1095*CT1094</f>
        <v/>
      </c>
      <c r="CU1095">
        <f>$C1095*CU1094</f>
        <v/>
      </c>
      <c r="CV1095">
        <f>$C1095*CV1094</f>
        <v/>
      </c>
      <c r="CW1095">
        <f>$C1095*CW1094</f>
        <v/>
      </c>
      <c r="CX1095">
        <f>$C1095*CX1094</f>
        <v/>
      </c>
      <c r="CY1095">
        <f>$C1095*CY1094</f>
        <v/>
      </c>
      <c r="CZ1095">
        <f>$C1095*CZ1094</f>
        <v/>
      </c>
      <c r="DA1095">
        <f>$C1095*DA1094</f>
        <v/>
      </c>
      <c r="DB1095">
        <f>$C1095*DB1094</f>
        <v/>
      </c>
      <c r="DC1095">
        <f>$C1095*DC1094</f>
        <v/>
      </c>
    </row>
    <row r="1096">
      <c r="B1096" t="inlineStr">
        <is>
          <t>TSP-669</t>
        </is>
      </c>
      <c r="C1096" t="inlineStr">
        <is>
          <t>No. of batches</t>
        </is>
      </c>
      <c r="D1096">
        <f>IFERROR(INDEX(PP_Grid[#Data],$DD1096,2),0)</f>
        <v/>
      </c>
      <c r="E1096">
        <f>IFERROR(INDEX(PP_Grid[#Data],$DD1096,3),0)</f>
        <v/>
      </c>
      <c r="F1096">
        <f>IFERROR(INDEX(PP_Grid[#Data],$DD1096,4),0)</f>
        <v/>
      </c>
      <c r="G1096">
        <f>IFERROR(INDEX(PP_Grid[#Data],$DD1096,5),0)</f>
        <v/>
      </c>
      <c r="H1096">
        <f>IFERROR(INDEX(PP_Grid[#Data],$DD1096,6),0)</f>
        <v/>
      </c>
      <c r="I1096">
        <f>IFERROR(INDEX(PP_Grid[#Data],$DD1096,7),0)</f>
        <v/>
      </c>
      <c r="J1096">
        <f>IFERROR(INDEX(PP_Grid[#Data],$DD1096,8),0)</f>
        <v/>
      </c>
      <c r="K1096">
        <f>IFERROR(INDEX(PP_Grid[#Data],$DD1096,9),0)</f>
        <v/>
      </c>
      <c r="L1096">
        <f>IFERROR(INDEX(PP_Grid[#Data],$DD1096,10),0)</f>
        <v/>
      </c>
      <c r="M1096">
        <f>IFERROR(INDEX(PP_Grid[#Data],$DD1096,11),0)</f>
        <v/>
      </c>
      <c r="N1096">
        <f>IFERROR(INDEX(PP_Grid[#Data],$DD1096,12),0)</f>
        <v/>
      </c>
      <c r="O1096">
        <f>IFERROR(INDEX(PP_Grid[#Data],$DD1096,13),0)</f>
        <v/>
      </c>
      <c r="P1096">
        <f>IFERROR(INDEX(PP_Grid[#Data],$DD1096,14),0)</f>
        <v/>
      </c>
      <c r="Q1096">
        <f>IFERROR(INDEX(PP_Grid[#Data],$DD1096,15),0)</f>
        <v/>
      </c>
      <c r="R1096">
        <f>IFERROR(INDEX(PP_Grid[#Data],$DD1096,16),0)</f>
        <v/>
      </c>
      <c r="S1096">
        <f>IFERROR(INDEX(PP_Grid[#Data],$DD1096,17),0)</f>
        <v/>
      </c>
      <c r="T1096">
        <f>IFERROR(INDEX(PP_Grid[#Data],$DD1096,18),0)</f>
        <v/>
      </c>
      <c r="U1096">
        <f>IFERROR(INDEX(PP_Grid[#Data],$DD1096,19),0)</f>
        <v/>
      </c>
      <c r="V1096">
        <f>IFERROR(INDEX(PP_Grid[#Data],$DD1096,20),0)</f>
        <v/>
      </c>
      <c r="W1096">
        <f>IFERROR(INDEX(PP_Grid[#Data],$DD1096,21),0)</f>
        <v/>
      </c>
      <c r="X1096">
        <f>IFERROR(INDEX(PP_Grid[#Data],$DD1096,22),0)</f>
        <v/>
      </c>
      <c r="Y1096">
        <f>IFERROR(INDEX(PP_Grid[#Data],$DD1096,23),0)</f>
        <v/>
      </c>
      <c r="Z1096">
        <f>IFERROR(INDEX(PP_Grid[#Data],$DD1096,24),0)</f>
        <v/>
      </c>
      <c r="AA1096">
        <f>IFERROR(INDEX(PP_Grid[#Data],$DD1096,25),0)</f>
        <v/>
      </c>
      <c r="AB1096">
        <f>IFERROR(INDEX(PP_Grid[#Data],$DD1096,26),0)</f>
        <v/>
      </c>
      <c r="AC1096">
        <f>IFERROR(INDEX(PP_Grid[#Data],$DD1096,27),0)</f>
        <v/>
      </c>
      <c r="AD1096">
        <f>IFERROR(INDEX(PP_Grid[#Data],$DD1096,28),0)</f>
        <v/>
      </c>
      <c r="AE1096">
        <f>IFERROR(INDEX(PP_Grid[#Data],$DD1096,29),0)</f>
        <v/>
      </c>
      <c r="AF1096">
        <f>IFERROR(INDEX(PP_Grid[#Data],$DD1096,30),0)</f>
        <v/>
      </c>
      <c r="AG1096">
        <f>IFERROR(INDEX(PP_Grid[#Data],$DD1096,31),0)</f>
        <v/>
      </c>
      <c r="AH1096">
        <f>IFERROR(INDEX(PP_Grid[#Data],$DD1096,32),0)</f>
        <v/>
      </c>
      <c r="AI1096">
        <f>IFERROR(INDEX(PP_Grid[#Data],$DD1096,33),0)</f>
        <v/>
      </c>
      <c r="AJ1096">
        <f>IFERROR(INDEX(PP_Grid[#Data],$DD1096,34),0)</f>
        <v/>
      </c>
      <c r="AK1096">
        <f>IFERROR(INDEX(PP_Grid[#Data],$DD1096,35),0)</f>
        <v/>
      </c>
      <c r="AL1096">
        <f>IFERROR(INDEX(PP_Grid[#Data],$DD1096,36),0)</f>
        <v/>
      </c>
      <c r="AM1096">
        <f>IFERROR(INDEX(PP_Grid[#Data],$DD1096,37),0)</f>
        <v/>
      </c>
      <c r="AN1096">
        <f>IFERROR(INDEX(PP_Grid[#Data],$DD1096,38),0)</f>
        <v/>
      </c>
      <c r="AO1096">
        <f>IFERROR(INDEX(PP_Grid[#Data],$DD1096,39),0)</f>
        <v/>
      </c>
      <c r="AP1096">
        <f>IFERROR(INDEX(PP_Grid[#Data],$DD1096,40),0)</f>
        <v/>
      </c>
      <c r="AQ1096">
        <f>IFERROR(INDEX(PP_Grid[#Data],$DD1096,41),0)</f>
        <v/>
      </c>
      <c r="AR1096">
        <f>IFERROR(INDEX(PP_Grid[#Data],$DD1096,42),0)</f>
        <v/>
      </c>
      <c r="AS1096">
        <f>IFERROR(INDEX(PP_Grid[#Data],$DD1096,43),0)</f>
        <v/>
      </c>
      <c r="AT1096">
        <f>IFERROR(INDEX(PP_Grid[#Data],$DD1096,44),0)</f>
        <v/>
      </c>
      <c r="AU1096">
        <f>IFERROR(INDEX(PP_Grid[#Data],$DD1096,45),0)</f>
        <v/>
      </c>
      <c r="AV1096">
        <f>IFERROR(INDEX(PP_Grid[#Data],$DD1096,46),0)</f>
        <v/>
      </c>
      <c r="AW1096">
        <f>IFERROR(INDEX(PP_Grid[#Data],$DD1096,47),0)</f>
        <v/>
      </c>
      <c r="AX1096">
        <f>IFERROR(INDEX(PP_Grid[#Data],$DD1096,48),0)</f>
        <v/>
      </c>
      <c r="AY1096">
        <f>IFERROR(INDEX(PP_Grid[#Data],$DD1096,49),0)</f>
        <v/>
      </c>
      <c r="AZ1096">
        <f>IFERROR(INDEX(PP_Grid[#Data],$DD1096,50),0)</f>
        <v/>
      </c>
      <c r="BA1096">
        <f>IFERROR(INDEX(PP_Grid[#Data],$DD1096,51),0)</f>
        <v/>
      </c>
      <c r="BB1096">
        <f>IFERROR(INDEX(PP_Grid[#Data],$DD1096,52),0)</f>
        <v/>
      </c>
      <c r="BC1096">
        <f>IFERROR(INDEX(PP_Grid[#Data],$DD1096,53),0)</f>
        <v/>
      </c>
      <c r="BD1096">
        <f>IFERROR(INDEX(PP_Grid[#Data],$DD1096,54),0)</f>
        <v/>
      </c>
      <c r="BE1096">
        <f>IFERROR(INDEX(PP_Grid[#Data],$DD1096,55),0)</f>
        <v/>
      </c>
      <c r="BF1096">
        <f>IFERROR(INDEX(PP_Grid[#Data],$DD1096,56),0)</f>
        <v/>
      </c>
      <c r="BG1096">
        <f>IFERROR(INDEX(PP_Grid[#Data],$DD1096,57),0)</f>
        <v/>
      </c>
      <c r="BH1096">
        <f>IFERROR(INDEX(PP_Grid[#Data],$DD1096,58),0)</f>
        <v/>
      </c>
      <c r="BI1096">
        <f>IFERROR(INDEX(PP_Grid[#Data],$DD1096,59),0)</f>
        <v/>
      </c>
      <c r="BJ1096">
        <f>IFERROR(INDEX(PP_Grid[#Data],$DD1096,60),0)</f>
        <v/>
      </c>
      <c r="BK1096">
        <f>IFERROR(INDEX(PP_Grid[#Data],$DD1096,61),0)</f>
        <v/>
      </c>
      <c r="BL1096">
        <f>IFERROR(INDEX(PP_Grid[#Data],$DD1096,62),0)</f>
        <v/>
      </c>
      <c r="BM1096">
        <f>IFERROR(INDEX(PP_Grid[#Data],$DD1096,63),0)</f>
        <v/>
      </c>
      <c r="BN1096">
        <f>IFERROR(INDEX(PP_Grid[#Data],$DD1096,64),0)</f>
        <v/>
      </c>
      <c r="BO1096">
        <f>IFERROR(INDEX(PP_Grid[#Data],$DD1096,65),0)</f>
        <v/>
      </c>
      <c r="BP1096">
        <f>IFERROR(INDEX(PP_Grid[#Data],$DD1096,66),0)</f>
        <v/>
      </c>
      <c r="BQ1096">
        <f>IFERROR(INDEX(PP_Grid[#Data],$DD1096,67),0)</f>
        <v/>
      </c>
      <c r="BR1096">
        <f>IFERROR(INDEX(PP_Grid[#Data],$DD1096,68),0)</f>
        <v/>
      </c>
      <c r="BS1096">
        <f>IFERROR(INDEX(PP_Grid[#Data],$DD1096,69),0)</f>
        <v/>
      </c>
      <c r="BT1096">
        <f>IFERROR(INDEX(PP_Grid[#Data],$DD1096,70),0)</f>
        <v/>
      </c>
      <c r="BU1096">
        <f>IFERROR(INDEX(PP_Grid[#Data],$DD1096,71),0)</f>
        <v/>
      </c>
      <c r="BV1096">
        <f>IFERROR(INDEX(PP_Grid[#Data],$DD1096,72),0)</f>
        <v/>
      </c>
      <c r="BW1096">
        <f>IFERROR(INDEX(PP_Grid[#Data],$DD1096,73),0)</f>
        <v/>
      </c>
      <c r="BX1096">
        <f>IFERROR(INDEX(PP_Grid[#Data],$DD1096,74),0)</f>
        <v/>
      </c>
      <c r="BY1096">
        <f>IFERROR(INDEX(PP_Grid[#Data],$DD1096,75),0)</f>
        <v/>
      </c>
      <c r="BZ1096">
        <f>IFERROR(INDEX(PP_Grid[#Data],$DD1096,76),0)</f>
        <v/>
      </c>
      <c r="CA1096">
        <f>IFERROR(INDEX(PP_Grid[#Data],$DD1096,77),0)</f>
        <v/>
      </c>
      <c r="CB1096">
        <f>IFERROR(INDEX(PP_Grid[#Data],$DD1096,78),0)</f>
        <v/>
      </c>
      <c r="CC1096">
        <f>IFERROR(INDEX(PP_Grid[#Data],$DD1096,79),0)</f>
        <v/>
      </c>
      <c r="CD1096">
        <f>IFERROR(INDEX(PP_Grid[#Data],$DD1096,80),0)</f>
        <v/>
      </c>
      <c r="CE1096">
        <f>IFERROR(INDEX(PP_Grid[#Data],$DD1096,81),0)</f>
        <v/>
      </c>
      <c r="CF1096">
        <f>IFERROR(INDEX(PP_Grid[#Data],$DD1096,82),0)</f>
        <v/>
      </c>
      <c r="CG1096">
        <f>IFERROR(INDEX(PP_Grid[#Data],$DD1096,83),0)</f>
        <v/>
      </c>
      <c r="CH1096">
        <f>IFERROR(INDEX(PP_Grid[#Data],$DD1096,84),0)</f>
        <v/>
      </c>
      <c r="CI1096">
        <f>IFERROR(INDEX(PP_Grid[#Data],$DD1096,85),0)</f>
        <v/>
      </c>
      <c r="CJ1096">
        <f>IFERROR(INDEX(PP_Grid[#Data],$DD1096,86),0)</f>
        <v/>
      </c>
      <c r="CK1096">
        <f>IFERROR(INDEX(PP_Grid[#Data],$DD1096,87),0)</f>
        <v/>
      </c>
      <c r="CL1096">
        <f>IFERROR(INDEX(PP_Grid[#Data],$DD1096,88),0)</f>
        <v/>
      </c>
      <c r="CM1096">
        <f>IFERROR(INDEX(PP_Grid[#Data],$DD1096,89),0)</f>
        <v/>
      </c>
      <c r="CN1096">
        <f>IFERROR(INDEX(PP_Grid[#Data],$DD1096,90),0)</f>
        <v/>
      </c>
      <c r="CO1096">
        <f>IFERROR(INDEX(PP_Grid[#Data],$DD1096,91),0)</f>
        <v/>
      </c>
      <c r="CP1096">
        <f>IFERROR(INDEX(PP_Grid[#Data],$DD1096,92),0)</f>
        <v/>
      </c>
      <c r="CQ1096">
        <f>IFERROR(INDEX(PP_Grid[#Data],$DD1096,93),0)</f>
        <v/>
      </c>
      <c r="CR1096">
        <f>IFERROR(INDEX(PP_Grid[#Data],$DD1096,94),0)</f>
        <v/>
      </c>
      <c r="CS1096">
        <f>IFERROR(INDEX(PP_Grid[#Data],$DD1096,95),0)</f>
        <v/>
      </c>
      <c r="CT1096">
        <f>IFERROR(INDEX(PP_Grid[#Data],$DD1096,96),0)</f>
        <v/>
      </c>
      <c r="CU1096">
        <f>IFERROR(INDEX(PP_Grid[#Data],$DD1096,97),0)</f>
        <v/>
      </c>
      <c r="CV1096">
        <f>IFERROR(INDEX(PP_Grid[#Data],$DD1096,98),0)</f>
        <v/>
      </c>
      <c r="CW1096">
        <f>IFERROR(INDEX(PP_Grid[#Data],$DD1096,99),0)</f>
        <v/>
      </c>
      <c r="CX1096">
        <f>IFERROR(INDEX(PP_Grid[#Data],$DD1096,100),0)</f>
        <v/>
      </c>
      <c r="CY1096">
        <f>IFERROR(INDEX(PP_Grid[#Data],$DD1096,101),0)</f>
        <v/>
      </c>
      <c r="CZ1096">
        <f>IFERROR(INDEX(PP_Grid[#Data],$DD1096,102),0)</f>
        <v/>
      </c>
      <c r="DA1096">
        <f>IFERROR(INDEX(PP_Grid[#Data],$DD1096,103),0)</f>
        <v/>
      </c>
      <c r="DB1096">
        <f>IFERROR(INDEX(PP_Grid[#Data],$DD1096,104),0)</f>
        <v/>
      </c>
      <c r="DC1096">
        <f>IFERROR(INDEX(PP_Grid[#Data],$DD1096,105),0)</f>
        <v/>
      </c>
      <c r="DD1096" s="12">
        <f>IFERROR(MATCH($B1096,PP_Grid[Intermediate],0),99999)</f>
        <v/>
      </c>
    </row>
    <row r="1097">
      <c r="B1097" t="inlineStr">
        <is>
          <t>使用量(kg)</t>
        </is>
      </c>
      <c r="C1097">
        <f>SUMIFS(M_BOM[RM_Qty_Per_Batch],M_BOM[Intermediate],$B1096,M_BOM[Part Name],$A1075)</f>
        <v/>
      </c>
      <c r="D1097">
        <f>$C1097*D1096</f>
        <v/>
      </c>
      <c r="E1097">
        <f>$C1097*E1096</f>
        <v/>
      </c>
      <c r="F1097">
        <f>$C1097*F1096</f>
        <v/>
      </c>
      <c r="G1097">
        <f>$C1097*G1096</f>
        <v/>
      </c>
      <c r="H1097">
        <f>$C1097*H1096</f>
        <v/>
      </c>
      <c r="I1097">
        <f>$C1097*I1096</f>
        <v/>
      </c>
      <c r="J1097">
        <f>$C1097*J1096</f>
        <v/>
      </c>
      <c r="K1097">
        <f>$C1097*K1096</f>
        <v/>
      </c>
      <c r="L1097">
        <f>$C1097*L1096</f>
        <v/>
      </c>
      <c r="M1097">
        <f>$C1097*M1096</f>
        <v/>
      </c>
      <c r="N1097">
        <f>$C1097*N1096</f>
        <v/>
      </c>
      <c r="O1097">
        <f>$C1097*O1096</f>
        <v/>
      </c>
      <c r="P1097">
        <f>$C1097*P1096</f>
        <v/>
      </c>
      <c r="Q1097">
        <f>$C1097*Q1096</f>
        <v/>
      </c>
      <c r="R1097">
        <f>$C1097*R1096</f>
        <v/>
      </c>
      <c r="S1097">
        <f>$C1097*S1096</f>
        <v/>
      </c>
      <c r="T1097">
        <f>$C1097*T1096</f>
        <v/>
      </c>
      <c r="U1097">
        <f>$C1097*U1096</f>
        <v/>
      </c>
      <c r="V1097">
        <f>$C1097*V1096</f>
        <v/>
      </c>
      <c r="W1097">
        <f>$C1097*W1096</f>
        <v/>
      </c>
      <c r="X1097">
        <f>$C1097*X1096</f>
        <v/>
      </c>
      <c r="Y1097">
        <f>$C1097*Y1096</f>
        <v/>
      </c>
      <c r="Z1097">
        <f>$C1097*Z1096</f>
        <v/>
      </c>
      <c r="AA1097">
        <f>$C1097*AA1096</f>
        <v/>
      </c>
      <c r="AB1097">
        <f>$C1097*AB1096</f>
        <v/>
      </c>
      <c r="AC1097">
        <f>$C1097*AC1096</f>
        <v/>
      </c>
      <c r="AD1097">
        <f>$C1097*AD1096</f>
        <v/>
      </c>
      <c r="AE1097">
        <f>$C1097*AE1096</f>
        <v/>
      </c>
      <c r="AF1097">
        <f>$C1097*AF1096</f>
        <v/>
      </c>
      <c r="AG1097">
        <f>$C1097*AG1096</f>
        <v/>
      </c>
      <c r="AH1097">
        <f>$C1097*AH1096</f>
        <v/>
      </c>
      <c r="AI1097">
        <f>$C1097*AI1096</f>
        <v/>
      </c>
      <c r="AJ1097">
        <f>$C1097*AJ1096</f>
        <v/>
      </c>
      <c r="AK1097">
        <f>$C1097*AK1096</f>
        <v/>
      </c>
      <c r="AL1097">
        <f>$C1097*AL1096</f>
        <v/>
      </c>
      <c r="AM1097">
        <f>$C1097*AM1096</f>
        <v/>
      </c>
      <c r="AN1097">
        <f>$C1097*AN1096</f>
        <v/>
      </c>
      <c r="AO1097">
        <f>$C1097*AO1096</f>
        <v/>
      </c>
      <c r="AP1097">
        <f>$C1097*AP1096</f>
        <v/>
      </c>
      <c r="AQ1097">
        <f>$C1097*AQ1096</f>
        <v/>
      </c>
      <c r="AR1097">
        <f>$C1097*AR1096</f>
        <v/>
      </c>
      <c r="AS1097">
        <f>$C1097*AS1096</f>
        <v/>
      </c>
      <c r="AT1097">
        <f>$C1097*AT1096</f>
        <v/>
      </c>
      <c r="AU1097">
        <f>$C1097*AU1096</f>
        <v/>
      </c>
      <c r="AV1097">
        <f>$C1097*AV1096</f>
        <v/>
      </c>
      <c r="AW1097">
        <f>$C1097*AW1096</f>
        <v/>
      </c>
      <c r="AX1097">
        <f>$C1097*AX1096</f>
        <v/>
      </c>
      <c r="AY1097">
        <f>$C1097*AY1096</f>
        <v/>
      </c>
      <c r="AZ1097">
        <f>$C1097*AZ1096</f>
        <v/>
      </c>
      <c r="BA1097">
        <f>$C1097*BA1096</f>
        <v/>
      </c>
      <c r="BB1097">
        <f>$C1097*BB1096</f>
        <v/>
      </c>
      <c r="BC1097">
        <f>$C1097*BC1096</f>
        <v/>
      </c>
      <c r="BD1097">
        <f>$C1097*BD1096</f>
        <v/>
      </c>
      <c r="BE1097">
        <f>$C1097*BE1096</f>
        <v/>
      </c>
      <c r="BF1097">
        <f>$C1097*BF1096</f>
        <v/>
      </c>
      <c r="BG1097">
        <f>$C1097*BG1096</f>
        <v/>
      </c>
      <c r="BH1097">
        <f>$C1097*BH1096</f>
        <v/>
      </c>
      <c r="BI1097">
        <f>$C1097*BI1096</f>
        <v/>
      </c>
      <c r="BJ1097">
        <f>$C1097*BJ1096</f>
        <v/>
      </c>
      <c r="BK1097">
        <f>$C1097*BK1096</f>
        <v/>
      </c>
      <c r="BL1097">
        <f>$C1097*BL1096</f>
        <v/>
      </c>
      <c r="BM1097">
        <f>$C1097*BM1096</f>
        <v/>
      </c>
      <c r="BN1097">
        <f>$C1097*BN1096</f>
        <v/>
      </c>
      <c r="BO1097">
        <f>$C1097*BO1096</f>
        <v/>
      </c>
      <c r="BP1097">
        <f>$C1097*BP1096</f>
        <v/>
      </c>
      <c r="BQ1097">
        <f>$C1097*BQ1096</f>
        <v/>
      </c>
      <c r="BR1097">
        <f>$C1097*BR1096</f>
        <v/>
      </c>
      <c r="BS1097">
        <f>$C1097*BS1096</f>
        <v/>
      </c>
      <c r="BT1097">
        <f>$C1097*BT1096</f>
        <v/>
      </c>
      <c r="BU1097">
        <f>$C1097*BU1096</f>
        <v/>
      </c>
      <c r="BV1097">
        <f>$C1097*BV1096</f>
        <v/>
      </c>
      <c r="BW1097">
        <f>$C1097*BW1096</f>
        <v/>
      </c>
      <c r="BX1097">
        <f>$C1097*BX1096</f>
        <v/>
      </c>
      <c r="BY1097">
        <f>$C1097*BY1096</f>
        <v/>
      </c>
      <c r="BZ1097">
        <f>$C1097*BZ1096</f>
        <v/>
      </c>
      <c r="CA1097">
        <f>$C1097*CA1096</f>
        <v/>
      </c>
      <c r="CB1097">
        <f>$C1097*CB1096</f>
        <v/>
      </c>
      <c r="CC1097">
        <f>$C1097*CC1096</f>
        <v/>
      </c>
      <c r="CD1097">
        <f>$C1097*CD1096</f>
        <v/>
      </c>
      <c r="CE1097">
        <f>$C1097*CE1096</f>
        <v/>
      </c>
      <c r="CF1097">
        <f>$C1097*CF1096</f>
        <v/>
      </c>
      <c r="CG1097">
        <f>$C1097*CG1096</f>
        <v/>
      </c>
      <c r="CH1097">
        <f>$C1097*CH1096</f>
        <v/>
      </c>
      <c r="CI1097">
        <f>$C1097*CI1096</f>
        <v/>
      </c>
      <c r="CJ1097">
        <f>$C1097*CJ1096</f>
        <v/>
      </c>
      <c r="CK1097">
        <f>$C1097*CK1096</f>
        <v/>
      </c>
      <c r="CL1097">
        <f>$C1097*CL1096</f>
        <v/>
      </c>
      <c r="CM1097">
        <f>$C1097*CM1096</f>
        <v/>
      </c>
      <c r="CN1097">
        <f>$C1097*CN1096</f>
        <v/>
      </c>
      <c r="CO1097">
        <f>$C1097*CO1096</f>
        <v/>
      </c>
      <c r="CP1097">
        <f>$C1097*CP1096</f>
        <v/>
      </c>
      <c r="CQ1097">
        <f>$C1097*CQ1096</f>
        <v/>
      </c>
      <c r="CR1097">
        <f>$C1097*CR1096</f>
        <v/>
      </c>
      <c r="CS1097">
        <f>$C1097*CS1096</f>
        <v/>
      </c>
      <c r="CT1097">
        <f>$C1097*CT1096</f>
        <v/>
      </c>
      <c r="CU1097">
        <f>$C1097*CU1096</f>
        <v/>
      </c>
      <c r="CV1097">
        <f>$C1097*CV1096</f>
        <v/>
      </c>
      <c r="CW1097">
        <f>$C1097*CW1096</f>
        <v/>
      </c>
      <c r="CX1097">
        <f>$C1097*CX1096</f>
        <v/>
      </c>
      <c r="CY1097">
        <f>$C1097*CY1096</f>
        <v/>
      </c>
      <c r="CZ1097">
        <f>$C1097*CZ1096</f>
        <v/>
      </c>
      <c r="DA1097">
        <f>$C1097*DA1096</f>
        <v/>
      </c>
      <c r="DB1097">
        <f>$C1097*DB1096</f>
        <v/>
      </c>
      <c r="DC1097">
        <f>$C1097*DC1096</f>
        <v/>
      </c>
    </row>
    <row r="1098">
      <c r="B1098" t="inlineStr">
        <is>
          <t>TSP-670</t>
        </is>
      </c>
      <c r="C1098" t="inlineStr">
        <is>
          <t>No. of batches</t>
        </is>
      </c>
      <c r="D1098">
        <f>IFERROR(INDEX(PP_Grid[#Data],$DD1098,2),0)</f>
        <v/>
      </c>
      <c r="E1098">
        <f>IFERROR(INDEX(PP_Grid[#Data],$DD1098,3),0)</f>
        <v/>
      </c>
      <c r="F1098">
        <f>IFERROR(INDEX(PP_Grid[#Data],$DD1098,4),0)</f>
        <v/>
      </c>
      <c r="G1098">
        <f>IFERROR(INDEX(PP_Grid[#Data],$DD1098,5),0)</f>
        <v/>
      </c>
      <c r="H1098">
        <f>IFERROR(INDEX(PP_Grid[#Data],$DD1098,6),0)</f>
        <v/>
      </c>
      <c r="I1098">
        <f>IFERROR(INDEX(PP_Grid[#Data],$DD1098,7),0)</f>
        <v/>
      </c>
      <c r="J1098">
        <f>IFERROR(INDEX(PP_Grid[#Data],$DD1098,8),0)</f>
        <v/>
      </c>
      <c r="K1098">
        <f>IFERROR(INDEX(PP_Grid[#Data],$DD1098,9),0)</f>
        <v/>
      </c>
      <c r="L1098">
        <f>IFERROR(INDEX(PP_Grid[#Data],$DD1098,10),0)</f>
        <v/>
      </c>
      <c r="M1098">
        <f>IFERROR(INDEX(PP_Grid[#Data],$DD1098,11),0)</f>
        <v/>
      </c>
      <c r="N1098">
        <f>IFERROR(INDEX(PP_Grid[#Data],$DD1098,12),0)</f>
        <v/>
      </c>
      <c r="O1098">
        <f>IFERROR(INDEX(PP_Grid[#Data],$DD1098,13),0)</f>
        <v/>
      </c>
      <c r="P1098">
        <f>IFERROR(INDEX(PP_Grid[#Data],$DD1098,14),0)</f>
        <v/>
      </c>
      <c r="Q1098">
        <f>IFERROR(INDEX(PP_Grid[#Data],$DD1098,15),0)</f>
        <v/>
      </c>
      <c r="R1098">
        <f>IFERROR(INDEX(PP_Grid[#Data],$DD1098,16),0)</f>
        <v/>
      </c>
      <c r="S1098">
        <f>IFERROR(INDEX(PP_Grid[#Data],$DD1098,17),0)</f>
        <v/>
      </c>
      <c r="T1098">
        <f>IFERROR(INDEX(PP_Grid[#Data],$DD1098,18),0)</f>
        <v/>
      </c>
      <c r="U1098">
        <f>IFERROR(INDEX(PP_Grid[#Data],$DD1098,19),0)</f>
        <v/>
      </c>
      <c r="V1098">
        <f>IFERROR(INDEX(PP_Grid[#Data],$DD1098,20),0)</f>
        <v/>
      </c>
      <c r="W1098">
        <f>IFERROR(INDEX(PP_Grid[#Data],$DD1098,21),0)</f>
        <v/>
      </c>
      <c r="X1098">
        <f>IFERROR(INDEX(PP_Grid[#Data],$DD1098,22),0)</f>
        <v/>
      </c>
      <c r="Y1098">
        <f>IFERROR(INDEX(PP_Grid[#Data],$DD1098,23),0)</f>
        <v/>
      </c>
      <c r="Z1098">
        <f>IFERROR(INDEX(PP_Grid[#Data],$DD1098,24),0)</f>
        <v/>
      </c>
      <c r="AA1098">
        <f>IFERROR(INDEX(PP_Grid[#Data],$DD1098,25),0)</f>
        <v/>
      </c>
      <c r="AB1098">
        <f>IFERROR(INDEX(PP_Grid[#Data],$DD1098,26),0)</f>
        <v/>
      </c>
      <c r="AC1098">
        <f>IFERROR(INDEX(PP_Grid[#Data],$DD1098,27),0)</f>
        <v/>
      </c>
      <c r="AD1098">
        <f>IFERROR(INDEX(PP_Grid[#Data],$DD1098,28),0)</f>
        <v/>
      </c>
      <c r="AE1098">
        <f>IFERROR(INDEX(PP_Grid[#Data],$DD1098,29),0)</f>
        <v/>
      </c>
      <c r="AF1098">
        <f>IFERROR(INDEX(PP_Grid[#Data],$DD1098,30),0)</f>
        <v/>
      </c>
      <c r="AG1098">
        <f>IFERROR(INDEX(PP_Grid[#Data],$DD1098,31),0)</f>
        <v/>
      </c>
      <c r="AH1098">
        <f>IFERROR(INDEX(PP_Grid[#Data],$DD1098,32),0)</f>
        <v/>
      </c>
      <c r="AI1098">
        <f>IFERROR(INDEX(PP_Grid[#Data],$DD1098,33),0)</f>
        <v/>
      </c>
      <c r="AJ1098">
        <f>IFERROR(INDEX(PP_Grid[#Data],$DD1098,34),0)</f>
        <v/>
      </c>
      <c r="AK1098">
        <f>IFERROR(INDEX(PP_Grid[#Data],$DD1098,35),0)</f>
        <v/>
      </c>
      <c r="AL1098">
        <f>IFERROR(INDEX(PP_Grid[#Data],$DD1098,36),0)</f>
        <v/>
      </c>
      <c r="AM1098">
        <f>IFERROR(INDEX(PP_Grid[#Data],$DD1098,37),0)</f>
        <v/>
      </c>
      <c r="AN1098">
        <f>IFERROR(INDEX(PP_Grid[#Data],$DD1098,38),0)</f>
        <v/>
      </c>
      <c r="AO1098">
        <f>IFERROR(INDEX(PP_Grid[#Data],$DD1098,39),0)</f>
        <v/>
      </c>
      <c r="AP1098">
        <f>IFERROR(INDEX(PP_Grid[#Data],$DD1098,40),0)</f>
        <v/>
      </c>
      <c r="AQ1098">
        <f>IFERROR(INDEX(PP_Grid[#Data],$DD1098,41),0)</f>
        <v/>
      </c>
      <c r="AR1098">
        <f>IFERROR(INDEX(PP_Grid[#Data],$DD1098,42),0)</f>
        <v/>
      </c>
      <c r="AS1098">
        <f>IFERROR(INDEX(PP_Grid[#Data],$DD1098,43),0)</f>
        <v/>
      </c>
      <c r="AT1098">
        <f>IFERROR(INDEX(PP_Grid[#Data],$DD1098,44),0)</f>
        <v/>
      </c>
      <c r="AU1098">
        <f>IFERROR(INDEX(PP_Grid[#Data],$DD1098,45),0)</f>
        <v/>
      </c>
      <c r="AV1098">
        <f>IFERROR(INDEX(PP_Grid[#Data],$DD1098,46),0)</f>
        <v/>
      </c>
      <c r="AW1098">
        <f>IFERROR(INDEX(PP_Grid[#Data],$DD1098,47),0)</f>
        <v/>
      </c>
      <c r="AX1098">
        <f>IFERROR(INDEX(PP_Grid[#Data],$DD1098,48),0)</f>
        <v/>
      </c>
      <c r="AY1098">
        <f>IFERROR(INDEX(PP_Grid[#Data],$DD1098,49),0)</f>
        <v/>
      </c>
      <c r="AZ1098">
        <f>IFERROR(INDEX(PP_Grid[#Data],$DD1098,50),0)</f>
        <v/>
      </c>
      <c r="BA1098">
        <f>IFERROR(INDEX(PP_Grid[#Data],$DD1098,51),0)</f>
        <v/>
      </c>
      <c r="BB1098">
        <f>IFERROR(INDEX(PP_Grid[#Data],$DD1098,52),0)</f>
        <v/>
      </c>
      <c r="BC1098">
        <f>IFERROR(INDEX(PP_Grid[#Data],$DD1098,53),0)</f>
        <v/>
      </c>
      <c r="BD1098">
        <f>IFERROR(INDEX(PP_Grid[#Data],$DD1098,54),0)</f>
        <v/>
      </c>
      <c r="BE1098">
        <f>IFERROR(INDEX(PP_Grid[#Data],$DD1098,55),0)</f>
        <v/>
      </c>
      <c r="BF1098">
        <f>IFERROR(INDEX(PP_Grid[#Data],$DD1098,56),0)</f>
        <v/>
      </c>
      <c r="BG1098">
        <f>IFERROR(INDEX(PP_Grid[#Data],$DD1098,57),0)</f>
        <v/>
      </c>
      <c r="BH1098">
        <f>IFERROR(INDEX(PP_Grid[#Data],$DD1098,58),0)</f>
        <v/>
      </c>
      <c r="BI1098">
        <f>IFERROR(INDEX(PP_Grid[#Data],$DD1098,59),0)</f>
        <v/>
      </c>
      <c r="BJ1098">
        <f>IFERROR(INDEX(PP_Grid[#Data],$DD1098,60),0)</f>
        <v/>
      </c>
      <c r="BK1098">
        <f>IFERROR(INDEX(PP_Grid[#Data],$DD1098,61),0)</f>
        <v/>
      </c>
      <c r="BL1098">
        <f>IFERROR(INDEX(PP_Grid[#Data],$DD1098,62),0)</f>
        <v/>
      </c>
      <c r="BM1098">
        <f>IFERROR(INDEX(PP_Grid[#Data],$DD1098,63),0)</f>
        <v/>
      </c>
      <c r="BN1098">
        <f>IFERROR(INDEX(PP_Grid[#Data],$DD1098,64),0)</f>
        <v/>
      </c>
      <c r="BO1098">
        <f>IFERROR(INDEX(PP_Grid[#Data],$DD1098,65),0)</f>
        <v/>
      </c>
      <c r="BP1098">
        <f>IFERROR(INDEX(PP_Grid[#Data],$DD1098,66),0)</f>
        <v/>
      </c>
      <c r="BQ1098">
        <f>IFERROR(INDEX(PP_Grid[#Data],$DD1098,67),0)</f>
        <v/>
      </c>
      <c r="BR1098">
        <f>IFERROR(INDEX(PP_Grid[#Data],$DD1098,68),0)</f>
        <v/>
      </c>
      <c r="BS1098">
        <f>IFERROR(INDEX(PP_Grid[#Data],$DD1098,69),0)</f>
        <v/>
      </c>
      <c r="BT1098">
        <f>IFERROR(INDEX(PP_Grid[#Data],$DD1098,70),0)</f>
        <v/>
      </c>
      <c r="BU1098">
        <f>IFERROR(INDEX(PP_Grid[#Data],$DD1098,71),0)</f>
        <v/>
      </c>
      <c r="BV1098">
        <f>IFERROR(INDEX(PP_Grid[#Data],$DD1098,72),0)</f>
        <v/>
      </c>
      <c r="BW1098">
        <f>IFERROR(INDEX(PP_Grid[#Data],$DD1098,73),0)</f>
        <v/>
      </c>
      <c r="BX1098">
        <f>IFERROR(INDEX(PP_Grid[#Data],$DD1098,74),0)</f>
        <v/>
      </c>
      <c r="BY1098">
        <f>IFERROR(INDEX(PP_Grid[#Data],$DD1098,75),0)</f>
        <v/>
      </c>
      <c r="BZ1098">
        <f>IFERROR(INDEX(PP_Grid[#Data],$DD1098,76),0)</f>
        <v/>
      </c>
      <c r="CA1098">
        <f>IFERROR(INDEX(PP_Grid[#Data],$DD1098,77),0)</f>
        <v/>
      </c>
      <c r="CB1098">
        <f>IFERROR(INDEX(PP_Grid[#Data],$DD1098,78),0)</f>
        <v/>
      </c>
      <c r="CC1098">
        <f>IFERROR(INDEX(PP_Grid[#Data],$DD1098,79),0)</f>
        <v/>
      </c>
      <c r="CD1098">
        <f>IFERROR(INDEX(PP_Grid[#Data],$DD1098,80),0)</f>
        <v/>
      </c>
      <c r="CE1098">
        <f>IFERROR(INDEX(PP_Grid[#Data],$DD1098,81),0)</f>
        <v/>
      </c>
      <c r="CF1098">
        <f>IFERROR(INDEX(PP_Grid[#Data],$DD1098,82),0)</f>
        <v/>
      </c>
      <c r="CG1098">
        <f>IFERROR(INDEX(PP_Grid[#Data],$DD1098,83),0)</f>
        <v/>
      </c>
      <c r="CH1098">
        <f>IFERROR(INDEX(PP_Grid[#Data],$DD1098,84),0)</f>
        <v/>
      </c>
      <c r="CI1098">
        <f>IFERROR(INDEX(PP_Grid[#Data],$DD1098,85),0)</f>
        <v/>
      </c>
      <c r="CJ1098">
        <f>IFERROR(INDEX(PP_Grid[#Data],$DD1098,86),0)</f>
        <v/>
      </c>
      <c r="CK1098">
        <f>IFERROR(INDEX(PP_Grid[#Data],$DD1098,87),0)</f>
        <v/>
      </c>
      <c r="CL1098">
        <f>IFERROR(INDEX(PP_Grid[#Data],$DD1098,88),0)</f>
        <v/>
      </c>
      <c r="CM1098">
        <f>IFERROR(INDEX(PP_Grid[#Data],$DD1098,89),0)</f>
        <v/>
      </c>
      <c r="CN1098">
        <f>IFERROR(INDEX(PP_Grid[#Data],$DD1098,90),0)</f>
        <v/>
      </c>
      <c r="CO1098">
        <f>IFERROR(INDEX(PP_Grid[#Data],$DD1098,91),0)</f>
        <v/>
      </c>
      <c r="CP1098">
        <f>IFERROR(INDEX(PP_Grid[#Data],$DD1098,92),0)</f>
        <v/>
      </c>
      <c r="CQ1098">
        <f>IFERROR(INDEX(PP_Grid[#Data],$DD1098,93),0)</f>
        <v/>
      </c>
      <c r="CR1098">
        <f>IFERROR(INDEX(PP_Grid[#Data],$DD1098,94),0)</f>
        <v/>
      </c>
      <c r="CS1098">
        <f>IFERROR(INDEX(PP_Grid[#Data],$DD1098,95),0)</f>
        <v/>
      </c>
      <c r="CT1098">
        <f>IFERROR(INDEX(PP_Grid[#Data],$DD1098,96),0)</f>
        <v/>
      </c>
      <c r="CU1098">
        <f>IFERROR(INDEX(PP_Grid[#Data],$DD1098,97),0)</f>
        <v/>
      </c>
      <c r="CV1098">
        <f>IFERROR(INDEX(PP_Grid[#Data],$DD1098,98),0)</f>
        <v/>
      </c>
      <c r="CW1098">
        <f>IFERROR(INDEX(PP_Grid[#Data],$DD1098,99),0)</f>
        <v/>
      </c>
      <c r="CX1098">
        <f>IFERROR(INDEX(PP_Grid[#Data],$DD1098,100),0)</f>
        <v/>
      </c>
      <c r="CY1098">
        <f>IFERROR(INDEX(PP_Grid[#Data],$DD1098,101),0)</f>
        <v/>
      </c>
      <c r="CZ1098">
        <f>IFERROR(INDEX(PP_Grid[#Data],$DD1098,102),0)</f>
        <v/>
      </c>
      <c r="DA1098">
        <f>IFERROR(INDEX(PP_Grid[#Data],$DD1098,103),0)</f>
        <v/>
      </c>
      <c r="DB1098">
        <f>IFERROR(INDEX(PP_Grid[#Data],$DD1098,104),0)</f>
        <v/>
      </c>
      <c r="DC1098">
        <f>IFERROR(INDEX(PP_Grid[#Data],$DD1098,105),0)</f>
        <v/>
      </c>
      <c r="DD1098" s="12">
        <f>IFERROR(MATCH($B1098,PP_Grid[Intermediate],0),99999)</f>
        <v/>
      </c>
    </row>
    <row r="1099">
      <c r="B1099" t="inlineStr">
        <is>
          <t>使用量(kg)</t>
        </is>
      </c>
      <c r="C1099">
        <f>SUMIFS(M_BOM[RM_Qty_Per_Batch],M_BOM[Intermediate],$B1098,M_BOM[Part Name],$A1075)</f>
        <v/>
      </c>
      <c r="D1099">
        <f>$C1099*D1098</f>
        <v/>
      </c>
      <c r="E1099">
        <f>$C1099*E1098</f>
        <v/>
      </c>
      <c r="F1099">
        <f>$C1099*F1098</f>
        <v/>
      </c>
      <c r="G1099">
        <f>$C1099*G1098</f>
        <v/>
      </c>
      <c r="H1099">
        <f>$C1099*H1098</f>
        <v/>
      </c>
      <c r="I1099">
        <f>$C1099*I1098</f>
        <v/>
      </c>
      <c r="J1099">
        <f>$C1099*J1098</f>
        <v/>
      </c>
      <c r="K1099">
        <f>$C1099*K1098</f>
        <v/>
      </c>
      <c r="L1099">
        <f>$C1099*L1098</f>
        <v/>
      </c>
      <c r="M1099">
        <f>$C1099*M1098</f>
        <v/>
      </c>
      <c r="N1099">
        <f>$C1099*N1098</f>
        <v/>
      </c>
      <c r="O1099">
        <f>$C1099*O1098</f>
        <v/>
      </c>
      <c r="P1099">
        <f>$C1099*P1098</f>
        <v/>
      </c>
      <c r="Q1099">
        <f>$C1099*Q1098</f>
        <v/>
      </c>
      <c r="R1099">
        <f>$C1099*R1098</f>
        <v/>
      </c>
      <c r="S1099">
        <f>$C1099*S1098</f>
        <v/>
      </c>
      <c r="T1099">
        <f>$C1099*T1098</f>
        <v/>
      </c>
      <c r="U1099">
        <f>$C1099*U1098</f>
        <v/>
      </c>
      <c r="V1099">
        <f>$C1099*V1098</f>
        <v/>
      </c>
      <c r="W1099">
        <f>$C1099*W1098</f>
        <v/>
      </c>
      <c r="X1099">
        <f>$C1099*X1098</f>
        <v/>
      </c>
      <c r="Y1099">
        <f>$C1099*Y1098</f>
        <v/>
      </c>
      <c r="Z1099">
        <f>$C1099*Z1098</f>
        <v/>
      </c>
      <c r="AA1099">
        <f>$C1099*AA1098</f>
        <v/>
      </c>
      <c r="AB1099">
        <f>$C1099*AB1098</f>
        <v/>
      </c>
      <c r="AC1099">
        <f>$C1099*AC1098</f>
        <v/>
      </c>
      <c r="AD1099">
        <f>$C1099*AD1098</f>
        <v/>
      </c>
      <c r="AE1099">
        <f>$C1099*AE1098</f>
        <v/>
      </c>
      <c r="AF1099">
        <f>$C1099*AF1098</f>
        <v/>
      </c>
      <c r="AG1099">
        <f>$C1099*AG1098</f>
        <v/>
      </c>
      <c r="AH1099">
        <f>$C1099*AH1098</f>
        <v/>
      </c>
      <c r="AI1099">
        <f>$C1099*AI1098</f>
        <v/>
      </c>
      <c r="AJ1099">
        <f>$C1099*AJ1098</f>
        <v/>
      </c>
      <c r="AK1099">
        <f>$C1099*AK1098</f>
        <v/>
      </c>
      <c r="AL1099">
        <f>$C1099*AL1098</f>
        <v/>
      </c>
      <c r="AM1099">
        <f>$C1099*AM1098</f>
        <v/>
      </c>
      <c r="AN1099">
        <f>$C1099*AN1098</f>
        <v/>
      </c>
      <c r="AO1099">
        <f>$C1099*AO1098</f>
        <v/>
      </c>
      <c r="AP1099">
        <f>$C1099*AP1098</f>
        <v/>
      </c>
      <c r="AQ1099">
        <f>$C1099*AQ1098</f>
        <v/>
      </c>
      <c r="AR1099">
        <f>$C1099*AR1098</f>
        <v/>
      </c>
      <c r="AS1099">
        <f>$C1099*AS1098</f>
        <v/>
      </c>
      <c r="AT1099">
        <f>$C1099*AT1098</f>
        <v/>
      </c>
      <c r="AU1099">
        <f>$C1099*AU1098</f>
        <v/>
      </c>
      <c r="AV1099">
        <f>$C1099*AV1098</f>
        <v/>
      </c>
      <c r="AW1099">
        <f>$C1099*AW1098</f>
        <v/>
      </c>
      <c r="AX1099">
        <f>$C1099*AX1098</f>
        <v/>
      </c>
      <c r="AY1099">
        <f>$C1099*AY1098</f>
        <v/>
      </c>
      <c r="AZ1099">
        <f>$C1099*AZ1098</f>
        <v/>
      </c>
      <c r="BA1099">
        <f>$C1099*BA1098</f>
        <v/>
      </c>
      <c r="BB1099">
        <f>$C1099*BB1098</f>
        <v/>
      </c>
      <c r="BC1099">
        <f>$C1099*BC1098</f>
        <v/>
      </c>
      <c r="BD1099">
        <f>$C1099*BD1098</f>
        <v/>
      </c>
      <c r="BE1099">
        <f>$C1099*BE1098</f>
        <v/>
      </c>
      <c r="BF1099">
        <f>$C1099*BF1098</f>
        <v/>
      </c>
      <c r="BG1099">
        <f>$C1099*BG1098</f>
        <v/>
      </c>
      <c r="BH1099">
        <f>$C1099*BH1098</f>
        <v/>
      </c>
      <c r="BI1099">
        <f>$C1099*BI1098</f>
        <v/>
      </c>
      <c r="BJ1099">
        <f>$C1099*BJ1098</f>
        <v/>
      </c>
      <c r="BK1099">
        <f>$C1099*BK1098</f>
        <v/>
      </c>
      <c r="BL1099">
        <f>$C1099*BL1098</f>
        <v/>
      </c>
      <c r="BM1099">
        <f>$C1099*BM1098</f>
        <v/>
      </c>
      <c r="BN1099">
        <f>$C1099*BN1098</f>
        <v/>
      </c>
      <c r="BO1099">
        <f>$C1099*BO1098</f>
        <v/>
      </c>
      <c r="BP1099">
        <f>$C1099*BP1098</f>
        <v/>
      </c>
      <c r="BQ1099">
        <f>$C1099*BQ1098</f>
        <v/>
      </c>
      <c r="BR1099">
        <f>$C1099*BR1098</f>
        <v/>
      </c>
      <c r="BS1099">
        <f>$C1099*BS1098</f>
        <v/>
      </c>
      <c r="BT1099">
        <f>$C1099*BT1098</f>
        <v/>
      </c>
      <c r="BU1099">
        <f>$C1099*BU1098</f>
        <v/>
      </c>
      <c r="BV1099">
        <f>$C1099*BV1098</f>
        <v/>
      </c>
      <c r="BW1099">
        <f>$C1099*BW1098</f>
        <v/>
      </c>
      <c r="BX1099">
        <f>$C1099*BX1098</f>
        <v/>
      </c>
      <c r="BY1099">
        <f>$C1099*BY1098</f>
        <v/>
      </c>
      <c r="BZ1099">
        <f>$C1099*BZ1098</f>
        <v/>
      </c>
      <c r="CA1099">
        <f>$C1099*CA1098</f>
        <v/>
      </c>
      <c r="CB1099">
        <f>$C1099*CB1098</f>
        <v/>
      </c>
      <c r="CC1099">
        <f>$C1099*CC1098</f>
        <v/>
      </c>
      <c r="CD1099">
        <f>$C1099*CD1098</f>
        <v/>
      </c>
      <c r="CE1099">
        <f>$C1099*CE1098</f>
        <v/>
      </c>
      <c r="CF1099">
        <f>$C1099*CF1098</f>
        <v/>
      </c>
      <c r="CG1099">
        <f>$C1099*CG1098</f>
        <v/>
      </c>
      <c r="CH1099">
        <f>$C1099*CH1098</f>
        <v/>
      </c>
      <c r="CI1099">
        <f>$C1099*CI1098</f>
        <v/>
      </c>
      <c r="CJ1099">
        <f>$C1099*CJ1098</f>
        <v/>
      </c>
      <c r="CK1099">
        <f>$C1099*CK1098</f>
        <v/>
      </c>
      <c r="CL1099">
        <f>$C1099*CL1098</f>
        <v/>
      </c>
      <c r="CM1099">
        <f>$C1099*CM1098</f>
        <v/>
      </c>
      <c r="CN1099">
        <f>$C1099*CN1098</f>
        <v/>
      </c>
      <c r="CO1099">
        <f>$C1099*CO1098</f>
        <v/>
      </c>
      <c r="CP1099">
        <f>$C1099*CP1098</f>
        <v/>
      </c>
      <c r="CQ1099">
        <f>$C1099*CQ1098</f>
        <v/>
      </c>
      <c r="CR1099">
        <f>$C1099*CR1098</f>
        <v/>
      </c>
      <c r="CS1099">
        <f>$C1099*CS1098</f>
        <v/>
      </c>
      <c r="CT1099">
        <f>$C1099*CT1098</f>
        <v/>
      </c>
      <c r="CU1099">
        <f>$C1099*CU1098</f>
        <v/>
      </c>
      <c r="CV1099">
        <f>$C1099*CV1098</f>
        <v/>
      </c>
      <c r="CW1099">
        <f>$C1099*CW1098</f>
        <v/>
      </c>
      <c r="CX1099">
        <f>$C1099*CX1098</f>
        <v/>
      </c>
      <c r="CY1099">
        <f>$C1099*CY1098</f>
        <v/>
      </c>
      <c r="CZ1099">
        <f>$C1099*CZ1098</f>
        <v/>
      </c>
      <c r="DA1099">
        <f>$C1099*DA1098</f>
        <v/>
      </c>
      <c r="DB1099">
        <f>$C1099*DB1098</f>
        <v/>
      </c>
      <c r="DC1099">
        <f>$C1099*DC1098</f>
        <v/>
      </c>
    </row>
    <row r="1100">
      <c r="B1100" t="inlineStr">
        <is>
          <t>TSP-828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12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Name],$A1075)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s="5" t="inlineStr">
        <is>
          <t>合計使用量(kg)/週</t>
        </is>
      </c>
      <c r="D1102">
        <f>'Grid_Requirement'!B48</f>
        <v/>
      </c>
      <c r="E1102">
        <f>'Grid_Requirement'!C48</f>
        <v/>
      </c>
      <c r="F1102">
        <f>'Grid_Requirement'!D48</f>
        <v/>
      </c>
      <c r="G1102">
        <f>'Grid_Requirement'!E48</f>
        <v/>
      </c>
      <c r="H1102">
        <f>'Grid_Requirement'!F48</f>
        <v/>
      </c>
      <c r="I1102">
        <f>'Grid_Requirement'!G48</f>
        <v/>
      </c>
      <c r="J1102">
        <f>'Grid_Requirement'!H48</f>
        <v/>
      </c>
      <c r="K1102">
        <f>'Grid_Requirement'!I48</f>
        <v/>
      </c>
      <c r="L1102">
        <f>'Grid_Requirement'!J48</f>
        <v/>
      </c>
      <c r="M1102">
        <f>'Grid_Requirement'!K48</f>
        <v/>
      </c>
      <c r="N1102">
        <f>'Grid_Requirement'!L48</f>
        <v/>
      </c>
      <c r="O1102">
        <f>'Grid_Requirement'!M48</f>
        <v/>
      </c>
      <c r="P1102">
        <f>'Grid_Requirement'!N48</f>
        <v/>
      </c>
      <c r="Q1102">
        <f>'Grid_Requirement'!O48</f>
        <v/>
      </c>
      <c r="R1102">
        <f>'Grid_Requirement'!P48</f>
        <v/>
      </c>
      <c r="S1102">
        <f>'Grid_Requirement'!Q48</f>
        <v/>
      </c>
      <c r="T1102">
        <f>'Grid_Requirement'!R48</f>
        <v/>
      </c>
      <c r="U1102">
        <f>'Grid_Requirement'!S48</f>
        <v/>
      </c>
      <c r="V1102">
        <f>'Grid_Requirement'!T48</f>
        <v/>
      </c>
      <c r="W1102">
        <f>'Grid_Requirement'!U48</f>
        <v/>
      </c>
      <c r="X1102">
        <f>'Grid_Requirement'!V48</f>
        <v/>
      </c>
      <c r="Y1102">
        <f>'Grid_Requirement'!W48</f>
        <v/>
      </c>
      <c r="Z1102">
        <f>'Grid_Requirement'!X48</f>
        <v/>
      </c>
      <c r="AA1102">
        <f>'Grid_Requirement'!Y48</f>
        <v/>
      </c>
      <c r="AB1102">
        <f>'Grid_Requirement'!Z48</f>
        <v/>
      </c>
      <c r="AC1102">
        <f>'Grid_Requirement'!AA48</f>
        <v/>
      </c>
      <c r="AD1102">
        <f>'Grid_Requirement'!AB48</f>
        <v/>
      </c>
      <c r="AE1102">
        <f>'Grid_Requirement'!AC48</f>
        <v/>
      </c>
      <c r="AF1102">
        <f>'Grid_Requirement'!AD48</f>
        <v/>
      </c>
      <c r="AG1102">
        <f>'Grid_Requirement'!AE48</f>
        <v/>
      </c>
      <c r="AH1102">
        <f>'Grid_Requirement'!AF48</f>
        <v/>
      </c>
      <c r="AI1102">
        <f>'Grid_Requirement'!AG48</f>
        <v/>
      </c>
      <c r="AJ1102">
        <f>'Grid_Requirement'!AH48</f>
        <v/>
      </c>
      <c r="AK1102">
        <f>'Grid_Requirement'!AI48</f>
        <v/>
      </c>
      <c r="AL1102">
        <f>'Grid_Requirement'!AJ48</f>
        <v/>
      </c>
      <c r="AM1102">
        <f>'Grid_Requirement'!AK48</f>
        <v/>
      </c>
      <c r="AN1102">
        <f>'Grid_Requirement'!AL48</f>
        <v/>
      </c>
      <c r="AO1102">
        <f>'Grid_Requirement'!AM48</f>
        <v/>
      </c>
      <c r="AP1102">
        <f>'Grid_Requirement'!AN48</f>
        <v/>
      </c>
      <c r="AQ1102">
        <f>'Grid_Requirement'!AO48</f>
        <v/>
      </c>
      <c r="AR1102">
        <f>'Grid_Requirement'!AP48</f>
        <v/>
      </c>
      <c r="AS1102">
        <f>'Grid_Requirement'!AQ48</f>
        <v/>
      </c>
      <c r="AT1102">
        <f>'Grid_Requirement'!AR48</f>
        <v/>
      </c>
      <c r="AU1102">
        <f>'Grid_Requirement'!AS48</f>
        <v/>
      </c>
      <c r="AV1102">
        <f>'Grid_Requirement'!AT48</f>
        <v/>
      </c>
      <c r="AW1102">
        <f>'Grid_Requirement'!AU48</f>
        <v/>
      </c>
      <c r="AX1102">
        <f>'Grid_Requirement'!AV48</f>
        <v/>
      </c>
      <c r="AY1102">
        <f>'Grid_Requirement'!AW48</f>
        <v/>
      </c>
      <c r="AZ1102">
        <f>'Grid_Requirement'!AX48</f>
        <v/>
      </c>
      <c r="BA1102">
        <f>'Grid_Requirement'!AY48</f>
        <v/>
      </c>
      <c r="BB1102">
        <f>'Grid_Requirement'!AZ48</f>
        <v/>
      </c>
      <c r="BC1102">
        <f>'Grid_Requirement'!BA48</f>
        <v/>
      </c>
      <c r="BD1102">
        <f>'Grid_Requirement'!BB48</f>
        <v/>
      </c>
      <c r="BE1102">
        <f>'Grid_Requirement'!BC48</f>
        <v/>
      </c>
      <c r="BF1102">
        <f>'Grid_Requirement'!BD48</f>
        <v/>
      </c>
      <c r="BG1102">
        <f>'Grid_Requirement'!BE48</f>
        <v/>
      </c>
      <c r="BH1102">
        <f>'Grid_Requirement'!BF48</f>
        <v/>
      </c>
      <c r="BI1102">
        <f>'Grid_Requirement'!BG48</f>
        <v/>
      </c>
      <c r="BJ1102">
        <f>'Grid_Requirement'!BH48</f>
        <v/>
      </c>
      <c r="BK1102">
        <f>'Grid_Requirement'!BI48</f>
        <v/>
      </c>
      <c r="BL1102">
        <f>'Grid_Requirement'!BJ48</f>
        <v/>
      </c>
      <c r="BM1102">
        <f>'Grid_Requirement'!BK48</f>
        <v/>
      </c>
      <c r="BN1102">
        <f>'Grid_Requirement'!BL48</f>
        <v/>
      </c>
      <c r="BO1102">
        <f>'Grid_Requirement'!BM48</f>
        <v/>
      </c>
      <c r="BP1102">
        <f>'Grid_Requirement'!BN48</f>
        <v/>
      </c>
      <c r="BQ1102">
        <f>'Grid_Requirement'!BO48</f>
        <v/>
      </c>
      <c r="BR1102">
        <f>'Grid_Requirement'!BP48</f>
        <v/>
      </c>
      <c r="BS1102">
        <f>'Grid_Requirement'!BQ48</f>
        <v/>
      </c>
      <c r="BT1102">
        <f>'Grid_Requirement'!BR48</f>
        <v/>
      </c>
      <c r="BU1102">
        <f>'Grid_Requirement'!BS48</f>
        <v/>
      </c>
      <c r="BV1102">
        <f>'Grid_Requirement'!BT48</f>
        <v/>
      </c>
      <c r="BW1102">
        <f>'Grid_Requirement'!BU48</f>
        <v/>
      </c>
      <c r="BX1102">
        <f>'Grid_Requirement'!BV48</f>
        <v/>
      </c>
      <c r="BY1102">
        <f>'Grid_Requirement'!BW48</f>
        <v/>
      </c>
      <c r="BZ1102">
        <f>'Grid_Requirement'!BX48</f>
        <v/>
      </c>
      <c r="CA1102">
        <f>'Grid_Requirement'!BY48</f>
        <v/>
      </c>
      <c r="CB1102">
        <f>'Grid_Requirement'!BZ48</f>
        <v/>
      </c>
      <c r="CC1102">
        <f>'Grid_Requirement'!CA48</f>
        <v/>
      </c>
      <c r="CD1102">
        <f>'Grid_Requirement'!CB48</f>
        <v/>
      </c>
      <c r="CE1102">
        <f>'Grid_Requirement'!CC48</f>
        <v/>
      </c>
      <c r="CF1102">
        <f>'Grid_Requirement'!CD48</f>
        <v/>
      </c>
      <c r="CG1102">
        <f>'Grid_Requirement'!CE48</f>
        <v/>
      </c>
      <c r="CH1102">
        <f>'Grid_Requirement'!CF48</f>
        <v/>
      </c>
      <c r="CI1102">
        <f>'Grid_Requirement'!CG48</f>
        <v/>
      </c>
      <c r="CJ1102">
        <f>'Grid_Requirement'!CH48</f>
        <v/>
      </c>
      <c r="CK1102">
        <f>'Grid_Requirement'!CI48</f>
        <v/>
      </c>
      <c r="CL1102">
        <f>'Grid_Requirement'!CJ48</f>
        <v/>
      </c>
      <c r="CM1102">
        <f>'Grid_Requirement'!CK48</f>
        <v/>
      </c>
      <c r="CN1102">
        <f>'Grid_Requirement'!CL48</f>
        <v/>
      </c>
      <c r="CO1102">
        <f>'Grid_Requirement'!CM48</f>
        <v/>
      </c>
      <c r="CP1102">
        <f>'Grid_Requirement'!CN48</f>
        <v/>
      </c>
      <c r="CQ1102">
        <f>'Grid_Requirement'!CO48</f>
        <v/>
      </c>
      <c r="CR1102">
        <f>'Grid_Requirement'!CP48</f>
        <v/>
      </c>
      <c r="CS1102">
        <f>'Grid_Requirement'!CQ48</f>
        <v/>
      </c>
      <c r="CT1102">
        <f>'Grid_Requirement'!CR48</f>
        <v/>
      </c>
      <c r="CU1102">
        <f>'Grid_Requirement'!CS48</f>
        <v/>
      </c>
      <c r="CV1102">
        <f>'Grid_Requirement'!CT48</f>
        <v/>
      </c>
      <c r="CW1102">
        <f>'Grid_Requirement'!CU48</f>
        <v/>
      </c>
      <c r="CX1102">
        <f>'Grid_Requirement'!CV48</f>
        <v/>
      </c>
      <c r="CY1102">
        <f>'Grid_Requirement'!CW48</f>
        <v/>
      </c>
      <c r="CZ1102">
        <f>'Grid_Requirement'!CX48</f>
        <v/>
      </c>
      <c r="DA1102">
        <f>'Grid_Requirement'!CY48</f>
        <v/>
      </c>
      <c r="DB1102">
        <f>'Grid_Requirement'!CZ48</f>
        <v/>
      </c>
      <c r="DC1102">
        <f>'Grid_Requirement'!DA48</f>
        <v/>
      </c>
    </row>
    <row r="1103">
      <c r="B1103" t="inlineStr">
        <is>
          <t>TTAF在庫(実績,kg)</t>
        </is>
      </c>
      <c r="D1103">
        <f>'T_TTAFStock'!B52</f>
        <v/>
      </c>
      <c r="E1103">
        <f>'T_TTAFStock'!C52</f>
        <v/>
      </c>
      <c r="F1103">
        <f>'T_TTAFStock'!D52</f>
        <v/>
      </c>
      <c r="G1103">
        <f>'T_TTAFStock'!E52</f>
        <v/>
      </c>
      <c r="H1103">
        <f>'T_TTAFStock'!F52</f>
        <v/>
      </c>
      <c r="I1103">
        <f>'T_TTAFStock'!G52</f>
        <v/>
      </c>
      <c r="J1103">
        <f>'T_TTAFStock'!H52</f>
        <v/>
      </c>
      <c r="K1103">
        <f>'T_TTAFStock'!I52</f>
        <v/>
      </c>
      <c r="L1103">
        <f>'T_TTAFStock'!J52</f>
        <v/>
      </c>
      <c r="M1103">
        <f>'T_TTAFStock'!K52</f>
        <v/>
      </c>
      <c r="N1103">
        <f>'T_TTAFStock'!L52</f>
        <v/>
      </c>
      <c r="O1103">
        <f>'T_TTAFStock'!M52</f>
        <v/>
      </c>
      <c r="P1103">
        <f>'T_TTAFStock'!N52</f>
        <v/>
      </c>
      <c r="Q1103">
        <f>'T_TTAFStock'!O52</f>
        <v/>
      </c>
      <c r="R1103">
        <f>'T_TTAFStock'!P52</f>
        <v/>
      </c>
      <c r="S1103">
        <f>'T_TTAFStock'!Q52</f>
        <v/>
      </c>
      <c r="T1103">
        <f>'T_TTAFStock'!R52</f>
        <v/>
      </c>
      <c r="U1103">
        <f>'T_TTAFStock'!S52</f>
        <v/>
      </c>
      <c r="V1103">
        <f>'T_TTAFStock'!T52</f>
        <v/>
      </c>
      <c r="W1103">
        <f>'T_TTAFStock'!U52</f>
        <v/>
      </c>
      <c r="X1103">
        <f>'T_TTAFStock'!V52</f>
        <v/>
      </c>
      <c r="Y1103">
        <f>'T_TTAFStock'!W52</f>
        <v/>
      </c>
      <c r="Z1103">
        <f>'T_TTAFStock'!X52</f>
        <v/>
      </c>
      <c r="AA1103">
        <f>'T_TTAFStock'!Y52</f>
        <v/>
      </c>
      <c r="AB1103">
        <f>'T_TTAFStock'!Z52</f>
        <v/>
      </c>
      <c r="AC1103">
        <f>'T_TTAFStock'!AA52</f>
        <v/>
      </c>
      <c r="AD1103">
        <f>'T_TTAFStock'!AB52</f>
        <v/>
      </c>
      <c r="AE1103">
        <f>'T_TTAFStock'!AC52</f>
        <v/>
      </c>
      <c r="AF1103">
        <f>'T_TTAFStock'!AD52</f>
        <v/>
      </c>
      <c r="AG1103">
        <f>'T_TTAFStock'!AE52</f>
        <v/>
      </c>
      <c r="AH1103">
        <f>'T_TTAFStock'!AF52</f>
        <v/>
      </c>
      <c r="AI1103">
        <f>'T_TTAFStock'!AG52</f>
        <v/>
      </c>
      <c r="AJ1103">
        <f>'T_TTAFStock'!AH52</f>
        <v/>
      </c>
      <c r="AK1103">
        <f>'T_TTAFStock'!AI52</f>
        <v/>
      </c>
      <c r="AL1103">
        <f>'T_TTAFStock'!AJ52</f>
        <v/>
      </c>
      <c r="AM1103">
        <f>'T_TTAFStock'!AK52</f>
        <v/>
      </c>
      <c r="AN1103">
        <f>'T_TTAFStock'!AL52</f>
        <v/>
      </c>
      <c r="AO1103">
        <f>'T_TTAFStock'!AM52</f>
        <v/>
      </c>
      <c r="AP1103">
        <f>'T_TTAFStock'!AN52</f>
        <v/>
      </c>
      <c r="AQ1103">
        <f>'T_TTAFStock'!AO52</f>
        <v/>
      </c>
      <c r="AR1103">
        <f>'T_TTAFStock'!AP52</f>
        <v/>
      </c>
      <c r="AS1103">
        <f>'T_TTAFStock'!AQ52</f>
        <v/>
      </c>
      <c r="AT1103">
        <f>'T_TTAFStock'!AR52</f>
        <v/>
      </c>
      <c r="AU1103">
        <f>'T_TTAFStock'!AS52</f>
        <v/>
      </c>
      <c r="AV1103">
        <f>'T_TTAFStock'!AT52</f>
        <v/>
      </c>
      <c r="AW1103">
        <f>'T_TTAFStock'!AU52</f>
        <v/>
      </c>
      <c r="AX1103">
        <f>'T_TTAFStock'!AV52</f>
        <v/>
      </c>
      <c r="AY1103">
        <f>'T_TTAFStock'!AW52</f>
        <v/>
      </c>
      <c r="AZ1103">
        <f>'T_TTAFStock'!AX52</f>
        <v/>
      </c>
      <c r="BA1103">
        <f>'T_TTAFStock'!AY52</f>
        <v/>
      </c>
      <c r="BB1103">
        <f>'T_TTAFStock'!AZ52</f>
        <v/>
      </c>
      <c r="BC1103">
        <f>'T_TTAFStock'!BA52</f>
        <v/>
      </c>
      <c r="BD1103">
        <f>'T_TTAFStock'!BB52</f>
        <v/>
      </c>
      <c r="BE1103">
        <f>'T_TTAFStock'!BC52</f>
        <v/>
      </c>
      <c r="BF1103">
        <f>'T_TTAFStock'!BD52</f>
        <v/>
      </c>
      <c r="BG1103">
        <f>'T_TTAFStock'!BE52</f>
        <v/>
      </c>
      <c r="BH1103">
        <f>'T_TTAFStock'!BF52</f>
        <v/>
      </c>
      <c r="BI1103">
        <f>'T_TTAFStock'!BG52</f>
        <v/>
      </c>
      <c r="BJ1103">
        <f>'T_TTAFStock'!BH52</f>
        <v/>
      </c>
      <c r="BK1103">
        <f>'T_TTAFStock'!BI52</f>
        <v/>
      </c>
      <c r="BL1103">
        <f>'T_TTAFStock'!BJ52</f>
        <v/>
      </c>
      <c r="BM1103">
        <f>'T_TTAFStock'!BK52</f>
        <v/>
      </c>
      <c r="BN1103">
        <f>'T_TTAFStock'!BL52</f>
        <v/>
      </c>
      <c r="BO1103">
        <f>'T_TTAFStock'!BM52</f>
        <v/>
      </c>
      <c r="BP1103">
        <f>'T_TTAFStock'!BN52</f>
        <v/>
      </c>
      <c r="BQ1103">
        <f>'T_TTAFStock'!BO52</f>
        <v/>
      </c>
      <c r="BR1103">
        <f>'T_TTAFStock'!BP52</f>
        <v/>
      </c>
      <c r="BS1103">
        <f>'T_TTAFStock'!BQ52</f>
        <v/>
      </c>
      <c r="BT1103">
        <f>'T_TTAFStock'!BR52</f>
        <v/>
      </c>
      <c r="BU1103">
        <f>'T_TTAFStock'!BS52</f>
        <v/>
      </c>
      <c r="BV1103">
        <f>'T_TTAFStock'!BT52</f>
        <v/>
      </c>
      <c r="BW1103">
        <f>'T_TTAFStock'!BU52</f>
        <v/>
      </c>
      <c r="BX1103">
        <f>'T_TTAFStock'!BV52</f>
        <v/>
      </c>
      <c r="BY1103">
        <f>'T_TTAFStock'!BW52</f>
        <v/>
      </c>
      <c r="BZ1103">
        <f>'T_TTAFStock'!BX52</f>
        <v/>
      </c>
      <c r="CA1103">
        <f>'T_TTAFStock'!BY52</f>
        <v/>
      </c>
      <c r="CB1103">
        <f>'T_TTAFStock'!BZ52</f>
        <v/>
      </c>
      <c r="CC1103">
        <f>'T_TTAFStock'!CA52</f>
        <v/>
      </c>
      <c r="CD1103">
        <f>'T_TTAFStock'!CB52</f>
        <v/>
      </c>
      <c r="CE1103">
        <f>'T_TTAFStock'!CC52</f>
        <v/>
      </c>
      <c r="CF1103">
        <f>'T_TTAFStock'!CD52</f>
        <v/>
      </c>
      <c r="CG1103">
        <f>'T_TTAFStock'!CE52</f>
        <v/>
      </c>
      <c r="CH1103">
        <f>'T_TTAFStock'!CF52</f>
        <v/>
      </c>
      <c r="CI1103">
        <f>'T_TTAFStock'!CG52</f>
        <v/>
      </c>
      <c r="CJ1103">
        <f>'T_TTAFStock'!CH52</f>
        <v/>
      </c>
      <c r="CK1103">
        <f>'T_TTAFStock'!CI52</f>
        <v/>
      </c>
      <c r="CL1103">
        <f>'T_TTAFStock'!CJ52</f>
        <v/>
      </c>
      <c r="CM1103">
        <f>'T_TTAFStock'!CK52</f>
        <v/>
      </c>
      <c r="CN1103">
        <f>'T_TTAFStock'!CL52</f>
        <v/>
      </c>
      <c r="CO1103">
        <f>'T_TTAFStock'!CM52</f>
        <v/>
      </c>
      <c r="CP1103">
        <f>'T_TTAFStock'!CN52</f>
        <v/>
      </c>
      <c r="CQ1103">
        <f>'T_TTAFStock'!CO52</f>
        <v/>
      </c>
      <c r="CR1103">
        <f>'T_TTAFStock'!CP52</f>
        <v/>
      </c>
      <c r="CS1103">
        <f>'T_TTAFStock'!CQ52</f>
        <v/>
      </c>
      <c r="CT1103">
        <f>'T_TTAFStock'!CR52</f>
        <v/>
      </c>
      <c r="CU1103">
        <f>'T_TTAFStock'!CS52</f>
        <v/>
      </c>
      <c r="CV1103">
        <f>'T_TTAFStock'!CT52</f>
        <v/>
      </c>
      <c r="CW1103">
        <f>'T_TTAFStock'!CU52</f>
        <v/>
      </c>
      <c r="CX1103">
        <f>'T_TTAFStock'!CV52</f>
        <v/>
      </c>
      <c r="CY1103">
        <f>'T_TTAFStock'!CW52</f>
        <v/>
      </c>
      <c r="CZ1103">
        <f>'T_TTAFStock'!CX52</f>
        <v/>
      </c>
      <c r="DA1103">
        <f>'T_TTAFStock'!CY52</f>
        <v/>
      </c>
      <c r="DB1103">
        <f>'T_TTAFStock'!CZ52</f>
        <v/>
      </c>
      <c r="DC1103">
        <f>'T_TTAFStock'!DA52</f>
        <v/>
      </c>
    </row>
    <row r="1104">
      <c r="B1104" t="inlineStr">
        <is>
          <t>自社在庫(実績,kg)</t>
        </is>
      </c>
      <c r="D1104">
        <f>'T_SelfStock'!B52</f>
        <v/>
      </c>
      <c r="E1104">
        <f>'T_SelfStock'!C52</f>
        <v/>
      </c>
      <c r="F1104">
        <f>'T_SelfStock'!D52</f>
        <v/>
      </c>
      <c r="G1104">
        <f>'T_SelfStock'!E52</f>
        <v/>
      </c>
      <c r="H1104">
        <f>'T_SelfStock'!F52</f>
        <v/>
      </c>
      <c r="I1104">
        <f>'T_SelfStock'!G52</f>
        <v/>
      </c>
      <c r="J1104">
        <f>'T_SelfStock'!H52</f>
        <v/>
      </c>
      <c r="K1104">
        <f>'T_SelfStock'!I52</f>
        <v/>
      </c>
      <c r="L1104">
        <f>'T_SelfStock'!J52</f>
        <v/>
      </c>
      <c r="M1104">
        <f>'T_SelfStock'!K52</f>
        <v/>
      </c>
      <c r="N1104">
        <f>'T_SelfStock'!L52</f>
        <v/>
      </c>
      <c r="O1104">
        <f>'T_SelfStock'!M52</f>
        <v/>
      </c>
      <c r="P1104">
        <f>'T_SelfStock'!N52</f>
        <v/>
      </c>
      <c r="Q1104">
        <f>'T_SelfStock'!O52</f>
        <v/>
      </c>
      <c r="R1104">
        <f>'T_SelfStock'!P52</f>
        <v/>
      </c>
      <c r="S1104">
        <f>'T_SelfStock'!Q52</f>
        <v/>
      </c>
      <c r="T1104">
        <f>'T_SelfStock'!R52</f>
        <v/>
      </c>
      <c r="U1104">
        <f>'T_SelfStock'!S52</f>
        <v/>
      </c>
      <c r="V1104">
        <f>'T_SelfStock'!T52</f>
        <v/>
      </c>
      <c r="W1104">
        <f>'T_SelfStock'!U52</f>
        <v/>
      </c>
      <c r="X1104">
        <f>'T_SelfStock'!V52</f>
        <v/>
      </c>
      <c r="Y1104">
        <f>'T_SelfStock'!W52</f>
        <v/>
      </c>
      <c r="Z1104">
        <f>'T_SelfStock'!X52</f>
        <v/>
      </c>
      <c r="AA1104">
        <f>'T_SelfStock'!Y52</f>
        <v/>
      </c>
      <c r="AB1104">
        <f>'T_SelfStock'!Z52</f>
        <v/>
      </c>
      <c r="AC1104">
        <f>'T_SelfStock'!AA52</f>
        <v/>
      </c>
      <c r="AD1104">
        <f>'T_SelfStock'!AB52</f>
        <v/>
      </c>
      <c r="AE1104">
        <f>'T_SelfStock'!AC52</f>
        <v/>
      </c>
      <c r="AF1104">
        <f>'T_SelfStock'!AD52</f>
        <v/>
      </c>
      <c r="AG1104">
        <f>'T_SelfStock'!AE52</f>
        <v/>
      </c>
      <c r="AH1104">
        <f>'T_SelfStock'!AF52</f>
        <v/>
      </c>
      <c r="AI1104">
        <f>'T_SelfStock'!AG52</f>
        <v/>
      </c>
      <c r="AJ1104">
        <f>'T_SelfStock'!AH52</f>
        <v/>
      </c>
      <c r="AK1104">
        <f>'T_SelfStock'!AI52</f>
        <v/>
      </c>
      <c r="AL1104">
        <f>'T_SelfStock'!AJ52</f>
        <v/>
      </c>
      <c r="AM1104">
        <f>'T_SelfStock'!AK52</f>
        <v/>
      </c>
      <c r="AN1104">
        <f>'T_SelfStock'!AL52</f>
        <v/>
      </c>
      <c r="AO1104">
        <f>'T_SelfStock'!AM52</f>
        <v/>
      </c>
      <c r="AP1104">
        <f>'T_SelfStock'!AN52</f>
        <v/>
      </c>
      <c r="AQ1104">
        <f>'T_SelfStock'!AO52</f>
        <v/>
      </c>
      <c r="AR1104">
        <f>'T_SelfStock'!AP52</f>
        <v/>
      </c>
      <c r="AS1104">
        <f>'T_SelfStock'!AQ52</f>
        <v/>
      </c>
      <c r="AT1104">
        <f>'T_SelfStock'!AR52</f>
        <v/>
      </c>
      <c r="AU1104">
        <f>'T_SelfStock'!AS52</f>
        <v/>
      </c>
      <c r="AV1104">
        <f>'T_SelfStock'!AT52</f>
        <v/>
      </c>
      <c r="AW1104">
        <f>'T_SelfStock'!AU52</f>
        <v/>
      </c>
      <c r="AX1104">
        <f>'T_SelfStock'!AV52</f>
        <v/>
      </c>
      <c r="AY1104">
        <f>'T_SelfStock'!AW52</f>
        <v/>
      </c>
      <c r="AZ1104">
        <f>'T_SelfStock'!AX52</f>
        <v/>
      </c>
      <c r="BA1104">
        <f>'T_SelfStock'!AY52</f>
        <v/>
      </c>
      <c r="BB1104">
        <f>'T_SelfStock'!AZ52</f>
        <v/>
      </c>
      <c r="BC1104">
        <f>'T_SelfStock'!BA52</f>
        <v/>
      </c>
      <c r="BD1104">
        <f>'T_SelfStock'!BB52</f>
        <v/>
      </c>
      <c r="BE1104">
        <f>'T_SelfStock'!BC52</f>
        <v/>
      </c>
      <c r="BF1104">
        <f>'T_SelfStock'!BD52</f>
        <v/>
      </c>
      <c r="BG1104">
        <f>'T_SelfStock'!BE52</f>
        <v/>
      </c>
      <c r="BH1104">
        <f>'T_SelfStock'!BF52</f>
        <v/>
      </c>
      <c r="BI1104">
        <f>'T_SelfStock'!BG52</f>
        <v/>
      </c>
      <c r="BJ1104">
        <f>'T_SelfStock'!BH52</f>
        <v/>
      </c>
      <c r="BK1104">
        <f>'T_SelfStock'!BI52</f>
        <v/>
      </c>
      <c r="BL1104">
        <f>'T_SelfStock'!BJ52</f>
        <v/>
      </c>
      <c r="BM1104">
        <f>'T_SelfStock'!BK52</f>
        <v/>
      </c>
      <c r="BN1104">
        <f>'T_SelfStock'!BL52</f>
        <v/>
      </c>
      <c r="BO1104">
        <f>'T_SelfStock'!BM52</f>
        <v/>
      </c>
      <c r="BP1104">
        <f>'T_SelfStock'!BN52</f>
        <v/>
      </c>
      <c r="BQ1104">
        <f>'T_SelfStock'!BO52</f>
        <v/>
      </c>
      <c r="BR1104">
        <f>'T_SelfStock'!BP52</f>
        <v/>
      </c>
      <c r="BS1104">
        <f>'T_SelfStock'!BQ52</f>
        <v/>
      </c>
      <c r="BT1104">
        <f>'T_SelfStock'!BR52</f>
        <v/>
      </c>
      <c r="BU1104">
        <f>'T_SelfStock'!BS52</f>
        <v/>
      </c>
      <c r="BV1104">
        <f>'T_SelfStock'!BT52</f>
        <v/>
      </c>
      <c r="BW1104">
        <f>'T_SelfStock'!BU52</f>
        <v/>
      </c>
      <c r="BX1104">
        <f>'T_SelfStock'!BV52</f>
        <v/>
      </c>
      <c r="BY1104">
        <f>'T_SelfStock'!BW52</f>
        <v/>
      </c>
      <c r="BZ1104">
        <f>'T_SelfStock'!BX52</f>
        <v/>
      </c>
      <c r="CA1104">
        <f>'T_SelfStock'!BY52</f>
        <v/>
      </c>
      <c r="CB1104">
        <f>'T_SelfStock'!BZ52</f>
        <v/>
      </c>
      <c r="CC1104">
        <f>'T_SelfStock'!CA52</f>
        <v/>
      </c>
      <c r="CD1104">
        <f>'T_SelfStock'!CB52</f>
        <v/>
      </c>
      <c r="CE1104">
        <f>'T_SelfStock'!CC52</f>
        <v/>
      </c>
      <c r="CF1104">
        <f>'T_SelfStock'!CD52</f>
        <v/>
      </c>
      <c r="CG1104">
        <f>'T_SelfStock'!CE52</f>
        <v/>
      </c>
      <c r="CH1104">
        <f>'T_SelfStock'!CF52</f>
        <v/>
      </c>
      <c r="CI1104">
        <f>'T_SelfStock'!CG52</f>
        <v/>
      </c>
      <c r="CJ1104">
        <f>'T_SelfStock'!CH52</f>
        <v/>
      </c>
      <c r="CK1104">
        <f>'T_SelfStock'!CI52</f>
        <v/>
      </c>
      <c r="CL1104">
        <f>'T_SelfStock'!CJ52</f>
        <v/>
      </c>
      <c r="CM1104">
        <f>'T_SelfStock'!CK52</f>
        <v/>
      </c>
      <c r="CN1104">
        <f>'T_SelfStock'!CL52</f>
        <v/>
      </c>
      <c r="CO1104">
        <f>'T_SelfStock'!CM52</f>
        <v/>
      </c>
      <c r="CP1104">
        <f>'T_SelfStock'!CN52</f>
        <v/>
      </c>
      <c r="CQ1104">
        <f>'T_SelfStock'!CO52</f>
        <v/>
      </c>
      <c r="CR1104">
        <f>'T_SelfStock'!CP52</f>
        <v/>
      </c>
      <c r="CS1104">
        <f>'T_SelfStock'!CQ52</f>
        <v/>
      </c>
      <c r="CT1104">
        <f>'T_SelfStock'!CR52</f>
        <v/>
      </c>
      <c r="CU1104">
        <f>'T_SelfStock'!CS52</f>
        <v/>
      </c>
      <c r="CV1104">
        <f>'T_SelfStock'!CT52</f>
        <v/>
      </c>
      <c r="CW1104">
        <f>'T_SelfStock'!CU52</f>
        <v/>
      </c>
      <c r="CX1104">
        <f>'T_SelfStock'!CV52</f>
        <v/>
      </c>
      <c r="CY1104">
        <f>'T_SelfStock'!CW52</f>
        <v/>
      </c>
      <c r="CZ1104">
        <f>'T_SelfStock'!CX52</f>
        <v/>
      </c>
      <c r="DA1104">
        <f>'T_SelfStock'!CY52</f>
        <v/>
      </c>
      <c r="DB1104">
        <f>'T_SelfStock'!CZ52</f>
        <v/>
      </c>
      <c r="DC1104">
        <f>'T_SelfStock'!DA52</f>
        <v/>
      </c>
    </row>
    <row r="1105">
      <c r="B1105" t="inlineStr">
        <is>
          <t>Order(発注予定,kg)</t>
        </is>
      </c>
      <c r="D1105">
        <f>IF(SUMIFS(T_PlannedOrders[EffectiveQty],T_PlannedOrders[Part Name],$A1075,T_PlannedOrders[WeekIndex],1)=0,"",SUMIFS(T_PlannedOrders[EffectiveQty],T_PlannedOrders[Part Name],$A1075,T_PlannedOrders[WeekIndex],1)&amp;" ("&amp;TEXT(SUMPRODUCT(MAX((T_PlannedOrders[Part Name]=$A1075)*(T_PlannedOrders[WeekIndex]=1)*(T_PlannedOrders[EffectiveQty]&gt;0)*T_PlannedOrders[Order_Month])),"m月")&amp;"発注)")</f>
        <v/>
      </c>
      <c r="E1105">
        <f>IF(SUMIFS(T_PlannedOrders[EffectiveQty],T_PlannedOrders[Part Name],$A1075,T_PlannedOrders[WeekIndex],2)=0,"",SUMIFS(T_PlannedOrders[EffectiveQty],T_PlannedOrders[Part Name],$A1075,T_PlannedOrders[WeekIndex],2)&amp;" ("&amp;TEXT(SUMPRODUCT(MAX((T_PlannedOrders[Part Name]=$A1075)*(T_PlannedOrders[WeekIndex]=2)*(T_PlannedOrders[EffectiveQty]&gt;0)*T_PlannedOrders[Order_Month])),"m月")&amp;"発注)")</f>
        <v/>
      </c>
      <c r="F1105">
        <f>IF(SUMIFS(T_PlannedOrders[EffectiveQty],T_PlannedOrders[Part Name],$A1075,T_PlannedOrders[WeekIndex],3)=0,"",SUMIFS(T_PlannedOrders[EffectiveQty],T_PlannedOrders[Part Name],$A1075,T_PlannedOrders[WeekIndex],3)&amp;" ("&amp;TEXT(SUMPRODUCT(MAX((T_PlannedOrders[Part Name]=$A1075)*(T_PlannedOrders[WeekIndex]=3)*(T_PlannedOrders[EffectiveQty]&gt;0)*T_PlannedOrders[Order_Month])),"m月")&amp;"発注)")</f>
        <v/>
      </c>
      <c r="G1105">
        <f>IF(SUMIFS(T_PlannedOrders[EffectiveQty],T_PlannedOrders[Part Name],$A1075,T_PlannedOrders[WeekIndex],4)=0,"",SUMIFS(T_PlannedOrders[EffectiveQty],T_PlannedOrders[Part Name],$A1075,T_PlannedOrders[WeekIndex],4)&amp;" ("&amp;TEXT(SUMPRODUCT(MAX((T_PlannedOrders[Part Name]=$A1075)*(T_PlannedOrders[WeekIndex]=4)*(T_PlannedOrders[EffectiveQty]&gt;0)*T_PlannedOrders[Order_Month])),"m月")&amp;"発注)")</f>
        <v/>
      </c>
      <c r="H1105">
        <f>IF(SUMIFS(T_PlannedOrders[EffectiveQty],T_PlannedOrders[Part Name],$A1075,T_PlannedOrders[WeekIndex],5)=0,"",SUMIFS(T_PlannedOrders[EffectiveQty],T_PlannedOrders[Part Name],$A1075,T_PlannedOrders[WeekIndex],5)&amp;" ("&amp;TEXT(SUMPRODUCT(MAX((T_PlannedOrders[Part Name]=$A1075)*(T_PlannedOrders[WeekIndex]=5)*(T_PlannedOrders[EffectiveQty]&gt;0)*T_PlannedOrders[Order_Month])),"m月")&amp;"発注)")</f>
        <v/>
      </c>
      <c r="I1105">
        <f>IF(SUMIFS(T_PlannedOrders[EffectiveQty],T_PlannedOrders[Part Name],$A1075,T_PlannedOrders[WeekIndex],6)=0,"",SUMIFS(T_PlannedOrders[EffectiveQty],T_PlannedOrders[Part Name],$A1075,T_PlannedOrders[WeekIndex],6)&amp;" ("&amp;TEXT(SUMPRODUCT(MAX((T_PlannedOrders[Part Name]=$A1075)*(T_PlannedOrders[WeekIndex]=6)*(T_PlannedOrders[EffectiveQty]&gt;0)*T_PlannedOrders[Order_Month])),"m月")&amp;"発注)")</f>
        <v/>
      </c>
      <c r="J1105">
        <f>IF(SUMIFS(T_PlannedOrders[EffectiveQty],T_PlannedOrders[Part Name],$A1075,T_PlannedOrders[WeekIndex],7)=0,"",SUMIFS(T_PlannedOrders[EffectiveQty],T_PlannedOrders[Part Name],$A1075,T_PlannedOrders[WeekIndex],7)&amp;" ("&amp;TEXT(SUMPRODUCT(MAX((T_PlannedOrders[Part Name]=$A1075)*(T_PlannedOrders[WeekIndex]=7)*(T_PlannedOrders[EffectiveQty]&gt;0)*T_PlannedOrders[Order_Month])),"m月")&amp;"発注)")</f>
        <v/>
      </c>
      <c r="K1105">
        <f>IF(SUMIFS(T_PlannedOrders[EffectiveQty],T_PlannedOrders[Part Name],$A1075,T_PlannedOrders[WeekIndex],8)=0,"",SUMIFS(T_PlannedOrders[EffectiveQty],T_PlannedOrders[Part Name],$A1075,T_PlannedOrders[WeekIndex],8)&amp;" ("&amp;TEXT(SUMPRODUCT(MAX((T_PlannedOrders[Part Name]=$A1075)*(T_PlannedOrders[WeekIndex]=8)*(T_PlannedOrders[EffectiveQty]&gt;0)*T_PlannedOrders[Order_Month])),"m月")&amp;"発注)")</f>
        <v/>
      </c>
      <c r="L1105">
        <f>IF(SUMIFS(T_PlannedOrders[EffectiveQty],T_PlannedOrders[Part Name],$A1075,T_PlannedOrders[WeekIndex],9)=0,"",SUMIFS(T_PlannedOrders[EffectiveQty],T_PlannedOrders[Part Name],$A1075,T_PlannedOrders[WeekIndex],9)&amp;" ("&amp;TEXT(SUMPRODUCT(MAX((T_PlannedOrders[Part Name]=$A1075)*(T_PlannedOrders[WeekIndex]=9)*(T_PlannedOrders[EffectiveQty]&gt;0)*T_PlannedOrders[Order_Month])),"m月")&amp;"発注)")</f>
        <v/>
      </c>
      <c r="M1105">
        <f>IF(SUMIFS(T_PlannedOrders[EffectiveQty],T_PlannedOrders[Part Name],$A1075,T_PlannedOrders[WeekIndex],10)=0,"",SUMIFS(T_PlannedOrders[EffectiveQty],T_PlannedOrders[Part Name],$A1075,T_PlannedOrders[WeekIndex],10)&amp;" ("&amp;TEXT(SUMPRODUCT(MAX((T_PlannedOrders[Part Name]=$A1075)*(T_PlannedOrders[WeekIndex]=10)*(T_PlannedOrders[EffectiveQty]&gt;0)*T_PlannedOrders[Order_Month])),"m月")&amp;"発注)")</f>
        <v/>
      </c>
      <c r="N1105">
        <f>IF(SUMIFS(T_PlannedOrders[EffectiveQty],T_PlannedOrders[Part Name],$A1075,T_PlannedOrders[WeekIndex],11)=0,"",SUMIFS(T_PlannedOrders[EffectiveQty],T_PlannedOrders[Part Name],$A1075,T_PlannedOrders[WeekIndex],11)&amp;" ("&amp;TEXT(SUMPRODUCT(MAX((T_PlannedOrders[Part Name]=$A1075)*(T_PlannedOrders[WeekIndex]=11)*(T_PlannedOrders[EffectiveQty]&gt;0)*T_PlannedOrders[Order_Month])),"m月")&amp;"発注)")</f>
        <v/>
      </c>
      <c r="O1105">
        <f>IF(SUMIFS(T_PlannedOrders[EffectiveQty],T_PlannedOrders[Part Name],$A1075,T_PlannedOrders[WeekIndex],12)=0,"",SUMIFS(T_PlannedOrders[EffectiveQty],T_PlannedOrders[Part Name],$A1075,T_PlannedOrders[WeekIndex],12)&amp;" ("&amp;TEXT(SUMPRODUCT(MAX((T_PlannedOrders[Part Name]=$A1075)*(T_PlannedOrders[WeekIndex]=12)*(T_PlannedOrders[EffectiveQty]&gt;0)*T_PlannedOrders[Order_Month])),"m月")&amp;"発注)")</f>
        <v/>
      </c>
      <c r="P1105">
        <f>IF(SUMIFS(T_PlannedOrders[EffectiveQty],T_PlannedOrders[Part Name],$A1075,T_PlannedOrders[WeekIndex],13)=0,"",SUMIFS(T_PlannedOrders[EffectiveQty],T_PlannedOrders[Part Name],$A1075,T_PlannedOrders[WeekIndex],13)&amp;" ("&amp;TEXT(SUMPRODUCT(MAX((T_PlannedOrders[Part Name]=$A1075)*(T_PlannedOrders[WeekIndex]=13)*(T_PlannedOrders[EffectiveQty]&gt;0)*T_PlannedOrders[Order_Month])),"m月")&amp;"発注)")</f>
        <v/>
      </c>
      <c r="Q1105">
        <f>IF(SUMIFS(T_PlannedOrders[EffectiveQty],T_PlannedOrders[Part Name],$A1075,T_PlannedOrders[WeekIndex],14)=0,"",SUMIFS(T_PlannedOrders[EffectiveQty],T_PlannedOrders[Part Name],$A1075,T_PlannedOrders[WeekIndex],14)&amp;" ("&amp;TEXT(SUMPRODUCT(MAX((T_PlannedOrders[Part Name]=$A1075)*(T_PlannedOrders[WeekIndex]=14)*(T_PlannedOrders[EffectiveQty]&gt;0)*T_PlannedOrders[Order_Month])),"m月")&amp;"発注)")</f>
        <v/>
      </c>
      <c r="R1105">
        <f>IF(SUMIFS(T_PlannedOrders[EffectiveQty],T_PlannedOrders[Part Name],$A1075,T_PlannedOrders[WeekIndex],15)=0,"",SUMIFS(T_PlannedOrders[EffectiveQty],T_PlannedOrders[Part Name],$A1075,T_PlannedOrders[WeekIndex],15)&amp;" ("&amp;TEXT(SUMPRODUCT(MAX((T_PlannedOrders[Part Name]=$A1075)*(T_PlannedOrders[WeekIndex]=15)*(T_PlannedOrders[EffectiveQty]&gt;0)*T_PlannedOrders[Order_Month])),"m月")&amp;"発注)")</f>
        <v/>
      </c>
      <c r="S1105">
        <f>IF(SUMIFS(T_PlannedOrders[EffectiveQty],T_PlannedOrders[Part Name],$A1075,T_PlannedOrders[WeekIndex],16)=0,"",SUMIFS(T_PlannedOrders[EffectiveQty],T_PlannedOrders[Part Name],$A1075,T_PlannedOrders[WeekIndex],16)&amp;" ("&amp;TEXT(SUMPRODUCT(MAX((T_PlannedOrders[Part Name]=$A1075)*(T_PlannedOrders[WeekIndex]=16)*(T_PlannedOrders[EffectiveQty]&gt;0)*T_PlannedOrders[Order_Month])),"m月")&amp;"発注)")</f>
        <v/>
      </c>
      <c r="T1105">
        <f>IF(SUMIFS(T_PlannedOrders[EffectiveQty],T_PlannedOrders[Part Name],$A1075,T_PlannedOrders[WeekIndex],17)=0,"",SUMIFS(T_PlannedOrders[EffectiveQty],T_PlannedOrders[Part Name],$A1075,T_PlannedOrders[WeekIndex],17)&amp;" ("&amp;TEXT(SUMPRODUCT(MAX((T_PlannedOrders[Part Name]=$A1075)*(T_PlannedOrders[WeekIndex]=17)*(T_PlannedOrders[EffectiveQty]&gt;0)*T_PlannedOrders[Order_Month])),"m月")&amp;"発注)")</f>
        <v/>
      </c>
      <c r="U1105">
        <f>IF(SUMIFS(T_PlannedOrders[EffectiveQty],T_PlannedOrders[Part Name],$A1075,T_PlannedOrders[WeekIndex],18)=0,"",SUMIFS(T_PlannedOrders[EffectiveQty],T_PlannedOrders[Part Name],$A1075,T_PlannedOrders[WeekIndex],18)&amp;" ("&amp;TEXT(SUMPRODUCT(MAX((T_PlannedOrders[Part Name]=$A1075)*(T_PlannedOrders[WeekIndex]=18)*(T_PlannedOrders[EffectiveQty]&gt;0)*T_PlannedOrders[Order_Month])),"m月")&amp;"発注)")</f>
        <v/>
      </c>
      <c r="V1105">
        <f>IF(SUMIFS(T_PlannedOrders[EffectiveQty],T_PlannedOrders[Part Name],$A1075,T_PlannedOrders[WeekIndex],19)=0,"",SUMIFS(T_PlannedOrders[EffectiveQty],T_PlannedOrders[Part Name],$A1075,T_PlannedOrders[WeekIndex],19)&amp;" ("&amp;TEXT(SUMPRODUCT(MAX((T_PlannedOrders[Part Name]=$A1075)*(T_PlannedOrders[WeekIndex]=19)*(T_PlannedOrders[EffectiveQty]&gt;0)*T_PlannedOrders[Order_Month])),"m月")&amp;"発注)")</f>
        <v/>
      </c>
      <c r="W1105">
        <f>IF(SUMIFS(T_PlannedOrders[EffectiveQty],T_PlannedOrders[Part Name],$A1075,T_PlannedOrders[WeekIndex],20)=0,"",SUMIFS(T_PlannedOrders[EffectiveQty],T_PlannedOrders[Part Name],$A1075,T_PlannedOrders[WeekIndex],20)&amp;" ("&amp;TEXT(SUMPRODUCT(MAX((T_PlannedOrders[Part Name]=$A1075)*(T_PlannedOrders[WeekIndex]=20)*(T_PlannedOrders[EffectiveQty]&gt;0)*T_PlannedOrders[Order_Month])),"m月")&amp;"発注)")</f>
        <v/>
      </c>
      <c r="X1105">
        <f>IF(SUMIFS(T_PlannedOrders[EffectiveQty],T_PlannedOrders[Part Name],$A1075,T_PlannedOrders[WeekIndex],21)=0,"",SUMIFS(T_PlannedOrders[EffectiveQty],T_PlannedOrders[Part Name],$A1075,T_PlannedOrders[WeekIndex],21)&amp;" ("&amp;TEXT(SUMPRODUCT(MAX((T_PlannedOrders[Part Name]=$A1075)*(T_PlannedOrders[WeekIndex]=21)*(T_PlannedOrders[EffectiveQty]&gt;0)*T_PlannedOrders[Order_Month])),"m月")&amp;"発注)")</f>
        <v/>
      </c>
      <c r="Y1105">
        <f>IF(SUMIFS(T_PlannedOrders[EffectiveQty],T_PlannedOrders[Part Name],$A1075,T_PlannedOrders[WeekIndex],22)=0,"",SUMIFS(T_PlannedOrders[EffectiveQty],T_PlannedOrders[Part Name],$A1075,T_PlannedOrders[WeekIndex],22)&amp;" ("&amp;TEXT(SUMPRODUCT(MAX((T_PlannedOrders[Part Name]=$A1075)*(T_PlannedOrders[WeekIndex]=22)*(T_PlannedOrders[EffectiveQty]&gt;0)*T_PlannedOrders[Order_Month])),"m月")&amp;"発注)")</f>
        <v/>
      </c>
      <c r="Z1105">
        <f>IF(SUMIFS(T_PlannedOrders[EffectiveQty],T_PlannedOrders[Part Name],$A1075,T_PlannedOrders[WeekIndex],23)=0,"",SUMIFS(T_PlannedOrders[EffectiveQty],T_PlannedOrders[Part Name],$A1075,T_PlannedOrders[WeekIndex],23)&amp;" ("&amp;TEXT(SUMPRODUCT(MAX((T_PlannedOrders[Part Name]=$A1075)*(T_PlannedOrders[WeekIndex]=23)*(T_PlannedOrders[EffectiveQty]&gt;0)*T_PlannedOrders[Order_Month])),"m月")&amp;"発注)")</f>
        <v/>
      </c>
      <c r="AA1105">
        <f>IF(SUMIFS(T_PlannedOrders[EffectiveQty],T_PlannedOrders[Part Name],$A1075,T_PlannedOrders[WeekIndex],24)=0,"",SUMIFS(T_PlannedOrders[EffectiveQty],T_PlannedOrders[Part Name],$A1075,T_PlannedOrders[WeekIndex],24)&amp;" ("&amp;TEXT(SUMPRODUCT(MAX((T_PlannedOrders[Part Name]=$A1075)*(T_PlannedOrders[WeekIndex]=24)*(T_PlannedOrders[EffectiveQty]&gt;0)*T_PlannedOrders[Order_Month])),"m月")&amp;"発注)")</f>
        <v/>
      </c>
      <c r="AB1105">
        <f>IF(SUMIFS(T_PlannedOrders[EffectiveQty],T_PlannedOrders[Part Name],$A1075,T_PlannedOrders[WeekIndex],25)=0,"",SUMIFS(T_PlannedOrders[EffectiveQty],T_PlannedOrders[Part Name],$A1075,T_PlannedOrders[WeekIndex],25)&amp;" ("&amp;TEXT(SUMPRODUCT(MAX((T_PlannedOrders[Part Name]=$A1075)*(T_PlannedOrders[WeekIndex]=25)*(T_PlannedOrders[EffectiveQty]&gt;0)*T_PlannedOrders[Order_Month])),"m月")&amp;"発注)")</f>
        <v/>
      </c>
      <c r="AC1105">
        <f>IF(SUMIFS(T_PlannedOrders[EffectiveQty],T_PlannedOrders[Part Name],$A1075,T_PlannedOrders[WeekIndex],26)=0,"",SUMIFS(T_PlannedOrders[EffectiveQty],T_PlannedOrders[Part Name],$A1075,T_PlannedOrders[WeekIndex],26)&amp;" ("&amp;TEXT(SUMPRODUCT(MAX((T_PlannedOrders[Part Name]=$A1075)*(T_PlannedOrders[WeekIndex]=26)*(T_PlannedOrders[EffectiveQty]&gt;0)*T_PlannedOrders[Order_Month])),"m月")&amp;"発注)")</f>
        <v/>
      </c>
      <c r="AD1105">
        <f>IF(SUMIFS(T_PlannedOrders[EffectiveQty],T_PlannedOrders[Part Name],$A1075,T_PlannedOrders[WeekIndex],27)=0,"",SUMIFS(T_PlannedOrders[EffectiveQty],T_PlannedOrders[Part Name],$A1075,T_PlannedOrders[WeekIndex],27)&amp;" ("&amp;TEXT(SUMPRODUCT(MAX((T_PlannedOrders[Part Name]=$A1075)*(T_PlannedOrders[WeekIndex]=27)*(T_PlannedOrders[EffectiveQty]&gt;0)*T_PlannedOrders[Order_Month])),"m月")&amp;"発注)")</f>
        <v/>
      </c>
      <c r="AE1105">
        <f>IF(SUMIFS(T_PlannedOrders[EffectiveQty],T_PlannedOrders[Part Name],$A1075,T_PlannedOrders[WeekIndex],28)=0,"",SUMIFS(T_PlannedOrders[EffectiveQty],T_PlannedOrders[Part Name],$A1075,T_PlannedOrders[WeekIndex],28)&amp;" ("&amp;TEXT(SUMPRODUCT(MAX((T_PlannedOrders[Part Name]=$A1075)*(T_PlannedOrders[WeekIndex]=28)*(T_PlannedOrders[EffectiveQty]&gt;0)*T_PlannedOrders[Order_Month])),"m月")&amp;"発注)")</f>
        <v/>
      </c>
      <c r="AF1105">
        <f>IF(SUMIFS(T_PlannedOrders[EffectiveQty],T_PlannedOrders[Part Name],$A1075,T_PlannedOrders[WeekIndex],29)=0,"",SUMIFS(T_PlannedOrders[EffectiveQty],T_PlannedOrders[Part Name],$A1075,T_PlannedOrders[WeekIndex],29)&amp;" ("&amp;TEXT(SUMPRODUCT(MAX((T_PlannedOrders[Part Name]=$A1075)*(T_PlannedOrders[WeekIndex]=29)*(T_PlannedOrders[EffectiveQty]&gt;0)*T_PlannedOrders[Order_Month])),"m月")&amp;"発注)")</f>
        <v/>
      </c>
      <c r="AG1105">
        <f>IF(SUMIFS(T_PlannedOrders[EffectiveQty],T_PlannedOrders[Part Name],$A1075,T_PlannedOrders[WeekIndex],30)=0,"",SUMIFS(T_PlannedOrders[EffectiveQty],T_PlannedOrders[Part Name],$A1075,T_PlannedOrders[WeekIndex],30)&amp;" ("&amp;TEXT(SUMPRODUCT(MAX((T_PlannedOrders[Part Name]=$A1075)*(T_PlannedOrders[WeekIndex]=30)*(T_PlannedOrders[EffectiveQty]&gt;0)*T_PlannedOrders[Order_Month])),"m月")&amp;"発注)")</f>
        <v/>
      </c>
      <c r="AH1105">
        <f>IF(SUMIFS(T_PlannedOrders[EffectiveQty],T_PlannedOrders[Part Name],$A1075,T_PlannedOrders[WeekIndex],31)=0,"",SUMIFS(T_PlannedOrders[EffectiveQty],T_PlannedOrders[Part Name],$A1075,T_PlannedOrders[WeekIndex],31)&amp;" ("&amp;TEXT(SUMPRODUCT(MAX((T_PlannedOrders[Part Name]=$A1075)*(T_PlannedOrders[WeekIndex]=31)*(T_PlannedOrders[EffectiveQty]&gt;0)*T_PlannedOrders[Order_Month])),"m月")&amp;"発注)")</f>
        <v/>
      </c>
      <c r="AI1105">
        <f>IF(SUMIFS(T_PlannedOrders[EffectiveQty],T_PlannedOrders[Part Name],$A1075,T_PlannedOrders[WeekIndex],32)=0,"",SUMIFS(T_PlannedOrders[EffectiveQty],T_PlannedOrders[Part Name],$A1075,T_PlannedOrders[WeekIndex],32)&amp;" ("&amp;TEXT(SUMPRODUCT(MAX((T_PlannedOrders[Part Name]=$A1075)*(T_PlannedOrders[WeekIndex]=32)*(T_PlannedOrders[EffectiveQty]&gt;0)*T_PlannedOrders[Order_Month])),"m月")&amp;"発注)")</f>
        <v/>
      </c>
      <c r="AJ1105">
        <f>IF(SUMIFS(T_PlannedOrders[EffectiveQty],T_PlannedOrders[Part Name],$A1075,T_PlannedOrders[WeekIndex],33)=0,"",SUMIFS(T_PlannedOrders[EffectiveQty],T_PlannedOrders[Part Name],$A1075,T_PlannedOrders[WeekIndex],33)&amp;" ("&amp;TEXT(SUMPRODUCT(MAX((T_PlannedOrders[Part Name]=$A1075)*(T_PlannedOrders[WeekIndex]=33)*(T_PlannedOrders[EffectiveQty]&gt;0)*T_PlannedOrders[Order_Month])),"m月")&amp;"発注)")</f>
        <v/>
      </c>
      <c r="AK1105">
        <f>IF(SUMIFS(T_PlannedOrders[EffectiveQty],T_PlannedOrders[Part Name],$A1075,T_PlannedOrders[WeekIndex],34)=0,"",SUMIFS(T_PlannedOrders[EffectiveQty],T_PlannedOrders[Part Name],$A1075,T_PlannedOrders[WeekIndex],34)&amp;" ("&amp;TEXT(SUMPRODUCT(MAX((T_PlannedOrders[Part Name]=$A1075)*(T_PlannedOrders[WeekIndex]=34)*(T_PlannedOrders[EffectiveQty]&gt;0)*T_PlannedOrders[Order_Month])),"m月")&amp;"発注)")</f>
        <v/>
      </c>
      <c r="AL1105">
        <f>IF(SUMIFS(T_PlannedOrders[EffectiveQty],T_PlannedOrders[Part Name],$A1075,T_PlannedOrders[WeekIndex],35)=0,"",SUMIFS(T_PlannedOrders[EffectiveQty],T_PlannedOrders[Part Name],$A1075,T_PlannedOrders[WeekIndex],35)&amp;" ("&amp;TEXT(SUMPRODUCT(MAX((T_PlannedOrders[Part Name]=$A1075)*(T_PlannedOrders[WeekIndex]=35)*(T_PlannedOrders[EffectiveQty]&gt;0)*T_PlannedOrders[Order_Month])),"m月")&amp;"発注)")</f>
        <v/>
      </c>
      <c r="AM1105">
        <f>IF(SUMIFS(T_PlannedOrders[EffectiveQty],T_PlannedOrders[Part Name],$A1075,T_PlannedOrders[WeekIndex],36)=0,"",SUMIFS(T_PlannedOrders[EffectiveQty],T_PlannedOrders[Part Name],$A1075,T_PlannedOrders[WeekIndex],36)&amp;" ("&amp;TEXT(SUMPRODUCT(MAX((T_PlannedOrders[Part Name]=$A1075)*(T_PlannedOrders[WeekIndex]=36)*(T_PlannedOrders[EffectiveQty]&gt;0)*T_PlannedOrders[Order_Month])),"m月")&amp;"発注)")</f>
        <v/>
      </c>
      <c r="AN1105">
        <f>IF(SUMIFS(T_PlannedOrders[EffectiveQty],T_PlannedOrders[Part Name],$A1075,T_PlannedOrders[WeekIndex],37)=0,"",SUMIFS(T_PlannedOrders[EffectiveQty],T_PlannedOrders[Part Name],$A1075,T_PlannedOrders[WeekIndex],37)&amp;" ("&amp;TEXT(SUMPRODUCT(MAX((T_PlannedOrders[Part Name]=$A1075)*(T_PlannedOrders[WeekIndex]=37)*(T_PlannedOrders[EffectiveQty]&gt;0)*T_PlannedOrders[Order_Month])),"m月")&amp;"発注)")</f>
        <v/>
      </c>
      <c r="AO1105">
        <f>IF(SUMIFS(T_PlannedOrders[EffectiveQty],T_PlannedOrders[Part Name],$A1075,T_PlannedOrders[WeekIndex],38)=0,"",SUMIFS(T_PlannedOrders[EffectiveQty],T_PlannedOrders[Part Name],$A1075,T_PlannedOrders[WeekIndex],38)&amp;" ("&amp;TEXT(SUMPRODUCT(MAX((T_PlannedOrders[Part Name]=$A1075)*(T_PlannedOrders[WeekIndex]=38)*(T_PlannedOrders[EffectiveQty]&gt;0)*T_PlannedOrders[Order_Month])),"m月")&amp;"発注)")</f>
        <v/>
      </c>
      <c r="AP1105">
        <f>IF(SUMIFS(T_PlannedOrders[EffectiveQty],T_PlannedOrders[Part Name],$A1075,T_PlannedOrders[WeekIndex],39)=0,"",SUMIFS(T_PlannedOrders[EffectiveQty],T_PlannedOrders[Part Name],$A1075,T_PlannedOrders[WeekIndex],39)&amp;" ("&amp;TEXT(SUMPRODUCT(MAX((T_PlannedOrders[Part Name]=$A1075)*(T_PlannedOrders[WeekIndex]=39)*(T_PlannedOrders[EffectiveQty]&gt;0)*T_PlannedOrders[Order_Month])),"m月")&amp;"発注)")</f>
        <v/>
      </c>
      <c r="AQ1105">
        <f>IF(SUMIFS(T_PlannedOrders[EffectiveQty],T_PlannedOrders[Part Name],$A1075,T_PlannedOrders[WeekIndex],40)=0,"",SUMIFS(T_PlannedOrders[EffectiveQty],T_PlannedOrders[Part Name],$A1075,T_PlannedOrders[WeekIndex],40)&amp;" ("&amp;TEXT(SUMPRODUCT(MAX((T_PlannedOrders[Part Name]=$A1075)*(T_PlannedOrders[WeekIndex]=40)*(T_PlannedOrders[EffectiveQty]&gt;0)*T_PlannedOrders[Order_Month])),"m月")&amp;"発注)")</f>
        <v/>
      </c>
      <c r="AR1105">
        <f>IF(SUMIFS(T_PlannedOrders[EffectiveQty],T_PlannedOrders[Part Name],$A1075,T_PlannedOrders[WeekIndex],41)=0,"",SUMIFS(T_PlannedOrders[EffectiveQty],T_PlannedOrders[Part Name],$A1075,T_PlannedOrders[WeekIndex],41)&amp;" ("&amp;TEXT(SUMPRODUCT(MAX((T_PlannedOrders[Part Name]=$A1075)*(T_PlannedOrders[WeekIndex]=41)*(T_PlannedOrders[EffectiveQty]&gt;0)*T_PlannedOrders[Order_Month])),"m月")&amp;"発注)")</f>
        <v/>
      </c>
      <c r="AS1105">
        <f>IF(SUMIFS(T_PlannedOrders[EffectiveQty],T_PlannedOrders[Part Name],$A1075,T_PlannedOrders[WeekIndex],42)=0,"",SUMIFS(T_PlannedOrders[EffectiveQty],T_PlannedOrders[Part Name],$A1075,T_PlannedOrders[WeekIndex],42)&amp;" ("&amp;TEXT(SUMPRODUCT(MAX((T_PlannedOrders[Part Name]=$A1075)*(T_PlannedOrders[WeekIndex]=42)*(T_PlannedOrders[EffectiveQty]&gt;0)*T_PlannedOrders[Order_Month])),"m月")&amp;"発注)")</f>
        <v/>
      </c>
      <c r="AT1105">
        <f>IF(SUMIFS(T_PlannedOrders[EffectiveQty],T_PlannedOrders[Part Name],$A1075,T_PlannedOrders[WeekIndex],43)=0,"",SUMIFS(T_PlannedOrders[EffectiveQty],T_PlannedOrders[Part Name],$A1075,T_PlannedOrders[WeekIndex],43)&amp;" ("&amp;TEXT(SUMPRODUCT(MAX((T_PlannedOrders[Part Name]=$A1075)*(T_PlannedOrders[WeekIndex]=43)*(T_PlannedOrders[EffectiveQty]&gt;0)*T_PlannedOrders[Order_Month])),"m月")&amp;"発注)")</f>
        <v/>
      </c>
      <c r="AU1105">
        <f>IF(SUMIFS(T_PlannedOrders[EffectiveQty],T_PlannedOrders[Part Name],$A1075,T_PlannedOrders[WeekIndex],44)=0,"",SUMIFS(T_PlannedOrders[EffectiveQty],T_PlannedOrders[Part Name],$A1075,T_PlannedOrders[WeekIndex],44)&amp;" ("&amp;TEXT(SUMPRODUCT(MAX((T_PlannedOrders[Part Name]=$A1075)*(T_PlannedOrders[WeekIndex]=44)*(T_PlannedOrders[EffectiveQty]&gt;0)*T_PlannedOrders[Order_Month])),"m月")&amp;"発注)")</f>
        <v/>
      </c>
      <c r="AV1105">
        <f>IF(SUMIFS(T_PlannedOrders[EffectiveQty],T_PlannedOrders[Part Name],$A1075,T_PlannedOrders[WeekIndex],45)=0,"",SUMIFS(T_PlannedOrders[EffectiveQty],T_PlannedOrders[Part Name],$A1075,T_PlannedOrders[WeekIndex],45)&amp;" ("&amp;TEXT(SUMPRODUCT(MAX((T_PlannedOrders[Part Name]=$A1075)*(T_PlannedOrders[WeekIndex]=45)*(T_PlannedOrders[EffectiveQty]&gt;0)*T_PlannedOrders[Order_Month])),"m月")&amp;"発注)")</f>
        <v/>
      </c>
      <c r="AW1105">
        <f>IF(SUMIFS(T_PlannedOrders[EffectiveQty],T_PlannedOrders[Part Name],$A1075,T_PlannedOrders[WeekIndex],46)=0,"",SUMIFS(T_PlannedOrders[EffectiveQty],T_PlannedOrders[Part Name],$A1075,T_PlannedOrders[WeekIndex],46)&amp;" ("&amp;TEXT(SUMPRODUCT(MAX((T_PlannedOrders[Part Name]=$A1075)*(T_PlannedOrders[WeekIndex]=46)*(T_PlannedOrders[EffectiveQty]&gt;0)*T_PlannedOrders[Order_Month])),"m月")&amp;"発注)")</f>
        <v/>
      </c>
      <c r="AX1105">
        <f>IF(SUMIFS(T_PlannedOrders[EffectiveQty],T_PlannedOrders[Part Name],$A1075,T_PlannedOrders[WeekIndex],47)=0,"",SUMIFS(T_PlannedOrders[EffectiveQty],T_PlannedOrders[Part Name],$A1075,T_PlannedOrders[WeekIndex],47)&amp;" ("&amp;TEXT(SUMPRODUCT(MAX((T_PlannedOrders[Part Name]=$A1075)*(T_PlannedOrders[WeekIndex]=47)*(T_PlannedOrders[EffectiveQty]&gt;0)*T_PlannedOrders[Order_Month])),"m月")&amp;"発注)")</f>
        <v/>
      </c>
      <c r="AY1105">
        <f>IF(SUMIFS(T_PlannedOrders[EffectiveQty],T_PlannedOrders[Part Name],$A1075,T_PlannedOrders[WeekIndex],48)=0,"",SUMIFS(T_PlannedOrders[EffectiveQty],T_PlannedOrders[Part Name],$A1075,T_PlannedOrders[WeekIndex],48)&amp;" ("&amp;TEXT(SUMPRODUCT(MAX((T_PlannedOrders[Part Name]=$A1075)*(T_PlannedOrders[WeekIndex]=48)*(T_PlannedOrders[EffectiveQty]&gt;0)*T_PlannedOrders[Order_Month])),"m月")&amp;"発注)")</f>
        <v/>
      </c>
      <c r="AZ1105">
        <f>IF(SUMIFS(T_PlannedOrders[EffectiveQty],T_PlannedOrders[Part Name],$A1075,T_PlannedOrders[WeekIndex],49)=0,"",SUMIFS(T_PlannedOrders[EffectiveQty],T_PlannedOrders[Part Name],$A1075,T_PlannedOrders[WeekIndex],49)&amp;" ("&amp;TEXT(SUMPRODUCT(MAX((T_PlannedOrders[Part Name]=$A1075)*(T_PlannedOrders[WeekIndex]=49)*(T_PlannedOrders[EffectiveQty]&gt;0)*T_PlannedOrders[Order_Month])),"m月")&amp;"発注)")</f>
        <v/>
      </c>
      <c r="BA1105">
        <f>IF(SUMIFS(T_PlannedOrders[EffectiveQty],T_PlannedOrders[Part Name],$A1075,T_PlannedOrders[WeekIndex],50)=0,"",SUMIFS(T_PlannedOrders[EffectiveQty],T_PlannedOrders[Part Name],$A1075,T_PlannedOrders[WeekIndex],50)&amp;" ("&amp;TEXT(SUMPRODUCT(MAX((T_PlannedOrders[Part Name]=$A1075)*(T_PlannedOrders[WeekIndex]=50)*(T_PlannedOrders[EffectiveQty]&gt;0)*T_PlannedOrders[Order_Month])),"m月")&amp;"発注)")</f>
        <v/>
      </c>
      <c r="BB1105">
        <f>IF(SUMIFS(T_PlannedOrders[EffectiveQty],T_PlannedOrders[Part Name],$A1075,T_PlannedOrders[WeekIndex],51)=0,"",SUMIFS(T_PlannedOrders[EffectiveQty],T_PlannedOrders[Part Name],$A1075,T_PlannedOrders[WeekIndex],51)&amp;" ("&amp;TEXT(SUMPRODUCT(MAX((T_PlannedOrders[Part Name]=$A1075)*(T_PlannedOrders[WeekIndex]=51)*(T_PlannedOrders[EffectiveQty]&gt;0)*T_PlannedOrders[Order_Month])),"m月")&amp;"発注)")</f>
        <v/>
      </c>
      <c r="BC1105">
        <f>IF(SUMIFS(T_PlannedOrders[EffectiveQty],T_PlannedOrders[Part Name],$A1075,T_PlannedOrders[WeekIndex],52)=0,"",SUMIFS(T_PlannedOrders[EffectiveQty],T_PlannedOrders[Part Name],$A1075,T_PlannedOrders[WeekIndex],52)&amp;" ("&amp;TEXT(SUMPRODUCT(MAX((T_PlannedOrders[Part Name]=$A1075)*(T_PlannedOrders[WeekIndex]=52)*(T_PlannedOrders[EffectiveQty]&gt;0)*T_PlannedOrders[Order_Month])),"m月")&amp;"発注)")</f>
        <v/>
      </c>
      <c r="BD1105">
        <f>IF(SUMIFS(T_PlannedOrders[EffectiveQty],T_PlannedOrders[Part Name],$A1075,T_PlannedOrders[WeekIndex],53)=0,"",SUMIFS(T_PlannedOrders[EffectiveQty],T_PlannedOrders[Part Name],$A1075,T_PlannedOrders[WeekIndex],53)&amp;" ("&amp;TEXT(SUMPRODUCT(MAX((T_PlannedOrders[Part Name]=$A1075)*(T_PlannedOrders[WeekIndex]=53)*(T_PlannedOrders[EffectiveQty]&gt;0)*T_PlannedOrders[Order_Month])),"m月")&amp;"発注)")</f>
        <v/>
      </c>
      <c r="BE1105">
        <f>IF(SUMIFS(T_PlannedOrders[EffectiveQty],T_PlannedOrders[Part Name],$A1075,T_PlannedOrders[WeekIndex],54)=0,"",SUMIFS(T_PlannedOrders[EffectiveQty],T_PlannedOrders[Part Name],$A1075,T_PlannedOrders[WeekIndex],54)&amp;" ("&amp;TEXT(SUMPRODUCT(MAX((T_PlannedOrders[Part Name]=$A1075)*(T_PlannedOrders[WeekIndex]=54)*(T_PlannedOrders[EffectiveQty]&gt;0)*T_PlannedOrders[Order_Month])),"m月")&amp;"発注)")</f>
        <v/>
      </c>
      <c r="BF1105">
        <f>IF(SUMIFS(T_PlannedOrders[EffectiveQty],T_PlannedOrders[Part Name],$A1075,T_PlannedOrders[WeekIndex],55)=0,"",SUMIFS(T_PlannedOrders[EffectiveQty],T_PlannedOrders[Part Name],$A1075,T_PlannedOrders[WeekIndex],55)&amp;" ("&amp;TEXT(SUMPRODUCT(MAX((T_PlannedOrders[Part Name]=$A1075)*(T_PlannedOrders[WeekIndex]=55)*(T_PlannedOrders[EffectiveQty]&gt;0)*T_PlannedOrders[Order_Month])),"m月")&amp;"発注)")</f>
        <v/>
      </c>
      <c r="BG1105">
        <f>IF(SUMIFS(T_PlannedOrders[EffectiveQty],T_PlannedOrders[Part Name],$A1075,T_PlannedOrders[WeekIndex],56)=0,"",SUMIFS(T_PlannedOrders[EffectiveQty],T_PlannedOrders[Part Name],$A1075,T_PlannedOrders[WeekIndex],56)&amp;" ("&amp;TEXT(SUMPRODUCT(MAX((T_PlannedOrders[Part Name]=$A1075)*(T_PlannedOrders[WeekIndex]=56)*(T_PlannedOrders[EffectiveQty]&gt;0)*T_PlannedOrders[Order_Month])),"m月")&amp;"発注)")</f>
        <v/>
      </c>
      <c r="BH1105">
        <f>IF(SUMIFS(T_PlannedOrders[EffectiveQty],T_PlannedOrders[Part Name],$A1075,T_PlannedOrders[WeekIndex],57)=0,"",SUMIFS(T_PlannedOrders[EffectiveQty],T_PlannedOrders[Part Name],$A1075,T_PlannedOrders[WeekIndex],57)&amp;" ("&amp;TEXT(SUMPRODUCT(MAX((T_PlannedOrders[Part Name]=$A1075)*(T_PlannedOrders[WeekIndex]=57)*(T_PlannedOrders[EffectiveQty]&gt;0)*T_PlannedOrders[Order_Month])),"m月")&amp;"発注)")</f>
        <v/>
      </c>
      <c r="BI1105">
        <f>IF(SUMIFS(T_PlannedOrders[EffectiveQty],T_PlannedOrders[Part Name],$A1075,T_PlannedOrders[WeekIndex],58)=0,"",SUMIFS(T_PlannedOrders[EffectiveQty],T_PlannedOrders[Part Name],$A1075,T_PlannedOrders[WeekIndex],58)&amp;" ("&amp;TEXT(SUMPRODUCT(MAX((T_PlannedOrders[Part Name]=$A1075)*(T_PlannedOrders[WeekIndex]=58)*(T_PlannedOrders[EffectiveQty]&gt;0)*T_PlannedOrders[Order_Month])),"m月")&amp;"発注)")</f>
        <v/>
      </c>
      <c r="BJ1105">
        <f>IF(SUMIFS(T_PlannedOrders[EffectiveQty],T_PlannedOrders[Part Name],$A1075,T_PlannedOrders[WeekIndex],59)=0,"",SUMIFS(T_PlannedOrders[EffectiveQty],T_PlannedOrders[Part Name],$A1075,T_PlannedOrders[WeekIndex],59)&amp;" ("&amp;TEXT(SUMPRODUCT(MAX((T_PlannedOrders[Part Name]=$A1075)*(T_PlannedOrders[WeekIndex]=59)*(T_PlannedOrders[EffectiveQty]&gt;0)*T_PlannedOrders[Order_Month])),"m月")&amp;"発注)")</f>
        <v/>
      </c>
      <c r="BK1105">
        <f>IF(SUMIFS(T_PlannedOrders[EffectiveQty],T_PlannedOrders[Part Name],$A1075,T_PlannedOrders[WeekIndex],60)=0,"",SUMIFS(T_PlannedOrders[EffectiveQty],T_PlannedOrders[Part Name],$A1075,T_PlannedOrders[WeekIndex],60)&amp;" ("&amp;TEXT(SUMPRODUCT(MAX((T_PlannedOrders[Part Name]=$A1075)*(T_PlannedOrders[WeekIndex]=60)*(T_PlannedOrders[EffectiveQty]&gt;0)*T_PlannedOrders[Order_Month])),"m月")&amp;"発注)")</f>
        <v/>
      </c>
      <c r="BL1105">
        <f>IF(SUMIFS(T_PlannedOrders[EffectiveQty],T_PlannedOrders[Part Name],$A1075,T_PlannedOrders[WeekIndex],61)=0,"",SUMIFS(T_PlannedOrders[EffectiveQty],T_PlannedOrders[Part Name],$A1075,T_PlannedOrders[WeekIndex],61)&amp;" ("&amp;TEXT(SUMPRODUCT(MAX((T_PlannedOrders[Part Name]=$A1075)*(T_PlannedOrders[WeekIndex]=61)*(T_PlannedOrders[EffectiveQty]&gt;0)*T_PlannedOrders[Order_Month])),"m月")&amp;"発注)")</f>
        <v/>
      </c>
      <c r="BM1105">
        <f>IF(SUMIFS(T_PlannedOrders[EffectiveQty],T_PlannedOrders[Part Name],$A1075,T_PlannedOrders[WeekIndex],62)=0,"",SUMIFS(T_PlannedOrders[EffectiveQty],T_PlannedOrders[Part Name],$A1075,T_PlannedOrders[WeekIndex],62)&amp;" ("&amp;TEXT(SUMPRODUCT(MAX((T_PlannedOrders[Part Name]=$A1075)*(T_PlannedOrders[WeekIndex]=62)*(T_PlannedOrders[EffectiveQty]&gt;0)*T_PlannedOrders[Order_Month])),"m月")&amp;"発注)")</f>
        <v/>
      </c>
      <c r="BN1105">
        <f>IF(SUMIFS(T_PlannedOrders[EffectiveQty],T_PlannedOrders[Part Name],$A1075,T_PlannedOrders[WeekIndex],63)=0,"",SUMIFS(T_PlannedOrders[EffectiveQty],T_PlannedOrders[Part Name],$A1075,T_PlannedOrders[WeekIndex],63)&amp;" ("&amp;TEXT(SUMPRODUCT(MAX((T_PlannedOrders[Part Name]=$A1075)*(T_PlannedOrders[WeekIndex]=63)*(T_PlannedOrders[EffectiveQty]&gt;0)*T_PlannedOrders[Order_Month])),"m月")&amp;"発注)")</f>
        <v/>
      </c>
      <c r="BO1105">
        <f>IF(SUMIFS(T_PlannedOrders[EffectiveQty],T_PlannedOrders[Part Name],$A1075,T_PlannedOrders[WeekIndex],64)=0,"",SUMIFS(T_PlannedOrders[EffectiveQty],T_PlannedOrders[Part Name],$A1075,T_PlannedOrders[WeekIndex],64)&amp;" ("&amp;TEXT(SUMPRODUCT(MAX((T_PlannedOrders[Part Name]=$A1075)*(T_PlannedOrders[WeekIndex]=64)*(T_PlannedOrders[EffectiveQty]&gt;0)*T_PlannedOrders[Order_Month])),"m月")&amp;"発注)")</f>
        <v/>
      </c>
      <c r="BP1105">
        <f>IF(SUMIFS(T_PlannedOrders[EffectiveQty],T_PlannedOrders[Part Name],$A1075,T_PlannedOrders[WeekIndex],65)=0,"",SUMIFS(T_PlannedOrders[EffectiveQty],T_PlannedOrders[Part Name],$A1075,T_PlannedOrders[WeekIndex],65)&amp;" ("&amp;TEXT(SUMPRODUCT(MAX((T_PlannedOrders[Part Name]=$A1075)*(T_PlannedOrders[WeekIndex]=65)*(T_PlannedOrders[EffectiveQty]&gt;0)*T_PlannedOrders[Order_Month])),"m月")&amp;"発注)")</f>
        <v/>
      </c>
      <c r="BQ1105">
        <f>IF(SUMIFS(T_PlannedOrders[EffectiveQty],T_PlannedOrders[Part Name],$A1075,T_PlannedOrders[WeekIndex],66)=0,"",SUMIFS(T_PlannedOrders[EffectiveQty],T_PlannedOrders[Part Name],$A1075,T_PlannedOrders[WeekIndex],66)&amp;" ("&amp;TEXT(SUMPRODUCT(MAX((T_PlannedOrders[Part Name]=$A1075)*(T_PlannedOrders[WeekIndex]=66)*(T_PlannedOrders[EffectiveQty]&gt;0)*T_PlannedOrders[Order_Month])),"m月")&amp;"発注)")</f>
        <v/>
      </c>
      <c r="BR1105">
        <f>IF(SUMIFS(T_PlannedOrders[EffectiveQty],T_PlannedOrders[Part Name],$A1075,T_PlannedOrders[WeekIndex],67)=0,"",SUMIFS(T_PlannedOrders[EffectiveQty],T_PlannedOrders[Part Name],$A1075,T_PlannedOrders[WeekIndex],67)&amp;" ("&amp;TEXT(SUMPRODUCT(MAX((T_PlannedOrders[Part Name]=$A1075)*(T_PlannedOrders[WeekIndex]=67)*(T_PlannedOrders[EffectiveQty]&gt;0)*T_PlannedOrders[Order_Month])),"m月")&amp;"発注)")</f>
        <v/>
      </c>
      <c r="BS1105">
        <f>IF(SUMIFS(T_PlannedOrders[EffectiveQty],T_PlannedOrders[Part Name],$A1075,T_PlannedOrders[WeekIndex],68)=0,"",SUMIFS(T_PlannedOrders[EffectiveQty],T_PlannedOrders[Part Name],$A1075,T_PlannedOrders[WeekIndex],68)&amp;" ("&amp;TEXT(SUMPRODUCT(MAX((T_PlannedOrders[Part Name]=$A1075)*(T_PlannedOrders[WeekIndex]=68)*(T_PlannedOrders[EffectiveQty]&gt;0)*T_PlannedOrders[Order_Month])),"m月")&amp;"発注)")</f>
        <v/>
      </c>
      <c r="BT1105">
        <f>IF(SUMIFS(T_PlannedOrders[EffectiveQty],T_PlannedOrders[Part Name],$A1075,T_PlannedOrders[WeekIndex],69)=0,"",SUMIFS(T_PlannedOrders[EffectiveQty],T_PlannedOrders[Part Name],$A1075,T_PlannedOrders[WeekIndex],69)&amp;" ("&amp;TEXT(SUMPRODUCT(MAX((T_PlannedOrders[Part Name]=$A1075)*(T_PlannedOrders[WeekIndex]=69)*(T_PlannedOrders[EffectiveQty]&gt;0)*T_PlannedOrders[Order_Month])),"m月")&amp;"発注)")</f>
        <v/>
      </c>
      <c r="BU1105">
        <f>IF(SUMIFS(T_PlannedOrders[EffectiveQty],T_PlannedOrders[Part Name],$A1075,T_PlannedOrders[WeekIndex],70)=0,"",SUMIFS(T_PlannedOrders[EffectiveQty],T_PlannedOrders[Part Name],$A1075,T_PlannedOrders[WeekIndex],70)&amp;" ("&amp;TEXT(SUMPRODUCT(MAX((T_PlannedOrders[Part Name]=$A1075)*(T_PlannedOrders[WeekIndex]=70)*(T_PlannedOrders[EffectiveQty]&gt;0)*T_PlannedOrders[Order_Month])),"m月")&amp;"発注)")</f>
        <v/>
      </c>
      <c r="BV1105">
        <f>IF(SUMIFS(T_PlannedOrders[EffectiveQty],T_PlannedOrders[Part Name],$A1075,T_PlannedOrders[WeekIndex],71)=0,"",SUMIFS(T_PlannedOrders[EffectiveQty],T_PlannedOrders[Part Name],$A1075,T_PlannedOrders[WeekIndex],71)&amp;" ("&amp;TEXT(SUMPRODUCT(MAX((T_PlannedOrders[Part Name]=$A1075)*(T_PlannedOrders[WeekIndex]=71)*(T_PlannedOrders[EffectiveQty]&gt;0)*T_PlannedOrders[Order_Month])),"m月")&amp;"発注)")</f>
        <v/>
      </c>
      <c r="BW1105">
        <f>IF(SUMIFS(T_PlannedOrders[EffectiveQty],T_PlannedOrders[Part Name],$A1075,T_PlannedOrders[WeekIndex],72)=0,"",SUMIFS(T_PlannedOrders[EffectiveQty],T_PlannedOrders[Part Name],$A1075,T_PlannedOrders[WeekIndex],72)&amp;" ("&amp;TEXT(SUMPRODUCT(MAX((T_PlannedOrders[Part Name]=$A1075)*(T_PlannedOrders[WeekIndex]=72)*(T_PlannedOrders[EffectiveQty]&gt;0)*T_PlannedOrders[Order_Month])),"m月")&amp;"発注)")</f>
        <v/>
      </c>
      <c r="BX1105">
        <f>IF(SUMIFS(T_PlannedOrders[EffectiveQty],T_PlannedOrders[Part Name],$A1075,T_PlannedOrders[WeekIndex],73)=0,"",SUMIFS(T_PlannedOrders[EffectiveQty],T_PlannedOrders[Part Name],$A1075,T_PlannedOrders[WeekIndex],73)&amp;" ("&amp;TEXT(SUMPRODUCT(MAX((T_PlannedOrders[Part Name]=$A1075)*(T_PlannedOrders[WeekIndex]=73)*(T_PlannedOrders[EffectiveQty]&gt;0)*T_PlannedOrders[Order_Month])),"m月")&amp;"発注)")</f>
        <v/>
      </c>
      <c r="BY1105">
        <f>IF(SUMIFS(T_PlannedOrders[EffectiveQty],T_PlannedOrders[Part Name],$A1075,T_PlannedOrders[WeekIndex],74)=0,"",SUMIFS(T_PlannedOrders[EffectiveQty],T_PlannedOrders[Part Name],$A1075,T_PlannedOrders[WeekIndex],74)&amp;" ("&amp;TEXT(SUMPRODUCT(MAX((T_PlannedOrders[Part Name]=$A1075)*(T_PlannedOrders[WeekIndex]=74)*(T_PlannedOrders[EffectiveQty]&gt;0)*T_PlannedOrders[Order_Month])),"m月")&amp;"発注)")</f>
        <v/>
      </c>
      <c r="BZ1105">
        <f>IF(SUMIFS(T_PlannedOrders[EffectiveQty],T_PlannedOrders[Part Name],$A1075,T_PlannedOrders[WeekIndex],75)=0,"",SUMIFS(T_PlannedOrders[EffectiveQty],T_PlannedOrders[Part Name],$A1075,T_PlannedOrders[WeekIndex],75)&amp;" ("&amp;TEXT(SUMPRODUCT(MAX((T_PlannedOrders[Part Name]=$A1075)*(T_PlannedOrders[WeekIndex]=75)*(T_PlannedOrders[EffectiveQty]&gt;0)*T_PlannedOrders[Order_Month])),"m月")&amp;"発注)")</f>
        <v/>
      </c>
      <c r="CA1105">
        <f>IF(SUMIFS(T_PlannedOrders[EffectiveQty],T_PlannedOrders[Part Name],$A1075,T_PlannedOrders[WeekIndex],76)=0,"",SUMIFS(T_PlannedOrders[EffectiveQty],T_PlannedOrders[Part Name],$A1075,T_PlannedOrders[WeekIndex],76)&amp;" ("&amp;TEXT(SUMPRODUCT(MAX((T_PlannedOrders[Part Name]=$A1075)*(T_PlannedOrders[WeekIndex]=76)*(T_PlannedOrders[EffectiveQty]&gt;0)*T_PlannedOrders[Order_Month])),"m月")&amp;"発注)")</f>
        <v/>
      </c>
      <c r="CB1105">
        <f>IF(SUMIFS(T_PlannedOrders[EffectiveQty],T_PlannedOrders[Part Name],$A1075,T_PlannedOrders[WeekIndex],77)=0,"",SUMIFS(T_PlannedOrders[EffectiveQty],T_PlannedOrders[Part Name],$A1075,T_PlannedOrders[WeekIndex],77)&amp;" ("&amp;TEXT(SUMPRODUCT(MAX((T_PlannedOrders[Part Name]=$A1075)*(T_PlannedOrders[WeekIndex]=77)*(T_PlannedOrders[EffectiveQty]&gt;0)*T_PlannedOrders[Order_Month])),"m月")&amp;"発注)")</f>
        <v/>
      </c>
      <c r="CC1105">
        <f>IF(SUMIFS(T_PlannedOrders[EffectiveQty],T_PlannedOrders[Part Name],$A1075,T_PlannedOrders[WeekIndex],78)=0,"",SUMIFS(T_PlannedOrders[EffectiveQty],T_PlannedOrders[Part Name],$A1075,T_PlannedOrders[WeekIndex],78)&amp;" ("&amp;TEXT(SUMPRODUCT(MAX((T_PlannedOrders[Part Name]=$A1075)*(T_PlannedOrders[WeekIndex]=78)*(T_PlannedOrders[EffectiveQty]&gt;0)*T_PlannedOrders[Order_Month])),"m月")&amp;"発注)")</f>
        <v/>
      </c>
      <c r="CD1105">
        <f>IF(SUMIFS(T_PlannedOrders[EffectiveQty],T_PlannedOrders[Part Name],$A1075,T_PlannedOrders[WeekIndex],79)=0,"",SUMIFS(T_PlannedOrders[EffectiveQty],T_PlannedOrders[Part Name],$A1075,T_PlannedOrders[WeekIndex],79)&amp;" ("&amp;TEXT(SUMPRODUCT(MAX((T_PlannedOrders[Part Name]=$A1075)*(T_PlannedOrders[WeekIndex]=79)*(T_PlannedOrders[EffectiveQty]&gt;0)*T_PlannedOrders[Order_Month])),"m月")&amp;"発注)")</f>
        <v/>
      </c>
      <c r="CE1105">
        <f>IF(SUMIFS(T_PlannedOrders[EffectiveQty],T_PlannedOrders[Part Name],$A1075,T_PlannedOrders[WeekIndex],80)=0,"",SUMIFS(T_PlannedOrders[EffectiveQty],T_PlannedOrders[Part Name],$A1075,T_PlannedOrders[WeekIndex],80)&amp;" ("&amp;TEXT(SUMPRODUCT(MAX((T_PlannedOrders[Part Name]=$A1075)*(T_PlannedOrders[WeekIndex]=80)*(T_PlannedOrders[EffectiveQty]&gt;0)*T_PlannedOrders[Order_Month])),"m月")&amp;"発注)")</f>
        <v/>
      </c>
      <c r="CF1105">
        <f>IF(SUMIFS(T_PlannedOrders[EffectiveQty],T_PlannedOrders[Part Name],$A1075,T_PlannedOrders[WeekIndex],81)=0,"",SUMIFS(T_PlannedOrders[EffectiveQty],T_PlannedOrders[Part Name],$A1075,T_PlannedOrders[WeekIndex],81)&amp;" ("&amp;TEXT(SUMPRODUCT(MAX((T_PlannedOrders[Part Name]=$A1075)*(T_PlannedOrders[WeekIndex]=81)*(T_PlannedOrders[EffectiveQty]&gt;0)*T_PlannedOrders[Order_Month])),"m月")&amp;"発注)")</f>
        <v/>
      </c>
      <c r="CG1105">
        <f>IF(SUMIFS(T_PlannedOrders[EffectiveQty],T_PlannedOrders[Part Name],$A1075,T_PlannedOrders[WeekIndex],82)=0,"",SUMIFS(T_PlannedOrders[EffectiveQty],T_PlannedOrders[Part Name],$A1075,T_PlannedOrders[WeekIndex],82)&amp;" ("&amp;TEXT(SUMPRODUCT(MAX((T_PlannedOrders[Part Name]=$A1075)*(T_PlannedOrders[WeekIndex]=82)*(T_PlannedOrders[EffectiveQty]&gt;0)*T_PlannedOrders[Order_Month])),"m月")&amp;"発注)")</f>
        <v/>
      </c>
      <c r="CH1105">
        <f>IF(SUMIFS(T_PlannedOrders[EffectiveQty],T_PlannedOrders[Part Name],$A1075,T_PlannedOrders[WeekIndex],83)=0,"",SUMIFS(T_PlannedOrders[EffectiveQty],T_PlannedOrders[Part Name],$A1075,T_PlannedOrders[WeekIndex],83)&amp;" ("&amp;TEXT(SUMPRODUCT(MAX((T_PlannedOrders[Part Name]=$A1075)*(T_PlannedOrders[WeekIndex]=83)*(T_PlannedOrders[EffectiveQty]&gt;0)*T_PlannedOrders[Order_Month])),"m月")&amp;"発注)")</f>
        <v/>
      </c>
      <c r="CI1105">
        <f>IF(SUMIFS(T_PlannedOrders[EffectiveQty],T_PlannedOrders[Part Name],$A1075,T_PlannedOrders[WeekIndex],84)=0,"",SUMIFS(T_PlannedOrders[EffectiveQty],T_PlannedOrders[Part Name],$A1075,T_PlannedOrders[WeekIndex],84)&amp;" ("&amp;TEXT(SUMPRODUCT(MAX((T_PlannedOrders[Part Name]=$A1075)*(T_PlannedOrders[WeekIndex]=84)*(T_PlannedOrders[EffectiveQty]&gt;0)*T_PlannedOrders[Order_Month])),"m月")&amp;"発注)")</f>
        <v/>
      </c>
      <c r="CJ1105">
        <f>IF(SUMIFS(T_PlannedOrders[EffectiveQty],T_PlannedOrders[Part Name],$A1075,T_PlannedOrders[WeekIndex],85)=0,"",SUMIFS(T_PlannedOrders[EffectiveQty],T_PlannedOrders[Part Name],$A1075,T_PlannedOrders[WeekIndex],85)&amp;" ("&amp;TEXT(SUMPRODUCT(MAX((T_PlannedOrders[Part Name]=$A1075)*(T_PlannedOrders[WeekIndex]=85)*(T_PlannedOrders[EffectiveQty]&gt;0)*T_PlannedOrders[Order_Month])),"m月")&amp;"発注)")</f>
        <v/>
      </c>
      <c r="CK1105">
        <f>IF(SUMIFS(T_PlannedOrders[EffectiveQty],T_PlannedOrders[Part Name],$A1075,T_PlannedOrders[WeekIndex],86)=0,"",SUMIFS(T_PlannedOrders[EffectiveQty],T_PlannedOrders[Part Name],$A1075,T_PlannedOrders[WeekIndex],86)&amp;" ("&amp;TEXT(SUMPRODUCT(MAX((T_PlannedOrders[Part Name]=$A1075)*(T_PlannedOrders[WeekIndex]=86)*(T_PlannedOrders[EffectiveQty]&gt;0)*T_PlannedOrders[Order_Month])),"m月")&amp;"発注)")</f>
        <v/>
      </c>
      <c r="CL1105">
        <f>IF(SUMIFS(T_PlannedOrders[EffectiveQty],T_PlannedOrders[Part Name],$A1075,T_PlannedOrders[WeekIndex],87)=0,"",SUMIFS(T_PlannedOrders[EffectiveQty],T_PlannedOrders[Part Name],$A1075,T_PlannedOrders[WeekIndex],87)&amp;" ("&amp;TEXT(SUMPRODUCT(MAX((T_PlannedOrders[Part Name]=$A1075)*(T_PlannedOrders[WeekIndex]=87)*(T_PlannedOrders[EffectiveQty]&gt;0)*T_PlannedOrders[Order_Month])),"m月")&amp;"発注)")</f>
        <v/>
      </c>
      <c r="CM1105">
        <f>IF(SUMIFS(T_PlannedOrders[EffectiveQty],T_PlannedOrders[Part Name],$A1075,T_PlannedOrders[WeekIndex],88)=0,"",SUMIFS(T_PlannedOrders[EffectiveQty],T_PlannedOrders[Part Name],$A1075,T_PlannedOrders[WeekIndex],88)&amp;" ("&amp;TEXT(SUMPRODUCT(MAX((T_PlannedOrders[Part Name]=$A1075)*(T_PlannedOrders[WeekIndex]=88)*(T_PlannedOrders[EffectiveQty]&gt;0)*T_PlannedOrders[Order_Month])),"m月")&amp;"発注)")</f>
        <v/>
      </c>
      <c r="CN1105">
        <f>IF(SUMIFS(T_PlannedOrders[EffectiveQty],T_PlannedOrders[Part Name],$A1075,T_PlannedOrders[WeekIndex],89)=0,"",SUMIFS(T_PlannedOrders[EffectiveQty],T_PlannedOrders[Part Name],$A1075,T_PlannedOrders[WeekIndex],89)&amp;" ("&amp;TEXT(SUMPRODUCT(MAX((T_PlannedOrders[Part Name]=$A1075)*(T_PlannedOrders[WeekIndex]=89)*(T_PlannedOrders[EffectiveQty]&gt;0)*T_PlannedOrders[Order_Month])),"m月")&amp;"発注)")</f>
        <v/>
      </c>
      <c r="CO1105">
        <f>IF(SUMIFS(T_PlannedOrders[EffectiveQty],T_PlannedOrders[Part Name],$A1075,T_PlannedOrders[WeekIndex],90)=0,"",SUMIFS(T_PlannedOrders[EffectiveQty],T_PlannedOrders[Part Name],$A1075,T_PlannedOrders[WeekIndex],90)&amp;" ("&amp;TEXT(SUMPRODUCT(MAX((T_PlannedOrders[Part Name]=$A1075)*(T_PlannedOrders[WeekIndex]=90)*(T_PlannedOrders[EffectiveQty]&gt;0)*T_PlannedOrders[Order_Month])),"m月")&amp;"発注)")</f>
        <v/>
      </c>
      <c r="CP1105">
        <f>IF(SUMIFS(T_PlannedOrders[EffectiveQty],T_PlannedOrders[Part Name],$A1075,T_PlannedOrders[WeekIndex],91)=0,"",SUMIFS(T_PlannedOrders[EffectiveQty],T_PlannedOrders[Part Name],$A1075,T_PlannedOrders[WeekIndex],91)&amp;" ("&amp;TEXT(SUMPRODUCT(MAX((T_PlannedOrders[Part Name]=$A1075)*(T_PlannedOrders[WeekIndex]=91)*(T_PlannedOrders[EffectiveQty]&gt;0)*T_PlannedOrders[Order_Month])),"m月")&amp;"発注)")</f>
        <v/>
      </c>
      <c r="CQ1105">
        <f>IF(SUMIFS(T_PlannedOrders[EffectiveQty],T_PlannedOrders[Part Name],$A1075,T_PlannedOrders[WeekIndex],92)=0,"",SUMIFS(T_PlannedOrders[EffectiveQty],T_PlannedOrders[Part Name],$A1075,T_PlannedOrders[WeekIndex],92)&amp;" ("&amp;TEXT(SUMPRODUCT(MAX((T_PlannedOrders[Part Name]=$A1075)*(T_PlannedOrders[WeekIndex]=92)*(T_PlannedOrders[EffectiveQty]&gt;0)*T_PlannedOrders[Order_Month])),"m月")&amp;"発注)")</f>
        <v/>
      </c>
      <c r="CR1105">
        <f>IF(SUMIFS(T_PlannedOrders[EffectiveQty],T_PlannedOrders[Part Name],$A1075,T_PlannedOrders[WeekIndex],93)=0,"",SUMIFS(T_PlannedOrders[EffectiveQty],T_PlannedOrders[Part Name],$A1075,T_PlannedOrders[WeekIndex],93)&amp;" ("&amp;TEXT(SUMPRODUCT(MAX((T_PlannedOrders[Part Name]=$A1075)*(T_PlannedOrders[WeekIndex]=93)*(T_PlannedOrders[EffectiveQty]&gt;0)*T_PlannedOrders[Order_Month])),"m月")&amp;"発注)")</f>
        <v/>
      </c>
      <c r="CS1105">
        <f>IF(SUMIFS(T_PlannedOrders[EffectiveQty],T_PlannedOrders[Part Name],$A1075,T_PlannedOrders[WeekIndex],94)=0,"",SUMIFS(T_PlannedOrders[EffectiveQty],T_PlannedOrders[Part Name],$A1075,T_PlannedOrders[WeekIndex],94)&amp;" ("&amp;TEXT(SUMPRODUCT(MAX((T_PlannedOrders[Part Name]=$A1075)*(T_PlannedOrders[WeekIndex]=94)*(T_PlannedOrders[EffectiveQty]&gt;0)*T_PlannedOrders[Order_Month])),"m月")&amp;"発注)")</f>
        <v/>
      </c>
      <c r="CT1105">
        <f>IF(SUMIFS(T_PlannedOrders[EffectiveQty],T_PlannedOrders[Part Name],$A1075,T_PlannedOrders[WeekIndex],95)=0,"",SUMIFS(T_PlannedOrders[EffectiveQty],T_PlannedOrders[Part Name],$A1075,T_PlannedOrders[WeekIndex],95)&amp;" ("&amp;TEXT(SUMPRODUCT(MAX((T_PlannedOrders[Part Name]=$A1075)*(T_PlannedOrders[WeekIndex]=95)*(T_PlannedOrders[EffectiveQty]&gt;0)*T_PlannedOrders[Order_Month])),"m月")&amp;"発注)")</f>
        <v/>
      </c>
      <c r="CU1105">
        <f>IF(SUMIFS(T_PlannedOrders[EffectiveQty],T_PlannedOrders[Part Name],$A1075,T_PlannedOrders[WeekIndex],96)=0,"",SUMIFS(T_PlannedOrders[EffectiveQty],T_PlannedOrders[Part Name],$A1075,T_PlannedOrders[WeekIndex],96)&amp;" ("&amp;TEXT(SUMPRODUCT(MAX((T_PlannedOrders[Part Name]=$A1075)*(T_PlannedOrders[WeekIndex]=96)*(T_PlannedOrders[EffectiveQty]&gt;0)*T_PlannedOrders[Order_Month])),"m月")&amp;"発注)")</f>
        <v/>
      </c>
      <c r="CV1105">
        <f>IF(SUMIFS(T_PlannedOrders[EffectiveQty],T_PlannedOrders[Part Name],$A1075,T_PlannedOrders[WeekIndex],97)=0,"",SUMIFS(T_PlannedOrders[EffectiveQty],T_PlannedOrders[Part Name],$A1075,T_PlannedOrders[WeekIndex],97)&amp;" ("&amp;TEXT(SUMPRODUCT(MAX((T_PlannedOrders[Part Name]=$A1075)*(T_PlannedOrders[WeekIndex]=97)*(T_PlannedOrders[EffectiveQty]&gt;0)*T_PlannedOrders[Order_Month])),"m月")&amp;"発注)")</f>
        <v/>
      </c>
      <c r="CW1105">
        <f>IF(SUMIFS(T_PlannedOrders[EffectiveQty],T_PlannedOrders[Part Name],$A1075,T_PlannedOrders[WeekIndex],98)=0,"",SUMIFS(T_PlannedOrders[EffectiveQty],T_PlannedOrders[Part Name],$A1075,T_PlannedOrders[WeekIndex],98)&amp;" ("&amp;TEXT(SUMPRODUCT(MAX((T_PlannedOrders[Part Name]=$A1075)*(T_PlannedOrders[WeekIndex]=98)*(T_PlannedOrders[EffectiveQty]&gt;0)*T_PlannedOrders[Order_Month])),"m月")&amp;"発注)")</f>
        <v/>
      </c>
      <c r="CX1105">
        <f>IF(SUMIFS(T_PlannedOrders[EffectiveQty],T_PlannedOrders[Part Name],$A1075,T_PlannedOrders[WeekIndex],99)=0,"",SUMIFS(T_PlannedOrders[EffectiveQty],T_PlannedOrders[Part Name],$A1075,T_PlannedOrders[WeekIndex],99)&amp;" ("&amp;TEXT(SUMPRODUCT(MAX((T_PlannedOrders[Part Name]=$A1075)*(T_PlannedOrders[WeekIndex]=99)*(T_PlannedOrders[EffectiveQty]&gt;0)*T_PlannedOrders[Order_Month])),"m月")&amp;"発注)")</f>
        <v/>
      </c>
      <c r="CY1105">
        <f>IF(SUMIFS(T_PlannedOrders[EffectiveQty],T_PlannedOrders[Part Name],$A1075,T_PlannedOrders[WeekIndex],100)=0,"",SUMIFS(T_PlannedOrders[EffectiveQty],T_PlannedOrders[Part Name],$A1075,T_PlannedOrders[WeekIndex],100)&amp;" ("&amp;TEXT(SUMPRODUCT(MAX((T_PlannedOrders[Part Name]=$A1075)*(T_PlannedOrders[WeekIndex]=100)*(T_PlannedOrders[EffectiveQty]&gt;0)*T_PlannedOrders[Order_Month])),"m月")&amp;"発注)")</f>
        <v/>
      </c>
      <c r="CZ1105">
        <f>IF(SUMIFS(T_PlannedOrders[EffectiveQty],T_PlannedOrders[Part Name],$A1075,T_PlannedOrders[WeekIndex],101)=0,"",SUMIFS(T_PlannedOrders[EffectiveQty],T_PlannedOrders[Part Name],$A1075,T_PlannedOrders[WeekIndex],101)&amp;" ("&amp;TEXT(SUMPRODUCT(MAX((T_PlannedOrders[Part Name]=$A1075)*(T_PlannedOrders[WeekIndex]=101)*(T_PlannedOrders[EffectiveQty]&gt;0)*T_PlannedOrders[Order_Month])),"m月")&amp;"発注)")</f>
        <v/>
      </c>
      <c r="DA1105">
        <f>IF(SUMIFS(T_PlannedOrders[EffectiveQty],T_PlannedOrders[Part Name],$A1075,T_PlannedOrders[WeekIndex],102)=0,"",SUMIFS(T_PlannedOrders[EffectiveQty],T_PlannedOrders[Part Name],$A1075,T_PlannedOrders[WeekIndex],102)&amp;" ("&amp;TEXT(SUMPRODUCT(MAX((T_PlannedOrders[Part Name]=$A1075)*(T_PlannedOrders[WeekIndex]=102)*(T_PlannedOrders[EffectiveQty]&gt;0)*T_PlannedOrders[Order_Month])),"m月")&amp;"発注)")</f>
        <v/>
      </c>
      <c r="DB1105">
        <f>IF(SUMIFS(T_PlannedOrders[EffectiveQty],T_PlannedOrders[Part Name],$A1075,T_PlannedOrders[WeekIndex],103)=0,"",SUMIFS(T_PlannedOrders[EffectiveQty],T_PlannedOrders[Part Name],$A1075,T_PlannedOrders[WeekIndex],103)&amp;" ("&amp;TEXT(SUMPRODUCT(MAX((T_PlannedOrders[Part Name]=$A1075)*(T_PlannedOrders[WeekIndex]=103)*(T_PlannedOrders[EffectiveQty]&gt;0)*T_PlannedOrders[Order_Month])),"m月")&amp;"発注)")</f>
        <v/>
      </c>
      <c r="DC1105">
        <f>IF(SUMIFS(T_PlannedOrders[EffectiveQty],T_PlannedOrders[Part Name],$A1075,T_PlannedOrders[WeekIndex],104)=0,"",SUMIFS(T_PlannedOrders[EffectiveQty],T_PlannedOrders[Part Name],$A1075,T_PlannedOrders[WeekIndex],104)&amp;" ("&amp;TEXT(SUMPRODUCT(MAX((T_PlannedOrders[Part Name]=$A1075)*(T_PlannedOrders[WeekIndex]=104)*(T_PlannedOrders[EffectiveQty]&gt;0)*T_PlannedOrders[Order_Month])),"m月")&amp;"発注)")</f>
        <v/>
      </c>
    </row>
    <row r="1106">
      <c r="B1106" s="5" t="inlineStr">
        <is>
          <t>合計在庫(週末時点,kg)</t>
        </is>
      </c>
      <c r="D1106">
        <f>'Grid_Stock'!B48</f>
        <v/>
      </c>
      <c r="E1106">
        <f>'Grid_Stock'!C48</f>
        <v/>
      </c>
      <c r="F1106">
        <f>'Grid_Stock'!D48</f>
        <v/>
      </c>
      <c r="G1106">
        <f>'Grid_Stock'!E48</f>
        <v/>
      </c>
      <c r="H1106">
        <f>'Grid_Stock'!F48</f>
        <v/>
      </c>
      <c r="I1106">
        <f>'Grid_Stock'!G48</f>
        <v/>
      </c>
      <c r="J1106">
        <f>'Grid_Stock'!H48</f>
        <v/>
      </c>
      <c r="K1106">
        <f>'Grid_Stock'!I48</f>
        <v/>
      </c>
      <c r="L1106">
        <f>'Grid_Stock'!J48</f>
        <v/>
      </c>
      <c r="M1106">
        <f>'Grid_Stock'!K48</f>
        <v/>
      </c>
      <c r="N1106">
        <f>'Grid_Stock'!L48</f>
        <v/>
      </c>
      <c r="O1106">
        <f>'Grid_Stock'!M48</f>
        <v/>
      </c>
      <c r="P1106">
        <f>'Grid_Stock'!N48</f>
        <v/>
      </c>
      <c r="Q1106">
        <f>'Grid_Stock'!O48</f>
        <v/>
      </c>
      <c r="R1106">
        <f>'Grid_Stock'!P48</f>
        <v/>
      </c>
      <c r="S1106">
        <f>'Grid_Stock'!Q48</f>
        <v/>
      </c>
      <c r="T1106">
        <f>'Grid_Stock'!R48</f>
        <v/>
      </c>
      <c r="U1106">
        <f>'Grid_Stock'!S48</f>
        <v/>
      </c>
      <c r="V1106">
        <f>'Grid_Stock'!T48</f>
        <v/>
      </c>
      <c r="W1106">
        <f>'Grid_Stock'!U48</f>
        <v/>
      </c>
      <c r="X1106">
        <f>'Grid_Stock'!V48</f>
        <v/>
      </c>
      <c r="Y1106">
        <f>'Grid_Stock'!W48</f>
        <v/>
      </c>
      <c r="Z1106">
        <f>'Grid_Stock'!X48</f>
        <v/>
      </c>
      <c r="AA1106">
        <f>'Grid_Stock'!Y48</f>
        <v/>
      </c>
      <c r="AB1106">
        <f>'Grid_Stock'!Z48</f>
        <v/>
      </c>
      <c r="AC1106">
        <f>'Grid_Stock'!AA48</f>
        <v/>
      </c>
      <c r="AD1106">
        <f>'Grid_Stock'!AB48</f>
        <v/>
      </c>
      <c r="AE1106">
        <f>'Grid_Stock'!AC48</f>
        <v/>
      </c>
      <c r="AF1106">
        <f>'Grid_Stock'!AD48</f>
        <v/>
      </c>
      <c r="AG1106">
        <f>'Grid_Stock'!AE48</f>
        <v/>
      </c>
      <c r="AH1106">
        <f>'Grid_Stock'!AF48</f>
        <v/>
      </c>
      <c r="AI1106">
        <f>'Grid_Stock'!AG48</f>
        <v/>
      </c>
      <c r="AJ1106">
        <f>'Grid_Stock'!AH48</f>
        <v/>
      </c>
      <c r="AK1106">
        <f>'Grid_Stock'!AI48</f>
        <v/>
      </c>
      <c r="AL1106">
        <f>'Grid_Stock'!AJ48</f>
        <v/>
      </c>
      <c r="AM1106">
        <f>'Grid_Stock'!AK48</f>
        <v/>
      </c>
      <c r="AN1106">
        <f>'Grid_Stock'!AL48</f>
        <v/>
      </c>
      <c r="AO1106">
        <f>'Grid_Stock'!AM48</f>
        <v/>
      </c>
      <c r="AP1106">
        <f>'Grid_Stock'!AN48</f>
        <v/>
      </c>
      <c r="AQ1106">
        <f>'Grid_Stock'!AO48</f>
        <v/>
      </c>
      <c r="AR1106">
        <f>'Grid_Stock'!AP48</f>
        <v/>
      </c>
      <c r="AS1106">
        <f>'Grid_Stock'!AQ48</f>
        <v/>
      </c>
      <c r="AT1106">
        <f>'Grid_Stock'!AR48</f>
        <v/>
      </c>
      <c r="AU1106">
        <f>'Grid_Stock'!AS48</f>
        <v/>
      </c>
      <c r="AV1106">
        <f>'Grid_Stock'!AT48</f>
        <v/>
      </c>
      <c r="AW1106">
        <f>'Grid_Stock'!AU48</f>
        <v/>
      </c>
      <c r="AX1106">
        <f>'Grid_Stock'!AV48</f>
        <v/>
      </c>
      <c r="AY1106">
        <f>'Grid_Stock'!AW48</f>
        <v/>
      </c>
      <c r="AZ1106">
        <f>'Grid_Stock'!AX48</f>
        <v/>
      </c>
      <c r="BA1106">
        <f>'Grid_Stock'!AY48</f>
        <v/>
      </c>
      <c r="BB1106">
        <f>'Grid_Stock'!AZ48</f>
        <v/>
      </c>
      <c r="BC1106">
        <f>'Grid_Stock'!BA48</f>
        <v/>
      </c>
      <c r="BD1106">
        <f>'Grid_Stock'!BB48</f>
        <v/>
      </c>
      <c r="BE1106">
        <f>'Grid_Stock'!BC48</f>
        <v/>
      </c>
      <c r="BF1106">
        <f>'Grid_Stock'!BD48</f>
        <v/>
      </c>
      <c r="BG1106">
        <f>'Grid_Stock'!BE48</f>
        <v/>
      </c>
      <c r="BH1106">
        <f>'Grid_Stock'!BF48</f>
        <v/>
      </c>
      <c r="BI1106">
        <f>'Grid_Stock'!BG48</f>
        <v/>
      </c>
      <c r="BJ1106">
        <f>'Grid_Stock'!BH48</f>
        <v/>
      </c>
      <c r="BK1106">
        <f>'Grid_Stock'!BI48</f>
        <v/>
      </c>
      <c r="BL1106">
        <f>'Grid_Stock'!BJ48</f>
        <v/>
      </c>
      <c r="BM1106">
        <f>'Grid_Stock'!BK48</f>
        <v/>
      </c>
      <c r="BN1106">
        <f>'Grid_Stock'!BL48</f>
        <v/>
      </c>
      <c r="BO1106">
        <f>'Grid_Stock'!BM48</f>
        <v/>
      </c>
      <c r="BP1106">
        <f>'Grid_Stock'!BN48</f>
        <v/>
      </c>
      <c r="BQ1106">
        <f>'Grid_Stock'!BO48</f>
        <v/>
      </c>
      <c r="BR1106">
        <f>'Grid_Stock'!BP48</f>
        <v/>
      </c>
      <c r="BS1106">
        <f>'Grid_Stock'!BQ48</f>
        <v/>
      </c>
      <c r="BT1106">
        <f>'Grid_Stock'!BR48</f>
        <v/>
      </c>
      <c r="BU1106">
        <f>'Grid_Stock'!BS48</f>
        <v/>
      </c>
      <c r="BV1106">
        <f>'Grid_Stock'!BT48</f>
        <v/>
      </c>
      <c r="BW1106">
        <f>'Grid_Stock'!BU48</f>
        <v/>
      </c>
      <c r="BX1106">
        <f>'Grid_Stock'!BV48</f>
        <v/>
      </c>
      <c r="BY1106">
        <f>'Grid_Stock'!BW48</f>
        <v/>
      </c>
      <c r="BZ1106">
        <f>'Grid_Stock'!BX48</f>
        <v/>
      </c>
      <c r="CA1106">
        <f>'Grid_Stock'!BY48</f>
        <v/>
      </c>
      <c r="CB1106">
        <f>'Grid_Stock'!BZ48</f>
        <v/>
      </c>
      <c r="CC1106">
        <f>'Grid_Stock'!CA48</f>
        <v/>
      </c>
      <c r="CD1106">
        <f>'Grid_Stock'!CB48</f>
        <v/>
      </c>
      <c r="CE1106">
        <f>'Grid_Stock'!CC48</f>
        <v/>
      </c>
      <c r="CF1106">
        <f>'Grid_Stock'!CD48</f>
        <v/>
      </c>
      <c r="CG1106">
        <f>'Grid_Stock'!CE48</f>
        <v/>
      </c>
      <c r="CH1106">
        <f>'Grid_Stock'!CF48</f>
        <v/>
      </c>
      <c r="CI1106">
        <f>'Grid_Stock'!CG48</f>
        <v/>
      </c>
      <c r="CJ1106">
        <f>'Grid_Stock'!CH48</f>
        <v/>
      </c>
      <c r="CK1106">
        <f>'Grid_Stock'!CI48</f>
        <v/>
      </c>
      <c r="CL1106">
        <f>'Grid_Stock'!CJ48</f>
        <v/>
      </c>
      <c r="CM1106">
        <f>'Grid_Stock'!CK48</f>
        <v/>
      </c>
      <c r="CN1106">
        <f>'Grid_Stock'!CL48</f>
        <v/>
      </c>
      <c r="CO1106">
        <f>'Grid_Stock'!CM48</f>
        <v/>
      </c>
      <c r="CP1106">
        <f>'Grid_Stock'!CN48</f>
        <v/>
      </c>
      <c r="CQ1106">
        <f>'Grid_Stock'!CO48</f>
        <v/>
      </c>
      <c r="CR1106">
        <f>'Grid_Stock'!CP48</f>
        <v/>
      </c>
      <c r="CS1106">
        <f>'Grid_Stock'!CQ48</f>
        <v/>
      </c>
      <c r="CT1106">
        <f>'Grid_Stock'!CR48</f>
        <v/>
      </c>
      <c r="CU1106">
        <f>'Grid_Stock'!CS48</f>
        <v/>
      </c>
      <c r="CV1106">
        <f>'Grid_Stock'!CT48</f>
        <v/>
      </c>
      <c r="CW1106">
        <f>'Grid_Stock'!CU48</f>
        <v/>
      </c>
      <c r="CX1106">
        <f>'Grid_Stock'!CV48</f>
        <v/>
      </c>
      <c r="CY1106">
        <f>'Grid_Stock'!CW48</f>
        <v/>
      </c>
      <c r="CZ1106">
        <f>'Grid_Stock'!CX48</f>
        <v/>
      </c>
      <c r="DA1106">
        <f>'Grid_Stock'!CY48</f>
        <v/>
      </c>
      <c r="DB1106">
        <f>'Grid_Stock'!CZ48</f>
        <v/>
      </c>
      <c r="DC1106">
        <f>'Grid_Stock'!DA48</f>
        <v/>
      </c>
    </row>
    <row r="1107">
      <c r="B1107" s="23" t="inlineStr">
        <is>
          <t>（発注の目安はDashboardの基準在庫[下限/上限]と色分けを参照）</t>
        </is>
      </c>
    </row>
    <row r="1109">
      <c r="A1109" s="21" t="inlineStr">
        <is>
          <t>CHEM-1760</t>
        </is>
      </c>
      <c r="B1109" s="21" t="inlineStr">
        <is>
          <t>Pigment TC RED FD (A)</t>
        </is>
      </c>
      <c r="C1109" s="22" t="n"/>
      <c r="D1109" s="21" t="n"/>
      <c r="E1109" s="21" t="n"/>
      <c r="F1109" s="21" t="n"/>
      <c r="G1109" s="21" t="n"/>
      <c r="H1109" s="21" t="n"/>
      <c r="I1109" s="21" t="n"/>
      <c r="J1109" s="21" t="n"/>
      <c r="K1109" s="21" t="n"/>
      <c r="L1109" s="21" t="n"/>
      <c r="M1109" s="21" t="n"/>
      <c r="N1109" s="21" t="n"/>
      <c r="O1109" s="21" t="n"/>
      <c r="P1109" s="21" t="n"/>
      <c r="Q1109" s="21" t="n"/>
      <c r="R1109" s="21" t="n"/>
      <c r="S1109" s="21" t="n"/>
      <c r="T1109" s="21" t="n"/>
      <c r="U1109" s="21" t="n"/>
      <c r="V1109" s="21" t="n"/>
      <c r="W1109" s="21" t="n"/>
      <c r="X1109" s="21" t="n"/>
      <c r="Y1109" s="21" t="n"/>
      <c r="Z1109" s="21" t="n"/>
      <c r="AA1109" s="21" t="n"/>
      <c r="AB1109" s="21" t="n"/>
      <c r="AC1109" s="21" t="n"/>
      <c r="AD1109" s="21" t="n"/>
      <c r="AE1109" s="21" t="n"/>
      <c r="AF1109" s="21" t="n"/>
      <c r="AG1109" s="21" t="n"/>
      <c r="AH1109" s="21" t="n"/>
      <c r="AI1109" s="21" t="n"/>
      <c r="AJ1109" s="21" t="n"/>
      <c r="AK1109" s="21" t="n"/>
      <c r="AL1109" s="21" t="n"/>
      <c r="AM1109" s="21" t="n"/>
      <c r="AN1109" s="21" t="n"/>
      <c r="AO1109" s="21" t="n"/>
      <c r="AP1109" s="21" t="n"/>
      <c r="AQ1109" s="21" t="n"/>
      <c r="AR1109" s="21" t="n"/>
      <c r="AS1109" s="21" t="n"/>
      <c r="AT1109" s="21" t="n"/>
      <c r="AU1109" s="21" t="n"/>
      <c r="AV1109" s="21" t="n"/>
      <c r="AW1109" s="21" t="n"/>
      <c r="AX1109" s="21" t="n"/>
      <c r="AY1109" s="21" t="n"/>
      <c r="AZ1109" s="21" t="n"/>
      <c r="BA1109" s="21" t="n"/>
      <c r="BB1109" s="21" t="n"/>
      <c r="BC1109" s="21" t="n"/>
      <c r="BD1109" s="21" t="n"/>
      <c r="BE1109" s="21" t="n"/>
      <c r="BF1109" s="21" t="n"/>
      <c r="BG1109" s="21" t="n"/>
      <c r="BH1109" s="21" t="n"/>
      <c r="BI1109" s="21" t="n"/>
      <c r="BJ1109" s="21" t="n"/>
      <c r="BK1109" s="21" t="n"/>
      <c r="BL1109" s="21" t="n"/>
      <c r="BM1109" s="21" t="n"/>
      <c r="BN1109" s="21" t="n"/>
      <c r="BO1109" s="21" t="n"/>
      <c r="BP1109" s="21" t="n"/>
      <c r="BQ1109" s="21" t="n"/>
      <c r="BR1109" s="21" t="n"/>
      <c r="BS1109" s="21" t="n"/>
      <c r="BT1109" s="21" t="n"/>
      <c r="BU1109" s="21" t="n"/>
      <c r="BV1109" s="21" t="n"/>
      <c r="BW1109" s="21" t="n"/>
      <c r="BX1109" s="21" t="n"/>
      <c r="BY1109" s="21" t="n"/>
      <c r="BZ1109" s="21" t="n"/>
      <c r="CA1109" s="21" t="n"/>
      <c r="CB1109" s="21" t="n"/>
      <c r="CC1109" s="21" t="n"/>
      <c r="CD1109" s="21" t="n"/>
      <c r="CE1109" s="21" t="n"/>
      <c r="CF1109" s="21" t="n"/>
      <c r="CG1109" s="21" t="n"/>
      <c r="CH1109" s="21" t="n"/>
      <c r="CI1109" s="21" t="n"/>
      <c r="CJ1109" s="21" t="n"/>
      <c r="CK1109" s="21" t="n"/>
      <c r="CL1109" s="21" t="n"/>
      <c r="CM1109" s="21" t="n"/>
      <c r="CN1109" s="21" t="n"/>
      <c r="CO1109" s="21" t="n"/>
      <c r="CP1109" s="21" t="n"/>
      <c r="CQ1109" s="21" t="n"/>
      <c r="CR1109" s="21" t="n"/>
      <c r="CS1109" s="21" t="n"/>
      <c r="CT1109" s="21" t="n"/>
      <c r="CU1109" s="21" t="n"/>
      <c r="CV1109" s="21" t="n"/>
      <c r="CW1109" s="21" t="n"/>
      <c r="CX1109" s="21" t="n"/>
      <c r="CY1109" s="21" t="n"/>
      <c r="CZ1109" s="21" t="n"/>
      <c r="DA1109" s="21" t="n"/>
      <c r="DB1109" s="21" t="n"/>
      <c r="DC1109" s="21" t="n"/>
    </row>
    <row r="1110">
      <c r="B1110" t="inlineStr">
        <is>
          <t>TVS-267</t>
        </is>
      </c>
      <c r="C1110" t="inlineStr">
        <is>
          <t>No. of batches</t>
        </is>
      </c>
      <c r="D1110">
        <f>IFERROR(INDEX(PP_Grid[#Data],$DD1110,2),0)</f>
        <v/>
      </c>
      <c r="E1110">
        <f>IFERROR(INDEX(PP_Grid[#Data],$DD1110,3),0)</f>
        <v/>
      </c>
      <c r="F1110">
        <f>IFERROR(INDEX(PP_Grid[#Data],$DD1110,4),0)</f>
        <v/>
      </c>
      <c r="G1110">
        <f>IFERROR(INDEX(PP_Grid[#Data],$DD1110,5),0)</f>
        <v/>
      </c>
      <c r="H1110">
        <f>IFERROR(INDEX(PP_Grid[#Data],$DD1110,6),0)</f>
        <v/>
      </c>
      <c r="I1110">
        <f>IFERROR(INDEX(PP_Grid[#Data],$DD1110,7),0)</f>
        <v/>
      </c>
      <c r="J1110">
        <f>IFERROR(INDEX(PP_Grid[#Data],$DD1110,8),0)</f>
        <v/>
      </c>
      <c r="K1110">
        <f>IFERROR(INDEX(PP_Grid[#Data],$DD1110,9),0)</f>
        <v/>
      </c>
      <c r="L1110">
        <f>IFERROR(INDEX(PP_Grid[#Data],$DD1110,10),0)</f>
        <v/>
      </c>
      <c r="M1110">
        <f>IFERROR(INDEX(PP_Grid[#Data],$DD1110,11),0)</f>
        <v/>
      </c>
      <c r="N1110">
        <f>IFERROR(INDEX(PP_Grid[#Data],$DD1110,12),0)</f>
        <v/>
      </c>
      <c r="O1110">
        <f>IFERROR(INDEX(PP_Grid[#Data],$DD1110,13),0)</f>
        <v/>
      </c>
      <c r="P1110">
        <f>IFERROR(INDEX(PP_Grid[#Data],$DD1110,14),0)</f>
        <v/>
      </c>
      <c r="Q1110">
        <f>IFERROR(INDEX(PP_Grid[#Data],$DD1110,15),0)</f>
        <v/>
      </c>
      <c r="R1110">
        <f>IFERROR(INDEX(PP_Grid[#Data],$DD1110,16),0)</f>
        <v/>
      </c>
      <c r="S1110">
        <f>IFERROR(INDEX(PP_Grid[#Data],$DD1110,17),0)</f>
        <v/>
      </c>
      <c r="T1110">
        <f>IFERROR(INDEX(PP_Grid[#Data],$DD1110,18),0)</f>
        <v/>
      </c>
      <c r="U1110">
        <f>IFERROR(INDEX(PP_Grid[#Data],$DD1110,19),0)</f>
        <v/>
      </c>
      <c r="V1110">
        <f>IFERROR(INDEX(PP_Grid[#Data],$DD1110,20),0)</f>
        <v/>
      </c>
      <c r="W1110">
        <f>IFERROR(INDEX(PP_Grid[#Data],$DD1110,21),0)</f>
        <v/>
      </c>
      <c r="X1110">
        <f>IFERROR(INDEX(PP_Grid[#Data],$DD1110,22),0)</f>
        <v/>
      </c>
      <c r="Y1110">
        <f>IFERROR(INDEX(PP_Grid[#Data],$DD1110,23),0)</f>
        <v/>
      </c>
      <c r="Z1110">
        <f>IFERROR(INDEX(PP_Grid[#Data],$DD1110,24),0)</f>
        <v/>
      </c>
      <c r="AA1110">
        <f>IFERROR(INDEX(PP_Grid[#Data],$DD1110,25),0)</f>
        <v/>
      </c>
      <c r="AB1110">
        <f>IFERROR(INDEX(PP_Grid[#Data],$DD1110,26),0)</f>
        <v/>
      </c>
      <c r="AC1110">
        <f>IFERROR(INDEX(PP_Grid[#Data],$DD1110,27),0)</f>
        <v/>
      </c>
      <c r="AD1110">
        <f>IFERROR(INDEX(PP_Grid[#Data],$DD1110,28),0)</f>
        <v/>
      </c>
      <c r="AE1110">
        <f>IFERROR(INDEX(PP_Grid[#Data],$DD1110,29),0)</f>
        <v/>
      </c>
      <c r="AF1110">
        <f>IFERROR(INDEX(PP_Grid[#Data],$DD1110,30),0)</f>
        <v/>
      </c>
      <c r="AG1110">
        <f>IFERROR(INDEX(PP_Grid[#Data],$DD1110,31),0)</f>
        <v/>
      </c>
      <c r="AH1110">
        <f>IFERROR(INDEX(PP_Grid[#Data],$DD1110,32),0)</f>
        <v/>
      </c>
      <c r="AI1110">
        <f>IFERROR(INDEX(PP_Grid[#Data],$DD1110,33),0)</f>
        <v/>
      </c>
      <c r="AJ1110">
        <f>IFERROR(INDEX(PP_Grid[#Data],$DD1110,34),0)</f>
        <v/>
      </c>
      <c r="AK1110">
        <f>IFERROR(INDEX(PP_Grid[#Data],$DD1110,35),0)</f>
        <v/>
      </c>
      <c r="AL1110">
        <f>IFERROR(INDEX(PP_Grid[#Data],$DD1110,36),0)</f>
        <v/>
      </c>
      <c r="AM1110">
        <f>IFERROR(INDEX(PP_Grid[#Data],$DD1110,37),0)</f>
        <v/>
      </c>
      <c r="AN1110">
        <f>IFERROR(INDEX(PP_Grid[#Data],$DD1110,38),0)</f>
        <v/>
      </c>
      <c r="AO1110">
        <f>IFERROR(INDEX(PP_Grid[#Data],$DD1110,39),0)</f>
        <v/>
      </c>
      <c r="AP1110">
        <f>IFERROR(INDEX(PP_Grid[#Data],$DD1110,40),0)</f>
        <v/>
      </c>
      <c r="AQ1110">
        <f>IFERROR(INDEX(PP_Grid[#Data],$DD1110,41),0)</f>
        <v/>
      </c>
      <c r="AR1110">
        <f>IFERROR(INDEX(PP_Grid[#Data],$DD1110,42),0)</f>
        <v/>
      </c>
      <c r="AS1110">
        <f>IFERROR(INDEX(PP_Grid[#Data],$DD1110,43),0)</f>
        <v/>
      </c>
      <c r="AT1110">
        <f>IFERROR(INDEX(PP_Grid[#Data],$DD1110,44),0)</f>
        <v/>
      </c>
      <c r="AU1110">
        <f>IFERROR(INDEX(PP_Grid[#Data],$DD1110,45),0)</f>
        <v/>
      </c>
      <c r="AV1110">
        <f>IFERROR(INDEX(PP_Grid[#Data],$DD1110,46),0)</f>
        <v/>
      </c>
      <c r="AW1110">
        <f>IFERROR(INDEX(PP_Grid[#Data],$DD1110,47),0)</f>
        <v/>
      </c>
      <c r="AX1110">
        <f>IFERROR(INDEX(PP_Grid[#Data],$DD1110,48),0)</f>
        <v/>
      </c>
      <c r="AY1110">
        <f>IFERROR(INDEX(PP_Grid[#Data],$DD1110,49),0)</f>
        <v/>
      </c>
      <c r="AZ1110">
        <f>IFERROR(INDEX(PP_Grid[#Data],$DD1110,50),0)</f>
        <v/>
      </c>
      <c r="BA1110">
        <f>IFERROR(INDEX(PP_Grid[#Data],$DD1110,51),0)</f>
        <v/>
      </c>
      <c r="BB1110">
        <f>IFERROR(INDEX(PP_Grid[#Data],$DD1110,52),0)</f>
        <v/>
      </c>
      <c r="BC1110">
        <f>IFERROR(INDEX(PP_Grid[#Data],$DD1110,53),0)</f>
        <v/>
      </c>
      <c r="BD1110">
        <f>IFERROR(INDEX(PP_Grid[#Data],$DD1110,54),0)</f>
        <v/>
      </c>
      <c r="BE1110">
        <f>IFERROR(INDEX(PP_Grid[#Data],$DD1110,55),0)</f>
        <v/>
      </c>
      <c r="BF1110">
        <f>IFERROR(INDEX(PP_Grid[#Data],$DD1110,56),0)</f>
        <v/>
      </c>
      <c r="BG1110">
        <f>IFERROR(INDEX(PP_Grid[#Data],$DD1110,57),0)</f>
        <v/>
      </c>
      <c r="BH1110">
        <f>IFERROR(INDEX(PP_Grid[#Data],$DD1110,58),0)</f>
        <v/>
      </c>
      <c r="BI1110">
        <f>IFERROR(INDEX(PP_Grid[#Data],$DD1110,59),0)</f>
        <v/>
      </c>
      <c r="BJ1110">
        <f>IFERROR(INDEX(PP_Grid[#Data],$DD1110,60),0)</f>
        <v/>
      </c>
      <c r="BK1110">
        <f>IFERROR(INDEX(PP_Grid[#Data],$DD1110,61),0)</f>
        <v/>
      </c>
      <c r="BL1110">
        <f>IFERROR(INDEX(PP_Grid[#Data],$DD1110,62),0)</f>
        <v/>
      </c>
      <c r="BM1110">
        <f>IFERROR(INDEX(PP_Grid[#Data],$DD1110,63),0)</f>
        <v/>
      </c>
      <c r="BN1110">
        <f>IFERROR(INDEX(PP_Grid[#Data],$DD1110,64),0)</f>
        <v/>
      </c>
      <c r="BO1110">
        <f>IFERROR(INDEX(PP_Grid[#Data],$DD1110,65),0)</f>
        <v/>
      </c>
      <c r="BP1110">
        <f>IFERROR(INDEX(PP_Grid[#Data],$DD1110,66),0)</f>
        <v/>
      </c>
      <c r="BQ1110">
        <f>IFERROR(INDEX(PP_Grid[#Data],$DD1110,67),0)</f>
        <v/>
      </c>
      <c r="BR1110">
        <f>IFERROR(INDEX(PP_Grid[#Data],$DD1110,68),0)</f>
        <v/>
      </c>
      <c r="BS1110">
        <f>IFERROR(INDEX(PP_Grid[#Data],$DD1110,69),0)</f>
        <v/>
      </c>
      <c r="BT1110">
        <f>IFERROR(INDEX(PP_Grid[#Data],$DD1110,70),0)</f>
        <v/>
      </c>
      <c r="BU1110">
        <f>IFERROR(INDEX(PP_Grid[#Data],$DD1110,71),0)</f>
        <v/>
      </c>
      <c r="BV1110">
        <f>IFERROR(INDEX(PP_Grid[#Data],$DD1110,72),0)</f>
        <v/>
      </c>
      <c r="BW1110">
        <f>IFERROR(INDEX(PP_Grid[#Data],$DD1110,73),0)</f>
        <v/>
      </c>
      <c r="BX1110">
        <f>IFERROR(INDEX(PP_Grid[#Data],$DD1110,74),0)</f>
        <v/>
      </c>
      <c r="BY1110">
        <f>IFERROR(INDEX(PP_Grid[#Data],$DD1110,75),0)</f>
        <v/>
      </c>
      <c r="BZ1110">
        <f>IFERROR(INDEX(PP_Grid[#Data],$DD1110,76),0)</f>
        <v/>
      </c>
      <c r="CA1110">
        <f>IFERROR(INDEX(PP_Grid[#Data],$DD1110,77),0)</f>
        <v/>
      </c>
      <c r="CB1110">
        <f>IFERROR(INDEX(PP_Grid[#Data],$DD1110,78),0)</f>
        <v/>
      </c>
      <c r="CC1110">
        <f>IFERROR(INDEX(PP_Grid[#Data],$DD1110,79),0)</f>
        <v/>
      </c>
      <c r="CD1110">
        <f>IFERROR(INDEX(PP_Grid[#Data],$DD1110,80),0)</f>
        <v/>
      </c>
      <c r="CE1110">
        <f>IFERROR(INDEX(PP_Grid[#Data],$DD1110,81),0)</f>
        <v/>
      </c>
      <c r="CF1110">
        <f>IFERROR(INDEX(PP_Grid[#Data],$DD1110,82),0)</f>
        <v/>
      </c>
      <c r="CG1110">
        <f>IFERROR(INDEX(PP_Grid[#Data],$DD1110,83),0)</f>
        <v/>
      </c>
      <c r="CH1110">
        <f>IFERROR(INDEX(PP_Grid[#Data],$DD1110,84),0)</f>
        <v/>
      </c>
      <c r="CI1110">
        <f>IFERROR(INDEX(PP_Grid[#Data],$DD1110,85),0)</f>
        <v/>
      </c>
      <c r="CJ1110">
        <f>IFERROR(INDEX(PP_Grid[#Data],$DD1110,86),0)</f>
        <v/>
      </c>
      <c r="CK1110">
        <f>IFERROR(INDEX(PP_Grid[#Data],$DD1110,87),0)</f>
        <v/>
      </c>
      <c r="CL1110">
        <f>IFERROR(INDEX(PP_Grid[#Data],$DD1110,88),0)</f>
        <v/>
      </c>
      <c r="CM1110">
        <f>IFERROR(INDEX(PP_Grid[#Data],$DD1110,89),0)</f>
        <v/>
      </c>
      <c r="CN1110">
        <f>IFERROR(INDEX(PP_Grid[#Data],$DD1110,90),0)</f>
        <v/>
      </c>
      <c r="CO1110">
        <f>IFERROR(INDEX(PP_Grid[#Data],$DD1110,91),0)</f>
        <v/>
      </c>
      <c r="CP1110">
        <f>IFERROR(INDEX(PP_Grid[#Data],$DD1110,92),0)</f>
        <v/>
      </c>
      <c r="CQ1110">
        <f>IFERROR(INDEX(PP_Grid[#Data],$DD1110,93),0)</f>
        <v/>
      </c>
      <c r="CR1110">
        <f>IFERROR(INDEX(PP_Grid[#Data],$DD1110,94),0)</f>
        <v/>
      </c>
      <c r="CS1110">
        <f>IFERROR(INDEX(PP_Grid[#Data],$DD1110,95),0)</f>
        <v/>
      </c>
      <c r="CT1110">
        <f>IFERROR(INDEX(PP_Grid[#Data],$DD1110,96),0)</f>
        <v/>
      </c>
      <c r="CU1110">
        <f>IFERROR(INDEX(PP_Grid[#Data],$DD1110,97),0)</f>
        <v/>
      </c>
      <c r="CV1110">
        <f>IFERROR(INDEX(PP_Grid[#Data],$DD1110,98),0)</f>
        <v/>
      </c>
      <c r="CW1110">
        <f>IFERROR(INDEX(PP_Grid[#Data],$DD1110,99),0)</f>
        <v/>
      </c>
      <c r="CX1110">
        <f>IFERROR(INDEX(PP_Grid[#Data],$DD1110,100),0)</f>
        <v/>
      </c>
      <c r="CY1110">
        <f>IFERROR(INDEX(PP_Grid[#Data],$DD1110,101),0)</f>
        <v/>
      </c>
      <c r="CZ1110">
        <f>IFERROR(INDEX(PP_Grid[#Data],$DD1110,102),0)</f>
        <v/>
      </c>
      <c r="DA1110">
        <f>IFERROR(INDEX(PP_Grid[#Data],$DD1110,103),0)</f>
        <v/>
      </c>
      <c r="DB1110">
        <f>IFERROR(INDEX(PP_Grid[#Data],$DD1110,104),0)</f>
        <v/>
      </c>
      <c r="DC1110">
        <f>IFERROR(INDEX(PP_Grid[#Data],$DD1110,105),0)</f>
        <v/>
      </c>
      <c r="DD1110" s="12">
        <f>IFERROR(MATCH($B1110,PP_Grid[Intermediate],0),99999)</f>
        <v/>
      </c>
    </row>
    <row r="1111">
      <c r="B1111" t="inlineStr">
        <is>
          <t>使用量(kg)</t>
        </is>
      </c>
      <c r="C1111">
        <f>SUMIFS(M_BOM[RM_Qty_Per_Batch],M_BOM[Intermediate],$B1110,M_BOM[Part Name],$A1109)</f>
        <v/>
      </c>
      <c r="D1111">
        <f>$C1111*D1110</f>
        <v/>
      </c>
      <c r="E1111">
        <f>$C1111*E1110</f>
        <v/>
      </c>
      <c r="F1111">
        <f>$C1111*F1110</f>
        <v/>
      </c>
      <c r="G1111">
        <f>$C1111*G1110</f>
        <v/>
      </c>
      <c r="H1111">
        <f>$C1111*H1110</f>
        <v/>
      </c>
      <c r="I1111">
        <f>$C1111*I1110</f>
        <v/>
      </c>
      <c r="J1111">
        <f>$C1111*J1110</f>
        <v/>
      </c>
      <c r="K1111">
        <f>$C1111*K1110</f>
        <v/>
      </c>
      <c r="L1111">
        <f>$C1111*L1110</f>
        <v/>
      </c>
      <c r="M1111">
        <f>$C1111*M1110</f>
        <v/>
      </c>
      <c r="N1111">
        <f>$C1111*N1110</f>
        <v/>
      </c>
      <c r="O1111">
        <f>$C1111*O1110</f>
        <v/>
      </c>
      <c r="P1111">
        <f>$C1111*P1110</f>
        <v/>
      </c>
      <c r="Q1111">
        <f>$C1111*Q1110</f>
        <v/>
      </c>
      <c r="R1111">
        <f>$C1111*R1110</f>
        <v/>
      </c>
      <c r="S1111">
        <f>$C1111*S1110</f>
        <v/>
      </c>
      <c r="T1111">
        <f>$C1111*T1110</f>
        <v/>
      </c>
      <c r="U1111">
        <f>$C1111*U1110</f>
        <v/>
      </c>
      <c r="V1111">
        <f>$C1111*V1110</f>
        <v/>
      </c>
      <c r="W1111">
        <f>$C1111*W1110</f>
        <v/>
      </c>
      <c r="X1111">
        <f>$C1111*X1110</f>
        <v/>
      </c>
      <c r="Y1111">
        <f>$C1111*Y1110</f>
        <v/>
      </c>
      <c r="Z1111">
        <f>$C1111*Z1110</f>
        <v/>
      </c>
      <c r="AA1111">
        <f>$C1111*AA1110</f>
        <v/>
      </c>
      <c r="AB1111">
        <f>$C1111*AB1110</f>
        <v/>
      </c>
      <c r="AC1111">
        <f>$C1111*AC1110</f>
        <v/>
      </c>
      <c r="AD1111">
        <f>$C1111*AD1110</f>
        <v/>
      </c>
      <c r="AE1111">
        <f>$C1111*AE1110</f>
        <v/>
      </c>
      <c r="AF1111">
        <f>$C1111*AF1110</f>
        <v/>
      </c>
      <c r="AG1111">
        <f>$C1111*AG1110</f>
        <v/>
      </c>
      <c r="AH1111">
        <f>$C1111*AH1110</f>
        <v/>
      </c>
      <c r="AI1111">
        <f>$C1111*AI1110</f>
        <v/>
      </c>
      <c r="AJ1111">
        <f>$C1111*AJ1110</f>
        <v/>
      </c>
      <c r="AK1111">
        <f>$C1111*AK1110</f>
        <v/>
      </c>
      <c r="AL1111">
        <f>$C1111*AL1110</f>
        <v/>
      </c>
      <c r="AM1111">
        <f>$C1111*AM1110</f>
        <v/>
      </c>
      <c r="AN1111">
        <f>$C1111*AN1110</f>
        <v/>
      </c>
      <c r="AO1111">
        <f>$C1111*AO1110</f>
        <v/>
      </c>
      <c r="AP1111">
        <f>$C1111*AP1110</f>
        <v/>
      </c>
      <c r="AQ1111">
        <f>$C1111*AQ1110</f>
        <v/>
      </c>
      <c r="AR1111">
        <f>$C1111*AR1110</f>
        <v/>
      </c>
      <c r="AS1111">
        <f>$C1111*AS1110</f>
        <v/>
      </c>
      <c r="AT1111">
        <f>$C1111*AT1110</f>
        <v/>
      </c>
      <c r="AU1111">
        <f>$C1111*AU1110</f>
        <v/>
      </c>
      <c r="AV1111">
        <f>$C1111*AV1110</f>
        <v/>
      </c>
      <c r="AW1111">
        <f>$C1111*AW1110</f>
        <v/>
      </c>
      <c r="AX1111">
        <f>$C1111*AX1110</f>
        <v/>
      </c>
      <c r="AY1111">
        <f>$C1111*AY1110</f>
        <v/>
      </c>
      <c r="AZ1111">
        <f>$C1111*AZ1110</f>
        <v/>
      </c>
      <c r="BA1111">
        <f>$C1111*BA1110</f>
        <v/>
      </c>
      <c r="BB1111">
        <f>$C1111*BB1110</f>
        <v/>
      </c>
      <c r="BC1111">
        <f>$C1111*BC1110</f>
        <v/>
      </c>
      <c r="BD1111">
        <f>$C1111*BD1110</f>
        <v/>
      </c>
      <c r="BE1111">
        <f>$C1111*BE1110</f>
        <v/>
      </c>
      <c r="BF1111">
        <f>$C1111*BF1110</f>
        <v/>
      </c>
      <c r="BG1111">
        <f>$C1111*BG1110</f>
        <v/>
      </c>
      <c r="BH1111">
        <f>$C1111*BH1110</f>
        <v/>
      </c>
      <c r="BI1111">
        <f>$C1111*BI1110</f>
        <v/>
      </c>
      <c r="BJ1111">
        <f>$C1111*BJ1110</f>
        <v/>
      </c>
      <c r="BK1111">
        <f>$C1111*BK1110</f>
        <v/>
      </c>
      <c r="BL1111">
        <f>$C1111*BL1110</f>
        <v/>
      </c>
      <c r="BM1111">
        <f>$C1111*BM1110</f>
        <v/>
      </c>
      <c r="BN1111">
        <f>$C1111*BN1110</f>
        <v/>
      </c>
      <c r="BO1111">
        <f>$C1111*BO1110</f>
        <v/>
      </c>
      <c r="BP1111">
        <f>$C1111*BP1110</f>
        <v/>
      </c>
      <c r="BQ1111">
        <f>$C1111*BQ1110</f>
        <v/>
      </c>
      <c r="BR1111">
        <f>$C1111*BR1110</f>
        <v/>
      </c>
      <c r="BS1111">
        <f>$C1111*BS1110</f>
        <v/>
      </c>
      <c r="BT1111">
        <f>$C1111*BT1110</f>
        <v/>
      </c>
      <c r="BU1111">
        <f>$C1111*BU1110</f>
        <v/>
      </c>
      <c r="BV1111">
        <f>$C1111*BV1110</f>
        <v/>
      </c>
      <c r="BW1111">
        <f>$C1111*BW1110</f>
        <v/>
      </c>
      <c r="BX1111">
        <f>$C1111*BX1110</f>
        <v/>
      </c>
      <c r="BY1111">
        <f>$C1111*BY1110</f>
        <v/>
      </c>
      <c r="BZ1111">
        <f>$C1111*BZ1110</f>
        <v/>
      </c>
      <c r="CA1111">
        <f>$C1111*CA1110</f>
        <v/>
      </c>
      <c r="CB1111">
        <f>$C1111*CB1110</f>
        <v/>
      </c>
      <c r="CC1111">
        <f>$C1111*CC1110</f>
        <v/>
      </c>
      <c r="CD1111">
        <f>$C1111*CD1110</f>
        <v/>
      </c>
      <c r="CE1111">
        <f>$C1111*CE1110</f>
        <v/>
      </c>
      <c r="CF1111">
        <f>$C1111*CF1110</f>
        <v/>
      </c>
      <c r="CG1111">
        <f>$C1111*CG1110</f>
        <v/>
      </c>
      <c r="CH1111">
        <f>$C1111*CH1110</f>
        <v/>
      </c>
      <c r="CI1111">
        <f>$C1111*CI1110</f>
        <v/>
      </c>
      <c r="CJ1111">
        <f>$C1111*CJ1110</f>
        <v/>
      </c>
      <c r="CK1111">
        <f>$C1111*CK1110</f>
        <v/>
      </c>
      <c r="CL1111">
        <f>$C1111*CL1110</f>
        <v/>
      </c>
      <c r="CM1111">
        <f>$C1111*CM1110</f>
        <v/>
      </c>
      <c r="CN1111">
        <f>$C1111*CN1110</f>
        <v/>
      </c>
      <c r="CO1111">
        <f>$C1111*CO1110</f>
        <v/>
      </c>
      <c r="CP1111">
        <f>$C1111*CP1110</f>
        <v/>
      </c>
      <c r="CQ1111">
        <f>$C1111*CQ1110</f>
        <v/>
      </c>
      <c r="CR1111">
        <f>$C1111*CR1110</f>
        <v/>
      </c>
      <c r="CS1111">
        <f>$C1111*CS1110</f>
        <v/>
      </c>
      <c r="CT1111">
        <f>$C1111*CT1110</f>
        <v/>
      </c>
      <c r="CU1111">
        <f>$C1111*CU1110</f>
        <v/>
      </c>
      <c r="CV1111">
        <f>$C1111*CV1110</f>
        <v/>
      </c>
      <c r="CW1111">
        <f>$C1111*CW1110</f>
        <v/>
      </c>
      <c r="CX1111">
        <f>$C1111*CX1110</f>
        <v/>
      </c>
      <c r="CY1111">
        <f>$C1111*CY1110</f>
        <v/>
      </c>
      <c r="CZ1111">
        <f>$C1111*CZ1110</f>
        <v/>
      </c>
      <c r="DA1111">
        <f>$C1111*DA1110</f>
        <v/>
      </c>
      <c r="DB1111">
        <f>$C1111*DB1110</f>
        <v/>
      </c>
      <c r="DC1111">
        <f>$C1111*DC1110</f>
        <v/>
      </c>
    </row>
    <row r="1112">
      <c r="B1112" t="inlineStr">
        <is>
          <t>TVS-500</t>
        </is>
      </c>
      <c r="C1112" t="inlineStr">
        <is>
          <t>No. of batches</t>
        </is>
      </c>
      <c r="D1112">
        <f>IFERROR(INDEX(PP_Grid[#Data],$DD1112,2),0)</f>
        <v/>
      </c>
      <c r="E1112">
        <f>IFERROR(INDEX(PP_Grid[#Data],$DD1112,3),0)</f>
        <v/>
      </c>
      <c r="F1112">
        <f>IFERROR(INDEX(PP_Grid[#Data],$DD1112,4),0)</f>
        <v/>
      </c>
      <c r="G1112">
        <f>IFERROR(INDEX(PP_Grid[#Data],$DD1112,5),0)</f>
        <v/>
      </c>
      <c r="H1112">
        <f>IFERROR(INDEX(PP_Grid[#Data],$DD1112,6),0)</f>
        <v/>
      </c>
      <c r="I1112">
        <f>IFERROR(INDEX(PP_Grid[#Data],$DD1112,7),0)</f>
        <v/>
      </c>
      <c r="J1112">
        <f>IFERROR(INDEX(PP_Grid[#Data],$DD1112,8),0)</f>
        <v/>
      </c>
      <c r="K1112">
        <f>IFERROR(INDEX(PP_Grid[#Data],$DD1112,9),0)</f>
        <v/>
      </c>
      <c r="L1112">
        <f>IFERROR(INDEX(PP_Grid[#Data],$DD1112,10),0)</f>
        <v/>
      </c>
      <c r="M1112">
        <f>IFERROR(INDEX(PP_Grid[#Data],$DD1112,11),0)</f>
        <v/>
      </c>
      <c r="N1112">
        <f>IFERROR(INDEX(PP_Grid[#Data],$DD1112,12),0)</f>
        <v/>
      </c>
      <c r="O1112">
        <f>IFERROR(INDEX(PP_Grid[#Data],$DD1112,13),0)</f>
        <v/>
      </c>
      <c r="P1112">
        <f>IFERROR(INDEX(PP_Grid[#Data],$DD1112,14),0)</f>
        <v/>
      </c>
      <c r="Q1112">
        <f>IFERROR(INDEX(PP_Grid[#Data],$DD1112,15),0)</f>
        <v/>
      </c>
      <c r="R1112">
        <f>IFERROR(INDEX(PP_Grid[#Data],$DD1112,16),0)</f>
        <v/>
      </c>
      <c r="S1112">
        <f>IFERROR(INDEX(PP_Grid[#Data],$DD1112,17),0)</f>
        <v/>
      </c>
      <c r="T1112">
        <f>IFERROR(INDEX(PP_Grid[#Data],$DD1112,18),0)</f>
        <v/>
      </c>
      <c r="U1112">
        <f>IFERROR(INDEX(PP_Grid[#Data],$DD1112,19),0)</f>
        <v/>
      </c>
      <c r="V1112">
        <f>IFERROR(INDEX(PP_Grid[#Data],$DD1112,20),0)</f>
        <v/>
      </c>
      <c r="W1112">
        <f>IFERROR(INDEX(PP_Grid[#Data],$DD1112,21),0)</f>
        <v/>
      </c>
      <c r="X1112">
        <f>IFERROR(INDEX(PP_Grid[#Data],$DD1112,22),0)</f>
        <v/>
      </c>
      <c r="Y1112">
        <f>IFERROR(INDEX(PP_Grid[#Data],$DD1112,23),0)</f>
        <v/>
      </c>
      <c r="Z1112">
        <f>IFERROR(INDEX(PP_Grid[#Data],$DD1112,24),0)</f>
        <v/>
      </c>
      <c r="AA1112">
        <f>IFERROR(INDEX(PP_Grid[#Data],$DD1112,25),0)</f>
        <v/>
      </c>
      <c r="AB1112">
        <f>IFERROR(INDEX(PP_Grid[#Data],$DD1112,26),0)</f>
        <v/>
      </c>
      <c r="AC1112">
        <f>IFERROR(INDEX(PP_Grid[#Data],$DD1112,27),0)</f>
        <v/>
      </c>
      <c r="AD1112">
        <f>IFERROR(INDEX(PP_Grid[#Data],$DD1112,28),0)</f>
        <v/>
      </c>
      <c r="AE1112">
        <f>IFERROR(INDEX(PP_Grid[#Data],$DD1112,29),0)</f>
        <v/>
      </c>
      <c r="AF1112">
        <f>IFERROR(INDEX(PP_Grid[#Data],$DD1112,30),0)</f>
        <v/>
      </c>
      <c r="AG1112">
        <f>IFERROR(INDEX(PP_Grid[#Data],$DD1112,31),0)</f>
        <v/>
      </c>
      <c r="AH1112">
        <f>IFERROR(INDEX(PP_Grid[#Data],$DD1112,32),0)</f>
        <v/>
      </c>
      <c r="AI1112">
        <f>IFERROR(INDEX(PP_Grid[#Data],$DD1112,33),0)</f>
        <v/>
      </c>
      <c r="AJ1112">
        <f>IFERROR(INDEX(PP_Grid[#Data],$DD1112,34),0)</f>
        <v/>
      </c>
      <c r="AK1112">
        <f>IFERROR(INDEX(PP_Grid[#Data],$DD1112,35),0)</f>
        <v/>
      </c>
      <c r="AL1112">
        <f>IFERROR(INDEX(PP_Grid[#Data],$DD1112,36),0)</f>
        <v/>
      </c>
      <c r="AM1112">
        <f>IFERROR(INDEX(PP_Grid[#Data],$DD1112,37),0)</f>
        <v/>
      </c>
      <c r="AN1112">
        <f>IFERROR(INDEX(PP_Grid[#Data],$DD1112,38),0)</f>
        <v/>
      </c>
      <c r="AO1112">
        <f>IFERROR(INDEX(PP_Grid[#Data],$DD1112,39),0)</f>
        <v/>
      </c>
      <c r="AP1112">
        <f>IFERROR(INDEX(PP_Grid[#Data],$DD1112,40),0)</f>
        <v/>
      </c>
      <c r="AQ1112">
        <f>IFERROR(INDEX(PP_Grid[#Data],$DD1112,41),0)</f>
        <v/>
      </c>
      <c r="AR1112">
        <f>IFERROR(INDEX(PP_Grid[#Data],$DD1112,42),0)</f>
        <v/>
      </c>
      <c r="AS1112">
        <f>IFERROR(INDEX(PP_Grid[#Data],$DD1112,43),0)</f>
        <v/>
      </c>
      <c r="AT1112">
        <f>IFERROR(INDEX(PP_Grid[#Data],$DD1112,44),0)</f>
        <v/>
      </c>
      <c r="AU1112">
        <f>IFERROR(INDEX(PP_Grid[#Data],$DD1112,45),0)</f>
        <v/>
      </c>
      <c r="AV1112">
        <f>IFERROR(INDEX(PP_Grid[#Data],$DD1112,46),0)</f>
        <v/>
      </c>
      <c r="AW1112">
        <f>IFERROR(INDEX(PP_Grid[#Data],$DD1112,47),0)</f>
        <v/>
      </c>
      <c r="AX1112">
        <f>IFERROR(INDEX(PP_Grid[#Data],$DD1112,48),0)</f>
        <v/>
      </c>
      <c r="AY1112">
        <f>IFERROR(INDEX(PP_Grid[#Data],$DD1112,49),0)</f>
        <v/>
      </c>
      <c r="AZ1112">
        <f>IFERROR(INDEX(PP_Grid[#Data],$DD1112,50),0)</f>
        <v/>
      </c>
      <c r="BA1112">
        <f>IFERROR(INDEX(PP_Grid[#Data],$DD1112,51),0)</f>
        <v/>
      </c>
      <c r="BB1112">
        <f>IFERROR(INDEX(PP_Grid[#Data],$DD1112,52),0)</f>
        <v/>
      </c>
      <c r="BC1112">
        <f>IFERROR(INDEX(PP_Grid[#Data],$DD1112,53),0)</f>
        <v/>
      </c>
      <c r="BD1112">
        <f>IFERROR(INDEX(PP_Grid[#Data],$DD1112,54),0)</f>
        <v/>
      </c>
      <c r="BE1112">
        <f>IFERROR(INDEX(PP_Grid[#Data],$DD1112,55),0)</f>
        <v/>
      </c>
      <c r="BF1112">
        <f>IFERROR(INDEX(PP_Grid[#Data],$DD1112,56),0)</f>
        <v/>
      </c>
      <c r="BG1112">
        <f>IFERROR(INDEX(PP_Grid[#Data],$DD1112,57),0)</f>
        <v/>
      </c>
      <c r="BH1112">
        <f>IFERROR(INDEX(PP_Grid[#Data],$DD1112,58),0)</f>
        <v/>
      </c>
      <c r="BI1112">
        <f>IFERROR(INDEX(PP_Grid[#Data],$DD1112,59),0)</f>
        <v/>
      </c>
      <c r="BJ1112">
        <f>IFERROR(INDEX(PP_Grid[#Data],$DD1112,60),0)</f>
        <v/>
      </c>
      <c r="BK1112">
        <f>IFERROR(INDEX(PP_Grid[#Data],$DD1112,61),0)</f>
        <v/>
      </c>
      <c r="BL1112">
        <f>IFERROR(INDEX(PP_Grid[#Data],$DD1112,62),0)</f>
        <v/>
      </c>
      <c r="BM1112">
        <f>IFERROR(INDEX(PP_Grid[#Data],$DD1112,63),0)</f>
        <v/>
      </c>
      <c r="BN1112">
        <f>IFERROR(INDEX(PP_Grid[#Data],$DD1112,64),0)</f>
        <v/>
      </c>
      <c r="BO1112">
        <f>IFERROR(INDEX(PP_Grid[#Data],$DD1112,65),0)</f>
        <v/>
      </c>
      <c r="BP1112">
        <f>IFERROR(INDEX(PP_Grid[#Data],$DD1112,66),0)</f>
        <v/>
      </c>
      <c r="BQ1112">
        <f>IFERROR(INDEX(PP_Grid[#Data],$DD1112,67),0)</f>
        <v/>
      </c>
      <c r="BR1112">
        <f>IFERROR(INDEX(PP_Grid[#Data],$DD1112,68),0)</f>
        <v/>
      </c>
      <c r="BS1112">
        <f>IFERROR(INDEX(PP_Grid[#Data],$DD1112,69),0)</f>
        <v/>
      </c>
      <c r="BT1112">
        <f>IFERROR(INDEX(PP_Grid[#Data],$DD1112,70),0)</f>
        <v/>
      </c>
      <c r="BU1112">
        <f>IFERROR(INDEX(PP_Grid[#Data],$DD1112,71),0)</f>
        <v/>
      </c>
      <c r="BV1112">
        <f>IFERROR(INDEX(PP_Grid[#Data],$DD1112,72),0)</f>
        <v/>
      </c>
      <c r="BW1112">
        <f>IFERROR(INDEX(PP_Grid[#Data],$DD1112,73),0)</f>
        <v/>
      </c>
      <c r="BX1112">
        <f>IFERROR(INDEX(PP_Grid[#Data],$DD1112,74),0)</f>
        <v/>
      </c>
      <c r="BY1112">
        <f>IFERROR(INDEX(PP_Grid[#Data],$DD1112,75),0)</f>
        <v/>
      </c>
      <c r="BZ1112">
        <f>IFERROR(INDEX(PP_Grid[#Data],$DD1112,76),0)</f>
        <v/>
      </c>
      <c r="CA1112">
        <f>IFERROR(INDEX(PP_Grid[#Data],$DD1112,77),0)</f>
        <v/>
      </c>
      <c r="CB1112">
        <f>IFERROR(INDEX(PP_Grid[#Data],$DD1112,78),0)</f>
        <v/>
      </c>
      <c r="CC1112">
        <f>IFERROR(INDEX(PP_Grid[#Data],$DD1112,79),0)</f>
        <v/>
      </c>
      <c r="CD1112">
        <f>IFERROR(INDEX(PP_Grid[#Data],$DD1112,80),0)</f>
        <v/>
      </c>
      <c r="CE1112">
        <f>IFERROR(INDEX(PP_Grid[#Data],$DD1112,81),0)</f>
        <v/>
      </c>
      <c r="CF1112">
        <f>IFERROR(INDEX(PP_Grid[#Data],$DD1112,82),0)</f>
        <v/>
      </c>
      <c r="CG1112">
        <f>IFERROR(INDEX(PP_Grid[#Data],$DD1112,83),0)</f>
        <v/>
      </c>
      <c r="CH1112">
        <f>IFERROR(INDEX(PP_Grid[#Data],$DD1112,84),0)</f>
        <v/>
      </c>
      <c r="CI1112">
        <f>IFERROR(INDEX(PP_Grid[#Data],$DD1112,85),0)</f>
        <v/>
      </c>
      <c r="CJ1112">
        <f>IFERROR(INDEX(PP_Grid[#Data],$DD1112,86),0)</f>
        <v/>
      </c>
      <c r="CK1112">
        <f>IFERROR(INDEX(PP_Grid[#Data],$DD1112,87),0)</f>
        <v/>
      </c>
      <c r="CL1112">
        <f>IFERROR(INDEX(PP_Grid[#Data],$DD1112,88),0)</f>
        <v/>
      </c>
      <c r="CM1112">
        <f>IFERROR(INDEX(PP_Grid[#Data],$DD1112,89),0)</f>
        <v/>
      </c>
      <c r="CN1112">
        <f>IFERROR(INDEX(PP_Grid[#Data],$DD1112,90),0)</f>
        <v/>
      </c>
      <c r="CO1112">
        <f>IFERROR(INDEX(PP_Grid[#Data],$DD1112,91),0)</f>
        <v/>
      </c>
      <c r="CP1112">
        <f>IFERROR(INDEX(PP_Grid[#Data],$DD1112,92),0)</f>
        <v/>
      </c>
      <c r="CQ1112">
        <f>IFERROR(INDEX(PP_Grid[#Data],$DD1112,93),0)</f>
        <v/>
      </c>
      <c r="CR1112">
        <f>IFERROR(INDEX(PP_Grid[#Data],$DD1112,94),0)</f>
        <v/>
      </c>
      <c r="CS1112">
        <f>IFERROR(INDEX(PP_Grid[#Data],$DD1112,95),0)</f>
        <v/>
      </c>
      <c r="CT1112">
        <f>IFERROR(INDEX(PP_Grid[#Data],$DD1112,96),0)</f>
        <v/>
      </c>
      <c r="CU1112">
        <f>IFERROR(INDEX(PP_Grid[#Data],$DD1112,97),0)</f>
        <v/>
      </c>
      <c r="CV1112">
        <f>IFERROR(INDEX(PP_Grid[#Data],$DD1112,98),0)</f>
        <v/>
      </c>
      <c r="CW1112">
        <f>IFERROR(INDEX(PP_Grid[#Data],$DD1112,99),0)</f>
        <v/>
      </c>
      <c r="CX1112">
        <f>IFERROR(INDEX(PP_Grid[#Data],$DD1112,100),0)</f>
        <v/>
      </c>
      <c r="CY1112">
        <f>IFERROR(INDEX(PP_Grid[#Data],$DD1112,101),0)</f>
        <v/>
      </c>
      <c r="CZ1112">
        <f>IFERROR(INDEX(PP_Grid[#Data],$DD1112,102),0)</f>
        <v/>
      </c>
      <c r="DA1112">
        <f>IFERROR(INDEX(PP_Grid[#Data],$DD1112,103),0)</f>
        <v/>
      </c>
      <c r="DB1112">
        <f>IFERROR(INDEX(PP_Grid[#Data],$DD1112,104),0)</f>
        <v/>
      </c>
      <c r="DC1112">
        <f>IFERROR(INDEX(PP_Grid[#Data],$DD1112,105),0)</f>
        <v/>
      </c>
      <c r="DD1112" s="12">
        <f>IFERROR(MATCH($B1112,PP_Grid[Intermediate],0),99999)</f>
        <v/>
      </c>
    </row>
    <row r="1113">
      <c r="B1113" t="inlineStr">
        <is>
          <t>使用量(kg)</t>
        </is>
      </c>
      <c r="C1113">
        <f>SUMIFS(M_BOM[RM_Qty_Per_Batch],M_BOM[Intermediate],$B1112,M_BOM[Part Name],$A1109)</f>
        <v/>
      </c>
      <c r="D1113">
        <f>$C1113*D1112</f>
        <v/>
      </c>
      <c r="E1113">
        <f>$C1113*E1112</f>
        <v/>
      </c>
      <c r="F1113">
        <f>$C1113*F1112</f>
        <v/>
      </c>
      <c r="G1113">
        <f>$C1113*G1112</f>
        <v/>
      </c>
      <c r="H1113">
        <f>$C1113*H1112</f>
        <v/>
      </c>
      <c r="I1113">
        <f>$C1113*I1112</f>
        <v/>
      </c>
      <c r="J1113">
        <f>$C1113*J1112</f>
        <v/>
      </c>
      <c r="K1113">
        <f>$C1113*K1112</f>
        <v/>
      </c>
      <c r="L1113">
        <f>$C1113*L1112</f>
        <v/>
      </c>
      <c r="M1113">
        <f>$C1113*M1112</f>
        <v/>
      </c>
      <c r="N1113">
        <f>$C1113*N1112</f>
        <v/>
      </c>
      <c r="O1113">
        <f>$C1113*O1112</f>
        <v/>
      </c>
      <c r="P1113">
        <f>$C1113*P1112</f>
        <v/>
      </c>
      <c r="Q1113">
        <f>$C1113*Q1112</f>
        <v/>
      </c>
      <c r="R1113">
        <f>$C1113*R1112</f>
        <v/>
      </c>
      <c r="S1113">
        <f>$C1113*S1112</f>
        <v/>
      </c>
      <c r="T1113">
        <f>$C1113*T1112</f>
        <v/>
      </c>
      <c r="U1113">
        <f>$C1113*U1112</f>
        <v/>
      </c>
      <c r="V1113">
        <f>$C1113*V1112</f>
        <v/>
      </c>
      <c r="W1113">
        <f>$C1113*W1112</f>
        <v/>
      </c>
      <c r="X1113">
        <f>$C1113*X1112</f>
        <v/>
      </c>
      <c r="Y1113">
        <f>$C1113*Y1112</f>
        <v/>
      </c>
      <c r="Z1113">
        <f>$C1113*Z1112</f>
        <v/>
      </c>
      <c r="AA1113">
        <f>$C1113*AA1112</f>
        <v/>
      </c>
      <c r="AB1113">
        <f>$C1113*AB1112</f>
        <v/>
      </c>
      <c r="AC1113">
        <f>$C1113*AC1112</f>
        <v/>
      </c>
      <c r="AD1113">
        <f>$C1113*AD1112</f>
        <v/>
      </c>
      <c r="AE1113">
        <f>$C1113*AE1112</f>
        <v/>
      </c>
      <c r="AF1113">
        <f>$C1113*AF1112</f>
        <v/>
      </c>
      <c r="AG1113">
        <f>$C1113*AG1112</f>
        <v/>
      </c>
      <c r="AH1113">
        <f>$C1113*AH1112</f>
        <v/>
      </c>
      <c r="AI1113">
        <f>$C1113*AI1112</f>
        <v/>
      </c>
      <c r="AJ1113">
        <f>$C1113*AJ1112</f>
        <v/>
      </c>
      <c r="AK1113">
        <f>$C1113*AK1112</f>
        <v/>
      </c>
      <c r="AL1113">
        <f>$C1113*AL1112</f>
        <v/>
      </c>
      <c r="AM1113">
        <f>$C1113*AM1112</f>
        <v/>
      </c>
      <c r="AN1113">
        <f>$C1113*AN1112</f>
        <v/>
      </c>
      <c r="AO1113">
        <f>$C1113*AO1112</f>
        <v/>
      </c>
      <c r="AP1113">
        <f>$C1113*AP1112</f>
        <v/>
      </c>
      <c r="AQ1113">
        <f>$C1113*AQ1112</f>
        <v/>
      </c>
      <c r="AR1113">
        <f>$C1113*AR1112</f>
        <v/>
      </c>
      <c r="AS1113">
        <f>$C1113*AS1112</f>
        <v/>
      </c>
      <c r="AT1113">
        <f>$C1113*AT1112</f>
        <v/>
      </c>
      <c r="AU1113">
        <f>$C1113*AU1112</f>
        <v/>
      </c>
      <c r="AV1113">
        <f>$C1113*AV1112</f>
        <v/>
      </c>
      <c r="AW1113">
        <f>$C1113*AW1112</f>
        <v/>
      </c>
      <c r="AX1113">
        <f>$C1113*AX1112</f>
        <v/>
      </c>
      <c r="AY1113">
        <f>$C1113*AY1112</f>
        <v/>
      </c>
      <c r="AZ1113">
        <f>$C1113*AZ1112</f>
        <v/>
      </c>
      <c r="BA1113">
        <f>$C1113*BA1112</f>
        <v/>
      </c>
      <c r="BB1113">
        <f>$C1113*BB1112</f>
        <v/>
      </c>
      <c r="BC1113">
        <f>$C1113*BC1112</f>
        <v/>
      </c>
      <c r="BD1113">
        <f>$C1113*BD1112</f>
        <v/>
      </c>
      <c r="BE1113">
        <f>$C1113*BE1112</f>
        <v/>
      </c>
      <c r="BF1113">
        <f>$C1113*BF1112</f>
        <v/>
      </c>
      <c r="BG1113">
        <f>$C1113*BG1112</f>
        <v/>
      </c>
      <c r="BH1113">
        <f>$C1113*BH1112</f>
        <v/>
      </c>
      <c r="BI1113">
        <f>$C1113*BI1112</f>
        <v/>
      </c>
      <c r="BJ1113">
        <f>$C1113*BJ1112</f>
        <v/>
      </c>
      <c r="BK1113">
        <f>$C1113*BK1112</f>
        <v/>
      </c>
      <c r="BL1113">
        <f>$C1113*BL1112</f>
        <v/>
      </c>
      <c r="BM1113">
        <f>$C1113*BM1112</f>
        <v/>
      </c>
      <c r="BN1113">
        <f>$C1113*BN1112</f>
        <v/>
      </c>
      <c r="BO1113">
        <f>$C1113*BO1112</f>
        <v/>
      </c>
      <c r="BP1113">
        <f>$C1113*BP1112</f>
        <v/>
      </c>
      <c r="BQ1113">
        <f>$C1113*BQ1112</f>
        <v/>
      </c>
      <c r="BR1113">
        <f>$C1113*BR1112</f>
        <v/>
      </c>
      <c r="BS1113">
        <f>$C1113*BS1112</f>
        <v/>
      </c>
      <c r="BT1113">
        <f>$C1113*BT1112</f>
        <v/>
      </c>
      <c r="BU1113">
        <f>$C1113*BU1112</f>
        <v/>
      </c>
      <c r="BV1113">
        <f>$C1113*BV1112</f>
        <v/>
      </c>
      <c r="BW1113">
        <f>$C1113*BW1112</f>
        <v/>
      </c>
      <c r="BX1113">
        <f>$C1113*BX1112</f>
        <v/>
      </c>
      <c r="BY1113">
        <f>$C1113*BY1112</f>
        <v/>
      </c>
      <c r="BZ1113">
        <f>$C1113*BZ1112</f>
        <v/>
      </c>
      <c r="CA1113">
        <f>$C1113*CA1112</f>
        <v/>
      </c>
      <c r="CB1113">
        <f>$C1113*CB1112</f>
        <v/>
      </c>
      <c r="CC1113">
        <f>$C1113*CC1112</f>
        <v/>
      </c>
      <c r="CD1113">
        <f>$C1113*CD1112</f>
        <v/>
      </c>
      <c r="CE1113">
        <f>$C1113*CE1112</f>
        <v/>
      </c>
      <c r="CF1113">
        <f>$C1113*CF1112</f>
        <v/>
      </c>
      <c r="CG1113">
        <f>$C1113*CG1112</f>
        <v/>
      </c>
      <c r="CH1113">
        <f>$C1113*CH1112</f>
        <v/>
      </c>
      <c r="CI1113">
        <f>$C1113*CI1112</f>
        <v/>
      </c>
      <c r="CJ1113">
        <f>$C1113*CJ1112</f>
        <v/>
      </c>
      <c r="CK1113">
        <f>$C1113*CK1112</f>
        <v/>
      </c>
      <c r="CL1113">
        <f>$C1113*CL1112</f>
        <v/>
      </c>
      <c r="CM1113">
        <f>$C1113*CM1112</f>
        <v/>
      </c>
      <c r="CN1113">
        <f>$C1113*CN1112</f>
        <v/>
      </c>
      <c r="CO1113">
        <f>$C1113*CO1112</f>
        <v/>
      </c>
      <c r="CP1113">
        <f>$C1113*CP1112</f>
        <v/>
      </c>
      <c r="CQ1113">
        <f>$C1113*CQ1112</f>
        <v/>
      </c>
      <c r="CR1113">
        <f>$C1113*CR1112</f>
        <v/>
      </c>
      <c r="CS1113">
        <f>$C1113*CS1112</f>
        <v/>
      </c>
      <c r="CT1113">
        <f>$C1113*CT1112</f>
        <v/>
      </c>
      <c r="CU1113">
        <f>$C1113*CU1112</f>
        <v/>
      </c>
      <c r="CV1113">
        <f>$C1113*CV1112</f>
        <v/>
      </c>
      <c r="CW1113">
        <f>$C1113*CW1112</f>
        <v/>
      </c>
      <c r="CX1113">
        <f>$C1113*CX1112</f>
        <v/>
      </c>
      <c r="CY1113">
        <f>$C1113*CY1112</f>
        <v/>
      </c>
      <c r="CZ1113">
        <f>$C1113*CZ1112</f>
        <v/>
      </c>
      <c r="DA1113">
        <f>$C1113*DA1112</f>
        <v/>
      </c>
      <c r="DB1113">
        <f>$C1113*DB1112</f>
        <v/>
      </c>
      <c r="DC1113">
        <f>$C1113*DC1112</f>
        <v/>
      </c>
    </row>
    <row r="1114">
      <c r="B1114" t="inlineStr">
        <is>
          <t>TVS-664</t>
        </is>
      </c>
      <c r="C1114" t="inlineStr">
        <is>
          <t>No. of batches</t>
        </is>
      </c>
      <c r="D1114">
        <f>IFERROR(INDEX(PP_Grid[#Data],$DD1114,2),0)</f>
        <v/>
      </c>
      <c r="E1114">
        <f>IFERROR(INDEX(PP_Grid[#Data],$DD1114,3),0)</f>
        <v/>
      </c>
      <c r="F1114">
        <f>IFERROR(INDEX(PP_Grid[#Data],$DD1114,4),0)</f>
        <v/>
      </c>
      <c r="G1114">
        <f>IFERROR(INDEX(PP_Grid[#Data],$DD1114,5),0)</f>
        <v/>
      </c>
      <c r="H1114">
        <f>IFERROR(INDEX(PP_Grid[#Data],$DD1114,6),0)</f>
        <v/>
      </c>
      <c r="I1114">
        <f>IFERROR(INDEX(PP_Grid[#Data],$DD1114,7),0)</f>
        <v/>
      </c>
      <c r="J1114">
        <f>IFERROR(INDEX(PP_Grid[#Data],$DD1114,8),0)</f>
        <v/>
      </c>
      <c r="K1114">
        <f>IFERROR(INDEX(PP_Grid[#Data],$DD1114,9),0)</f>
        <v/>
      </c>
      <c r="L1114">
        <f>IFERROR(INDEX(PP_Grid[#Data],$DD1114,10),0)</f>
        <v/>
      </c>
      <c r="M1114">
        <f>IFERROR(INDEX(PP_Grid[#Data],$DD1114,11),0)</f>
        <v/>
      </c>
      <c r="N1114">
        <f>IFERROR(INDEX(PP_Grid[#Data],$DD1114,12),0)</f>
        <v/>
      </c>
      <c r="O1114">
        <f>IFERROR(INDEX(PP_Grid[#Data],$DD1114,13),0)</f>
        <v/>
      </c>
      <c r="P1114">
        <f>IFERROR(INDEX(PP_Grid[#Data],$DD1114,14),0)</f>
        <v/>
      </c>
      <c r="Q1114">
        <f>IFERROR(INDEX(PP_Grid[#Data],$DD1114,15),0)</f>
        <v/>
      </c>
      <c r="R1114">
        <f>IFERROR(INDEX(PP_Grid[#Data],$DD1114,16),0)</f>
        <v/>
      </c>
      <c r="S1114">
        <f>IFERROR(INDEX(PP_Grid[#Data],$DD1114,17),0)</f>
        <v/>
      </c>
      <c r="T1114">
        <f>IFERROR(INDEX(PP_Grid[#Data],$DD1114,18),0)</f>
        <v/>
      </c>
      <c r="U1114">
        <f>IFERROR(INDEX(PP_Grid[#Data],$DD1114,19),0)</f>
        <v/>
      </c>
      <c r="V1114">
        <f>IFERROR(INDEX(PP_Grid[#Data],$DD1114,20),0)</f>
        <v/>
      </c>
      <c r="W1114">
        <f>IFERROR(INDEX(PP_Grid[#Data],$DD1114,21),0)</f>
        <v/>
      </c>
      <c r="X1114">
        <f>IFERROR(INDEX(PP_Grid[#Data],$DD1114,22),0)</f>
        <v/>
      </c>
      <c r="Y1114">
        <f>IFERROR(INDEX(PP_Grid[#Data],$DD1114,23),0)</f>
        <v/>
      </c>
      <c r="Z1114">
        <f>IFERROR(INDEX(PP_Grid[#Data],$DD1114,24),0)</f>
        <v/>
      </c>
      <c r="AA1114">
        <f>IFERROR(INDEX(PP_Grid[#Data],$DD1114,25),0)</f>
        <v/>
      </c>
      <c r="AB1114">
        <f>IFERROR(INDEX(PP_Grid[#Data],$DD1114,26),0)</f>
        <v/>
      </c>
      <c r="AC1114">
        <f>IFERROR(INDEX(PP_Grid[#Data],$DD1114,27),0)</f>
        <v/>
      </c>
      <c r="AD1114">
        <f>IFERROR(INDEX(PP_Grid[#Data],$DD1114,28),0)</f>
        <v/>
      </c>
      <c r="AE1114">
        <f>IFERROR(INDEX(PP_Grid[#Data],$DD1114,29),0)</f>
        <v/>
      </c>
      <c r="AF1114">
        <f>IFERROR(INDEX(PP_Grid[#Data],$DD1114,30),0)</f>
        <v/>
      </c>
      <c r="AG1114">
        <f>IFERROR(INDEX(PP_Grid[#Data],$DD1114,31),0)</f>
        <v/>
      </c>
      <c r="AH1114">
        <f>IFERROR(INDEX(PP_Grid[#Data],$DD1114,32),0)</f>
        <v/>
      </c>
      <c r="AI1114">
        <f>IFERROR(INDEX(PP_Grid[#Data],$DD1114,33),0)</f>
        <v/>
      </c>
      <c r="AJ1114">
        <f>IFERROR(INDEX(PP_Grid[#Data],$DD1114,34),0)</f>
        <v/>
      </c>
      <c r="AK1114">
        <f>IFERROR(INDEX(PP_Grid[#Data],$DD1114,35),0)</f>
        <v/>
      </c>
      <c r="AL1114">
        <f>IFERROR(INDEX(PP_Grid[#Data],$DD1114,36),0)</f>
        <v/>
      </c>
      <c r="AM1114">
        <f>IFERROR(INDEX(PP_Grid[#Data],$DD1114,37),0)</f>
        <v/>
      </c>
      <c r="AN1114">
        <f>IFERROR(INDEX(PP_Grid[#Data],$DD1114,38),0)</f>
        <v/>
      </c>
      <c r="AO1114">
        <f>IFERROR(INDEX(PP_Grid[#Data],$DD1114,39),0)</f>
        <v/>
      </c>
      <c r="AP1114">
        <f>IFERROR(INDEX(PP_Grid[#Data],$DD1114,40),0)</f>
        <v/>
      </c>
      <c r="AQ1114">
        <f>IFERROR(INDEX(PP_Grid[#Data],$DD1114,41),0)</f>
        <v/>
      </c>
      <c r="AR1114">
        <f>IFERROR(INDEX(PP_Grid[#Data],$DD1114,42),0)</f>
        <v/>
      </c>
      <c r="AS1114">
        <f>IFERROR(INDEX(PP_Grid[#Data],$DD1114,43),0)</f>
        <v/>
      </c>
      <c r="AT1114">
        <f>IFERROR(INDEX(PP_Grid[#Data],$DD1114,44),0)</f>
        <v/>
      </c>
      <c r="AU1114">
        <f>IFERROR(INDEX(PP_Grid[#Data],$DD1114,45),0)</f>
        <v/>
      </c>
      <c r="AV1114">
        <f>IFERROR(INDEX(PP_Grid[#Data],$DD1114,46),0)</f>
        <v/>
      </c>
      <c r="AW1114">
        <f>IFERROR(INDEX(PP_Grid[#Data],$DD1114,47),0)</f>
        <v/>
      </c>
      <c r="AX1114">
        <f>IFERROR(INDEX(PP_Grid[#Data],$DD1114,48),0)</f>
        <v/>
      </c>
      <c r="AY1114">
        <f>IFERROR(INDEX(PP_Grid[#Data],$DD1114,49),0)</f>
        <v/>
      </c>
      <c r="AZ1114">
        <f>IFERROR(INDEX(PP_Grid[#Data],$DD1114,50),0)</f>
        <v/>
      </c>
      <c r="BA1114">
        <f>IFERROR(INDEX(PP_Grid[#Data],$DD1114,51),0)</f>
        <v/>
      </c>
      <c r="BB1114">
        <f>IFERROR(INDEX(PP_Grid[#Data],$DD1114,52),0)</f>
        <v/>
      </c>
      <c r="BC1114">
        <f>IFERROR(INDEX(PP_Grid[#Data],$DD1114,53),0)</f>
        <v/>
      </c>
      <c r="BD1114">
        <f>IFERROR(INDEX(PP_Grid[#Data],$DD1114,54),0)</f>
        <v/>
      </c>
      <c r="BE1114">
        <f>IFERROR(INDEX(PP_Grid[#Data],$DD1114,55),0)</f>
        <v/>
      </c>
      <c r="BF1114">
        <f>IFERROR(INDEX(PP_Grid[#Data],$DD1114,56),0)</f>
        <v/>
      </c>
      <c r="BG1114">
        <f>IFERROR(INDEX(PP_Grid[#Data],$DD1114,57),0)</f>
        <v/>
      </c>
      <c r="BH1114">
        <f>IFERROR(INDEX(PP_Grid[#Data],$DD1114,58),0)</f>
        <v/>
      </c>
      <c r="BI1114">
        <f>IFERROR(INDEX(PP_Grid[#Data],$DD1114,59),0)</f>
        <v/>
      </c>
      <c r="BJ1114">
        <f>IFERROR(INDEX(PP_Grid[#Data],$DD1114,60),0)</f>
        <v/>
      </c>
      <c r="BK1114">
        <f>IFERROR(INDEX(PP_Grid[#Data],$DD1114,61),0)</f>
        <v/>
      </c>
      <c r="BL1114">
        <f>IFERROR(INDEX(PP_Grid[#Data],$DD1114,62),0)</f>
        <v/>
      </c>
      <c r="BM1114">
        <f>IFERROR(INDEX(PP_Grid[#Data],$DD1114,63),0)</f>
        <v/>
      </c>
      <c r="BN1114">
        <f>IFERROR(INDEX(PP_Grid[#Data],$DD1114,64),0)</f>
        <v/>
      </c>
      <c r="BO1114">
        <f>IFERROR(INDEX(PP_Grid[#Data],$DD1114,65),0)</f>
        <v/>
      </c>
      <c r="BP1114">
        <f>IFERROR(INDEX(PP_Grid[#Data],$DD1114,66),0)</f>
        <v/>
      </c>
      <c r="BQ1114">
        <f>IFERROR(INDEX(PP_Grid[#Data],$DD1114,67),0)</f>
        <v/>
      </c>
      <c r="BR1114">
        <f>IFERROR(INDEX(PP_Grid[#Data],$DD1114,68),0)</f>
        <v/>
      </c>
      <c r="BS1114">
        <f>IFERROR(INDEX(PP_Grid[#Data],$DD1114,69),0)</f>
        <v/>
      </c>
      <c r="BT1114">
        <f>IFERROR(INDEX(PP_Grid[#Data],$DD1114,70),0)</f>
        <v/>
      </c>
      <c r="BU1114">
        <f>IFERROR(INDEX(PP_Grid[#Data],$DD1114,71),0)</f>
        <v/>
      </c>
      <c r="BV1114">
        <f>IFERROR(INDEX(PP_Grid[#Data],$DD1114,72),0)</f>
        <v/>
      </c>
      <c r="BW1114">
        <f>IFERROR(INDEX(PP_Grid[#Data],$DD1114,73),0)</f>
        <v/>
      </c>
      <c r="BX1114">
        <f>IFERROR(INDEX(PP_Grid[#Data],$DD1114,74),0)</f>
        <v/>
      </c>
      <c r="BY1114">
        <f>IFERROR(INDEX(PP_Grid[#Data],$DD1114,75),0)</f>
        <v/>
      </c>
      <c r="BZ1114">
        <f>IFERROR(INDEX(PP_Grid[#Data],$DD1114,76),0)</f>
        <v/>
      </c>
      <c r="CA1114">
        <f>IFERROR(INDEX(PP_Grid[#Data],$DD1114,77),0)</f>
        <v/>
      </c>
      <c r="CB1114">
        <f>IFERROR(INDEX(PP_Grid[#Data],$DD1114,78),0)</f>
        <v/>
      </c>
      <c r="CC1114">
        <f>IFERROR(INDEX(PP_Grid[#Data],$DD1114,79),0)</f>
        <v/>
      </c>
      <c r="CD1114">
        <f>IFERROR(INDEX(PP_Grid[#Data],$DD1114,80),0)</f>
        <v/>
      </c>
      <c r="CE1114">
        <f>IFERROR(INDEX(PP_Grid[#Data],$DD1114,81),0)</f>
        <v/>
      </c>
      <c r="CF1114">
        <f>IFERROR(INDEX(PP_Grid[#Data],$DD1114,82),0)</f>
        <v/>
      </c>
      <c r="CG1114">
        <f>IFERROR(INDEX(PP_Grid[#Data],$DD1114,83),0)</f>
        <v/>
      </c>
      <c r="CH1114">
        <f>IFERROR(INDEX(PP_Grid[#Data],$DD1114,84),0)</f>
        <v/>
      </c>
      <c r="CI1114">
        <f>IFERROR(INDEX(PP_Grid[#Data],$DD1114,85),0)</f>
        <v/>
      </c>
      <c r="CJ1114">
        <f>IFERROR(INDEX(PP_Grid[#Data],$DD1114,86),0)</f>
        <v/>
      </c>
      <c r="CK1114">
        <f>IFERROR(INDEX(PP_Grid[#Data],$DD1114,87),0)</f>
        <v/>
      </c>
      <c r="CL1114">
        <f>IFERROR(INDEX(PP_Grid[#Data],$DD1114,88),0)</f>
        <v/>
      </c>
      <c r="CM1114">
        <f>IFERROR(INDEX(PP_Grid[#Data],$DD1114,89),0)</f>
        <v/>
      </c>
      <c r="CN1114">
        <f>IFERROR(INDEX(PP_Grid[#Data],$DD1114,90),0)</f>
        <v/>
      </c>
      <c r="CO1114">
        <f>IFERROR(INDEX(PP_Grid[#Data],$DD1114,91),0)</f>
        <v/>
      </c>
      <c r="CP1114">
        <f>IFERROR(INDEX(PP_Grid[#Data],$DD1114,92),0)</f>
        <v/>
      </c>
      <c r="CQ1114">
        <f>IFERROR(INDEX(PP_Grid[#Data],$DD1114,93),0)</f>
        <v/>
      </c>
      <c r="CR1114">
        <f>IFERROR(INDEX(PP_Grid[#Data],$DD1114,94),0)</f>
        <v/>
      </c>
      <c r="CS1114">
        <f>IFERROR(INDEX(PP_Grid[#Data],$DD1114,95),0)</f>
        <v/>
      </c>
      <c r="CT1114">
        <f>IFERROR(INDEX(PP_Grid[#Data],$DD1114,96),0)</f>
        <v/>
      </c>
      <c r="CU1114">
        <f>IFERROR(INDEX(PP_Grid[#Data],$DD1114,97),0)</f>
        <v/>
      </c>
      <c r="CV1114">
        <f>IFERROR(INDEX(PP_Grid[#Data],$DD1114,98),0)</f>
        <v/>
      </c>
      <c r="CW1114">
        <f>IFERROR(INDEX(PP_Grid[#Data],$DD1114,99),0)</f>
        <v/>
      </c>
      <c r="CX1114">
        <f>IFERROR(INDEX(PP_Grid[#Data],$DD1114,100),0)</f>
        <v/>
      </c>
      <c r="CY1114">
        <f>IFERROR(INDEX(PP_Grid[#Data],$DD1114,101),0)</f>
        <v/>
      </c>
      <c r="CZ1114">
        <f>IFERROR(INDEX(PP_Grid[#Data],$DD1114,102),0)</f>
        <v/>
      </c>
      <c r="DA1114">
        <f>IFERROR(INDEX(PP_Grid[#Data],$DD1114,103),0)</f>
        <v/>
      </c>
      <c r="DB1114">
        <f>IFERROR(INDEX(PP_Grid[#Data],$DD1114,104),0)</f>
        <v/>
      </c>
      <c r="DC1114">
        <f>IFERROR(INDEX(PP_Grid[#Data],$DD1114,105),0)</f>
        <v/>
      </c>
      <c r="DD1114" s="12">
        <f>IFERROR(MATCH($B1114,PP_Grid[Intermediate],0),99999)</f>
        <v/>
      </c>
    </row>
    <row r="1115">
      <c r="B1115" t="inlineStr">
        <is>
          <t>使用量(kg)</t>
        </is>
      </c>
      <c r="C1115">
        <f>SUMIFS(M_BOM[RM_Qty_Per_Batch],M_BOM[Intermediate],$B1114,M_BOM[Part Name],$A1109)</f>
        <v/>
      </c>
      <c r="D1115">
        <f>$C1115*D1114</f>
        <v/>
      </c>
      <c r="E1115">
        <f>$C1115*E1114</f>
        <v/>
      </c>
      <c r="F1115">
        <f>$C1115*F1114</f>
        <v/>
      </c>
      <c r="G1115">
        <f>$C1115*G1114</f>
        <v/>
      </c>
      <c r="H1115">
        <f>$C1115*H1114</f>
        <v/>
      </c>
      <c r="I1115">
        <f>$C1115*I1114</f>
        <v/>
      </c>
      <c r="J1115">
        <f>$C1115*J1114</f>
        <v/>
      </c>
      <c r="K1115">
        <f>$C1115*K1114</f>
        <v/>
      </c>
      <c r="L1115">
        <f>$C1115*L1114</f>
        <v/>
      </c>
      <c r="M1115">
        <f>$C1115*M1114</f>
        <v/>
      </c>
      <c r="N1115">
        <f>$C1115*N1114</f>
        <v/>
      </c>
      <c r="O1115">
        <f>$C1115*O1114</f>
        <v/>
      </c>
      <c r="P1115">
        <f>$C1115*P1114</f>
        <v/>
      </c>
      <c r="Q1115">
        <f>$C1115*Q1114</f>
        <v/>
      </c>
      <c r="R1115">
        <f>$C1115*R1114</f>
        <v/>
      </c>
      <c r="S1115">
        <f>$C1115*S1114</f>
        <v/>
      </c>
      <c r="T1115">
        <f>$C1115*T1114</f>
        <v/>
      </c>
      <c r="U1115">
        <f>$C1115*U1114</f>
        <v/>
      </c>
      <c r="V1115">
        <f>$C1115*V1114</f>
        <v/>
      </c>
      <c r="W1115">
        <f>$C1115*W1114</f>
        <v/>
      </c>
      <c r="X1115">
        <f>$C1115*X1114</f>
        <v/>
      </c>
      <c r="Y1115">
        <f>$C1115*Y1114</f>
        <v/>
      </c>
      <c r="Z1115">
        <f>$C1115*Z1114</f>
        <v/>
      </c>
      <c r="AA1115">
        <f>$C1115*AA1114</f>
        <v/>
      </c>
      <c r="AB1115">
        <f>$C1115*AB1114</f>
        <v/>
      </c>
      <c r="AC1115">
        <f>$C1115*AC1114</f>
        <v/>
      </c>
      <c r="AD1115">
        <f>$C1115*AD1114</f>
        <v/>
      </c>
      <c r="AE1115">
        <f>$C1115*AE1114</f>
        <v/>
      </c>
      <c r="AF1115">
        <f>$C1115*AF1114</f>
        <v/>
      </c>
      <c r="AG1115">
        <f>$C1115*AG1114</f>
        <v/>
      </c>
      <c r="AH1115">
        <f>$C1115*AH1114</f>
        <v/>
      </c>
      <c r="AI1115">
        <f>$C1115*AI1114</f>
        <v/>
      </c>
      <c r="AJ1115">
        <f>$C1115*AJ1114</f>
        <v/>
      </c>
      <c r="AK1115">
        <f>$C1115*AK1114</f>
        <v/>
      </c>
      <c r="AL1115">
        <f>$C1115*AL1114</f>
        <v/>
      </c>
      <c r="AM1115">
        <f>$C1115*AM1114</f>
        <v/>
      </c>
      <c r="AN1115">
        <f>$C1115*AN1114</f>
        <v/>
      </c>
      <c r="AO1115">
        <f>$C1115*AO1114</f>
        <v/>
      </c>
      <c r="AP1115">
        <f>$C1115*AP1114</f>
        <v/>
      </c>
      <c r="AQ1115">
        <f>$C1115*AQ1114</f>
        <v/>
      </c>
      <c r="AR1115">
        <f>$C1115*AR1114</f>
        <v/>
      </c>
      <c r="AS1115">
        <f>$C1115*AS1114</f>
        <v/>
      </c>
      <c r="AT1115">
        <f>$C1115*AT1114</f>
        <v/>
      </c>
      <c r="AU1115">
        <f>$C1115*AU1114</f>
        <v/>
      </c>
      <c r="AV1115">
        <f>$C1115*AV1114</f>
        <v/>
      </c>
      <c r="AW1115">
        <f>$C1115*AW1114</f>
        <v/>
      </c>
      <c r="AX1115">
        <f>$C1115*AX1114</f>
        <v/>
      </c>
      <c r="AY1115">
        <f>$C1115*AY1114</f>
        <v/>
      </c>
      <c r="AZ1115">
        <f>$C1115*AZ1114</f>
        <v/>
      </c>
      <c r="BA1115">
        <f>$C1115*BA1114</f>
        <v/>
      </c>
      <c r="BB1115">
        <f>$C1115*BB1114</f>
        <v/>
      </c>
      <c r="BC1115">
        <f>$C1115*BC1114</f>
        <v/>
      </c>
      <c r="BD1115">
        <f>$C1115*BD1114</f>
        <v/>
      </c>
      <c r="BE1115">
        <f>$C1115*BE1114</f>
        <v/>
      </c>
      <c r="BF1115">
        <f>$C1115*BF1114</f>
        <v/>
      </c>
      <c r="BG1115">
        <f>$C1115*BG1114</f>
        <v/>
      </c>
      <c r="BH1115">
        <f>$C1115*BH1114</f>
        <v/>
      </c>
      <c r="BI1115">
        <f>$C1115*BI1114</f>
        <v/>
      </c>
      <c r="BJ1115">
        <f>$C1115*BJ1114</f>
        <v/>
      </c>
      <c r="BK1115">
        <f>$C1115*BK1114</f>
        <v/>
      </c>
      <c r="BL1115">
        <f>$C1115*BL1114</f>
        <v/>
      </c>
      <c r="BM1115">
        <f>$C1115*BM1114</f>
        <v/>
      </c>
      <c r="BN1115">
        <f>$C1115*BN1114</f>
        <v/>
      </c>
      <c r="BO1115">
        <f>$C1115*BO1114</f>
        <v/>
      </c>
      <c r="BP1115">
        <f>$C1115*BP1114</f>
        <v/>
      </c>
      <c r="BQ1115">
        <f>$C1115*BQ1114</f>
        <v/>
      </c>
      <c r="BR1115">
        <f>$C1115*BR1114</f>
        <v/>
      </c>
      <c r="BS1115">
        <f>$C1115*BS1114</f>
        <v/>
      </c>
      <c r="BT1115">
        <f>$C1115*BT1114</f>
        <v/>
      </c>
      <c r="BU1115">
        <f>$C1115*BU1114</f>
        <v/>
      </c>
      <c r="BV1115">
        <f>$C1115*BV1114</f>
        <v/>
      </c>
      <c r="BW1115">
        <f>$C1115*BW1114</f>
        <v/>
      </c>
      <c r="BX1115">
        <f>$C1115*BX1114</f>
        <v/>
      </c>
      <c r="BY1115">
        <f>$C1115*BY1114</f>
        <v/>
      </c>
      <c r="BZ1115">
        <f>$C1115*BZ1114</f>
        <v/>
      </c>
      <c r="CA1115">
        <f>$C1115*CA1114</f>
        <v/>
      </c>
      <c r="CB1115">
        <f>$C1115*CB1114</f>
        <v/>
      </c>
      <c r="CC1115">
        <f>$C1115*CC1114</f>
        <v/>
      </c>
      <c r="CD1115">
        <f>$C1115*CD1114</f>
        <v/>
      </c>
      <c r="CE1115">
        <f>$C1115*CE1114</f>
        <v/>
      </c>
      <c r="CF1115">
        <f>$C1115*CF1114</f>
        <v/>
      </c>
      <c r="CG1115">
        <f>$C1115*CG1114</f>
        <v/>
      </c>
      <c r="CH1115">
        <f>$C1115*CH1114</f>
        <v/>
      </c>
      <c r="CI1115">
        <f>$C1115*CI1114</f>
        <v/>
      </c>
      <c r="CJ1115">
        <f>$C1115*CJ1114</f>
        <v/>
      </c>
      <c r="CK1115">
        <f>$C1115*CK1114</f>
        <v/>
      </c>
      <c r="CL1115">
        <f>$C1115*CL1114</f>
        <v/>
      </c>
      <c r="CM1115">
        <f>$C1115*CM1114</f>
        <v/>
      </c>
      <c r="CN1115">
        <f>$C1115*CN1114</f>
        <v/>
      </c>
      <c r="CO1115">
        <f>$C1115*CO1114</f>
        <v/>
      </c>
      <c r="CP1115">
        <f>$C1115*CP1114</f>
        <v/>
      </c>
      <c r="CQ1115">
        <f>$C1115*CQ1114</f>
        <v/>
      </c>
      <c r="CR1115">
        <f>$C1115*CR1114</f>
        <v/>
      </c>
      <c r="CS1115">
        <f>$C1115*CS1114</f>
        <v/>
      </c>
      <c r="CT1115">
        <f>$C1115*CT1114</f>
        <v/>
      </c>
      <c r="CU1115">
        <f>$C1115*CU1114</f>
        <v/>
      </c>
      <c r="CV1115">
        <f>$C1115*CV1114</f>
        <v/>
      </c>
      <c r="CW1115">
        <f>$C1115*CW1114</f>
        <v/>
      </c>
      <c r="CX1115">
        <f>$C1115*CX1114</f>
        <v/>
      </c>
      <c r="CY1115">
        <f>$C1115*CY1114</f>
        <v/>
      </c>
      <c r="CZ1115">
        <f>$C1115*CZ1114</f>
        <v/>
      </c>
      <c r="DA1115">
        <f>$C1115*DA1114</f>
        <v/>
      </c>
      <c r="DB1115">
        <f>$C1115*DB1114</f>
        <v/>
      </c>
      <c r="DC1115">
        <f>$C1115*DC1114</f>
        <v/>
      </c>
    </row>
    <row r="1116">
      <c r="B1116" t="inlineStr">
        <is>
          <t>TVS-833</t>
        </is>
      </c>
      <c r="C1116" t="inlineStr">
        <is>
          <t>No. of batches</t>
        </is>
      </c>
      <c r="D1116">
        <f>IFERROR(INDEX(PP_Grid[#Data],$DD1116,2),0)</f>
        <v/>
      </c>
      <c r="E1116">
        <f>IFERROR(INDEX(PP_Grid[#Data],$DD1116,3),0)</f>
        <v/>
      </c>
      <c r="F1116">
        <f>IFERROR(INDEX(PP_Grid[#Data],$DD1116,4),0)</f>
        <v/>
      </c>
      <c r="G1116">
        <f>IFERROR(INDEX(PP_Grid[#Data],$DD1116,5),0)</f>
        <v/>
      </c>
      <c r="H1116">
        <f>IFERROR(INDEX(PP_Grid[#Data],$DD1116,6),0)</f>
        <v/>
      </c>
      <c r="I1116">
        <f>IFERROR(INDEX(PP_Grid[#Data],$DD1116,7),0)</f>
        <v/>
      </c>
      <c r="J1116">
        <f>IFERROR(INDEX(PP_Grid[#Data],$DD1116,8),0)</f>
        <v/>
      </c>
      <c r="K1116">
        <f>IFERROR(INDEX(PP_Grid[#Data],$DD1116,9),0)</f>
        <v/>
      </c>
      <c r="L1116">
        <f>IFERROR(INDEX(PP_Grid[#Data],$DD1116,10),0)</f>
        <v/>
      </c>
      <c r="M1116">
        <f>IFERROR(INDEX(PP_Grid[#Data],$DD1116,11),0)</f>
        <v/>
      </c>
      <c r="N1116">
        <f>IFERROR(INDEX(PP_Grid[#Data],$DD1116,12),0)</f>
        <v/>
      </c>
      <c r="O1116">
        <f>IFERROR(INDEX(PP_Grid[#Data],$DD1116,13),0)</f>
        <v/>
      </c>
      <c r="P1116">
        <f>IFERROR(INDEX(PP_Grid[#Data],$DD1116,14),0)</f>
        <v/>
      </c>
      <c r="Q1116">
        <f>IFERROR(INDEX(PP_Grid[#Data],$DD1116,15),0)</f>
        <v/>
      </c>
      <c r="R1116">
        <f>IFERROR(INDEX(PP_Grid[#Data],$DD1116,16),0)</f>
        <v/>
      </c>
      <c r="S1116">
        <f>IFERROR(INDEX(PP_Grid[#Data],$DD1116,17),0)</f>
        <v/>
      </c>
      <c r="T1116">
        <f>IFERROR(INDEX(PP_Grid[#Data],$DD1116,18),0)</f>
        <v/>
      </c>
      <c r="U1116">
        <f>IFERROR(INDEX(PP_Grid[#Data],$DD1116,19),0)</f>
        <v/>
      </c>
      <c r="V1116">
        <f>IFERROR(INDEX(PP_Grid[#Data],$DD1116,20),0)</f>
        <v/>
      </c>
      <c r="W1116">
        <f>IFERROR(INDEX(PP_Grid[#Data],$DD1116,21),0)</f>
        <v/>
      </c>
      <c r="X1116">
        <f>IFERROR(INDEX(PP_Grid[#Data],$DD1116,22),0)</f>
        <v/>
      </c>
      <c r="Y1116">
        <f>IFERROR(INDEX(PP_Grid[#Data],$DD1116,23),0)</f>
        <v/>
      </c>
      <c r="Z1116">
        <f>IFERROR(INDEX(PP_Grid[#Data],$DD1116,24),0)</f>
        <v/>
      </c>
      <c r="AA1116">
        <f>IFERROR(INDEX(PP_Grid[#Data],$DD1116,25),0)</f>
        <v/>
      </c>
      <c r="AB1116">
        <f>IFERROR(INDEX(PP_Grid[#Data],$DD1116,26),0)</f>
        <v/>
      </c>
      <c r="AC1116">
        <f>IFERROR(INDEX(PP_Grid[#Data],$DD1116,27),0)</f>
        <v/>
      </c>
      <c r="AD1116">
        <f>IFERROR(INDEX(PP_Grid[#Data],$DD1116,28),0)</f>
        <v/>
      </c>
      <c r="AE1116">
        <f>IFERROR(INDEX(PP_Grid[#Data],$DD1116,29),0)</f>
        <v/>
      </c>
      <c r="AF1116">
        <f>IFERROR(INDEX(PP_Grid[#Data],$DD1116,30),0)</f>
        <v/>
      </c>
      <c r="AG1116">
        <f>IFERROR(INDEX(PP_Grid[#Data],$DD1116,31),0)</f>
        <v/>
      </c>
      <c r="AH1116">
        <f>IFERROR(INDEX(PP_Grid[#Data],$DD1116,32),0)</f>
        <v/>
      </c>
      <c r="AI1116">
        <f>IFERROR(INDEX(PP_Grid[#Data],$DD1116,33),0)</f>
        <v/>
      </c>
      <c r="AJ1116">
        <f>IFERROR(INDEX(PP_Grid[#Data],$DD1116,34),0)</f>
        <v/>
      </c>
      <c r="AK1116">
        <f>IFERROR(INDEX(PP_Grid[#Data],$DD1116,35),0)</f>
        <v/>
      </c>
      <c r="AL1116">
        <f>IFERROR(INDEX(PP_Grid[#Data],$DD1116,36),0)</f>
        <v/>
      </c>
      <c r="AM1116">
        <f>IFERROR(INDEX(PP_Grid[#Data],$DD1116,37),0)</f>
        <v/>
      </c>
      <c r="AN1116">
        <f>IFERROR(INDEX(PP_Grid[#Data],$DD1116,38),0)</f>
        <v/>
      </c>
      <c r="AO1116">
        <f>IFERROR(INDEX(PP_Grid[#Data],$DD1116,39),0)</f>
        <v/>
      </c>
      <c r="AP1116">
        <f>IFERROR(INDEX(PP_Grid[#Data],$DD1116,40),0)</f>
        <v/>
      </c>
      <c r="AQ1116">
        <f>IFERROR(INDEX(PP_Grid[#Data],$DD1116,41),0)</f>
        <v/>
      </c>
      <c r="AR1116">
        <f>IFERROR(INDEX(PP_Grid[#Data],$DD1116,42),0)</f>
        <v/>
      </c>
      <c r="AS1116">
        <f>IFERROR(INDEX(PP_Grid[#Data],$DD1116,43),0)</f>
        <v/>
      </c>
      <c r="AT1116">
        <f>IFERROR(INDEX(PP_Grid[#Data],$DD1116,44),0)</f>
        <v/>
      </c>
      <c r="AU1116">
        <f>IFERROR(INDEX(PP_Grid[#Data],$DD1116,45),0)</f>
        <v/>
      </c>
      <c r="AV1116">
        <f>IFERROR(INDEX(PP_Grid[#Data],$DD1116,46),0)</f>
        <v/>
      </c>
      <c r="AW1116">
        <f>IFERROR(INDEX(PP_Grid[#Data],$DD1116,47),0)</f>
        <v/>
      </c>
      <c r="AX1116">
        <f>IFERROR(INDEX(PP_Grid[#Data],$DD1116,48),0)</f>
        <v/>
      </c>
      <c r="AY1116">
        <f>IFERROR(INDEX(PP_Grid[#Data],$DD1116,49),0)</f>
        <v/>
      </c>
      <c r="AZ1116">
        <f>IFERROR(INDEX(PP_Grid[#Data],$DD1116,50),0)</f>
        <v/>
      </c>
      <c r="BA1116">
        <f>IFERROR(INDEX(PP_Grid[#Data],$DD1116,51),0)</f>
        <v/>
      </c>
      <c r="BB1116">
        <f>IFERROR(INDEX(PP_Grid[#Data],$DD1116,52),0)</f>
        <v/>
      </c>
      <c r="BC1116">
        <f>IFERROR(INDEX(PP_Grid[#Data],$DD1116,53),0)</f>
        <v/>
      </c>
      <c r="BD1116">
        <f>IFERROR(INDEX(PP_Grid[#Data],$DD1116,54),0)</f>
        <v/>
      </c>
      <c r="BE1116">
        <f>IFERROR(INDEX(PP_Grid[#Data],$DD1116,55),0)</f>
        <v/>
      </c>
      <c r="BF1116">
        <f>IFERROR(INDEX(PP_Grid[#Data],$DD1116,56),0)</f>
        <v/>
      </c>
      <c r="BG1116">
        <f>IFERROR(INDEX(PP_Grid[#Data],$DD1116,57),0)</f>
        <v/>
      </c>
      <c r="BH1116">
        <f>IFERROR(INDEX(PP_Grid[#Data],$DD1116,58),0)</f>
        <v/>
      </c>
      <c r="BI1116">
        <f>IFERROR(INDEX(PP_Grid[#Data],$DD1116,59),0)</f>
        <v/>
      </c>
      <c r="BJ1116">
        <f>IFERROR(INDEX(PP_Grid[#Data],$DD1116,60),0)</f>
        <v/>
      </c>
      <c r="BK1116">
        <f>IFERROR(INDEX(PP_Grid[#Data],$DD1116,61),0)</f>
        <v/>
      </c>
      <c r="BL1116">
        <f>IFERROR(INDEX(PP_Grid[#Data],$DD1116,62),0)</f>
        <v/>
      </c>
      <c r="BM1116">
        <f>IFERROR(INDEX(PP_Grid[#Data],$DD1116,63),0)</f>
        <v/>
      </c>
      <c r="BN1116">
        <f>IFERROR(INDEX(PP_Grid[#Data],$DD1116,64),0)</f>
        <v/>
      </c>
      <c r="BO1116">
        <f>IFERROR(INDEX(PP_Grid[#Data],$DD1116,65),0)</f>
        <v/>
      </c>
      <c r="BP1116">
        <f>IFERROR(INDEX(PP_Grid[#Data],$DD1116,66),0)</f>
        <v/>
      </c>
      <c r="BQ1116">
        <f>IFERROR(INDEX(PP_Grid[#Data],$DD1116,67),0)</f>
        <v/>
      </c>
      <c r="BR1116">
        <f>IFERROR(INDEX(PP_Grid[#Data],$DD1116,68),0)</f>
        <v/>
      </c>
      <c r="BS1116">
        <f>IFERROR(INDEX(PP_Grid[#Data],$DD1116,69),0)</f>
        <v/>
      </c>
      <c r="BT1116">
        <f>IFERROR(INDEX(PP_Grid[#Data],$DD1116,70),0)</f>
        <v/>
      </c>
      <c r="BU1116">
        <f>IFERROR(INDEX(PP_Grid[#Data],$DD1116,71),0)</f>
        <v/>
      </c>
      <c r="BV1116">
        <f>IFERROR(INDEX(PP_Grid[#Data],$DD1116,72),0)</f>
        <v/>
      </c>
      <c r="BW1116">
        <f>IFERROR(INDEX(PP_Grid[#Data],$DD1116,73),0)</f>
        <v/>
      </c>
      <c r="BX1116">
        <f>IFERROR(INDEX(PP_Grid[#Data],$DD1116,74),0)</f>
        <v/>
      </c>
      <c r="BY1116">
        <f>IFERROR(INDEX(PP_Grid[#Data],$DD1116,75),0)</f>
        <v/>
      </c>
      <c r="BZ1116">
        <f>IFERROR(INDEX(PP_Grid[#Data],$DD1116,76),0)</f>
        <v/>
      </c>
      <c r="CA1116">
        <f>IFERROR(INDEX(PP_Grid[#Data],$DD1116,77),0)</f>
        <v/>
      </c>
      <c r="CB1116">
        <f>IFERROR(INDEX(PP_Grid[#Data],$DD1116,78),0)</f>
        <v/>
      </c>
      <c r="CC1116">
        <f>IFERROR(INDEX(PP_Grid[#Data],$DD1116,79),0)</f>
        <v/>
      </c>
      <c r="CD1116">
        <f>IFERROR(INDEX(PP_Grid[#Data],$DD1116,80),0)</f>
        <v/>
      </c>
      <c r="CE1116">
        <f>IFERROR(INDEX(PP_Grid[#Data],$DD1116,81),0)</f>
        <v/>
      </c>
      <c r="CF1116">
        <f>IFERROR(INDEX(PP_Grid[#Data],$DD1116,82),0)</f>
        <v/>
      </c>
      <c r="CG1116">
        <f>IFERROR(INDEX(PP_Grid[#Data],$DD1116,83),0)</f>
        <v/>
      </c>
      <c r="CH1116">
        <f>IFERROR(INDEX(PP_Grid[#Data],$DD1116,84),0)</f>
        <v/>
      </c>
      <c r="CI1116">
        <f>IFERROR(INDEX(PP_Grid[#Data],$DD1116,85),0)</f>
        <v/>
      </c>
      <c r="CJ1116">
        <f>IFERROR(INDEX(PP_Grid[#Data],$DD1116,86),0)</f>
        <v/>
      </c>
      <c r="CK1116">
        <f>IFERROR(INDEX(PP_Grid[#Data],$DD1116,87),0)</f>
        <v/>
      </c>
      <c r="CL1116">
        <f>IFERROR(INDEX(PP_Grid[#Data],$DD1116,88),0)</f>
        <v/>
      </c>
      <c r="CM1116">
        <f>IFERROR(INDEX(PP_Grid[#Data],$DD1116,89),0)</f>
        <v/>
      </c>
      <c r="CN1116">
        <f>IFERROR(INDEX(PP_Grid[#Data],$DD1116,90),0)</f>
        <v/>
      </c>
      <c r="CO1116">
        <f>IFERROR(INDEX(PP_Grid[#Data],$DD1116,91),0)</f>
        <v/>
      </c>
      <c r="CP1116">
        <f>IFERROR(INDEX(PP_Grid[#Data],$DD1116,92),0)</f>
        <v/>
      </c>
      <c r="CQ1116">
        <f>IFERROR(INDEX(PP_Grid[#Data],$DD1116,93),0)</f>
        <v/>
      </c>
      <c r="CR1116">
        <f>IFERROR(INDEX(PP_Grid[#Data],$DD1116,94),0)</f>
        <v/>
      </c>
      <c r="CS1116">
        <f>IFERROR(INDEX(PP_Grid[#Data],$DD1116,95),0)</f>
        <v/>
      </c>
      <c r="CT1116">
        <f>IFERROR(INDEX(PP_Grid[#Data],$DD1116,96),0)</f>
        <v/>
      </c>
      <c r="CU1116">
        <f>IFERROR(INDEX(PP_Grid[#Data],$DD1116,97),0)</f>
        <v/>
      </c>
      <c r="CV1116">
        <f>IFERROR(INDEX(PP_Grid[#Data],$DD1116,98),0)</f>
        <v/>
      </c>
      <c r="CW1116">
        <f>IFERROR(INDEX(PP_Grid[#Data],$DD1116,99),0)</f>
        <v/>
      </c>
      <c r="CX1116">
        <f>IFERROR(INDEX(PP_Grid[#Data],$DD1116,100),0)</f>
        <v/>
      </c>
      <c r="CY1116">
        <f>IFERROR(INDEX(PP_Grid[#Data],$DD1116,101),0)</f>
        <v/>
      </c>
      <c r="CZ1116">
        <f>IFERROR(INDEX(PP_Grid[#Data],$DD1116,102),0)</f>
        <v/>
      </c>
      <c r="DA1116">
        <f>IFERROR(INDEX(PP_Grid[#Data],$DD1116,103),0)</f>
        <v/>
      </c>
      <c r="DB1116">
        <f>IFERROR(INDEX(PP_Grid[#Data],$DD1116,104),0)</f>
        <v/>
      </c>
      <c r="DC1116">
        <f>IFERROR(INDEX(PP_Grid[#Data],$DD1116,105),0)</f>
        <v/>
      </c>
      <c r="DD1116" s="12">
        <f>IFERROR(MATCH($B1116,PP_Grid[Intermediate],0),99999)</f>
        <v/>
      </c>
    </row>
    <row r="1117">
      <c r="B1117" t="inlineStr">
        <is>
          <t>使用量(kg)</t>
        </is>
      </c>
      <c r="C1117">
        <f>SUMIFS(M_BOM[RM_Qty_Per_Batch],M_BOM[Intermediate],$B1116,M_BOM[Part Name],$A1109)</f>
        <v/>
      </c>
      <c r="D1117">
        <f>$C1117*D1116</f>
        <v/>
      </c>
      <c r="E1117">
        <f>$C1117*E1116</f>
        <v/>
      </c>
      <c r="F1117">
        <f>$C1117*F1116</f>
        <v/>
      </c>
      <c r="G1117">
        <f>$C1117*G1116</f>
        <v/>
      </c>
      <c r="H1117">
        <f>$C1117*H1116</f>
        <v/>
      </c>
      <c r="I1117">
        <f>$C1117*I1116</f>
        <v/>
      </c>
      <c r="J1117">
        <f>$C1117*J1116</f>
        <v/>
      </c>
      <c r="K1117">
        <f>$C1117*K1116</f>
        <v/>
      </c>
      <c r="L1117">
        <f>$C1117*L1116</f>
        <v/>
      </c>
      <c r="M1117">
        <f>$C1117*M1116</f>
        <v/>
      </c>
      <c r="N1117">
        <f>$C1117*N1116</f>
        <v/>
      </c>
      <c r="O1117">
        <f>$C1117*O1116</f>
        <v/>
      </c>
      <c r="P1117">
        <f>$C1117*P1116</f>
        <v/>
      </c>
      <c r="Q1117">
        <f>$C1117*Q1116</f>
        <v/>
      </c>
      <c r="R1117">
        <f>$C1117*R1116</f>
        <v/>
      </c>
      <c r="S1117">
        <f>$C1117*S1116</f>
        <v/>
      </c>
      <c r="T1117">
        <f>$C1117*T1116</f>
        <v/>
      </c>
      <c r="U1117">
        <f>$C1117*U1116</f>
        <v/>
      </c>
      <c r="V1117">
        <f>$C1117*V1116</f>
        <v/>
      </c>
      <c r="W1117">
        <f>$C1117*W1116</f>
        <v/>
      </c>
      <c r="X1117">
        <f>$C1117*X1116</f>
        <v/>
      </c>
      <c r="Y1117">
        <f>$C1117*Y1116</f>
        <v/>
      </c>
      <c r="Z1117">
        <f>$C1117*Z1116</f>
        <v/>
      </c>
      <c r="AA1117">
        <f>$C1117*AA1116</f>
        <v/>
      </c>
      <c r="AB1117">
        <f>$C1117*AB1116</f>
        <v/>
      </c>
      <c r="AC1117">
        <f>$C1117*AC1116</f>
        <v/>
      </c>
      <c r="AD1117">
        <f>$C1117*AD1116</f>
        <v/>
      </c>
      <c r="AE1117">
        <f>$C1117*AE1116</f>
        <v/>
      </c>
      <c r="AF1117">
        <f>$C1117*AF1116</f>
        <v/>
      </c>
      <c r="AG1117">
        <f>$C1117*AG1116</f>
        <v/>
      </c>
      <c r="AH1117">
        <f>$C1117*AH1116</f>
        <v/>
      </c>
      <c r="AI1117">
        <f>$C1117*AI1116</f>
        <v/>
      </c>
      <c r="AJ1117">
        <f>$C1117*AJ1116</f>
        <v/>
      </c>
      <c r="AK1117">
        <f>$C1117*AK1116</f>
        <v/>
      </c>
      <c r="AL1117">
        <f>$C1117*AL1116</f>
        <v/>
      </c>
      <c r="AM1117">
        <f>$C1117*AM1116</f>
        <v/>
      </c>
      <c r="AN1117">
        <f>$C1117*AN1116</f>
        <v/>
      </c>
      <c r="AO1117">
        <f>$C1117*AO1116</f>
        <v/>
      </c>
      <c r="AP1117">
        <f>$C1117*AP1116</f>
        <v/>
      </c>
      <c r="AQ1117">
        <f>$C1117*AQ1116</f>
        <v/>
      </c>
      <c r="AR1117">
        <f>$C1117*AR1116</f>
        <v/>
      </c>
      <c r="AS1117">
        <f>$C1117*AS1116</f>
        <v/>
      </c>
      <c r="AT1117">
        <f>$C1117*AT1116</f>
        <v/>
      </c>
      <c r="AU1117">
        <f>$C1117*AU1116</f>
        <v/>
      </c>
      <c r="AV1117">
        <f>$C1117*AV1116</f>
        <v/>
      </c>
      <c r="AW1117">
        <f>$C1117*AW1116</f>
        <v/>
      </c>
      <c r="AX1117">
        <f>$C1117*AX1116</f>
        <v/>
      </c>
      <c r="AY1117">
        <f>$C1117*AY1116</f>
        <v/>
      </c>
      <c r="AZ1117">
        <f>$C1117*AZ1116</f>
        <v/>
      </c>
      <c r="BA1117">
        <f>$C1117*BA1116</f>
        <v/>
      </c>
      <c r="BB1117">
        <f>$C1117*BB1116</f>
        <v/>
      </c>
      <c r="BC1117">
        <f>$C1117*BC1116</f>
        <v/>
      </c>
      <c r="BD1117">
        <f>$C1117*BD1116</f>
        <v/>
      </c>
      <c r="BE1117">
        <f>$C1117*BE1116</f>
        <v/>
      </c>
      <c r="BF1117">
        <f>$C1117*BF1116</f>
        <v/>
      </c>
      <c r="BG1117">
        <f>$C1117*BG1116</f>
        <v/>
      </c>
      <c r="BH1117">
        <f>$C1117*BH1116</f>
        <v/>
      </c>
      <c r="BI1117">
        <f>$C1117*BI1116</f>
        <v/>
      </c>
      <c r="BJ1117">
        <f>$C1117*BJ1116</f>
        <v/>
      </c>
      <c r="BK1117">
        <f>$C1117*BK1116</f>
        <v/>
      </c>
      <c r="BL1117">
        <f>$C1117*BL1116</f>
        <v/>
      </c>
      <c r="BM1117">
        <f>$C1117*BM1116</f>
        <v/>
      </c>
      <c r="BN1117">
        <f>$C1117*BN1116</f>
        <v/>
      </c>
      <c r="BO1117">
        <f>$C1117*BO1116</f>
        <v/>
      </c>
      <c r="BP1117">
        <f>$C1117*BP1116</f>
        <v/>
      </c>
      <c r="BQ1117">
        <f>$C1117*BQ1116</f>
        <v/>
      </c>
      <c r="BR1117">
        <f>$C1117*BR1116</f>
        <v/>
      </c>
      <c r="BS1117">
        <f>$C1117*BS1116</f>
        <v/>
      </c>
      <c r="BT1117">
        <f>$C1117*BT1116</f>
        <v/>
      </c>
      <c r="BU1117">
        <f>$C1117*BU1116</f>
        <v/>
      </c>
      <c r="BV1117">
        <f>$C1117*BV1116</f>
        <v/>
      </c>
      <c r="BW1117">
        <f>$C1117*BW1116</f>
        <v/>
      </c>
      <c r="BX1117">
        <f>$C1117*BX1116</f>
        <v/>
      </c>
      <c r="BY1117">
        <f>$C1117*BY1116</f>
        <v/>
      </c>
      <c r="BZ1117">
        <f>$C1117*BZ1116</f>
        <v/>
      </c>
      <c r="CA1117">
        <f>$C1117*CA1116</f>
        <v/>
      </c>
      <c r="CB1117">
        <f>$C1117*CB1116</f>
        <v/>
      </c>
      <c r="CC1117">
        <f>$C1117*CC1116</f>
        <v/>
      </c>
      <c r="CD1117">
        <f>$C1117*CD1116</f>
        <v/>
      </c>
      <c r="CE1117">
        <f>$C1117*CE1116</f>
        <v/>
      </c>
      <c r="CF1117">
        <f>$C1117*CF1116</f>
        <v/>
      </c>
      <c r="CG1117">
        <f>$C1117*CG1116</f>
        <v/>
      </c>
      <c r="CH1117">
        <f>$C1117*CH1116</f>
        <v/>
      </c>
      <c r="CI1117">
        <f>$C1117*CI1116</f>
        <v/>
      </c>
      <c r="CJ1117">
        <f>$C1117*CJ1116</f>
        <v/>
      </c>
      <c r="CK1117">
        <f>$C1117*CK1116</f>
        <v/>
      </c>
      <c r="CL1117">
        <f>$C1117*CL1116</f>
        <v/>
      </c>
      <c r="CM1117">
        <f>$C1117*CM1116</f>
        <v/>
      </c>
      <c r="CN1117">
        <f>$C1117*CN1116</f>
        <v/>
      </c>
      <c r="CO1117">
        <f>$C1117*CO1116</f>
        <v/>
      </c>
      <c r="CP1117">
        <f>$C1117*CP1116</f>
        <v/>
      </c>
      <c r="CQ1117">
        <f>$C1117*CQ1116</f>
        <v/>
      </c>
      <c r="CR1117">
        <f>$C1117*CR1116</f>
        <v/>
      </c>
      <c r="CS1117">
        <f>$C1117*CS1116</f>
        <v/>
      </c>
      <c r="CT1117">
        <f>$C1117*CT1116</f>
        <v/>
      </c>
      <c r="CU1117">
        <f>$C1117*CU1116</f>
        <v/>
      </c>
      <c r="CV1117">
        <f>$C1117*CV1116</f>
        <v/>
      </c>
      <c r="CW1117">
        <f>$C1117*CW1116</f>
        <v/>
      </c>
      <c r="CX1117">
        <f>$C1117*CX1116</f>
        <v/>
      </c>
      <c r="CY1117">
        <f>$C1117*CY1116</f>
        <v/>
      </c>
      <c r="CZ1117">
        <f>$C1117*CZ1116</f>
        <v/>
      </c>
      <c r="DA1117">
        <f>$C1117*DA1116</f>
        <v/>
      </c>
      <c r="DB1117">
        <f>$C1117*DB1116</f>
        <v/>
      </c>
      <c r="DC1117">
        <f>$C1117*DC1116</f>
        <v/>
      </c>
    </row>
    <row r="1118">
      <c r="B1118" s="5" t="inlineStr">
        <is>
          <t>合計使用量(kg)/週</t>
        </is>
      </c>
      <c r="D1118">
        <f>'Grid_Requirement'!B49</f>
        <v/>
      </c>
      <c r="E1118">
        <f>'Grid_Requirement'!C49</f>
        <v/>
      </c>
      <c r="F1118">
        <f>'Grid_Requirement'!D49</f>
        <v/>
      </c>
      <c r="G1118">
        <f>'Grid_Requirement'!E49</f>
        <v/>
      </c>
      <c r="H1118">
        <f>'Grid_Requirement'!F49</f>
        <v/>
      </c>
      <c r="I1118">
        <f>'Grid_Requirement'!G49</f>
        <v/>
      </c>
      <c r="J1118">
        <f>'Grid_Requirement'!H49</f>
        <v/>
      </c>
      <c r="K1118">
        <f>'Grid_Requirement'!I49</f>
        <v/>
      </c>
      <c r="L1118">
        <f>'Grid_Requirement'!J49</f>
        <v/>
      </c>
      <c r="M1118">
        <f>'Grid_Requirement'!K49</f>
        <v/>
      </c>
      <c r="N1118">
        <f>'Grid_Requirement'!L49</f>
        <v/>
      </c>
      <c r="O1118">
        <f>'Grid_Requirement'!M49</f>
        <v/>
      </c>
      <c r="P1118">
        <f>'Grid_Requirement'!N49</f>
        <v/>
      </c>
      <c r="Q1118">
        <f>'Grid_Requirement'!O49</f>
        <v/>
      </c>
      <c r="R1118">
        <f>'Grid_Requirement'!P49</f>
        <v/>
      </c>
      <c r="S1118">
        <f>'Grid_Requirement'!Q49</f>
        <v/>
      </c>
      <c r="T1118">
        <f>'Grid_Requirement'!R49</f>
        <v/>
      </c>
      <c r="U1118">
        <f>'Grid_Requirement'!S49</f>
        <v/>
      </c>
      <c r="V1118">
        <f>'Grid_Requirement'!T49</f>
        <v/>
      </c>
      <c r="W1118">
        <f>'Grid_Requirement'!U49</f>
        <v/>
      </c>
      <c r="X1118">
        <f>'Grid_Requirement'!V49</f>
        <v/>
      </c>
      <c r="Y1118">
        <f>'Grid_Requirement'!W49</f>
        <v/>
      </c>
      <c r="Z1118">
        <f>'Grid_Requirement'!X49</f>
        <v/>
      </c>
      <c r="AA1118">
        <f>'Grid_Requirement'!Y49</f>
        <v/>
      </c>
      <c r="AB1118">
        <f>'Grid_Requirement'!Z49</f>
        <v/>
      </c>
      <c r="AC1118">
        <f>'Grid_Requirement'!AA49</f>
        <v/>
      </c>
      <c r="AD1118">
        <f>'Grid_Requirement'!AB49</f>
        <v/>
      </c>
      <c r="AE1118">
        <f>'Grid_Requirement'!AC49</f>
        <v/>
      </c>
      <c r="AF1118">
        <f>'Grid_Requirement'!AD49</f>
        <v/>
      </c>
      <c r="AG1118">
        <f>'Grid_Requirement'!AE49</f>
        <v/>
      </c>
      <c r="AH1118">
        <f>'Grid_Requirement'!AF49</f>
        <v/>
      </c>
      <c r="AI1118">
        <f>'Grid_Requirement'!AG49</f>
        <v/>
      </c>
      <c r="AJ1118">
        <f>'Grid_Requirement'!AH49</f>
        <v/>
      </c>
      <c r="AK1118">
        <f>'Grid_Requirement'!AI49</f>
        <v/>
      </c>
      <c r="AL1118">
        <f>'Grid_Requirement'!AJ49</f>
        <v/>
      </c>
      <c r="AM1118">
        <f>'Grid_Requirement'!AK49</f>
        <v/>
      </c>
      <c r="AN1118">
        <f>'Grid_Requirement'!AL49</f>
        <v/>
      </c>
      <c r="AO1118">
        <f>'Grid_Requirement'!AM49</f>
        <v/>
      </c>
      <c r="AP1118">
        <f>'Grid_Requirement'!AN49</f>
        <v/>
      </c>
      <c r="AQ1118">
        <f>'Grid_Requirement'!AO49</f>
        <v/>
      </c>
      <c r="AR1118">
        <f>'Grid_Requirement'!AP49</f>
        <v/>
      </c>
      <c r="AS1118">
        <f>'Grid_Requirement'!AQ49</f>
        <v/>
      </c>
      <c r="AT1118">
        <f>'Grid_Requirement'!AR49</f>
        <v/>
      </c>
      <c r="AU1118">
        <f>'Grid_Requirement'!AS49</f>
        <v/>
      </c>
      <c r="AV1118">
        <f>'Grid_Requirement'!AT49</f>
        <v/>
      </c>
      <c r="AW1118">
        <f>'Grid_Requirement'!AU49</f>
        <v/>
      </c>
      <c r="AX1118">
        <f>'Grid_Requirement'!AV49</f>
        <v/>
      </c>
      <c r="AY1118">
        <f>'Grid_Requirement'!AW49</f>
        <v/>
      </c>
      <c r="AZ1118">
        <f>'Grid_Requirement'!AX49</f>
        <v/>
      </c>
      <c r="BA1118">
        <f>'Grid_Requirement'!AY49</f>
        <v/>
      </c>
      <c r="BB1118">
        <f>'Grid_Requirement'!AZ49</f>
        <v/>
      </c>
      <c r="BC1118">
        <f>'Grid_Requirement'!BA49</f>
        <v/>
      </c>
      <c r="BD1118">
        <f>'Grid_Requirement'!BB49</f>
        <v/>
      </c>
      <c r="BE1118">
        <f>'Grid_Requirement'!BC49</f>
        <v/>
      </c>
      <c r="BF1118">
        <f>'Grid_Requirement'!BD49</f>
        <v/>
      </c>
      <c r="BG1118">
        <f>'Grid_Requirement'!BE49</f>
        <v/>
      </c>
      <c r="BH1118">
        <f>'Grid_Requirement'!BF49</f>
        <v/>
      </c>
      <c r="BI1118">
        <f>'Grid_Requirement'!BG49</f>
        <v/>
      </c>
      <c r="BJ1118">
        <f>'Grid_Requirement'!BH49</f>
        <v/>
      </c>
      <c r="BK1118">
        <f>'Grid_Requirement'!BI49</f>
        <v/>
      </c>
      <c r="BL1118">
        <f>'Grid_Requirement'!BJ49</f>
        <v/>
      </c>
      <c r="BM1118">
        <f>'Grid_Requirement'!BK49</f>
        <v/>
      </c>
      <c r="BN1118">
        <f>'Grid_Requirement'!BL49</f>
        <v/>
      </c>
      <c r="BO1118">
        <f>'Grid_Requirement'!BM49</f>
        <v/>
      </c>
      <c r="BP1118">
        <f>'Grid_Requirement'!BN49</f>
        <v/>
      </c>
      <c r="BQ1118">
        <f>'Grid_Requirement'!BO49</f>
        <v/>
      </c>
      <c r="BR1118">
        <f>'Grid_Requirement'!BP49</f>
        <v/>
      </c>
      <c r="BS1118">
        <f>'Grid_Requirement'!BQ49</f>
        <v/>
      </c>
      <c r="BT1118">
        <f>'Grid_Requirement'!BR49</f>
        <v/>
      </c>
      <c r="BU1118">
        <f>'Grid_Requirement'!BS49</f>
        <v/>
      </c>
      <c r="BV1118">
        <f>'Grid_Requirement'!BT49</f>
        <v/>
      </c>
      <c r="BW1118">
        <f>'Grid_Requirement'!BU49</f>
        <v/>
      </c>
      <c r="BX1118">
        <f>'Grid_Requirement'!BV49</f>
        <v/>
      </c>
      <c r="BY1118">
        <f>'Grid_Requirement'!BW49</f>
        <v/>
      </c>
      <c r="BZ1118">
        <f>'Grid_Requirement'!BX49</f>
        <v/>
      </c>
      <c r="CA1118">
        <f>'Grid_Requirement'!BY49</f>
        <v/>
      </c>
      <c r="CB1118">
        <f>'Grid_Requirement'!BZ49</f>
        <v/>
      </c>
      <c r="CC1118">
        <f>'Grid_Requirement'!CA49</f>
        <v/>
      </c>
      <c r="CD1118">
        <f>'Grid_Requirement'!CB49</f>
        <v/>
      </c>
      <c r="CE1118">
        <f>'Grid_Requirement'!CC49</f>
        <v/>
      </c>
      <c r="CF1118">
        <f>'Grid_Requirement'!CD49</f>
        <v/>
      </c>
      <c r="CG1118">
        <f>'Grid_Requirement'!CE49</f>
        <v/>
      </c>
      <c r="CH1118">
        <f>'Grid_Requirement'!CF49</f>
        <v/>
      </c>
      <c r="CI1118">
        <f>'Grid_Requirement'!CG49</f>
        <v/>
      </c>
      <c r="CJ1118">
        <f>'Grid_Requirement'!CH49</f>
        <v/>
      </c>
      <c r="CK1118">
        <f>'Grid_Requirement'!CI49</f>
        <v/>
      </c>
      <c r="CL1118">
        <f>'Grid_Requirement'!CJ49</f>
        <v/>
      </c>
      <c r="CM1118">
        <f>'Grid_Requirement'!CK49</f>
        <v/>
      </c>
      <c r="CN1118">
        <f>'Grid_Requirement'!CL49</f>
        <v/>
      </c>
      <c r="CO1118">
        <f>'Grid_Requirement'!CM49</f>
        <v/>
      </c>
      <c r="CP1118">
        <f>'Grid_Requirement'!CN49</f>
        <v/>
      </c>
      <c r="CQ1118">
        <f>'Grid_Requirement'!CO49</f>
        <v/>
      </c>
      <c r="CR1118">
        <f>'Grid_Requirement'!CP49</f>
        <v/>
      </c>
      <c r="CS1118">
        <f>'Grid_Requirement'!CQ49</f>
        <v/>
      </c>
      <c r="CT1118">
        <f>'Grid_Requirement'!CR49</f>
        <v/>
      </c>
      <c r="CU1118">
        <f>'Grid_Requirement'!CS49</f>
        <v/>
      </c>
      <c r="CV1118">
        <f>'Grid_Requirement'!CT49</f>
        <v/>
      </c>
      <c r="CW1118">
        <f>'Grid_Requirement'!CU49</f>
        <v/>
      </c>
      <c r="CX1118">
        <f>'Grid_Requirement'!CV49</f>
        <v/>
      </c>
      <c r="CY1118">
        <f>'Grid_Requirement'!CW49</f>
        <v/>
      </c>
      <c r="CZ1118">
        <f>'Grid_Requirement'!CX49</f>
        <v/>
      </c>
      <c r="DA1118">
        <f>'Grid_Requirement'!CY49</f>
        <v/>
      </c>
      <c r="DB1118">
        <f>'Grid_Requirement'!CZ49</f>
        <v/>
      </c>
      <c r="DC1118">
        <f>'Grid_Requirement'!DA49</f>
        <v/>
      </c>
    </row>
    <row r="1119">
      <c r="B1119" t="inlineStr">
        <is>
          <t>TTAF在庫(実績,kg)</t>
        </is>
      </c>
      <c r="D1119">
        <f>'T_TTAFStock'!B53</f>
        <v/>
      </c>
      <c r="E1119">
        <f>'T_TTAFStock'!C53</f>
        <v/>
      </c>
      <c r="F1119">
        <f>'T_TTAFStock'!D53</f>
        <v/>
      </c>
      <c r="G1119">
        <f>'T_TTAFStock'!E53</f>
        <v/>
      </c>
      <c r="H1119">
        <f>'T_TTAFStock'!F53</f>
        <v/>
      </c>
      <c r="I1119">
        <f>'T_TTAFStock'!G53</f>
        <v/>
      </c>
      <c r="J1119">
        <f>'T_TTAFStock'!H53</f>
        <v/>
      </c>
      <c r="K1119">
        <f>'T_TTAFStock'!I53</f>
        <v/>
      </c>
      <c r="L1119">
        <f>'T_TTAFStock'!J53</f>
        <v/>
      </c>
      <c r="M1119">
        <f>'T_TTAFStock'!K53</f>
        <v/>
      </c>
      <c r="N1119">
        <f>'T_TTAFStock'!L53</f>
        <v/>
      </c>
      <c r="O1119">
        <f>'T_TTAFStock'!M53</f>
        <v/>
      </c>
      <c r="P1119">
        <f>'T_TTAFStock'!N53</f>
        <v/>
      </c>
      <c r="Q1119">
        <f>'T_TTAFStock'!O53</f>
        <v/>
      </c>
      <c r="R1119">
        <f>'T_TTAFStock'!P53</f>
        <v/>
      </c>
      <c r="S1119">
        <f>'T_TTAFStock'!Q53</f>
        <v/>
      </c>
      <c r="T1119">
        <f>'T_TTAFStock'!R53</f>
        <v/>
      </c>
      <c r="U1119">
        <f>'T_TTAFStock'!S53</f>
        <v/>
      </c>
      <c r="V1119">
        <f>'T_TTAFStock'!T53</f>
        <v/>
      </c>
      <c r="W1119">
        <f>'T_TTAFStock'!U53</f>
        <v/>
      </c>
      <c r="X1119">
        <f>'T_TTAFStock'!V53</f>
        <v/>
      </c>
      <c r="Y1119">
        <f>'T_TTAFStock'!W53</f>
        <v/>
      </c>
      <c r="Z1119">
        <f>'T_TTAFStock'!X53</f>
        <v/>
      </c>
      <c r="AA1119">
        <f>'T_TTAFStock'!Y53</f>
        <v/>
      </c>
      <c r="AB1119">
        <f>'T_TTAFStock'!Z53</f>
        <v/>
      </c>
      <c r="AC1119">
        <f>'T_TTAFStock'!AA53</f>
        <v/>
      </c>
      <c r="AD1119">
        <f>'T_TTAFStock'!AB53</f>
        <v/>
      </c>
      <c r="AE1119">
        <f>'T_TTAFStock'!AC53</f>
        <v/>
      </c>
      <c r="AF1119">
        <f>'T_TTAFStock'!AD53</f>
        <v/>
      </c>
      <c r="AG1119">
        <f>'T_TTAFStock'!AE53</f>
        <v/>
      </c>
      <c r="AH1119">
        <f>'T_TTAFStock'!AF53</f>
        <v/>
      </c>
      <c r="AI1119">
        <f>'T_TTAFStock'!AG53</f>
        <v/>
      </c>
      <c r="AJ1119">
        <f>'T_TTAFStock'!AH53</f>
        <v/>
      </c>
      <c r="AK1119">
        <f>'T_TTAFStock'!AI53</f>
        <v/>
      </c>
      <c r="AL1119">
        <f>'T_TTAFStock'!AJ53</f>
        <v/>
      </c>
      <c r="AM1119">
        <f>'T_TTAFStock'!AK53</f>
        <v/>
      </c>
      <c r="AN1119">
        <f>'T_TTAFStock'!AL53</f>
        <v/>
      </c>
      <c r="AO1119">
        <f>'T_TTAFStock'!AM53</f>
        <v/>
      </c>
      <c r="AP1119">
        <f>'T_TTAFStock'!AN53</f>
        <v/>
      </c>
      <c r="AQ1119">
        <f>'T_TTAFStock'!AO53</f>
        <v/>
      </c>
      <c r="AR1119">
        <f>'T_TTAFStock'!AP53</f>
        <v/>
      </c>
      <c r="AS1119">
        <f>'T_TTAFStock'!AQ53</f>
        <v/>
      </c>
      <c r="AT1119">
        <f>'T_TTAFStock'!AR53</f>
        <v/>
      </c>
      <c r="AU1119">
        <f>'T_TTAFStock'!AS53</f>
        <v/>
      </c>
      <c r="AV1119">
        <f>'T_TTAFStock'!AT53</f>
        <v/>
      </c>
      <c r="AW1119">
        <f>'T_TTAFStock'!AU53</f>
        <v/>
      </c>
      <c r="AX1119">
        <f>'T_TTAFStock'!AV53</f>
        <v/>
      </c>
      <c r="AY1119">
        <f>'T_TTAFStock'!AW53</f>
        <v/>
      </c>
      <c r="AZ1119">
        <f>'T_TTAFStock'!AX53</f>
        <v/>
      </c>
      <c r="BA1119">
        <f>'T_TTAFStock'!AY53</f>
        <v/>
      </c>
      <c r="BB1119">
        <f>'T_TTAFStock'!AZ53</f>
        <v/>
      </c>
      <c r="BC1119">
        <f>'T_TTAFStock'!BA53</f>
        <v/>
      </c>
      <c r="BD1119">
        <f>'T_TTAFStock'!BB53</f>
        <v/>
      </c>
      <c r="BE1119">
        <f>'T_TTAFStock'!BC53</f>
        <v/>
      </c>
      <c r="BF1119">
        <f>'T_TTAFStock'!BD53</f>
        <v/>
      </c>
      <c r="BG1119">
        <f>'T_TTAFStock'!BE53</f>
        <v/>
      </c>
      <c r="BH1119">
        <f>'T_TTAFStock'!BF53</f>
        <v/>
      </c>
      <c r="BI1119">
        <f>'T_TTAFStock'!BG53</f>
        <v/>
      </c>
      <c r="BJ1119">
        <f>'T_TTAFStock'!BH53</f>
        <v/>
      </c>
      <c r="BK1119">
        <f>'T_TTAFStock'!BI53</f>
        <v/>
      </c>
      <c r="BL1119">
        <f>'T_TTAFStock'!BJ53</f>
        <v/>
      </c>
      <c r="BM1119">
        <f>'T_TTAFStock'!BK53</f>
        <v/>
      </c>
      <c r="BN1119">
        <f>'T_TTAFStock'!BL53</f>
        <v/>
      </c>
      <c r="BO1119">
        <f>'T_TTAFStock'!BM53</f>
        <v/>
      </c>
      <c r="BP1119">
        <f>'T_TTAFStock'!BN53</f>
        <v/>
      </c>
      <c r="BQ1119">
        <f>'T_TTAFStock'!BO53</f>
        <v/>
      </c>
      <c r="BR1119">
        <f>'T_TTAFStock'!BP53</f>
        <v/>
      </c>
      <c r="BS1119">
        <f>'T_TTAFStock'!BQ53</f>
        <v/>
      </c>
      <c r="BT1119">
        <f>'T_TTAFStock'!BR53</f>
        <v/>
      </c>
      <c r="BU1119">
        <f>'T_TTAFStock'!BS53</f>
        <v/>
      </c>
      <c r="BV1119">
        <f>'T_TTAFStock'!BT53</f>
        <v/>
      </c>
      <c r="BW1119">
        <f>'T_TTAFStock'!BU53</f>
        <v/>
      </c>
      <c r="BX1119">
        <f>'T_TTAFStock'!BV53</f>
        <v/>
      </c>
      <c r="BY1119">
        <f>'T_TTAFStock'!BW53</f>
        <v/>
      </c>
      <c r="BZ1119">
        <f>'T_TTAFStock'!BX53</f>
        <v/>
      </c>
      <c r="CA1119">
        <f>'T_TTAFStock'!BY53</f>
        <v/>
      </c>
      <c r="CB1119">
        <f>'T_TTAFStock'!BZ53</f>
        <v/>
      </c>
      <c r="CC1119">
        <f>'T_TTAFStock'!CA53</f>
        <v/>
      </c>
      <c r="CD1119">
        <f>'T_TTAFStock'!CB53</f>
        <v/>
      </c>
      <c r="CE1119">
        <f>'T_TTAFStock'!CC53</f>
        <v/>
      </c>
      <c r="CF1119">
        <f>'T_TTAFStock'!CD53</f>
        <v/>
      </c>
      <c r="CG1119">
        <f>'T_TTAFStock'!CE53</f>
        <v/>
      </c>
      <c r="CH1119">
        <f>'T_TTAFStock'!CF53</f>
        <v/>
      </c>
      <c r="CI1119">
        <f>'T_TTAFStock'!CG53</f>
        <v/>
      </c>
      <c r="CJ1119">
        <f>'T_TTAFStock'!CH53</f>
        <v/>
      </c>
      <c r="CK1119">
        <f>'T_TTAFStock'!CI53</f>
        <v/>
      </c>
      <c r="CL1119">
        <f>'T_TTAFStock'!CJ53</f>
        <v/>
      </c>
      <c r="CM1119">
        <f>'T_TTAFStock'!CK53</f>
        <v/>
      </c>
      <c r="CN1119">
        <f>'T_TTAFStock'!CL53</f>
        <v/>
      </c>
      <c r="CO1119">
        <f>'T_TTAFStock'!CM53</f>
        <v/>
      </c>
      <c r="CP1119">
        <f>'T_TTAFStock'!CN53</f>
        <v/>
      </c>
      <c r="CQ1119">
        <f>'T_TTAFStock'!CO53</f>
        <v/>
      </c>
      <c r="CR1119">
        <f>'T_TTAFStock'!CP53</f>
        <v/>
      </c>
      <c r="CS1119">
        <f>'T_TTAFStock'!CQ53</f>
        <v/>
      </c>
      <c r="CT1119">
        <f>'T_TTAFStock'!CR53</f>
        <v/>
      </c>
      <c r="CU1119">
        <f>'T_TTAFStock'!CS53</f>
        <v/>
      </c>
      <c r="CV1119">
        <f>'T_TTAFStock'!CT53</f>
        <v/>
      </c>
      <c r="CW1119">
        <f>'T_TTAFStock'!CU53</f>
        <v/>
      </c>
      <c r="CX1119">
        <f>'T_TTAFStock'!CV53</f>
        <v/>
      </c>
      <c r="CY1119">
        <f>'T_TTAFStock'!CW53</f>
        <v/>
      </c>
      <c r="CZ1119">
        <f>'T_TTAFStock'!CX53</f>
        <v/>
      </c>
      <c r="DA1119">
        <f>'T_TTAFStock'!CY53</f>
        <v/>
      </c>
      <c r="DB1119">
        <f>'T_TTAFStock'!CZ53</f>
        <v/>
      </c>
      <c r="DC1119">
        <f>'T_TTAFStock'!DA53</f>
        <v/>
      </c>
    </row>
    <row r="1120">
      <c r="B1120" t="inlineStr">
        <is>
          <t>自社在庫(実績,kg)</t>
        </is>
      </c>
      <c r="D1120">
        <f>'T_SelfStock'!B53</f>
        <v/>
      </c>
      <c r="E1120">
        <f>'T_SelfStock'!C53</f>
        <v/>
      </c>
      <c r="F1120">
        <f>'T_SelfStock'!D53</f>
        <v/>
      </c>
      <c r="G1120">
        <f>'T_SelfStock'!E53</f>
        <v/>
      </c>
      <c r="H1120">
        <f>'T_SelfStock'!F53</f>
        <v/>
      </c>
      <c r="I1120">
        <f>'T_SelfStock'!G53</f>
        <v/>
      </c>
      <c r="J1120">
        <f>'T_SelfStock'!H53</f>
        <v/>
      </c>
      <c r="K1120">
        <f>'T_SelfStock'!I53</f>
        <v/>
      </c>
      <c r="L1120">
        <f>'T_SelfStock'!J53</f>
        <v/>
      </c>
      <c r="M1120">
        <f>'T_SelfStock'!K53</f>
        <v/>
      </c>
      <c r="N1120">
        <f>'T_SelfStock'!L53</f>
        <v/>
      </c>
      <c r="O1120">
        <f>'T_SelfStock'!M53</f>
        <v/>
      </c>
      <c r="P1120">
        <f>'T_SelfStock'!N53</f>
        <v/>
      </c>
      <c r="Q1120">
        <f>'T_SelfStock'!O53</f>
        <v/>
      </c>
      <c r="R1120">
        <f>'T_SelfStock'!P53</f>
        <v/>
      </c>
      <c r="S1120">
        <f>'T_SelfStock'!Q53</f>
        <v/>
      </c>
      <c r="T1120">
        <f>'T_SelfStock'!R53</f>
        <v/>
      </c>
      <c r="U1120">
        <f>'T_SelfStock'!S53</f>
        <v/>
      </c>
      <c r="V1120">
        <f>'T_SelfStock'!T53</f>
        <v/>
      </c>
      <c r="W1120">
        <f>'T_SelfStock'!U53</f>
        <v/>
      </c>
      <c r="X1120">
        <f>'T_SelfStock'!V53</f>
        <v/>
      </c>
      <c r="Y1120">
        <f>'T_SelfStock'!W53</f>
        <v/>
      </c>
      <c r="Z1120">
        <f>'T_SelfStock'!X53</f>
        <v/>
      </c>
      <c r="AA1120">
        <f>'T_SelfStock'!Y53</f>
        <v/>
      </c>
      <c r="AB1120">
        <f>'T_SelfStock'!Z53</f>
        <v/>
      </c>
      <c r="AC1120">
        <f>'T_SelfStock'!AA53</f>
        <v/>
      </c>
      <c r="AD1120">
        <f>'T_SelfStock'!AB53</f>
        <v/>
      </c>
      <c r="AE1120">
        <f>'T_SelfStock'!AC53</f>
        <v/>
      </c>
      <c r="AF1120">
        <f>'T_SelfStock'!AD53</f>
        <v/>
      </c>
      <c r="AG1120">
        <f>'T_SelfStock'!AE53</f>
        <v/>
      </c>
      <c r="AH1120">
        <f>'T_SelfStock'!AF53</f>
        <v/>
      </c>
      <c r="AI1120">
        <f>'T_SelfStock'!AG53</f>
        <v/>
      </c>
      <c r="AJ1120">
        <f>'T_SelfStock'!AH53</f>
        <v/>
      </c>
      <c r="AK1120">
        <f>'T_SelfStock'!AI53</f>
        <v/>
      </c>
      <c r="AL1120">
        <f>'T_SelfStock'!AJ53</f>
        <v/>
      </c>
      <c r="AM1120">
        <f>'T_SelfStock'!AK53</f>
        <v/>
      </c>
      <c r="AN1120">
        <f>'T_SelfStock'!AL53</f>
        <v/>
      </c>
      <c r="AO1120">
        <f>'T_SelfStock'!AM53</f>
        <v/>
      </c>
      <c r="AP1120">
        <f>'T_SelfStock'!AN53</f>
        <v/>
      </c>
      <c r="AQ1120">
        <f>'T_SelfStock'!AO53</f>
        <v/>
      </c>
      <c r="AR1120">
        <f>'T_SelfStock'!AP53</f>
        <v/>
      </c>
      <c r="AS1120">
        <f>'T_SelfStock'!AQ53</f>
        <v/>
      </c>
      <c r="AT1120">
        <f>'T_SelfStock'!AR53</f>
        <v/>
      </c>
      <c r="AU1120">
        <f>'T_SelfStock'!AS53</f>
        <v/>
      </c>
      <c r="AV1120">
        <f>'T_SelfStock'!AT53</f>
        <v/>
      </c>
      <c r="AW1120">
        <f>'T_SelfStock'!AU53</f>
        <v/>
      </c>
      <c r="AX1120">
        <f>'T_SelfStock'!AV53</f>
        <v/>
      </c>
      <c r="AY1120">
        <f>'T_SelfStock'!AW53</f>
        <v/>
      </c>
      <c r="AZ1120">
        <f>'T_SelfStock'!AX53</f>
        <v/>
      </c>
      <c r="BA1120">
        <f>'T_SelfStock'!AY53</f>
        <v/>
      </c>
      <c r="BB1120">
        <f>'T_SelfStock'!AZ53</f>
        <v/>
      </c>
      <c r="BC1120">
        <f>'T_SelfStock'!BA53</f>
        <v/>
      </c>
      <c r="BD1120">
        <f>'T_SelfStock'!BB53</f>
        <v/>
      </c>
      <c r="BE1120">
        <f>'T_SelfStock'!BC53</f>
        <v/>
      </c>
      <c r="BF1120">
        <f>'T_SelfStock'!BD53</f>
        <v/>
      </c>
      <c r="BG1120">
        <f>'T_SelfStock'!BE53</f>
        <v/>
      </c>
      <c r="BH1120">
        <f>'T_SelfStock'!BF53</f>
        <v/>
      </c>
      <c r="BI1120">
        <f>'T_SelfStock'!BG53</f>
        <v/>
      </c>
      <c r="BJ1120">
        <f>'T_SelfStock'!BH53</f>
        <v/>
      </c>
      <c r="BK1120">
        <f>'T_SelfStock'!BI53</f>
        <v/>
      </c>
      <c r="BL1120">
        <f>'T_SelfStock'!BJ53</f>
        <v/>
      </c>
      <c r="BM1120">
        <f>'T_SelfStock'!BK53</f>
        <v/>
      </c>
      <c r="BN1120">
        <f>'T_SelfStock'!BL53</f>
        <v/>
      </c>
      <c r="BO1120">
        <f>'T_SelfStock'!BM53</f>
        <v/>
      </c>
      <c r="BP1120">
        <f>'T_SelfStock'!BN53</f>
        <v/>
      </c>
      <c r="BQ1120">
        <f>'T_SelfStock'!BO53</f>
        <v/>
      </c>
      <c r="BR1120">
        <f>'T_SelfStock'!BP53</f>
        <v/>
      </c>
      <c r="BS1120">
        <f>'T_SelfStock'!BQ53</f>
        <v/>
      </c>
      <c r="BT1120">
        <f>'T_SelfStock'!BR53</f>
        <v/>
      </c>
      <c r="BU1120">
        <f>'T_SelfStock'!BS53</f>
        <v/>
      </c>
      <c r="BV1120">
        <f>'T_SelfStock'!BT53</f>
        <v/>
      </c>
      <c r="BW1120">
        <f>'T_SelfStock'!BU53</f>
        <v/>
      </c>
      <c r="BX1120">
        <f>'T_SelfStock'!BV53</f>
        <v/>
      </c>
      <c r="BY1120">
        <f>'T_SelfStock'!BW53</f>
        <v/>
      </c>
      <c r="BZ1120">
        <f>'T_SelfStock'!BX53</f>
        <v/>
      </c>
      <c r="CA1120">
        <f>'T_SelfStock'!BY53</f>
        <v/>
      </c>
      <c r="CB1120">
        <f>'T_SelfStock'!BZ53</f>
        <v/>
      </c>
      <c r="CC1120">
        <f>'T_SelfStock'!CA53</f>
        <v/>
      </c>
      <c r="CD1120">
        <f>'T_SelfStock'!CB53</f>
        <v/>
      </c>
      <c r="CE1120">
        <f>'T_SelfStock'!CC53</f>
        <v/>
      </c>
      <c r="CF1120">
        <f>'T_SelfStock'!CD53</f>
        <v/>
      </c>
      <c r="CG1120">
        <f>'T_SelfStock'!CE53</f>
        <v/>
      </c>
      <c r="CH1120">
        <f>'T_SelfStock'!CF53</f>
        <v/>
      </c>
      <c r="CI1120">
        <f>'T_SelfStock'!CG53</f>
        <v/>
      </c>
      <c r="CJ1120">
        <f>'T_SelfStock'!CH53</f>
        <v/>
      </c>
      <c r="CK1120">
        <f>'T_SelfStock'!CI53</f>
        <v/>
      </c>
      <c r="CL1120">
        <f>'T_SelfStock'!CJ53</f>
        <v/>
      </c>
      <c r="CM1120">
        <f>'T_SelfStock'!CK53</f>
        <v/>
      </c>
      <c r="CN1120">
        <f>'T_SelfStock'!CL53</f>
        <v/>
      </c>
      <c r="CO1120">
        <f>'T_SelfStock'!CM53</f>
        <v/>
      </c>
      <c r="CP1120">
        <f>'T_SelfStock'!CN53</f>
        <v/>
      </c>
      <c r="CQ1120">
        <f>'T_SelfStock'!CO53</f>
        <v/>
      </c>
      <c r="CR1120">
        <f>'T_SelfStock'!CP53</f>
        <v/>
      </c>
      <c r="CS1120">
        <f>'T_SelfStock'!CQ53</f>
        <v/>
      </c>
      <c r="CT1120">
        <f>'T_SelfStock'!CR53</f>
        <v/>
      </c>
      <c r="CU1120">
        <f>'T_SelfStock'!CS53</f>
        <v/>
      </c>
      <c r="CV1120">
        <f>'T_SelfStock'!CT53</f>
        <v/>
      </c>
      <c r="CW1120">
        <f>'T_SelfStock'!CU53</f>
        <v/>
      </c>
      <c r="CX1120">
        <f>'T_SelfStock'!CV53</f>
        <v/>
      </c>
      <c r="CY1120">
        <f>'T_SelfStock'!CW53</f>
        <v/>
      </c>
      <c r="CZ1120">
        <f>'T_SelfStock'!CX53</f>
        <v/>
      </c>
      <c r="DA1120">
        <f>'T_SelfStock'!CY53</f>
        <v/>
      </c>
      <c r="DB1120">
        <f>'T_SelfStock'!CZ53</f>
        <v/>
      </c>
      <c r="DC1120">
        <f>'T_SelfStock'!DA53</f>
        <v/>
      </c>
    </row>
    <row r="1121">
      <c r="B1121" t="inlineStr">
        <is>
          <t>Order(発注予定,kg)</t>
        </is>
      </c>
      <c r="D1121">
        <f>IF(SUMIFS(T_PlannedOrders[EffectiveQty],T_PlannedOrders[Part Name],$A1109,T_PlannedOrders[WeekIndex],1)=0,"",SUMIFS(T_PlannedOrders[EffectiveQty],T_PlannedOrders[Part Name],$A1109,T_PlannedOrders[WeekIndex],1)&amp;" ("&amp;TEXT(SUMPRODUCT(MAX((T_PlannedOrders[Part Name]=$A1109)*(T_PlannedOrders[WeekIndex]=1)*(T_PlannedOrders[EffectiveQty]&gt;0)*T_PlannedOrders[Order_Month])),"m月")&amp;"発注)")</f>
        <v/>
      </c>
      <c r="E1121">
        <f>IF(SUMIFS(T_PlannedOrders[EffectiveQty],T_PlannedOrders[Part Name],$A1109,T_PlannedOrders[WeekIndex],2)=0,"",SUMIFS(T_PlannedOrders[EffectiveQty],T_PlannedOrders[Part Name],$A1109,T_PlannedOrders[WeekIndex],2)&amp;" ("&amp;TEXT(SUMPRODUCT(MAX((T_PlannedOrders[Part Name]=$A1109)*(T_PlannedOrders[WeekIndex]=2)*(T_PlannedOrders[EffectiveQty]&gt;0)*T_PlannedOrders[Order_Month])),"m月")&amp;"発注)")</f>
        <v/>
      </c>
      <c r="F1121">
        <f>IF(SUMIFS(T_PlannedOrders[EffectiveQty],T_PlannedOrders[Part Name],$A1109,T_PlannedOrders[WeekIndex],3)=0,"",SUMIFS(T_PlannedOrders[EffectiveQty],T_PlannedOrders[Part Name],$A1109,T_PlannedOrders[WeekIndex],3)&amp;" ("&amp;TEXT(SUMPRODUCT(MAX((T_PlannedOrders[Part Name]=$A1109)*(T_PlannedOrders[WeekIndex]=3)*(T_PlannedOrders[EffectiveQty]&gt;0)*T_PlannedOrders[Order_Month])),"m月")&amp;"発注)")</f>
        <v/>
      </c>
      <c r="G1121">
        <f>IF(SUMIFS(T_PlannedOrders[EffectiveQty],T_PlannedOrders[Part Name],$A1109,T_PlannedOrders[WeekIndex],4)=0,"",SUMIFS(T_PlannedOrders[EffectiveQty],T_PlannedOrders[Part Name],$A1109,T_PlannedOrders[WeekIndex],4)&amp;" ("&amp;TEXT(SUMPRODUCT(MAX((T_PlannedOrders[Part Name]=$A1109)*(T_PlannedOrders[WeekIndex]=4)*(T_PlannedOrders[EffectiveQty]&gt;0)*T_PlannedOrders[Order_Month])),"m月")&amp;"発注)")</f>
        <v/>
      </c>
      <c r="H1121">
        <f>IF(SUMIFS(T_PlannedOrders[EffectiveQty],T_PlannedOrders[Part Name],$A1109,T_PlannedOrders[WeekIndex],5)=0,"",SUMIFS(T_PlannedOrders[EffectiveQty],T_PlannedOrders[Part Name],$A1109,T_PlannedOrders[WeekIndex],5)&amp;" ("&amp;TEXT(SUMPRODUCT(MAX((T_PlannedOrders[Part Name]=$A1109)*(T_PlannedOrders[WeekIndex]=5)*(T_PlannedOrders[EffectiveQty]&gt;0)*T_PlannedOrders[Order_Month])),"m月")&amp;"発注)")</f>
        <v/>
      </c>
      <c r="I1121">
        <f>IF(SUMIFS(T_PlannedOrders[EffectiveQty],T_PlannedOrders[Part Name],$A1109,T_PlannedOrders[WeekIndex],6)=0,"",SUMIFS(T_PlannedOrders[EffectiveQty],T_PlannedOrders[Part Name],$A1109,T_PlannedOrders[WeekIndex],6)&amp;" ("&amp;TEXT(SUMPRODUCT(MAX((T_PlannedOrders[Part Name]=$A1109)*(T_PlannedOrders[WeekIndex]=6)*(T_PlannedOrders[EffectiveQty]&gt;0)*T_PlannedOrders[Order_Month])),"m月")&amp;"発注)")</f>
        <v/>
      </c>
      <c r="J1121">
        <f>IF(SUMIFS(T_PlannedOrders[EffectiveQty],T_PlannedOrders[Part Name],$A1109,T_PlannedOrders[WeekIndex],7)=0,"",SUMIFS(T_PlannedOrders[EffectiveQty],T_PlannedOrders[Part Name],$A1109,T_PlannedOrders[WeekIndex],7)&amp;" ("&amp;TEXT(SUMPRODUCT(MAX((T_PlannedOrders[Part Name]=$A1109)*(T_PlannedOrders[WeekIndex]=7)*(T_PlannedOrders[EffectiveQty]&gt;0)*T_PlannedOrders[Order_Month])),"m月")&amp;"発注)")</f>
        <v/>
      </c>
      <c r="K1121">
        <f>IF(SUMIFS(T_PlannedOrders[EffectiveQty],T_PlannedOrders[Part Name],$A1109,T_PlannedOrders[WeekIndex],8)=0,"",SUMIFS(T_PlannedOrders[EffectiveQty],T_PlannedOrders[Part Name],$A1109,T_PlannedOrders[WeekIndex],8)&amp;" ("&amp;TEXT(SUMPRODUCT(MAX((T_PlannedOrders[Part Name]=$A1109)*(T_PlannedOrders[WeekIndex]=8)*(T_PlannedOrders[EffectiveQty]&gt;0)*T_PlannedOrders[Order_Month])),"m月")&amp;"発注)")</f>
        <v/>
      </c>
      <c r="L1121">
        <f>IF(SUMIFS(T_PlannedOrders[EffectiveQty],T_PlannedOrders[Part Name],$A1109,T_PlannedOrders[WeekIndex],9)=0,"",SUMIFS(T_PlannedOrders[EffectiveQty],T_PlannedOrders[Part Name],$A1109,T_PlannedOrders[WeekIndex],9)&amp;" ("&amp;TEXT(SUMPRODUCT(MAX((T_PlannedOrders[Part Name]=$A1109)*(T_PlannedOrders[WeekIndex]=9)*(T_PlannedOrders[EffectiveQty]&gt;0)*T_PlannedOrders[Order_Month])),"m月")&amp;"発注)")</f>
        <v/>
      </c>
      <c r="M1121">
        <f>IF(SUMIFS(T_PlannedOrders[EffectiveQty],T_PlannedOrders[Part Name],$A1109,T_PlannedOrders[WeekIndex],10)=0,"",SUMIFS(T_PlannedOrders[EffectiveQty],T_PlannedOrders[Part Name],$A1109,T_PlannedOrders[WeekIndex],10)&amp;" ("&amp;TEXT(SUMPRODUCT(MAX((T_PlannedOrders[Part Name]=$A1109)*(T_PlannedOrders[WeekIndex]=10)*(T_PlannedOrders[EffectiveQty]&gt;0)*T_PlannedOrders[Order_Month])),"m月")&amp;"発注)")</f>
        <v/>
      </c>
      <c r="N1121">
        <f>IF(SUMIFS(T_PlannedOrders[EffectiveQty],T_PlannedOrders[Part Name],$A1109,T_PlannedOrders[WeekIndex],11)=0,"",SUMIFS(T_PlannedOrders[EffectiveQty],T_PlannedOrders[Part Name],$A1109,T_PlannedOrders[WeekIndex],11)&amp;" ("&amp;TEXT(SUMPRODUCT(MAX((T_PlannedOrders[Part Name]=$A1109)*(T_PlannedOrders[WeekIndex]=11)*(T_PlannedOrders[EffectiveQty]&gt;0)*T_PlannedOrders[Order_Month])),"m月")&amp;"発注)")</f>
        <v/>
      </c>
      <c r="O1121">
        <f>IF(SUMIFS(T_PlannedOrders[EffectiveQty],T_PlannedOrders[Part Name],$A1109,T_PlannedOrders[WeekIndex],12)=0,"",SUMIFS(T_PlannedOrders[EffectiveQty],T_PlannedOrders[Part Name],$A1109,T_PlannedOrders[WeekIndex],12)&amp;" ("&amp;TEXT(SUMPRODUCT(MAX((T_PlannedOrders[Part Name]=$A1109)*(T_PlannedOrders[WeekIndex]=12)*(T_PlannedOrders[EffectiveQty]&gt;0)*T_PlannedOrders[Order_Month])),"m月")&amp;"発注)")</f>
        <v/>
      </c>
      <c r="P1121">
        <f>IF(SUMIFS(T_PlannedOrders[EffectiveQty],T_PlannedOrders[Part Name],$A1109,T_PlannedOrders[WeekIndex],13)=0,"",SUMIFS(T_PlannedOrders[EffectiveQty],T_PlannedOrders[Part Name],$A1109,T_PlannedOrders[WeekIndex],13)&amp;" ("&amp;TEXT(SUMPRODUCT(MAX((T_PlannedOrders[Part Name]=$A1109)*(T_PlannedOrders[WeekIndex]=13)*(T_PlannedOrders[EffectiveQty]&gt;0)*T_PlannedOrders[Order_Month])),"m月")&amp;"発注)")</f>
        <v/>
      </c>
      <c r="Q1121">
        <f>IF(SUMIFS(T_PlannedOrders[EffectiveQty],T_PlannedOrders[Part Name],$A1109,T_PlannedOrders[WeekIndex],14)=0,"",SUMIFS(T_PlannedOrders[EffectiveQty],T_PlannedOrders[Part Name],$A1109,T_PlannedOrders[WeekIndex],14)&amp;" ("&amp;TEXT(SUMPRODUCT(MAX((T_PlannedOrders[Part Name]=$A1109)*(T_PlannedOrders[WeekIndex]=14)*(T_PlannedOrders[EffectiveQty]&gt;0)*T_PlannedOrders[Order_Month])),"m月")&amp;"発注)")</f>
        <v/>
      </c>
      <c r="R1121">
        <f>IF(SUMIFS(T_PlannedOrders[EffectiveQty],T_PlannedOrders[Part Name],$A1109,T_PlannedOrders[WeekIndex],15)=0,"",SUMIFS(T_PlannedOrders[EffectiveQty],T_PlannedOrders[Part Name],$A1109,T_PlannedOrders[WeekIndex],15)&amp;" ("&amp;TEXT(SUMPRODUCT(MAX((T_PlannedOrders[Part Name]=$A1109)*(T_PlannedOrders[WeekIndex]=15)*(T_PlannedOrders[EffectiveQty]&gt;0)*T_PlannedOrders[Order_Month])),"m月")&amp;"発注)")</f>
        <v/>
      </c>
      <c r="S1121">
        <f>IF(SUMIFS(T_PlannedOrders[EffectiveQty],T_PlannedOrders[Part Name],$A1109,T_PlannedOrders[WeekIndex],16)=0,"",SUMIFS(T_PlannedOrders[EffectiveQty],T_PlannedOrders[Part Name],$A1109,T_PlannedOrders[WeekIndex],16)&amp;" ("&amp;TEXT(SUMPRODUCT(MAX((T_PlannedOrders[Part Name]=$A1109)*(T_PlannedOrders[WeekIndex]=16)*(T_PlannedOrders[EffectiveQty]&gt;0)*T_PlannedOrders[Order_Month])),"m月")&amp;"発注)")</f>
        <v/>
      </c>
      <c r="T1121">
        <f>IF(SUMIFS(T_PlannedOrders[EffectiveQty],T_PlannedOrders[Part Name],$A1109,T_PlannedOrders[WeekIndex],17)=0,"",SUMIFS(T_PlannedOrders[EffectiveQty],T_PlannedOrders[Part Name],$A1109,T_PlannedOrders[WeekIndex],17)&amp;" ("&amp;TEXT(SUMPRODUCT(MAX((T_PlannedOrders[Part Name]=$A1109)*(T_PlannedOrders[WeekIndex]=17)*(T_PlannedOrders[EffectiveQty]&gt;0)*T_PlannedOrders[Order_Month])),"m月")&amp;"発注)")</f>
        <v/>
      </c>
      <c r="U1121">
        <f>IF(SUMIFS(T_PlannedOrders[EffectiveQty],T_PlannedOrders[Part Name],$A1109,T_PlannedOrders[WeekIndex],18)=0,"",SUMIFS(T_PlannedOrders[EffectiveQty],T_PlannedOrders[Part Name],$A1109,T_PlannedOrders[WeekIndex],18)&amp;" ("&amp;TEXT(SUMPRODUCT(MAX((T_PlannedOrders[Part Name]=$A1109)*(T_PlannedOrders[WeekIndex]=18)*(T_PlannedOrders[EffectiveQty]&gt;0)*T_PlannedOrders[Order_Month])),"m月")&amp;"発注)")</f>
        <v/>
      </c>
      <c r="V1121">
        <f>IF(SUMIFS(T_PlannedOrders[EffectiveQty],T_PlannedOrders[Part Name],$A1109,T_PlannedOrders[WeekIndex],19)=0,"",SUMIFS(T_PlannedOrders[EffectiveQty],T_PlannedOrders[Part Name],$A1109,T_PlannedOrders[WeekIndex],19)&amp;" ("&amp;TEXT(SUMPRODUCT(MAX((T_PlannedOrders[Part Name]=$A1109)*(T_PlannedOrders[WeekIndex]=19)*(T_PlannedOrders[EffectiveQty]&gt;0)*T_PlannedOrders[Order_Month])),"m月")&amp;"発注)")</f>
        <v/>
      </c>
      <c r="W1121">
        <f>IF(SUMIFS(T_PlannedOrders[EffectiveQty],T_PlannedOrders[Part Name],$A1109,T_PlannedOrders[WeekIndex],20)=0,"",SUMIFS(T_PlannedOrders[EffectiveQty],T_PlannedOrders[Part Name],$A1109,T_PlannedOrders[WeekIndex],20)&amp;" ("&amp;TEXT(SUMPRODUCT(MAX((T_PlannedOrders[Part Name]=$A1109)*(T_PlannedOrders[WeekIndex]=20)*(T_PlannedOrders[EffectiveQty]&gt;0)*T_PlannedOrders[Order_Month])),"m月")&amp;"発注)")</f>
        <v/>
      </c>
      <c r="X1121">
        <f>IF(SUMIFS(T_PlannedOrders[EffectiveQty],T_PlannedOrders[Part Name],$A1109,T_PlannedOrders[WeekIndex],21)=0,"",SUMIFS(T_PlannedOrders[EffectiveQty],T_PlannedOrders[Part Name],$A1109,T_PlannedOrders[WeekIndex],21)&amp;" ("&amp;TEXT(SUMPRODUCT(MAX((T_PlannedOrders[Part Name]=$A1109)*(T_PlannedOrders[WeekIndex]=21)*(T_PlannedOrders[EffectiveQty]&gt;0)*T_PlannedOrders[Order_Month])),"m月")&amp;"発注)")</f>
        <v/>
      </c>
      <c r="Y1121">
        <f>IF(SUMIFS(T_PlannedOrders[EffectiveQty],T_PlannedOrders[Part Name],$A1109,T_PlannedOrders[WeekIndex],22)=0,"",SUMIFS(T_PlannedOrders[EffectiveQty],T_PlannedOrders[Part Name],$A1109,T_PlannedOrders[WeekIndex],22)&amp;" ("&amp;TEXT(SUMPRODUCT(MAX((T_PlannedOrders[Part Name]=$A1109)*(T_PlannedOrders[WeekIndex]=22)*(T_PlannedOrders[EffectiveQty]&gt;0)*T_PlannedOrders[Order_Month])),"m月")&amp;"発注)")</f>
        <v/>
      </c>
      <c r="Z1121">
        <f>IF(SUMIFS(T_PlannedOrders[EffectiveQty],T_PlannedOrders[Part Name],$A1109,T_PlannedOrders[WeekIndex],23)=0,"",SUMIFS(T_PlannedOrders[EffectiveQty],T_PlannedOrders[Part Name],$A1109,T_PlannedOrders[WeekIndex],23)&amp;" ("&amp;TEXT(SUMPRODUCT(MAX((T_PlannedOrders[Part Name]=$A1109)*(T_PlannedOrders[WeekIndex]=23)*(T_PlannedOrders[EffectiveQty]&gt;0)*T_PlannedOrders[Order_Month])),"m月")&amp;"発注)")</f>
        <v/>
      </c>
      <c r="AA1121">
        <f>IF(SUMIFS(T_PlannedOrders[EffectiveQty],T_PlannedOrders[Part Name],$A1109,T_PlannedOrders[WeekIndex],24)=0,"",SUMIFS(T_PlannedOrders[EffectiveQty],T_PlannedOrders[Part Name],$A1109,T_PlannedOrders[WeekIndex],24)&amp;" ("&amp;TEXT(SUMPRODUCT(MAX((T_PlannedOrders[Part Name]=$A1109)*(T_PlannedOrders[WeekIndex]=24)*(T_PlannedOrders[EffectiveQty]&gt;0)*T_PlannedOrders[Order_Month])),"m月")&amp;"発注)")</f>
        <v/>
      </c>
      <c r="AB1121">
        <f>IF(SUMIFS(T_PlannedOrders[EffectiveQty],T_PlannedOrders[Part Name],$A1109,T_PlannedOrders[WeekIndex],25)=0,"",SUMIFS(T_PlannedOrders[EffectiveQty],T_PlannedOrders[Part Name],$A1109,T_PlannedOrders[WeekIndex],25)&amp;" ("&amp;TEXT(SUMPRODUCT(MAX((T_PlannedOrders[Part Name]=$A1109)*(T_PlannedOrders[WeekIndex]=25)*(T_PlannedOrders[EffectiveQty]&gt;0)*T_PlannedOrders[Order_Month])),"m月")&amp;"発注)")</f>
        <v/>
      </c>
      <c r="AC1121">
        <f>IF(SUMIFS(T_PlannedOrders[EffectiveQty],T_PlannedOrders[Part Name],$A1109,T_PlannedOrders[WeekIndex],26)=0,"",SUMIFS(T_PlannedOrders[EffectiveQty],T_PlannedOrders[Part Name],$A1109,T_PlannedOrders[WeekIndex],26)&amp;" ("&amp;TEXT(SUMPRODUCT(MAX((T_PlannedOrders[Part Name]=$A1109)*(T_PlannedOrders[WeekIndex]=26)*(T_PlannedOrders[EffectiveQty]&gt;0)*T_PlannedOrders[Order_Month])),"m月")&amp;"発注)")</f>
        <v/>
      </c>
      <c r="AD1121">
        <f>IF(SUMIFS(T_PlannedOrders[EffectiveQty],T_PlannedOrders[Part Name],$A1109,T_PlannedOrders[WeekIndex],27)=0,"",SUMIFS(T_PlannedOrders[EffectiveQty],T_PlannedOrders[Part Name],$A1109,T_PlannedOrders[WeekIndex],27)&amp;" ("&amp;TEXT(SUMPRODUCT(MAX((T_PlannedOrders[Part Name]=$A1109)*(T_PlannedOrders[WeekIndex]=27)*(T_PlannedOrders[EffectiveQty]&gt;0)*T_PlannedOrders[Order_Month])),"m月")&amp;"発注)")</f>
        <v/>
      </c>
      <c r="AE1121">
        <f>IF(SUMIFS(T_PlannedOrders[EffectiveQty],T_PlannedOrders[Part Name],$A1109,T_PlannedOrders[WeekIndex],28)=0,"",SUMIFS(T_PlannedOrders[EffectiveQty],T_PlannedOrders[Part Name],$A1109,T_PlannedOrders[WeekIndex],28)&amp;" ("&amp;TEXT(SUMPRODUCT(MAX((T_PlannedOrders[Part Name]=$A1109)*(T_PlannedOrders[WeekIndex]=28)*(T_PlannedOrders[EffectiveQty]&gt;0)*T_PlannedOrders[Order_Month])),"m月")&amp;"発注)")</f>
        <v/>
      </c>
      <c r="AF1121">
        <f>IF(SUMIFS(T_PlannedOrders[EffectiveQty],T_PlannedOrders[Part Name],$A1109,T_PlannedOrders[WeekIndex],29)=0,"",SUMIFS(T_PlannedOrders[EffectiveQty],T_PlannedOrders[Part Name],$A1109,T_PlannedOrders[WeekIndex],29)&amp;" ("&amp;TEXT(SUMPRODUCT(MAX((T_PlannedOrders[Part Name]=$A1109)*(T_PlannedOrders[WeekIndex]=29)*(T_PlannedOrders[EffectiveQty]&gt;0)*T_PlannedOrders[Order_Month])),"m月")&amp;"発注)")</f>
        <v/>
      </c>
      <c r="AG1121">
        <f>IF(SUMIFS(T_PlannedOrders[EffectiveQty],T_PlannedOrders[Part Name],$A1109,T_PlannedOrders[WeekIndex],30)=0,"",SUMIFS(T_PlannedOrders[EffectiveQty],T_PlannedOrders[Part Name],$A1109,T_PlannedOrders[WeekIndex],30)&amp;" ("&amp;TEXT(SUMPRODUCT(MAX((T_PlannedOrders[Part Name]=$A1109)*(T_PlannedOrders[WeekIndex]=30)*(T_PlannedOrders[EffectiveQty]&gt;0)*T_PlannedOrders[Order_Month])),"m月")&amp;"発注)")</f>
        <v/>
      </c>
      <c r="AH1121">
        <f>IF(SUMIFS(T_PlannedOrders[EffectiveQty],T_PlannedOrders[Part Name],$A1109,T_PlannedOrders[WeekIndex],31)=0,"",SUMIFS(T_PlannedOrders[EffectiveQty],T_PlannedOrders[Part Name],$A1109,T_PlannedOrders[WeekIndex],31)&amp;" ("&amp;TEXT(SUMPRODUCT(MAX((T_PlannedOrders[Part Name]=$A1109)*(T_PlannedOrders[WeekIndex]=31)*(T_PlannedOrders[EffectiveQty]&gt;0)*T_PlannedOrders[Order_Month])),"m月")&amp;"発注)")</f>
        <v/>
      </c>
      <c r="AI1121">
        <f>IF(SUMIFS(T_PlannedOrders[EffectiveQty],T_PlannedOrders[Part Name],$A1109,T_PlannedOrders[WeekIndex],32)=0,"",SUMIFS(T_PlannedOrders[EffectiveQty],T_PlannedOrders[Part Name],$A1109,T_PlannedOrders[WeekIndex],32)&amp;" ("&amp;TEXT(SUMPRODUCT(MAX((T_PlannedOrders[Part Name]=$A1109)*(T_PlannedOrders[WeekIndex]=32)*(T_PlannedOrders[EffectiveQty]&gt;0)*T_PlannedOrders[Order_Month])),"m月")&amp;"発注)")</f>
        <v/>
      </c>
      <c r="AJ1121">
        <f>IF(SUMIFS(T_PlannedOrders[EffectiveQty],T_PlannedOrders[Part Name],$A1109,T_PlannedOrders[WeekIndex],33)=0,"",SUMIFS(T_PlannedOrders[EffectiveQty],T_PlannedOrders[Part Name],$A1109,T_PlannedOrders[WeekIndex],33)&amp;" ("&amp;TEXT(SUMPRODUCT(MAX((T_PlannedOrders[Part Name]=$A1109)*(T_PlannedOrders[WeekIndex]=33)*(T_PlannedOrders[EffectiveQty]&gt;0)*T_PlannedOrders[Order_Month])),"m月")&amp;"発注)")</f>
        <v/>
      </c>
      <c r="AK1121">
        <f>IF(SUMIFS(T_PlannedOrders[EffectiveQty],T_PlannedOrders[Part Name],$A1109,T_PlannedOrders[WeekIndex],34)=0,"",SUMIFS(T_PlannedOrders[EffectiveQty],T_PlannedOrders[Part Name],$A1109,T_PlannedOrders[WeekIndex],34)&amp;" ("&amp;TEXT(SUMPRODUCT(MAX((T_PlannedOrders[Part Name]=$A1109)*(T_PlannedOrders[WeekIndex]=34)*(T_PlannedOrders[EffectiveQty]&gt;0)*T_PlannedOrders[Order_Month])),"m月")&amp;"発注)")</f>
        <v/>
      </c>
      <c r="AL1121">
        <f>IF(SUMIFS(T_PlannedOrders[EffectiveQty],T_PlannedOrders[Part Name],$A1109,T_PlannedOrders[WeekIndex],35)=0,"",SUMIFS(T_PlannedOrders[EffectiveQty],T_PlannedOrders[Part Name],$A1109,T_PlannedOrders[WeekIndex],35)&amp;" ("&amp;TEXT(SUMPRODUCT(MAX((T_PlannedOrders[Part Name]=$A1109)*(T_PlannedOrders[WeekIndex]=35)*(T_PlannedOrders[EffectiveQty]&gt;0)*T_PlannedOrders[Order_Month])),"m月")&amp;"発注)")</f>
        <v/>
      </c>
      <c r="AM1121">
        <f>IF(SUMIFS(T_PlannedOrders[EffectiveQty],T_PlannedOrders[Part Name],$A1109,T_PlannedOrders[WeekIndex],36)=0,"",SUMIFS(T_PlannedOrders[EffectiveQty],T_PlannedOrders[Part Name],$A1109,T_PlannedOrders[WeekIndex],36)&amp;" ("&amp;TEXT(SUMPRODUCT(MAX((T_PlannedOrders[Part Name]=$A1109)*(T_PlannedOrders[WeekIndex]=36)*(T_PlannedOrders[EffectiveQty]&gt;0)*T_PlannedOrders[Order_Month])),"m月")&amp;"発注)")</f>
        <v/>
      </c>
      <c r="AN1121">
        <f>IF(SUMIFS(T_PlannedOrders[EffectiveQty],T_PlannedOrders[Part Name],$A1109,T_PlannedOrders[WeekIndex],37)=0,"",SUMIFS(T_PlannedOrders[EffectiveQty],T_PlannedOrders[Part Name],$A1109,T_PlannedOrders[WeekIndex],37)&amp;" ("&amp;TEXT(SUMPRODUCT(MAX((T_PlannedOrders[Part Name]=$A1109)*(T_PlannedOrders[WeekIndex]=37)*(T_PlannedOrders[EffectiveQty]&gt;0)*T_PlannedOrders[Order_Month])),"m月")&amp;"発注)")</f>
        <v/>
      </c>
      <c r="AO1121">
        <f>IF(SUMIFS(T_PlannedOrders[EffectiveQty],T_PlannedOrders[Part Name],$A1109,T_PlannedOrders[WeekIndex],38)=0,"",SUMIFS(T_PlannedOrders[EffectiveQty],T_PlannedOrders[Part Name],$A1109,T_PlannedOrders[WeekIndex],38)&amp;" ("&amp;TEXT(SUMPRODUCT(MAX((T_PlannedOrders[Part Name]=$A1109)*(T_PlannedOrders[WeekIndex]=38)*(T_PlannedOrders[EffectiveQty]&gt;0)*T_PlannedOrders[Order_Month])),"m月")&amp;"発注)")</f>
        <v/>
      </c>
      <c r="AP1121">
        <f>IF(SUMIFS(T_PlannedOrders[EffectiveQty],T_PlannedOrders[Part Name],$A1109,T_PlannedOrders[WeekIndex],39)=0,"",SUMIFS(T_PlannedOrders[EffectiveQty],T_PlannedOrders[Part Name],$A1109,T_PlannedOrders[WeekIndex],39)&amp;" ("&amp;TEXT(SUMPRODUCT(MAX((T_PlannedOrders[Part Name]=$A1109)*(T_PlannedOrders[WeekIndex]=39)*(T_PlannedOrders[EffectiveQty]&gt;0)*T_PlannedOrders[Order_Month])),"m月")&amp;"発注)")</f>
        <v/>
      </c>
      <c r="AQ1121">
        <f>IF(SUMIFS(T_PlannedOrders[EffectiveQty],T_PlannedOrders[Part Name],$A1109,T_PlannedOrders[WeekIndex],40)=0,"",SUMIFS(T_PlannedOrders[EffectiveQty],T_PlannedOrders[Part Name],$A1109,T_PlannedOrders[WeekIndex],40)&amp;" ("&amp;TEXT(SUMPRODUCT(MAX((T_PlannedOrders[Part Name]=$A1109)*(T_PlannedOrders[WeekIndex]=40)*(T_PlannedOrders[EffectiveQty]&gt;0)*T_PlannedOrders[Order_Month])),"m月")&amp;"発注)")</f>
        <v/>
      </c>
      <c r="AR1121">
        <f>IF(SUMIFS(T_PlannedOrders[EffectiveQty],T_PlannedOrders[Part Name],$A1109,T_PlannedOrders[WeekIndex],41)=0,"",SUMIFS(T_PlannedOrders[EffectiveQty],T_PlannedOrders[Part Name],$A1109,T_PlannedOrders[WeekIndex],41)&amp;" ("&amp;TEXT(SUMPRODUCT(MAX((T_PlannedOrders[Part Name]=$A1109)*(T_PlannedOrders[WeekIndex]=41)*(T_PlannedOrders[EffectiveQty]&gt;0)*T_PlannedOrders[Order_Month])),"m月")&amp;"発注)")</f>
        <v/>
      </c>
      <c r="AS1121">
        <f>IF(SUMIFS(T_PlannedOrders[EffectiveQty],T_PlannedOrders[Part Name],$A1109,T_PlannedOrders[WeekIndex],42)=0,"",SUMIFS(T_PlannedOrders[EffectiveQty],T_PlannedOrders[Part Name],$A1109,T_PlannedOrders[WeekIndex],42)&amp;" ("&amp;TEXT(SUMPRODUCT(MAX((T_PlannedOrders[Part Name]=$A1109)*(T_PlannedOrders[WeekIndex]=42)*(T_PlannedOrders[EffectiveQty]&gt;0)*T_PlannedOrders[Order_Month])),"m月")&amp;"発注)")</f>
        <v/>
      </c>
      <c r="AT1121">
        <f>IF(SUMIFS(T_PlannedOrders[EffectiveQty],T_PlannedOrders[Part Name],$A1109,T_PlannedOrders[WeekIndex],43)=0,"",SUMIFS(T_PlannedOrders[EffectiveQty],T_PlannedOrders[Part Name],$A1109,T_PlannedOrders[WeekIndex],43)&amp;" ("&amp;TEXT(SUMPRODUCT(MAX((T_PlannedOrders[Part Name]=$A1109)*(T_PlannedOrders[WeekIndex]=43)*(T_PlannedOrders[EffectiveQty]&gt;0)*T_PlannedOrders[Order_Month])),"m月")&amp;"発注)")</f>
        <v/>
      </c>
      <c r="AU1121">
        <f>IF(SUMIFS(T_PlannedOrders[EffectiveQty],T_PlannedOrders[Part Name],$A1109,T_PlannedOrders[WeekIndex],44)=0,"",SUMIFS(T_PlannedOrders[EffectiveQty],T_PlannedOrders[Part Name],$A1109,T_PlannedOrders[WeekIndex],44)&amp;" ("&amp;TEXT(SUMPRODUCT(MAX((T_PlannedOrders[Part Name]=$A1109)*(T_PlannedOrders[WeekIndex]=44)*(T_PlannedOrders[EffectiveQty]&gt;0)*T_PlannedOrders[Order_Month])),"m月")&amp;"発注)")</f>
        <v/>
      </c>
      <c r="AV1121">
        <f>IF(SUMIFS(T_PlannedOrders[EffectiveQty],T_PlannedOrders[Part Name],$A1109,T_PlannedOrders[WeekIndex],45)=0,"",SUMIFS(T_PlannedOrders[EffectiveQty],T_PlannedOrders[Part Name],$A1109,T_PlannedOrders[WeekIndex],45)&amp;" ("&amp;TEXT(SUMPRODUCT(MAX((T_PlannedOrders[Part Name]=$A1109)*(T_PlannedOrders[WeekIndex]=45)*(T_PlannedOrders[EffectiveQty]&gt;0)*T_PlannedOrders[Order_Month])),"m月")&amp;"発注)")</f>
        <v/>
      </c>
      <c r="AW1121">
        <f>IF(SUMIFS(T_PlannedOrders[EffectiveQty],T_PlannedOrders[Part Name],$A1109,T_PlannedOrders[WeekIndex],46)=0,"",SUMIFS(T_PlannedOrders[EffectiveQty],T_PlannedOrders[Part Name],$A1109,T_PlannedOrders[WeekIndex],46)&amp;" ("&amp;TEXT(SUMPRODUCT(MAX((T_PlannedOrders[Part Name]=$A1109)*(T_PlannedOrders[WeekIndex]=46)*(T_PlannedOrders[EffectiveQty]&gt;0)*T_PlannedOrders[Order_Month])),"m月")&amp;"発注)")</f>
        <v/>
      </c>
      <c r="AX1121">
        <f>IF(SUMIFS(T_PlannedOrders[EffectiveQty],T_PlannedOrders[Part Name],$A1109,T_PlannedOrders[WeekIndex],47)=0,"",SUMIFS(T_PlannedOrders[EffectiveQty],T_PlannedOrders[Part Name],$A1109,T_PlannedOrders[WeekIndex],47)&amp;" ("&amp;TEXT(SUMPRODUCT(MAX((T_PlannedOrders[Part Name]=$A1109)*(T_PlannedOrders[WeekIndex]=47)*(T_PlannedOrders[EffectiveQty]&gt;0)*T_PlannedOrders[Order_Month])),"m月")&amp;"発注)")</f>
        <v/>
      </c>
      <c r="AY1121">
        <f>IF(SUMIFS(T_PlannedOrders[EffectiveQty],T_PlannedOrders[Part Name],$A1109,T_PlannedOrders[WeekIndex],48)=0,"",SUMIFS(T_PlannedOrders[EffectiveQty],T_PlannedOrders[Part Name],$A1109,T_PlannedOrders[WeekIndex],48)&amp;" ("&amp;TEXT(SUMPRODUCT(MAX((T_PlannedOrders[Part Name]=$A1109)*(T_PlannedOrders[WeekIndex]=48)*(T_PlannedOrders[EffectiveQty]&gt;0)*T_PlannedOrders[Order_Month])),"m月")&amp;"発注)")</f>
        <v/>
      </c>
      <c r="AZ1121">
        <f>IF(SUMIFS(T_PlannedOrders[EffectiveQty],T_PlannedOrders[Part Name],$A1109,T_PlannedOrders[WeekIndex],49)=0,"",SUMIFS(T_PlannedOrders[EffectiveQty],T_PlannedOrders[Part Name],$A1109,T_PlannedOrders[WeekIndex],49)&amp;" ("&amp;TEXT(SUMPRODUCT(MAX((T_PlannedOrders[Part Name]=$A1109)*(T_PlannedOrders[WeekIndex]=49)*(T_PlannedOrders[EffectiveQty]&gt;0)*T_PlannedOrders[Order_Month])),"m月")&amp;"発注)")</f>
        <v/>
      </c>
      <c r="BA1121">
        <f>IF(SUMIFS(T_PlannedOrders[EffectiveQty],T_PlannedOrders[Part Name],$A1109,T_PlannedOrders[WeekIndex],50)=0,"",SUMIFS(T_PlannedOrders[EffectiveQty],T_PlannedOrders[Part Name],$A1109,T_PlannedOrders[WeekIndex],50)&amp;" ("&amp;TEXT(SUMPRODUCT(MAX((T_PlannedOrders[Part Name]=$A1109)*(T_PlannedOrders[WeekIndex]=50)*(T_PlannedOrders[EffectiveQty]&gt;0)*T_PlannedOrders[Order_Month])),"m月")&amp;"発注)")</f>
        <v/>
      </c>
      <c r="BB1121">
        <f>IF(SUMIFS(T_PlannedOrders[EffectiveQty],T_PlannedOrders[Part Name],$A1109,T_PlannedOrders[WeekIndex],51)=0,"",SUMIFS(T_PlannedOrders[EffectiveQty],T_PlannedOrders[Part Name],$A1109,T_PlannedOrders[WeekIndex],51)&amp;" ("&amp;TEXT(SUMPRODUCT(MAX((T_PlannedOrders[Part Name]=$A1109)*(T_PlannedOrders[WeekIndex]=51)*(T_PlannedOrders[EffectiveQty]&gt;0)*T_PlannedOrders[Order_Month])),"m月")&amp;"発注)")</f>
        <v/>
      </c>
      <c r="BC1121">
        <f>IF(SUMIFS(T_PlannedOrders[EffectiveQty],T_PlannedOrders[Part Name],$A1109,T_PlannedOrders[WeekIndex],52)=0,"",SUMIFS(T_PlannedOrders[EffectiveQty],T_PlannedOrders[Part Name],$A1109,T_PlannedOrders[WeekIndex],52)&amp;" ("&amp;TEXT(SUMPRODUCT(MAX((T_PlannedOrders[Part Name]=$A1109)*(T_PlannedOrders[WeekIndex]=52)*(T_PlannedOrders[EffectiveQty]&gt;0)*T_PlannedOrders[Order_Month])),"m月")&amp;"発注)")</f>
        <v/>
      </c>
      <c r="BD1121">
        <f>IF(SUMIFS(T_PlannedOrders[EffectiveQty],T_PlannedOrders[Part Name],$A1109,T_PlannedOrders[WeekIndex],53)=0,"",SUMIFS(T_PlannedOrders[EffectiveQty],T_PlannedOrders[Part Name],$A1109,T_PlannedOrders[WeekIndex],53)&amp;" ("&amp;TEXT(SUMPRODUCT(MAX((T_PlannedOrders[Part Name]=$A1109)*(T_PlannedOrders[WeekIndex]=53)*(T_PlannedOrders[EffectiveQty]&gt;0)*T_PlannedOrders[Order_Month])),"m月")&amp;"発注)")</f>
        <v/>
      </c>
      <c r="BE1121">
        <f>IF(SUMIFS(T_PlannedOrders[EffectiveQty],T_PlannedOrders[Part Name],$A1109,T_PlannedOrders[WeekIndex],54)=0,"",SUMIFS(T_PlannedOrders[EffectiveQty],T_PlannedOrders[Part Name],$A1109,T_PlannedOrders[WeekIndex],54)&amp;" ("&amp;TEXT(SUMPRODUCT(MAX((T_PlannedOrders[Part Name]=$A1109)*(T_PlannedOrders[WeekIndex]=54)*(T_PlannedOrders[EffectiveQty]&gt;0)*T_PlannedOrders[Order_Month])),"m月")&amp;"発注)")</f>
        <v/>
      </c>
      <c r="BF1121">
        <f>IF(SUMIFS(T_PlannedOrders[EffectiveQty],T_PlannedOrders[Part Name],$A1109,T_PlannedOrders[WeekIndex],55)=0,"",SUMIFS(T_PlannedOrders[EffectiveQty],T_PlannedOrders[Part Name],$A1109,T_PlannedOrders[WeekIndex],55)&amp;" ("&amp;TEXT(SUMPRODUCT(MAX((T_PlannedOrders[Part Name]=$A1109)*(T_PlannedOrders[WeekIndex]=55)*(T_PlannedOrders[EffectiveQty]&gt;0)*T_PlannedOrders[Order_Month])),"m月")&amp;"発注)")</f>
        <v/>
      </c>
      <c r="BG1121">
        <f>IF(SUMIFS(T_PlannedOrders[EffectiveQty],T_PlannedOrders[Part Name],$A1109,T_PlannedOrders[WeekIndex],56)=0,"",SUMIFS(T_PlannedOrders[EffectiveQty],T_PlannedOrders[Part Name],$A1109,T_PlannedOrders[WeekIndex],56)&amp;" ("&amp;TEXT(SUMPRODUCT(MAX((T_PlannedOrders[Part Name]=$A1109)*(T_PlannedOrders[WeekIndex]=56)*(T_PlannedOrders[EffectiveQty]&gt;0)*T_PlannedOrders[Order_Month])),"m月")&amp;"発注)")</f>
        <v/>
      </c>
      <c r="BH1121">
        <f>IF(SUMIFS(T_PlannedOrders[EffectiveQty],T_PlannedOrders[Part Name],$A1109,T_PlannedOrders[WeekIndex],57)=0,"",SUMIFS(T_PlannedOrders[EffectiveQty],T_PlannedOrders[Part Name],$A1109,T_PlannedOrders[WeekIndex],57)&amp;" ("&amp;TEXT(SUMPRODUCT(MAX((T_PlannedOrders[Part Name]=$A1109)*(T_PlannedOrders[WeekIndex]=57)*(T_PlannedOrders[EffectiveQty]&gt;0)*T_PlannedOrders[Order_Month])),"m月")&amp;"発注)")</f>
        <v/>
      </c>
      <c r="BI1121">
        <f>IF(SUMIFS(T_PlannedOrders[EffectiveQty],T_PlannedOrders[Part Name],$A1109,T_PlannedOrders[WeekIndex],58)=0,"",SUMIFS(T_PlannedOrders[EffectiveQty],T_PlannedOrders[Part Name],$A1109,T_PlannedOrders[WeekIndex],58)&amp;" ("&amp;TEXT(SUMPRODUCT(MAX((T_PlannedOrders[Part Name]=$A1109)*(T_PlannedOrders[WeekIndex]=58)*(T_PlannedOrders[EffectiveQty]&gt;0)*T_PlannedOrders[Order_Month])),"m月")&amp;"発注)")</f>
        <v/>
      </c>
      <c r="BJ1121">
        <f>IF(SUMIFS(T_PlannedOrders[EffectiveQty],T_PlannedOrders[Part Name],$A1109,T_PlannedOrders[WeekIndex],59)=0,"",SUMIFS(T_PlannedOrders[EffectiveQty],T_PlannedOrders[Part Name],$A1109,T_PlannedOrders[WeekIndex],59)&amp;" ("&amp;TEXT(SUMPRODUCT(MAX((T_PlannedOrders[Part Name]=$A1109)*(T_PlannedOrders[WeekIndex]=59)*(T_PlannedOrders[EffectiveQty]&gt;0)*T_PlannedOrders[Order_Month])),"m月")&amp;"発注)")</f>
        <v/>
      </c>
      <c r="BK1121">
        <f>IF(SUMIFS(T_PlannedOrders[EffectiveQty],T_PlannedOrders[Part Name],$A1109,T_PlannedOrders[WeekIndex],60)=0,"",SUMIFS(T_PlannedOrders[EffectiveQty],T_PlannedOrders[Part Name],$A1109,T_PlannedOrders[WeekIndex],60)&amp;" ("&amp;TEXT(SUMPRODUCT(MAX((T_PlannedOrders[Part Name]=$A1109)*(T_PlannedOrders[WeekIndex]=60)*(T_PlannedOrders[EffectiveQty]&gt;0)*T_PlannedOrders[Order_Month])),"m月")&amp;"発注)")</f>
        <v/>
      </c>
      <c r="BL1121">
        <f>IF(SUMIFS(T_PlannedOrders[EffectiveQty],T_PlannedOrders[Part Name],$A1109,T_PlannedOrders[WeekIndex],61)=0,"",SUMIFS(T_PlannedOrders[EffectiveQty],T_PlannedOrders[Part Name],$A1109,T_PlannedOrders[WeekIndex],61)&amp;" ("&amp;TEXT(SUMPRODUCT(MAX((T_PlannedOrders[Part Name]=$A1109)*(T_PlannedOrders[WeekIndex]=61)*(T_PlannedOrders[EffectiveQty]&gt;0)*T_PlannedOrders[Order_Month])),"m月")&amp;"発注)")</f>
        <v/>
      </c>
      <c r="BM1121">
        <f>IF(SUMIFS(T_PlannedOrders[EffectiveQty],T_PlannedOrders[Part Name],$A1109,T_PlannedOrders[WeekIndex],62)=0,"",SUMIFS(T_PlannedOrders[EffectiveQty],T_PlannedOrders[Part Name],$A1109,T_PlannedOrders[WeekIndex],62)&amp;" ("&amp;TEXT(SUMPRODUCT(MAX((T_PlannedOrders[Part Name]=$A1109)*(T_PlannedOrders[WeekIndex]=62)*(T_PlannedOrders[EffectiveQty]&gt;0)*T_PlannedOrders[Order_Month])),"m月")&amp;"発注)")</f>
        <v/>
      </c>
      <c r="BN1121">
        <f>IF(SUMIFS(T_PlannedOrders[EffectiveQty],T_PlannedOrders[Part Name],$A1109,T_PlannedOrders[WeekIndex],63)=0,"",SUMIFS(T_PlannedOrders[EffectiveQty],T_PlannedOrders[Part Name],$A1109,T_PlannedOrders[WeekIndex],63)&amp;" ("&amp;TEXT(SUMPRODUCT(MAX((T_PlannedOrders[Part Name]=$A1109)*(T_PlannedOrders[WeekIndex]=63)*(T_PlannedOrders[EffectiveQty]&gt;0)*T_PlannedOrders[Order_Month])),"m月")&amp;"発注)")</f>
        <v/>
      </c>
      <c r="BO1121">
        <f>IF(SUMIFS(T_PlannedOrders[EffectiveQty],T_PlannedOrders[Part Name],$A1109,T_PlannedOrders[WeekIndex],64)=0,"",SUMIFS(T_PlannedOrders[EffectiveQty],T_PlannedOrders[Part Name],$A1109,T_PlannedOrders[WeekIndex],64)&amp;" ("&amp;TEXT(SUMPRODUCT(MAX((T_PlannedOrders[Part Name]=$A1109)*(T_PlannedOrders[WeekIndex]=64)*(T_PlannedOrders[EffectiveQty]&gt;0)*T_PlannedOrders[Order_Month])),"m月")&amp;"発注)")</f>
        <v/>
      </c>
      <c r="BP1121">
        <f>IF(SUMIFS(T_PlannedOrders[EffectiveQty],T_PlannedOrders[Part Name],$A1109,T_PlannedOrders[WeekIndex],65)=0,"",SUMIFS(T_PlannedOrders[EffectiveQty],T_PlannedOrders[Part Name],$A1109,T_PlannedOrders[WeekIndex],65)&amp;" ("&amp;TEXT(SUMPRODUCT(MAX((T_PlannedOrders[Part Name]=$A1109)*(T_PlannedOrders[WeekIndex]=65)*(T_PlannedOrders[EffectiveQty]&gt;0)*T_PlannedOrders[Order_Month])),"m月")&amp;"発注)")</f>
        <v/>
      </c>
      <c r="BQ1121">
        <f>IF(SUMIFS(T_PlannedOrders[EffectiveQty],T_PlannedOrders[Part Name],$A1109,T_PlannedOrders[WeekIndex],66)=0,"",SUMIFS(T_PlannedOrders[EffectiveQty],T_PlannedOrders[Part Name],$A1109,T_PlannedOrders[WeekIndex],66)&amp;" ("&amp;TEXT(SUMPRODUCT(MAX((T_PlannedOrders[Part Name]=$A1109)*(T_PlannedOrders[WeekIndex]=66)*(T_PlannedOrders[EffectiveQty]&gt;0)*T_PlannedOrders[Order_Month])),"m月")&amp;"発注)")</f>
        <v/>
      </c>
      <c r="BR1121">
        <f>IF(SUMIFS(T_PlannedOrders[EffectiveQty],T_PlannedOrders[Part Name],$A1109,T_PlannedOrders[WeekIndex],67)=0,"",SUMIFS(T_PlannedOrders[EffectiveQty],T_PlannedOrders[Part Name],$A1109,T_PlannedOrders[WeekIndex],67)&amp;" ("&amp;TEXT(SUMPRODUCT(MAX((T_PlannedOrders[Part Name]=$A1109)*(T_PlannedOrders[WeekIndex]=67)*(T_PlannedOrders[EffectiveQty]&gt;0)*T_PlannedOrders[Order_Month])),"m月")&amp;"発注)")</f>
        <v/>
      </c>
      <c r="BS1121">
        <f>IF(SUMIFS(T_PlannedOrders[EffectiveQty],T_PlannedOrders[Part Name],$A1109,T_PlannedOrders[WeekIndex],68)=0,"",SUMIFS(T_PlannedOrders[EffectiveQty],T_PlannedOrders[Part Name],$A1109,T_PlannedOrders[WeekIndex],68)&amp;" ("&amp;TEXT(SUMPRODUCT(MAX((T_PlannedOrders[Part Name]=$A1109)*(T_PlannedOrders[WeekIndex]=68)*(T_PlannedOrders[EffectiveQty]&gt;0)*T_PlannedOrders[Order_Month])),"m月")&amp;"発注)")</f>
        <v/>
      </c>
      <c r="BT1121">
        <f>IF(SUMIFS(T_PlannedOrders[EffectiveQty],T_PlannedOrders[Part Name],$A1109,T_PlannedOrders[WeekIndex],69)=0,"",SUMIFS(T_PlannedOrders[EffectiveQty],T_PlannedOrders[Part Name],$A1109,T_PlannedOrders[WeekIndex],69)&amp;" ("&amp;TEXT(SUMPRODUCT(MAX((T_PlannedOrders[Part Name]=$A1109)*(T_PlannedOrders[WeekIndex]=69)*(T_PlannedOrders[EffectiveQty]&gt;0)*T_PlannedOrders[Order_Month])),"m月")&amp;"発注)")</f>
        <v/>
      </c>
      <c r="BU1121">
        <f>IF(SUMIFS(T_PlannedOrders[EffectiveQty],T_PlannedOrders[Part Name],$A1109,T_PlannedOrders[WeekIndex],70)=0,"",SUMIFS(T_PlannedOrders[EffectiveQty],T_PlannedOrders[Part Name],$A1109,T_PlannedOrders[WeekIndex],70)&amp;" ("&amp;TEXT(SUMPRODUCT(MAX((T_PlannedOrders[Part Name]=$A1109)*(T_PlannedOrders[WeekIndex]=70)*(T_PlannedOrders[EffectiveQty]&gt;0)*T_PlannedOrders[Order_Month])),"m月")&amp;"発注)")</f>
        <v/>
      </c>
      <c r="BV1121">
        <f>IF(SUMIFS(T_PlannedOrders[EffectiveQty],T_PlannedOrders[Part Name],$A1109,T_PlannedOrders[WeekIndex],71)=0,"",SUMIFS(T_PlannedOrders[EffectiveQty],T_PlannedOrders[Part Name],$A1109,T_PlannedOrders[WeekIndex],71)&amp;" ("&amp;TEXT(SUMPRODUCT(MAX((T_PlannedOrders[Part Name]=$A1109)*(T_PlannedOrders[WeekIndex]=71)*(T_PlannedOrders[EffectiveQty]&gt;0)*T_PlannedOrders[Order_Month])),"m月")&amp;"発注)")</f>
        <v/>
      </c>
      <c r="BW1121">
        <f>IF(SUMIFS(T_PlannedOrders[EffectiveQty],T_PlannedOrders[Part Name],$A1109,T_PlannedOrders[WeekIndex],72)=0,"",SUMIFS(T_PlannedOrders[EffectiveQty],T_PlannedOrders[Part Name],$A1109,T_PlannedOrders[WeekIndex],72)&amp;" ("&amp;TEXT(SUMPRODUCT(MAX((T_PlannedOrders[Part Name]=$A1109)*(T_PlannedOrders[WeekIndex]=72)*(T_PlannedOrders[EffectiveQty]&gt;0)*T_PlannedOrders[Order_Month])),"m月")&amp;"発注)")</f>
        <v/>
      </c>
      <c r="BX1121">
        <f>IF(SUMIFS(T_PlannedOrders[EffectiveQty],T_PlannedOrders[Part Name],$A1109,T_PlannedOrders[WeekIndex],73)=0,"",SUMIFS(T_PlannedOrders[EffectiveQty],T_PlannedOrders[Part Name],$A1109,T_PlannedOrders[WeekIndex],73)&amp;" ("&amp;TEXT(SUMPRODUCT(MAX((T_PlannedOrders[Part Name]=$A1109)*(T_PlannedOrders[WeekIndex]=73)*(T_PlannedOrders[EffectiveQty]&gt;0)*T_PlannedOrders[Order_Month])),"m月")&amp;"発注)")</f>
        <v/>
      </c>
      <c r="BY1121">
        <f>IF(SUMIFS(T_PlannedOrders[EffectiveQty],T_PlannedOrders[Part Name],$A1109,T_PlannedOrders[WeekIndex],74)=0,"",SUMIFS(T_PlannedOrders[EffectiveQty],T_PlannedOrders[Part Name],$A1109,T_PlannedOrders[WeekIndex],74)&amp;" ("&amp;TEXT(SUMPRODUCT(MAX((T_PlannedOrders[Part Name]=$A1109)*(T_PlannedOrders[WeekIndex]=74)*(T_PlannedOrders[EffectiveQty]&gt;0)*T_PlannedOrders[Order_Month])),"m月")&amp;"発注)")</f>
        <v/>
      </c>
      <c r="BZ1121">
        <f>IF(SUMIFS(T_PlannedOrders[EffectiveQty],T_PlannedOrders[Part Name],$A1109,T_PlannedOrders[WeekIndex],75)=0,"",SUMIFS(T_PlannedOrders[EffectiveQty],T_PlannedOrders[Part Name],$A1109,T_PlannedOrders[WeekIndex],75)&amp;" ("&amp;TEXT(SUMPRODUCT(MAX((T_PlannedOrders[Part Name]=$A1109)*(T_PlannedOrders[WeekIndex]=75)*(T_PlannedOrders[EffectiveQty]&gt;0)*T_PlannedOrders[Order_Month])),"m月")&amp;"発注)")</f>
        <v/>
      </c>
      <c r="CA1121">
        <f>IF(SUMIFS(T_PlannedOrders[EffectiveQty],T_PlannedOrders[Part Name],$A1109,T_PlannedOrders[WeekIndex],76)=0,"",SUMIFS(T_PlannedOrders[EffectiveQty],T_PlannedOrders[Part Name],$A1109,T_PlannedOrders[WeekIndex],76)&amp;" ("&amp;TEXT(SUMPRODUCT(MAX((T_PlannedOrders[Part Name]=$A1109)*(T_PlannedOrders[WeekIndex]=76)*(T_PlannedOrders[EffectiveQty]&gt;0)*T_PlannedOrders[Order_Month])),"m月")&amp;"発注)")</f>
        <v/>
      </c>
      <c r="CB1121">
        <f>IF(SUMIFS(T_PlannedOrders[EffectiveQty],T_PlannedOrders[Part Name],$A1109,T_PlannedOrders[WeekIndex],77)=0,"",SUMIFS(T_PlannedOrders[EffectiveQty],T_PlannedOrders[Part Name],$A1109,T_PlannedOrders[WeekIndex],77)&amp;" ("&amp;TEXT(SUMPRODUCT(MAX((T_PlannedOrders[Part Name]=$A1109)*(T_PlannedOrders[WeekIndex]=77)*(T_PlannedOrders[EffectiveQty]&gt;0)*T_PlannedOrders[Order_Month])),"m月")&amp;"発注)")</f>
        <v/>
      </c>
      <c r="CC1121">
        <f>IF(SUMIFS(T_PlannedOrders[EffectiveQty],T_PlannedOrders[Part Name],$A1109,T_PlannedOrders[WeekIndex],78)=0,"",SUMIFS(T_PlannedOrders[EffectiveQty],T_PlannedOrders[Part Name],$A1109,T_PlannedOrders[WeekIndex],78)&amp;" ("&amp;TEXT(SUMPRODUCT(MAX((T_PlannedOrders[Part Name]=$A1109)*(T_PlannedOrders[WeekIndex]=78)*(T_PlannedOrders[EffectiveQty]&gt;0)*T_PlannedOrders[Order_Month])),"m月")&amp;"発注)")</f>
        <v/>
      </c>
      <c r="CD1121">
        <f>IF(SUMIFS(T_PlannedOrders[EffectiveQty],T_PlannedOrders[Part Name],$A1109,T_PlannedOrders[WeekIndex],79)=0,"",SUMIFS(T_PlannedOrders[EffectiveQty],T_PlannedOrders[Part Name],$A1109,T_PlannedOrders[WeekIndex],79)&amp;" ("&amp;TEXT(SUMPRODUCT(MAX((T_PlannedOrders[Part Name]=$A1109)*(T_PlannedOrders[WeekIndex]=79)*(T_PlannedOrders[EffectiveQty]&gt;0)*T_PlannedOrders[Order_Month])),"m月")&amp;"発注)")</f>
        <v/>
      </c>
      <c r="CE1121">
        <f>IF(SUMIFS(T_PlannedOrders[EffectiveQty],T_PlannedOrders[Part Name],$A1109,T_PlannedOrders[WeekIndex],80)=0,"",SUMIFS(T_PlannedOrders[EffectiveQty],T_PlannedOrders[Part Name],$A1109,T_PlannedOrders[WeekIndex],80)&amp;" ("&amp;TEXT(SUMPRODUCT(MAX((T_PlannedOrders[Part Name]=$A1109)*(T_PlannedOrders[WeekIndex]=80)*(T_PlannedOrders[EffectiveQty]&gt;0)*T_PlannedOrders[Order_Month])),"m月")&amp;"発注)")</f>
        <v/>
      </c>
      <c r="CF1121">
        <f>IF(SUMIFS(T_PlannedOrders[EffectiveQty],T_PlannedOrders[Part Name],$A1109,T_PlannedOrders[WeekIndex],81)=0,"",SUMIFS(T_PlannedOrders[EffectiveQty],T_PlannedOrders[Part Name],$A1109,T_PlannedOrders[WeekIndex],81)&amp;" ("&amp;TEXT(SUMPRODUCT(MAX((T_PlannedOrders[Part Name]=$A1109)*(T_PlannedOrders[WeekIndex]=81)*(T_PlannedOrders[EffectiveQty]&gt;0)*T_PlannedOrders[Order_Month])),"m月")&amp;"発注)")</f>
        <v/>
      </c>
      <c r="CG1121">
        <f>IF(SUMIFS(T_PlannedOrders[EffectiveQty],T_PlannedOrders[Part Name],$A1109,T_PlannedOrders[WeekIndex],82)=0,"",SUMIFS(T_PlannedOrders[EffectiveQty],T_PlannedOrders[Part Name],$A1109,T_PlannedOrders[WeekIndex],82)&amp;" ("&amp;TEXT(SUMPRODUCT(MAX((T_PlannedOrders[Part Name]=$A1109)*(T_PlannedOrders[WeekIndex]=82)*(T_PlannedOrders[EffectiveQty]&gt;0)*T_PlannedOrders[Order_Month])),"m月")&amp;"発注)")</f>
        <v/>
      </c>
      <c r="CH1121">
        <f>IF(SUMIFS(T_PlannedOrders[EffectiveQty],T_PlannedOrders[Part Name],$A1109,T_PlannedOrders[WeekIndex],83)=0,"",SUMIFS(T_PlannedOrders[EffectiveQty],T_PlannedOrders[Part Name],$A1109,T_PlannedOrders[WeekIndex],83)&amp;" ("&amp;TEXT(SUMPRODUCT(MAX((T_PlannedOrders[Part Name]=$A1109)*(T_PlannedOrders[WeekIndex]=83)*(T_PlannedOrders[EffectiveQty]&gt;0)*T_PlannedOrders[Order_Month])),"m月")&amp;"発注)")</f>
        <v/>
      </c>
      <c r="CI1121">
        <f>IF(SUMIFS(T_PlannedOrders[EffectiveQty],T_PlannedOrders[Part Name],$A1109,T_PlannedOrders[WeekIndex],84)=0,"",SUMIFS(T_PlannedOrders[EffectiveQty],T_PlannedOrders[Part Name],$A1109,T_PlannedOrders[WeekIndex],84)&amp;" ("&amp;TEXT(SUMPRODUCT(MAX((T_PlannedOrders[Part Name]=$A1109)*(T_PlannedOrders[WeekIndex]=84)*(T_PlannedOrders[EffectiveQty]&gt;0)*T_PlannedOrders[Order_Month])),"m月")&amp;"発注)")</f>
        <v/>
      </c>
      <c r="CJ1121">
        <f>IF(SUMIFS(T_PlannedOrders[EffectiveQty],T_PlannedOrders[Part Name],$A1109,T_PlannedOrders[WeekIndex],85)=0,"",SUMIFS(T_PlannedOrders[EffectiveQty],T_PlannedOrders[Part Name],$A1109,T_PlannedOrders[WeekIndex],85)&amp;" ("&amp;TEXT(SUMPRODUCT(MAX((T_PlannedOrders[Part Name]=$A1109)*(T_PlannedOrders[WeekIndex]=85)*(T_PlannedOrders[EffectiveQty]&gt;0)*T_PlannedOrders[Order_Month])),"m月")&amp;"発注)")</f>
        <v/>
      </c>
      <c r="CK1121">
        <f>IF(SUMIFS(T_PlannedOrders[EffectiveQty],T_PlannedOrders[Part Name],$A1109,T_PlannedOrders[WeekIndex],86)=0,"",SUMIFS(T_PlannedOrders[EffectiveQty],T_PlannedOrders[Part Name],$A1109,T_PlannedOrders[WeekIndex],86)&amp;" ("&amp;TEXT(SUMPRODUCT(MAX((T_PlannedOrders[Part Name]=$A1109)*(T_PlannedOrders[WeekIndex]=86)*(T_PlannedOrders[EffectiveQty]&gt;0)*T_PlannedOrders[Order_Month])),"m月")&amp;"発注)")</f>
        <v/>
      </c>
      <c r="CL1121">
        <f>IF(SUMIFS(T_PlannedOrders[EffectiveQty],T_PlannedOrders[Part Name],$A1109,T_PlannedOrders[WeekIndex],87)=0,"",SUMIFS(T_PlannedOrders[EffectiveQty],T_PlannedOrders[Part Name],$A1109,T_PlannedOrders[WeekIndex],87)&amp;" ("&amp;TEXT(SUMPRODUCT(MAX((T_PlannedOrders[Part Name]=$A1109)*(T_PlannedOrders[WeekIndex]=87)*(T_PlannedOrders[EffectiveQty]&gt;0)*T_PlannedOrders[Order_Month])),"m月")&amp;"発注)")</f>
        <v/>
      </c>
      <c r="CM1121">
        <f>IF(SUMIFS(T_PlannedOrders[EffectiveQty],T_PlannedOrders[Part Name],$A1109,T_PlannedOrders[WeekIndex],88)=0,"",SUMIFS(T_PlannedOrders[EffectiveQty],T_PlannedOrders[Part Name],$A1109,T_PlannedOrders[WeekIndex],88)&amp;" ("&amp;TEXT(SUMPRODUCT(MAX((T_PlannedOrders[Part Name]=$A1109)*(T_PlannedOrders[WeekIndex]=88)*(T_PlannedOrders[EffectiveQty]&gt;0)*T_PlannedOrders[Order_Month])),"m月")&amp;"発注)")</f>
        <v/>
      </c>
      <c r="CN1121">
        <f>IF(SUMIFS(T_PlannedOrders[EffectiveQty],T_PlannedOrders[Part Name],$A1109,T_PlannedOrders[WeekIndex],89)=0,"",SUMIFS(T_PlannedOrders[EffectiveQty],T_PlannedOrders[Part Name],$A1109,T_PlannedOrders[WeekIndex],89)&amp;" ("&amp;TEXT(SUMPRODUCT(MAX((T_PlannedOrders[Part Name]=$A1109)*(T_PlannedOrders[WeekIndex]=89)*(T_PlannedOrders[EffectiveQty]&gt;0)*T_PlannedOrders[Order_Month])),"m月")&amp;"発注)")</f>
        <v/>
      </c>
      <c r="CO1121">
        <f>IF(SUMIFS(T_PlannedOrders[EffectiveQty],T_PlannedOrders[Part Name],$A1109,T_PlannedOrders[WeekIndex],90)=0,"",SUMIFS(T_PlannedOrders[EffectiveQty],T_PlannedOrders[Part Name],$A1109,T_PlannedOrders[WeekIndex],90)&amp;" ("&amp;TEXT(SUMPRODUCT(MAX((T_PlannedOrders[Part Name]=$A1109)*(T_PlannedOrders[WeekIndex]=90)*(T_PlannedOrders[EffectiveQty]&gt;0)*T_PlannedOrders[Order_Month])),"m月")&amp;"発注)")</f>
        <v/>
      </c>
      <c r="CP1121">
        <f>IF(SUMIFS(T_PlannedOrders[EffectiveQty],T_PlannedOrders[Part Name],$A1109,T_PlannedOrders[WeekIndex],91)=0,"",SUMIFS(T_PlannedOrders[EffectiveQty],T_PlannedOrders[Part Name],$A1109,T_PlannedOrders[WeekIndex],91)&amp;" ("&amp;TEXT(SUMPRODUCT(MAX((T_PlannedOrders[Part Name]=$A1109)*(T_PlannedOrders[WeekIndex]=91)*(T_PlannedOrders[EffectiveQty]&gt;0)*T_PlannedOrders[Order_Month])),"m月")&amp;"発注)")</f>
        <v/>
      </c>
      <c r="CQ1121">
        <f>IF(SUMIFS(T_PlannedOrders[EffectiveQty],T_PlannedOrders[Part Name],$A1109,T_PlannedOrders[WeekIndex],92)=0,"",SUMIFS(T_PlannedOrders[EffectiveQty],T_PlannedOrders[Part Name],$A1109,T_PlannedOrders[WeekIndex],92)&amp;" ("&amp;TEXT(SUMPRODUCT(MAX((T_PlannedOrders[Part Name]=$A1109)*(T_PlannedOrders[WeekIndex]=92)*(T_PlannedOrders[EffectiveQty]&gt;0)*T_PlannedOrders[Order_Month])),"m月")&amp;"発注)")</f>
        <v/>
      </c>
      <c r="CR1121">
        <f>IF(SUMIFS(T_PlannedOrders[EffectiveQty],T_PlannedOrders[Part Name],$A1109,T_PlannedOrders[WeekIndex],93)=0,"",SUMIFS(T_PlannedOrders[EffectiveQty],T_PlannedOrders[Part Name],$A1109,T_PlannedOrders[WeekIndex],93)&amp;" ("&amp;TEXT(SUMPRODUCT(MAX((T_PlannedOrders[Part Name]=$A1109)*(T_PlannedOrders[WeekIndex]=93)*(T_PlannedOrders[EffectiveQty]&gt;0)*T_PlannedOrders[Order_Month])),"m月")&amp;"発注)")</f>
        <v/>
      </c>
      <c r="CS1121">
        <f>IF(SUMIFS(T_PlannedOrders[EffectiveQty],T_PlannedOrders[Part Name],$A1109,T_PlannedOrders[WeekIndex],94)=0,"",SUMIFS(T_PlannedOrders[EffectiveQty],T_PlannedOrders[Part Name],$A1109,T_PlannedOrders[WeekIndex],94)&amp;" ("&amp;TEXT(SUMPRODUCT(MAX((T_PlannedOrders[Part Name]=$A1109)*(T_PlannedOrders[WeekIndex]=94)*(T_PlannedOrders[EffectiveQty]&gt;0)*T_PlannedOrders[Order_Month])),"m月")&amp;"発注)")</f>
        <v/>
      </c>
      <c r="CT1121">
        <f>IF(SUMIFS(T_PlannedOrders[EffectiveQty],T_PlannedOrders[Part Name],$A1109,T_PlannedOrders[WeekIndex],95)=0,"",SUMIFS(T_PlannedOrders[EffectiveQty],T_PlannedOrders[Part Name],$A1109,T_PlannedOrders[WeekIndex],95)&amp;" ("&amp;TEXT(SUMPRODUCT(MAX((T_PlannedOrders[Part Name]=$A1109)*(T_PlannedOrders[WeekIndex]=95)*(T_PlannedOrders[EffectiveQty]&gt;0)*T_PlannedOrders[Order_Month])),"m月")&amp;"発注)")</f>
        <v/>
      </c>
      <c r="CU1121">
        <f>IF(SUMIFS(T_PlannedOrders[EffectiveQty],T_PlannedOrders[Part Name],$A1109,T_PlannedOrders[WeekIndex],96)=0,"",SUMIFS(T_PlannedOrders[EffectiveQty],T_PlannedOrders[Part Name],$A1109,T_PlannedOrders[WeekIndex],96)&amp;" ("&amp;TEXT(SUMPRODUCT(MAX((T_PlannedOrders[Part Name]=$A1109)*(T_PlannedOrders[WeekIndex]=96)*(T_PlannedOrders[EffectiveQty]&gt;0)*T_PlannedOrders[Order_Month])),"m月")&amp;"発注)")</f>
        <v/>
      </c>
      <c r="CV1121">
        <f>IF(SUMIFS(T_PlannedOrders[EffectiveQty],T_PlannedOrders[Part Name],$A1109,T_PlannedOrders[WeekIndex],97)=0,"",SUMIFS(T_PlannedOrders[EffectiveQty],T_PlannedOrders[Part Name],$A1109,T_PlannedOrders[WeekIndex],97)&amp;" ("&amp;TEXT(SUMPRODUCT(MAX((T_PlannedOrders[Part Name]=$A1109)*(T_PlannedOrders[WeekIndex]=97)*(T_PlannedOrders[EffectiveQty]&gt;0)*T_PlannedOrders[Order_Month])),"m月")&amp;"発注)")</f>
        <v/>
      </c>
      <c r="CW1121">
        <f>IF(SUMIFS(T_PlannedOrders[EffectiveQty],T_PlannedOrders[Part Name],$A1109,T_PlannedOrders[WeekIndex],98)=0,"",SUMIFS(T_PlannedOrders[EffectiveQty],T_PlannedOrders[Part Name],$A1109,T_PlannedOrders[WeekIndex],98)&amp;" ("&amp;TEXT(SUMPRODUCT(MAX((T_PlannedOrders[Part Name]=$A1109)*(T_PlannedOrders[WeekIndex]=98)*(T_PlannedOrders[EffectiveQty]&gt;0)*T_PlannedOrders[Order_Month])),"m月")&amp;"発注)")</f>
        <v/>
      </c>
      <c r="CX1121">
        <f>IF(SUMIFS(T_PlannedOrders[EffectiveQty],T_PlannedOrders[Part Name],$A1109,T_PlannedOrders[WeekIndex],99)=0,"",SUMIFS(T_PlannedOrders[EffectiveQty],T_PlannedOrders[Part Name],$A1109,T_PlannedOrders[WeekIndex],99)&amp;" ("&amp;TEXT(SUMPRODUCT(MAX((T_PlannedOrders[Part Name]=$A1109)*(T_PlannedOrders[WeekIndex]=99)*(T_PlannedOrders[EffectiveQty]&gt;0)*T_PlannedOrders[Order_Month])),"m月")&amp;"発注)")</f>
        <v/>
      </c>
      <c r="CY1121">
        <f>IF(SUMIFS(T_PlannedOrders[EffectiveQty],T_PlannedOrders[Part Name],$A1109,T_PlannedOrders[WeekIndex],100)=0,"",SUMIFS(T_PlannedOrders[EffectiveQty],T_PlannedOrders[Part Name],$A1109,T_PlannedOrders[WeekIndex],100)&amp;" ("&amp;TEXT(SUMPRODUCT(MAX((T_PlannedOrders[Part Name]=$A1109)*(T_PlannedOrders[WeekIndex]=100)*(T_PlannedOrders[EffectiveQty]&gt;0)*T_PlannedOrders[Order_Month])),"m月")&amp;"発注)")</f>
        <v/>
      </c>
      <c r="CZ1121">
        <f>IF(SUMIFS(T_PlannedOrders[EffectiveQty],T_PlannedOrders[Part Name],$A1109,T_PlannedOrders[WeekIndex],101)=0,"",SUMIFS(T_PlannedOrders[EffectiveQty],T_PlannedOrders[Part Name],$A1109,T_PlannedOrders[WeekIndex],101)&amp;" ("&amp;TEXT(SUMPRODUCT(MAX((T_PlannedOrders[Part Name]=$A1109)*(T_PlannedOrders[WeekIndex]=101)*(T_PlannedOrders[EffectiveQty]&gt;0)*T_PlannedOrders[Order_Month])),"m月")&amp;"発注)")</f>
        <v/>
      </c>
      <c r="DA1121">
        <f>IF(SUMIFS(T_PlannedOrders[EffectiveQty],T_PlannedOrders[Part Name],$A1109,T_PlannedOrders[WeekIndex],102)=0,"",SUMIFS(T_PlannedOrders[EffectiveQty],T_PlannedOrders[Part Name],$A1109,T_PlannedOrders[WeekIndex],102)&amp;" ("&amp;TEXT(SUMPRODUCT(MAX((T_PlannedOrders[Part Name]=$A1109)*(T_PlannedOrders[WeekIndex]=102)*(T_PlannedOrders[EffectiveQty]&gt;0)*T_PlannedOrders[Order_Month])),"m月")&amp;"発注)")</f>
        <v/>
      </c>
      <c r="DB1121">
        <f>IF(SUMIFS(T_PlannedOrders[EffectiveQty],T_PlannedOrders[Part Name],$A1109,T_PlannedOrders[WeekIndex],103)=0,"",SUMIFS(T_PlannedOrders[EffectiveQty],T_PlannedOrders[Part Name],$A1109,T_PlannedOrders[WeekIndex],103)&amp;" ("&amp;TEXT(SUMPRODUCT(MAX((T_PlannedOrders[Part Name]=$A1109)*(T_PlannedOrders[WeekIndex]=103)*(T_PlannedOrders[EffectiveQty]&gt;0)*T_PlannedOrders[Order_Month])),"m月")&amp;"発注)")</f>
        <v/>
      </c>
      <c r="DC1121">
        <f>IF(SUMIFS(T_PlannedOrders[EffectiveQty],T_PlannedOrders[Part Name],$A1109,T_PlannedOrders[WeekIndex],104)=0,"",SUMIFS(T_PlannedOrders[EffectiveQty],T_PlannedOrders[Part Name],$A1109,T_PlannedOrders[WeekIndex],104)&amp;" ("&amp;TEXT(SUMPRODUCT(MAX((T_PlannedOrders[Part Name]=$A1109)*(T_PlannedOrders[WeekIndex]=104)*(T_PlannedOrders[EffectiveQty]&gt;0)*T_PlannedOrders[Order_Month])),"m月")&amp;"発注)")</f>
        <v/>
      </c>
    </row>
    <row r="1122">
      <c r="B1122" s="5" t="inlineStr">
        <is>
          <t>合計在庫(週末時点,kg)</t>
        </is>
      </c>
      <c r="D1122">
        <f>'Grid_Stock'!B49</f>
        <v/>
      </c>
      <c r="E1122">
        <f>'Grid_Stock'!C49</f>
        <v/>
      </c>
      <c r="F1122">
        <f>'Grid_Stock'!D49</f>
        <v/>
      </c>
      <c r="G1122">
        <f>'Grid_Stock'!E49</f>
        <v/>
      </c>
      <c r="H1122">
        <f>'Grid_Stock'!F49</f>
        <v/>
      </c>
      <c r="I1122">
        <f>'Grid_Stock'!G49</f>
        <v/>
      </c>
      <c r="J1122">
        <f>'Grid_Stock'!H49</f>
        <v/>
      </c>
      <c r="K1122">
        <f>'Grid_Stock'!I49</f>
        <v/>
      </c>
      <c r="L1122">
        <f>'Grid_Stock'!J49</f>
        <v/>
      </c>
      <c r="M1122">
        <f>'Grid_Stock'!K49</f>
        <v/>
      </c>
      <c r="N1122">
        <f>'Grid_Stock'!L49</f>
        <v/>
      </c>
      <c r="O1122">
        <f>'Grid_Stock'!M49</f>
        <v/>
      </c>
      <c r="P1122">
        <f>'Grid_Stock'!N49</f>
        <v/>
      </c>
      <c r="Q1122">
        <f>'Grid_Stock'!O49</f>
        <v/>
      </c>
      <c r="R1122">
        <f>'Grid_Stock'!P49</f>
        <v/>
      </c>
      <c r="S1122">
        <f>'Grid_Stock'!Q49</f>
        <v/>
      </c>
      <c r="T1122">
        <f>'Grid_Stock'!R49</f>
        <v/>
      </c>
      <c r="U1122">
        <f>'Grid_Stock'!S49</f>
        <v/>
      </c>
      <c r="V1122">
        <f>'Grid_Stock'!T49</f>
        <v/>
      </c>
      <c r="W1122">
        <f>'Grid_Stock'!U49</f>
        <v/>
      </c>
      <c r="X1122">
        <f>'Grid_Stock'!V49</f>
        <v/>
      </c>
      <c r="Y1122">
        <f>'Grid_Stock'!W49</f>
        <v/>
      </c>
      <c r="Z1122">
        <f>'Grid_Stock'!X49</f>
        <v/>
      </c>
      <c r="AA1122">
        <f>'Grid_Stock'!Y49</f>
        <v/>
      </c>
      <c r="AB1122">
        <f>'Grid_Stock'!Z49</f>
        <v/>
      </c>
      <c r="AC1122">
        <f>'Grid_Stock'!AA49</f>
        <v/>
      </c>
      <c r="AD1122">
        <f>'Grid_Stock'!AB49</f>
        <v/>
      </c>
      <c r="AE1122">
        <f>'Grid_Stock'!AC49</f>
        <v/>
      </c>
      <c r="AF1122">
        <f>'Grid_Stock'!AD49</f>
        <v/>
      </c>
      <c r="AG1122">
        <f>'Grid_Stock'!AE49</f>
        <v/>
      </c>
      <c r="AH1122">
        <f>'Grid_Stock'!AF49</f>
        <v/>
      </c>
      <c r="AI1122">
        <f>'Grid_Stock'!AG49</f>
        <v/>
      </c>
      <c r="AJ1122">
        <f>'Grid_Stock'!AH49</f>
        <v/>
      </c>
      <c r="AK1122">
        <f>'Grid_Stock'!AI49</f>
        <v/>
      </c>
      <c r="AL1122">
        <f>'Grid_Stock'!AJ49</f>
        <v/>
      </c>
      <c r="AM1122">
        <f>'Grid_Stock'!AK49</f>
        <v/>
      </c>
      <c r="AN1122">
        <f>'Grid_Stock'!AL49</f>
        <v/>
      </c>
      <c r="AO1122">
        <f>'Grid_Stock'!AM49</f>
        <v/>
      </c>
      <c r="AP1122">
        <f>'Grid_Stock'!AN49</f>
        <v/>
      </c>
      <c r="AQ1122">
        <f>'Grid_Stock'!AO49</f>
        <v/>
      </c>
      <c r="AR1122">
        <f>'Grid_Stock'!AP49</f>
        <v/>
      </c>
      <c r="AS1122">
        <f>'Grid_Stock'!AQ49</f>
        <v/>
      </c>
      <c r="AT1122">
        <f>'Grid_Stock'!AR49</f>
        <v/>
      </c>
      <c r="AU1122">
        <f>'Grid_Stock'!AS49</f>
        <v/>
      </c>
      <c r="AV1122">
        <f>'Grid_Stock'!AT49</f>
        <v/>
      </c>
      <c r="AW1122">
        <f>'Grid_Stock'!AU49</f>
        <v/>
      </c>
      <c r="AX1122">
        <f>'Grid_Stock'!AV49</f>
        <v/>
      </c>
      <c r="AY1122">
        <f>'Grid_Stock'!AW49</f>
        <v/>
      </c>
      <c r="AZ1122">
        <f>'Grid_Stock'!AX49</f>
        <v/>
      </c>
      <c r="BA1122">
        <f>'Grid_Stock'!AY49</f>
        <v/>
      </c>
      <c r="BB1122">
        <f>'Grid_Stock'!AZ49</f>
        <v/>
      </c>
      <c r="BC1122">
        <f>'Grid_Stock'!BA49</f>
        <v/>
      </c>
      <c r="BD1122">
        <f>'Grid_Stock'!BB49</f>
        <v/>
      </c>
      <c r="BE1122">
        <f>'Grid_Stock'!BC49</f>
        <v/>
      </c>
      <c r="BF1122">
        <f>'Grid_Stock'!BD49</f>
        <v/>
      </c>
      <c r="BG1122">
        <f>'Grid_Stock'!BE49</f>
        <v/>
      </c>
      <c r="BH1122">
        <f>'Grid_Stock'!BF49</f>
        <v/>
      </c>
      <c r="BI1122">
        <f>'Grid_Stock'!BG49</f>
        <v/>
      </c>
      <c r="BJ1122">
        <f>'Grid_Stock'!BH49</f>
        <v/>
      </c>
      <c r="BK1122">
        <f>'Grid_Stock'!BI49</f>
        <v/>
      </c>
      <c r="BL1122">
        <f>'Grid_Stock'!BJ49</f>
        <v/>
      </c>
      <c r="BM1122">
        <f>'Grid_Stock'!BK49</f>
        <v/>
      </c>
      <c r="BN1122">
        <f>'Grid_Stock'!BL49</f>
        <v/>
      </c>
      <c r="BO1122">
        <f>'Grid_Stock'!BM49</f>
        <v/>
      </c>
      <c r="BP1122">
        <f>'Grid_Stock'!BN49</f>
        <v/>
      </c>
      <c r="BQ1122">
        <f>'Grid_Stock'!BO49</f>
        <v/>
      </c>
      <c r="BR1122">
        <f>'Grid_Stock'!BP49</f>
        <v/>
      </c>
      <c r="BS1122">
        <f>'Grid_Stock'!BQ49</f>
        <v/>
      </c>
      <c r="BT1122">
        <f>'Grid_Stock'!BR49</f>
        <v/>
      </c>
      <c r="BU1122">
        <f>'Grid_Stock'!BS49</f>
        <v/>
      </c>
      <c r="BV1122">
        <f>'Grid_Stock'!BT49</f>
        <v/>
      </c>
      <c r="BW1122">
        <f>'Grid_Stock'!BU49</f>
        <v/>
      </c>
      <c r="BX1122">
        <f>'Grid_Stock'!BV49</f>
        <v/>
      </c>
      <c r="BY1122">
        <f>'Grid_Stock'!BW49</f>
        <v/>
      </c>
      <c r="BZ1122">
        <f>'Grid_Stock'!BX49</f>
        <v/>
      </c>
      <c r="CA1122">
        <f>'Grid_Stock'!BY49</f>
        <v/>
      </c>
      <c r="CB1122">
        <f>'Grid_Stock'!BZ49</f>
        <v/>
      </c>
      <c r="CC1122">
        <f>'Grid_Stock'!CA49</f>
        <v/>
      </c>
      <c r="CD1122">
        <f>'Grid_Stock'!CB49</f>
        <v/>
      </c>
      <c r="CE1122">
        <f>'Grid_Stock'!CC49</f>
        <v/>
      </c>
      <c r="CF1122">
        <f>'Grid_Stock'!CD49</f>
        <v/>
      </c>
      <c r="CG1122">
        <f>'Grid_Stock'!CE49</f>
        <v/>
      </c>
      <c r="CH1122">
        <f>'Grid_Stock'!CF49</f>
        <v/>
      </c>
      <c r="CI1122">
        <f>'Grid_Stock'!CG49</f>
        <v/>
      </c>
      <c r="CJ1122">
        <f>'Grid_Stock'!CH49</f>
        <v/>
      </c>
      <c r="CK1122">
        <f>'Grid_Stock'!CI49</f>
        <v/>
      </c>
      <c r="CL1122">
        <f>'Grid_Stock'!CJ49</f>
        <v/>
      </c>
      <c r="CM1122">
        <f>'Grid_Stock'!CK49</f>
        <v/>
      </c>
      <c r="CN1122">
        <f>'Grid_Stock'!CL49</f>
        <v/>
      </c>
      <c r="CO1122">
        <f>'Grid_Stock'!CM49</f>
        <v/>
      </c>
      <c r="CP1122">
        <f>'Grid_Stock'!CN49</f>
        <v/>
      </c>
      <c r="CQ1122">
        <f>'Grid_Stock'!CO49</f>
        <v/>
      </c>
      <c r="CR1122">
        <f>'Grid_Stock'!CP49</f>
        <v/>
      </c>
      <c r="CS1122">
        <f>'Grid_Stock'!CQ49</f>
        <v/>
      </c>
      <c r="CT1122">
        <f>'Grid_Stock'!CR49</f>
        <v/>
      </c>
      <c r="CU1122">
        <f>'Grid_Stock'!CS49</f>
        <v/>
      </c>
      <c r="CV1122">
        <f>'Grid_Stock'!CT49</f>
        <v/>
      </c>
      <c r="CW1122">
        <f>'Grid_Stock'!CU49</f>
        <v/>
      </c>
      <c r="CX1122">
        <f>'Grid_Stock'!CV49</f>
        <v/>
      </c>
      <c r="CY1122">
        <f>'Grid_Stock'!CW49</f>
        <v/>
      </c>
      <c r="CZ1122">
        <f>'Grid_Stock'!CX49</f>
        <v/>
      </c>
      <c r="DA1122">
        <f>'Grid_Stock'!CY49</f>
        <v/>
      </c>
      <c r="DB1122">
        <f>'Grid_Stock'!CZ49</f>
        <v/>
      </c>
      <c r="DC1122">
        <f>'Grid_Stock'!DA49</f>
        <v/>
      </c>
    </row>
    <row r="1123">
      <c r="B1123" s="23" t="inlineStr">
        <is>
          <t>（発注の目安はDashboardの基準在庫[下限/上限]と色分けを参照）</t>
        </is>
      </c>
    </row>
    <row r="1125">
      <c r="A1125" s="21" t="inlineStr">
        <is>
          <t>CHEM-1700</t>
        </is>
      </c>
      <c r="B1125" s="21" t="inlineStr">
        <is>
          <t>Tepyrus CT38</t>
        </is>
      </c>
      <c r="C1125" s="22" t="n"/>
      <c r="D1125" s="21" t="n"/>
      <c r="E1125" s="21" t="n"/>
      <c r="F1125" s="21" t="n"/>
      <c r="G1125" s="21" t="n"/>
      <c r="H1125" s="21" t="n"/>
      <c r="I1125" s="21" t="n"/>
      <c r="J1125" s="21" t="n"/>
      <c r="K1125" s="21" t="n"/>
      <c r="L1125" s="21" t="n"/>
      <c r="M1125" s="21" t="n"/>
      <c r="N1125" s="21" t="n"/>
      <c r="O1125" s="21" t="n"/>
      <c r="P1125" s="21" t="n"/>
      <c r="Q1125" s="21" t="n"/>
      <c r="R1125" s="21" t="n"/>
      <c r="S1125" s="21" t="n"/>
      <c r="T1125" s="21" t="n"/>
      <c r="U1125" s="21" t="n"/>
      <c r="V1125" s="21" t="n"/>
      <c r="W1125" s="21" t="n"/>
      <c r="X1125" s="21" t="n"/>
      <c r="Y1125" s="21" t="n"/>
      <c r="Z1125" s="21" t="n"/>
      <c r="AA1125" s="21" t="n"/>
      <c r="AB1125" s="21" t="n"/>
      <c r="AC1125" s="21" t="n"/>
      <c r="AD1125" s="21" t="n"/>
      <c r="AE1125" s="21" t="n"/>
      <c r="AF1125" s="21" t="n"/>
      <c r="AG1125" s="21" t="n"/>
      <c r="AH1125" s="21" t="n"/>
      <c r="AI1125" s="21" t="n"/>
      <c r="AJ1125" s="21" t="n"/>
      <c r="AK1125" s="21" t="n"/>
      <c r="AL1125" s="21" t="n"/>
      <c r="AM1125" s="21" t="n"/>
      <c r="AN1125" s="21" t="n"/>
      <c r="AO1125" s="21" t="n"/>
      <c r="AP1125" s="21" t="n"/>
      <c r="AQ1125" s="21" t="n"/>
      <c r="AR1125" s="21" t="n"/>
      <c r="AS1125" s="21" t="n"/>
      <c r="AT1125" s="21" t="n"/>
      <c r="AU1125" s="21" t="n"/>
      <c r="AV1125" s="21" t="n"/>
      <c r="AW1125" s="21" t="n"/>
      <c r="AX1125" s="21" t="n"/>
      <c r="AY1125" s="21" t="n"/>
      <c r="AZ1125" s="21" t="n"/>
      <c r="BA1125" s="21" t="n"/>
      <c r="BB1125" s="21" t="n"/>
      <c r="BC1125" s="21" t="n"/>
      <c r="BD1125" s="21" t="n"/>
      <c r="BE1125" s="21" t="n"/>
      <c r="BF1125" s="21" t="n"/>
      <c r="BG1125" s="21" t="n"/>
      <c r="BH1125" s="21" t="n"/>
      <c r="BI1125" s="21" t="n"/>
      <c r="BJ1125" s="21" t="n"/>
      <c r="BK1125" s="21" t="n"/>
      <c r="BL1125" s="21" t="n"/>
      <c r="BM1125" s="21" t="n"/>
      <c r="BN1125" s="21" t="n"/>
      <c r="BO1125" s="21" t="n"/>
      <c r="BP1125" s="21" t="n"/>
      <c r="BQ1125" s="21" t="n"/>
      <c r="BR1125" s="21" t="n"/>
      <c r="BS1125" s="21" t="n"/>
      <c r="BT1125" s="21" t="n"/>
      <c r="BU1125" s="21" t="n"/>
      <c r="BV1125" s="21" t="n"/>
      <c r="BW1125" s="21" t="n"/>
      <c r="BX1125" s="21" t="n"/>
      <c r="BY1125" s="21" t="n"/>
      <c r="BZ1125" s="21" t="n"/>
      <c r="CA1125" s="21" t="n"/>
      <c r="CB1125" s="21" t="n"/>
      <c r="CC1125" s="21" t="n"/>
      <c r="CD1125" s="21" t="n"/>
      <c r="CE1125" s="21" t="n"/>
      <c r="CF1125" s="21" t="n"/>
      <c r="CG1125" s="21" t="n"/>
      <c r="CH1125" s="21" t="n"/>
      <c r="CI1125" s="21" t="n"/>
      <c r="CJ1125" s="21" t="n"/>
      <c r="CK1125" s="21" t="n"/>
      <c r="CL1125" s="21" t="n"/>
      <c r="CM1125" s="21" t="n"/>
      <c r="CN1125" s="21" t="n"/>
      <c r="CO1125" s="21" t="n"/>
      <c r="CP1125" s="21" t="n"/>
      <c r="CQ1125" s="21" t="n"/>
      <c r="CR1125" s="21" t="n"/>
      <c r="CS1125" s="21" t="n"/>
      <c r="CT1125" s="21" t="n"/>
      <c r="CU1125" s="21" t="n"/>
      <c r="CV1125" s="21" t="n"/>
      <c r="CW1125" s="21" t="n"/>
      <c r="CX1125" s="21" t="n"/>
      <c r="CY1125" s="21" t="n"/>
      <c r="CZ1125" s="21" t="n"/>
      <c r="DA1125" s="21" t="n"/>
      <c r="DB1125" s="21" t="n"/>
      <c r="DC1125" s="21" t="n"/>
    </row>
    <row r="1126">
      <c r="B1126" t="inlineStr">
        <is>
          <t>TSP-1388</t>
        </is>
      </c>
      <c r="C1126" t="inlineStr">
        <is>
          <t>No. of batches</t>
        </is>
      </c>
      <c r="D1126">
        <f>IFERROR(INDEX(PP_Grid[#Data],$DD1126,2),0)</f>
        <v/>
      </c>
      <c r="E1126">
        <f>IFERROR(INDEX(PP_Grid[#Data],$DD1126,3),0)</f>
        <v/>
      </c>
      <c r="F1126">
        <f>IFERROR(INDEX(PP_Grid[#Data],$DD1126,4),0)</f>
        <v/>
      </c>
      <c r="G1126">
        <f>IFERROR(INDEX(PP_Grid[#Data],$DD1126,5),0)</f>
        <v/>
      </c>
      <c r="H1126">
        <f>IFERROR(INDEX(PP_Grid[#Data],$DD1126,6),0)</f>
        <v/>
      </c>
      <c r="I1126">
        <f>IFERROR(INDEX(PP_Grid[#Data],$DD1126,7),0)</f>
        <v/>
      </c>
      <c r="J1126">
        <f>IFERROR(INDEX(PP_Grid[#Data],$DD1126,8),0)</f>
        <v/>
      </c>
      <c r="K1126">
        <f>IFERROR(INDEX(PP_Grid[#Data],$DD1126,9),0)</f>
        <v/>
      </c>
      <c r="L1126">
        <f>IFERROR(INDEX(PP_Grid[#Data],$DD1126,10),0)</f>
        <v/>
      </c>
      <c r="M1126">
        <f>IFERROR(INDEX(PP_Grid[#Data],$DD1126,11),0)</f>
        <v/>
      </c>
      <c r="N1126">
        <f>IFERROR(INDEX(PP_Grid[#Data],$DD1126,12),0)</f>
        <v/>
      </c>
      <c r="O1126">
        <f>IFERROR(INDEX(PP_Grid[#Data],$DD1126,13),0)</f>
        <v/>
      </c>
      <c r="P1126">
        <f>IFERROR(INDEX(PP_Grid[#Data],$DD1126,14),0)</f>
        <v/>
      </c>
      <c r="Q1126">
        <f>IFERROR(INDEX(PP_Grid[#Data],$DD1126,15),0)</f>
        <v/>
      </c>
      <c r="R1126">
        <f>IFERROR(INDEX(PP_Grid[#Data],$DD1126,16),0)</f>
        <v/>
      </c>
      <c r="S1126">
        <f>IFERROR(INDEX(PP_Grid[#Data],$DD1126,17),0)</f>
        <v/>
      </c>
      <c r="T1126">
        <f>IFERROR(INDEX(PP_Grid[#Data],$DD1126,18),0)</f>
        <v/>
      </c>
      <c r="U1126">
        <f>IFERROR(INDEX(PP_Grid[#Data],$DD1126,19),0)</f>
        <v/>
      </c>
      <c r="V1126">
        <f>IFERROR(INDEX(PP_Grid[#Data],$DD1126,20),0)</f>
        <v/>
      </c>
      <c r="W1126">
        <f>IFERROR(INDEX(PP_Grid[#Data],$DD1126,21),0)</f>
        <v/>
      </c>
      <c r="X1126">
        <f>IFERROR(INDEX(PP_Grid[#Data],$DD1126,22),0)</f>
        <v/>
      </c>
      <c r="Y1126">
        <f>IFERROR(INDEX(PP_Grid[#Data],$DD1126,23),0)</f>
        <v/>
      </c>
      <c r="Z1126">
        <f>IFERROR(INDEX(PP_Grid[#Data],$DD1126,24),0)</f>
        <v/>
      </c>
      <c r="AA1126">
        <f>IFERROR(INDEX(PP_Grid[#Data],$DD1126,25),0)</f>
        <v/>
      </c>
      <c r="AB1126">
        <f>IFERROR(INDEX(PP_Grid[#Data],$DD1126,26),0)</f>
        <v/>
      </c>
      <c r="AC1126">
        <f>IFERROR(INDEX(PP_Grid[#Data],$DD1126,27),0)</f>
        <v/>
      </c>
      <c r="AD1126">
        <f>IFERROR(INDEX(PP_Grid[#Data],$DD1126,28),0)</f>
        <v/>
      </c>
      <c r="AE1126">
        <f>IFERROR(INDEX(PP_Grid[#Data],$DD1126,29),0)</f>
        <v/>
      </c>
      <c r="AF1126">
        <f>IFERROR(INDEX(PP_Grid[#Data],$DD1126,30),0)</f>
        <v/>
      </c>
      <c r="AG1126">
        <f>IFERROR(INDEX(PP_Grid[#Data],$DD1126,31),0)</f>
        <v/>
      </c>
      <c r="AH1126">
        <f>IFERROR(INDEX(PP_Grid[#Data],$DD1126,32),0)</f>
        <v/>
      </c>
      <c r="AI1126">
        <f>IFERROR(INDEX(PP_Grid[#Data],$DD1126,33),0)</f>
        <v/>
      </c>
      <c r="AJ1126">
        <f>IFERROR(INDEX(PP_Grid[#Data],$DD1126,34),0)</f>
        <v/>
      </c>
      <c r="AK1126">
        <f>IFERROR(INDEX(PP_Grid[#Data],$DD1126,35),0)</f>
        <v/>
      </c>
      <c r="AL1126">
        <f>IFERROR(INDEX(PP_Grid[#Data],$DD1126,36),0)</f>
        <v/>
      </c>
      <c r="AM1126">
        <f>IFERROR(INDEX(PP_Grid[#Data],$DD1126,37),0)</f>
        <v/>
      </c>
      <c r="AN1126">
        <f>IFERROR(INDEX(PP_Grid[#Data],$DD1126,38),0)</f>
        <v/>
      </c>
      <c r="AO1126">
        <f>IFERROR(INDEX(PP_Grid[#Data],$DD1126,39),0)</f>
        <v/>
      </c>
      <c r="AP1126">
        <f>IFERROR(INDEX(PP_Grid[#Data],$DD1126,40),0)</f>
        <v/>
      </c>
      <c r="AQ1126">
        <f>IFERROR(INDEX(PP_Grid[#Data],$DD1126,41),0)</f>
        <v/>
      </c>
      <c r="AR1126">
        <f>IFERROR(INDEX(PP_Grid[#Data],$DD1126,42),0)</f>
        <v/>
      </c>
      <c r="AS1126">
        <f>IFERROR(INDEX(PP_Grid[#Data],$DD1126,43),0)</f>
        <v/>
      </c>
      <c r="AT1126">
        <f>IFERROR(INDEX(PP_Grid[#Data],$DD1126,44),0)</f>
        <v/>
      </c>
      <c r="AU1126">
        <f>IFERROR(INDEX(PP_Grid[#Data],$DD1126,45),0)</f>
        <v/>
      </c>
      <c r="AV1126">
        <f>IFERROR(INDEX(PP_Grid[#Data],$DD1126,46),0)</f>
        <v/>
      </c>
      <c r="AW1126">
        <f>IFERROR(INDEX(PP_Grid[#Data],$DD1126,47),0)</f>
        <v/>
      </c>
      <c r="AX1126">
        <f>IFERROR(INDEX(PP_Grid[#Data],$DD1126,48),0)</f>
        <v/>
      </c>
      <c r="AY1126">
        <f>IFERROR(INDEX(PP_Grid[#Data],$DD1126,49),0)</f>
        <v/>
      </c>
      <c r="AZ1126">
        <f>IFERROR(INDEX(PP_Grid[#Data],$DD1126,50),0)</f>
        <v/>
      </c>
      <c r="BA1126">
        <f>IFERROR(INDEX(PP_Grid[#Data],$DD1126,51),0)</f>
        <v/>
      </c>
      <c r="BB1126">
        <f>IFERROR(INDEX(PP_Grid[#Data],$DD1126,52),0)</f>
        <v/>
      </c>
      <c r="BC1126">
        <f>IFERROR(INDEX(PP_Grid[#Data],$DD1126,53),0)</f>
        <v/>
      </c>
      <c r="BD1126">
        <f>IFERROR(INDEX(PP_Grid[#Data],$DD1126,54),0)</f>
        <v/>
      </c>
      <c r="BE1126">
        <f>IFERROR(INDEX(PP_Grid[#Data],$DD1126,55),0)</f>
        <v/>
      </c>
      <c r="BF1126">
        <f>IFERROR(INDEX(PP_Grid[#Data],$DD1126,56),0)</f>
        <v/>
      </c>
      <c r="BG1126">
        <f>IFERROR(INDEX(PP_Grid[#Data],$DD1126,57),0)</f>
        <v/>
      </c>
      <c r="BH1126">
        <f>IFERROR(INDEX(PP_Grid[#Data],$DD1126,58),0)</f>
        <v/>
      </c>
      <c r="BI1126">
        <f>IFERROR(INDEX(PP_Grid[#Data],$DD1126,59),0)</f>
        <v/>
      </c>
      <c r="BJ1126">
        <f>IFERROR(INDEX(PP_Grid[#Data],$DD1126,60),0)</f>
        <v/>
      </c>
      <c r="BK1126">
        <f>IFERROR(INDEX(PP_Grid[#Data],$DD1126,61),0)</f>
        <v/>
      </c>
      <c r="BL1126">
        <f>IFERROR(INDEX(PP_Grid[#Data],$DD1126,62),0)</f>
        <v/>
      </c>
      <c r="BM1126">
        <f>IFERROR(INDEX(PP_Grid[#Data],$DD1126,63),0)</f>
        <v/>
      </c>
      <c r="BN1126">
        <f>IFERROR(INDEX(PP_Grid[#Data],$DD1126,64),0)</f>
        <v/>
      </c>
      <c r="BO1126">
        <f>IFERROR(INDEX(PP_Grid[#Data],$DD1126,65),0)</f>
        <v/>
      </c>
      <c r="BP1126">
        <f>IFERROR(INDEX(PP_Grid[#Data],$DD1126,66),0)</f>
        <v/>
      </c>
      <c r="BQ1126">
        <f>IFERROR(INDEX(PP_Grid[#Data],$DD1126,67),0)</f>
        <v/>
      </c>
      <c r="BR1126">
        <f>IFERROR(INDEX(PP_Grid[#Data],$DD1126,68),0)</f>
        <v/>
      </c>
      <c r="BS1126">
        <f>IFERROR(INDEX(PP_Grid[#Data],$DD1126,69),0)</f>
        <v/>
      </c>
      <c r="BT1126">
        <f>IFERROR(INDEX(PP_Grid[#Data],$DD1126,70),0)</f>
        <v/>
      </c>
      <c r="BU1126">
        <f>IFERROR(INDEX(PP_Grid[#Data],$DD1126,71),0)</f>
        <v/>
      </c>
      <c r="BV1126">
        <f>IFERROR(INDEX(PP_Grid[#Data],$DD1126,72),0)</f>
        <v/>
      </c>
      <c r="BW1126">
        <f>IFERROR(INDEX(PP_Grid[#Data],$DD1126,73),0)</f>
        <v/>
      </c>
      <c r="BX1126">
        <f>IFERROR(INDEX(PP_Grid[#Data],$DD1126,74),0)</f>
        <v/>
      </c>
      <c r="BY1126">
        <f>IFERROR(INDEX(PP_Grid[#Data],$DD1126,75),0)</f>
        <v/>
      </c>
      <c r="BZ1126">
        <f>IFERROR(INDEX(PP_Grid[#Data],$DD1126,76),0)</f>
        <v/>
      </c>
      <c r="CA1126">
        <f>IFERROR(INDEX(PP_Grid[#Data],$DD1126,77),0)</f>
        <v/>
      </c>
      <c r="CB1126">
        <f>IFERROR(INDEX(PP_Grid[#Data],$DD1126,78),0)</f>
        <v/>
      </c>
      <c r="CC1126">
        <f>IFERROR(INDEX(PP_Grid[#Data],$DD1126,79),0)</f>
        <v/>
      </c>
      <c r="CD1126">
        <f>IFERROR(INDEX(PP_Grid[#Data],$DD1126,80),0)</f>
        <v/>
      </c>
      <c r="CE1126">
        <f>IFERROR(INDEX(PP_Grid[#Data],$DD1126,81),0)</f>
        <v/>
      </c>
      <c r="CF1126">
        <f>IFERROR(INDEX(PP_Grid[#Data],$DD1126,82),0)</f>
        <v/>
      </c>
      <c r="CG1126">
        <f>IFERROR(INDEX(PP_Grid[#Data],$DD1126,83),0)</f>
        <v/>
      </c>
      <c r="CH1126">
        <f>IFERROR(INDEX(PP_Grid[#Data],$DD1126,84),0)</f>
        <v/>
      </c>
      <c r="CI1126">
        <f>IFERROR(INDEX(PP_Grid[#Data],$DD1126,85),0)</f>
        <v/>
      </c>
      <c r="CJ1126">
        <f>IFERROR(INDEX(PP_Grid[#Data],$DD1126,86),0)</f>
        <v/>
      </c>
      <c r="CK1126">
        <f>IFERROR(INDEX(PP_Grid[#Data],$DD1126,87),0)</f>
        <v/>
      </c>
      <c r="CL1126">
        <f>IFERROR(INDEX(PP_Grid[#Data],$DD1126,88),0)</f>
        <v/>
      </c>
      <c r="CM1126">
        <f>IFERROR(INDEX(PP_Grid[#Data],$DD1126,89),0)</f>
        <v/>
      </c>
      <c r="CN1126">
        <f>IFERROR(INDEX(PP_Grid[#Data],$DD1126,90),0)</f>
        <v/>
      </c>
      <c r="CO1126">
        <f>IFERROR(INDEX(PP_Grid[#Data],$DD1126,91),0)</f>
        <v/>
      </c>
      <c r="CP1126">
        <f>IFERROR(INDEX(PP_Grid[#Data],$DD1126,92),0)</f>
        <v/>
      </c>
      <c r="CQ1126">
        <f>IFERROR(INDEX(PP_Grid[#Data],$DD1126,93),0)</f>
        <v/>
      </c>
      <c r="CR1126">
        <f>IFERROR(INDEX(PP_Grid[#Data],$DD1126,94),0)</f>
        <v/>
      </c>
      <c r="CS1126">
        <f>IFERROR(INDEX(PP_Grid[#Data],$DD1126,95),0)</f>
        <v/>
      </c>
      <c r="CT1126">
        <f>IFERROR(INDEX(PP_Grid[#Data],$DD1126,96),0)</f>
        <v/>
      </c>
      <c r="CU1126">
        <f>IFERROR(INDEX(PP_Grid[#Data],$DD1126,97),0)</f>
        <v/>
      </c>
      <c r="CV1126">
        <f>IFERROR(INDEX(PP_Grid[#Data],$DD1126,98),0)</f>
        <v/>
      </c>
      <c r="CW1126">
        <f>IFERROR(INDEX(PP_Grid[#Data],$DD1126,99),0)</f>
        <v/>
      </c>
      <c r="CX1126">
        <f>IFERROR(INDEX(PP_Grid[#Data],$DD1126,100),0)</f>
        <v/>
      </c>
      <c r="CY1126">
        <f>IFERROR(INDEX(PP_Grid[#Data],$DD1126,101),0)</f>
        <v/>
      </c>
      <c r="CZ1126">
        <f>IFERROR(INDEX(PP_Grid[#Data],$DD1126,102),0)</f>
        <v/>
      </c>
      <c r="DA1126">
        <f>IFERROR(INDEX(PP_Grid[#Data],$DD1126,103),0)</f>
        <v/>
      </c>
      <c r="DB1126">
        <f>IFERROR(INDEX(PP_Grid[#Data],$DD1126,104),0)</f>
        <v/>
      </c>
      <c r="DC1126">
        <f>IFERROR(INDEX(PP_Grid[#Data],$DD1126,105),0)</f>
        <v/>
      </c>
      <c r="DD1126" s="12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SUMIFS(M_BOM[RM_Qty_Per_Batch],M_BOM[Intermediate],$B1126,M_BOM[Part Name],$A1125)</f>
        <v/>
      </c>
      <c r="D1127">
        <f>$C1127*D1126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</row>
    <row r="1128">
      <c r="B1128" t="inlineStr">
        <is>
          <t>TSP-1448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12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Name],$A1125)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t="inlineStr">
        <is>
          <t>TSP-1449</t>
        </is>
      </c>
      <c r="C1130" t="inlineStr">
        <is>
          <t>No. of batches</t>
        </is>
      </c>
      <c r="D1130">
        <f>IFERROR(INDEX(PP_Grid[#Data],$DD1130,2),0)</f>
        <v/>
      </c>
      <c r="E1130">
        <f>IFERROR(INDEX(PP_Grid[#Data],$DD1130,3),0)</f>
        <v/>
      </c>
      <c r="F1130">
        <f>IFERROR(INDEX(PP_Grid[#Data],$DD1130,4),0)</f>
        <v/>
      </c>
      <c r="G1130">
        <f>IFERROR(INDEX(PP_Grid[#Data],$DD1130,5),0)</f>
        <v/>
      </c>
      <c r="H1130">
        <f>IFERROR(INDEX(PP_Grid[#Data],$DD1130,6),0)</f>
        <v/>
      </c>
      <c r="I1130">
        <f>IFERROR(INDEX(PP_Grid[#Data],$DD1130,7),0)</f>
        <v/>
      </c>
      <c r="J1130">
        <f>IFERROR(INDEX(PP_Grid[#Data],$DD1130,8),0)</f>
        <v/>
      </c>
      <c r="K1130">
        <f>IFERROR(INDEX(PP_Grid[#Data],$DD1130,9),0)</f>
        <v/>
      </c>
      <c r="L1130">
        <f>IFERROR(INDEX(PP_Grid[#Data],$DD1130,10),0)</f>
        <v/>
      </c>
      <c r="M1130">
        <f>IFERROR(INDEX(PP_Grid[#Data],$DD1130,11),0)</f>
        <v/>
      </c>
      <c r="N1130">
        <f>IFERROR(INDEX(PP_Grid[#Data],$DD1130,12),0)</f>
        <v/>
      </c>
      <c r="O1130">
        <f>IFERROR(INDEX(PP_Grid[#Data],$DD1130,13),0)</f>
        <v/>
      </c>
      <c r="P1130">
        <f>IFERROR(INDEX(PP_Grid[#Data],$DD1130,14),0)</f>
        <v/>
      </c>
      <c r="Q1130">
        <f>IFERROR(INDEX(PP_Grid[#Data],$DD1130,15),0)</f>
        <v/>
      </c>
      <c r="R1130">
        <f>IFERROR(INDEX(PP_Grid[#Data],$DD1130,16),0)</f>
        <v/>
      </c>
      <c r="S1130">
        <f>IFERROR(INDEX(PP_Grid[#Data],$DD1130,17),0)</f>
        <v/>
      </c>
      <c r="T1130">
        <f>IFERROR(INDEX(PP_Grid[#Data],$DD1130,18),0)</f>
        <v/>
      </c>
      <c r="U1130">
        <f>IFERROR(INDEX(PP_Grid[#Data],$DD1130,19),0)</f>
        <v/>
      </c>
      <c r="V1130">
        <f>IFERROR(INDEX(PP_Grid[#Data],$DD1130,20),0)</f>
        <v/>
      </c>
      <c r="W1130">
        <f>IFERROR(INDEX(PP_Grid[#Data],$DD1130,21),0)</f>
        <v/>
      </c>
      <c r="X1130">
        <f>IFERROR(INDEX(PP_Grid[#Data],$DD1130,22),0)</f>
        <v/>
      </c>
      <c r="Y1130">
        <f>IFERROR(INDEX(PP_Grid[#Data],$DD1130,23),0)</f>
        <v/>
      </c>
      <c r="Z1130">
        <f>IFERROR(INDEX(PP_Grid[#Data],$DD1130,24),0)</f>
        <v/>
      </c>
      <c r="AA1130">
        <f>IFERROR(INDEX(PP_Grid[#Data],$DD1130,25),0)</f>
        <v/>
      </c>
      <c r="AB1130">
        <f>IFERROR(INDEX(PP_Grid[#Data],$DD1130,26),0)</f>
        <v/>
      </c>
      <c r="AC1130">
        <f>IFERROR(INDEX(PP_Grid[#Data],$DD1130,27),0)</f>
        <v/>
      </c>
      <c r="AD1130">
        <f>IFERROR(INDEX(PP_Grid[#Data],$DD1130,28),0)</f>
        <v/>
      </c>
      <c r="AE1130">
        <f>IFERROR(INDEX(PP_Grid[#Data],$DD1130,29),0)</f>
        <v/>
      </c>
      <c r="AF1130">
        <f>IFERROR(INDEX(PP_Grid[#Data],$DD1130,30),0)</f>
        <v/>
      </c>
      <c r="AG1130">
        <f>IFERROR(INDEX(PP_Grid[#Data],$DD1130,31),0)</f>
        <v/>
      </c>
      <c r="AH1130">
        <f>IFERROR(INDEX(PP_Grid[#Data],$DD1130,32),0)</f>
        <v/>
      </c>
      <c r="AI1130">
        <f>IFERROR(INDEX(PP_Grid[#Data],$DD1130,33),0)</f>
        <v/>
      </c>
      <c r="AJ1130">
        <f>IFERROR(INDEX(PP_Grid[#Data],$DD1130,34),0)</f>
        <v/>
      </c>
      <c r="AK1130">
        <f>IFERROR(INDEX(PP_Grid[#Data],$DD1130,35),0)</f>
        <v/>
      </c>
      <c r="AL1130">
        <f>IFERROR(INDEX(PP_Grid[#Data],$DD1130,36),0)</f>
        <v/>
      </c>
      <c r="AM1130">
        <f>IFERROR(INDEX(PP_Grid[#Data],$DD1130,37),0)</f>
        <v/>
      </c>
      <c r="AN1130">
        <f>IFERROR(INDEX(PP_Grid[#Data],$DD1130,38),0)</f>
        <v/>
      </c>
      <c r="AO1130">
        <f>IFERROR(INDEX(PP_Grid[#Data],$DD1130,39),0)</f>
        <v/>
      </c>
      <c r="AP1130">
        <f>IFERROR(INDEX(PP_Grid[#Data],$DD1130,40),0)</f>
        <v/>
      </c>
      <c r="AQ1130">
        <f>IFERROR(INDEX(PP_Grid[#Data],$DD1130,41),0)</f>
        <v/>
      </c>
      <c r="AR1130">
        <f>IFERROR(INDEX(PP_Grid[#Data],$DD1130,42),0)</f>
        <v/>
      </c>
      <c r="AS1130">
        <f>IFERROR(INDEX(PP_Grid[#Data],$DD1130,43),0)</f>
        <v/>
      </c>
      <c r="AT1130">
        <f>IFERROR(INDEX(PP_Grid[#Data],$DD1130,44),0)</f>
        <v/>
      </c>
      <c r="AU1130">
        <f>IFERROR(INDEX(PP_Grid[#Data],$DD1130,45),0)</f>
        <v/>
      </c>
      <c r="AV1130">
        <f>IFERROR(INDEX(PP_Grid[#Data],$DD1130,46),0)</f>
        <v/>
      </c>
      <c r="AW1130">
        <f>IFERROR(INDEX(PP_Grid[#Data],$DD1130,47),0)</f>
        <v/>
      </c>
      <c r="AX1130">
        <f>IFERROR(INDEX(PP_Grid[#Data],$DD1130,48),0)</f>
        <v/>
      </c>
      <c r="AY1130">
        <f>IFERROR(INDEX(PP_Grid[#Data],$DD1130,49),0)</f>
        <v/>
      </c>
      <c r="AZ1130">
        <f>IFERROR(INDEX(PP_Grid[#Data],$DD1130,50),0)</f>
        <v/>
      </c>
      <c r="BA1130">
        <f>IFERROR(INDEX(PP_Grid[#Data],$DD1130,51),0)</f>
        <v/>
      </c>
      <c r="BB1130">
        <f>IFERROR(INDEX(PP_Grid[#Data],$DD1130,52),0)</f>
        <v/>
      </c>
      <c r="BC1130">
        <f>IFERROR(INDEX(PP_Grid[#Data],$DD1130,53),0)</f>
        <v/>
      </c>
      <c r="BD1130">
        <f>IFERROR(INDEX(PP_Grid[#Data],$DD1130,54),0)</f>
        <v/>
      </c>
      <c r="BE1130">
        <f>IFERROR(INDEX(PP_Grid[#Data],$DD1130,55),0)</f>
        <v/>
      </c>
      <c r="BF1130">
        <f>IFERROR(INDEX(PP_Grid[#Data],$DD1130,56),0)</f>
        <v/>
      </c>
      <c r="BG1130">
        <f>IFERROR(INDEX(PP_Grid[#Data],$DD1130,57),0)</f>
        <v/>
      </c>
      <c r="BH1130">
        <f>IFERROR(INDEX(PP_Grid[#Data],$DD1130,58),0)</f>
        <v/>
      </c>
      <c r="BI1130">
        <f>IFERROR(INDEX(PP_Grid[#Data],$DD1130,59),0)</f>
        <v/>
      </c>
      <c r="BJ1130">
        <f>IFERROR(INDEX(PP_Grid[#Data],$DD1130,60),0)</f>
        <v/>
      </c>
      <c r="BK1130">
        <f>IFERROR(INDEX(PP_Grid[#Data],$DD1130,61),0)</f>
        <v/>
      </c>
      <c r="BL1130">
        <f>IFERROR(INDEX(PP_Grid[#Data],$DD1130,62),0)</f>
        <v/>
      </c>
      <c r="BM1130">
        <f>IFERROR(INDEX(PP_Grid[#Data],$DD1130,63),0)</f>
        <v/>
      </c>
      <c r="BN1130">
        <f>IFERROR(INDEX(PP_Grid[#Data],$DD1130,64),0)</f>
        <v/>
      </c>
      <c r="BO1130">
        <f>IFERROR(INDEX(PP_Grid[#Data],$DD1130,65),0)</f>
        <v/>
      </c>
      <c r="BP1130">
        <f>IFERROR(INDEX(PP_Grid[#Data],$DD1130,66),0)</f>
        <v/>
      </c>
      <c r="BQ1130">
        <f>IFERROR(INDEX(PP_Grid[#Data],$DD1130,67),0)</f>
        <v/>
      </c>
      <c r="BR1130">
        <f>IFERROR(INDEX(PP_Grid[#Data],$DD1130,68),0)</f>
        <v/>
      </c>
      <c r="BS1130">
        <f>IFERROR(INDEX(PP_Grid[#Data],$DD1130,69),0)</f>
        <v/>
      </c>
      <c r="BT1130">
        <f>IFERROR(INDEX(PP_Grid[#Data],$DD1130,70),0)</f>
        <v/>
      </c>
      <c r="BU1130">
        <f>IFERROR(INDEX(PP_Grid[#Data],$DD1130,71),0)</f>
        <v/>
      </c>
      <c r="BV1130">
        <f>IFERROR(INDEX(PP_Grid[#Data],$DD1130,72),0)</f>
        <v/>
      </c>
      <c r="BW1130">
        <f>IFERROR(INDEX(PP_Grid[#Data],$DD1130,73),0)</f>
        <v/>
      </c>
      <c r="BX1130">
        <f>IFERROR(INDEX(PP_Grid[#Data],$DD1130,74),0)</f>
        <v/>
      </c>
      <c r="BY1130">
        <f>IFERROR(INDEX(PP_Grid[#Data],$DD1130,75),0)</f>
        <v/>
      </c>
      <c r="BZ1130">
        <f>IFERROR(INDEX(PP_Grid[#Data],$DD1130,76),0)</f>
        <v/>
      </c>
      <c r="CA1130">
        <f>IFERROR(INDEX(PP_Grid[#Data],$DD1130,77),0)</f>
        <v/>
      </c>
      <c r="CB1130">
        <f>IFERROR(INDEX(PP_Grid[#Data],$DD1130,78),0)</f>
        <v/>
      </c>
      <c r="CC1130">
        <f>IFERROR(INDEX(PP_Grid[#Data],$DD1130,79),0)</f>
        <v/>
      </c>
      <c r="CD1130">
        <f>IFERROR(INDEX(PP_Grid[#Data],$DD1130,80),0)</f>
        <v/>
      </c>
      <c r="CE1130">
        <f>IFERROR(INDEX(PP_Grid[#Data],$DD1130,81),0)</f>
        <v/>
      </c>
      <c r="CF1130">
        <f>IFERROR(INDEX(PP_Grid[#Data],$DD1130,82),0)</f>
        <v/>
      </c>
      <c r="CG1130">
        <f>IFERROR(INDEX(PP_Grid[#Data],$DD1130,83),0)</f>
        <v/>
      </c>
      <c r="CH1130">
        <f>IFERROR(INDEX(PP_Grid[#Data],$DD1130,84),0)</f>
        <v/>
      </c>
      <c r="CI1130">
        <f>IFERROR(INDEX(PP_Grid[#Data],$DD1130,85),0)</f>
        <v/>
      </c>
      <c r="CJ1130">
        <f>IFERROR(INDEX(PP_Grid[#Data],$DD1130,86),0)</f>
        <v/>
      </c>
      <c r="CK1130">
        <f>IFERROR(INDEX(PP_Grid[#Data],$DD1130,87),0)</f>
        <v/>
      </c>
      <c r="CL1130">
        <f>IFERROR(INDEX(PP_Grid[#Data],$DD1130,88),0)</f>
        <v/>
      </c>
      <c r="CM1130">
        <f>IFERROR(INDEX(PP_Grid[#Data],$DD1130,89),0)</f>
        <v/>
      </c>
      <c r="CN1130">
        <f>IFERROR(INDEX(PP_Grid[#Data],$DD1130,90),0)</f>
        <v/>
      </c>
      <c r="CO1130">
        <f>IFERROR(INDEX(PP_Grid[#Data],$DD1130,91),0)</f>
        <v/>
      </c>
      <c r="CP1130">
        <f>IFERROR(INDEX(PP_Grid[#Data],$DD1130,92),0)</f>
        <v/>
      </c>
      <c r="CQ1130">
        <f>IFERROR(INDEX(PP_Grid[#Data],$DD1130,93),0)</f>
        <v/>
      </c>
      <c r="CR1130">
        <f>IFERROR(INDEX(PP_Grid[#Data],$DD1130,94),0)</f>
        <v/>
      </c>
      <c r="CS1130">
        <f>IFERROR(INDEX(PP_Grid[#Data],$DD1130,95),0)</f>
        <v/>
      </c>
      <c r="CT1130">
        <f>IFERROR(INDEX(PP_Grid[#Data],$DD1130,96),0)</f>
        <v/>
      </c>
      <c r="CU1130">
        <f>IFERROR(INDEX(PP_Grid[#Data],$DD1130,97),0)</f>
        <v/>
      </c>
      <c r="CV1130">
        <f>IFERROR(INDEX(PP_Grid[#Data],$DD1130,98),0)</f>
        <v/>
      </c>
      <c r="CW1130">
        <f>IFERROR(INDEX(PP_Grid[#Data],$DD1130,99),0)</f>
        <v/>
      </c>
      <c r="CX1130">
        <f>IFERROR(INDEX(PP_Grid[#Data],$DD1130,100),0)</f>
        <v/>
      </c>
      <c r="CY1130">
        <f>IFERROR(INDEX(PP_Grid[#Data],$DD1130,101),0)</f>
        <v/>
      </c>
      <c r="CZ1130">
        <f>IFERROR(INDEX(PP_Grid[#Data],$DD1130,102),0)</f>
        <v/>
      </c>
      <c r="DA1130">
        <f>IFERROR(INDEX(PP_Grid[#Data],$DD1130,103),0)</f>
        <v/>
      </c>
      <c r="DB1130">
        <f>IFERROR(INDEX(PP_Grid[#Data],$DD1130,104),0)</f>
        <v/>
      </c>
      <c r="DC1130">
        <f>IFERROR(INDEX(PP_Grid[#Data],$DD1130,105),0)</f>
        <v/>
      </c>
      <c r="DD1130" s="12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SUMIFS(M_BOM[RM_Qty_Per_Batch],M_BOM[Intermediate],$B1130,M_BOM[Part Name],$A1125)</f>
        <v/>
      </c>
      <c r="D1131">
        <f>$C1131*D1130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</row>
    <row r="1132">
      <c r="B1132" t="inlineStr">
        <is>
          <t>TSP-1499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12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Name],$A1125)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TSP-1555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12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Name],$A1125)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TSP-620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12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Name],$A1125)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TSP-623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12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Name],$A1125)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TSP-934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12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Name],$A1125)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TSP-935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12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Name],$A1125)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TSP-936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12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Name],$A1125)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TSP-937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12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Name],$A1125)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s="5" t="inlineStr">
        <is>
          <t>合計使用量(kg)/週</t>
        </is>
      </c>
      <c r="D1148">
        <f>'Grid_Requirement'!B50</f>
        <v/>
      </c>
      <c r="E1148">
        <f>'Grid_Requirement'!C50</f>
        <v/>
      </c>
      <c r="F1148">
        <f>'Grid_Requirement'!D50</f>
        <v/>
      </c>
      <c r="G1148">
        <f>'Grid_Requirement'!E50</f>
        <v/>
      </c>
      <c r="H1148">
        <f>'Grid_Requirement'!F50</f>
        <v/>
      </c>
      <c r="I1148">
        <f>'Grid_Requirement'!G50</f>
        <v/>
      </c>
      <c r="J1148">
        <f>'Grid_Requirement'!H50</f>
        <v/>
      </c>
      <c r="K1148">
        <f>'Grid_Requirement'!I50</f>
        <v/>
      </c>
      <c r="L1148">
        <f>'Grid_Requirement'!J50</f>
        <v/>
      </c>
      <c r="M1148">
        <f>'Grid_Requirement'!K50</f>
        <v/>
      </c>
      <c r="N1148">
        <f>'Grid_Requirement'!L50</f>
        <v/>
      </c>
      <c r="O1148">
        <f>'Grid_Requirement'!M50</f>
        <v/>
      </c>
      <c r="P1148">
        <f>'Grid_Requirement'!N50</f>
        <v/>
      </c>
      <c r="Q1148">
        <f>'Grid_Requirement'!O50</f>
        <v/>
      </c>
      <c r="R1148">
        <f>'Grid_Requirement'!P50</f>
        <v/>
      </c>
      <c r="S1148">
        <f>'Grid_Requirement'!Q50</f>
        <v/>
      </c>
      <c r="T1148">
        <f>'Grid_Requirement'!R50</f>
        <v/>
      </c>
      <c r="U1148">
        <f>'Grid_Requirement'!S50</f>
        <v/>
      </c>
      <c r="V1148">
        <f>'Grid_Requirement'!T50</f>
        <v/>
      </c>
      <c r="W1148">
        <f>'Grid_Requirement'!U50</f>
        <v/>
      </c>
      <c r="X1148">
        <f>'Grid_Requirement'!V50</f>
        <v/>
      </c>
      <c r="Y1148">
        <f>'Grid_Requirement'!W50</f>
        <v/>
      </c>
      <c r="Z1148">
        <f>'Grid_Requirement'!X50</f>
        <v/>
      </c>
      <c r="AA1148">
        <f>'Grid_Requirement'!Y50</f>
        <v/>
      </c>
      <c r="AB1148">
        <f>'Grid_Requirement'!Z50</f>
        <v/>
      </c>
      <c r="AC1148">
        <f>'Grid_Requirement'!AA50</f>
        <v/>
      </c>
      <c r="AD1148">
        <f>'Grid_Requirement'!AB50</f>
        <v/>
      </c>
      <c r="AE1148">
        <f>'Grid_Requirement'!AC50</f>
        <v/>
      </c>
      <c r="AF1148">
        <f>'Grid_Requirement'!AD50</f>
        <v/>
      </c>
      <c r="AG1148">
        <f>'Grid_Requirement'!AE50</f>
        <v/>
      </c>
      <c r="AH1148">
        <f>'Grid_Requirement'!AF50</f>
        <v/>
      </c>
      <c r="AI1148">
        <f>'Grid_Requirement'!AG50</f>
        <v/>
      </c>
      <c r="AJ1148">
        <f>'Grid_Requirement'!AH50</f>
        <v/>
      </c>
      <c r="AK1148">
        <f>'Grid_Requirement'!AI50</f>
        <v/>
      </c>
      <c r="AL1148">
        <f>'Grid_Requirement'!AJ50</f>
        <v/>
      </c>
      <c r="AM1148">
        <f>'Grid_Requirement'!AK50</f>
        <v/>
      </c>
      <c r="AN1148">
        <f>'Grid_Requirement'!AL50</f>
        <v/>
      </c>
      <c r="AO1148">
        <f>'Grid_Requirement'!AM50</f>
        <v/>
      </c>
      <c r="AP1148">
        <f>'Grid_Requirement'!AN50</f>
        <v/>
      </c>
      <c r="AQ1148">
        <f>'Grid_Requirement'!AO50</f>
        <v/>
      </c>
      <c r="AR1148">
        <f>'Grid_Requirement'!AP50</f>
        <v/>
      </c>
      <c r="AS1148">
        <f>'Grid_Requirement'!AQ50</f>
        <v/>
      </c>
      <c r="AT1148">
        <f>'Grid_Requirement'!AR50</f>
        <v/>
      </c>
      <c r="AU1148">
        <f>'Grid_Requirement'!AS50</f>
        <v/>
      </c>
      <c r="AV1148">
        <f>'Grid_Requirement'!AT50</f>
        <v/>
      </c>
      <c r="AW1148">
        <f>'Grid_Requirement'!AU50</f>
        <v/>
      </c>
      <c r="AX1148">
        <f>'Grid_Requirement'!AV50</f>
        <v/>
      </c>
      <c r="AY1148">
        <f>'Grid_Requirement'!AW50</f>
        <v/>
      </c>
      <c r="AZ1148">
        <f>'Grid_Requirement'!AX50</f>
        <v/>
      </c>
      <c r="BA1148">
        <f>'Grid_Requirement'!AY50</f>
        <v/>
      </c>
      <c r="BB1148">
        <f>'Grid_Requirement'!AZ50</f>
        <v/>
      </c>
      <c r="BC1148">
        <f>'Grid_Requirement'!BA50</f>
        <v/>
      </c>
      <c r="BD1148">
        <f>'Grid_Requirement'!BB50</f>
        <v/>
      </c>
      <c r="BE1148">
        <f>'Grid_Requirement'!BC50</f>
        <v/>
      </c>
      <c r="BF1148">
        <f>'Grid_Requirement'!BD50</f>
        <v/>
      </c>
      <c r="BG1148">
        <f>'Grid_Requirement'!BE50</f>
        <v/>
      </c>
      <c r="BH1148">
        <f>'Grid_Requirement'!BF50</f>
        <v/>
      </c>
      <c r="BI1148">
        <f>'Grid_Requirement'!BG50</f>
        <v/>
      </c>
      <c r="BJ1148">
        <f>'Grid_Requirement'!BH50</f>
        <v/>
      </c>
      <c r="BK1148">
        <f>'Grid_Requirement'!BI50</f>
        <v/>
      </c>
      <c r="BL1148">
        <f>'Grid_Requirement'!BJ50</f>
        <v/>
      </c>
      <c r="BM1148">
        <f>'Grid_Requirement'!BK50</f>
        <v/>
      </c>
      <c r="BN1148">
        <f>'Grid_Requirement'!BL50</f>
        <v/>
      </c>
      <c r="BO1148">
        <f>'Grid_Requirement'!BM50</f>
        <v/>
      </c>
      <c r="BP1148">
        <f>'Grid_Requirement'!BN50</f>
        <v/>
      </c>
      <c r="BQ1148">
        <f>'Grid_Requirement'!BO50</f>
        <v/>
      </c>
      <c r="BR1148">
        <f>'Grid_Requirement'!BP50</f>
        <v/>
      </c>
      <c r="BS1148">
        <f>'Grid_Requirement'!BQ50</f>
        <v/>
      </c>
      <c r="BT1148">
        <f>'Grid_Requirement'!BR50</f>
        <v/>
      </c>
      <c r="BU1148">
        <f>'Grid_Requirement'!BS50</f>
        <v/>
      </c>
      <c r="BV1148">
        <f>'Grid_Requirement'!BT50</f>
        <v/>
      </c>
      <c r="BW1148">
        <f>'Grid_Requirement'!BU50</f>
        <v/>
      </c>
      <c r="BX1148">
        <f>'Grid_Requirement'!BV50</f>
        <v/>
      </c>
      <c r="BY1148">
        <f>'Grid_Requirement'!BW50</f>
        <v/>
      </c>
      <c r="BZ1148">
        <f>'Grid_Requirement'!BX50</f>
        <v/>
      </c>
      <c r="CA1148">
        <f>'Grid_Requirement'!BY50</f>
        <v/>
      </c>
      <c r="CB1148">
        <f>'Grid_Requirement'!BZ50</f>
        <v/>
      </c>
      <c r="CC1148">
        <f>'Grid_Requirement'!CA50</f>
        <v/>
      </c>
      <c r="CD1148">
        <f>'Grid_Requirement'!CB50</f>
        <v/>
      </c>
      <c r="CE1148">
        <f>'Grid_Requirement'!CC50</f>
        <v/>
      </c>
      <c r="CF1148">
        <f>'Grid_Requirement'!CD50</f>
        <v/>
      </c>
      <c r="CG1148">
        <f>'Grid_Requirement'!CE50</f>
        <v/>
      </c>
      <c r="CH1148">
        <f>'Grid_Requirement'!CF50</f>
        <v/>
      </c>
      <c r="CI1148">
        <f>'Grid_Requirement'!CG50</f>
        <v/>
      </c>
      <c r="CJ1148">
        <f>'Grid_Requirement'!CH50</f>
        <v/>
      </c>
      <c r="CK1148">
        <f>'Grid_Requirement'!CI50</f>
        <v/>
      </c>
      <c r="CL1148">
        <f>'Grid_Requirement'!CJ50</f>
        <v/>
      </c>
      <c r="CM1148">
        <f>'Grid_Requirement'!CK50</f>
        <v/>
      </c>
      <c r="CN1148">
        <f>'Grid_Requirement'!CL50</f>
        <v/>
      </c>
      <c r="CO1148">
        <f>'Grid_Requirement'!CM50</f>
        <v/>
      </c>
      <c r="CP1148">
        <f>'Grid_Requirement'!CN50</f>
        <v/>
      </c>
      <c r="CQ1148">
        <f>'Grid_Requirement'!CO50</f>
        <v/>
      </c>
      <c r="CR1148">
        <f>'Grid_Requirement'!CP50</f>
        <v/>
      </c>
      <c r="CS1148">
        <f>'Grid_Requirement'!CQ50</f>
        <v/>
      </c>
      <c r="CT1148">
        <f>'Grid_Requirement'!CR50</f>
        <v/>
      </c>
      <c r="CU1148">
        <f>'Grid_Requirement'!CS50</f>
        <v/>
      </c>
      <c r="CV1148">
        <f>'Grid_Requirement'!CT50</f>
        <v/>
      </c>
      <c r="CW1148">
        <f>'Grid_Requirement'!CU50</f>
        <v/>
      </c>
      <c r="CX1148">
        <f>'Grid_Requirement'!CV50</f>
        <v/>
      </c>
      <c r="CY1148">
        <f>'Grid_Requirement'!CW50</f>
        <v/>
      </c>
      <c r="CZ1148">
        <f>'Grid_Requirement'!CX50</f>
        <v/>
      </c>
      <c r="DA1148">
        <f>'Grid_Requirement'!CY50</f>
        <v/>
      </c>
      <c r="DB1148">
        <f>'Grid_Requirement'!CZ50</f>
        <v/>
      </c>
      <c r="DC1148">
        <f>'Grid_Requirement'!DA50</f>
        <v/>
      </c>
    </row>
    <row r="1149">
      <c r="B1149" t="inlineStr">
        <is>
          <t>TTAF在庫(実績,kg)</t>
        </is>
      </c>
      <c r="D1149">
        <f>'T_TTAFStock'!B54</f>
        <v/>
      </c>
      <c r="E1149">
        <f>'T_TTAFStock'!C54</f>
        <v/>
      </c>
      <c r="F1149">
        <f>'T_TTAFStock'!D54</f>
        <v/>
      </c>
      <c r="G1149">
        <f>'T_TTAFStock'!E54</f>
        <v/>
      </c>
      <c r="H1149">
        <f>'T_TTAFStock'!F54</f>
        <v/>
      </c>
      <c r="I1149">
        <f>'T_TTAFStock'!G54</f>
        <v/>
      </c>
      <c r="J1149">
        <f>'T_TTAFStock'!H54</f>
        <v/>
      </c>
      <c r="K1149">
        <f>'T_TTAFStock'!I54</f>
        <v/>
      </c>
      <c r="L1149">
        <f>'T_TTAFStock'!J54</f>
        <v/>
      </c>
      <c r="M1149">
        <f>'T_TTAFStock'!K54</f>
        <v/>
      </c>
      <c r="N1149">
        <f>'T_TTAFStock'!L54</f>
        <v/>
      </c>
      <c r="O1149">
        <f>'T_TTAFStock'!M54</f>
        <v/>
      </c>
      <c r="P1149">
        <f>'T_TTAFStock'!N54</f>
        <v/>
      </c>
      <c r="Q1149">
        <f>'T_TTAFStock'!O54</f>
        <v/>
      </c>
      <c r="R1149">
        <f>'T_TTAFStock'!P54</f>
        <v/>
      </c>
      <c r="S1149">
        <f>'T_TTAFStock'!Q54</f>
        <v/>
      </c>
      <c r="T1149">
        <f>'T_TTAFStock'!R54</f>
        <v/>
      </c>
      <c r="U1149">
        <f>'T_TTAFStock'!S54</f>
        <v/>
      </c>
      <c r="V1149">
        <f>'T_TTAFStock'!T54</f>
        <v/>
      </c>
      <c r="W1149">
        <f>'T_TTAFStock'!U54</f>
        <v/>
      </c>
      <c r="X1149">
        <f>'T_TTAFStock'!V54</f>
        <v/>
      </c>
      <c r="Y1149">
        <f>'T_TTAFStock'!W54</f>
        <v/>
      </c>
      <c r="Z1149">
        <f>'T_TTAFStock'!X54</f>
        <v/>
      </c>
      <c r="AA1149">
        <f>'T_TTAFStock'!Y54</f>
        <v/>
      </c>
      <c r="AB1149">
        <f>'T_TTAFStock'!Z54</f>
        <v/>
      </c>
      <c r="AC1149">
        <f>'T_TTAFStock'!AA54</f>
        <v/>
      </c>
      <c r="AD1149">
        <f>'T_TTAFStock'!AB54</f>
        <v/>
      </c>
      <c r="AE1149">
        <f>'T_TTAFStock'!AC54</f>
        <v/>
      </c>
      <c r="AF1149">
        <f>'T_TTAFStock'!AD54</f>
        <v/>
      </c>
      <c r="AG1149">
        <f>'T_TTAFStock'!AE54</f>
        <v/>
      </c>
      <c r="AH1149">
        <f>'T_TTAFStock'!AF54</f>
        <v/>
      </c>
      <c r="AI1149">
        <f>'T_TTAFStock'!AG54</f>
        <v/>
      </c>
      <c r="AJ1149">
        <f>'T_TTAFStock'!AH54</f>
        <v/>
      </c>
      <c r="AK1149">
        <f>'T_TTAFStock'!AI54</f>
        <v/>
      </c>
      <c r="AL1149">
        <f>'T_TTAFStock'!AJ54</f>
        <v/>
      </c>
      <c r="AM1149">
        <f>'T_TTAFStock'!AK54</f>
        <v/>
      </c>
      <c r="AN1149">
        <f>'T_TTAFStock'!AL54</f>
        <v/>
      </c>
      <c r="AO1149">
        <f>'T_TTAFStock'!AM54</f>
        <v/>
      </c>
      <c r="AP1149">
        <f>'T_TTAFStock'!AN54</f>
        <v/>
      </c>
      <c r="AQ1149">
        <f>'T_TTAFStock'!AO54</f>
        <v/>
      </c>
      <c r="AR1149">
        <f>'T_TTAFStock'!AP54</f>
        <v/>
      </c>
      <c r="AS1149">
        <f>'T_TTAFStock'!AQ54</f>
        <v/>
      </c>
      <c r="AT1149">
        <f>'T_TTAFStock'!AR54</f>
        <v/>
      </c>
      <c r="AU1149">
        <f>'T_TTAFStock'!AS54</f>
        <v/>
      </c>
      <c r="AV1149">
        <f>'T_TTAFStock'!AT54</f>
        <v/>
      </c>
      <c r="AW1149">
        <f>'T_TTAFStock'!AU54</f>
        <v/>
      </c>
      <c r="AX1149">
        <f>'T_TTAFStock'!AV54</f>
        <v/>
      </c>
      <c r="AY1149">
        <f>'T_TTAFStock'!AW54</f>
        <v/>
      </c>
      <c r="AZ1149">
        <f>'T_TTAFStock'!AX54</f>
        <v/>
      </c>
      <c r="BA1149">
        <f>'T_TTAFStock'!AY54</f>
        <v/>
      </c>
      <c r="BB1149">
        <f>'T_TTAFStock'!AZ54</f>
        <v/>
      </c>
      <c r="BC1149">
        <f>'T_TTAFStock'!BA54</f>
        <v/>
      </c>
      <c r="BD1149">
        <f>'T_TTAFStock'!BB54</f>
        <v/>
      </c>
      <c r="BE1149">
        <f>'T_TTAFStock'!BC54</f>
        <v/>
      </c>
      <c r="BF1149">
        <f>'T_TTAFStock'!BD54</f>
        <v/>
      </c>
      <c r="BG1149">
        <f>'T_TTAFStock'!BE54</f>
        <v/>
      </c>
      <c r="BH1149">
        <f>'T_TTAFStock'!BF54</f>
        <v/>
      </c>
      <c r="BI1149">
        <f>'T_TTAFStock'!BG54</f>
        <v/>
      </c>
      <c r="BJ1149">
        <f>'T_TTAFStock'!BH54</f>
        <v/>
      </c>
      <c r="BK1149">
        <f>'T_TTAFStock'!BI54</f>
        <v/>
      </c>
      <c r="BL1149">
        <f>'T_TTAFStock'!BJ54</f>
        <v/>
      </c>
      <c r="BM1149">
        <f>'T_TTAFStock'!BK54</f>
        <v/>
      </c>
      <c r="BN1149">
        <f>'T_TTAFStock'!BL54</f>
        <v/>
      </c>
      <c r="BO1149">
        <f>'T_TTAFStock'!BM54</f>
        <v/>
      </c>
      <c r="BP1149">
        <f>'T_TTAFStock'!BN54</f>
        <v/>
      </c>
      <c r="BQ1149">
        <f>'T_TTAFStock'!BO54</f>
        <v/>
      </c>
      <c r="BR1149">
        <f>'T_TTAFStock'!BP54</f>
        <v/>
      </c>
      <c r="BS1149">
        <f>'T_TTAFStock'!BQ54</f>
        <v/>
      </c>
      <c r="BT1149">
        <f>'T_TTAFStock'!BR54</f>
        <v/>
      </c>
      <c r="BU1149">
        <f>'T_TTAFStock'!BS54</f>
        <v/>
      </c>
      <c r="BV1149">
        <f>'T_TTAFStock'!BT54</f>
        <v/>
      </c>
      <c r="BW1149">
        <f>'T_TTAFStock'!BU54</f>
        <v/>
      </c>
      <c r="BX1149">
        <f>'T_TTAFStock'!BV54</f>
        <v/>
      </c>
      <c r="BY1149">
        <f>'T_TTAFStock'!BW54</f>
        <v/>
      </c>
      <c r="BZ1149">
        <f>'T_TTAFStock'!BX54</f>
        <v/>
      </c>
      <c r="CA1149">
        <f>'T_TTAFStock'!BY54</f>
        <v/>
      </c>
      <c r="CB1149">
        <f>'T_TTAFStock'!BZ54</f>
        <v/>
      </c>
      <c r="CC1149">
        <f>'T_TTAFStock'!CA54</f>
        <v/>
      </c>
      <c r="CD1149">
        <f>'T_TTAFStock'!CB54</f>
        <v/>
      </c>
      <c r="CE1149">
        <f>'T_TTAFStock'!CC54</f>
        <v/>
      </c>
      <c r="CF1149">
        <f>'T_TTAFStock'!CD54</f>
        <v/>
      </c>
      <c r="CG1149">
        <f>'T_TTAFStock'!CE54</f>
        <v/>
      </c>
      <c r="CH1149">
        <f>'T_TTAFStock'!CF54</f>
        <v/>
      </c>
      <c r="CI1149">
        <f>'T_TTAFStock'!CG54</f>
        <v/>
      </c>
      <c r="CJ1149">
        <f>'T_TTAFStock'!CH54</f>
        <v/>
      </c>
      <c r="CK1149">
        <f>'T_TTAFStock'!CI54</f>
        <v/>
      </c>
      <c r="CL1149">
        <f>'T_TTAFStock'!CJ54</f>
        <v/>
      </c>
      <c r="CM1149">
        <f>'T_TTAFStock'!CK54</f>
        <v/>
      </c>
      <c r="CN1149">
        <f>'T_TTAFStock'!CL54</f>
        <v/>
      </c>
      <c r="CO1149">
        <f>'T_TTAFStock'!CM54</f>
        <v/>
      </c>
      <c r="CP1149">
        <f>'T_TTAFStock'!CN54</f>
        <v/>
      </c>
      <c r="CQ1149">
        <f>'T_TTAFStock'!CO54</f>
        <v/>
      </c>
      <c r="CR1149">
        <f>'T_TTAFStock'!CP54</f>
        <v/>
      </c>
      <c r="CS1149">
        <f>'T_TTAFStock'!CQ54</f>
        <v/>
      </c>
      <c r="CT1149">
        <f>'T_TTAFStock'!CR54</f>
        <v/>
      </c>
      <c r="CU1149">
        <f>'T_TTAFStock'!CS54</f>
        <v/>
      </c>
      <c r="CV1149">
        <f>'T_TTAFStock'!CT54</f>
        <v/>
      </c>
      <c r="CW1149">
        <f>'T_TTAFStock'!CU54</f>
        <v/>
      </c>
      <c r="CX1149">
        <f>'T_TTAFStock'!CV54</f>
        <v/>
      </c>
      <c r="CY1149">
        <f>'T_TTAFStock'!CW54</f>
        <v/>
      </c>
      <c r="CZ1149">
        <f>'T_TTAFStock'!CX54</f>
        <v/>
      </c>
      <c r="DA1149">
        <f>'T_TTAFStock'!CY54</f>
        <v/>
      </c>
      <c r="DB1149">
        <f>'T_TTAFStock'!CZ54</f>
        <v/>
      </c>
      <c r="DC1149">
        <f>'T_TTAFStock'!DA54</f>
        <v/>
      </c>
    </row>
    <row r="1150">
      <c r="B1150" t="inlineStr">
        <is>
          <t>自社在庫(実績,kg)</t>
        </is>
      </c>
      <c r="D1150">
        <f>'T_SelfStock'!B54</f>
        <v/>
      </c>
      <c r="E1150">
        <f>'T_SelfStock'!C54</f>
        <v/>
      </c>
      <c r="F1150">
        <f>'T_SelfStock'!D54</f>
        <v/>
      </c>
      <c r="G1150">
        <f>'T_SelfStock'!E54</f>
        <v/>
      </c>
      <c r="H1150">
        <f>'T_SelfStock'!F54</f>
        <v/>
      </c>
      <c r="I1150">
        <f>'T_SelfStock'!G54</f>
        <v/>
      </c>
      <c r="J1150">
        <f>'T_SelfStock'!H54</f>
        <v/>
      </c>
      <c r="K1150">
        <f>'T_SelfStock'!I54</f>
        <v/>
      </c>
      <c r="L1150">
        <f>'T_SelfStock'!J54</f>
        <v/>
      </c>
      <c r="M1150">
        <f>'T_SelfStock'!K54</f>
        <v/>
      </c>
      <c r="N1150">
        <f>'T_SelfStock'!L54</f>
        <v/>
      </c>
      <c r="O1150">
        <f>'T_SelfStock'!M54</f>
        <v/>
      </c>
      <c r="P1150">
        <f>'T_SelfStock'!N54</f>
        <v/>
      </c>
      <c r="Q1150">
        <f>'T_SelfStock'!O54</f>
        <v/>
      </c>
      <c r="R1150">
        <f>'T_SelfStock'!P54</f>
        <v/>
      </c>
      <c r="S1150">
        <f>'T_SelfStock'!Q54</f>
        <v/>
      </c>
      <c r="T1150">
        <f>'T_SelfStock'!R54</f>
        <v/>
      </c>
      <c r="U1150">
        <f>'T_SelfStock'!S54</f>
        <v/>
      </c>
      <c r="V1150">
        <f>'T_SelfStock'!T54</f>
        <v/>
      </c>
      <c r="W1150">
        <f>'T_SelfStock'!U54</f>
        <v/>
      </c>
      <c r="X1150">
        <f>'T_SelfStock'!V54</f>
        <v/>
      </c>
      <c r="Y1150">
        <f>'T_SelfStock'!W54</f>
        <v/>
      </c>
      <c r="Z1150">
        <f>'T_SelfStock'!X54</f>
        <v/>
      </c>
      <c r="AA1150">
        <f>'T_SelfStock'!Y54</f>
        <v/>
      </c>
      <c r="AB1150">
        <f>'T_SelfStock'!Z54</f>
        <v/>
      </c>
      <c r="AC1150">
        <f>'T_SelfStock'!AA54</f>
        <v/>
      </c>
      <c r="AD1150">
        <f>'T_SelfStock'!AB54</f>
        <v/>
      </c>
      <c r="AE1150">
        <f>'T_SelfStock'!AC54</f>
        <v/>
      </c>
      <c r="AF1150">
        <f>'T_SelfStock'!AD54</f>
        <v/>
      </c>
      <c r="AG1150">
        <f>'T_SelfStock'!AE54</f>
        <v/>
      </c>
      <c r="AH1150">
        <f>'T_SelfStock'!AF54</f>
        <v/>
      </c>
      <c r="AI1150">
        <f>'T_SelfStock'!AG54</f>
        <v/>
      </c>
      <c r="AJ1150">
        <f>'T_SelfStock'!AH54</f>
        <v/>
      </c>
      <c r="AK1150">
        <f>'T_SelfStock'!AI54</f>
        <v/>
      </c>
      <c r="AL1150">
        <f>'T_SelfStock'!AJ54</f>
        <v/>
      </c>
      <c r="AM1150">
        <f>'T_SelfStock'!AK54</f>
        <v/>
      </c>
      <c r="AN1150">
        <f>'T_SelfStock'!AL54</f>
        <v/>
      </c>
      <c r="AO1150">
        <f>'T_SelfStock'!AM54</f>
        <v/>
      </c>
      <c r="AP1150">
        <f>'T_SelfStock'!AN54</f>
        <v/>
      </c>
      <c r="AQ1150">
        <f>'T_SelfStock'!AO54</f>
        <v/>
      </c>
      <c r="AR1150">
        <f>'T_SelfStock'!AP54</f>
        <v/>
      </c>
      <c r="AS1150">
        <f>'T_SelfStock'!AQ54</f>
        <v/>
      </c>
      <c r="AT1150">
        <f>'T_SelfStock'!AR54</f>
        <v/>
      </c>
      <c r="AU1150">
        <f>'T_SelfStock'!AS54</f>
        <v/>
      </c>
      <c r="AV1150">
        <f>'T_SelfStock'!AT54</f>
        <v/>
      </c>
      <c r="AW1150">
        <f>'T_SelfStock'!AU54</f>
        <v/>
      </c>
      <c r="AX1150">
        <f>'T_SelfStock'!AV54</f>
        <v/>
      </c>
      <c r="AY1150">
        <f>'T_SelfStock'!AW54</f>
        <v/>
      </c>
      <c r="AZ1150">
        <f>'T_SelfStock'!AX54</f>
        <v/>
      </c>
      <c r="BA1150">
        <f>'T_SelfStock'!AY54</f>
        <v/>
      </c>
      <c r="BB1150">
        <f>'T_SelfStock'!AZ54</f>
        <v/>
      </c>
      <c r="BC1150">
        <f>'T_SelfStock'!BA54</f>
        <v/>
      </c>
      <c r="BD1150">
        <f>'T_SelfStock'!BB54</f>
        <v/>
      </c>
      <c r="BE1150">
        <f>'T_SelfStock'!BC54</f>
        <v/>
      </c>
      <c r="BF1150">
        <f>'T_SelfStock'!BD54</f>
        <v/>
      </c>
      <c r="BG1150">
        <f>'T_SelfStock'!BE54</f>
        <v/>
      </c>
      <c r="BH1150">
        <f>'T_SelfStock'!BF54</f>
        <v/>
      </c>
      <c r="BI1150">
        <f>'T_SelfStock'!BG54</f>
        <v/>
      </c>
      <c r="BJ1150">
        <f>'T_SelfStock'!BH54</f>
        <v/>
      </c>
      <c r="BK1150">
        <f>'T_SelfStock'!BI54</f>
        <v/>
      </c>
      <c r="BL1150">
        <f>'T_SelfStock'!BJ54</f>
        <v/>
      </c>
      <c r="BM1150">
        <f>'T_SelfStock'!BK54</f>
        <v/>
      </c>
      <c r="BN1150">
        <f>'T_SelfStock'!BL54</f>
        <v/>
      </c>
      <c r="BO1150">
        <f>'T_SelfStock'!BM54</f>
        <v/>
      </c>
      <c r="BP1150">
        <f>'T_SelfStock'!BN54</f>
        <v/>
      </c>
      <c r="BQ1150">
        <f>'T_SelfStock'!BO54</f>
        <v/>
      </c>
      <c r="BR1150">
        <f>'T_SelfStock'!BP54</f>
        <v/>
      </c>
      <c r="BS1150">
        <f>'T_SelfStock'!BQ54</f>
        <v/>
      </c>
      <c r="BT1150">
        <f>'T_SelfStock'!BR54</f>
        <v/>
      </c>
      <c r="BU1150">
        <f>'T_SelfStock'!BS54</f>
        <v/>
      </c>
      <c r="BV1150">
        <f>'T_SelfStock'!BT54</f>
        <v/>
      </c>
      <c r="BW1150">
        <f>'T_SelfStock'!BU54</f>
        <v/>
      </c>
      <c r="BX1150">
        <f>'T_SelfStock'!BV54</f>
        <v/>
      </c>
      <c r="BY1150">
        <f>'T_SelfStock'!BW54</f>
        <v/>
      </c>
      <c r="BZ1150">
        <f>'T_SelfStock'!BX54</f>
        <v/>
      </c>
      <c r="CA1150">
        <f>'T_SelfStock'!BY54</f>
        <v/>
      </c>
      <c r="CB1150">
        <f>'T_SelfStock'!BZ54</f>
        <v/>
      </c>
      <c r="CC1150">
        <f>'T_SelfStock'!CA54</f>
        <v/>
      </c>
      <c r="CD1150">
        <f>'T_SelfStock'!CB54</f>
        <v/>
      </c>
      <c r="CE1150">
        <f>'T_SelfStock'!CC54</f>
        <v/>
      </c>
      <c r="CF1150">
        <f>'T_SelfStock'!CD54</f>
        <v/>
      </c>
      <c r="CG1150">
        <f>'T_SelfStock'!CE54</f>
        <v/>
      </c>
      <c r="CH1150">
        <f>'T_SelfStock'!CF54</f>
        <v/>
      </c>
      <c r="CI1150">
        <f>'T_SelfStock'!CG54</f>
        <v/>
      </c>
      <c r="CJ1150">
        <f>'T_SelfStock'!CH54</f>
        <v/>
      </c>
      <c r="CK1150">
        <f>'T_SelfStock'!CI54</f>
        <v/>
      </c>
      <c r="CL1150">
        <f>'T_SelfStock'!CJ54</f>
        <v/>
      </c>
      <c r="CM1150">
        <f>'T_SelfStock'!CK54</f>
        <v/>
      </c>
      <c r="CN1150">
        <f>'T_SelfStock'!CL54</f>
        <v/>
      </c>
      <c r="CO1150">
        <f>'T_SelfStock'!CM54</f>
        <v/>
      </c>
      <c r="CP1150">
        <f>'T_SelfStock'!CN54</f>
        <v/>
      </c>
      <c r="CQ1150">
        <f>'T_SelfStock'!CO54</f>
        <v/>
      </c>
      <c r="CR1150">
        <f>'T_SelfStock'!CP54</f>
        <v/>
      </c>
      <c r="CS1150">
        <f>'T_SelfStock'!CQ54</f>
        <v/>
      </c>
      <c r="CT1150">
        <f>'T_SelfStock'!CR54</f>
        <v/>
      </c>
      <c r="CU1150">
        <f>'T_SelfStock'!CS54</f>
        <v/>
      </c>
      <c r="CV1150">
        <f>'T_SelfStock'!CT54</f>
        <v/>
      </c>
      <c r="CW1150">
        <f>'T_SelfStock'!CU54</f>
        <v/>
      </c>
      <c r="CX1150">
        <f>'T_SelfStock'!CV54</f>
        <v/>
      </c>
      <c r="CY1150">
        <f>'T_SelfStock'!CW54</f>
        <v/>
      </c>
      <c r="CZ1150">
        <f>'T_SelfStock'!CX54</f>
        <v/>
      </c>
      <c r="DA1150">
        <f>'T_SelfStock'!CY54</f>
        <v/>
      </c>
      <c r="DB1150">
        <f>'T_SelfStock'!CZ54</f>
        <v/>
      </c>
      <c r="DC1150">
        <f>'T_SelfStock'!DA54</f>
        <v/>
      </c>
    </row>
    <row r="1151">
      <c r="B1151" t="inlineStr">
        <is>
          <t>Order(発注予定,kg)</t>
        </is>
      </c>
      <c r="D1151">
        <f>IF(SUMIFS(T_PlannedOrders[EffectiveQty],T_PlannedOrders[Part Name],$A1125,T_PlannedOrders[WeekIndex],1)=0,"",SUMIFS(T_PlannedOrders[EffectiveQty],T_PlannedOrders[Part Name],$A1125,T_PlannedOrders[WeekIndex],1)&amp;" ("&amp;TEXT(SUMPRODUCT(MAX((T_PlannedOrders[Part Name]=$A1125)*(T_PlannedOrders[WeekIndex]=1)*(T_PlannedOrders[EffectiveQty]&gt;0)*T_PlannedOrders[Order_Month])),"m月")&amp;"発注)")</f>
        <v/>
      </c>
      <c r="E1151">
        <f>IF(SUMIFS(T_PlannedOrders[EffectiveQty],T_PlannedOrders[Part Name],$A1125,T_PlannedOrders[WeekIndex],2)=0,"",SUMIFS(T_PlannedOrders[EffectiveQty],T_PlannedOrders[Part Name],$A1125,T_PlannedOrders[WeekIndex],2)&amp;" ("&amp;TEXT(SUMPRODUCT(MAX((T_PlannedOrders[Part Name]=$A1125)*(T_PlannedOrders[WeekIndex]=2)*(T_PlannedOrders[EffectiveQty]&gt;0)*T_PlannedOrders[Order_Month])),"m月")&amp;"発注)")</f>
        <v/>
      </c>
      <c r="F1151">
        <f>IF(SUMIFS(T_PlannedOrders[EffectiveQty],T_PlannedOrders[Part Name],$A1125,T_PlannedOrders[WeekIndex],3)=0,"",SUMIFS(T_PlannedOrders[EffectiveQty],T_PlannedOrders[Part Name],$A1125,T_PlannedOrders[WeekIndex],3)&amp;" ("&amp;TEXT(SUMPRODUCT(MAX((T_PlannedOrders[Part Name]=$A1125)*(T_PlannedOrders[WeekIndex]=3)*(T_PlannedOrders[EffectiveQty]&gt;0)*T_PlannedOrders[Order_Month])),"m月")&amp;"発注)")</f>
        <v/>
      </c>
      <c r="G1151">
        <f>IF(SUMIFS(T_PlannedOrders[EffectiveQty],T_PlannedOrders[Part Name],$A1125,T_PlannedOrders[WeekIndex],4)=0,"",SUMIFS(T_PlannedOrders[EffectiveQty],T_PlannedOrders[Part Name],$A1125,T_PlannedOrders[WeekIndex],4)&amp;" ("&amp;TEXT(SUMPRODUCT(MAX((T_PlannedOrders[Part Name]=$A1125)*(T_PlannedOrders[WeekIndex]=4)*(T_PlannedOrders[EffectiveQty]&gt;0)*T_PlannedOrders[Order_Month])),"m月")&amp;"発注)")</f>
        <v/>
      </c>
      <c r="H1151">
        <f>IF(SUMIFS(T_PlannedOrders[EffectiveQty],T_PlannedOrders[Part Name],$A1125,T_PlannedOrders[WeekIndex],5)=0,"",SUMIFS(T_PlannedOrders[EffectiveQty],T_PlannedOrders[Part Name],$A1125,T_PlannedOrders[WeekIndex],5)&amp;" ("&amp;TEXT(SUMPRODUCT(MAX((T_PlannedOrders[Part Name]=$A1125)*(T_PlannedOrders[WeekIndex]=5)*(T_PlannedOrders[EffectiveQty]&gt;0)*T_PlannedOrders[Order_Month])),"m月")&amp;"発注)")</f>
        <v/>
      </c>
      <c r="I1151">
        <f>IF(SUMIFS(T_PlannedOrders[EffectiveQty],T_PlannedOrders[Part Name],$A1125,T_PlannedOrders[WeekIndex],6)=0,"",SUMIFS(T_PlannedOrders[EffectiveQty],T_PlannedOrders[Part Name],$A1125,T_PlannedOrders[WeekIndex],6)&amp;" ("&amp;TEXT(SUMPRODUCT(MAX((T_PlannedOrders[Part Name]=$A1125)*(T_PlannedOrders[WeekIndex]=6)*(T_PlannedOrders[EffectiveQty]&gt;0)*T_PlannedOrders[Order_Month])),"m月")&amp;"発注)")</f>
        <v/>
      </c>
      <c r="J1151">
        <f>IF(SUMIFS(T_PlannedOrders[EffectiveQty],T_PlannedOrders[Part Name],$A1125,T_PlannedOrders[WeekIndex],7)=0,"",SUMIFS(T_PlannedOrders[EffectiveQty],T_PlannedOrders[Part Name],$A1125,T_PlannedOrders[WeekIndex],7)&amp;" ("&amp;TEXT(SUMPRODUCT(MAX((T_PlannedOrders[Part Name]=$A1125)*(T_PlannedOrders[WeekIndex]=7)*(T_PlannedOrders[EffectiveQty]&gt;0)*T_PlannedOrders[Order_Month])),"m月")&amp;"発注)")</f>
        <v/>
      </c>
      <c r="K1151">
        <f>IF(SUMIFS(T_PlannedOrders[EffectiveQty],T_PlannedOrders[Part Name],$A1125,T_PlannedOrders[WeekIndex],8)=0,"",SUMIFS(T_PlannedOrders[EffectiveQty],T_PlannedOrders[Part Name],$A1125,T_PlannedOrders[WeekIndex],8)&amp;" ("&amp;TEXT(SUMPRODUCT(MAX((T_PlannedOrders[Part Name]=$A1125)*(T_PlannedOrders[WeekIndex]=8)*(T_PlannedOrders[EffectiveQty]&gt;0)*T_PlannedOrders[Order_Month])),"m月")&amp;"発注)")</f>
        <v/>
      </c>
      <c r="L1151">
        <f>IF(SUMIFS(T_PlannedOrders[EffectiveQty],T_PlannedOrders[Part Name],$A1125,T_PlannedOrders[WeekIndex],9)=0,"",SUMIFS(T_PlannedOrders[EffectiveQty],T_PlannedOrders[Part Name],$A1125,T_PlannedOrders[WeekIndex],9)&amp;" ("&amp;TEXT(SUMPRODUCT(MAX((T_PlannedOrders[Part Name]=$A1125)*(T_PlannedOrders[WeekIndex]=9)*(T_PlannedOrders[EffectiveQty]&gt;0)*T_PlannedOrders[Order_Month])),"m月")&amp;"発注)")</f>
        <v/>
      </c>
      <c r="M1151">
        <f>IF(SUMIFS(T_PlannedOrders[EffectiveQty],T_PlannedOrders[Part Name],$A1125,T_PlannedOrders[WeekIndex],10)=0,"",SUMIFS(T_PlannedOrders[EffectiveQty],T_PlannedOrders[Part Name],$A1125,T_PlannedOrders[WeekIndex],10)&amp;" ("&amp;TEXT(SUMPRODUCT(MAX((T_PlannedOrders[Part Name]=$A1125)*(T_PlannedOrders[WeekIndex]=10)*(T_PlannedOrders[EffectiveQty]&gt;0)*T_PlannedOrders[Order_Month])),"m月")&amp;"発注)")</f>
        <v/>
      </c>
      <c r="N1151">
        <f>IF(SUMIFS(T_PlannedOrders[EffectiveQty],T_PlannedOrders[Part Name],$A1125,T_PlannedOrders[WeekIndex],11)=0,"",SUMIFS(T_PlannedOrders[EffectiveQty],T_PlannedOrders[Part Name],$A1125,T_PlannedOrders[WeekIndex],11)&amp;" ("&amp;TEXT(SUMPRODUCT(MAX((T_PlannedOrders[Part Name]=$A1125)*(T_PlannedOrders[WeekIndex]=11)*(T_PlannedOrders[EffectiveQty]&gt;0)*T_PlannedOrders[Order_Month])),"m月")&amp;"発注)")</f>
        <v/>
      </c>
      <c r="O1151">
        <f>IF(SUMIFS(T_PlannedOrders[EffectiveQty],T_PlannedOrders[Part Name],$A1125,T_PlannedOrders[WeekIndex],12)=0,"",SUMIFS(T_PlannedOrders[EffectiveQty],T_PlannedOrders[Part Name],$A1125,T_PlannedOrders[WeekIndex],12)&amp;" ("&amp;TEXT(SUMPRODUCT(MAX((T_PlannedOrders[Part Name]=$A1125)*(T_PlannedOrders[WeekIndex]=12)*(T_PlannedOrders[EffectiveQty]&gt;0)*T_PlannedOrders[Order_Month])),"m月")&amp;"発注)")</f>
        <v/>
      </c>
      <c r="P1151">
        <f>IF(SUMIFS(T_PlannedOrders[EffectiveQty],T_PlannedOrders[Part Name],$A1125,T_PlannedOrders[WeekIndex],13)=0,"",SUMIFS(T_PlannedOrders[EffectiveQty],T_PlannedOrders[Part Name],$A1125,T_PlannedOrders[WeekIndex],13)&amp;" ("&amp;TEXT(SUMPRODUCT(MAX((T_PlannedOrders[Part Name]=$A1125)*(T_PlannedOrders[WeekIndex]=13)*(T_PlannedOrders[EffectiveQty]&gt;0)*T_PlannedOrders[Order_Month])),"m月")&amp;"発注)")</f>
        <v/>
      </c>
      <c r="Q1151">
        <f>IF(SUMIFS(T_PlannedOrders[EffectiveQty],T_PlannedOrders[Part Name],$A1125,T_PlannedOrders[WeekIndex],14)=0,"",SUMIFS(T_PlannedOrders[EffectiveQty],T_PlannedOrders[Part Name],$A1125,T_PlannedOrders[WeekIndex],14)&amp;" ("&amp;TEXT(SUMPRODUCT(MAX((T_PlannedOrders[Part Name]=$A1125)*(T_PlannedOrders[WeekIndex]=14)*(T_PlannedOrders[EffectiveQty]&gt;0)*T_PlannedOrders[Order_Month])),"m月")&amp;"発注)")</f>
        <v/>
      </c>
      <c r="R1151">
        <f>IF(SUMIFS(T_PlannedOrders[EffectiveQty],T_PlannedOrders[Part Name],$A1125,T_PlannedOrders[WeekIndex],15)=0,"",SUMIFS(T_PlannedOrders[EffectiveQty],T_PlannedOrders[Part Name],$A1125,T_PlannedOrders[WeekIndex],15)&amp;" ("&amp;TEXT(SUMPRODUCT(MAX((T_PlannedOrders[Part Name]=$A1125)*(T_PlannedOrders[WeekIndex]=15)*(T_PlannedOrders[EffectiveQty]&gt;0)*T_PlannedOrders[Order_Month])),"m月")&amp;"発注)")</f>
        <v/>
      </c>
      <c r="S1151">
        <f>IF(SUMIFS(T_PlannedOrders[EffectiveQty],T_PlannedOrders[Part Name],$A1125,T_PlannedOrders[WeekIndex],16)=0,"",SUMIFS(T_PlannedOrders[EffectiveQty],T_PlannedOrders[Part Name],$A1125,T_PlannedOrders[WeekIndex],16)&amp;" ("&amp;TEXT(SUMPRODUCT(MAX((T_PlannedOrders[Part Name]=$A1125)*(T_PlannedOrders[WeekIndex]=16)*(T_PlannedOrders[EffectiveQty]&gt;0)*T_PlannedOrders[Order_Month])),"m月")&amp;"発注)")</f>
        <v/>
      </c>
      <c r="T1151">
        <f>IF(SUMIFS(T_PlannedOrders[EffectiveQty],T_PlannedOrders[Part Name],$A1125,T_PlannedOrders[WeekIndex],17)=0,"",SUMIFS(T_PlannedOrders[EffectiveQty],T_PlannedOrders[Part Name],$A1125,T_PlannedOrders[WeekIndex],17)&amp;" ("&amp;TEXT(SUMPRODUCT(MAX((T_PlannedOrders[Part Name]=$A1125)*(T_PlannedOrders[WeekIndex]=17)*(T_PlannedOrders[EffectiveQty]&gt;0)*T_PlannedOrders[Order_Month])),"m月")&amp;"発注)")</f>
        <v/>
      </c>
      <c r="U1151">
        <f>IF(SUMIFS(T_PlannedOrders[EffectiveQty],T_PlannedOrders[Part Name],$A1125,T_PlannedOrders[WeekIndex],18)=0,"",SUMIFS(T_PlannedOrders[EffectiveQty],T_PlannedOrders[Part Name],$A1125,T_PlannedOrders[WeekIndex],18)&amp;" ("&amp;TEXT(SUMPRODUCT(MAX((T_PlannedOrders[Part Name]=$A1125)*(T_PlannedOrders[WeekIndex]=18)*(T_PlannedOrders[EffectiveQty]&gt;0)*T_PlannedOrders[Order_Month])),"m月")&amp;"発注)")</f>
        <v/>
      </c>
      <c r="V1151">
        <f>IF(SUMIFS(T_PlannedOrders[EffectiveQty],T_PlannedOrders[Part Name],$A1125,T_PlannedOrders[WeekIndex],19)=0,"",SUMIFS(T_PlannedOrders[EffectiveQty],T_PlannedOrders[Part Name],$A1125,T_PlannedOrders[WeekIndex],19)&amp;" ("&amp;TEXT(SUMPRODUCT(MAX((T_PlannedOrders[Part Name]=$A1125)*(T_PlannedOrders[WeekIndex]=19)*(T_PlannedOrders[EffectiveQty]&gt;0)*T_PlannedOrders[Order_Month])),"m月")&amp;"発注)")</f>
        <v/>
      </c>
      <c r="W1151">
        <f>IF(SUMIFS(T_PlannedOrders[EffectiveQty],T_PlannedOrders[Part Name],$A1125,T_PlannedOrders[WeekIndex],20)=0,"",SUMIFS(T_PlannedOrders[EffectiveQty],T_PlannedOrders[Part Name],$A1125,T_PlannedOrders[WeekIndex],20)&amp;" ("&amp;TEXT(SUMPRODUCT(MAX((T_PlannedOrders[Part Name]=$A1125)*(T_PlannedOrders[WeekIndex]=20)*(T_PlannedOrders[EffectiveQty]&gt;0)*T_PlannedOrders[Order_Month])),"m月")&amp;"発注)")</f>
        <v/>
      </c>
      <c r="X1151">
        <f>IF(SUMIFS(T_PlannedOrders[EffectiveQty],T_PlannedOrders[Part Name],$A1125,T_PlannedOrders[WeekIndex],21)=0,"",SUMIFS(T_PlannedOrders[EffectiveQty],T_PlannedOrders[Part Name],$A1125,T_PlannedOrders[WeekIndex],21)&amp;" ("&amp;TEXT(SUMPRODUCT(MAX((T_PlannedOrders[Part Name]=$A1125)*(T_PlannedOrders[WeekIndex]=21)*(T_PlannedOrders[EffectiveQty]&gt;0)*T_PlannedOrders[Order_Month])),"m月")&amp;"発注)")</f>
        <v/>
      </c>
      <c r="Y1151">
        <f>IF(SUMIFS(T_PlannedOrders[EffectiveQty],T_PlannedOrders[Part Name],$A1125,T_PlannedOrders[WeekIndex],22)=0,"",SUMIFS(T_PlannedOrders[EffectiveQty],T_PlannedOrders[Part Name],$A1125,T_PlannedOrders[WeekIndex],22)&amp;" ("&amp;TEXT(SUMPRODUCT(MAX((T_PlannedOrders[Part Name]=$A1125)*(T_PlannedOrders[WeekIndex]=22)*(T_PlannedOrders[EffectiveQty]&gt;0)*T_PlannedOrders[Order_Month])),"m月")&amp;"発注)")</f>
        <v/>
      </c>
      <c r="Z1151">
        <f>IF(SUMIFS(T_PlannedOrders[EffectiveQty],T_PlannedOrders[Part Name],$A1125,T_PlannedOrders[WeekIndex],23)=0,"",SUMIFS(T_PlannedOrders[EffectiveQty],T_PlannedOrders[Part Name],$A1125,T_PlannedOrders[WeekIndex],23)&amp;" ("&amp;TEXT(SUMPRODUCT(MAX((T_PlannedOrders[Part Name]=$A1125)*(T_PlannedOrders[WeekIndex]=23)*(T_PlannedOrders[EffectiveQty]&gt;0)*T_PlannedOrders[Order_Month])),"m月")&amp;"発注)")</f>
        <v/>
      </c>
      <c r="AA1151">
        <f>IF(SUMIFS(T_PlannedOrders[EffectiveQty],T_PlannedOrders[Part Name],$A1125,T_PlannedOrders[WeekIndex],24)=0,"",SUMIFS(T_PlannedOrders[EffectiveQty],T_PlannedOrders[Part Name],$A1125,T_PlannedOrders[WeekIndex],24)&amp;" ("&amp;TEXT(SUMPRODUCT(MAX((T_PlannedOrders[Part Name]=$A1125)*(T_PlannedOrders[WeekIndex]=24)*(T_PlannedOrders[EffectiveQty]&gt;0)*T_PlannedOrders[Order_Month])),"m月")&amp;"発注)")</f>
        <v/>
      </c>
      <c r="AB1151">
        <f>IF(SUMIFS(T_PlannedOrders[EffectiveQty],T_PlannedOrders[Part Name],$A1125,T_PlannedOrders[WeekIndex],25)=0,"",SUMIFS(T_PlannedOrders[EffectiveQty],T_PlannedOrders[Part Name],$A1125,T_PlannedOrders[WeekIndex],25)&amp;" ("&amp;TEXT(SUMPRODUCT(MAX((T_PlannedOrders[Part Name]=$A1125)*(T_PlannedOrders[WeekIndex]=25)*(T_PlannedOrders[EffectiveQty]&gt;0)*T_PlannedOrders[Order_Month])),"m月")&amp;"発注)")</f>
        <v/>
      </c>
      <c r="AC1151">
        <f>IF(SUMIFS(T_PlannedOrders[EffectiveQty],T_PlannedOrders[Part Name],$A1125,T_PlannedOrders[WeekIndex],26)=0,"",SUMIFS(T_PlannedOrders[EffectiveQty],T_PlannedOrders[Part Name],$A1125,T_PlannedOrders[WeekIndex],26)&amp;" ("&amp;TEXT(SUMPRODUCT(MAX((T_PlannedOrders[Part Name]=$A1125)*(T_PlannedOrders[WeekIndex]=26)*(T_PlannedOrders[EffectiveQty]&gt;0)*T_PlannedOrders[Order_Month])),"m月")&amp;"発注)")</f>
        <v/>
      </c>
      <c r="AD1151">
        <f>IF(SUMIFS(T_PlannedOrders[EffectiveQty],T_PlannedOrders[Part Name],$A1125,T_PlannedOrders[WeekIndex],27)=0,"",SUMIFS(T_PlannedOrders[EffectiveQty],T_PlannedOrders[Part Name],$A1125,T_PlannedOrders[WeekIndex],27)&amp;" ("&amp;TEXT(SUMPRODUCT(MAX((T_PlannedOrders[Part Name]=$A1125)*(T_PlannedOrders[WeekIndex]=27)*(T_PlannedOrders[EffectiveQty]&gt;0)*T_PlannedOrders[Order_Month])),"m月")&amp;"発注)")</f>
        <v/>
      </c>
      <c r="AE1151">
        <f>IF(SUMIFS(T_PlannedOrders[EffectiveQty],T_PlannedOrders[Part Name],$A1125,T_PlannedOrders[WeekIndex],28)=0,"",SUMIFS(T_PlannedOrders[EffectiveQty],T_PlannedOrders[Part Name],$A1125,T_PlannedOrders[WeekIndex],28)&amp;" ("&amp;TEXT(SUMPRODUCT(MAX((T_PlannedOrders[Part Name]=$A1125)*(T_PlannedOrders[WeekIndex]=28)*(T_PlannedOrders[EffectiveQty]&gt;0)*T_PlannedOrders[Order_Month])),"m月")&amp;"発注)")</f>
        <v/>
      </c>
      <c r="AF1151">
        <f>IF(SUMIFS(T_PlannedOrders[EffectiveQty],T_PlannedOrders[Part Name],$A1125,T_PlannedOrders[WeekIndex],29)=0,"",SUMIFS(T_PlannedOrders[EffectiveQty],T_PlannedOrders[Part Name],$A1125,T_PlannedOrders[WeekIndex],29)&amp;" ("&amp;TEXT(SUMPRODUCT(MAX((T_PlannedOrders[Part Name]=$A1125)*(T_PlannedOrders[WeekIndex]=29)*(T_PlannedOrders[EffectiveQty]&gt;0)*T_PlannedOrders[Order_Month])),"m月")&amp;"発注)")</f>
        <v/>
      </c>
      <c r="AG1151">
        <f>IF(SUMIFS(T_PlannedOrders[EffectiveQty],T_PlannedOrders[Part Name],$A1125,T_PlannedOrders[WeekIndex],30)=0,"",SUMIFS(T_PlannedOrders[EffectiveQty],T_PlannedOrders[Part Name],$A1125,T_PlannedOrders[WeekIndex],30)&amp;" ("&amp;TEXT(SUMPRODUCT(MAX((T_PlannedOrders[Part Name]=$A1125)*(T_PlannedOrders[WeekIndex]=30)*(T_PlannedOrders[EffectiveQty]&gt;0)*T_PlannedOrders[Order_Month])),"m月")&amp;"発注)")</f>
        <v/>
      </c>
      <c r="AH1151">
        <f>IF(SUMIFS(T_PlannedOrders[EffectiveQty],T_PlannedOrders[Part Name],$A1125,T_PlannedOrders[WeekIndex],31)=0,"",SUMIFS(T_PlannedOrders[EffectiveQty],T_PlannedOrders[Part Name],$A1125,T_PlannedOrders[WeekIndex],31)&amp;" ("&amp;TEXT(SUMPRODUCT(MAX((T_PlannedOrders[Part Name]=$A1125)*(T_PlannedOrders[WeekIndex]=31)*(T_PlannedOrders[EffectiveQty]&gt;0)*T_PlannedOrders[Order_Month])),"m月")&amp;"発注)")</f>
        <v/>
      </c>
      <c r="AI1151">
        <f>IF(SUMIFS(T_PlannedOrders[EffectiveQty],T_PlannedOrders[Part Name],$A1125,T_PlannedOrders[WeekIndex],32)=0,"",SUMIFS(T_PlannedOrders[EffectiveQty],T_PlannedOrders[Part Name],$A1125,T_PlannedOrders[WeekIndex],32)&amp;" ("&amp;TEXT(SUMPRODUCT(MAX((T_PlannedOrders[Part Name]=$A1125)*(T_PlannedOrders[WeekIndex]=32)*(T_PlannedOrders[EffectiveQty]&gt;0)*T_PlannedOrders[Order_Month])),"m月")&amp;"発注)")</f>
        <v/>
      </c>
      <c r="AJ1151">
        <f>IF(SUMIFS(T_PlannedOrders[EffectiveQty],T_PlannedOrders[Part Name],$A1125,T_PlannedOrders[WeekIndex],33)=0,"",SUMIFS(T_PlannedOrders[EffectiveQty],T_PlannedOrders[Part Name],$A1125,T_PlannedOrders[WeekIndex],33)&amp;" ("&amp;TEXT(SUMPRODUCT(MAX((T_PlannedOrders[Part Name]=$A1125)*(T_PlannedOrders[WeekIndex]=33)*(T_PlannedOrders[EffectiveQty]&gt;0)*T_PlannedOrders[Order_Month])),"m月")&amp;"発注)")</f>
        <v/>
      </c>
      <c r="AK1151">
        <f>IF(SUMIFS(T_PlannedOrders[EffectiveQty],T_PlannedOrders[Part Name],$A1125,T_PlannedOrders[WeekIndex],34)=0,"",SUMIFS(T_PlannedOrders[EffectiveQty],T_PlannedOrders[Part Name],$A1125,T_PlannedOrders[WeekIndex],34)&amp;" ("&amp;TEXT(SUMPRODUCT(MAX((T_PlannedOrders[Part Name]=$A1125)*(T_PlannedOrders[WeekIndex]=34)*(T_PlannedOrders[EffectiveQty]&gt;0)*T_PlannedOrders[Order_Month])),"m月")&amp;"発注)")</f>
        <v/>
      </c>
      <c r="AL1151">
        <f>IF(SUMIFS(T_PlannedOrders[EffectiveQty],T_PlannedOrders[Part Name],$A1125,T_PlannedOrders[WeekIndex],35)=0,"",SUMIFS(T_PlannedOrders[EffectiveQty],T_PlannedOrders[Part Name],$A1125,T_PlannedOrders[WeekIndex],35)&amp;" ("&amp;TEXT(SUMPRODUCT(MAX((T_PlannedOrders[Part Name]=$A1125)*(T_PlannedOrders[WeekIndex]=35)*(T_PlannedOrders[EffectiveQty]&gt;0)*T_PlannedOrders[Order_Month])),"m月")&amp;"発注)")</f>
        <v/>
      </c>
      <c r="AM1151">
        <f>IF(SUMIFS(T_PlannedOrders[EffectiveQty],T_PlannedOrders[Part Name],$A1125,T_PlannedOrders[WeekIndex],36)=0,"",SUMIFS(T_PlannedOrders[EffectiveQty],T_PlannedOrders[Part Name],$A1125,T_PlannedOrders[WeekIndex],36)&amp;" ("&amp;TEXT(SUMPRODUCT(MAX((T_PlannedOrders[Part Name]=$A1125)*(T_PlannedOrders[WeekIndex]=36)*(T_PlannedOrders[EffectiveQty]&gt;0)*T_PlannedOrders[Order_Month])),"m月")&amp;"発注)")</f>
        <v/>
      </c>
      <c r="AN1151">
        <f>IF(SUMIFS(T_PlannedOrders[EffectiveQty],T_PlannedOrders[Part Name],$A1125,T_PlannedOrders[WeekIndex],37)=0,"",SUMIFS(T_PlannedOrders[EffectiveQty],T_PlannedOrders[Part Name],$A1125,T_PlannedOrders[WeekIndex],37)&amp;" ("&amp;TEXT(SUMPRODUCT(MAX((T_PlannedOrders[Part Name]=$A1125)*(T_PlannedOrders[WeekIndex]=37)*(T_PlannedOrders[EffectiveQty]&gt;0)*T_PlannedOrders[Order_Month])),"m月")&amp;"発注)")</f>
        <v/>
      </c>
      <c r="AO1151">
        <f>IF(SUMIFS(T_PlannedOrders[EffectiveQty],T_PlannedOrders[Part Name],$A1125,T_PlannedOrders[WeekIndex],38)=0,"",SUMIFS(T_PlannedOrders[EffectiveQty],T_PlannedOrders[Part Name],$A1125,T_PlannedOrders[WeekIndex],38)&amp;" ("&amp;TEXT(SUMPRODUCT(MAX((T_PlannedOrders[Part Name]=$A1125)*(T_PlannedOrders[WeekIndex]=38)*(T_PlannedOrders[EffectiveQty]&gt;0)*T_PlannedOrders[Order_Month])),"m月")&amp;"発注)")</f>
        <v/>
      </c>
      <c r="AP1151">
        <f>IF(SUMIFS(T_PlannedOrders[EffectiveQty],T_PlannedOrders[Part Name],$A1125,T_PlannedOrders[WeekIndex],39)=0,"",SUMIFS(T_PlannedOrders[EffectiveQty],T_PlannedOrders[Part Name],$A1125,T_PlannedOrders[WeekIndex],39)&amp;" ("&amp;TEXT(SUMPRODUCT(MAX((T_PlannedOrders[Part Name]=$A1125)*(T_PlannedOrders[WeekIndex]=39)*(T_PlannedOrders[EffectiveQty]&gt;0)*T_PlannedOrders[Order_Month])),"m月")&amp;"発注)")</f>
        <v/>
      </c>
      <c r="AQ1151">
        <f>IF(SUMIFS(T_PlannedOrders[EffectiveQty],T_PlannedOrders[Part Name],$A1125,T_PlannedOrders[WeekIndex],40)=0,"",SUMIFS(T_PlannedOrders[EffectiveQty],T_PlannedOrders[Part Name],$A1125,T_PlannedOrders[WeekIndex],40)&amp;" ("&amp;TEXT(SUMPRODUCT(MAX((T_PlannedOrders[Part Name]=$A1125)*(T_PlannedOrders[WeekIndex]=40)*(T_PlannedOrders[EffectiveQty]&gt;0)*T_PlannedOrders[Order_Month])),"m月")&amp;"発注)")</f>
        <v/>
      </c>
      <c r="AR1151">
        <f>IF(SUMIFS(T_PlannedOrders[EffectiveQty],T_PlannedOrders[Part Name],$A1125,T_PlannedOrders[WeekIndex],41)=0,"",SUMIFS(T_PlannedOrders[EffectiveQty],T_PlannedOrders[Part Name],$A1125,T_PlannedOrders[WeekIndex],41)&amp;" ("&amp;TEXT(SUMPRODUCT(MAX((T_PlannedOrders[Part Name]=$A1125)*(T_PlannedOrders[WeekIndex]=41)*(T_PlannedOrders[EffectiveQty]&gt;0)*T_PlannedOrders[Order_Month])),"m月")&amp;"発注)")</f>
        <v/>
      </c>
      <c r="AS1151">
        <f>IF(SUMIFS(T_PlannedOrders[EffectiveQty],T_PlannedOrders[Part Name],$A1125,T_PlannedOrders[WeekIndex],42)=0,"",SUMIFS(T_PlannedOrders[EffectiveQty],T_PlannedOrders[Part Name],$A1125,T_PlannedOrders[WeekIndex],42)&amp;" ("&amp;TEXT(SUMPRODUCT(MAX((T_PlannedOrders[Part Name]=$A1125)*(T_PlannedOrders[WeekIndex]=42)*(T_PlannedOrders[EffectiveQty]&gt;0)*T_PlannedOrders[Order_Month])),"m月")&amp;"発注)")</f>
        <v/>
      </c>
      <c r="AT1151">
        <f>IF(SUMIFS(T_PlannedOrders[EffectiveQty],T_PlannedOrders[Part Name],$A1125,T_PlannedOrders[WeekIndex],43)=0,"",SUMIFS(T_PlannedOrders[EffectiveQty],T_PlannedOrders[Part Name],$A1125,T_PlannedOrders[WeekIndex],43)&amp;" ("&amp;TEXT(SUMPRODUCT(MAX((T_PlannedOrders[Part Name]=$A1125)*(T_PlannedOrders[WeekIndex]=43)*(T_PlannedOrders[EffectiveQty]&gt;0)*T_PlannedOrders[Order_Month])),"m月")&amp;"発注)")</f>
        <v/>
      </c>
      <c r="AU1151">
        <f>IF(SUMIFS(T_PlannedOrders[EffectiveQty],T_PlannedOrders[Part Name],$A1125,T_PlannedOrders[WeekIndex],44)=0,"",SUMIFS(T_PlannedOrders[EffectiveQty],T_PlannedOrders[Part Name],$A1125,T_PlannedOrders[WeekIndex],44)&amp;" ("&amp;TEXT(SUMPRODUCT(MAX((T_PlannedOrders[Part Name]=$A1125)*(T_PlannedOrders[WeekIndex]=44)*(T_PlannedOrders[EffectiveQty]&gt;0)*T_PlannedOrders[Order_Month])),"m月")&amp;"発注)")</f>
        <v/>
      </c>
      <c r="AV1151">
        <f>IF(SUMIFS(T_PlannedOrders[EffectiveQty],T_PlannedOrders[Part Name],$A1125,T_PlannedOrders[WeekIndex],45)=0,"",SUMIFS(T_PlannedOrders[EffectiveQty],T_PlannedOrders[Part Name],$A1125,T_PlannedOrders[WeekIndex],45)&amp;" ("&amp;TEXT(SUMPRODUCT(MAX((T_PlannedOrders[Part Name]=$A1125)*(T_PlannedOrders[WeekIndex]=45)*(T_PlannedOrders[EffectiveQty]&gt;0)*T_PlannedOrders[Order_Month])),"m月")&amp;"発注)")</f>
        <v/>
      </c>
      <c r="AW1151">
        <f>IF(SUMIFS(T_PlannedOrders[EffectiveQty],T_PlannedOrders[Part Name],$A1125,T_PlannedOrders[WeekIndex],46)=0,"",SUMIFS(T_PlannedOrders[EffectiveQty],T_PlannedOrders[Part Name],$A1125,T_PlannedOrders[WeekIndex],46)&amp;" ("&amp;TEXT(SUMPRODUCT(MAX((T_PlannedOrders[Part Name]=$A1125)*(T_PlannedOrders[WeekIndex]=46)*(T_PlannedOrders[EffectiveQty]&gt;0)*T_PlannedOrders[Order_Month])),"m月")&amp;"発注)")</f>
        <v/>
      </c>
      <c r="AX1151">
        <f>IF(SUMIFS(T_PlannedOrders[EffectiveQty],T_PlannedOrders[Part Name],$A1125,T_PlannedOrders[WeekIndex],47)=0,"",SUMIFS(T_PlannedOrders[EffectiveQty],T_PlannedOrders[Part Name],$A1125,T_PlannedOrders[WeekIndex],47)&amp;" ("&amp;TEXT(SUMPRODUCT(MAX((T_PlannedOrders[Part Name]=$A1125)*(T_PlannedOrders[WeekIndex]=47)*(T_PlannedOrders[EffectiveQty]&gt;0)*T_PlannedOrders[Order_Month])),"m月")&amp;"発注)")</f>
        <v/>
      </c>
      <c r="AY1151">
        <f>IF(SUMIFS(T_PlannedOrders[EffectiveQty],T_PlannedOrders[Part Name],$A1125,T_PlannedOrders[WeekIndex],48)=0,"",SUMIFS(T_PlannedOrders[EffectiveQty],T_PlannedOrders[Part Name],$A1125,T_PlannedOrders[WeekIndex],48)&amp;" ("&amp;TEXT(SUMPRODUCT(MAX((T_PlannedOrders[Part Name]=$A1125)*(T_PlannedOrders[WeekIndex]=48)*(T_PlannedOrders[EffectiveQty]&gt;0)*T_PlannedOrders[Order_Month])),"m月")&amp;"発注)")</f>
        <v/>
      </c>
      <c r="AZ1151">
        <f>IF(SUMIFS(T_PlannedOrders[EffectiveQty],T_PlannedOrders[Part Name],$A1125,T_PlannedOrders[WeekIndex],49)=0,"",SUMIFS(T_PlannedOrders[EffectiveQty],T_PlannedOrders[Part Name],$A1125,T_PlannedOrders[WeekIndex],49)&amp;" ("&amp;TEXT(SUMPRODUCT(MAX((T_PlannedOrders[Part Name]=$A1125)*(T_PlannedOrders[WeekIndex]=49)*(T_PlannedOrders[EffectiveQty]&gt;0)*T_PlannedOrders[Order_Month])),"m月")&amp;"発注)")</f>
        <v/>
      </c>
      <c r="BA1151">
        <f>IF(SUMIFS(T_PlannedOrders[EffectiveQty],T_PlannedOrders[Part Name],$A1125,T_PlannedOrders[WeekIndex],50)=0,"",SUMIFS(T_PlannedOrders[EffectiveQty],T_PlannedOrders[Part Name],$A1125,T_PlannedOrders[WeekIndex],50)&amp;" ("&amp;TEXT(SUMPRODUCT(MAX((T_PlannedOrders[Part Name]=$A1125)*(T_PlannedOrders[WeekIndex]=50)*(T_PlannedOrders[EffectiveQty]&gt;0)*T_PlannedOrders[Order_Month])),"m月")&amp;"発注)")</f>
        <v/>
      </c>
      <c r="BB1151">
        <f>IF(SUMIFS(T_PlannedOrders[EffectiveQty],T_PlannedOrders[Part Name],$A1125,T_PlannedOrders[WeekIndex],51)=0,"",SUMIFS(T_PlannedOrders[EffectiveQty],T_PlannedOrders[Part Name],$A1125,T_PlannedOrders[WeekIndex],51)&amp;" ("&amp;TEXT(SUMPRODUCT(MAX((T_PlannedOrders[Part Name]=$A1125)*(T_PlannedOrders[WeekIndex]=51)*(T_PlannedOrders[EffectiveQty]&gt;0)*T_PlannedOrders[Order_Month])),"m月")&amp;"発注)")</f>
        <v/>
      </c>
      <c r="BC1151">
        <f>IF(SUMIFS(T_PlannedOrders[EffectiveQty],T_PlannedOrders[Part Name],$A1125,T_PlannedOrders[WeekIndex],52)=0,"",SUMIFS(T_PlannedOrders[EffectiveQty],T_PlannedOrders[Part Name],$A1125,T_PlannedOrders[WeekIndex],52)&amp;" ("&amp;TEXT(SUMPRODUCT(MAX((T_PlannedOrders[Part Name]=$A1125)*(T_PlannedOrders[WeekIndex]=52)*(T_PlannedOrders[EffectiveQty]&gt;0)*T_PlannedOrders[Order_Month])),"m月")&amp;"発注)")</f>
        <v/>
      </c>
      <c r="BD1151">
        <f>IF(SUMIFS(T_PlannedOrders[EffectiveQty],T_PlannedOrders[Part Name],$A1125,T_PlannedOrders[WeekIndex],53)=0,"",SUMIFS(T_PlannedOrders[EffectiveQty],T_PlannedOrders[Part Name],$A1125,T_PlannedOrders[WeekIndex],53)&amp;" ("&amp;TEXT(SUMPRODUCT(MAX((T_PlannedOrders[Part Name]=$A1125)*(T_PlannedOrders[WeekIndex]=53)*(T_PlannedOrders[EffectiveQty]&gt;0)*T_PlannedOrders[Order_Month])),"m月")&amp;"発注)")</f>
        <v/>
      </c>
      <c r="BE1151">
        <f>IF(SUMIFS(T_PlannedOrders[EffectiveQty],T_PlannedOrders[Part Name],$A1125,T_PlannedOrders[WeekIndex],54)=0,"",SUMIFS(T_PlannedOrders[EffectiveQty],T_PlannedOrders[Part Name],$A1125,T_PlannedOrders[WeekIndex],54)&amp;" ("&amp;TEXT(SUMPRODUCT(MAX((T_PlannedOrders[Part Name]=$A1125)*(T_PlannedOrders[WeekIndex]=54)*(T_PlannedOrders[EffectiveQty]&gt;0)*T_PlannedOrders[Order_Month])),"m月")&amp;"発注)")</f>
        <v/>
      </c>
      <c r="BF1151">
        <f>IF(SUMIFS(T_PlannedOrders[EffectiveQty],T_PlannedOrders[Part Name],$A1125,T_PlannedOrders[WeekIndex],55)=0,"",SUMIFS(T_PlannedOrders[EffectiveQty],T_PlannedOrders[Part Name],$A1125,T_PlannedOrders[WeekIndex],55)&amp;" ("&amp;TEXT(SUMPRODUCT(MAX((T_PlannedOrders[Part Name]=$A1125)*(T_PlannedOrders[WeekIndex]=55)*(T_PlannedOrders[EffectiveQty]&gt;0)*T_PlannedOrders[Order_Month])),"m月")&amp;"発注)")</f>
        <v/>
      </c>
      <c r="BG1151">
        <f>IF(SUMIFS(T_PlannedOrders[EffectiveQty],T_PlannedOrders[Part Name],$A1125,T_PlannedOrders[WeekIndex],56)=0,"",SUMIFS(T_PlannedOrders[EffectiveQty],T_PlannedOrders[Part Name],$A1125,T_PlannedOrders[WeekIndex],56)&amp;" ("&amp;TEXT(SUMPRODUCT(MAX((T_PlannedOrders[Part Name]=$A1125)*(T_PlannedOrders[WeekIndex]=56)*(T_PlannedOrders[EffectiveQty]&gt;0)*T_PlannedOrders[Order_Month])),"m月")&amp;"発注)")</f>
        <v/>
      </c>
      <c r="BH1151">
        <f>IF(SUMIFS(T_PlannedOrders[EffectiveQty],T_PlannedOrders[Part Name],$A1125,T_PlannedOrders[WeekIndex],57)=0,"",SUMIFS(T_PlannedOrders[EffectiveQty],T_PlannedOrders[Part Name],$A1125,T_PlannedOrders[WeekIndex],57)&amp;" ("&amp;TEXT(SUMPRODUCT(MAX((T_PlannedOrders[Part Name]=$A1125)*(T_PlannedOrders[WeekIndex]=57)*(T_PlannedOrders[EffectiveQty]&gt;0)*T_PlannedOrders[Order_Month])),"m月")&amp;"発注)")</f>
        <v/>
      </c>
      <c r="BI1151">
        <f>IF(SUMIFS(T_PlannedOrders[EffectiveQty],T_PlannedOrders[Part Name],$A1125,T_PlannedOrders[WeekIndex],58)=0,"",SUMIFS(T_PlannedOrders[EffectiveQty],T_PlannedOrders[Part Name],$A1125,T_PlannedOrders[WeekIndex],58)&amp;" ("&amp;TEXT(SUMPRODUCT(MAX((T_PlannedOrders[Part Name]=$A1125)*(T_PlannedOrders[WeekIndex]=58)*(T_PlannedOrders[EffectiveQty]&gt;0)*T_PlannedOrders[Order_Month])),"m月")&amp;"発注)")</f>
        <v/>
      </c>
      <c r="BJ1151">
        <f>IF(SUMIFS(T_PlannedOrders[EffectiveQty],T_PlannedOrders[Part Name],$A1125,T_PlannedOrders[WeekIndex],59)=0,"",SUMIFS(T_PlannedOrders[EffectiveQty],T_PlannedOrders[Part Name],$A1125,T_PlannedOrders[WeekIndex],59)&amp;" ("&amp;TEXT(SUMPRODUCT(MAX((T_PlannedOrders[Part Name]=$A1125)*(T_PlannedOrders[WeekIndex]=59)*(T_PlannedOrders[EffectiveQty]&gt;0)*T_PlannedOrders[Order_Month])),"m月")&amp;"発注)")</f>
        <v/>
      </c>
      <c r="BK1151">
        <f>IF(SUMIFS(T_PlannedOrders[EffectiveQty],T_PlannedOrders[Part Name],$A1125,T_PlannedOrders[WeekIndex],60)=0,"",SUMIFS(T_PlannedOrders[EffectiveQty],T_PlannedOrders[Part Name],$A1125,T_PlannedOrders[WeekIndex],60)&amp;" ("&amp;TEXT(SUMPRODUCT(MAX((T_PlannedOrders[Part Name]=$A1125)*(T_PlannedOrders[WeekIndex]=60)*(T_PlannedOrders[EffectiveQty]&gt;0)*T_PlannedOrders[Order_Month])),"m月")&amp;"発注)")</f>
        <v/>
      </c>
      <c r="BL1151">
        <f>IF(SUMIFS(T_PlannedOrders[EffectiveQty],T_PlannedOrders[Part Name],$A1125,T_PlannedOrders[WeekIndex],61)=0,"",SUMIFS(T_PlannedOrders[EffectiveQty],T_PlannedOrders[Part Name],$A1125,T_PlannedOrders[WeekIndex],61)&amp;" ("&amp;TEXT(SUMPRODUCT(MAX((T_PlannedOrders[Part Name]=$A1125)*(T_PlannedOrders[WeekIndex]=61)*(T_PlannedOrders[EffectiveQty]&gt;0)*T_PlannedOrders[Order_Month])),"m月")&amp;"発注)")</f>
        <v/>
      </c>
      <c r="BM1151">
        <f>IF(SUMIFS(T_PlannedOrders[EffectiveQty],T_PlannedOrders[Part Name],$A1125,T_PlannedOrders[WeekIndex],62)=0,"",SUMIFS(T_PlannedOrders[EffectiveQty],T_PlannedOrders[Part Name],$A1125,T_PlannedOrders[WeekIndex],62)&amp;" ("&amp;TEXT(SUMPRODUCT(MAX((T_PlannedOrders[Part Name]=$A1125)*(T_PlannedOrders[WeekIndex]=62)*(T_PlannedOrders[EffectiveQty]&gt;0)*T_PlannedOrders[Order_Month])),"m月")&amp;"発注)")</f>
        <v/>
      </c>
      <c r="BN1151">
        <f>IF(SUMIFS(T_PlannedOrders[EffectiveQty],T_PlannedOrders[Part Name],$A1125,T_PlannedOrders[WeekIndex],63)=0,"",SUMIFS(T_PlannedOrders[EffectiveQty],T_PlannedOrders[Part Name],$A1125,T_PlannedOrders[WeekIndex],63)&amp;" ("&amp;TEXT(SUMPRODUCT(MAX((T_PlannedOrders[Part Name]=$A1125)*(T_PlannedOrders[WeekIndex]=63)*(T_PlannedOrders[EffectiveQty]&gt;0)*T_PlannedOrders[Order_Month])),"m月")&amp;"発注)")</f>
        <v/>
      </c>
      <c r="BO1151">
        <f>IF(SUMIFS(T_PlannedOrders[EffectiveQty],T_PlannedOrders[Part Name],$A1125,T_PlannedOrders[WeekIndex],64)=0,"",SUMIFS(T_PlannedOrders[EffectiveQty],T_PlannedOrders[Part Name],$A1125,T_PlannedOrders[WeekIndex],64)&amp;" ("&amp;TEXT(SUMPRODUCT(MAX((T_PlannedOrders[Part Name]=$A1125)*(T_PlannedOrders[WeekIndex]=64)*(T_PlannedOrders[EffectiveQty]&gt;0)*T_PlannedOrders[Order_Month])),"m月")&amp;"発注)")</f>
        <v/>
      </c>
      <c r="BP1151">
        <f>IF(SUMIFS(T_PlannedOrders[EffectiveQty],T_PlannedOrders[Part Name],$A1125,T_PlannedOrders[WeekIndex],65)=0,"",SUMIFS(T_PlannedOrders[EffectiveQty],T_PlannedOrders[Part Name],$A1125,T_PlannedOrders[WeekIndex],65)&amp;" ("&amp;TEXT(SUMPRODUCT(MAX((T_PlannedOrders[Part Name]=$A1125)*(T_PlannedOrders[WeekIndex]=65)*(T_PlannedOrders[EffectiveQty]&gt;0)*T_PlannedOrders[Order_Month])),"m月")&amp;"発注)")</f>
        <v/>
      </c>
      <c r="BQ1151">
        <f>IF(SUMIFS(T_PlannedOrders[EffectiveQty],T_PlannedOrders[Part Name],$A1125,T_PlannedOrders[WeekIndex],66)=0,"",SUMIFS(T_PlannedOrders[EffectiveQty],T_PlannedOrders[Part Name],$A1125,T_PlannedOrders[WeekIndex],66)&amp;" ("&amp;TEXT(SUMPRODUCT(MAX((T_PlannedOrders[Part Name]=$A1125)*(T_PlannedOrders[WeekIndex]=66)*(T_PlannedOrders[EffectiveQty]&gt;0)*T_PlannedOrders[Order_Month])),"m月")&amp;"発注)")</f>
        <v/>
      </c>
      <c r="BR1151">
        <f>IF(SUMIFS(T_PlannedOrders[EffectiveQty],T_PlannedOrders[Part Name],$A1125,T_PlannedOrders[WeekIndex],67)=0,"",SUMIFS(T_PlannedOrders[EffectiveQty],T_PlannedOrders[Part Name],$A1125,T_PlannedOrders[WeekIndex],67)&amp;" ("&amp;TEXT(SUMPRODUCT(MAX((T_PlannedOrders[Part Name]=$A1125)*(T_PlannedOrders[WeekIndex]=67)*(T_PlannedOrders[EffectiveQty]&gt;0)*T_PlannedOrders[Order_Month])),"m月")&amp;"発注)")</f>
        <v/>
      </c>
      <c r="BS1151">
        <f>IF(SUMIFS(T_PlannedOrders[EffectiveQty],T_PlannedOrders[Part Name],$A1125,T_PlannedOrders[WeekIndex],68)=0,"",SUMIFS(T_PlannedOrders[EffectiveQty],T_PlannedOrders[Part Name],$A1125,T_PlannedOrders[WeekIndex],68)&amp;" ("&amp;TEXT(SUMPRODUCT(MAX((T_PlannedOrders[Part Name]=$A1125)*(T_PlannedOrders[WeekIndex]=68)*(T_PlannedOrders[EffectiveQty]&gt;0)*T_PlannedOrders[Order_Month])),"m月")&amp;"発注)")</f>
        <v/>
      </c>
      <c r="BT1151">
        <f>IF(SUMIFS(T_PlannedOrders[EffectiveQty],T_PlannedOrders[Part Name],$A1125,T_PlannedOrders[WeekIndex],69)=0,"",SUMIFS(T_PlannedOrders[EffectiveQty],T_PlannedOrders[Part Name],$A1125,T_PlannedOrders[WeekIndex],69)&amp;" ("&amp;TEXT(SUMPRODUCT(MAX((T_PlannedOrders[Part Name]=$A1125)*(T_PlannedOrders[WeekIndex]=69)*(T_PlannedOrders[EffectiveQty]&gt;0)*T_PlannedOrders[Order_Month])),"m月")&amp;"発注)")</f>
        <v/>
      </c>
      <c r="BU1151">
        <f>IF(SUMIFS(T_PlannedOrders[EffectiveQty],T_PlannedOrders[Part Name],$A1125,T_PlannedOrders[WeekIndex],70)=0,"",SUMIFS(T_PlannedOrders[EffectiveQty],T_PlannedOrders[Part Name],$A1125,T_PlannedOrders[WeekIndex],70)&amp;" ("&amp;TEXT(SUMPRODUCT(MAX((T_PlannedOrders[Part Name]=$A1125)*(T_PlannedOrders[WeekIndex]=70)*(T_PlannedOrders[EffectiveQty]&gt;0)*T_PlannedOrders[Order_Month])),"m月")&amp;"発注)")</f>
        <v/>
      </c>
      <c r="BV1151">
        <f>IF(SUMIFS(T_PlannedOrders[EffectiveQty],T_PlannedOrders[Part Name],$A1125,T_PlannedOrders[WeekIndex],71)=0,"",SUMIFS(T_PlannedOrders[EffectiveQty],T_PlannedOrders[Part Name],$A1125,T_PlannedOrders[WeekIndex],71)&amp;" ("&amp;TEXT(SUMPRODUCT(MAX((T_PlannedOrders[Part Name]=$A1125)*(T_PlannedOrders[WeekIndex]=71)*(T_PlannedOrders[EffectiveQty]&gt;0)*T_PlannedOrders[Order_Month])),"m月")&amp;"発注)")</f>
        <v/>
      </c>
      <c r="BW1151">
        <f>IF(SUMIFS(T_PlannedOrders[EffectiveQty],T_PlannedOrders[Part Name],$A1125,T_PlannedOrders[WeekIndex],72)=0,"",SUMIFS(T_PlannedOrders[EffectiveQty],T_PlannedOrders[Part Name],$A1125,T_PlannedOrders[WeekIndex],72)&amp;" ("&amp;TEXT(SUMPRODUCT(MAX((T_PlannedOrders[Part Name]=$A1125)*(T_PlannedOrders[WeekIndex]=72)*(T_PlannedOrders[EffectiveQty]&gt;0)*T_PlannedOrders[Order_Month])),"m月")&amp;"発注)")</f>
        <v/>
      </c>
      <c r="BX1151">
        <f>IF(SUMIFS(T_PlannedOrders[EffectiveQty],T_PlannedOrders[Part Name],$A1125,T_PlannedOrders[WeekIndex],73)=0,"",SUMIFS(T_PlannedOrders[EffectiveQty],T_PlannedOrders[Part Name],$A1125,T_PlannedOrders[WeekIndex],73)&amp;" ("&amp;TEXT(SUMPRODUCT(MAX((T_PlannedOrders[Part Name]=$A1125)*(T_PlannedOrders[WeekIndex]=73)*(T_PlannedOrders[EffectiveQty]&gt;0)*T_PlannedOrders[Order_Month])),"m月")&amp;"発注)")</f>
        <v/>
      </c>
      <c r="BY1151">
        <f>IF(SUMIFS(T_PlannedOrders[EffectiveQty],T_PlannedOrders[Part Name],$A1125,T_PlannedOrders[WeekIndex],74)=0,"",SUMIFS(T_PlannedOrders[EffectiveQty],T_PlannedOrders[Part Name],$A1125,T_PlannedOrders[WeekIndex],74)&amp;" ("&amp;TEXT(SUMPRODUCT(MAX((T_PlannedOrders[Part Name]=$A1125)*(T_PlannedOrders[WeekIndex]=74)*(T_PlannedOrders[EffectiveQty]&gt;0)*T_PlannedOrders[Order_Month])),"m月")&amp;"発注)")</f>
        <v/>
      </c>
      <c r="BZ1151">
        <f>IF(SUMIFS(T_PlannedOrders[EffectiveQty],T_PlannedOrders[Part Name],$A1125,T_PlannedOrders[WeekIndex],75)=0,"",SUMIFS(T_PlannedOrders[EffectiveQty],T_PlannedOrders[Part Name],$A1125,T_PlannedOrders[WeekIndex],75)&amp;" ("&amp;TEXT(SUMPRODUCT(MAX((T_PlannedOrders[Part Name]=$A1125)*(T_PlannedOrders[WeekIndex]=75)*(T_PlannedOrders[EffectiveQty]&gt;0)*T_PlannedOrders[Order_Month])),"m月")&amp;"発注)")</f>
        <v/>
      </c>
      <c r="CA1151">
        <f>IF(SUMIFS(T_PlannedOrders[EffectiveQty],T_PlannedOrders[Part Name],$A1125,T_PlannedOrders[WeekIndex],76)=0,"",SUMIFS(T_PlannedOrders[EffectiveQty],T_PlannedOrders[Part Name],$A1125,T_PlannedOrders[WeekIndex],76)&amp;" ("&amp;TEXT(SUMPRODUCT(MAX((T_PlannedOrders[Part Name]=$A1125)*(T_PlannedOrders[WeekIndex]=76)*(T_PlannedOrders[EffectiveQty]&gt;0)*T_PlannedOrders[Order_Month])),"m月")&amp;"発注)")</f>
        <v/>
      </c>
      <c r="CB1151">
        <f>IF(SUMIFS(T_PlannedOrders[EffectiveQty],T_PlannedOrders[Part Name],$A1125,T_PlannedOrders[WeekIndex],77)=0,"",SUMIFS(T_PlannedOrders[EffectiveQty],T_PlannedOrders[Part Name],$A1125,T_PlannedOrders[WeekIndex],77)&amp;" ("&amp;TEXT(SUMPRODUCT(MAX((T_PlannedOrders[Part Name]=$A1125)*(T_PlannedOrders[WeekIndex]=77)*(T_PlannedOrders[EffectiveQty]&gt;0)*T_PlannedOrders[Order_Month])),"m月")&amp;"発注)")</f>
        <v/>
      </c>
      <c r="CC1151">
        <f>IF(SUMIFS(T_PlannedOrders[EffectiveQty],T_PlannedOrders[Part Name],$A1125,T_PlannedOrders[WeekIndex],78)=0,"",SUMIFS(T_PlannedOrders[EffectiveQty],T_PlannedOrders[Part Name],$A1125,T_PlannedOrders[WeekIndex],78)&amp;" ("&amp;TEXT(SUMPRODUCT(MAX((T_PlannedOrders[Part Name]=$A1125)*(T_PlannedOrders[WeekIndex]=78)*(T_PlannedOrders[EffectiveQty]&gt;0)*T_PlannedOrders[Order_Month])),"m月")&amp;"発注)")</f>
        <v/>
      </c>
      <c r="CD1151">
        <f>IF(SUMIFS(T_PlannedOrders[EffectiveQty],T_PlannedOrders[Part Name],$A1125,T_PlannedOrders[WeekIndex],79)=0,"",SUMIFS(T_PlannedOrders[EffectiveQty],T_PlannedOrders[Part Name],$A1125,T_PlannedOrders[WeekIndex],79)&amp;" ("&amp;TEXT(SUMPRODUCT(MAX((T_PlannedOrders[Part Name]=$A1125)*(T_PlannedOrders[WeekIndex]=79)*(T_PlannedOrders[EffectiveQty]&gt;0)*T_PlannedOrders[Order_Month])),"m月")&amp;"発注)")</f>
        <v/>
      </c>
      <c r="CE1151">
        <f>IF(SUMIFS(T_PlannedOrders[EffectiveQty],T_PlannedOrders[Part Name],$A1125,T_PlannedOrders[WeekIndex],80)=0,"",SUMIFS(T_PlannedOrders[EffectiveQty],T_PlannedOrders[Part Name],$A1125,T_PlannedOrders[WeekIndex],80)&amp;" ("&amp;TEXT(SUMPRODUCT(MAX((T_PlannedOrders[Part Name]=$A1125)*(T_PlannedOrders[WeekIndex]=80)*(T_PlannedOrders[EffectiveQty]&gt;0)*T_PlannedOrders[Order_Month])),"m月")&amp;"発注)")</f>
        <v/>
      </c>
      <c r="CF1151">
        <f>IF(SUMIFS(T_PlannedOrders[EffectiveQty],T_PlannedOrders[Part Name],$A1125,T_PlannedOrders[WeekIndex],81)=0,"",SUMIFS(T_PlannedOrders[EffectiveQty],T_PlannedOrders[Part Name],$A1125,T_PlannedOrders[WeekIndex],81)&amp;" ("&amp;TEXT(SUMPRODUCT(MAX((T_PlannedOrders[Part Name]=$A1125)*(T_PlannedOrders[WeekIndex]=81)*(T_PlannedOrders[EffectiveQty]&gt;0)*T_PlannedOrders[Order_Month])),"m月")&amp;"発注)")</f>
        <v/>
      </c>
      <c r="CG1151">
        <f>IF(SUMIFS(T_PlannedOrders[EffectiveQty],T_PlannedOrders[Part Name],$A1125,T_PlannedOrders[WeekIndex],82)=0,"",SUMIFS(T_PlannedOrders[EffectiveQty],T_PlannedOrders[Part Name],$A1125,T_PlannedOrders[WeekIndex],82)&amp;" ("&amp;TEXT(SUMPRODUCT(MAX((T_PlannedOrders[Part Name]=$A1125)*(T_PlannedOrders[WeekIndex]=82)*(T_PlannedOrders[EffectiveQty]&gt;0)*T_PlannedOrders[Order_Month])),"m月")&amp;"発注)")</f>
        <v/>
      </c>
      <c r="CH1151">
        <f>IF(SUMIFS(T_PlannedOrders[EffectiveQty],T_PlannedOrders[Part Name],$A1125,T_PlannedOrders[WeekIndex],83)=0,"",SUMIFS(T_PlannedOrders[EffectiveQty],T_PlannedOrders[Part Name],$A1125,T_PlannedOrders[WeekIndex],83)&amp;" ("&amp;TEXT(SUMPRODUCT(MAX((T_PlannedOrders[Part Name]=$A1125)*(T_PlannedOrders[WeekIndex]=83)*(T_PlannedOrders[EffectiveQty]&gt;0)*T_PlannedOrders[Order_Month])),"m月")&amp;"発注)")</f>
        <v/>
      </c>
      <c r="CI1151">
        <f>IF(SUMIFS(T_PlannedOrders[EffectiveQty],T_PlannedOrders[Part Name],$A1125,T_PlannedOrders[WeekIndex],84)=0,"",SUMIFS(T_PlannedOrders[EffectiveQty],T_PlannedOrders[Part Name],$A1125,T_PlannedOrders[WeekIndex],84)&amp;" ("&amp;TEXT(SUMPRODUCT(MAX((T_PlannedOrders[Part Name]=$A1125)*(T_PlannedOrders[WeekIndex]=84)*(T_PlannedOrders[EffectiveQty]&gt;0)*T_PlannedOrders[Order_Month])),"m月")&amp;"発注)")</f>
        <v/>
      </c>
      <c r="CJ1151">
        <f>IF(SUMIFS(T_PlannedOrders[EffectiveQty],T_PlannedOrders[Part Name],$A1125,T_PlannedOrders[WeekIndex],85)=0,"",SUMIFS(T_PlannedOrders[EffectiveQty],T_PlannedOrders[Part Name],$A1125,T_PlannedOrders[WeekIndex],85)&amp;" ("&amp;TEXT(SUMPRODUCT(MAX((T_PlannedOrders[Part Name]=$A1125)*(T_PlannedOrders[WeekIndex]=85)*(T_PlannedOrders[EffectiveQty]&gt;0)*T_PlannedOrders[Order_Month])),"m月")&amp;"発注)")</f>
        <v/>
      </c>
      <c r="CK1151">
        <f>IF(SUMIFS(T_PlannedOrders[EffectiveQty],T_PlannedOrders[Part Name],$A1125,T_PlannedOrders[WeekIndex],86)=0,"",SUMIFS(T_PlannedOrders[EffectiveQty],T_PlannedOrders[Part Name],$A1125,T_PlannedOrders[WeekIndex],86)&amp;" ("&amp;TEXT(SUMPRODUCT(MAX((T_PlannedOrders[Part Name]=$A1125)*(T_PlannedOrders[WeekIndex]=86)*(T_PlannedOrders[EffectiveQty]&gt;0)*T_PlannedOrders[Order_Month])),"m月")&amp;"発注)")</f>
        <v/>
      </c>
      <c r="CL1151">
        <f>IF(SUMIFS(T_PlannedOrders[EffectiveQty],T_PlannedOrders[Part Name],$A1125,T_PlannedOrders[WeekIndex],87)=0,"",SUMIFS(T_PlannedOrders[EffectiveQty],T_PlannedOrders[Part Name],$A1125,T_PlannedOrders[WeekIndex],87)&amp;" ("&amp;TEXT(SUMPRODUCT(MAX((T_PlannedOrders[Part Name]=$A1125)*(T_PlannedOrders[WeekIndex]=87)*(T_PlannedOrders[EffectiveQty]&gt;0)*T_PlannedOrders[Order_Month])),"m月")&amp;"発注)")</f>
        <v/>
      </c>
      <c r="CM1151">
        <f>IF(SUMIFS(T_PlannedOrders[EffectiveQty],T_PlannedOrders[Part Name],$A1125,T_PlannedOrders[WeekIndex],88)=0,"",SUMIFS(T_PlannedOrders[EffectiveQty],T_PlannedOrders[Part Name],$A1125,T_PlannedOrders[WeekIndex],88)&amp;" ("&amp;TEXT(SUMPRODUCT(MAX((T_PlannedOrders[Part Name]=$A1125)*(T_PlannedOrders[WeekIndex]=88)*(T_PlannedOrders[EffectiveQty]&gt;0)*T_PlannedOrders[Order_Month])),"m月")&amp;"発注)")</f>
        <v/>
      </c>
      <c r="CN1151">
        <f>IF(SUMIFS(T_PlannedOrders[EffectiveQty],T_PlannedOrders[Part Name],$A1125,T_PlannedOrders[WeekIndex],89)=0,"",SUMIFS(T_PlannedOrders[EffectiveQty],T_PlannedOrders[Part Name],$A1125,T_PlannedOrders[WeekIndex],89)&amp;" ("&amp;TEXT(SUMPRODUCT(MAX((T_PlannedOrders[Part Name]=$A1125)*(T_PlannedOrders[WeekIndex]=89)*(T_PlannedOrders[EffectiveQty]&gt;0)*T_PlannedOrders[Order_Month])),"m月")&amp;"発注)")</f>
        <v/>
      </c>
      <c r="CO1151">
        <f>IF(SUMIFS(T_PlannedOrders[EffectiveQty],T_PlannedOrders[Part Name],$A1125,T_PlannedOrders[WeekIndex],90)=0,"",SUMIFS(T_PlannedOrders[EffectiveQty],T_PlannedOrders[Part Name],$A1125,T_PlannedOrders[WeekIndex],90)&amp;" ("&amp;TEXT(SUMPRODUCT(MAX((T_PlannedOrders[Part Name]=$A1125)*(T_PlannedOrders[WeekIndex]=90)*(T_PlannedOrders[EffectiveQty]&gt;0)*T_PlannedOrders[Order_Month])),"m月")&amp;"発注)")</f>
        <v/>
      </c>
      <c r="CP1151">
        <f>IF(SUMIFS(T_PlannedOrders[EffectiveQty],T_PlannedOrders[Part Name],$A1125,T_PlannedOrders[WeekIndex],91)=0,"",SUMIFS(T_PlannedOrders[EffectiveQty],T_PlannedOrders[Part Name],$A1125,T_PlannedOrders[WeekIndex],91)&amp;" ("&amp;TEXT(SUMPRODUCT(MAX((T_PlannedOrders[Part Name]=$A1125)*(T_PlannedOrders[WeekIndex]=91)*(T_PlannedOrders[EffectiveQty]&gt;0)*T_PlannedOrders[Order_Month])),"m月")&amp;"発注)")</f>
        <v/>
      </c>
      <c r="CQ1151">
        <f>IF(SUMIFS(T_PlannedOrders[EffectiveQty],T_PlannedOrders[Part Name],$A1125,T_PlannedOrders[WeekIndex],92)=0,"",SUMIFS(T_PlannedOrders[EffectiveQty],T_PlannedOrders[Part Name],$A1125,T_PlannedOrders[WeekIndex],92)&amp;" ("&amp;TEXT(SUMPRODUCT(MAX((T_PlannedOrders[Part Name]=$A1125)*(T_PlannedOrders[WeekIndex]=92)*(T_PlannedOrders[EffectiveQty]&gt;0)*T_PlannedOrders[Order_Month])),"m月")&amp;"発注)")</f>
        <v/>
      </c>
      <c r="CR1151">
        <f>IF(SUMIFS(T_PlannedOrders[EffectiveQty],T_PlannedOrders[Part Name],$A1125,T_PlannedOrders[WeekIndex],93)=0,"",SUMIFS(T_PlannedOrders[EffectiveQty],T_PlannedOrders[Part Name],$A1125,T_PlannedOrders[WeekIndex],93)&amp;" ("&amp;TEXT(SUMPRODUCT(MAX((T_PlannedOrders[Part Name]=$A1125)*(T_PlannedOrders[WeekIndex]=93)*(T_PlannedOrders[EffectiveQty]&gt;0)*T_PlannedOrders[Order_Month])),"m月")&amp;"発注)")</f>
        <v/>
      </c>
      <c r="CS1151">
        <f>IF(SUMIFS(T_PlannedOrders[EffectiveQty],T_PlannedOrders[Part Name],$A1125,T_PlannedOrders[WeekIndex],94)=0,"",SUMIFS(T_PlannedOrders[EffectiveQty],T_PlannedOrders[Part Name],$A1125,T_PlannedOrders[WeekIndex],94)&amp;" ("&amp;TEXT(SUMPRODUCT(MAX((T_PlannedOrders[Part Name]=$A1125)*(T_PlannedOrders[WeekIndex]=94)*(T_PlannedOrders[EffectiveQty]&gt;0)*T_PlannedOrders[Order_Month])),"m月")&amp;"発注)")</f>
        <v/>
      </c>
      <c r="CT1151">
        <f>IF(SUMIFS(T_PlannedOrders[EffectiveQty],T_PlannedOrders[Part Name],$A1125,T_PlannedOrders[WeekIndex],95)=0,"",SUMIFS(T_PlannedOrders[EffectiveQty],T_PlannedOrders[Part Name],$A1125,T_PlannedOrders[WeekIndex],95)&amp;" ("&amp;TEXT(SUMPRODUCT(MAX((T_PlannedOrders[Part Name]=$A1125)*(T_PlannedOrders[WeekIndex]=95)*(T_PlannedOrders[EffectiveQty]&gt;0)*T_PlannedOrders[Order_Month])),"m月")&amp;"発注)")</f>
        <v/>
      </c>
      <c r="CU1151">
        <f>IF(SUMIFS(T_PlannedOrders[EffectiveQty],T_PlannedOrders[Part Name],$A1125,T_PlannedOrders[WeekIndex],96)=0,"",SUMIFS(T_PlannedOrders[EffectiveQty],T_PlannedOrders[Part Name],$A1125,T_PlannedOrders[WeekIndex],96)&amp;" ("&amp;TEXT(SUMPRODUCT(MAX((T_PlannedOrders[Part Name]=$A1125)*(T_PlannedOrders[WeekIndex]=96)*(T_PlannedOrders[EffectiveQty]&gt;0)*T_PlannedOrders[Order_Month])),"m月")&amp;"発注)")</f>
        <v/>
      </c>
      <c r="CV1151">
        <f>IF(SUMIFS(T_PlannedOrders[EffectiveQty],T_PlannedOrders[Part Name],$A1125,T_PlannedOrders[WeekIndex],97)=0,"",SUMIFS(T_PlannedOrders[EffectiveQty],T_PlannedOrders[Part Name],$A1125,T_PlannedOrders[WeekIndex],97)&amp;" ("&amp;TEXT(SUMPRODUCT(MAX((T_PlannedOrders[Part Name]=$A1125)*(T_PlannedOrders[WeekIndex]=97)*(T_PlannedOrders[EffectiveQty]&gt;0)*T_PlannedOrders[Order_Month])),"m月")&amp;"発注)")</f>
        <v/>
      </c>
      <c r="CW1151">
        <f>IF(SUMIFS(T_PlannedOrders[EffectiveQty],T_PlannedOrders[Part Name],$A1125,T_PlannedOrders[WeekIndex],98)=0,"",SUMIFS(T_PlannedOrders[EffectiveQty],T_PlannedOrders[Part Name],$A1125,T_PlannedOrders[WeekIndex],98)&amp;" ("&amp;TEXT(SUMPRODUCT(MAX((T_PlannedOrders[Part Name]=$A1125)*(T_PlannedOrders[WeekIndex]=98)*(T_PlannedOrders[EffectiveQty]&gt;0)*T_PlannedOrders[Order_Month])),"m月")&amp;"発注)")</f>
        <v/>
      </c>
      <c r="CX1151">
        <f>IF(SUMIFS(T_PlannedOrders[EffectiveQty],T_PlannedOrders[Part Name],$A1125,T_PlannedOrders[WeekIndex],99)=0,"",SUMIFS(T_PlannedOrders[EffectiveQty],T_PlannedOrders[Part Name],$A1125,T_PlannedOrders[WeekIndex],99)&amp;" ("&amp;TEXT(SUMPRODUCT(MAX((T_PlannedOrders[Part Name]=$A1125)*(T_PlannedOrders[WeekIndex]=99)*(T_PlannedOrders[EffectiveQty]&gt;0)*T_PlannedOrders[Order_Month])),"m月")&amp;"発注)")</f>
        <v/>
      </c>
      <c r="CY1151">
        <f>IF(SUMIFS(T_PlannedOrders[EffectiveQty],T_PlannedOrders[Part Name],$A1125,T_PlannedOrders[WeekIndex],100)=0,"",SUMIFS(T_PlannedOrders[EffectiveQty],T_PlannedOrders[Part Name],$A1125,T_PlannedOrders[WeekIndex],100)&amp;" ("&amp;TEXT(SUMPRODUCT(MAX((T_PlannedOrders[Part Name]=$A1125)*(T_PlannedOrders[WeekIndex]=100)*(T_PlannedOrders[EffectiveQty]&gt;0)*T_PlannedOrders[Order_Month])),"m月")&amp;"発注)")</f>
        <v/>
      </c>
      <c r="CZ1151">
        <f>IF(SUMIFS(T_PlannedOrders[EffectiveQty],T_PlannedOrders[Part Name],$A1125,T_PlannedOrders[WeekIndex],101)=0,"",SUMIFS(T_PlannedOrders[EffectiveQty],T_PlannedOrders[Part Name],$A1125,T_PlannedOrders[WeekIndex],101)&amp;" ("&amp;TEXT(SUMPRODUCT(MAX((T_PlannedOrders[Part Name]=$A1125)*(T_PlannedOrders[WeekIndex]=101)*(T_PlannedOrders[EffectiveQty]&gt;0)*T_PlannedOrders[Order_Month])),"m月")&amp;"発注)")</f>
        <v/>
      </c>
      <c r="DA1151">
        <f>IF(SUMIFS(T_PlannedOrders[EffectiveQty],T_PlannedOrders[Part Name],$A1125,T_PlannedOrders[WeekIndex],102)=0,"",SUMIFS(T_PlannedOrders[EffectiveQty],T_PlannedOrders[Part Name],$A1125,T_PlannedOrders[WeekIndex],102)&amp;" ("&amp;TEXT(SUMPRODUCT(MAX((T_PlannedOrders[Part Name]=$A1125)*(T_PlannedOrders[WeekIndex]=102)*(T_PlannedOrders[EffectiveQty]&gt;0)*T_PlannedOrders[Order_Month])),"m月")&amp;"発注)")</f>
        <v/>
      </c>
      <c r="DB1151">
        <f>IF(SUMIFS(T_PlannedOrders[EffectiveQty],T_PlannedOrders[Part Name],$A1125,T_PlannedOrders[WeekIndex],103)=0,"",SUMIFS(T_PlannedOrders[EffectiveQty],T_PlannedOrders[Part Name],$A1125,T_PlannedOrders[WeekIndex],103)&amp;" ("&amp;TEXT(SUMPRODUCT(MAX((T_PlannedOrders[Part Name]=$A1125)*(T_PlannedOrders[WeekIndex]=103)*(T_PlannedOrders[EffectiveQty]&gt;0)*T_PlannedOrders[Order_Month])),"m月")&amp;"発注)")</f>
        <v/>
      </c>
      <c r="DC1151">
        <f>IF(SUMIFS(T_PlannedOrders[EffectiveQty],T_PlannedOrders[Part Name],$A1125,T_PlannedOrders[WeekIndex],104)=0,"",SUMIFS(T_PlannedOrders[EffectiveQty],T_PlannedOrders[Part Name],$A1125,T_PlannedOrders[WeekIndex],104)&amp;" ("&amp;TEXT(SUMPRODUCT(MAX((T_PlannedOrders[Part Name]=$A1125)*(T_PlannedOrders[WeekIndex]=104)*(T_PlannedOrders[EffectiveQty]&gt;0)*T_PlannedOrders[Order_Month])),"m月")&amp;"発注)")</f>
        <v/>
      </c>
    </row>
    <row r="1152">
      <c r="B1152" s="5" t="inlineStr">
        <is>
          <t>合計在庫(週末時点,kg)</t>
        </is>
      </c>
      <c r="D1152">
        <f>'Grid_Stock'!B50</f>
        <v/>
      </c>
      <c r="E1152">
        <f>'Grid_Stock'!C50</f>
        <v/>
      </c>
      <c r="F1152">
        <f>'Grid_Stock'!D50</f>
        <v/>
      </c>
      <c r="G1152">
        <f>'Grid_Stock'!E50</f>
        <v/>
      </c>
      <c r="H1152">
        <f>'Grid_Stock'!F50</f>
        <v/>
      </c>
      <c r="I1152">
        <f>'Grid_Stock'!G50</f>
        <v/>
      </c>
      <c r="J1152">
        <f>'Grid_Stock'!H50</f>
        <v/>
      </c>
      <c r="K1152">
        <f>'Grid_Stock'!I50</f>
        <v/>
      </c>
      <c r="L1152">
        <f>'Grid_Stock'!J50</f>
        <v/>
      </c>
      <c r="M1152">
        <f>'Grid_Stock'!K50</f>
        <v/>
      </c>
      <c r="N1152">
        <f>'Grid_Stock'!L50</f>
        <v/>
      </c>
      <c r="O1152">
        <f>'Grid_Stock'!M50</f>
        <v/>
      </c>
      <c r="P1152">
        <f>'Grid_Stock'!N50</f>
        <v/>
      </c>
      <c r="Q1152">
        <f>'Grid_Stock'!O50</f>
        <v/>
      </c>
      <c r="R1152">
        <f>'Grid_Stock'!P50</f>
        <v/>
      </c>
      <c r="S1152">
        <f>'Grid_Stock'!Q50</f>
        <v/>
      </c>
      <c r="T1152">
        <f>'Grid_Stock'!R50</f>
        <v/>
      </c>
      <c r="U1152">
        <f>'Grid_Stock'!S50</f>
        <v/>
      </c>
      <c r="V1152">
        <f>'Grid_Stock'!T50</f>
        <v/>
      </c>
      <c r="W1152">
        <f>'Grid_Stock'!U50</f>
        <v/>
      </c>
      <c r="X1152">
        <f>'Grid_Stock'!V50</f>
        <v/>
      </c>
      <c r="Y1152">
        <f>'Grid_Stock'!W50</f>
        <v/>
      </c>
      <c r="Z1152">
        <f>'Grid_Stock'!X50</f>
        <v/>
      </c>
      <c r="AA1152">
        <f>'Grid_Stock'!Y50</f>
        <v/>
      </c>
      <c r="AB1152">
        <f>'Grid_Stock'!Z50</f>
        <v/>
      </c>
      <c r="AC1152">
        <f>'Grid_Stock'!AA50</f>
        <v/>
      </c>
      <c r="AD1152">
        <f>'Grid_Stock'!AB50</f>
        <v/>
      </c>
      <c r="AE1152">
        <f>'Grid_Stock'!AC50</f>
        <v/>
      </c>
      <c r="AF1152">
        <f>'Grid_Stock'!AD50</f>
        <v/>
      </c>
      <c r="AG1152">
        <f>'Grid_Stock'!AE50</f>
        <v/>
      </c>
      <c r="AH1152">
        <f>'Grid_Stock'!AF50</f>
        <v/>
      </c>
      <c r="AI1152">
        <f>'Grid_Stock'!AG50</f>
        <v/>
      </c>
      <c r="AJ1152">
        <f>'Grid_Stock'!AH50</f>
        <v/>
      </c>
      <c r="AK1152">
        <f>'Grid_Stock'!AI50</f>
        <v/>
      </c>
      <c r="AL1152">
        <f>'Grid_Stock'!AJ50</f>
        <v/>
      </c>
      <c r="AM1152">
        <f>'Grid_Stock'!AK50</f>
        <v/>
      </c>
      <c r="AN1152">
        <f>'Grid_Stock'!AL50</f>
        <v/>
      </c>
      <c r="AO1152">
        <f>'Grid_Stock'!AM50</f>
        <v/>
      </c>
      <c r="AP1152">
        <f>'Grid_Stock'!AN50</f>
        <v/>
      </c>
      <c r="AQ1152">
        <f>'Grid_Stock'!AO50</f>
        <v/>
      </c>
      <c r="AR1152">
        <f>'Grid_Stock'!AP50</f>
        <v/>
      </c>
      <c r="AS1152">
        <f>'Grid_Stock'!AQ50</f>
        <v/>
      </c>
      <c r="AT1152">
        <f>'Grid_Stock'!AR50</f>
        <v/>
      </c>
      <c r="AU1152">
        <f>'Grid_Stock'!AS50</f>
        <v/>
      </c>
      <c r="AV1152">
        <f>'Grid_Stock'!AT50</f>
        <v/>
      </c>
      <c r="AW1152">
        <f>'Grid_Stock'!AU50</f>
        <v/>
      </c>
      <c r="AX1152">
        <f>'Grid_Stock'!AV50</f>
        <v/>
      </c>
      <c r="AY1152">
        <f>'Grid_Stock'!AW50</f>
        <v/>
      </c>
      <c r="AZ1152">
        <f>'Grid_Stock'!AX50</f>
        <v/>
      </c>
      <c r="BA1152">
        <f>'Grid_Stock'!AY50</f>
        <v/>
      </c>
      <c r="BB1152">
        <f>'Grid_Stock'!AZ50</f>
        <v/>
      </c>
      <c r="BC1152">
        <f>'Grid_Stock'!BA50</f>
        <v/>
      </c>
      <c r="BD1152">
        <f>'Grid_Stock'!BB50</f>
        <v/>
      </c>
      <c r="BE1152">
        <f>'Grid_Stock'!BC50</f>
        <v/>
      </c>
      <c r="BF1152">
        <f>'Grid_Stock'!BD50</f>
        <v/>
      </c>
      <c r="BG1152">
        <f>'Grid_Stock'!BE50</f>
        <v/>
      </c>
      <c r="BH1152">
        <f>'Grid_Stock'!BF50</f>
        <v/>
      </c>
      <c r="BI1152">
        <f>'Grid_Stock'!BG50</f>
        <v/>
      </c>
      <c r="BJ1152">
        <f>'Grid_Stock'!BH50</f>
        <v/>
      </c>
      <c r="BK1152">
        <f>'Grid_Stock'!BI50</f>
        <v/>
      </c>
      <c r="BL1152">
        <f>'Grid_Stock'!BJ50</f>
        <v/>
      </c>
      <c r="BM1152">
        <f>'Grid_Stock'!BK50</f>
        <v/>
      </c>
      <c r="BN1152">
        <f>'Grid_Stock'!BL50</f>
        <v/>
      </c>
      <c r="BO1152">
        <f>'Grid_Stock'!BM50</f>
        <v/>
      </c>
      <c r="BP1152">
        <f>'Grid_Stock'!BN50</f>
        <v/>
      </c>
      <c r="BQ1152">
        <f>'Grid_Stock'!BO50</f>
        <v/>
      </c>
      <c r="BR1152">
        <f>'Grid_Stock'!BP50</f>
        <v/>
      </c>
      <c r="BS1152">
        <f>'Grid_Stock'!BQ50</f>
        <v/>
      </c>
      <c r="BT1152">
        <f>'Grid_Stock'!BR50</f>
        <v/>
      </c>
      <c r="BU1152">
        <f>'Grid_Stock'!BS50</f>
        <v/>
      </c>
      <c r="BV1152">
        <f>'Grid_Stock'!BT50</f>
        <v/>
      </c>
      <c r="BW1152">
        <f>'Grid_Stock'!BU50</f>
        <v/>
      </c>
      <c r="BX1152">
        <f>'Grid_Stock'!BV50</f>
        <v/>
      </c>
      <c r="BY1152">
        <f>'Grid_Stock'!BW50</f>
        <v/>
      </c>
      <c r="BZ1152">
        <f>'Grid_Stock'!BX50</f>
        <v/>
      </c>
      <c r="CA1152">
        <f>'Grid_Stock'!BY50</f>
        <v/>
      </c>
      <c r="CB1152">
        <f>'Grid_Stock'!BZ50</f>
        <v/>
      </c>
      <c r="CC1152">
        <f>'Grid_Stock'!CA50</f>
        <v/>
      </c>
      <c r="CD1152">
        <f>'Grid_Stock'!CB50</f>
        <v/>
      </c>
      <c r="CE1152">
        <f>'Grid_Stock'!CC50</f>
        <v/>
      </c>
      <c r="CF1152">
        <f>'Grid_Stock'!CD50</f>
        <v/>
      </c>
      <c r="CG1152">
        <f>'Grid_Stock'!CE50</f>
        <v/>
      </c>
      <c r="CH1152">
        <f>'Grid_Stock'!CF50</f>
        <v/>
      </c>
      <c r="CI1152">
        <f>'Grid_Stock'!CG50</f>
        <v/>
      </c>
      <c r="CJ1152">
        <f>'Grid_Stock'!CH50</f>
        <v/>
      </c>
      <c r="CK1152">
        <f>'Grid_Stock'!CI50</f>
        <v/>
      </c>
      <c r="CL1152">
        <f>'Grid_Stock'!CJ50</f>
        <v/>
      </c>
      <c r="CM1152">
        <f>'Grid_Stock'!CK50</f>
        <v/>
      </c>
      <c r="CN1152">
        <f>'Grid_Stock'!CL50</f>
        <v/>
      </c>
      <c r="CO1152">
        <f>'Grid_Stock'!CM50</f>
        <v/>
      </c>
      <c r="CP1152">
        <f>'Grid_Stock'!CN50</f>
        <v/>
      </c>
      <c r="CQ1152">
        <f>'Grid_Stock'!CO50</f>
        <v/>
      </c>
      <c r="CR1152">
        <f>'Grid_Stock'!CP50</f>
        <v/>
      </c>
      <c r="CS1152">
        <f>'Grid_Stock'!CQ50</f>
        <v/>
      </c>
      <c r="CT1152">
        <f>'Grid_Stock'!CR50</f>
        <v/>
      </c>
      <c r="CU1152">
        <f>'Grid_Stock'!CS50</f>
        <v/>
      </c>
      <c r="CV1152">
        <f>'Grid_Stock'!CT50</f>
        <v/>
      </c>
      <c r="CW1152">
        <f>'Grid_Stock'!CU50</f>
        <v/>
      </c>
      <c r="CX1152">
        <f>'Grid_Stock'!CV50</f>
        <v/>
      </c>
      <c r="CY1152">
        <f>'Grid_Stock'!CW50</f>
        <v/>
      </c>
      <c r="CZ1152">
        <f>'Grid_Stock'!CX50</f>
        <v/>
      </c>
      <c r="DA1152">
        <f>'Grid_Stock'!CY50</f>
        <v/>
      </c>
      <c r="DB1152">
        <f>'Grid_Stock'!CZ50</f>
        <v/>
      </c>
      <c r="DC1152">
        <f>'Grid_Stock'!DA50</f>
        <v/>
      </c>
    </row>
    <row r="1153">
      <c r="B1153" s="23" t="inlineStr">
        <is>
          <t>（発注の目安はDashboardの基準在庫[下限/上限]と色分けを参照）</t>
        </is>
      </c>
    </row>
    <row r="1155">
      <c r="A1155" s="21" t="inlineStr">
        <is>
          <t>CHEM-1850</t>
        </is>
      </c>
      <c r="B1155" s="21" t="inlineStr">
        <is>
          <t>TPP-1469</t>
        </is>
      </c>
      <c r="C1155" s="22" t="n"/>
      <c r="D1155" s="21" t="n"/>
      <c r="E1155" s="21" t="n"/>
      <c r="F1155" s="21" t="n"/>
      <c r="G1155" s="21" t="n"/>
      <c r="H1155" s="21" t="n"/>
      <c r="I1155" s="21" t="n"/>
      <c r="J1155" s="21" t="n"/>
      <c r="K1155" s="21" t="n"/>
      <c r="L1155" s="21" t="n"/>
      <c r="M1155" s="21" t="n"/>
      <c r="N1155" s="21" t="n"/>
      <c r="O1155" s="21" t="n"/>
      <c r="P1155" s="21" t="n"/>
      <c r="Q1155" s="21" t="n"/>
      <c r="R1155" s="21" t="n"/>
      <c r="S1155" s="21" t="n"/>
      <c r="T1155" s="21" t="n"/>
      <c r="U1155" s="21" t="n"/>
      <c r="V1155" s="21" t="n"/>
      <c r="W1155" s="21" t="n"/>
      <c r="X1155" s="21" t="n"/>
      <c r="Y1155" s="21" t="n"/>
      <c r="Z1155" s="21" t="n"/>
      <c r="AA1155" s="21" t="n"/>
      <c r="AB1155" s="21" t="n"/>
      <c r="AC1155" s="21" t="n"/>
      <c r="AD1155" s="21" t="n"/>
      <c r="AE1155" s="21" t="n"/>
      <c r="AF1155" s="21" t="n"/>
      <c r="AG1155" s="21" t="n"/>
      <c r="AH1155" s="21" t="n"/>
      <c r="AI1155" s="21" t="n"/>
      <c r="AJ1155" s="21" t="n"/>
      <c r="AK1155" s="21" t="n"/>
      <c r="AL1155" s="21" t="n"/>
      <c r="AM1155" s="21" t="n"/>
      <c r="AN1155" s="21" t="n"/>
      <c r="AO1155" s="21" t="n"/>
      <c r="AP1155" s="21" t="n"/>
      <c r="AQ1155" s="21" t="n"/>
      <c r="AR1155" s="21" t="n"/>
      <c r="AS1155" s="21" t="n"/>
      <c r="AT1155" s="21" t="n"/>
      <c r="AU1155" s="21" t="n"/>
      <c r="AV1155" s="21" t="n"/>
      <c r="AW1155" s="21" t="n"/>
      <c r="AX1155" s="21" t="n"/>
      <c r="AY1155" s="21" t="n"/>
      <c r="AZ1155" s="21" t="n"/>
      <c r="BA1155" s="21" t="n"/>
      <c r="BB1155" s="21" t="n"/>
      <c r="BC1155" s="21" t="n"/>
      <c r="BD1155" s="21" t="n"/>
      <c r="BE1155" s="21" t="n"/>
      <c r="BF1155" s="21" t="n"/>
      <c r="BG1155" s="21" t="n"/>
      <c r="BH1155" s="21" t="n"/>
      <c r="BI1155" s="21" t="n"/>
      <c r="BJ1155" s="21" t="n"/>
      <c r="BK1155" s="21" t="n"/>
      <c r="BL1155" s="21" t="n"/>
      <c r="BM1155" s="21" t="n"/>
      <c r="BN1155" s="21" t="n"/>
      <c r="BO1155" s="21" t="n"/>
      <c r="BP1155" s="21" t="n"/>
      <c r="BQ1155" s="21" t="n"/>
      <c r="BR1155" s="21" t="n"/>
      <c r="BS1155" s="21" t="n"/>
      <c r="BT1155" s="21" t="n"/>
      <c r="BU1155" s="21" t="n"/>
      <c r="BV1155" s="21" t="n"/>
      <c r="BW1155" s="21" t="n"/>
      <c r="BX1155" s="21" t="n"/>
      <c r="BY1155" s="21" t="n"/>
      <c r="BZ1155" s="21" t="n"/>
      <c r="CA1155" s="21" t="n"/>
      <c r="CB1155" s="21" t="n"/>
      <c r="CC1155" s="21" t="n"/>
      <c r="CD1155" s="21" t="n"/>
      <c r="CE1155" s="21" t="n"/>
      <c r="CF1155" s="21" t="n"/>
      <c r="CG1155" s="21" t="n"/>
      <c r="CH1155" s="21" t="n"/>
      <c r="CI1155" s="21" t="n"/>
      <c r="CJ1155" s="21" t="n"/>
      <c r="CK1155" s="21" t="n"/>
      <c r="CL1155" s="21" t="n"/>
      <c r="CM1155" s="21" t="n"/>
      <c r="CN1155" s="21" t="n"/>
      <c r="CO1155" s="21" t="n"/>
      <c r="CP1155" s="21" t="n"/>
      <c r="CQ1155" s="21" t="n"/>
      <c r="CR1155" s="21" t="n"/>
      <c r="CS1155" s="21" t="n"/>
      <c r="CT1155" s="21" t="n"/>
      <c r="CU1155" s="21" t="n"/>
      <c r="CV1155" s="21" t="n"/>
      <c r="CW1155" s="21" t="n"/>
      <c r="CX1155" s="21" t="n"/>
      <c r="CY1155" s="21" t="n"/>
      <c r="CZ1155" s="21" t="n"/>
      <c r="DA1155" s="21" t="n"/>
      <c r="DB1155" s="21" t="n"/>
      <c r="DC1155" s="21" t="n"/>
    </row>
    <row r="1156">
      <c r="B1156" t="inlineStr">
        <is>
          <t>TSP-1558</t>
        </is>
      </c>
      <c r="C1156" t="inlineStr">
        <is>
          <t>No. of batches</t>
        </is>
      </c>
      <c r="D1156">
        <f>IFERROR(INDEX(PP_Grid[#Data],$DD1156,2),0)</f>
        <v/>
      </c>
      <c r="E1156">
        <f>IFERROR(INDEX(PP_Grid[#Data],$DD1156,3),0)</f>
        <v/>
      </c>
      <c r="F1156">
        <f>IFERROR(INDEX(PP_Grid[#Data],$DD1156,4),0)</f>
        <v/>
      </c>
      <c r="G1156">
        <f>IFERROR(INDEX(PP_Grid[#Data],$DD1156,5),0)</f>
        <v/>
      </c>
      <c r="H1156">
        <f>IFERROR(INDEX(PP_Grid[#Data],$DD1156,6),0)</f>
        <v/>
      </c>
      <c r="I1156">
        <f>IFERROR(INDEX(PP_Grid[#Data],$DD1156,7),0)</f>
        <v/>
      </c>
      <c r="J1156">
        <f>IFERROR(INDEX(PP_Grid[#Data],$DD1156,8),0)</f>
        <v/>
      </c>
      <c r="K1156">
        <f>IFERROR(INDEX(PP_Grid[#Data],$DD1156,9),0)</f>
        <v/>
      </c>
      <c r="L1156">
        <f>IFERROR(INDEX(PP_Grid[#Data],$DD1156,10),0)</f>
        <v/>
      </c>
      <c r="M1156">
        <f>IFERROR(INDEX(PP_Grid[#Data],$DD1156,11),0)</f>
        <v/>
      </c>
      <c r="N1156">
        <f>IFERROR(INDEX(PP_Grid[#Data],$DD1156,12),0)</f>
        <v/>
      </c>
      <c r="O1156">
        <f>IFERROR(INDEX(PP_Grid[#Data],$DD1156,13),0)</f>
        <v/>
      </c>
      <c r="P1156">
        <f>IFERROR(INDEX(PP_Grid[#Data],$DD1156,14),0)</f>
        <v/>
      </c>
      <c r="Q1156">
        <f>IFERROR(INDEX(PP_Grid[#Data],$DD1156,15),0)</f>
        <v/>
      </c>
      <c r="R1156">
        <f>IFERROR(INDEX(PP_Grid[#Data],$DD1156,16),0)</f>
        <v/>
      </c>
      <c r="S1156">
        <f>IFERROR(INDEX(PP_Grid[#Data],$DD1156,17),0)</f>
        <v/>
      </c>
      <c r="T1156">
        <f>IFERROR(INDEX(PP_Grid[#Data],$DD1156,18),0)</f>
        <v/>
      </c>
      <c r="U1156">
        <f>IFERROR(INDEX(PP_Grid[#Data],$DD1156,19),0)</f>
        <v/>
      </c>
      <c r="V1156">
        <f>IFERROR(INDEX(PP_Grid[#Data],$DD1156,20),0)</f>
        <v/>
      </c>
      <c r="W1156">
        <f>IFERROR(INDEX(PP_Grid[#Data],$DD1156,21),0)</f>
        <v/>
      </c>
      <c r="X1156">
        <f>IFERROR(INDEX(PP_Grid[#Data],$DD1156,22),0)</f>
        <v/>
      </c>
      <c r="Y1156">
        <f>IFERROR(INDEX(PP_Grid[#Data],$DD1156,23),0)</f>
        <v/>
      </c>
      <c r="Z1156">
        <f>IFERROR(INDEX(PP_Grid[#Data],$DD1156,24),0)</f>
        <v/>
      </c>
      <c r="AA1156">
        <f>IFERROR(INDEX(PP_Grid[#Data],$DD1156,25),0)</f>
        <v/>
      </c>
      <c r="AB1156">
        <f>IFERROR(INDEX(PP_Grid[#Data],$DD1156,26),0)</f>
        <v/>
      </c>
      <c r="AC1156">
        <f>IFERROR(INDEX(PP_Grid[#Data],$DD1156,27),0)</f>
        <v/>
      </c>
      <c r="AD1156">
        <f>IFERROR(INDEX(PP_Grid[#Data],$DD1156,28),0)</f>
        <v/>
      </c>
      <c r="AE1156">
        <f>IFERROR(INDEX(PP_Grid[#Data],$DD1156,29),0)</f>
        <v/>
      </c>
      <c r="AF1156">
        <f>IFERROR(INDEX(PP_Grid[#Data],$DD1156,30),0)</f>
        <v/>
      </c>
      <c r="AG1156">
        <f>IFERROR(INDEX(PP_Grid[#Data],$DD1156,31),0)</f>
        <v/>
      </c>
      <c r="AH1156">
        <f>IFERROR(INDEX(PP_Grid[#Data],$DD1156,32),0)</f>
        <v/>
      </c>
      <c r="AI1156">
        <f>IFERROR(INDEX(PP_Grid[#Data],$DD1156,33),0)</f>
        <v/>
      </c>
      <c r="AJ1156">
        <f>IFERROR(INDEX(PP_Grid[#Data],$DD1156,34),0)</f>
        <v/>
      </c>
      <c r="AK1156">
        <f>IFERROR(INDEX(PP_Grid[#Data],$DD1156,35),0)</f>
        <v/>
      </c>
      <c r="AL1156">
        <f>IFERROR(INDEX(PP_Grid[#Data],$DD1156,36),0)</f>
        <v/>
      </c>
      <c r="AM1156">
        <f>IFERROR(INDEX(PP_Grid[#Data],$DD1156,37),0)</f>
        <v/>
      </c>
      <c r="AN1156">
        <f>IFERROR(INDEX(PP_Grid[#Data],$DD1156,38),0)</f>
        <v/>
      </c>
      <c r="AO1156">
        <f>IFERROR(INDEX(PP_Grid[#Data],$DD1156,39),0)</f>
        <v/>
      </c>
      <c r="AP1156">
        <f>IFERROR(INDEX(PP_Grid[#Data],$DD1156,40),0)</f>
        <v/>
      </c>
      <c r="AQ1156">
        <f>IFERROR(INDEX(PP_Grid[#Data],$DD1156,41),0)</f>
        <v/>
      </c>
      <c r="AR1156">
        <f>IFERROR(INDEX(PP_Grid[#Data],$DD1156,42),0)</f>
        <v/>
      </c>
      <c r="AS1156">
        <f>IFERROR(INDEX(PP_Grid[#Data],$DD1156,43),0)</f>
        <v/>
      </c>
      <c r="AT1156">
        <f>IFERROR(INDEX(PP_Grid[#Data],$DD1156,44),0)</f>
        <v/>
      </c>
      <c r="AU1156">
        <f>IFERROR(INDEX(PP_Grid[#Data],$DD1156,45),0)</f>
        <v/>
      </c>
      <c r="AV1156">
        <f>IFERROR(INDEX(PP_Grid[#Data],$DD1156,46),0)</f>
        <v/>
      </c>
      <c r="AW1156">
        <f>IFERROR(INDEX(PP_Grid[#Data],$DD1156,47),0)</f>
        <v/>
      </c>
      <c r="AX1156">
        <f>IFERROR(INDEX(PP_Grid[#Data],$DD1156,48),0)</f>
        <v/>
      </c>
      <c r="AY1156">
        <f>IFERROR(INDEX(PP_Grid[#Data],$DD1156,49),0)</f>
        <v/>
      </c>
      <c r="AZ1156">
        <f>IFERROR(INDEX(PP_Grid[#Data],$DD1156,50),0)</f>
        <v/>
      </c>
      <c r="BA1156">
        <f>IFERROR(INDEX(PP_Grid[#Data],$DD1156,51),0)</f>
        <v/>
      </c>
      <c r="BB1156">
        <f>IFERROR(INDEX(PP_Grid[#Data],$DD1156,52),0)</f>
        <v/>
      </c>
      <c r="BC1156">
        <f>IFERROR(INDEX(PP_Grid[#Data],$DD1156,53),0)</f>
        <v/>
      </c>
      <c r="BD1156">
        <f>IFERROR(INDEX(PP_Grid[#Data],$DD1156,54),0)</f>
        <v/>
      </c>
      <c r="BE1156">
        <f>IFERROR(INDEX(PP_Grid[#Data],$DD1156,55),0)</f>
        <v/>
      </c>
      <c r="BF1156">
        <f>IFERROR(INDEX(PP_Grid[#Data],$DD1156,56),0)</f>
        <v/>
      </c>
      <c r="BG1156">
        <f>IFERROR(INDEX(PP_Grid[#Data],$DD1156,57),0)</f>
        <v/>
      </c>
      <c r="BH1156">
        <f>IFERROR(INDEX(PP_Grid[#Data],$DD1156,58),0)</f>
        <v/>
      </c>
      <c r="BI1156">
        <f>IFERROR(INDEX(PP_Grid[#Data],$DD1156,59),0)</f>
        <v/>
      </c>
      <c r="BJ1156">
        <f>IFERROR(INDEX(PP_Grid[#Data],$DD1156,60),0)</f>
        <v/>
      </c>
      <c r="BK1156">
        <f>IFERROR(INDEX(PP_Grid[#Data],$DD1156,61),0)</f>
        <v/>
      </c>
      <c r="BL1156">
        <f>IFERROR(INDEX(PP_Grid[#Data],$DD1156,62),0)</f>
        <v/>
      </c>
      <c r="BM1156">
        <f>IFERROR(INDEX(PP_Grid[#Data],$DD1156,63),0)</f>
        <v/>
      </c>
      <c r="BN1156">
        <f>IFERROR(INDEX(PP_Grid[#Data],$DD1156,64),0)</f>
        <v/>
      </c>
      <c r="BO1156">
        <f>IFERROR(INDEX(PP_Grid[#Data],$DD1156,65),0)</f>
        <v/>
      </c>
      <c r="BP1156">
        <f>IFERROR(INDEX(PP_Grid[#Data],$DD1156,66),0)</f>
        <v/>
      </c>
      <c r="BQ1156">
        <f>IFERROR(INDEX(PP_Grid[#Data],$DD1156,67),0)</f>
        <v/>
      </c>
      <c r="BR1156">
        <f>IFERROR(INDEX(PP_Grid[#Data],$DD1156,68),0)</f>
        <v/>
      </c>
      <c r="BS1156">
        <f>IFERROR(INDEX(PP_Grid[#Data],$DD1156,69),0)</f>
        <v/>
      </c>
      <c r="BT1156">
        <f>IFERROR(INDEX(PP_Grid[#Data],$DD1156,70),0)</f>
        <v/>
      </c>
      <c r="BU1156">
        <f>IFERROR(INDEX(PP_Grid[#Data],$DD1156,71),0)</f>
        <v/>
      </c>
      <c r="BV1156">
        <f>IFERROR(INDEX(PP_Grid[#Data],$DD1156,72),0)</f>
        <v/>
      </c>
      <c r="BW1156">
        <f>IFERROR(INDEX(PP_Grid[#Data],$DD1156,73),0)</f>
        <v/>
      </c>
      <c r="BX1156">
        <f>IFERROR(INDEX(PP_Grid[#Data],$DD1156,74),0)</f>
        <v/>
      </c>
      <c r="BY1156">
        <f>IFERROR(INDEX(PP_Grid[#Data],$DD1156,75),0)</f>
        <v/>
      </c>
      <c r="BZ1156">
        <f>IFERROR(INDEX(PP_Grid[#Data],$DD1156,76),0)</f>
        <v/>
      </c>
      <c r="CA1156">
        <f>IFERROR(INDEX(PP_Grid[#Data],$DD1156,77),0)</f>
        <v/>
      </c>
      <c r="CB1156">
        <f>IFERROR(INDEX(PP_Grid[#Data],$DD1156,78),0)</f>
        <v/>
      </c>
      <c r="CC1156">
        <f>IFERROR(INDEX(PP_Grid[#Data],$DD1156,79),0)</f>
        <v/>
      </c>
      <c r="CD1156">
        <f>IFERROR(INDEX(PP_Grid[#Data],$DD1156,80),0)</f>
        <v/>
      </c>
      <c r="CE1156">
        <f>IFERROR(INDEX(PP_Grid[#Data],$DD1156,81),0)</f>
        <v/>
      </c>
      <c r="CF1156">
        <f>IFERROR(INDEX(PP_Grid[#Data],$DD1156,82),0)</f>
        <v/>
      </c>
      <c r="CG1156">
        <f>IFERROR(INDEX(PP_Grid[#Data],$DD1156,83),0)</f>
        <v/>
      </c>
      <c r="CH1156">
        <f>IFERROR(INDEX(PP_Grid[#Data],$DD1156,84),0)</f>
        <v/>
      </c>
      <c r="CI1156">
        <f>IFERROR(INDEX(PP_Grid[#Data],$DD1156,85),0)</f>
        <v/>
      </c>
      <c r="CJ1156">
        <f>IFERROR(INDEX(PP_Grid[#Data],$DD1156,86),0)</f>
        <v/>
      </c>
      <c r="CK1156">
        <f>IFERROR(INDEX(PP_Grid[#Data],$DD1156,87),0)</f>
        <v/>
      </c>
      <c r="CL1156">
        <f>IFERROR(INDEX(PP_Grid[#Data],$DD1156,88),0)</f>
        <v/>
      </c>
      <c r="CM1156">
        <f>IFERROR(INDEX(PP_Grid[#Data],$DD1156,89),0)</f>
        <v/>
      </c>
      <c r="CN1156">
        <f>IFERROR(INDEX(PP_Grid[#Data],$DD1156,90),0)</f>
        <v/>
      </c>
      <c r="CO1156">
        <f>IFERROR(INDEX(PP_Grid[#Data],$DD1156,91),0)</f>
        <v/>
      </c>
      <c r="CP1156">
        <f>IFERROR(INDEX(PP_Grid[#Data],$DD1156,92),0)</f>
        <v/>
      </c>
      <c r="CQ1156">
        <f>IFERROR(INDEX(PP_Grid[#Data],$DD1156,93),0)</f>
        <v/>
      </c>
      <c r="CR1156">
        <f>IFERROR(INDEX(PP_Grid[#Data],$DD1156,94),0)</f>
        <v/>
      </c>
      <c r="CS1156">
        <f>IFERROR(INDEX(PP_Grid[#Data],$DD1156,95),0)</f>
        <v/>
      </c>
      <c r="CT1156">
        <f>IFERROR(INDEX(PP_Grid[#Data],$DD1156,96),0)</f>
        <v/>
      </c>
      <c r="CU1156">
        <f>IFERROR(INDEX(PP_Grid[#Data],$DD1156,97),0)</f>
        <v/>
      </c>
      <c r="CV1156">
        <f>IFERROR(INDEX(PP_Grid[#Data],$DD1156,98),0)</f>
        <v/>
      </c>
      <c r="CW1156">
        <f>IFERROR(INDEX(PP_Grid[#Data],$DD1156,99),0)</f>
        <v/>
      </c>
      <c r="CX1156">
        <f>IFERROR(INDEX(PP_Grid[#Data],$DD1156,100),0)</f>
        <v/>
      </c>
      <c r="CY1156">
        <f>IFERROR(INDEX(PP_Grid[#Data],$DD1156,101),0)</f>
        <v/>
      </c>
      <c r="CZ1156">
        <f>IFERROR(INDEX(PP_Grid[#Data],$DD1156,102),0)</f>
        <v/>
      </c>
      <c r="DA1156">
        <f>IFERROR(INDEX(PP_Grid[#Data],$DD1156,103),0)</f>
        <v/>
      </c>
      <c r="DB1156">
        <f>IFERROR(INDEX(PP_Grid[#Data],$DD1156,104),0)</f>
        <v/>
      </c>
      <c r="DC1156">
        <f>IFERROR(INDEX(PP_Grid[#Data],$DD1156,105),0)</f>
        <v/>
      </c>
      <c r="DD1156" s="12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SUMIFS(M_BOM[RM_Qty_Per_Batch],M_BOM[Intermediate],$B1156,M_BOM[Part Name],$A1155)</f>
        <v/>
      </c>
      <c r="D1157">
        <f>$C1157*D1156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</row>
    <row r="1158">
      <c r="B1158" s="5" t="inlineStr">
        <is>
          <t>合計使用量(kg)/週</t>
        </is>
      </c>
      <c r="D1158">
        <f>'Grid_Requirement'!B51</f>
        <v/>
      </c>
      <c r="E1158">
        <f>'Grid_Requirement'!C51</f>
        <v/>
      </c>
      <c r="F1158">
        <f>'Grid_Requirement'!D51</f>
        <v/>
      </c>
      <c r="G1158">
        <f>'Grid_Requirement'!E51</f>
        <v/>
      </c>
      <c r="H1158">
        <f>'Grid_Requirement'!F51</f>
        <v/>
      </c>
      <c r="I1158">
        <f>'Grid_Requirement'!G51</f>
        <v/>
      </c>
      <c r="J1158">
        <f>'Grid_Requirement'!H51</f>
        <v/>
      </c>
      <c r="K1158">
        <f>'Grid_Requirement'!I51</f>
        <v/>
      </c>
      <c r="L1158">
        <f>'Grid_Requirement'!J51</f>
        <v/>
      </c>
      <c r="M1158">
        <f>'Grid_Requirement'!K51</f>
        <v/>
      </c>
      <c r="N1158">
        <f>'Grid_Requirement'!L51</f>
        <v/>
      </c>
      <c r="O1158">
        <f>'Grid_Requirement'!M51</f>
        <v/>
      </c>
      <c r="P1158">
        <f>'Grid_Requirement'!N51</f>
        <v/>
      </c>
      <c r="Q1158">
        <f>'Grid_Requirement'!O51</f>
        <v/>
      </c>
      <c r="R1158">
        <f>'Grid_Requirement'!P51</f>
        <v/>
      </c>
      <c r="S1158">
        <f>'Grid_Requirement'!Q51</f>
        <v/>
      </c>
      <c r="T1158">
        <f>'Grid_Requirement'!R51</f>
        <v/>
      </c>
      <c r="U1158">
        <f>'Grid_Requirement'!S51</f>
        <v/>
      </c>
      <c r="V1158">
        <f>'Grid_Requirement'!T51</f>
        <v/>
      </c>
      <c r="W1158">
        <f>'Grid_Requirement'!U51</f>
        <v/>
      </c>
      <c r="X1158">
        <f>'Grid_Requirement'!V51</f>
        <v/>
      </c>
      <c r="Y1158">
        <f>'Grid_Requirement'!W51</f>
        <v/>
      </c>
      <c r="Z1158">
        <f>'Grid_Requirement'!X51</f>
        <v/>
      </c>
      <c r="AA1158">
        <f>'Grid_Requirement'!Y51</f>
        <v/>
      </c>
      <c r="AB1158">
        <f>'Grid_Requirement'!Z51</f>
        <v/>
      </c>
      <c r="AC1158">
        <f>'Grid_Requirement'!AA51</f>
        <v/>
      </c>
      <c r="AD1158">
        <f>'Grid_Requirement'!AB51</f>
        <v/>
      </c>
      <c r="AE1158">
        <f>'Grid_Requirement'!AC51</f>
        <v/>
      </c>
      <c r="AF1158">
        <f>'Grid_Requirement'!AD51</f>
        <v/>
      </c>
      <c r="AG1158">
        <f>'Grid_Requirement'!AE51</f>
        <v/>
      </c>
      <c r="AH1158">
        <f>'Grid_Requirement'!AF51</f>
        <v/>
      </c>
      <c r="AI1158">
        <f>'Grid_Requirement'!AG51</f>
        <v/>
      </c>
      <c r="AJ1158">
        <f>'Grid_Requirement'!AH51</f>
        <v/>
      </c>
      <c r="AK1158">
        <f>'Grid_Requirement'!AI51</f>
        <v/>
      </c>
      <c r="AL1158">
        <f>'Grid_Requirement'!AJ51</f>
        <v/>
      </c>
      <c r="AM1158">
        <f>'Grid_Requirement'!AK51</f>
        <v/>
      </c>
      <c r="AN1158">
        <f>'Grid_Requirement'!AL51</f>
        <v/>
      </c>
      <c r="AO1158">
        <f>'Grid_Requirement'!AM51</f>
        <v/>
      </c>
      <c r="AP1158">
        <f>'Grid_Requirement'!AN51</f>
        <v/>
      </c>
      <c r="AQ1158">
        <f>'Grid_Requirement'!AO51</f>
        <v/>
      </c>
      <c r="AR1158">
        <f>'Grid_Requirement'!AP51</f>
        <v/>
      </c>
      <c r="AS1158">
        <f>'Grid_Requirement'!AQ51</f>
        <v/>
      </c>
      <c r="AT1158">
        <f>'Grid_Requirement'!AR51</f>
        <v/>
      </c>
      <c r="AU1158">
        <f>'Grid_Requirement'!AS51</f>
        <v/>
      </c>
      <c r="AV1158">
        <f>'Grid_Requirement'!AT51</f>
        <v/>
      </c>
      <c r="AW1158">
        <f>'Grid_Requirement'!AU51</f>
        <v/>
      </c>
      <c r="AX1158">
        <f>'Grid_Requirement'!AV51</f>
        <v/>
      </c>
      <c r="AY1158">
        <f>'Grid_Requirement'!AW51</f>
        <v/>
      </c>
      <c r="AZ1158">
        <f>'Grid_Requirement'!AX51</f>
        <v/>
      </c>
      <c r="BA1158">
        <f>'Grid_Requirement'!AY51</f>
        <v/>
      </c>
      <c r="BB1158">
        <f>'Grid_Requirement'!AZ51</f>
        <v/>
      </c>
      <c r="BC1158">
        <f>'Grid_Requirement'!BA51</f>
        <v/>
      </c>
      <c r="BD1158">
        <f>'Grid_Requirement'!BB51</f>
        <v/>
      </c>
      <c r="BE1158">
        <f>'Grid_Requirement'!BC51</f>
        <v/>
      </c>
      <c r="BF1158">
        <f>'Grid_Requirement'!BD51</f>
        <v/>
      </c>
      <c r="BG1158">
        <f>'Grid_Requirement'!BE51</f>
        <v/>
      </c>
      <c r="BH1158">
        <f>'Grid_Requirement'!BF51</f>
        <v/>
      </c>
      <c r="BI1158">
        <f>'Grid_Requirement'!BG51</f>
        <v/>
      </c>
      <c r="BJ1158">
        <f>'Grid_Requirement'!BH51</f>
        <v/>
      </c>
      <c r="BK1158">
        <f>'Grid_Requirement'!BI51</f>
        <v/>
      </c>
      <c r="BL1158">
        <f>'Grid_Requirement'!BJ51</f>
        <v/>
      </c>
      <c r="BM1158">
        <f>'Grid_Requirement'!BK51</f>
        <v/>
      </c>
      <c r="BN1158">
        <f>'Grid_Requirement'!BL51</f>
        <v/>
      </c>
      <c r="BO1158">
        <f>'Grid_Requirement'!BM51</f>
        <v/>
      </c>
      <c r="BP1158">
        <f>'Grid_Requirement'!BN51</f>
        <v/>
      </c>
      <c r="BQ1158">
        <f>'Grid_Requirement'!BO51</f>
        <v/>
      </c>
      <c r="BR1158">
        <f>'Grid_Requirement'!BP51</f>
        <v/>
      </c>
      <c r="BS1158">
        <f>'Grid_Requirement'!BQ51</f>
        <v/>
      </c>
      <c r="BT1158">
        <f>'Grid_Requirement'!BR51</f>
        <v/>
      </c>
      <c r="BU1158">
        <f>'Grid_Requirement'!BS51</f>
        <v/>
      </c>
      <c r="BV1158">
        <f>'Grid_Requirement'!BT51</f>
        <v/>
      </c>
      <c r="BW1158">
        <f>'Grid_Requirement'!BU51</f>
        <v/>
      </c>
      <c r="BX1158">
        <f>'Grid_Requirement'!BV51</f>
        <v/>
      </c>
      <c r="BY1158">
        <f>'Grid_Requirement'!BW51</f>
        <v/>
      </c>
      <c r="BZ1158">
        <f>'Grid_Requirement'!BX51</f>
        <v/>
      </c>
      <c r="CA1158">
        <f>'Grid_Requirement'!BY51</f>
        <v/>
      </c>
      <c r="CB1158">
        <f>'Grid_Requirement'!BZ51</f>
        <v/>
      </c>
      <c r="CC1158">
        <f>'Grid_Requirement'!CA51</f>
        <v/>
      </c>
      <c r="CD1158">
        <f>'Grid_Requirement'!CB51</f>
        <v/>
      </c>
      <c r="CE1158">
        <f>'Grid_Requirement'!CC51</f>
        <v/>
      </c>
      <c r="CF1158">
        <f>'Grid_Requirement'!CD51</f>
        <v/>
      </c>
      <c r="CG1158">
        <f>'Grid_Requirement'!CE51</f>
        <v/>
      </c>
      <c r="CH1158">
        <f>'Grid_Requirement'!CF51</f>
        <v/>
      </c>
      <c r="CI1158">
        <f>'Grid_Requirement'!CG51</f>
        <v/>
      </c>
      <c r="CJ1158">
        <f>'Grid_Requirement'!CH51</f>
        <v/>
      </c>
      <c r="CK1158">
        <f>'Grid_Requirement'!CI51</f>
        <v/>
      </c>
      <c r="CL1158">
        <f>'Grid_Requirement'!CJ51</f>
        <v/>
      </c>
      <c r="CM1158">
        <f>'Grid_Requirement'!CK51</f>
        <v/>
      </c>
      <c r="CN1158">
        <f>'Grid_Requirement'!CL51</f>
        <v/>
      </c>
      <c r="CO1158">
        <f>'Grid_Requirement'!CM51</f>
        <v/>
      </c>
      <c r="CP1158">
        <f>'Grid_Requirement'!CN51</f>
        <v/>
      </c>
      <c r="CQ1158">
        <f>'Grid_Requirement'!CO51</f>
        <v/>
      </c>
      <c r="CR1158">
        <f>'Grid_Requirement'!CP51</f>
        <v/>
      </c>
      <c r="CS1158">
        <f>'Grid_Requirement'!CQ51</f>
        <v/>
      </c>
      <c r="CT1158">
        <f>'Grid_Requirement'!CR51</f>
        <v/>
      </c>
      <c r="CU1158">
        <f>'Grid_Requirement'!CS51</f>
        <v/>
      </c>
      <c r="CV1158">
        <f>'Grid_Requirement'!CT51</f>
        <v/>
      </c>
      <c r="CW1158">
        <f>'Grid_Requirement'!CU51</f>
        <v/>
      </c>
      <c r="CX1158">
        <f>'Grid_Requirement'!CV51</f>
        <v/>
      </c>
      <c r="CY1158">
        <f>'Grid_Requirement'!CW51</f>
        <v/>
      </c>
      <c r="CZ1158">
        <f>'Grid_Requirement'!CX51</f>
        <v/>
      </c>
      <c r="DA1158">
        <f>'Grid_Requirement'!CY51</f>
        <v/>
      </c>
      <c r="DB1158">
        <f>'Grid_Requirement'!CZ51</f>
        <v/>
      </c>
      <c r="DC1158">
        <f>'Grid_Requirement'!DA51</f>
        <v/>
      </c>
    </row>
    <row r="1159">
      <c r="B1159" t="inlineStr">
        <is>
          <t>TTAF在庫(実績,kg)</t>
        </is>
      </c>
      <c r="D1159">
        <f>'T_TTAFStock'!B55</f>
        <v/>
      </c>
      <c r="E1159">
        <f>'T_TTAFStock'!C55</f>
        <v/>
      </c>
      <c r="F1159">
        <f>'T_TTAFStock'!D55</f>
        <v/>
      </c>
      <c r="G1159">
        <f>'T_TTAFStock'!E55</f>
        <v/>
      </c>
      <c r="H1159">
        <f>'T_TTAFStock'!F55</f>
        <v/>
      </c>
      <c r="I1159">
        <f>'T_TTAFStock'!G55</f>
        <v/>
      </c>
      <c r="J1159">
        <f>'T_TTAFStock'!H55</f>
        <v/>
      </c>
      <c r="K1159">
        <f>'T_TTAFStock'!I55</f>
        <v/>
      </c>
      <c r="L1159">
        <f>'T_TTAFStock'!J55</f>
        <v/>
      </c>
      <c r="M1159">
        <f>'T_TTAFStock'!K55</f>
        <v/>
      </c>
      <c r="N1159">
        <f>'T_TTAFStock'!L55</f>
        <v/>
      </c>
      <c r="O1159">
        <f>'T_TTAFStock'!M55</f>
        <v/>
      </c>
      <c r="P1159">
        <f>'T_TTAFStock'!N55</f>
        <v/>
      </c>
      <c r="Q1159">
        <f>'T_TTAFStock'!O55</f>
        <v/>
      </c>
      <c r="R1159">
        <f>'T_TTAFStock'!P55</f>
        <v/>
      </c>
      <c r="S1159">
        <f>'T_TTAFStock'!Q55</f>
        <v/>
      </c>
      <c r="T1159">
        <f>'T_TTAFStock'!R55</f>
        <v/>
      </c>
      <c r="U1159">
        <f>'T_TTAFStock'!S55</f>
        <v/>
      </c>
      <c r="V1159">
        <f>'T_TTAFStock'!T55</f>
        <v/>
      </c>
      <c r="W1159">
        <f>'T_TTAFStock'!U55</f>
        <v/>
      </c>
      <c r="X1159">
        <f>'T_TTAFStock'!V55</f>
        <v/>
      </c>
      <c r="Y1159">
        <f>'T_TTAFStock'!W55</f>
        <v/>
      </c>
      <c r="Z1159">
        <f>'T_TTAFStock'!X55</f>
        <v/>
      </c>
      <c r="AA1159">
        <f>'T_TTAFStock'!Y55</f>
        <v/>
      </c>
      <c r="AB1159">
        <f>'T_TTAFStock'!Z55</f>
        <v/>
      </c>
      <c r="AC1159">
        <f>'T_TTAFStock'!AA55</f>
        <v/>
      </c>
      <c r="AD1159">
        <f>'T_TTAFStock'!AB55</f>
        <v/>
      </c>
      <c r="AE1159">
        <f>'T_TTAFStock'!AC55</f>
        <v/>
      </c>
      <c r="AF1159">
        <f>'T_TTAFStock'!AD55</f>
        <v/>
      </c>
      <c r="AG1159">
        <f>'T_TTAFStock'!AE55</f>
        <v/>
      </c>
      <c r="AH1159">
        <f>'T_TTAFStock'!AF55</f>
        <v/>
      </c>
      <c r="AI1159">
        <f>'T_TTAFStock'!AG55</f>
        <v/>
      </c>
      <c r="AJ1159">
        <f>'T_TTAFStock'!AH55</f>
        <v/>
      </c>
      <c r="AK1159">
        <f>'T_TTAFStock'!AI55</f>
        <v/>
      </c>
      <c r="AL1159">
        <f>'T_TTAFStock'!AJ55</f>
        <v/>
      </c>
      <c r="AM1159">
        <f>'T_TTAFStock'!AK55</f>
        <v/>
      </c>
      <c r="AN1159">
        <f>'T_TTAFStock'!AL55</f>
        <v/>
      </c>
      <c r="AO1159">
        <f>'T_TTAFStock'!AM55</f>
        <v/>
      </c>
      <c r="AP1159">
        <f>'T_TTAFStock'!AN55</f>
        <v/>
      </c>
      <c r="AQ1159">
        <f>'T_TTAFStock'!AO55</f>
        <v/>
      </c>
      <c r="AR1159">
        <f>'T_TTAFStock'!AP55</f>
        <v/>
      </c>
      <c r="AS1159">
        <f>'T_TTAFStock'!AQ55</f>
        <v/>
      </c>
      <c r="AT1159">
        <f>'T_TTAFStock'!AR55</f>
        <v/>
      </c>
      <c r="AU1159">
        <f>'T_TTAFStock'!AS55</f>
        <v/>
      </c>
      <c r="AV1159">
        <f>'T_TTAFStock'!AT55</f>
        <v/>
      </c>
      <c r="AW1159">
        <f>'T_TTAFStock'!AU55</f>
        <v/>
      </c>
      <c r="AX1159">
        <f>'T_TTAFStock'!AV55</f>
        <v/>
      </c>
      <c r="AY1159">
        <f>'T_TTAFStock'!AW55</f>
        <v/>
      </c>
      <c r="AZ1159">
        <f>'T_TTAFStock'!AX55</f>
        <v/>
      </c>
      <c r="BA1159">
        <f>'T_TTAFStock'!AY55</f>
        <v/>
      </c>
      <c r="BB1159">
        <f>'T_TTAFStock'!AZ55</f>
        <v/>
      </c>
      <c r="BC1159">
        <f>'T_TTAFStock'!BA55</f>
        <v/>
      </c>
      <c r="BD1159">
        <f>'T_TTAFStock'!BB55</f>
        <v/>
      </c>
      <c r="BE1159">
        <f>'T_TTAFStock'!BC55</f>
        <v/>
      </c>
      <c r="BF1159">
        <f>'T_TTAFStock'!BD55</f>
        <v/>
      </c>
      <c r="BG1159">
        <f>'T_TTAFStock'!BE55</f>
        <v/>
      </c>
      <c r="BH1159">
        <f>'T_TTAFStock'!BF55</f>
        <v/>
      </c>
      <c r="BI1159">
        <f>'T_TTAFStock'!BG55</f>
        <v/>
      </c>
      <c r="BJ1159">
        <f>'T_TTAFStock'!BH55</f>
        <v/>
      </c>
      <c r="BK1159">
        <f>'T_TTAFStock'!BI55</f>
        <v/>
      </c>
      <c r="BL1159">
        <f>'T_TTAFStock'!BJ55</f>
        <v/>
      </c>
      <c r="BM1159">
        <f>'T_TTAFStock'!BK55</f>
        <v/>
      </c>
      <c r="BN1159">
        <f>'T_TTAFStock'!BL55</f>
        <v/>
      </c>
      <c r="BO1159">
        <f>'T_TTAFStock'!BM55</f>
        <v/>
      </c>
      <c r="BP1159">
        <f>'T_TTAFStock'!BN55</f>
        <v/>
      </c>
      <c r="BQ1159">
        <f>'T_TTAFStock'!BO55</f>
        <v/>
      </c>
      <c r="BR1159">
        <f>'T_TTAFStock'!BP55</f>
        <v/>
      </c>
      <c r="BS1159">
        <f>'T_TTAFStock'!BQ55</f>
        <v/>
      </c>
      <c r="BT1159">
        <f>'T_TTAFStock'!BR55</f>
        <v/>
      </c>
      <c r="BU1159">
        <f>'T_TTAFStock'!BS55</f>
        <v/>
      </c>
      <c r="BV1159">
        <f>'T_TTAFStock'!BT55</f>
        <v/>
      </c>
      <c r="BW1159">
        <f>'T_TTAFStock'!BU55</f>
        <v/>
      </c>
      <c r="BX1159">
        <f>'T_TTAFStock'!BV55</f>
        <v/>
      </c>
      <c r="BY1159">
        <f>'T_TTAFStock'!BW55</f>
        <v/>
      </c>
      <c r="BZ1159">
        <f>'T_TTAFStock'!BX55</f>
        <v/>
      </c>
      <c r="CA1159">
        <f>'T_TTAFStock'!BY55</f>
        <v/>
      </c>
      <c r="CB1159">
        <f>'T_TTAFStock'!BZ55</f>
        <v/>
      </c>
      <c r="CC1159">
        <f>'T_TTAFStock'!CA55</f>
        <v/>
      </c>
      <c r="CD1159">
        <f>'T_TTAFStock'!CB55</f>
        <v/>
      </c>
      <c r="CE1159">
        <f>'T_TTAFStock'!CC55</f>
        <v/>
      </c>
      <c r="CF1159">
        <f>'T_TTAFStock'!CD55</f>
        <v/>
      </c>
      <c r="CG1159">
        <f>'T_TTAFStock'!CE55</f>
        <v/>
      </c>
      <c r="CH1159">
        <f>'T_TTAFStock'!CF55</f>
        <v/>
      </c>
      <c r="CI1159">
        <f>'T_TTAFStock'!CG55</f>
        <v/>
      </c>
      <c r="CJ1159">
        <f>'T_TTAFStock'!CH55</f>
        <v/>
      </c>
      <c r="CK1159">
        <f>'T_TTAFStock'!CI55</f>
        <v/>
      </c>
      <c r="CL1159">
        <f>'T_TTAFStock'!CJ55</f>
        <v/>
      </c>
      <c r="CM1159">
        <f>'T_TTAFStock'!CK55</f>
        <v/>
      </c>
      <c r="CN1159">
        <f>'T_TTAFStock'!CL55</f>
        <v/>
      </c>
      <c r="CO1159">
        <f>'T_TTAFStock'!CM55</f>
        <v/>
      </c>
      <c r="CP1159">
        <f>'T_TTAFStock'!CN55</f>
        <v/>
      </c>
      <c r="CQ1159">
        <f>'T_TTAFStock'!CO55</f>
        <v/>
      </c>
      <c r="CR1159">
        <f>'T_TTAFStock'!CP55</f>
        <v/>
      </c>
      <c r="CS1159">
        <f>'T_TTAFStock'!CQ55</f>
        <v/>
      </c>
      <c r="CT1159">
        <f>'T_TTAFStock'!CR55</f>
        <v/>
      </c>
      <c r="CU1159">
        <f>'T_TTAFStock'!CS55</f>
        <v/>
      </c>
      <c r="CV1159">
        <f>'T_TTAFStock'!CT55</f>
        <v/>
      </c>
      <c r="CW1159">
        <f>'T_TTAFStock'!CU55</f>
        <v/>
      </c>
      <c r="CX1159">
        <f>'T_TTAFStock'!CV55</f>
        <v/>
      </c>
      <c r="CY1159">
        <f>'T_TTAFStock'!CW55</f>
        <v/>
      </c>
      <c r="CZ1159">
        <f>'T_TTAFStock'!CX55</f>
        <v/>
      </c>
      <c r="DA1159">
        <f>'T_TTAFStock'!CY55</f>
        <v/>
      </c>
      <c r="DB1159">
        <f>'T_TTAFStock'!CZ55</f>
        <v/>
      </c>
      <c r="DC1159">
        <f>'T_TTAFStock'!DA55</f>
        <v/>
      </c>
    </row>
    <row r="1160">
      <c r="B1160" t="inlineStr">
        <is>
          <t>自社在庫(実績,kg)</t>
        </is>
      </c>
      <c r="D1160">
        <f>'T_SelfStock'!B55</f>
        <v/>
      </c>
      <c r="E1160">
        <f>'T_SelfStock'!C55</f>
        <v/>
      </c>
      <c r="F1160">
        <f>'T_SelfStock'!D55</f>
        <v/>
      </c>
      <c r="G1160">
        <f>'T_SelfStock'!E55</f>
        <v/>
      </c>
      <c r="H1160">
        <f>'T_SelfStock'!F55</f>
        <v/>
      </c>
      <c r="I1160">
        <f>'T_SelfStock'!G55</f>
        <v/>
      </c>
      <c r="J1160">
        <f>'T_SelfStock'!H55</f>
        <v/>
      </c>
      <c r="K1160">
        <f>'T_SelfStock'!I55</f>
        <v/>
      </c>
      <c r="L1160">
        <f>'T_SelfStock'!J55</f>
        <v/>
      </c>
      <c r="M1160">
        <f>'T_SelfStock'!K55</f>
        <v/>
      </c>
      <c r="N1160">
        <f>'T_SelfStock'!L55</f>
        <v/>
      </c>
      <c r="O1160">
        <f>'T_SelfStock'!M55</f>
        <v/>
      </c>
      <c r="P1160">
        <f>'T_SelfStock'!N55</f>
        <v/>
      </c>
      <c r="Q1160">
        <f>'T_SelfStock'!O55</f>
        <v/>
      </c>
      <c r="R1160">
        <f>'T_SelfStock'!P55</f>
        <v/>
      </c>
      <c r="S1160">
        <f>'T_SelfStock'!Q55</f>
        <v/>
      </c>
      <c r="T1160">
        <f>'T_SelfStock'!R55</f>
        <v/>
      </c>
      <c r="U1160">
        <f>'T_SelfStock'!S55</f>
        <v/>
      </c>
      <c r="V1160">
        <f>'T_SelfStock'!T55</f>
        <v/>
      </c>
      <c r="W1160">
        <f>'T_SelfStock'!U55</f>
        <v/>
      </c>
      <c r="X1160">
        <f>'T_SelfStock'!V55</f>
        <v/>
      </c>
      <c r="Y1160">
        <f>'T_SelfStock'!W55</f>
        <v/>
      </c>
      <c r="Z1160">
        <f>'T_SelfStock'!X55</f>
        <v/>
      </c>
      <c r="AA1160">
        <f>'T_SelfStock'!Y55</f>
        <v/>
      </c>
      <c r="AB1160">
        <f>'T_SelfStock'!Z55</f>
        <v/>
      </c>
      <c r="AC1160">
        <f>'T_SelfStock'!AA55</f>
        <v/>
      </c>
      <c r="AD1160">
        <f>'T_SelfStock'!AB55</f>
        <v/>
      </c>
      <c r="AE1160">
        <f>'T_SelfStock'!AC55</f>
        <v/>
      </c>
      <c r="AF1160">
        <f>'T_SelfStock'!AD55</f>
        <v/>
      </c>
      <c r="AG1160">
        <f>'T_SelfStock'!AE55</f>
        <v/>
      </c>
      <c r="AH1160">
        <f>'T_SelfStock'!AF55</f>
        <v/>
      </c>
      <c r="AI1160">
        <f>'T_SelfStock'!AG55</f>
        <v/>
      </c>
      <c r="AJ1160">
        <f>'T_SelfStock'!AH55</f>
        <v/>
      </c>
      <c r="AK1160">
        <f>'T_SelfStock'!AI55</f>
        <v/>
      </c>
      <c r="AL1160">
        <f>'T_SelfStock'!AJ55</f>
        <v/>
      </c>
      <c r="AM1160">
        <f>'T_SelfStock'!AK55</f>
        <v/>
      </c>
      <c r="AN1160">
        <f>'T_SelfStock'!AL55</f>
        <v/>
      </c>
      <c r="AO1160">
        <f>'T_SelfStock'!AM55</f>
        <v/>
      </c>
      <c r="AP1160">
        <f>'T_SelfStock'!AN55</f>
        <v/>
      </c>
      <c r="AQ1160">
        <f>'T_SelfStock'!AO55</f>
        <v/>
      </c>
      <c r="AR1160">
        <f>'T_SelfStock'!AP55</f>
        <v/>
      </c>
      <c r="AS1160">
        <f>'T_SelfStock'!AQ55</f>
        <v/>
      </c>
      <c r="AT1160">
        <f>'T_SelfStock'!AR55</f>
        <v/>
      </c>
      <c r="AU1160">
        <f>'T_SelfStock'!AS55</f>
        <v/>
      </c>
      <c r="AV1160">
        <f>'T_SelfStock'!AT55</f>
        <v/>
      </c>
      <c r="AW1160">
        <f>'T_SelfStock'!AU55</f>
        <v/>
      </c>
      <c r="AX1160">
        <f>'T_SelfStock'!AV55</f>
        <v/>
      </c>
      <c r="AY1160">
        <f>'T_SelfStock'!AW55</f>
        <v/>
      </c>
      <c r="AZ1160">
        <f>'T_SelfStock'!AX55</f>
        <v/>
      </c>
      <c r="BA1160">
        <f>'T_SelfStock'!AY55</f>
        <v/>
      </c>
      <c r="BB1160">
        <f>'T_SelfStock'!AZ55</f>
        <v/>
      </c>
      <c r="BC1160">
        <f>'T_SelfStock'!BA55</f>
        <v/>
      </c>
      <c r="BD1160">
        <f>'T_SelfStock'!BB55</f>
        <v/>
      </c>
      <c r="BE1160">
        <f>'T_SelfStock'!BC55</f>
        <v/>
      </c>
      <c r="BF1160">
        <f>'T_SelfStock'!BD55</f>
        <v/>
      </c>
      <c r="BG1160">
        <f>'T_SelfStock'!BE55</f>
        <v/>
      </c>
      <c r="BH1160">
        <f>'T_SelfStock'!BF55</f>
        <v/>
      </c>
      <c r="BI1160">
        <f>'T_SelfStock'!BG55</f>
        <v/>
      </c>
      <c r="BJ1160">
        <f>'T_SelfStock'!BH55</f>
        <v/>
      </c>
      <c r="BK1160">
        <f>'T_SelfStock'!BI55</f>
        <v/>
      </c>
      <c r="BL1160">
        <f>'T_SelfStock'!BJ55</f>
        <v/>
      </c>
      <c r="BM1160">
        <f>'T_SelfStock'!BK55</f>
        <v/>
      </c>
      <c r="BN1160">
        <f>'T_SelfStock'!BL55</f>
        <v/>
      </c>
      <c r="BO1160">
        <f>'T_SelfStock'!BM55</f>
        <v/>
      </c>
      <c r="BP1160">
        <f>'T_SelfStock'!BN55</f>
        <v/>
      </c>
      <c r="BQ1160">
        <f>'T_SelfStock'!BO55</f>
        <v/>
      </c>
      <c r="BR1160">
        <f>'T_SelfStock'!BP55</f>
        <v/>
      </c>
      <c r="BS1160">
        <f>'T_SelfStock'!BQ55</f>
        <v/>
      </c>
      <c r="BT1160">
        <f>'T_SelfStock'!BR55</f>
        <v/>
      </c>
      <c r="BU1160">
        <f>'T_SelfStock'!BS55</f>
        <v/>
      </c>
      <c r="BV1160">
        <f>'T_SelfStock'!BT55</f>
        <v/>
      </c>
      <c r="BW1160">
        <f>'T_SelfStock'!BU55</f>
        <v/>
      </c>
      <c r="BX1160">
        <f>'T_SelfStock'!BV55</f>
        <v/>
      </c>
      <c r="BY1160">
        <f>'T_SelfStock'!BW55</f>
        <v/>
      </c>
      <c r="BZ1160">
        <f>'T_SelfStock'!BX55</f>
        <v/>
      </c>
      <c r="CA1160">
        <f>'T_SelfStock'!BY55</f>
        <v/>
      </c>
      <c r="CB1160">
        <f>'T_SelfStock'!BZ55</f>
        <v/>
      </c>
      <c r="CC1160">
        <f>'T_SelfStock'!CA55</f>
        <v/>
      </c>
      <c r="CD1160">
        <f>'T_SelfStock'!CB55</f>
        <v/>
      </c>
      <c r="CE1160">
        <f>'T_SelfStock'!CC55</f>
        <v/>
      </c>
      <c r="CF1160">
        <f>'T_SelfStock'!CD55</f>
        <v/>
      </c>
      <c r="CG1160">
        <f>'T_SelfStock'!CE55</f>
        <v/>
      </c>
      <c r="CH1160">
        <f>'T_SelfStock'!CF55</f>
        <v/>
      </c>
      <c r="CI1160">
        <f>'T_SelfStock'!CG55</f>
        <v/>
      </c>
      <c r="CJ1160">
        <f>'T_SelfStock'!CH55</f>
        <v/>
      </c>
      <c r="CK1160">
        <f>'T_SelfStock'!CI55</f>
        <v/>
      </c>
      <c r="CL1160">
        <f>'T_SelfStock'!CJ55</f>
        <v/>
      </c>
      <c r="CM1160">
        <f>'T_SelfStock'!CK55</f>
        <v/>
      </c>
      <c r="CN1160">
        <f>'T_SelfStock'!CL55</f>
        <v/>
      </c>
      <c r="CO1160">
        <f>'T_SelfStock'!CM55</f>
        <v/>
      </c>
      <c r="CP1160">
        <f>'T_SelfStock'!CN55</f>
        <v/>
      </c>
      <c r="CQ1160">
        <f>'T_SelfStock'!CO55</f>
        <v/>
      </c>
      <c r="CR1160">
        <f>'T_SelfStock'!CP55</f>
        <v/>
      </c>
      <c r="CS1160">
        <f>'T_SelfStock'!CQ55</f>
        <v/>
      </c>
      <c r="CT1160">
        <f>'T_SelfStock'!CR55</f>
        <v/>
      </c>
      <c r="CU1160">
        <f>'T_SelfStock'!CS55</f>
        <v/>
      </c>
      <c r="CV1160">
        <f>'T_SelfStock'!CT55</f>
        <v/>
      </c>
      <c r="CW1160">
        <f>'T_SelfStock'!CU55</f>
        <v/>
      </c>
      <c r="CX1160">
        <f>'T_SelfStock'!CV55</f>
        <v/>
      </c>
      <c r="CY1160">
        <f>'T_SelfStock'!CW55</f>
        <v/>
      </c>
      <c r="CZ1160">
        <f>'T_SelfStock'!CX55</f>
        <v/>
      </c>
      <c r="DA1160">
        <f>'T_SelfStock'!CY55</f>
        <v/>
      </c>
      <c r="DB1160">
        <f>'T_SelfStock'!CZ55</f>
        <v/>
      </c>
      <c r="DC1160">
        <f>'T_SelfStock'!DA55</f>
        <v/>
      </c>
    </row>
    <row r="1161">
      <c r="B1161" t="inlineStr">
        <is>
          <t>Order(発注予定,kg)</t>
        </is>
      </c>
      <c r="D1161">
        <f>IF(SUMIFS(T_PlannedOrders[EffectiveQty],T_PlannedOrders[Part Name],$A1155,T_PlannedOrders[WeekIndex],1)=0,"",SUMIFS(T_PlannedOrders[EffectiveQty],T_PlannedOrders[Part Name],$A1155,T_PlannedOrders[WeekIndex],1)&amp;" ("&amp;TEXT(SUMPRODUCT(MAX((T_PlannedOrders[Part Name]=$A1155)*(T_PlannedOrders[WeekIndex]=1)*(T_PlannedOrders[EffectiveQty]&gt;0)*T_PlannedOrders[Order_Month])),"m月")&amp;"発注)")</f>
        <v/>
      </c>
      <c r="E1161">
        <f>IF(SUMIFS(T_PlannedOrders[EffectiveQty],T_PlannedOrders[Part Name],$A1155,T_PlannedOrders[WeekIndex],2)=0,"",SUMIFS(T_PlannedOrders[EffectiveQty],T_PlannedOrders[Part Name],$A1155,T_PlannedOrders[WeekIndex],2)&amp;" ("&amp;TEXT(SUMPRODUCT(MAX((T_PlannedOrders[Part Name]=$A1155)*(T_PlannedOrders[WeekIndex]=2)*(T_PlannedOrders[EffectiveQty]&gt;0)*T_PlannedOrders[Order_Month])),"m月")&amp;"発注)")</f>
        <v/>
      </c>
      <c r="F1161">
        <f>IF(SUMIFS(T_PlannedOrders[EffectiveQty],T_PlannedOrders[Part Name],$A1155,T_PlannedOrders[WeekIndex],3)=0,"",SUMIFS(T_PlannedOrders[EffectiveQty],T_PlannedOrders[Part Name],$A1155,T_PlannedOrders[WeekIndex],3)&amp;" ("&amp;TEXT(SUMPRODUCT(MAX((T_PlannedOrders[Part Name]=$A1155)*(T_PlannedOrders[WeekIndex]=3)*(T_PlannedOrders[EffectiveQty]&gt;0)*T_PlannedOrders[Order_Month])),"m月")&amp;"発注)")</f>
        <v/>
      </c>
      <c r="G1161">
        <f>IF(SUMIFS(T_PlannedOrders[EffectiveQty],T_PlannedOrders[Part Name],$A1155,T_PlannedOrders[WeekIndex],4)=0,"",SUMIFS(T_PlannedOrders[EffectiveQty],T_PlannedOrders[Part Name],$A1155,T_PlannedOrders[WeekIndex],4)&amp;" ("&amp;TEXT(SUMPRODUCT(MAX((T_PlannedOrders[Part Name]=$A1155)*(T_PlannedOrders[WeekIndex]=4)*(T_PlannedOrders[EffectiveQty]&gt;0)*T_PlannedOrders[Order_Month])),"m月")&amp;"発注)")</f>
        <v/>
      </c>
      <c r="H1161">
        <f>IF(SUMIFS(T_PlannedOrders[EffectiveQty],T_PlannedOrders[Part Name],$A1155,T_PlannedOrders[WeekIndex],5)=0,"",SUMIFS(T_PlannedOrders[EffectiveQty],T_PlannedOrders[Part Name],$A1155,T_PlannedOrders[WeekIndex],5)&amp;" ("&amp;TEXT(SUMPRODUCT(MAX((T_PlannedOrders[Part Name]=$A1155)*(T_PlannedOrders[WeekIndex]=5)*(T_PlannedOrders[EffectiveQty]&gt;0)*T_PlannedOrders[Order_Month])),"m月")&amp;"発注)")</f>
        <v/>
      </c>
      <c r="I1161">
        <f>IF(SUMIFS(T_PlannedOrders[EffectiveQty],T_PlannedOrders[Part Name],$A1155,T_PlannedOrders[WeekIndex],6)=0,"",SUMIFS(T_PlannedOrders[EffectiveQty],T_PlannedOrders[Part Name],$A1155,T_PlannedOrders[WeekIndex],6)&amp;" ("&amp;TEXT(SUMPRODUCT(MAX((T_PlannedOrders[Part Name]=$A1155)*(T_PlannedOrders[WeekIndex]=6)*(T_PlannedOrders[EffectiveQty]&gt;0)*T_PlannedOrders[Order_Month])),"m月")&amp;"発注)")</f>
        <v/>
      </c>
      <c r="J1161">
        <f>IF(SUMIFS(T_PlannedOrders[EffectiveQty],T_PlannedOrders[Part Name],$A1155,T_PlannedOrders[WeekIndex],7)=0,"",SUMIFS(T_PlannedOrders[EffectiveQty],T_PlannedOrders[Part Name],$A1155,T_PlannedOrders[WeekIndex],7)&amp;" ("&amp;TEXT(SUMPRODUCT(MAX((T_PlannedOrders[Part Name]=$A1155)*(T_PlannedOrders[WeekIndex]=7)*(T_PlannedOrders[EffectiveQty]&gt;0)*T_PlannedOrders[Order_Month])),"m月")&amp;"発注)")</f>
        <v/>
      </c>
      <c r="K1161">
        <f>IF(SUMIFS(T_PlannedOrders[EffectiveQty],T_PlannedOrders[Part Name],$A1155,T_PlannedOrders[WeekIndex],8)=0,"",SUMIFS(T_PlannedOrders[EffectiveQty],T_PlannedOrders[Part Name],$A1155,T_PlannedOrders[WeekIndex],8)&amp;" ("&amp;TEXT(SUMPRODUCT(MAX((T_PlannedOrders[Part Name]=$A1155)*(T_PlannedOrders[WeekIndex]=8)*(T_PlannedOrders[EffectiveQty]&gt;0)*T_PlannedOrders[Order_Month])),"m月")&amp;"発注)")</f>
        <v/>
      </c>
      <c r="L1161">
        <f>IF(SUMIFS(T_PlannedOrders[EffectiveQty],T_PlannedOrders[Part Name],$A1155,T_PlannedOrders[WeekIndex],9)=0,"",SUMIFS(T_PlannedOrders[EffectiveQty],T_PlannedOrders[Part Name],$A1155,T_PlannedOrders[WeekIndex],9)&amp;" ("&amp;TEXT(SUMPRODUCT(MAX((T_PlannedOrders[Part Name]=$A1155)*(T_PlannedOrders[WeekIndex]=9)*(T_PlannedOrders[EffectiveQty]&gt;0)*T_PlannedOrders[Order_Month])),"m月")&amp;"発注)")</f>
        <v/>
      </c>
      <c r="M1161">
        <f>IF(SUMIFS(T_PlannedOrders[EffectiveQty],T_PlannedOrders[Part Name],$A1155,T_PlannedOrders[WeekIndex],10)=0,"",SUMIFS(T_PlannedOrders[EffectiveQty],T_PlannedOrders[Part Name],$A1155,T_PlannedOrders[WeekIndex],10)&amp;" ("&amp;TEXT(SUMPRODUCT(MAX((T_PlannedOrders[Part Name]=$A1155)*(T_PlannedOrders[WeekIndex]=10)*(T_PlannedOrders[EffectiveQty]&gt;0)*T_PlannedOrders[Order_Month])),"m月")&amp;"発注)")</f>
        <v/>
      </c>
      <c r="N1161">
        <f>IF(SUMIFS(T_PlannedOrders[EffectiveQty],T_PlannedOrders[Part Name],$A1155,T_PlannedOrders[WeekIndex],11)=0,"",SUMIFS(T_PlannedOrders[EffectiveQty],T_PlannedOrders[Part Name],$A1155,T_PlannedOrders[WeekIndex],11)&amp;" ("&amp;TEXT(SUMPRODUCT(MAX((T_PlannedOrders[Part Name]=$A1155)*(T_PlannedOrders[WeekIndex]=11)*(T_PlannedOrders[EffectiveQty]&gt;0)*T_PlannedOrders[Order_Month])),"m月")&amp;"発注)")</f>
        <v/>
      </c>
      <c r="O1161">
        <f>IF(SUMIFS(T_PlannedOrders[EffectiveQty],T_PlannedOrders[Part Name],$A1155,T_PlannedOrders[WeekIndex],12)=0,"",SUMIFS(T_PlannedOrders[EffectiveQty],T_PlannedOrders[Part Name],$A1155,T_PlannedOrders[WeekIndex],12)&amp;" ("&amp;TEXT(SUMPRODUCT(MAX((T_PlannedOrders[Part Name]=$A1155)*(T_PlannedOrders[WeekIndex]=12)*(T_PlannedOrders[EffectiveQty]&gt;0)*T_PlannedOrders[Order_Month])),"m月")&amp;"発注)")</f>
        <v/>
      </c>
      <c r="P1161">
        <f>IF(SUMIFS(T_PlannedOrders[EffectiveQty],T_PlannedOrders[Part Name],$A1155,T_PlannedOrders[WeekIndex],13)=0,"",SUMIFS(T_PlannedOrders[EffectiveQty],T_PlannedOrders[Part Name],$A1155,T_PlannedOrders[WeekIndex],13)&amp;" ("&amp;TEXT(SUMPRODUCT(MAX((T_PlannedOrders[Part Name]=$A1155)*(T_PlannedOrders[WeekIndex]=13)*(T_PlannedOrders[EffectiveQty]&gt;0)*T_PlannedOrders[Order_Month])),"m月")&amp;"発注)")</f>
        <v/>
      </c>
      <c r="Q1161">
        <f>IF(SUMIFS(T_PlannedOrders[EffectiveQty],T_PlannedOrders[Part Name],$A1155,T_PlannedOrders[WeekIndex],14)=0,"",SUMIFS(T_PlannedOrders[EffectiveQty],T_PlannedOrders[Part Name],$A1155,T_PlannedOrders[WeekIndex],14)&amp;" ("&amp;TEXT(SUMPRODUCT(MAX((T_PlannedOrders[Part Name]=$A1155)*(T_PlannedOrders[WeekIndex]=14)*(T_PlannedOrders[EffectiveQty]&gt;0)*T_PlannedOrders[Order_Month])),"m月")&amp;"発注)")</f>
        <v/>
      </c>
      <c r="R1161">
        <f>IF(SUMIFS(T_PlannedOrders[EffectiveQty],T_PlannedOrders[Part Name],$A1155,T_PlannedOrders[WeekIndex],15)=0,"",SUMIFS(T_PlannedOrders[EffectiveQty],T_PlannedOrders[Part Name],$A1155,T_PlannedOrders[WeekIndex],15)&amp;" ("&amp;TEXT(SUMPRODUCT(MAX((T_PlannedOrders[Part Name]=$A1155)*(T_PlannedOrders[WeekIndex]=15)*(T_PlannedOrders[EffectiveQty]&gt;0)*T_PlannedOrders[Order_Month])),"m月")&amp;"発注)")</f>
        <v/>
      </c>
      <c r="S1161">
        <f>IF(SUMIFS(T_PlannedOrders[EffectiveQty],T_PlannedOrders[Part Name],$A1155,T_PlannedOrders[WeekIndex],16)=0,"",SUMIFS(T_PlannedOrders[EffectiveQty],T_PlannedOrders[Part Name],$A1155,T_PlannedOrders[WeekIndex],16)&amp;" ("&amp;TEXT(SUMPRODUCT(MAX((T_PlannedOrders[Part Name]=$A1155)*(T_PlannedOrders[WeekIndex]=16)*(T_PlannedOrders[EffectiveQty]&gt;0)*T_PlannedOrders[Order_Month])),"m月")&amp;"発注)")</f>
        <v/>
      </c>
      <c r="T1161">
        <f>IF(SUMIFS(T_PlannedOrders[EffectiveQty],T_PlannedOrders[Part Name],$A1155,T_PlannedOrders[WeekIndex],17)=0,"",SUMIFS(T_PlannedOrders[EffectiveQty],T_PlannedOrders[Part Name],$A1155,T_PlannedOrders[WeekIndex],17)&amp;" ("&amp;TEXT(SUMPRODUCT(MAX((T_PlannedOrders[Part Name]=$A1155)*(T_PlannedOrders[WeekIndex]=17)*(T_PlannedOrders[EffectiveQty]&gt;0)*T_PlannedOrders[Order_Month])),"m月")&amp;"発注)")</f>
        <v/>
      </c>
      <c r="U1161">
        <f>IF(SUMIFS(T_PlannedOrders[EffectiveQty],T_PlannedOrders[Part Name],$A1155,T_PlannedOrders[WeekIndex],18)=0,"",SUMIFS(T_PlannedOrders[EffectiveQty],T_PlannedOrders[Part Name],$A1155,T_PlannedOrders[WeekIndex],18)&amp;" ("&amp;TEXT(SUMPRODUCT(MAX((T_PlannedOrders[Part Name]=$A1155)*(T_PlannedOrders[WeekIndex]=18)*(T_PlannedOrders[EffectiveQty]&gt;0)*T_PlannedOrders[Order_Month])),"m月")&amp;"発注)")</f>
        <v/>
      </c>
      <c r="V1161">
        <f>IF(SUMIFS(T_PlannedOrders[EffectiveQty],T_PlannedOrders[Part Name],$A1155,T_PlannedOrders[WeekIndex],19)=0,"",SUMIFS(T_PlannedOrders[EffectiveQty],T_PlannedOrders[Part Name],$A1155,T_PlannedOrders[WeekIndex],19)&amp;" ("&amp;TEXT(SUMPRODUCT(MAX((T_PlannedOrders[Part Name]=$A1155)*(T_PlannedOrders[WeekIndex]=19)*(T_PlannedOrders[EffectiveQty]&gt;0)*T_PlannedOrders[Order_Month])),"m月")&amp;"発注)")</f>
        <v/>
      </c>
      <c r="W1161">
        <f>IF(SUMIFS(T_PlannedOrders[EffectiveQty],T_PlannedOrders[Part Name],$A1155,T_PlannedOrders[WeekIndex],20)=0,"",SUMIFS(T_PlannedOrders[EffectiveQty],T_PlannedOrders[Part Name],$A1155,T_PlannedOrders[WeekIndex],20)&amp;" ("&amp;TEXT(SUMPRODUCT(MAX((T_PlannedOrders[Part Name]=$A1155)*(T_PlannedOrders[WeekIndex]=20)*(T_PlannedOrders[EffectiveQty]&gt;0)*T_PlannedOrders[Order_Month])),"m月")&amp;"発注)")</f>
        <v/>
      </c>
      <c r="X1161">
        <f>IF(SUMIFS(T_PlannedOrders[EffectiveQty],T_PlannedOrders[Part Name],$A1155,T_PlannedOrders[WeekIndex],21)=0,"",SUMIFS(T_PlannedOrders[EffectiveQty],T_PlannedOrders[Part Name],$A1155,T_PlannedOrders[WeekIndex],21)&amp;" ("&amp;TEXT(SUMPRODUCT(MAX((T_PlannedOrders[Part Name]=$A1155)*(T_PlannedOrders[WeekIndex]=21)*(T_PlannedOrders[EffectiveQty]&gt;0)*T_PlannedOrders[Order_Month])),"m月")&amp;"発注)")</f>
        <v/>
      </c>
      <c r="Y1161">
        <f>IF(SUMIFS(T_PlannedOrders[EffectiveQty],T_PlannedOrders[Part Name],$A1155,T_PlannedOrders[WeekIndex],22)=0,"",SUMIFS(T_PlannedOrders[EffectiveQty],T_PlannedOrders[Part Name],$A1155,T_PlannedOrders[WeekIndex],22)&amp;" ("&amp;TEXT(SUMPRODUCT(MAX((T_PlannedOrders[Part Name]=$A1155)*(T_PlannedOrders[WeekIndex]=22)*(T_PlannedOrders[EffectiveQty]&gt;0)*T_PlannedOrders[Order_Month])),"m月")&amp;"発注)")</f>
        <v/>
      </c>
      <c r="Z1161">
        <f>IF(SUMIFS(T_PlannedOrders[EffectiveQty],T_PlannedOrders[Part Name],$A1155,T_PlannedOrders[WeekIndex],23)=0,"",SUMIFS(T_PlannedOrders[EffectiveQty],T_PlannedOrders[Part Name],$A1155,T_PlannedOrders[WeekIndex],23)&amp;" ("&amp;TEXT(SUMPRODUCT(MAX((T_PlannedOrders[Part Name]=$A1155)*(T_PlannedOrders[WeekIndex]=23)*(T_PlannedOrders[EffectiveQty]&gt;0)*T_PlannedOrders[Order_Month])),"m月")&amp;"発注)")</f>
        <v/>
      </c>
      <c r="AA1161">
        <f>IF(SUMIFS(T_PlannedOrders[EffectiveQty],T_PlannedOrders[Part Name],$A1155,T_PlannedOrders[WeekIndex],24)=0,"",SUMIFS(T_PlannedOrders[EffectiveQty],T_PlannedOrders[Part Name],$A1155,T_PlannedOrders[WeekIndex],24)&amp;" ("&amp;TEXT(SUMPRODUCT(MAX((T_PlannedOrders[Part Name]=$A1155)*(T_PlannedOrders[WeekIndex]=24)*(T_PlannedOrders[EffectiveQty]&gt;0)*T_PlannedOrders[Order_Month])),"m月")&amp;"発注)")</f>
        <v/>
      </c>
      <c r="AB1161">
        <f>IF(SUMIFS(T_PlannedOrders[EffectiveQty],T_PlannedOrders[Part Name],$A1155,T_PlannedOrders[WeekIndex],25)=0,"",SUMIFS(T_PlannedOrders[EffectiveQty],T_PlannedOrders[Part Name],$A1155,T_PlannedOrders[WeekIndex],25)&amp;" ("&amp;TEXT(SUMPRODUCT(MAX((T_PlannedOrders[Part Name]=$A1155)*(T_PlannedOrders[WeekIndex]=25)*(T_PlannedOrders[EffectiveQty]&gt;0)*T_PlannedOrders[Order_Month])),"m月")&amp;"発注)")</f>
        <v/>
      </c>
      <c r="AC1161">
        <f>IF(SUMIFS(T_PlannedOrders[EffectiveQty],T_PlannedOrders[Part Name],$A1155,T_PlannedOrders[WeekIndex],26)=0,"",SUMIFS(T_PlannedOrders[EffectiveQty],T_PlannedOrders[Part Name],$A1155,T_PlannedOrders[WeekIndex],26)&amp;" ("&amp;TEXT(SUMPRODUCT(MAX((T_PlannedOrders[Part Name]=$A1155)*(T_PlannedOrders[WeekIndex]=26)*(T_PlannedOrders[EffectiveQty]&gt;0)*T_PlannedOrders[Order_Month])),"m月")&amp;"発注)")</f>
        <v/>
      </c>
      <c r="AD1161">
        <f>IF(SUMIFS(T_PlannedOrders[EffectiveQty],T_PlannedOrders[Part Name],$A1155,T_PlannedOrders[WeekIndex],27)=0,"",SUMIFS(T_PlannedOrders[EffectiveQty],T_PlannedOrders[Part Name],$A1155,T_PlannedOrders[WeekIndex],27)&amp;" ("&amp;TEXT(SUMPRODUCT(MAX((T_PlannedOrders[Part Name]=$A1155)*(T_PlannedOrders[WeekIndex]=27)*(T_PlannedOrders[EffectiveQty]&gt;0)*T_PlannedOrders[Order_Month])),"m月")&amp;"発注)")</f>
        <v/>
      </c>
      <c r="AE1161">
        <f>IF(SUMIFS(T_PlannedOrders[EffectiveQty],T_PlannedOrders[Part Name],$A1155,T_PlannedOrders[WeekIndex],28)=0,"",SUMIFS(T_PlannedOrders[EffectiveQty],T_PlannedOrders[Part Name],$A1155,T_PlannedOrders[WeekIndex],28)&amp;" ("&amp;TEXT(SUMPRODUCT(MAX((T_PlannedOrders[Part Name]=$A1155)*(T_PlannedOrders[WeekIndex]=28)*(T_PlannedOrders[EffectiveQty]&gt;0)*T_PlannedOrders[Order_Month])),"m月")&amp;"発注)")</f>
        <v/>
      </c>
      <c r="AF1161">
        <f>IF(SUMIFS(T_PlannedOrders[EffectiveQty],T_PlannedOrders[Part Name],$A1155,T_PlannedOrders[WeekIndex],29)=0,"",SUMIFS(T_PlannedOrders[EffectiveQty],T_PlannedOrders[Part Name],$A1155,T_PlannedOrders[WeekIndex],29)&amp;" ("&amp;TEXT(SUMPRODUCT(MAX((T_PlannedOrders[Part Name]=$A1155)*(T_PlannedOrders[WeekIndex]=29)*(T_PlannedOrders[EffectiveQty]&gt;0)*T_PlannedOrders[Order_Month])),"m月")&amp;"発注)")</f>
        <v/>
      </c>
      <c r="AG1161">
        <f>IF(SUMIFS(T_PlannedOrders[EffectiveQty],T_PlannedOrders[Part Name],$A1155,T_PlannedOrders[WeekIndex],30)=0,"",SUMIFS(T_PlannedOrders[EffectiveQty],T_PlannedOrders[Part Name],$A1155,T_PlannedOrders[WeekIndex],30)&amp;" ("&amp;TEXT(SUMPRODUCT(MAX((T_PlannedOrders[Part Name]=$A1155)*(T_PlannedOrders[WeekIndex]=30)*(T_PlannedOrders[EffectiveQty]&gt;0)*T_PlannedOrders[Order_Month])),"m月")&amp;"発注)")</f>
        <v/>
      </c>
      <c r="AH1161">
        <f>IF(SUMIFS(T_PlannedOrders[EffectiveQty],T_PlannedOrders[Part Name],$A1155,T_PlannedOrders[WeekIndex],31)=0,"",SUMIFS(T_PlannedOrders[EffectiveQty],T_PlannedOrders[Part Name],$A1155,T_PlannedOrders[WeekIndex],31)&amp;" ("&amp;TEXT(SUMPRODUCT(MAX((T_PlannedOrders[Part Name]=$A1155)*(T_PlannedOrders[WeekIndex]=31)*(T_PlannedOrders[EffectiveQty]&gt;0)*T_PlannedOrders[Order_Month])),"m月")&amp;"発注)")</f>
        <v/>
      </c>
      <c r="AI1161">
        <f>IF(SUMIFS(T_PlannedOrders[EffectiveQty],T_PlannedOrders[Part Name],$A1155,T_PlannedOrders[WeekIndex],32)=0,"",SUMIFS(T_PlannedOrders[EffectiveQty],T_PlannedOrders[Part Name],$A1155,T_PlannedOrders[WeekIndex],32)&amp;" ("&amp;TEXT(SUMPRODUCT(MAX((T_PlannedOrders[Part Name]=$A1155)*(T_PlannedOrders[WeekIndex]=32)*(T_PlannedOrders[EffectiveQty]&gt;0)*T_PlannedOrders[Order_Month])),"m月")&amp;"発注)")</f>
        <v/>
      </c>
      <c r="AJ1161">
        <f>IF(SUMIFS(T_PlannedOrders[EffectiveQty],T_PlannedOrders[Part Name],$A1155,T_PlannedOrders[WeekIndex],33)=0,"",SUMIFS(T_PlannedOrders[EffectiveQty],T_PlannedOrders[Part Name],$A1155,T_PlannedOrders[WeekIndex],33)&amp;" ("&amp;TEXT(SUMPRODUCT(MAX((T_PlannedOrders[Part Name]=$A1155)*(T_PlannedOrders[WeekIndex]=33)*(T_PlannedOrders[EffectiveQty]&gt;0)*T_PlannedOrders[Order_Month])),"m月")&amp;"発注)")</f>
        <v/>
      </c>
      <c r="AK1161">
        <f>IF(SUMIFS(T_PlannedOrders[EffectiveQty],T_PlannedOrders[Part Name],$A1155,T_PlannedOrders[WeekIndex],34)=0,"",SUMIFS(T_PlannedOrders[EffectiveQty],T_PlannedOrders[Part Name],$A1155,T_PlannedOrders[WeekIndex],34)&amp;" ("&amp;TEXT(SUMPRODUCT(MAX((T_PlannedOrders[Part Name]=$A1155)*(T_PlannedOrders[WeekIndex]=34)*(T_PlannedOrders[EffectiveQty]&gt;0)*T_PlannedOrders[Order_Month])),"m月")&amp;"発注)")</f>
        <v/>
      </c>
      <c r="AL1161">
        <f>IF(SUMIFS(T_PlannedOrders[EffectiveQty],T_PlannedOrders[Part Name],$A1155,T_PlannedOrders[WeekIndex],35)=0,"",SUMIFS(T_PlannedOrders[EffectiveQty],T_PlannedOrders[Part Name],$A1155,T_PlannedOrders[WeekIndex],35)&amp;" ("&amp;TEXT(SUMPRODUCT(MAX((T_PlannedOrders[Part Name]=$A1155)*(T_PlannedOrders[WeekIndex]=35)*(T_PlannedOrders[EffectiveQty]&gt;0)*T_PlannedOrders[Order_Month])),"m月")&amp;"発注)")</f>
        <v/>
      </c>
      <c r="AM1161">
        <f>IF(SUMIFS(T_PlannedOrders[EffectiveQty],T_PlannedOrders[Part Name],$A1155,T_PlannedOrders[WeekIndex],36)=0,"",SUMIFS(T_PlannedOrders[EffectiveQty],T_PlannedOrders[Part Name],$A1155,T_PlannedOrders[WeekIndex],36)&amp;" ("&amp;TEXT(SUMPRODUCT(MAX((T_PlannedOrders[Part Name]=$A1155)*(T_PlannedOrders[WeekIndex]=36)*(T_PlannedOrders[EffectiveQty]&gt;0)*T_PlannedOrders[Order_Month])),"m月")&amp;"発注)")</f>
        <v/>
      </c>
      <c r="AN1161">
        <f>IF(SUMIFS(T_PlannedOrders[EffectiveQty],T_PlannedOrders[Part Name],$A1155,T_PlannedOrders[WeekIndex],37)=0,"",SUMIFS(T_PlannedOrders[EffectiveQty],T_PlannedOrders[Part Name],$A1155,T_PlannedOrders[WeekIndex],37)&amp;" ("&amp;TEXT(SUMPRODUCT(MAX((T_PlannedOrders[Part Name]=$A1155)*(T_PlannedOrders[WeekIndex]=37)*(T_PlannedOrders[EffectiveQty]&gt;0)*T_PlannedOrders[Order_Month])),"m月")&amp;"発注)")</f>
        <v/>
      </c>
      <c r="AO1161">
        <f>IF(SUMIFS(T_PlannedOrders[EffectiveQty],T_PlannedOrders[Part Name],$A1155,T_PlannedOrders[WeekIndex],38)=0,"",SUMIFS(T_PlannedOrders[EffectiveQty],T_PlannedOrders[Part Name],$A1155,T_PlannedOrders[WeekIndex],38)&amp;" ("&amp;TEXT(SUMPRODUCT(MAX((T_PlannedOrders[Part Name]=$A1155)*(T_PlannedOrders[WeekIndex]=38)*(T_PlannedOrders[EffectiveQty]&gt;0)*T_PlannedOrders[Order_Month])),"m月")&amp;"発注)")</f>
        <v/>
      </c>
      <c r="AP1161">
        <f>IF(SUMIFS(T_PlannedOrders[EffectiveQty],T_PlannedOrders[Part Name],$A1155,T_PlannedOrders[WeekIndex],39)=0,"",SUMIFS(T_PlannedOrders[EffectiveQty],T_PlannedOrders[Part Name],$A1155,T_PlannedOrders[WeekIndex],39)&amp;" ("&amp;TEXT(SUMPRODUCT(MAX((T_PlannedOrders[Part Name]=$A1155)*(T_PlannedOrders[WeekIndex]=39)*(T_PlannedOrders[EffectiveQty]&gt;0)*T_PlannedOrders[Order_Month])),"m月")&amp;"発注)")</f>
        <v/>
      </c>
      <c r="AQ1161">
        <f>IF(SUMIFS(T_PlannedOrders[EffectiveQty],T_PlannedOrders[Part Name],$A1155,T_PlannedOrders[WeekIndex],40)=0,"",SUMIFS(T_PlannedOrders[EffectiveQty],T_PlannedOrders[Part Name],$A1155,T_PlannedOrders[WeekIndex],40)&amp;" ("&amp;TEXT(SUMPRODUCT(MAX((T_PlannedOrders[Part Name]=$A1155)*(T_PlannedOrders[WeekIndex]=40)*(T_PlannedOrders[EffectiveQty]&gt;0)*T_PlannedOrders[Order_Month])),"m月")&amp;"発注)")</f>
        <v/>
      </c>
      <c r="AR1161">
        <f>IF(SUMIFS(T_PlannedOrders[EffectiveQty],T_PlannedOrders[Part Name],$A1155,T_PlannedOrders[WeekIndex],41)=0,"",SUMIFS(T_PlannedOrders[EffectiveQty],T_PlannedOrders[Part Name],$A1155,T_PlannedOrders[WeekIndex],41)&amp;" ("&amp;TEXT(SUMPRODUCT(MAX((T_PlannedOrders[Part Name]=$A1155)*(T_PlannedOrders[WeekIndex]=41)*(T_PlannedOrders[EffectiveQty]&gt;0)*T_PlannedOrders[Order_Month])),"m月")&amp;"発注)")</f>
        <v/>
      </c>
      <c r="AS1161">
        <f>IF(SUMIFS(T_PlannedOrders[EffectiveQty],T_PlannedOrders[Part Name],$A1155,T_PlannedOrders[WeekIndex],42)=0,"",SUMIFS(T_PlannedOrders[EffectiveQty],T_PlannedOrders[Part Name],$A1155,T_PlannedOrders[WeekIndex],42)&amp;" ("&amp;TEXT(SUMPRODUCT(MAX((T_PlannedOrders[Part Name]=$A1155)*(T_PlannedOrders[WeekIndex]=42)*(T_PlannedOrders[EffectiveQty]&gt;0)*T_PlannedOrders[Order_Month])),"m月")&amp;"発注)")</f>
        <v/>
      </c>
      <c r="AT1161">
        <f>IF(SUMIFS(T_PlannedOrders[EffectiveQty],T_PlannedOrders[Part Name],$A1155,T_PlannedOrders[WeekIndex],43)=0,"",SUMIFS(T_PlannedOrders[EffectiveQty],T_PlannedOrders[Part Name],$A1155,T_PlannedOrders[WeekIndex],43)&amp;" ("&amp;TEXT(SUMPRODUCT(MAX((T_PlannedOrders[Part Name]=$A1155)*(T_PlannedOrders[WeekIndex]=43)*(T_PlannedOrders[EffectiveQty]&gt;0)*T_PlannedOrders[Order_Month])),"m月")&amp;"発注)")</f>
        <v/>
      </c>
      <c r="AU1161">
        <f>IF(SUMIFS(T_PlannedOrders[EffectiveQty],T_PlannedOrders[Part Name],$A1155,T_PlannedOrders[WeekIndex],44)=0,"",SUMIFS(T_PlannedOrders[EffectiveQty],T_PlannedOrders[Part Name],$A1155,T_PlannedOrders[WeekIndex],44)&amp;" ("&amp;TEXT(SUMPRODUCT(MAX((T_PlannedOrders[Part Name]=$A1155)*(T_PlannedOrders[WeekIndex]=44)*(T_PlannedOrders[EffectiveQty]&gt;0)*T_PlannedOrders[Order_Month])),"m月")&amp;"発注)")</f>
        <v/>
      </c>
      <c r="AV1161">
        <f>IF(SUMIFS(T_PlannedOrders[EffectiveQty],T_PlannedOrders[Part Name],$A1155,T_PlannedOrders[WeekIndex],45)=0,"",SUMIFS(T_PlannedOrders[EffectiveQty],T_PlannedOrders[Part Name],$A1155,T_PlannedOrders[WeekIndex],45)&amp;" ("&amp;TEXT(SUMPRODUCT(MAX((T_PlannedOrders[Part Name]=$A1155)*(T_PlannedOrders[WeekIndex]=45)*(T_PlannedOrders[EffectiveQty]&gt;0)*T_PlannedOrders[Order_Month])),"m月")&amp;"発注)")</f>
        <v/>
      </c>
      <c r="AW1161">
        <f>IF(SUMIFS(T_PlannedOrders[EffectiveQty],T_PlannedOrders[Part Name],$A1155,T_PlannedOrders[WeekIndex],46)=0,"",SUMIFS(T_PlannedOrders[EffectiveQty],T_PlannedOrders[Part Name],$A1155,T_PlannedOrders[WeekIndex],46)&amp;" ("&amp;TEXT(SUMPRODUCT(MAX((T_PlannedOrders[Part Name]=$A1155)*(T_PlannedOrders[WeekIndex]=46)*(T_PlannedOrders[EffectiveQty]&gt;0)*T_PlannedOrders[Order_Month])),"m月")&amp;"発注)")</f>
        <v/>
      </c>
      <c r="AX1161">
        <f>IF(SUMIFS(T_PlannedOrders[EffectiveQty],T_PlannedOrders[Part Name],$A1155,T_PlannedOrders[WeekIndex],47)=0,"",SUMIFS(T_PlannedOrders[EffectiveQty],T_PlannedOrders[Part Name],$A1155,T_PlannedOrders[WeekIndex],47)&amp;" ("&amp;TEXT(SUMPRODUCT(MAX((T_PlannedOrders[Part Name]=$A1155)*(T_PlannedOrders[WeekIndex]=47)*(T_PlannedOrders[EffectiveQty]&gt;0)*T_PlannedOrders[Order_Month])),"m月")&amp;"発注)")</f>
        <v/>
      </c>
      <c r="AY1161">
        <f>IF(SUMIFS(T_PlannedOrders[EffectiveQty],T_PlannedOrders[Part Name],$A1155,T_PlannedOrders[WeekIndex],48)=0,"",SUMIFS(T_PlannedOrders[EffectiveQty],T_PlannedOrders[Part Name],$A1155,T_PlannedOrders[WeekIndex],48)&amp;" ("&amp;TEXT(SUMPRODUCT(MAX((T_PlannedOrders[Part Name]=$A1155)*(T_PlannedOrders[WeekIndex]=48)*(T_PlannedOrders[EffectiveQty]&gt;0)*T_PlannedOrders[Order_Month])),"m月")&amp;"発注)")</f>
        <v/>
      </c>
      <c r="AZ1161">
        <f>IF(SUMIFS(T_PlannedOrders[EffectiveQty],T_PlannedOrders[Part Name],$A1155,T_PlannedOrders[WeekIndex],49)=0,"",SUMIFS(T_PlannedOrders[EffectiveQty],T_PlannedOrders[Part Name],$A1155,T_PlannedOrders[WeekIndex],49)&amp;" ("&amp;TEXT(SUMPRODUCT(MAX((T_PlannedOrders[Part Name]=$A1155)*(T_PlannedOrders[WeekIndex]=49)*(T_PlannedOrders[EffectiveQty]&gt;0)*T_PlannedOrders[Order_Month])),"m月")&amp;"発注)")</f>
        <v/>
      </c>
      <c r="BA1161">
        <f>IF(SUMIFS(T_PlannedOrders[EffectiveQty],T_PlannedOrders[Part Name],$A1155,T_PlannedOrders[WeekIndex],50)=0,"",SUMIFS(T_PlannedOrders[EffectiveQty],T_PlannedOrders[Part Name],$A1155,T_PlannedOrders[WeekIndex],50)&amp;" ("&amp;TEXT(SUMPRODUCT(MAX((T_PlannedOrders[Part Name]=$A1155)*(T_PlannedOrders[WeekIndex]=50)*(T_PlannedOrders[EffectiveQty]&gt;0)*T_PlannedOrders[Order_Month])),"m月")&amp;"発注)")</f>
        <v/>
      </c>
      <c r="BB1161">
        <f>IF(SUMIFS(T_PlannedOrders[EffectiveQty],T_PlannedOrders[Part Name],$A1155,T_PlannedOrders[WeekIndex],51)=0,"",SUMIFS(T_PlannedOrders[EffectiveQty],T_PlannedOrders[Part Name],$A1155,T_PlannedOrders[WeekIndex],51)&amp;" ("&amp;TEXT(SUMPRODUCT(MAX((T_PlannedOrders[Part Name]=$A1155)*(T_PlannedOrders[WeekIndex]=51)*(T_PlannedOrders[EffectiveQty]&gt;0)*T_PlannedOrders[Order_Month])),"m月")&amp;"発注)")</f>
        <v/>
      </c>
      <c r="BC1161">
        <f>IF(SUMIFS(T_PlannedOrders[EffectiveQty],T_PlannedOrders[Part Name],$A1155,T_PlannedOrders[WeekIndex],52)=0,"",SUMIFS(T_PlannedOrders[EffectiveQty],T_PlannedOrders[Part Name],$A1155,T_PlannedOrders[WeekIndex],52)&amp;" ("&amp;TEXT(SUMPRODUCT(MAX((T_PlannedOrders[Part Name]=$A1155)*(T_PlannedOrders[WeekIndex]=52)*(T_PlannedOrders[EffectiveQty]&gt;0)*T_PlannedOrders[Order_Month])),"m月")&amp;"発注)")</f>
        <v/>
      </c>
      <c r="BD1161">
        <f>IF(SUMIFS(T_PlannedOrders[EffectiveQty],T_PlannedOrders[Part Name],$A1155,T_PlannedOrders[WeekIndex],53)=0,"",SUMIFS(T_PlannedOrders[EffectiveQty],T_PlannedOrders[Part Name],$A1155,T_PlannedOrders[WeekIndex],53)&amp;" ("&amp;TEXT(SUMPRODUCT(MAX((T_PlannedOrders[Part Name]=$A1155)*(T_PlannedOrders[WeekIndex]=53)*(T_PlannedOrders[EffectiveQty]&gt;0)*T_PlannedOrders[Order_Month])),"m月")&amp;"発注)")</f>
        <v/>
      </c>
      <c r="BE1161">
        <f>IF(SUMIFS(T_PlannedOrders[EffectiveQty],T_PlannedOrders[Part Name],$A1155,T_PlannedOrders[WeekIndex],54)=0,"",SUMIFS(T_PlannedOrders[EffectiveQty],T_PlannedOrders[Part Name],$A1155,T_PlannedOrders[WeekIndex],54)&amp;" ("&amp;TEXT(SUMPRODUCT(MAX((T_PlannedOrders[Part Name]=$A1155)*(T_PlannedOrders[WeekIndex]=54)*(T_PlannedOrders[EffectiveQty]&gt;0)*T_PlannedOrders[Order_Month])),"m月")&amp;"発注)")</f>
        <v/>
      </c>
      <c r="BF1161">
        <f>IF(SUMIFS(T_PlannedOrders[EffectiveQty],T_PlannedOrders[Part Name],$A1155,T_PlannedOrders[WeekIndex],55)=0,"",SUMIFS(T_PlannedOrders[EffectiveQty],T_PlannedOrders[Part Name],$A1155,T_PlannedOrders[WeekIndex],55)&amp;" ("&amp;TEXT(SUMPRODUCT(MAX((T_PlannedOrders[Part Name]=$A1155)*(T_PlannedOrders[WeekIndex]=55)*(T_PlannedOrders[EffectiveQty]&gt;0)*T_PlannedOrders[Order_Month])),"m月")&amp;"発注)")</f>
        <v/>
      </c>
      <c r="BG1161">
        <f>IF(SUMIFS(T_PlannedOrders[EffectiveQty],T_PlannedOrders[Part Name],$A1155,T_PlannedOrders[WeekIndex],56)=0,"",SUMIFS(T_PlannedOrders[EffectiveQty],T_PlannedOrders[Part Name],$A1155,T_PlannedOrders[WeekIndex],56)&amp;" ("&amp;TEXT(SUMPRODUCT(MAX((T_PlannedOrders[Part Name]=$A1155)*(T_PlannedOrders[WeekIndex]=56)*(T_PlannedOrders[EffectiveQty]&gt;0)*T_PlannedOrders[Order_Month])),"m月")&amp;"発注)")</f>
        <v/>
      </c>
      <c r="BH1161">
        <f>IF(SUMIFS(T_PlannedOrders[EffectiveQty],T_PlannedOrders[Part Name],$A1155,T_PlannedOrders[WeekIndex],57)=0,"",SUMIFS(T_PlannedOrders[EffectiveQty],T_PlannedOrders[Part Name],$A1155,T_PlannedOrders[WeekIndex],57)&amp;" ("&amp;TEXT(SUMPRODUCT(MAX((T_PlannedOrders[Part Name]=$A1155)*(T_PlannedOrders[WeekIndex]=57)*(T_PlannedOrders[EffectiveQty]&gt;0)*T_PlannedOrders[Order_Month])),"m月")&amp;"発注)")</f>
        <v/>
      </c>
      <c r="BI1161">
        <f>IF(SUMIFS(T_PlannedOrders[EffectiveQty],T_PlannedOrders[Part Name],$A1155,T_PlannedOrders[WeekIndex],58)=0,"",SUMIFS(T_PlannedOrders[EffectiveQty],T_PlannedOrders[Part Name],$A1155,T_PlannedOrders[WeekIndex],58)&amp;" ("&amp;TEXT(SUMPRODUCT(MAX((T_PlannedOrders[Part Name]=$A1155)*(T_PlannedOrders[WeekIndex]=58)*(T_PlannedOrders[EffectiveQty]&gt;0)*T_PlannedOrders[Order_Month])),"m月")&amp;"発注)")</f>
        <v/>
      </c>
      <c r="BJ1161">
        <f>IF(SUMIFS(T_PlannedOrders[EffectiveQty],T_PlannedOrders[Part Name],$A1155,T_PlannedOrders[WeekIndex],59)=0,"",SUMIFS(T_PlannedOrders[EffectiveQty],T_PlannedOrders[Part Name],$A1155,T_PlannedOrders[WeekIndex],59)&amp;" ("&amp;TEXT(SUMPRODUCT(MAX((T_PlannedOrders[Part Name]=$A1155)*(T_PlannedOrders[WeekIndex]=59)*(T_PlannedOrders[EffectiveQty]&gt;0)*T_PlannedOrders[Order_Month])),"m月")&amp;"発注)")</f>
        <v/>
      </c>
      <c r="BK1161">
        <f>IF(SUMIFS(T_PlannedOrders[EffectiveQty],T_PlannedOrders[Part Name],$A1155,T_PlannedOrders[WeekIndex],60)=0,"",SUMIFS(T_PlannedOrders[EffectiveQty],T_PlannedOrders[Part Name],$A1155,T_PlannedOrders[WeekIndex],60)&amp;" ("&amp;TEXT(SUMPRODUCT(MAX((T_PlannedOrders[Part Name]=$A1155)*(T_PlannedOrders[WeekIndex]=60)*(T_PlannedOrders[EffectiveQty]&gt;0)*T_PlannedOrders[Order_Month])),"m月")&amp;"発注)")</f>
        <v/>
      </c>
      <c r="BL1161">
        <f>IF(SUMIFS(T_PlannedOrders[EffectiveQty],T_PlannedOrders[Part Name],$A1155,T_PlannedOrders[WeekIndex],61)=0,"",SUMIFS(T_PlannedOrders[EffectiveQty],T_PlannedOrders[Part Name],$A1155,T_PlannedOrders[WeekIndex],61)&amp;" ("&amp;TEXT(SUMPRODUCT(MAX((T_PlannedOrders[Part Name]=$A1155)*(T_PlannedOrders[WeekIndex]=61)*(T_PlannedOrders[EffectiveQty]&gt;0)*T_PlannedOrders[Order_Month])),"m月")&amp;"発注)")</f>
        <v/>
      </c>
      <c r="BM1161">
        <f>IF(SUMIFS(T_PlannedOrders[EffectiveQty],T_PlannedOrders[Part Name],$A1155,T_PlannedOrders[WeekIndex],62)=0,"",SUMIFS(T_PlannedOrders[EffectiveQty],T_PlannedOrders[Part Name],$A1155,T_PlannedOrders[WeekIndex],62)&amp;" ("&amp;TEXT(SUMPRODUCT(MAX((T_PlannedOrders[Part Name]=$A1155)*(T_PlannedOrders[WeekIndex]=62)*(T_PlannedOrders[EffectiveQty]&gt;0)*T_PlannedOrders[Order_Month])),"m月")&amp;"発注)")</f>
        <v/>
      </c>
      <c r="BN1161">
        <f>IF(SUMIFS(T_PlannedOrders[EffectiveQty],T_PlannedOrders[Part Name],$A1155,T_PlannedOrders[WeekIndex],63)=0,"",SUMIFS(T_PlannedOrders[EffectiveQty],T_PlannedOrders[Part Name],$A1155,T_PlannedOrders[WeekIndex],63)&amp;" ("&amp;TEXT(SUMPRODUCT(MAX((T_PlannedOrders[Part Name]=$A1155)*(T_PlannedOrders[WeekIndex]=63)*(T_PlannedOrders[EffectiveQty]&gt;0)*T_PlannedOrders[Order_Month])),"m月")&amp;"発注)")</f>
        <v/>
      </c>
      <c r="BO1161">
        <f>IF(SUMIFS(T_PlannedOrders[EffectiveQty],T_PlannedOrders[Part Name],$A1155,T_PlannedOrders[WeekIndex],64)=0,"",SUMIFS(T_PlannedOrders[EffectiveQty],T_PlannedOrders[Part Name],$A1155,T_PlannedOrders[WeekIndex],64)&amp;" ("&amp;TEXT(SUMPRODUCT(MAX((T_PlannedOrders[Part Name]=$A1155)*(T_PlannedOrders[WeekIndex]=64)*(T_PlannedOrders[EffectiveQty]&gt;0)*T_PlannedOrders[Order_Month])),"m月")&amp;"発注)")</f>
        <v/>
      </c>
      <c r="BP1161">
        <f>IF(SUMIFS(T_PlannedOrders[EffectiveQty],T_PlannedOrders[Part Name],$A1155,T_PlannedOrders[WeekIndex],65)=0,"",SUMIFS(T_PlannedOrders[EffectiveQty],T_PlannedOrders[Part Name],$A1155,T_PlannedOrders[WeekIndex],65)&amp;" ("&amp;TEXT(SUMPRODUCT(MAX((T_PlannedOrders[Part Name]=$A1155)*(T_PlannedOrders[WeekIndex]=65)*(T_PlannedOrders[EffectiveQty]&gt;0)*T_PlannedOrders[Order_Month])),"m月")&amp;"発注)")</f>
        <v/>
      </c>
      <c r="BQ1161">
        <f>IF(SUMIFS(T_PlannedOrders[EffectiveQty],T_PlannedOrders[Part Name],$A1155,T_PlannedOrders[WeekIndex],66)=0,"",SUMIFS(T_PlannedOrders[EffectiveQty],T_PlannedOrders[Part Name],$A1155,T_PlannedOrders[WeekIndex],66)&amp;" ("&amp;TEXT(SUMPRODUCT(MAX((T_PlannedOrders[Part Name]=$A1155)*(T_PlannedOrders[WeekIndex]=66)*(T_PlannedOrders[EffectiveQty]&gt;0)*T_PlannedOrders[Order_Month])),"m月")&amp;"発注)")</f>
        <v/>
      </c>
      <c r="BR1161">
        <f>IF(SUMIFS(T_PlannedOrders[EffectiveQty],T_PlannedOrders[Part Name],$A1155,T_PlannedOrders[WeekIndex],67)=0,"",SUMIFS(T_PlannedOrders[EffectiveQty],T_PlannedOrders[Part Name],$A1155,T_PlannedOrders[WeekIndex],67)&amp;" ("&amp;TEXT(SUMPRODUCT(MAX((T_PlannedOrders[Part Name]=$A1155)*(T_PlannedOrders[WeekIndex]=67)*(T_PlannedOrders[EffectiveQty]&gt;0)*T_PlannedOrders[Order_Month])),"m月")&amp;"発注)")</f>
        <v/>
      </c>
      <c r="BS1161">
        <f>IF(SUMIFS(T_PlannedOrders[EffectiveQty],T_PlannedOrders[Part Name],$A1155,T_PlannedOrders[WeekIndex],68)=0,"",SUMIFS(T_PlannedOrders[EffectiveQty],T_PlannedOrders[Part Name],$A1155,T_PlannedOrders[WeekIndex],68)&amp;" ("&amp;TEXT(SUMPRODUCT(MAX((T_PlannedOrders[Part Name]=$A1155)*(T_PlannedOrders[WeekIndex]=68)*(T_PlannedOrders[EffectiveQty]&gt;0)*T_PlannedOrders[Order_Month])),"m月")&amp;"発注)")</f>
        <v/>
      </c>
      <c r="BT1161">
        <f>IF(SUMIFS(T_PlannedOrders[EffectiveQty],T_PlannedOrders[Part Name],$A1155,T_PlannedOrders[WeekIndex],69)=0,"",SUMIFS(T_PlannedOrders[EffectiveQty],T_PlannedOrders[Part Name],$A1155,T_PlannedOrders[WeekIndex],69)&amp;" ("&amp;TEXT(SUMPRODUCT(MAX((T_PlannedOrders[Part Name]=$A1155)*(T_PlannedOrders[WeekIndex]=69)*(T_PlannedOrders[EffectiveQty]&gt;0)*T_PlannedOrders[Order_Month])),"m月")&amp;"発注)")</f>
        <v/>
      </c>
      <c r="BU1161">
        <f>IF(SUMIFS(T_PlannedOrders[EffectiveQty],T_PlannedOrders[Part Name],$A1155,T_PlannedOrders[WeekIndex],70)=0,"",SUMIFS(T_PlannedOrders[EffectiveQty],T_PlannedOrders[Part Name],$A1155,T_PlannedOrders[WeekIndex],70)&amp;" ("&amp;TEXT(SUMPRODUCT(MAX((T_PlannedOrders[Part Name]=$A1155)*(T_PlannedOrders[WeekIndex]=70)*(T_PlannedOrders[EffectiveQty]&gt;0)*T_PlannedOrders[Order_Month])),"m月")&amp;"発注)")</f>
        <v/>
      </c>
      <c r="BV1161">
        <f>IF(SUMIFS(T_PlannedOrders[EffectiveQty],T_PlannedOrders[Part Name],$A1155,T_PlannedOrders[WeekIndex],71)=0,"",SUMIFS(T_PlannedOrders[EffectiveQty],T_PlannedOrders[Part Name],$A1155,T_PlannedOrders[WeekIndex],71)&amp;" ("&amp;TEXT(SUMPRODUCT(MAX((T_PlannedOrders[Part Name]=$A1155)*(T_PlannedOrders[WeekIndex]=71)*(T_PlannedOrders[EffectiveQty]&gt;0)*T_PlannedOrders[Order_Month])),"m月")&amp;"発注)")</f>
        <v/>
      </c>
      <c r="BW1161">
        <f>IF(SUMIFS(T_PlannedOrders[EffectiveQty],T_PlannedOrders[Part Name],$A1155,T_PlannedOrders[WeekIndex],72)=0,"",SUMIFS(T_PlannedOrders[EffectiveQty],T_PlannedOrders[Part Name],$A1155,T_PlannedOrders[WeekIndex],72)&amp;" ("&amp;TEXT(SUMPRODUCT(MAX((T_PlannedOrders[Part Name]=$A1155)*(T_PlannedOrders[WeekIndex]=72)*(T_PlannedOrders[EffectiveQty]&gt;0)*T_PlannedOrders[Order_Month])),"m月")&amp;"発注)")</f>
        <v/>
      </c>
      <c r="BX1161">
        <f>IF(SUMIFS(T_PlannedOrders[EffectiveQty],T_PlannedOrders[Part Name],$A1155,T_PlannedOrders[WeekIndex],73)=0,"",SUMIFS(T_PlannedOrders[EffectiveQty],T_PlannedOrders[Part Name],$A1155,T_PlannedOrders[WeekIndex],73)&amp;" ("&amp;TEXT(SUMPRODUCT(MAX((T_PlannedOrders[Part Name]=$A1155)*(T_PlannedOrders[WeekIndex]=73)*(T_PlannedOrders[EffectiveQty]&gt;0)*T_PlannedOrders[Order_Month])),"m月")&amp;"発注)")</f>
        <v/>
      </c>
      <c r="BY1161">
        <f>IF(SUMIFS(T_PlannedOrders[EffectiveQty],T_PlannedOrders[Part Name],$A1155,T_PlannedOrders[WeekIndex],74)=0,"",SUMIFS(T_PlannedOrders[EffectiveQty],T_PlannedOrders[Part Name],$A1155,T_PlannedOrders[WeekIndex],74)&amp;" ("&amp;TEXT(SUMPRODUCT(MAX((T_PlannedOrders[Part Name]=$A1155)*(T_PlannedOrders[WeekIndex]=74)*(T_PlannedOrders[EffectiveQty]&gt;0)*T_PlannedOrders[Order_Month])),"m月")&amp;"発注)")</f>
        <v/>
      </c>
      <c r="BZ1161">
        <f>IF(SUMIFS(T_PlannedOrders[EffectiveQty],T_PlannedOrders[Part Name],$A1155,T_PlannedOrders[WeekIndex],75)=0,"",SUMIFS(T_PlannedOrders[EffectiveQty],T_PlannedOrders[Part Name],$A1155,T_PlannedOrders[WeekIndex],75)&amp;" ("&amp;TEXT(SUMPRODUCT(MAX((T_PlannedOrders[Part Name]=$A1155)*(T_PlannedOrders[WeekIndex]=75)*(T_PlannedOrders[EffectiveQty]&gt;0)*T_PlannedOrders[Order_Month])),"m月")&amp;"発注)")</f>
        <v/>
      </c>
      <c r="CA1161">
        <f>IF(SUMIFS(T_PlannedOrders[EffectiveQty],T_PlannedOrders[Part Name],$A1155,T_PlannedOrders[WeekIndex],76)=0,"",SUMIFS(T_PlannedOrders[EffectiveQty],T_PlannedOrders[Part Name],$A1155,T_PlannedOrders[WeekIndex],76)&amp;" ("&amp;TEXT(SUMPRODUCT(MAX((T_PlannedOrders[Part Name]=$A1155)*(T_PlannedOrders[WeekIndex]=76)*(T_PlannedOrders[EffectiveQty]&gt;0)*T_PlannedOrders[Order_Month])),"m月")&amp;"発注)")</f>
        <v/>
      </c>
      <c r="CB1161">
        <f>IF(SUMIFS(T_PlannedOrders[EffectiveQty],T_PlannedOrders[Part Name],$A1155,T_PlannedOrders[WeekIndex],77)=0,"",SUMIFS(T_PlannedOrders[EffectiveQty],T_PlannedOrders[Part Name],$A1155,T_PlannedOrders[WeekIndex],77)&amp;" ("&amp;TEXT(SUMPRODUCT(MAX((T_PlannedOrders[Part Name]=$A1155)*(T_PlannedOrders[WeekIndex]=77)*(T_PlannedOrders[EffectiveQty]&gt;0)*T_PlannedOrders[Order_Month])),"m月")&amp;"発注)")</f>
        <v/>
      </c>
      <c r="CC1161">
        <f>IF(SUMIFS(T_PlannedOrders[EffectiveQty],T_PlannedOrders[Part Name],$A1155,T_PlannedOrders[WeekIndex],78)=0,"",SUMIFS(T_PlannedOrders[EffectiveQty],T_PlannedOrders[Part Name],$A1155,T_PlannedOrders[WeekIndex],78)&amp;" ("&amp;TEXT(SUMPRODUCT(MAX((T_PlannedOrders[Part Name]=$A1155)*(T_PlannedOrders[WeekIndex]=78)*(T_PlannedOrders[EffectiveQty]&gt;0)*T_PlannedOrders[Order_Month])),"m月")&amp;"発注)")</f>
        <v/>
      </c>
      <c r="CD1161">
        <f>IF(SUMIFS(T_PlannedOrders[EffectiveQty],T_PlannedOrders[Part Name],$A1155,T_PlannedOrders[WeekIndex],79)=0,"",SUMIFS(T_PlannedOrders[EffectiveQty],T_PlannedOrders[Part Name],$A1155,T_PlannedOrders[WeekIndex],79)&amp;" ("&amp;TEXT(SUMPRODUCT(MAX((T_PlannedOrders[Part Name]=$A1155)*(T_PlannedOrders[WeekIndex]=79)*(T_PlannedOrders[EffectiveQty]&gt;0)*T_PlannedOrders[Order_Month])),"m月")&amp;"発注)")</f>
        <v/>
      </c>
      <c r="CE1161">
        <f>IF(SUMIFS(T_PlannedOrders[EffectiveQty],T_PlannedOrders[Part Name],$A1155,T_PlannedOrders[WeekIndex],80)=0,"",SUMIFS(T_PlannedOrders[EffectiveQty],T_PlannedOrders[Part Name],$A1155,T_PlannedOrders[WeekIndex],80)&amp;" ("&amp;TEXT(SUMPRODUCT(MAX((T_PlannedOrders[Part Name]=$A1155)*(T_PlannedOrders[WeekIndex]=80)*(T_PlannedOrders[EffectiveQty]&gt;0)*T_PlannedOrders[Order_Month])),"m月")&amp;"発注)")</f>
        <v/>
      </c>
      <c r="CF1161">
        <f>IF(SUMIFS(T_PlannedOrders[EffectiveQty],T_PlannedOrders[Part Name],$A1155,T_PlannedOrders[WeekIndex],81)=0,"",SUMIFS(T_PlannedOrders[EffectiveQty],T_PlannedOrders[Part Name],$A1155,T_PlannedOrders[WeekIndex],81)&amp;" ("&amp;TEXT(SUMPRODUCT(MAX((T_PlannedOrders[Part Name]=$A1155)*(T_PlannedOrders[WeekIndex]=81)*(T_PlannedOrders[EffectiveQty]&gt;0)*T_PlannedOrders[Order_Month])),"m月")&amp;"発注)")</f>
        <v/>
      </c>
      <c r="CG1161">
        <f>IF(SUMIFS(T_PlannedOrders[EffectiveQty],T_PlannedOrders[Part Name],$A1155,T_PlannedOrders[WeekIndex],82)=0,"",SUMIFS(T_PlannedOrders[EffectiveQty],T_PlannedOrders[Part Name],$A1155,T_PlannedOrders[WeekIndex],82)&amp;" ("&amp;TEXT(SUMPRODUCT(MAX((T_PlannedOrders[Part Name]=$A1155)*(T_PlannedOrders[WeekIndex]=82)*(T_PlannedOrders[EffectiveQty]&gt;0)*T_PlannedOrders[Order_Month])),"m月")&amp;"発注)")</f>
        <v/>
      </c>
      <c r="CH1161">
        <f>IF(SUMIFS(T_PlannedOrders[EffectiveQty],T_PlannedOrders[Part Name],$A1155,T_PlannedOrders[WeekIndex],83)=0,"",SUMIFS(T_PlannedOrders[EffectiveQty],T_PlannedOrders[Part Name],$A1155,T_PlannedOrders[WeekIndex],83)&amp;" ("&amp;TEXT(SUMPRODUCT(MAX((T_PlannedOrders[Part Name]=$A1155)*(T_PlannedOrders[WeekIndex]=83)*(T_PlannedOrders[EffectiveQty]&gt;0)*T_PlannedOrders[Order_Month])),"m月")&amp;"発注)")</f>
        <v/>
      </c>
      <c r="CI1161">
        <f>IF(SUMIFS(T_PlannedOrders[EffectiveQty],T_PlannedOrders[Part Name],$A1155,T_PlannedOrders[WeekIndex],84)=0,"",SUMIFS(T_PlannedOrders[EffectiveQty],T_PlannedOrders[Part Name],$A1155,T_PlannedOrders[WeekIndex],84)&amp;" ("&amp;TEXT(SUMPRODUCT(MAX((T_PlannedOrders[Part Name]=$A1155)*(T_PlannedOrders[WeekIndex]=84)*(T_PlannedOrders[EffectiveQty]&gt;0)*T_PlannedOrders[Order_Month])),"m月")&amp;"発注)")</f>
        <v/>
      </c>
      <c r="CJ1161">
        <f>IF(SUMIFS(T_PlannedOrders[EffectiveQty],T_PlannedOrders[Part Name],$A1155,T_PlannedOrders[WeekIndex],85)=0,"",SUMIFS(T_PlannedOrders[EffectiveQty],T_PlannedOrders[Part Name],$A1155,T_PlannedOrders[WeekIndex],85)&amp;" ("&amp;TEXT(SUMPRODUCT(MAX((T_PlannedOrders[Part Name]=$A1155)*(T_PlannedOrders[WeekIndex]=85)*(T_PlannedOrders[EffectiveQty]&gt;0)*T_PlannedOrders[Order_Month])),"m月")&amp;"発注)")</f>
        <v/>
      </c>
      <c r="CK1161">
        <f>IF(SUMIFS(T_PlannedOrders[EffectiveQty],T_PlannedOrders[Part Name],$A1155,T_PlannedOrders[WeekIndex],86)=0,"",SUMIFS(T_PlannedOrders[EffectiveQty],T_PlannedOrders[Part Name],$A1155,T_PlannedOrders[WeekIndex],86)&amp;" ("&amp;TEXT(SUMPRODUCT(MAX((T_PlannedOrders[Part Name]=$A1155)*(T_PlannedOrders[WeekIndex]=86)*(T_PlannedOrders[EffectiveQty]&gt;0)*T_PlannedOrders[Order_Month])),"m月")&amp;"発注)")</f>
        <v/>
      </c>
      <c r="CL1161">
        <f>IF(SUMIFS(T_PlannedOrders[EffectiveQty],T_PlannedOrders[Part Name],$A1155,T_PlannedOrders[WeekIndex],87)=0,"",SUMIFS(T_PlannedOrders[EffectiveQty],T_PlannedOrders[Part Name],$A1155,T_PlannedOrders[WeekIndex],87)&amp;" ("&amp;TEXT(SUMPRODUCT(MAX((T_PlannedOrders[Part Name]=$A1155)*(T_PlannedOrders[WeekIndex]=87)*(T_PlannedOrders[EffectiveQty]&gt;0)*T_PlannedOrders[Order_Month])),"m月")&amp;"発注)")</f>
        <v/>
      </c>
      <c r="CM1161">
        <f>IF(SUMIFS(T_PlannedOrders[EffectiveQty],T_PlannedOrders[Part Name],$A1155,T_PlannedOrders[WeekIndex],88)=0,"",SUMIFS(T_PlannedOrders[EffectiveQty],T_PlannedOrders[Part Name],$A1155,T_PlannedOrders[WeekIndex],88)&amp;" ("&amp;TEXT(SUMPRODUCT(MAX((T_PlannedOrders[Part Name]=$A1155)*(T_PlannedOrders[WeekIndex]=88)*(T_PlannedOrders[EffectiveQty]&gt;0)*T_PlannedOrders[Order_Month])),"m月")&amp;"発注)")</f>
        <v/>
      </c>
      <c r="CN1161">
        <f>IF(SUMIFS(T_PlannedOrders[EffectiveQty],T_PlannedOrders[Part Name],$A1155,T_PlannedOrders[WeekIndex],89)=0,"",SUMIFS(T_PlannedOrders[EffectiveQty],T_PlannedOrders[Part Name],$A1155,T_PlannedOrders[WeekIndex],89)&amp;" ("&amp;TEXT(SUMPRODUCT(MAX((T_PlannedOrders[Part Name]=$A1155)*(T_PlannedOrders[WeekIndex]=89)*(T_PlannedOrders[EffectiveQty]&gt;0)*T_PlannedOrders[Order_Month])),"m月")&amp;"発注)")</f>
        <v/>
      </c>
      <c r="CO1161">
        <f>IF(SUMIFS(T_PlannedOrders[EffectiveQty],T_PlannedOrders[Part Name],$A1155,T_PlannedOrders[WeekIndex],90)=0,"",SUMIFS(T_PlannedOrders[EffectiveQty],T_PlannedOrders[Part Name],$A1155,T_PlannedOrders[WeekIndex],90)&amp;" ("&amp;TEXT(SUMPRODUCT(MAX((T_PlannedOrders[Part Name]=$A1155)*(T_PlannedOrders[WeekIndex]=90)*(T_PlannedOrders[EffectiveQty]&gt;0)*T_PlannedOrders[Order_Month])),"m月")&amp;"発注)")</f>
        <v/>
      </c>
      <c r="CP1161">
        <f>IF(SUMIFS(T_PlannedOrders[EffectiveQty],T_PlannedOrders[Part Name],$A1155,T_PlannedOrders[WeekIndex],91)=0,"",SUMIFS(T_PlannedOrders[EffectiveQty],T_PlannedOrders[Part Name],$A1155,T_PlannedOrders[WeekIndex],91)&amp;" ("&amp;TEXT(SUMPRODUCT(MAX((T_PlannedOrders[Part Name]=$A1155)*(T_PlannedOrders[WeekIndex]=91)*(T_PlannedOrders[EffectiveQty]&gt;0)*T_PlannedOrders[Order_Month])),"m月")&amp;"発注)")</f>
        <v/>
      </c>
      <c r="CQ1161">
        <f>IF(SUMIFS(T_PlannedOrders[EffectiveQty],T_PlannedOrders[Part Name],$A1155,T_PlannedOrders[WeekIndex],92)=0,"",SUMIFS(T_PlannedOrders[EffectiveQty],T_PlannedOrders[Part Name],$A1155,T_PlannedOrders[WeekIndex],92)&amp;" ("&amp;TEXT(SUMPRODUCT(MAX((T_PlannedOrders[Part Name]=$A1155)*(T_PlannedOrders[WeekIndex]=92)*(T_PlannedOrders[EffectiveQty]&gt;0)*T_PlannedOrders[Order_Month])),"m月")&amp;"発注)")</f>
        <v/>
      </c>
      <c r="CR1161">
        <f>IF(SUMIFS(T_PlannedOrders[EffectiveQty],T_PlannedOrders[Part Name],$A1155,T_PlannedOrders[WeekIndex],93)=0,"",SUMIFS(T_PlannedOrders[EffectiveQty],T_PlannedOrders[Part Name],$A1155,T_PlannedOrders[WeekIndex],93)&amp;" ("&amp;TEXT(SUMPRODUCT(MAX((T_PlannedOrders[Part Name]=$A1155)*(T_PlannedOrders[WeekIndex]=93)*(T_PlannedOrders[EffectiveQty]&gt;0)*T_PlannedOrders[Order_Month])),"m月")&amp;"発注)")</f>
        <v/>
      </c>
      <c r="CS1161">
        <f>IF(SUMIFS(T_PlannedOrders[EffectiveQty],T_PlannedOrders[Part Name],$A1155,T_PlannedOrders[WeekIndex],94)=0,"",SUMIFS(T_PlannedOrders[EffectiveQty],T_PlannedOrders[Part Name],$A1155,T_PlannedOrders[WeekIndex],94)&amp;" ("&amp;TEXT(SUMPRODUCT(MAX((T_PlannedOrders[Part Name]=$A1155)*(T_PlannedOrders[WeekIndex]=94)*(T_PlannedOrders[EffectiveQty]&gt;0)*T_PlannedOrders[Order_Month])),"m月")&amp;"発注)")</f>
        <v/>
      </c>
      <c r="CT1161">
        <f>IF(SUMIFS(T_PlannedOrders[EffectiveQty],T_PlannedOrders[Part Name],$A1155,T_PlannedOrders[WeekIndex],95)=0,"",SUMIFS(T_PlannedOrders[EffectiveQty],T_PlannedOrders[Part Name],$A1155,T_PlannedOrders[WeekIndex],95)&amp;" ("&amp;TEXT(SUMPRODUCT(MAX((T_PlannedOrders[Part Name]=$A1155)*(T_PlannedOrders[WeekIndex]=95)*(T_PlannedOrders[EffectiveQty]&gt;0)*T_PlannedOrders[Order_Month])),"m月")&amp;"発注)")</f>
        <v/>
      </c>
      <c r="CU1161">
        <f>IF(SUMIFS(T_PlannedOrders[EffectiveQty],T_PlannedOrders[Part Name],$A1155,T_PlannedOrders[WeekIndex],96)=0,"",SUMIFS(T_PlannedOrders[EffectiveQty],T_PlannedOrders[Part Name],$A1155,T_PlannedOrders[WeekIndex],96)&amp;" ("&amp;TEXT(SUMPRODUCT(MAX((T_PlannedOrders[Part Name]=$A1155)*(T_PlannedOrders[WeekIndex]=96)*(T_PlannedOrders[EffectiveQty]&gt;0)*T_PlannedOrders[Order_Month])),"m月")&amp;"発注)")</f>
        <v/>
      </c>
      <c r="CV1161">
        <f>IF(SUMIFS(T_PlannedOrders[EffectiveQty],T_PlannedOrders[Part Name],$A1155,T_PlannedOrders[WeekIndex],97)=0,"",SUMIFS(T_PlannedOrders[EffectiveQty],T_PlannedOrders[Part Name],$A1155,T_PlannedOrders[WeekIndex],97)&amp;" ("&amp;TEXT(SUMPRODUCT(MAX((T_PlannedOrders[Part Name]=$A1155)*(T_PlannedOrders[WeekIndex]=97)*(T_PlannedOrders[EffectiveQty]&gt;0)*T_PlannedOrders[Order_Month])),"m月")&amp;"発注)")</f>
        <v/>
      </c>
      <c r="CW1161">
        <f>IF(SUMIFS(T_PlannedOrders[EffectiveQty],T_PlannedOrders[Part Name],$A1155,T_PlannedOrders[WeekIndex],98)=0,"",SUMIFS(T_PlannedOrders[EffectiveQty],T_PlannedOrders[Part Name],$A1155,T_PlannedOrders[WeekIndex],98)&amp;" ("&amp;TEXT(SUMPRODUCT(MAX((T_PlannedOrders[Part Name]=$A1155)*(T_PlannedOrders[WeekIndex]=98)*(T_PlannedOrders[EffectiveQty]&gt;0)*T_PlannedOrders[Order_Month])),"m月")&amp;"発注)")</f>
        <v/>
      </c>
      <c r="CX1161">
        <f>IF(SUMIFS(T_PlannedOrders[EffectiveQty],T_PlannedOrders[Part Name],$A1155,T_PlannedOrders[WeekIndex],99)=0,"",SUMIFS(T_PlannedOrders[EffectiveQty],T_PlannedOrders[Part Name],$A1155,T_PlannedOrders[WeekIndex],99)&amp;" ("&amp;TEXT(SUMPRODUCT(MAX((T_PlannedOrders[Part Name]=$A1155)*(T_PlannedOrders[WeekIndex]=99)*(T_PlannedOrders[EffectiveQty]&gt;0)*T_PlannedOrders[Order_Month])),"m月")&amp;"発注)")</f>
        <v/>
      </c>
      <c r="CY1161">
        <f>IF(SUMIFS(T_PlannedOrders[EffectiveQty],T_PlannedOrders[Part Name],$A1155,T_PlannedOrders[WeekIndex],100)=0,"",SUMIFS(T_PlannedOrders[EffectiveQty],T_PlannedOrders[Part Name],$A1155,T_PlannedOrders[WeekIndex],100)&amp;" ("&amp;TEXT(SUMPRODUCT(MAX((T_PlannedOrders[Part Name]=$A1155)*(T_PlannedOrders[WeekIndex]=100)*(T_PlannedOrders[EffectiveQty]&gt;0)*T_PlannedOrders[Order_Month])),"m月")&amp;"発注)")</f>
        <v/>
      </c>
      <c r="CZ1161">
        <f>IF(SUMIFS(T_PlannedOrders[EffectiveQty],T_PlannedOrders[Part Name],$A1155,T_PlannedOrders[WeekIndex],101)=0,"",SUMIFS(T_PlannedOrders[EffectiveQty],T_PlannedOrders[Part Name],$A1155,T_PlannedOrders[WeekIndex],101)&amp;" ("&amp;TEXT(SUMPRODUCT(MAX((T_PlannedOrders[Part Name]=$A1155)*(T_PlannedOrders[WeekIndex]=101)*(T_PlannedOrders[EffectiveQty]&gt;0)*T_PlannedOrders[Order_Month])),"m月")&amp;"発注)")</f>
        <v/>
      </c>
      <c r="DA1161">
        <f>IF(SUMIFS(T_PlannedOrders[EffectiveQty],T_PlannedOrders[Part Name],$A1155,T_PlannedOrders[WeekIndex],102)=0,"",SUMIFS(T_PlannedOrders[EffectiveQty],T_PlannedOrders[Part Name],$A1155,T_PlannedOrders[WeekIndex],102)&amp;" ("&amp;TEXT(SUMPRODUCT(MAX((T_PlannedOrders[Part Name]=$A1155)*(T_PlannedOrders[WeekIndex]=102)*(T_PlannedOrders[EffectiveQty]&gt;0)*T_PlannedOrders[Order_Month])),"m月")&amp;"発注)")</f>
        <v/>
      </c>
      <c r="DB1161">
        <f>IF(SUMIFS(T_PlannedOrders[EffectiveQty],T_PlannedOrders[Part Name],$A1155,T_PlannedOrders[WeekIndex],103)=0,"",SUMIFS(T_PlannedOrders[EffectiveQty],T_PlannedOrders[Part Name],$A1155,T_PlannedOrders[WeekIndex],103)&amp;" ("&amp;TEXT(SUMPRODUCT(MAX((T_PlannedOrders[Part Name]=$A1155)*(T_PlannedOrders[WeekIndex]=103)*(T_PlannedOrders[EffectiveQty]&gt;0)*T_PlannedOrders[Order_Month])),"m月")&amp;"発注)")</f>
        <v/>
      </c>
      <c r="DC1161">
        <f>IF(SUMIFS(T_PlannedOrders[EffectiveQty],T_PlannedOrders[Part Name],$A1155,T_PlannedOrders[WeekIndex],104)=0,"",SUMIFS(T_PlannedOrders[EffectiveQty],T_PlannedOrders[Part Name],$A1155,T_PlannedOrders[WeekIndex],104)&amp;" ("&amp;TEXT(SUMPRODUCT(MAX((T_PlannedOrders[Part Name]=$A1155)*(T_PlannedOrders[WeekIndex]=104)*(T_PlannedOrders[EffectiveQty]&gt;0)*T_PlannedOrders[Order_Month])),"m月")&amp;"発注)")</f>
        <v/>
      </c>
    </row>
    <row r="1162">
      <c r="B1162" s="5" t="inlineStr">
        <is>
          <t>合計在庫(週末時点,kg)</t>
        </is>
      </c>
      <c r="D1162">
        <f>'Grid_Stock'!B51</f>
        <v/>
      </c>
      <c r="E1162">
        <f>'Grid_Stock'!C51</f>
        <v/>
      </c>
      <c r="F1162">
        <f>'Grid_Stock'!D51</f>
        <v/>
      </c>
      <c r="G1162">
        <f>'Grid_Stock'!E51</f>
        <v/>
      </c>
      <c r="H1162">
        <f>'Grid_Stock'!F51</f>
        <v/>
      </c>
      <c r="I1162">
        <f>'Grid_Stock'!G51</f>
        <v/>
      </c>
      <c r="J1162">
        <f>'Grid_Stock'!H51</f>
        <v/>
      </c>
      <c r="K1162">
        <f>'Grid_Stock'!I51</f>
        <v/>
      </c>
      <c r="L1162">
        <f>'Grid_Stock'!J51</f>
        <v/>
      </c>
      <c r="M1162">
        <f>'Grid_Stock'!K51</f>
        <v/>
      </c>
      <c r="N1162">
        <f>'Grid_Stock'!L51</f>
        <v/>
      </c>
      <c r="O1162">
        <f>'Grid_Stock'!M51</f>
        <v/>
      </c>
      <c r="P1162">
        <f>'Grid_Stock'!N51</f>
        <v/>
      </c>
      <c r="Q1162">
        <f>'Grid_Stock'!O51</f>
        <v/>
      </c>
      <c r="R1162">
        <f>'Grid_Stock'!P51</f>
        <v/>
      </c>
      <c r="S1162">
        <f>'Grid_Stock'!Q51</f>
        <v/>
      </c>
      <c r="T1162">
        <f>'Grid_Stock'!R51</f>
        <v/>
      </c>
      <c r="U1162">
        <f>'Grid_Stock'!S51</f>
        <v/>
      </c>
      <c r="V1162">
        <f>'Grid_Stock'!T51</f>
        <v/>
      </c>
      <c r="W1162">
        <f>'Grid_Stock'!U51</f>
        <v/>
      </c>
      <c r="X1162">
        <f>'Grid_Stock'!V51</f>
        <v/>
      </c>
      <c r="Y1162">
        <f>'Grid_Stock'!W51</f>
        <v/>
      </c>
      <c r="Z1162">
        <f>'Grid_Stock'!X51</f>
        <v/>
      </c>
      <c r="AA1162">
        <f>'Grid_Stock'!Y51</f>
        <v/>
      </c>
      <c r="AB1162">
        <f>'Grid_Stock'!Z51</f>
        <v/>
      </c>
      <c r="AC1162">
        <f>'Grid_Stock'!AA51</f>
        <v/>
      </c>
      <c r="AD1162">
        <f>'Grid_Stock'!AB51</f>
        <v/>
      </c>
      <c r="AE1162">
        <f>'Grid_Stock'!AC51</f>
        <v/>
      </c>
      <c r="AF1162">
        <f>'Grid_Stock'!AD51</f>
        <v/>
      </c>
      <c r="AG1162">
        <f>'Grid_Stock'!AE51</f>
        <v/>
      </c>
      <c r="AH1162">
        <f>'Grid_Stock'!AF51</f>
        <v/>
      </c>
      <c r="AI1162">
        <f>'Grid_Stock'!AG51</f>
        <v/>
      </c>
      <c r="AJ1162">
        <f>'Grid_Stock'!AH51</f>
        <v/>
      </c>
      <c r="AK1162">
        <f>'Grid_Stock'!AI51</f>
        <v/>
      </c>
      <c r="AL1162">
        <f>'Grid_Stock'!AJ51</f>
        <v/>
      </c>
      <c r="AM1162">
        <f>'Grid_Stock'!AK51</f>
        <v/>
      </c>
      <c r="AN1162">
        <f>'Grid_Stock'!AL51</f>
        <v/>
      </c>
      <c r="AO1162">
        <f>'Grid_Stock'!AM51</f>
        <v/>
      </c>
      <c r="AP1162">
        <f>'Grid_Stock'!AN51</f>
        <v/>
      </c>
      <c r="AQ1162">
        <f>'Grid_Stock'!AO51</f>
        <v/>
      </c>
      <c r="AR1162">
        <f>'Grid_Stock'!AP51</f>
        <v/>
      </c>
      <c r="AS1162">
        <f>'Grid_Stock'!AQ51</f>
        <v/>
      </c>
      <c r="AT1162">
        <f>'Grid_Stock'!AR51</f>
        <v/>
      </c>
      <c r="AU1162">
        <f>'Grid_Stock'!AS51</f>
        <v/>
      </c>
      <c r="AV1162">
        <f>'Grid_Stock'!AT51</f>
        <v/>
      </c>
      <c r="AW1162">
        <f>'Grid_Stock'!AU51</f>
        <v/>
      </c>
      <c r="AX1162">
        <f>'Grid_Stock'!AV51</f>
        <v/>
      </c>
      <c r="AY1162">
        <f>'Grid_Stock'!AW51</f>
        <v/>
      </c>
      <c r="AZ1162">
        <f>'Grid_Stock'!AX51</f>
        <v/>
      </c>
      <c r="BA1162">
        <f>'Grid_Stock'!AY51</f>
        <v/>
      </c>
      <c r="BB1162">
        <f>'Grid_Stock'!AZ51</f>
        <v/>
      </c>
      <c r="BC1162">
        <f>'Grid_Stock'!BA51</f>
        <v/>
      </c>
      <c r="BD1162">
        <f>'Grid_Stock'!BB51</f>
        <v/>
      </c>
      <c r="BE1162">
        <f>'Grid_Stock'!BC51</f>
        <v/>
      </c>
      <c r="BF1162">
        <f>'Grid_Stock'!BD51</f>
        <v/>
      </c>
      <c r="BG1162">
        <f>'Grid_Stock'!BE51</f>
        <v/>
      </c>
      <c r="BH1162">
        <f>'Grid_Stock'!BF51</f>
        <v/>
      </c>
      <c r="BI1162">
        <f>'Grid_Stock'!BG51</f>
        <v/>
      </c>
      <c r="BJ1162">
        <f>'Grid_Stock'!BH51</f>
        <v/>
      </c>
      <c r="BK1162">
        <f>'Grid_Stock'!BI51</f>
        <v/>
      </c>
      <c r="BL1162">
        <f>'Grid_Stock'!BJ51</f>
        <v/>
      </c>
      <c r="BM1162">
        <f>'Grid_Stock'!BK51</f>
        <v/>
      </c>
      <c r="BN1162">
        <f>'Grid_Stock'!BL51</f>
        <v/>
      </c>
      <c r="BO1162">
        <f>'Grid_Stock'!BM51</f>
        <v/>
      </c>
      <c r="BP1162">
        <f>'Grid_Stock'!BN51</f>
        <v/>
      </c>
      <c r="BQ1162">
        <f>'Grid_Stock'!BO51</f>
        <v/>
      </c>
      <c r="BR1162">
        <f>'Grid_Stock'!BP51</f>
        <v/>
      </c>
      <c r="BS1162">
        <f>'Grid_Stock'!BQ51</f>
        <v/>
      </c>
      <c r="BT1162">
        <f>'Grid_Stock'!BR51</f>
        <v/>
      </c>
      <c r="BU1162">
        <f>'Grid_Stock'!BS51</f>
        <v/>
      </c>
      <c r="BV1162">
        <f>'Grid_Stock'!BT51</f>
        <v/>
      </c>
      <c r="BW1162">
        <f>'Grid_Stock'!BU51</f>
        <v/>
      </c>
      <c r="BX1162">
        <f>'Grid_Stock'!BV51</f>
        <v/>
      </c>
      <c r="BY1162">
        <f>'Grid_Stock'!BW51</f>
        <v/>
      </c>
      <c r="BZ1162">
        <f>'Grid_Stock'!BX51</f>
        <v/>
      </c>
      <c r="CA1162">
        <f>'Grid_Stock'!BY51</f>
        <v/>
      </c>
      <c r="CB1162">
        <f>'Grid_Stock'!BZ51</f>
        <v/>
      </c>
      <c r="CC1162">
        <f>'Grid_Stock'!CA51</f>
        <v/>
      </c>
      <c r="CD1162">
        <f>'Grid_Stock'!CB51</f>
        <v/>
      </c>
      <c r="CE1162">
        <f>'Grid_Stock'!CC51</f>
        <v/>
      </c>
      <c r="CF1162">
        <f>'Grid_Stock'!CD51</f>
        <v/>
      </c>
      <c r="CG1162">
        <f>'Grid_Stock'!CE51</f>
        <v/>
      </c>
      <c r="CH1162">
        <f>'Grid_Stock'!CF51</f>
        <v/>
      </c>
      <c r="CI1162">
        <f>'Grid_Stock'!CG51</f>
        <v/>
      </c>
      <c r="CJ1162">
        <f>'Grid_Stock'!CH51</f>
        <v/>
      </c>
      <c r="CK1162">
        <f>'Grid_Stock'!CI51</f>
        <v/>
      </c>
      <c r="CL1162">
        <f>'Grid_Stock'!CJ51</f>
        <v/>
      </c>
      <c r="CM1162">
        <f>'Grid_Stock'!CK51</f>
        <v/>
      </c>
      <c r="CN1162">
        <f>'Grid_Stock'!CL51</f>
        <v/>
      </c>
      <c r="CO1162">
        <f>'Grid_Stock'!CM51</f>
        <v/>
      </c>
      <c r="CP1162">
        <f>'Grid_Stock'!CN51</f>
        <v/>
      </c>
      <c r="CQ1162">
        <f>'Grid_Stock'!CO51</f>
        <v/>
      </c>
      <c r="CR1162">
        <f>'Grid_Stock'!CP51</f>
        <v/>
      </c>
      <c r="CS1162">
        <f>'Grid_Stock'!CQ51</f>
        <v/>
      </c>
      <c r="CT1162">
        <f>'Grid_Stock'!CR51</f>
        <v/>
      </c>
      <c r="CU1162">
        <f>'Grid_Stock'!CS51</f>
        <v/>
      </c>
      <c r="CV1162">
        <f>'Grid_Stock'!CT51</f>
        <v/>
      </c>
      <c r="CW1162">
        <f>'Grid_Stock'!CU51</f>
        <v/>
      </c>
      <c r="CX1162">
        <f>'Grid_Stock'!CV51</f>
        <v/>
      </c>
      <c r="CY1162">
        <f>'Grid_Stock'!CW51</f>
        <v/>
      </c>
      <c r="CZ1162">
        <f>'Grid_Stock'!CX51</f>
        <v/>
      </c>
      <c r="DA1162">
        <f>'Grid_Stock'!CY51</f>
        <v/>
      </c>
      <c r="DB1162">
        <f>'Grid_Stock'!CZ51</f>
        <v/>
      </c>
      <c r="DC1162">
        <f>'Grid_Stock'!DA51</f>
        <v/>
      </c>
    </row>
    <row r="1163">
      <c r="B1163" s="23" t="inlineStr">
        <is>
          <t>（発注の目安はDashboardの基準在庫[下限/上限]と色分けを参照）</t>
        </is>
      </c>
    </row>
    <row r="1165">
      <c r="A1165" s="21" t="inlineStr">
        <is>
          <t>Ester Film</t>
        </is>
      </c>
      <c r="B1165" s="21" t="inlineStr">
        <is>
          <t>Ester Film</t>
        </is>
      </c>
      <c r="C1165" s="22" t="n"/>
      <c r="D1165" s="21" t="n"/>
      <c r="E1165" s="21" t="n"/>
      <c r="F1165" s="21" t="n"/>
      <c r="G1165" s="21" t="n"/>
      <c r="H1165" s="21" t="n"/>
      <c r="I1165" s="21" t="n"/>
      <c r="J1165" s="21" t="n"/>
      <c r="K1165" s="21" t="n"/>
      <c r="L1165" s="21" t="n"/>
      <c r="M1165" s="21" t="n"/>
      <c r="N1165" s="21" t="n"/>
      <c r="O1165" s="21" t="n"/>
      <c r="P1165" s="21" t="n"/>
      <c r="Q1165" s="21" t="n"/>
      <c r="R1165" s="21" t="n"/>
      <c r="S1165" s="21" t="n"/>
      <c r="T1165" s="21" t="n"/>
      <c r="U1165" s="21" t="n"/>
      <c r="V1165" s="21" t="n"/>
      <c r="W1165" s="21" t="n"/>
      <c r="X1165" s="21" t="n"/>
      <c r="Y1165" s="21" t="n"/>
      <c r="Z1165" s="21" t="n"/>
      <c r="AA1165" s="21" t="n"/>
      <c r="AB1165" s="21" t="n"/>
      <c r="AC1165" s="21" t="n"/>
      <c r="AD1165" s="21" t="n"/>
      <c r="AE1165" s="21" t="n"/>
      <c r="AF1165" s="21" t="n"/>
      <c r="AG1165" s="21" t="n"/>
      <c r="AH1165" s="21" t="n"/>
      <c r="AI1165" s="21" t="n"/>
      <c r="AJ1165" s="21" t="n"/>
      <c r="AK1165" s="21" t="n"/>
      <c r="AL1165" s="21" t="n"/>
      <c r="AM1165" s="21" t="n"/>
      <c r="AN1165" s="21" t="n"/>
      <c r="AO1165" s="21" t="n"/>
      <c r="AP1165" s="21" t="n"/>
      <c r="AQ1165" s="21" t="n"/>
      <c r="AR1165" s="21" t="n"/>
      <c r="AS1165" s="21" t="n"/>
      <c r="AT1165" s="21" t="n"/>
      <c r="AU1165" s="21" t="n"/>
      <c r="AV1165" s="21" t="n"/>
      <c r="AW1165" s="21" t="n"/>
      <c r="AX1165" s="21" t="n"/>
      <c r="AY1165" s="21" t="n"/>
      <c r="AZ1165" s="21" t="n"/>
      <c r="BA1165" s="21" t="n"/>
      <c r="BB1165" s="21" t="n"/>
      <c r="BC1165" s="21" t="n"/>
      <c r="BD1165" s="21" t="n"/>
      <c r="BE1165" s="21" t="n"/>
      <c r="BF1165" s="21" t="n"/>
      <c r="BG1165" s="21" t="n"/>
      <c r="BH1165" s="21" t="n"/>
      <c r="BI1165" s="21" t="n"/>
      <c r="BJ1165" s="21" t="n"/>
      <c r="BK1165" s="21" t="n"/>
      <c r="BL1165" s="21" t="n"/>
      <c r="BM1165" s="21" t="n"/>
      <c r="BN1165" s="21" t="n"/>
      <c r="BO1165" s="21" t="n"/>
      <c r="BP1165" s="21" t="n"/>
      <c r="BQ1165" s="21" t="n"/>
      <c r="BR1165" s="21" t="n"/>
      <c r="BS1165" s="21" t="n"/>
      <c r="BT1165" s="21" t="n"/>
      <c r="BU1165" s="21" t="n"/>
      <c r="BV1165" s="21" t="n"/>
      <c r="BW1165" s="21" t="n"/>
      <c r="BX1165" s="21" t="n"/>
      <c r="BY1165" s="21" t="n"/>
      <c r="BZ1165" s="21" t="n"/>
      <c r="CA1165" s="21" t="n"/>
      <c r="CB1165" s="21" t="n"/>
      <c r="CC1165" s="21" t="n"/>
      <c r="CD1165" s="21" t="n"/>
      <c r="CE1165" s="21" t="n"/>
      <c r="CF1165" s="21" t="n"/>
      <c r="CG1165" s="21" t="n"/>
      <c r="CH1165" s="21" t="n"/>
      <c r="CI1165" s="21" t="n"/>
      <c r="CJ1165" s="21" t="n"/>
      <c r="CK1165" s="21" t="n"/>
      <c r="CL1165" s="21" t="n"/>
      <c r="CM1165" s="21" t="n"/>
      <c r="CN1165" s="21" t="n"/>
      <c r="CO1165" s="21" t="n"/>
      <c r="CP1165" s="21" t="n"/>
      <c r="CQ1165" s="21" t="n"/>
      <c r="CR1165" s="21" t="n"/>
      <c r="CS1165" s="21" t="n"/>
      <c r="CT1165" s="21" t="n"/>
      <c r="CU1165" s="21" t="n"/>
      <c r="CV1165" s="21" t="n"/>
      <c r="CW1165" s="21" t="n"/>
      <c r="CX1165" s="21" t="n"/>
      <c r="CY1165" s="21" t="n"/>
      <c r="CZ1165" s="21" t="n"/>
      <c r="DA1165" s="21" t="n"/>
      <c r="DB1165" s="21" t="n"/>
      <c r="DC1165" s="21" t="n"/>
    </row>
    <row r="1166">
      <c r="B1166" t="inlineStr">
        <is>
          <t>Ester Film</t>
        </is>
      </c>
      <c r="C1166" t="inlineStr">
        <is>
          <t>No. of batches</t>
        </is>
      </c>
      <c r="D1166">
        <f>IFERROR(INDEX(PP_Grid[#Data],$DD1166,2),0)</f>
        <v/>
      </c>
      <c r="E1166">
        <f>IFERROR(INDEX(PP_Grid[#Data],$DD1166,3),0)</f>
        <v/>
      </c>
      <c r="F1166">
        <f>IFERROR(INDEX(PP_Grid[#Data],$DD1166,4),0)</f>
        <v/>
      </c>
      <c r="G1166">
        <f>IFERROR(INDEX(PP_Grid[#Data],$DD1166,5),0)</f>
        <v/>
      </c>
      <c r="H1166">
        <f>IFERROR(INDEX(PP_Grid[#Data],$DD1166,6),0)</f>
        <v/>
      </c>
      <c r="I1166">
        <f>IFERROR(INDEX(PP_Grid[#Data],$DD1166,7),0)</f>
        <v/>
      </c>
      <c r="J1166">
        <f>IFERROR(INDEX(PP_Grid[#Data],$DD1166,8),0)</f>
        <v/>
      </c>
      <c r="K1166">
        <f>IFERROR(INDEX(PP_Grid[#Data],$DD1166,9),0)</f>
        <v/>
      </c>
      <c r="L1166">
        <f>IFERROR(INDEX(PP_Grid[#Data],$DD1166,10),0)</f>
        <v/>
      </c>
      <c r="M1166">
        <f>IFERROR(INDEX(PP_Grid[#Data],$DD1166,11),0)</f>
        <v/>
      </c>
      <c r="N1166">
        <f>IFERROR(INDEX(PP_Grid[#Data],$DD1166,12),0)</f>
        <v/>
      </c>
      <c r="O1166">
        <f>IFERROR(INDEX(PP_Grid[#Data],$DD1166,13),0)</f>
        <v/>
      </c>
      <c r="P1166">
        <f>IFERROR(INDEX(PP_Grid[#Data],$DD1166,14),0)</f>
        <v/>
      </c>
      <c r="Q1166">
        <f>IFERROR(INDEX(PP_Grid[#Data],$DD1166,15),0)</f>
        <v/>
      </c>
      <c r="R1166">
        <f>IFERROR(INDEX(PP_Grid[#Data],$DD1166,16),0)</f>
        <v/>
      </c>
      <c r="S1166">
        <f>IFERROR(INDEX(PP_Grid[#Data],$DD1166,17),0)</f>
        <v/>
      </c>
      <c r="T1166">
        <f>IFERROR(INDEX(PP_Grid[#Data],$DD1166,18),0)</f>
        <v/>
      </c>
      <c r="U1166">
        <f>IFERROR(INDEX(PP_Grid[#Data],$DD1166,19),0)</f>
        <v/>
      </c>
      <c r="V1166">
        <f>IFERROR(INDEX(PP_Grid[#Data],$DD1166,20),0)</f>
        <v/>
      </c>
      <c r="W1166">
        <f>IFERROR(INDEX(PP_Grid[#Data],$DD1166,21),0)</f>
        <v/>
      </c>
      <c r="X1166">
        <f>IFERROR(INDEX(PP_Grid[#Data],$DD1166,22),0)</f>
        <v/>
      </c>
      <c r="Y1166">
        <f>IFERROR(INDEX(PP_Grid[#Data],$DD1166,23),0)</f>
        <v/>
      </c>
      <c r="Z1166">
        <f>IFERROR(INDEX(PP_Grid[#Data],$DD1166,24),0)</f>
        <v/>
      </c>
      <c r="AA1166">
        <f>IFERROR(INDEX(PP_Grid[#Data],$DD1166,25),0)</f>
        <v/>
      </c>
      <c r="AB1166">
        <f>IFERROR(INDEX(PP_Grid[#Data],$DD1166,26),0)</f>
        <v/>
      </c>
      <c r="AC1166">
        <f>IFERROR(INDEX(PP_Grid[#Data],$DD1166,27),0)</f>
        <v/>
      </c>
      <c r="AD1166">
        <f>IFERROR(INDEX(PP_Grid[#Data],$DD1166,28),0)</f>
        <v/>
      </c>
      <c r="AE1166">
        <f>IFERROR(INDEX(PP_Grid[#Data],$DD1166,29),0)</f>
        <v/>
      </c>
      <c r="AF1166">
        <f>IFERROR(INDEX(PP_Grid[#Data],$DD1166,30),0)</f>
        <v/>
      </c>
      <c r="AG1166">
        <f>IFERROR(INDEX(PP_Grid[#Data],$DD1166,31),0)</f>
        <v/>
      </c>
      <c r="AH1166">
        <f>IFERROR(INDEX(PP_Grid[#Data],$DD1166,32),0)</f>
        <v/>
      </c>
      <c r="AI1166">
        <f>IFERROR(INDEX(PP_Grid[#Data],$DD1166,33),0)</f>
        <v/>
      </c>
      <c r="AJ1166">
        <f>IFERROR(INDEX(PP_Grid[#Data],$DD1166,34),0)</f>
        <v/>
      </c>
      <c r="AK1166">
        <f>IFERROR(INDEX(PP_Grid[#Data],$DD1166,35),0)</f>
        <v/>
      </c>
      <c r="AL1166">
        <f>IFERROR(INDEX(PP_Grid[#Data],$DD1166,36),0)</f>
        <v/>
      </c>
      <c r="AM1166">
        <f>IFERROR(INDEX(PP_Grid[#Data],$DD1166,37),0)</f>
        <v/>
      </c>
      <c r="AN1166">
        <f>IFERROR(INDEX(PP_Grid[#Data],$DD1166,38),0)</f>
        <v/>
      </c>
      <c r="AO1166">
        <f>IFERROR(INDEX(PP_Grid[#Data],$DD1166,39),0)</f>
        <v/>
      </c>
      <c r="AP1166">
        <f>IFERROR(INDEX(PP_Grid[#Data],$DD1166,40),0)</f>
        <v/>
      </c>
      <c r="AQ1166">
        <f>IFERROR(INDEX(PP_Grid[#Data],$DD1166,41),0)</f>
        <v/>
      </c>
      <c r="AR1166">
        <f>IFERROR(INDEX(PP_Grid[#Data],$DD1166,42),0)</f>
        <v/>
      </c>
      <c r="AS1166">
        <f>IFERROR(INDEX(PP_Grid[#Data],$DD1166,43),0)</f>
        <v/>
      </c>
      <c r="AT1166">
        <f>IFERROR(INDEX(PP_Grid[#Data],$DD1166,44),0)</f>
        <v/>
      </c>
      <c r="AU1166">
        <f>IFERROR(INDEX(PP_Grid[#Data],$DD1166,45),0)</f>
        <v/>
      </c>
      <c r="AV1166">
        <f>IFERROR(INDEX(PP_Grid[#Data],$DD1166,46),0)</f>
        <v/>
      </c>
      <c r="AW1166">
        <f>IFERROR(INDEX(PP_Grid[#Data],$DD1166,47),0)</f>
        <v/>
      </c>
      <c r="AX1166">
        <f>IFERROR(INDEX(PP_Grid[#Data],$DD1166,48),0)</f>
        <v/>
      </c>
      <c r="AY1166">
        <f>IFERROR(INDEX(PP_Grid[#Data],$DD1166,49),0)</f>
        <v/>
      </c>
      <c r="AZ1166">
        <f>IFERROR(INDEX(PP_Grid[#Data],$DD1166,50),0)</f>
        <v/>
      </c>
      <c r="BA1166">
        <f>IFERROR(INDEX(PP_Grid[#Data],$DD1166,51),0)</f>
        <v/>
      </c>
      <c r="BB1166">
        <f>IFERROR(INDEX(PP_Grid[#Data],$DD1166,52),0)</f>
        <v/>
      </c>
      <c r="BC1166">
        <f>IFERROR(INDEX(PP_Grid[#Data],$DD1166,53),0)</f>
        <v/>
      </c>
      <c r="BD1166">
        <f>IFERROR(INDEX(PP_Grid[#Data],$DD1166,54),0)</f>
        <v/>
      </c>
      <c r="BE1166">
        <f>IFERROR(INDEX(PP_Grid[#Data],$DD1166,55),0)</f>
        <v/>
      </c>
      <c r="BF1166">
        <f>IFERROR(INDEX(PP_Grid[#Data],$DD1166,56),0)</f>
        <v/>
      </c>
      <c r="BG1166">
        <f>IFERROR(INDEX(PP_Grid[#Data],$DD1166,57),0)</f>
        <v/>
      </c>
      <c r="BH1166">
        <f>IFERROR(INDEX(PP_Grid[#Data],$DD1166,58),0)</f>
        <v/>
      </c>
      <c r="BI1166">
        <f>IFERROR(INDEX(PP_Grid[#Data],$DD1166,59),0)</f>
        <v/>
      </c>
      <c r="BJ1166">
        <f>IFERROR(INDEX(PP_Grid[#Data],$DD1166,60),0)</f>
        <v/>
      </c>
      <c r="BK1166">
        <f>IFERROR(INDEX(PP_Grid[#Data],$DD1166,61),0)</f>
        <v/>
      </c>
      <c r="BL1166">
        <f>IFERROR(INDEX(PP_Grid[#Data],$DD1166,62),0)</f>
        <v/>
      </c>
      <c r="BM1166">
        <f>IFERROR(INDEX(PP_Grid[#Data],$DD1166,63),0)</f>
        <v/>
      </c>
      <c r="BN1166">
        <f>IFERROR(INDEX(PP_Grid[#Data],$DD1166,64),0)</f>
        <v/>
      </c>
      <c r="BO1166">
        <f>IFERROR(INDEX(PP_Grid[#Data],$DD1166,65),0)</f>
        <v/>
      </c>
      <c r="BP1166">
        <f>IFERROR(INDEX(PP_Grid[#Data],$DD1166,66),0)</f>
        <v/>
      </c>
      <c r="BQ1166">
        <f>IFERROR(INDEX(PP_Grid[#Data],$DD1166,67),0)</f>
        <v/>
      </c>
      <c r="BR1166">
        <f>IFERROR(INDEX(PP_Grid[#Data],$DD1166,68),0)</f>
        <v/>
      </c>
      <c r="BS1166">
        <f>IFERROR(INDEX(PP_Grid[#Data],$DD1166,69),0)</f>
        <v/>
      </c>
      <c r="BT1166">
        <f>IFERROR(INDEX(PP_Grid[#Data],$DD1166,70),0)</f>
        <v/>
      </c>
      <c r="BU1166">
        <f>IFERROR(INDEX(PP_Grid[#Data],$DD1166,71),0)</f>
        <v/>
      </c>
      <c r="BV1166">
        <f>IFERROR(INDEX(PP_Grid[#Data],$DD1166,72),0)</f>
        <v/>
      </c>
      <c r="BW1166">
        <f>IFERROR(INDEX(PP_Grid[#Data],$DD1166,73),0)</f>
        <v/>
      </c>
      <c r="BX1166">
        <f>IFERROR(INDEX(PP_Grid[#Data],$DD1166,74),0)</f>
        <v/>
      </c>
      <c r="BY1166">
        <f>IFERROR(INDEX(PP_Grid[#Data],$DD1166,75),0)</f>
        <v/>
      </c>
      <c r="BZ1166">
        <f>IFERROR(INDEX(PP_Grid[#Data],$DD1166,76),0)</f>
        <v/>
      </c>
      <c r="CA1166">
        <f>IFERROR(INDEX(PP_Grid[#Data],$DD1166,77),0)</f>
        <v/>
      </c>
      <c r="CB1166">
        <f>IFERROR(INDEX(PP_Grid[#Data],$DD1166,78),0)</f>
        <v/>
      </c>
      <c r="CC1166">
        <f>IFERROR(INDEX(PP_Grid[#Data],$DD1166,79),0)</f>
        <v/>
      </c>
      <c r="CD1166">
        <f>IFERROR(INDEX(PP_Grid[#Data],$DD1166,80),0)</f>
        <v/>
      </c>
      <c r="CE1166">
        <f>IFERROR(INDEX(PP_Grid[#Data],$DD1166,81),0)</f>
        <v/>
      </c>
      <c r="CF1166">
        <f>IFERROR(INDEX(PP_Grid[#Data],$DD1166,82),0)</f>
        <v/>
      </c>
      <c r="CG1166">
        <f>IFERROR(INDEX(PP_Grid[#Data],$DD1166,83),0)</f>
        <v/>
      </c>
      <c r="CH1166">
        <f>IFERROR(INDEX(PP_Grid[#Data],$DD1166,84),0)</f>
        <v/>
      </c>
      <c r="CI1166">
        <f>IFERROR(INDEX(PP_Grid[#Data],$DD1166,85),0)</f>
        <v/>
      </c>
      <c r="CJ1166">
        <f>IFERROR(INDEX(PP_Grid[#Data],$DD1166,86),0)</f>
        <v/>
      </c>
      <c r="CK1166">
        <f>IFERROR(INDEX(PP_Grid[#Data],$DD1166,87),0)</f>
        <v/>
      </c>
      <c r="CL1166">
        <f>IFERROR(INDEX(PP_Grid[#Data],$DD1166,88),0)</f>
        <v/>
      </c>
      <c r="CM1166">
        <f>IFERROR(INDEX(PP_Grid[#Data],$DD1166,89),0)</f>
        <v/>
      </c>
      <c r="CN1166">
        <f>IFERROR(INDEX(PP_Grid[#Data],$DD1166,90),0)</f>
        <v/>
      </c>
      <c r="CO1166">
        <f>IFERROR(INDEX(PP_Grid[#Data],$DD1166,91),0)</f>
        <v/>
      </c>
      <c r="CP1166">
        <f>IFERROR(INDEX(PP_Grid[#Data],$DD1166,92),0)</f>
        <v/>
      </c>
      <c r="CQ1166">
        <f>IFERROR(INDEX(PP_Grid[#Data],$DD1166,93),0)</f>
        <v/>
      </c>
      <c r="CR1166">
        <f>IFERROR(INDEX(PP_Grid[#Data],$DD1166,94),0)</f>
        <v/>
      </c>
      <c r="CS1166">
        <f>IFERROR(INDEX(PP_Grid[#Data],$DD1166,95),0)</f>
        <v/>
      </c>
      <c r="CT1166">
        <f>IFERROR(INDEX(PP_Grid[#Data],$DD1166,96),0)</f>
        <v/>
      </c>
      <c r="CU1166">
        <f>IFERROR(INDEX(PP_Grid[#Data],$DD1166,97),0)</f>
        <v/>
      </c>
      <c r="CV1166">
        <f>IFERROR(INDEX(PP_Grid[#Data],$DD1166,98),0)</f>
        <v/>
      </c>
      <c r="CW1166">
        <f>IFERROR(INDEX(PP_Grid[#Data],$DD1166,99),0)</f>
        <v/>
      </c>
      <c r="CX1166">
        <f>IFERROR(INDEX(PP_Grid[#Data],$DD1166,100),0)</f>
        <v/>
      </c>
      <c r="CY1166">
        <f>IFERROR(INDEX(PP_Grid[#Data],$DD1166,101),0)</f>
        <v/>
      </c>
      <c r="CZ1166">
        <f>IFERROR(INDEX(PP_Grid[#Data],$DD1166,102),0)</f>
        <v/>
      </c>
      <c r="DA1166">
        <f>IFERROR(INDEX(PP_Grid[#Data],$DD1166,103),0)</f>
        <v/>
      </c>
      <c r="DB1166">
        <f>IFERROR(INDEX(PP_Grid[#Data],$DD1166,104),0)</f>
        <v/>
      </c>
      <c r="DC1166">
        <f>IFERROR(INDEX(PP_Grid[#Data],$DD1166,105),0)</f>
        <v/>
      </c>
      <c r="DD1166" s="12">
        <f>IFERROR(MATCH($B1166,PP_Grid[Intermediate],0),99999)</f>
        <v/>
      </c>
    </row>
    <row r="1167">
      <c r="B1167" t="inlineStr">
        <is>
          <t>使用量(kg)</t>
        </is>
      </c>
      <c r="C1167">
        <f>SUMIFS(M_BOM[RM_Qty_Per_Batch],M_BOM[Intermediate],$B1166,M_BOM[Part Name],$A1165)</f>
        <v/>
      </c>
      <c r="D1167">
        <f>$C1167*D1166</f>
        <v/>
      </c>
      <c r="E1167">
        <f>$C1167*E1166</f>
        <v/>
      </c>
      <c r="F1167">
        <f>$C1167*F1166</f>
        <v/>
      </c>
      <c r="G1167">
        <f>$C1167*G1166</f>
        <v/>
      </c>
      <c r="H1167">
        <f>$C1167*H1166</f>
        <v/>
      </c>
      <c r="I1167">
        <f>$C1167*I1166</f>
        <v/>
      </c>
      <c r="J1167">
        <f>$C1167*J1166</f>
        <v/>
      </c>
      <c r="K1167">
        <f>$C1167*K1166</f>
        <v/>
      </c>
      <c r="L1167">
        <f>$C1167*L1166</f>
        <v/>
      </c>
      <c r="M1167">
        <f>$C1167*M1166</f>
        <v/>
      </c>
      <c r="N1167">
        <f>$C1167*N1166</f>
        <v/>
      </c>
      <c r="O1167">
        <f>$C1167*O1166</f>
        <v/>
      </c>
      <c r="P1167">
        <f>$C1167*P1166</f>
        <v/>
      </c>
      <c r="Q1167">
        <f>$C1167*Q1166</f>
        <v/>
      </c>
      <c r="R1167">
        <f>$C1167*R1166</f>
        <v/>
      </c>
      <c r="S1167">
        <f>$C1167*S1166</f>
        <v/>
      </c>
      <c r="T1167">
        <f>$C1167*T1166</f>
        <v/>
      </c>
      <c r="U1167">
        <f>$C1167*U1166</f>
        <v/>
      </c>
      <c r="V1167">
        <f>$C1167*V1166</f>
        <v/>
      </c>
      <c r="W1167">
        <f>$C1167*W1166</f>
        <v/>
      </c>
      <c r="X1167">
        <f>$C1167*X1166</f>
        <v/>
      </c>
      <c r="Y1167">
        <f>$C1167*Y1166</f>
        <v/>
      </c>
      <c r="Z1167">
        <f>$C1167*Z1166</f>
        <v/>
      </c>
      <c r="AA1167">
        <f>$C1167*AA1166</f>
        <v/>
      </c>
      <c r="AB1167">
        <f>$C1167*AB1166</f>
        <v/>
      </c>
      <c r="AC1167">
        <f>$C1167*AC1166</f>
        <v/>
      </c>
      <c r="AD1167">
        <f>$C1167*AD1166</f>
        <v/>
      </c>
      <c r="AE1167">
        <f>$C1167*AE1166</f>
        <v/>
      </c>
      <c r="AF1167">
        <f>$C1167*AF1166</f>
        <v/>
      </c>
      <c r="AG1167">
        <f>$C1167*AG1166</f>
        <v/>
      </c>
      <c r="AH1167">
        <f>$C1167*AH1166</f>
        <v/>
      </c>
      <c r="AI1167">
        <f>$C1167*AI1166</f>
        <v/>
      </c>
      <c r="AJ1167">
        <f>$C1167*AJ1166</f>
        <v/>
      </c>
      <c r="AK1167">
        <f>$C1167*AK1166</f>
        <v/>
      </c>
      <c r="AL1167">
        <f>$C1167*AL1166</f>
        <v/>
      </c>
      <c r="AM1167">
        <f>$C1167*AM1166</f>
        <v/>
      </c>
      <c r="AN1167">
        <f>$C1167*AN1166</f>
        <v/>
      </c>
      <c r="AO1167">
        <f>$C1167*AO1166</f>
        <v/>
      </c>
      <c r="AP1167">
        <f>$C1167*AP1166</f>
        <v/>
      </c>
      <c r="AQ1167">
        <f>$C1167*AQ1166</f>
        <v/>
      </c>
      <c r="AR1167">
        <f>$C1167*AR1166</f>
        <v/>
      </c>
      <c r="AS1167">
        <f>$C1167*AS1166</f>
        <v/>
      </c>
      <c r="AT1167">
        <f>$C1167*AT1166</f>
        <v/>
      </c>
      <c r="AU1167">
        <f>$C1167*AU1166</f>
        <v/>
      </c>
      <c r="AV1167">
        <f>$C1167*AV1166</f>
        <v/>
      </c>
      <c r="AW1167">
        <f>$C1167*AW1166</f>
        <v/>
      </c>
      <c r="AX1167">
        <f>$C1167*AX1166</f>
        <v/>
      </c>
      <c r="AY1167">
        <f>$C1167*AY1166</f>
        <v/>
      </c>
      <c r="AZ1167">
        <f>$C1167*AZ1166</f>
        <v/>
      </c>
      <c r="BA1167">
        <f>$C1167*BA1166</f>
        <v/>
      </c>
      <c r="BB1167">
        <f>$C1167*BB1166</f>
        <v/>
      </c>
      <c r="BC1167">
        <f>$C1167*BC1166</f>
        <v/>
      </c>
      <c r="BD1167">
        <f>$C1167*BD1166</f>
        <v/>
      </c>
      <c r="BE1167">
        <f>$C1167*BE1166</f>
        <v/>
      </c>
      <c r="BF1167">
        <f>$C1167*BF1166</f>
        <v/>
      </c>
      <c r="BG1167">
        <f>$C1167*BG1166</f>
        <v/>
      </c>
      <c r="BH1167">
        <f>$C1167*BH1166</f>
        <v/>
      </c>
      <c r="BI1167">
        <f>$C1167*BI1166</f>
        <v/>
      </c>
      <c r="BJ1167">
        <f>$C1167*BJ1166</f>
        <v/>
      </c>
      <c r="BK1167">
        <f>$C1167*BK1166</f>
        <v/>
      </c>
      <c r="BL1167">
        <f>$C1167*BL1166</f>
        <v/>
      </c>
      <c r="BM1167">
        <f>$C1167*BM1166</f>
        <v/>
      </c>
      <c r="BN1167">
        <f>$C1167*BN1166</f>
        <v/>
      </c>
      <c r="BO1167">
        <f>$C1167*BO1166</f>
        <v/>
      </c>
      <c r="BP1167">
        <f>$C1167*BP1166</f>
        <v/>
      </c>
      <c r="BQ1167">
        <f>$C1167*BQ1166</f>
        <v/>
      </c>
      <c r="BR1167">
        <f>$C1167*BR1166</f>
        <v/>
      </c>
      <c r="BS1167">
        <f>$C1167*BS1166</f>
        <v/>
      </c>
      <c r="BT1167">
        <f>$C1167*BT1166</f>
        <v/>
      </c>
      <c r="BU1167">
        <f>$C1167*BU1166</f>
        <v/>
      </c>
      <c r="BV1167">
        <f>$C1167*BV1166</f>
        <v/>
      </c>
      <c r="BW1167">
        <f>$C1167*BW1166</f>
        <v/>
      </c>
      <c r="BX1167">
        <f>$C1167*BX1166</f>
        <v/>
      </c>
      <c r="BY1167">
        <f>$C1167*BY1166</f>
        <v/>
      </c>
      <c r="BZ1167">
        <f>$C1167*BZ1166</f>
        <v/>
      </c>
      <c r="CA1167">
        <f>$C1167*CA1166</f>
        <v/>
      </c>
      <c r="CB1167">
        <f>$C1167*CB1166</f>
        <v/>
      </c>
      <c r="CC1167">
        <f>$C1167*CC1166</f>
        <v/>
      </c>
      <c r="CD1167">
        <f>$C1167*CD1166</f>
        <v/>
      </c>
      <c r="CE1167">
        <f>$C1167*CE1166</f>
        <v/>
      </c>
      <c r="CF1167">
        <f>$C1167*CF1166</f>
        <v/>
      </c>
      <c r="CG1167">
        <f>$C1167*CG1166</f>
        <v/>
      </c>
      <c r="CH1167">
        <f>$C1167*CH1166</f>
        <v/>
      </c>
      <c r="CI1167">
        <f>$C1167*CI1166</f>
        <v/>
      </c>
      <c r="CJ1167">
        <f>$C1167*CJ1166</f>
        <v/>
      </c>
      <c r="CK1167">
        <f>$C1167*CK1166</f>
        <v/>
      </c>
      <c r="CL1167">
        <f>$C1167*CL1166</f>
        <v/>
      </c>
      <c r="CM1167">
        <f>$C1167*CM1166</f>
        <v/>
      </c>
      <c r="CN1167">
        <f>$C1167*CN1166</f>
        <v/>
      </c>
      <c r="CO1167">
        <f>$C1167*CO1166</f>
        <v/>
      </c>
      <c r="CP1167">
        <f>$C1167*CP1166</f>
        <v/>
      </c>
      <c r="CQ1167">
        <f>$C1167*CQ1166</f>
        <v/>
      </c>
      <c r="CR1167">
        <f>$C1167*CR1166</f>
        <v/>
      </c>
      <c r="CS1167">
        <f>$C1167*CS1166</f>
        <v/>
      </c>
      <c r="CT1167">
        <f>$C1167*CT1166</f>
        <v/>
      </c>
      <c r="CU1167">
        <f>$C1167*CU1166</f>
        <v/>
      </c>
      <c r="CV1167">
        <f>$C1167*CV1166</f>
        <v/>
      </c>
      <c r="CW1167">
        <f>$C1167*CW1166</f>
        <v/>
      </c>
      <c r="CX1167">
        <f>$C1167*CX1166</f>
        <v/>
      </c>
      <c r="CY1167">
        <f>$C1167*CY1166</f>
        <v/>
      </c>
      <c r="CZ1167">
        <f>$C1167*CZ1166</f>
        <v/>
      </c>
      <c r="DA1167">
        <f>$C1167*DA1166</f>
        <v/>
      </c>
      <c r="DB1167">
        <f>$C1167*DB1166</f>
        <v/>
      </c>
      <c r="DC1167">
        <f>$C1167*DC1166</f>
        <v/>
      </c>
    </row>
    <row r="1168">
      <c r="B1168" s="5" t="inlineStr">
        <is>
          <t>合計使用量(kg)/週</t>
        </is>
      </c>
      <c r="D1168">
        <f>'Grid_Requirement'!B53</f>
        <v/>
      </c>
      <c r="E1168">
        <f>'Grid_Requirement'!C53</f>
        <v/>
      </c>
      <c r="F1168">
        <f>'Grid_Requirement'!D53</f>
        <v/>
      </c>
      <c r="G1168">
        <f>'Grid_Requirement'!E53</f>
        <v/>
      </c>
      <c r="H1168">
        <f>'Grid_Requirement'!F53</f>
        <v/>
      </c>
      <c r="I1168">
        <f>'Grid_Requirement'!G53</f>
        <v/>
      </c>
      <c r="J1168">
        <f>'Grid_Requirement'!H53</f>
        <v/>
      </c>
      <c r="K1168">
        <f>'Grid_Requirement'!I53</f>
        <v/>
      </c>
      <c r="L1168">
        <f>'Grid_Requirement'!J53</f>
        <v/>
      </c>
      <c r="M1168">
        <f>'Grid_Requirement'!K53</f>
        <v/>
      </c>
      <c r="N1168">
        <f>'Grid_Requirement'!L53</f>
        <v/>
      </c>
      <c r="O1168">
        <f>'Grid_Requirement'!M53</f>
        <v/>
      </c>
      <c r="P1168">
        <f>'Grid_Requirement'!N53</f>
        <v/>
      </c>
      <c r="Q1168">
        <f>'Grid_Requirement'!O53</f>
        <v/>
      </c>
      <c r="R1168">
        <f>'Grid_Requirement'!P53</f>
        <v/>
      </c>
      <c r="S1168">
        <f>'Grid_Requirement'!Q53</f>
        <v/>
      </c>
      <c r="T1168">
        <f>'Grid_Requirement'!R53</f>
        <v/>
      </c>
      <c r="U1168">
        <f>'Grid_Requirement'!S53</f>
        <v/>
      </c>
      <c r="V1168">
        <f>'Grid_Requirement'!T53</f>
        <v/>
      </c>
      <c r="W1168">
        <f>'Grid_Requirement'!U53</f>
        <v/>
      </c>
      <c r="X1168">
        <f>'Grid_Requirement'!V53</f>
        <v/>
      </c>
      <c r="Y1168">
        <f>'Grid_Requirement'!W53</f>
        <v/>
      </c>
      <c r="Z1168">
        <f>'Grid_Requirement'!X53</f>
        <v/>
      </c>
      <c r="AA1168">
        <f>'Grid_Requirement'!Y53</f>
        <v/>
      </c>
      <c r="AB1168">
        <f>'Grid_Requirement'!Z53</f>
        <v/>
      </c>
      <c r="AC1168">
        <f>'Grid_Requirement'!AA53</f>
        <v/>
      </c>
      <c r="AD1168">
        <f>'Grid_Requirement'!AB53</f>
        <v/>
      </c>
      <c r="AE1168">
        <f>'Grid_Requirement'!AC53</f>
        <v/>
      </c>
      <c r="AF1168">
        <f>'Grid_Requirement'!AD53</f>
        <v/>
      </c>
      <c r="AG1168">
        <f>'Grid_Requirement'!AE53</f>
        <v/>
      </c>
      <c r="AH1168">
        <f>'Grid_Requirement'!AF53</f>
        <v/>
      </c>
      <c r="AI1168">
        <f>'Grid_Requirement'!AG53</f>
        <v/>
      </c>
      <c r="AJ1168">
        <f>'Grid_Requirement'!AH53</f>
        <v/>
      </c>
      <c r="AK1168">
        <f>'Grid_Requirement'!AI53</f>
        <v/>
      </c>
      <c r="AL1168">
        <f>'Grid_Requirement'!AJ53</f>
        <v/>
      </c>
      <c r="AM1168">
        <f>'Grid_Requirement'!AK53</f>
        <v/>
      </c>
      <c r="AN1168">
        <f>'Grid_Requirement'!AL53</f>
        <v/>
      </c>
      <c r="AO1168">
        <f>'Grid_Requirement'!AM53</f>
        <v/>
      </c>
      <c r="AP1168">
        <f>'Grid_Requirement'!AN53</f>
        <v/>
      </c>
      <c r="AQ1168">
        <f>'Grid_Requirement'!AO53</f>
        <v/>
      </c>
      <c r="AR1168">
        <f>'Grid_Requirement'!AP53</f>
        <v/>
      </c>
      <c r="AS1168">
        <f>'Grid_Requirement'!AQ53</f>
        <v/>
      </c>
      <c r="AT1168">
        <f>'Grid_Requirement'!AR53</f>
        <v/>
      </c>
      <c r="AU1168">
        <f>'Grid_Requirement'!AS53</f>
        <v/>
      </c>
      <c r="AV1168">
        <f>'Grid_Requirement'!AT53</f>
        <v/>
      </c>
      <c r="AW1168">
        <f>'Grid_Requirement'!AU53</f>
        <v/>
      </c>
      <c r="AX1168">
        <f>'Grid_Requirement'!AV53</f>
        <v/>
      </c>
      <c r="AY1168">
        <f>'Grid_Requirement'!AW53</f>
        <v/>
      </c>
      <c r="AZ1168">
        <f>'Grid_Requirement'!AX53</f>
        <v/>
      </c>
      <c r="BA1168">
        <f>'Grid_Requirement'!AY53</f>
        <v/>
      </c>
      <c r="BB1168">
        <f>'Grid_Requirement'!AZ53</f>
        <v/>
      </c>
      <c r="BC1168">
        <f>'Grid_Requirement'!BA53</f>
        <v/>
      </c>
      <c r="BD1168">
        <f>'Grid_Requirement'!BB53</f>
        <v/>
      </c>
      <c r="BE1168">
        <f>'Grid_Requirement'!BC53</f>
        <v/>
      </c>
      <c r="BF1168">
        <f>'Grid_Requirement'!BD53</f>
        <v/>
      </c>
      <c r="BG1168">
        <f>'Grid_Requirement'!BE53</f>
        <v/>
      </c>
      <c r="BH1168">
        <f>'Grid_Requirement'!BF53</f>
        <v/>
      </c>
      <c r="BI1168">
        <f>'Grid_Requirement'!BG53</f>
        <v/>
      </c>
      <c r="BJ1168">
        <f>'Grid_Requirement'!BH53</f>
        <v/>
      </c>
      <c r="BK1168">
        <f>'Grid_Requirement'!BI53</f>
        <v/>
      </c>
      <c r="BL1168">
        <f>'Grid_Requirement'!BJ53</f>
        <v/>
      </c>
      <c r="BM1168">
        <f>'Grid_Requirement'!BK53</f>
        <v/>
      </c>
      <c r="BN1168">
        <f>'Grid_Requirement'!BL53</f>
        <v/>
      </c>
      <c r="BO1168">
        <f>'Grid_Requirement'!BM53</f>
        <v/>
      </c>
      <c r="BP1168">
        <f>'Grid_Requirement'!BN53</f>
        <v/>
      </c>
      <c r="BQ1168">
        <f>'Grid_Requirement'!BO53</f>
        <v/>
      </c>
      <c r="BR1168">
        <f>'Grid_Requirement'!BP53</f>
        <v/>
      </c>
      <c r="BS1168">
        <f>'Grid_Requirement'!BQ53</f>
        <v/>
      </c>
      <c r="BT1168">
        <f>'Grid_Requirement'!BR53</f>
        <v/>
      </c>
      <c r="BU1168">
        <f>'Grid_Requirement'!BS53</f>
        <v/>
      </c>
      <c r="BV1168">
        <f>'Grid_Requirement'!BT53</f>
        <v/>
      </c>
      <c r="BW1168">
        <f>'Grid_Requirement'!BU53</f>
        <v/>
      </c>
      <c r="BX1168">
        <f>'Grid_Requirement'!BV53</f>
        <v/>
      </c>
      <c r="BY1168">
        <f>'Grid_Requirement'!BW53</f>
        <v/>
      </c>
      <c r="BZ1168">
        <f>'Grid_Requirement'!BX53</f>
        <v/>
      </c>
      <c r="CA1168">
        <f>'Grid_Requirement'!BY53</f>
        <v/>
      </c>
      <c r="CB1168">
        <f>'Grid_Requirement'!BZ53</f>
        <v/>
      </c>
      <c r="CC1168">
        <f>'Grid_Requirement'!CA53</f>
        <v/>
      </c>
      <c r="CD1168">
        <f>'Grid_Requirement'!CB53</f>
        <v/>
      </c>
      <c r="CE1168">
        <f>'Grid_Requirement'!CC53</f>
        <v/>
      </c>
      <c r="CF1168">
        <f>'Grid_Requirement'!CD53</f>
        <v/>
      </c>
      <c r="CG1168">
        <f>'Grid_Requirement'!CE53</f>
        <v/>
      </c>
      <c r="CH1168">
        <f>'Grid_Requirement'!CF53</f>
        <v/>
      </c>
      <c r="CI1168">
        <f>'Grid_Requirement'!CG53</f>
        <v/>
      </c>
      <c r="CJ1168">
        <f>'Grid_Requirement'!CH53</f>
        <v/>
      </c>
      <c r="CK1168">
        <f>'Grid_Requirement'!CI53</f>
        <v/>
      </c>
      <c r="CL1168">
        <f>'Grid_Requirement'!CJ53</f>
        <v/>
      </c>
      <c r="CM1168">
        <f>'Grid_Requirement'!CK53</f>
        <v/>
      </c>
      <c r="CN1168">
        <f>'Grid_Requirement'!CL53</f>
        <v/>
      </c>
      <c r="CO1168">
        <f>'Grid_Requirement'!CM53</f>
        <v/>
      </c>
      <c r="CP1168">
        <f>'Grid_Requirement'!CN53</f>
        <v/>
      </c>
      <c r="CQ1168">
        <f>'Grid_Requirement'!CO53</f>
        <v/>
      </c>
      <c r="CR1168">
        <f>'Grid_Requirement'!CP53</f>
        <v/>
      </c>
      <c r="CS1168">
        <f>'Grid_Requirement'!CQ53</f>
        <v/>
      </c>
      <c r="CT1168">
        <f>'Grid_Requirement'!CR53</f>
        <v/>
      </c>
      <c r="CU1168">
        <f>'Grid_Requirement'!CS53</f>
        <v/>
      </c>
      <c r="CV1168">
        <f>'Grid_Requirement'!CT53</f>
        <v/>
      </c>
      <c r="CW1168">
        <f>'Grid_Requirement'!CU53</f>
        <v/>
      </c>
      <c r="CX1168">
        <f>'Grid_Requirement'!CV53</f>
        <v/>
      </c>
      <c r="CY1168">
        <f>'Grid_Requirement'!CW53</f>
        <v/>
      </c>
      <c r="CZ1168">
        <f>'Grid_Requirement'!CX53</f>
        <v/>
      </c>
      <c r="DA1168">
        <f>'Grid_Requirement'!CY53</f>
        <v/>
      </c>
      <c r="DB1168">
        <f>'Grid_Requirement'!CZ53</f>
        <v/>
      </c>
      <c r="DC1168">
        <f>'Grid_Requirement'!DA53</f>
        <v/>
      </c>
    </row>
    <row r="1169">
      <c r="B1169" t="inlineStr">
        <is>
          <t>TTAF在庫(実績,kg)</t>
        </is>
      </c>
      <c r="D1169">
        <f>'T_TTAFStock'!B57</f>
        <v/>
      </c>
      <c r="E1169">
        <f>'T_TTAFStock'!C57</f>
        <v/>
      </c>
      <c r="F1169">
        <f>'T_TTAFStock'!D57</f>
        <v/>
      </c>
      <c r="G1169">
        <f>'T_TTAFStock'!E57</f>
        <v/>
      </c>
      <c r="H1169">
        <f>'T_TTAFStock'!F57</f>
        <v/>
      </c>
      <c r="I1169">
        <f>'T_TTAFStock'!G57</f>
        <v/>
      </c>
      <c r="J1169">
        <f>'T_TTAFStock'!H57</f>
        <v/>
      </c>
      <c r="K1169">
        <f>'T_TTAFStock'!I57</f>
        <v/>
      </c>
      <c r="L1169">
        <f>'T_TTAFStock'!J57</f>
        <v/>
      </c>
      <c r="M1169">
        <f>'T_TTAFStock'!K57</f>
        <v/>
      </c>
      <c r="N1169">
        <f>'T_TTAFStock'!L57</f>
        <v/>
      </c>
      <c r="O1169">
        <f>'T_TTAFStock'!M57</f>
        <v/>
      </c>
      <c r="P1169">
        <f>'T_TTAFStock'!N57</f>
        <v/>
      </c>
      <c r="Q1169">
        <f>'T_TTAFStock'!O57</f>
        <v/>
      </c>
      <c r="R1169">
        <f>'T_TTAFStock'!P57</f>
        <v/>
      </c>
      <c r="S1169">
        <f>'T_TTAFStock'!Q57</f>
        <v/>
      </c>
      <c r="T1169">
        <f>'T_TTAFStock'!R57</f>
        <v/>
      </c>
      <c r="U1169">
        <f>'T_TTAFStock'!S57</f>
        <v/>
      </c>
      <c r="V1169">
        <f>'T_TTAFStock'!T57</f>
        <v/>
      </c>
      <c r="W1169">
        <f>'T_TTAFStock'!U57</f>
        <v/>
      </c>
      <c r="X1169">
        <f>'T_TTAFStock'!V57</f>
        <v/>
      </c>
      <c r="Y1169">
        <f>'T_TTAFStock'!W57</f>
        <v/>
      </c>
      <c r="Z1169">
        <f>'T_TTAFStock'!X57</f>
        <v/>
      </c>
      <c r="AA1169">
        <f>'T_TTAFStock'!Y57</f>
        <v/>
      </c>
      <c r="AB1169">
        <f>'T_TTAFStock'!Z57</f>
        <v/>
      </c>
      <c r="AC1169">
        <f>'T_TTAFStock'!AA57</f>
        <v/>
      </c>
      <c r="AD1169">
        <f>'T_TTAFStock'!AB57</f>
        <v/>
      </c>
      <c r="AE1169">
        <f>'T_TTAFStock'!AC57</f>
        <v/>
      </c>
      <c r="AF1169">
        <f>'T_TTAFStock'!AD57</f>
        <v/>
      </c>
      <c r="AG1169">
        <f>'T_TTAFStock'!AE57</f>
        <v/>
      </c>
      <c r="AH1169">
        <f>'T_TTAFStock'!AF57</f>
        <v/>
      </c>
      <c r="AI1169">
        <f>'T_TTAFStock'!AG57</f>
        <v/>
      </c>
      <c r="AJ1169">
        <f>'T_TTAFStock'!AH57</f>
        <v/>
      </c>
      <c r="AK1169">
        <f>'T_TTAFStock'!AI57</f>
        <v/>
      </c>
      <c r="AL1169">
        <f>'T_TTAFStock'!AJ57</f>
        <v/>
      </c>
      <c r="AM1169">
        <f>'T_TTAFStock'!AK57</f>
        <v/>
      </c>
      <c r="AN1169">
        <f>'T_TTAFStock'!AL57</f>
        <v/>
      </c>
      <c r="AO1169">
        <f>'T_TTAFStock'!AM57</f>
        <v/>
      </c>
      <c r="AP1169">
        <f>'T_TTAFStock'!AN57</f>
        <v/>
      </c>
      <c r="AQ1169">
        <f>'T_TTAFStock'!AO57</f>
        <v/>
      </c>
      <c r="AR1169">
        <f>'T_TTAFStock'!AP57</f>
        <v/>
      </c>
      <c r="AS1169">
        <f>'T_TTAFStock'!AQ57</f>
        <v/>
      </c>
      <c r="AT1169">
        <f>'T_TTAFStock'!AR57</f>
        <v/>
      </c>
      <c r="AU1169">
        <f>'T_TTAFStock'!AS57</f>
        <v/>
      </c>
      <c r="AV1169">
        <f>'T_TTAFStock'!AT57</f>
        <v/>
      </c>
      <c r="AW1169">
        <f>'T_TTAFStock'!AU57</f>
        <v/>
      </c>
      <c r="AX1169">
        <f>'T_TTAFStock'!AV57</f>
        <v/>
      </c>
      <c r="AY1169">
        <f>'T_TTAFStock'!AW57</f>
        <v/>
      </c>
      <c r="AZ1169">
        <f>'T_TTAFStock'!AX57</f>
        <v/>
      </c>
      <c r="BA1169">
        <f>'T_TTAFStock'!AY57</f>
        <v/>
      </c>
      <c r="BB1169">
        <f>'T_TTAFStock'!AZ57</f>
        <v/>
      </c>
      <c r="BC1169">
        <f>'T_TTAFStock'!BA57</f>
        <v/>
      </c>
      <c r="BD1169">
        <f>'T_TTAFStock'!BB57</f>
        <v/>
      </c>
      <c r="BE1169">
        <f>'T_TTAFStock'!BC57</f>
        <v/>
      </c>
      <c r="BF1169">
        <f>'T_TTAFStock'!BD57</f>
        <v/>
      </c>
      <c r="BG1169">
        <f>'T_TTAFStock'!BE57</f>
        <v/>
      </c>
      <c r="BH1169">
        <f>'T_TTAFStock'!BF57</f>
        <v/>
      </c>
      <c r="BI1169">
        <f>'T_TTAFStock'!BG57</f>
        <v/>
      </c>
      <c r="BJ1169">
        <f>'T_TTAFStock'!BH57</f>
        <v/>
      </c>
      <c r="BK1169">
        <f>'T_TTAFStock'!BI57</f>
        <v/>
      </c>
      <c r="BL1169">
        <f>'T_TTAFStock'!BJ57</f>
        <v/>
      </c>
      <c r="BM1169">
        <f>'T_TTAFStock'!BK57</f>
        <v/>
      </c>
      <c r="BN1169">
        <f>'T_TTAFStock'!BL57</f>
        <v/>
      </c>
      <c r="BO1169">
        <f>'T_TTAFStock'!BM57</f>
        <v/>
      </c>
      <c r="BP1169">
        <f>'T_TTAFStock'!BN57</f>
        <v/>
      </c>
      <c r="BQ1169">
        <f>'T_TTAFStock'!BO57</f>
        <v/>
      </c>
      <c r="BR1169">
        <f>'T_TTAFStock'!BP57</f>
        <v/>
      </c>
      <c r="BS1169">
        <f>'T_TTAFStock'!BQ57</f>
        <v/>
      </c>
      <c r="BT1169">
        <f>'T_TTAFStock'!BR57</f>
        <v/>
      </c>
      <c r="BU1169">
        <f>'T_TTAFStock'!BS57</f>
        <v/>
      </c>
      <c r="BV1169">
        <f>'T_TTAFStock'!BT57</f>
        <v/>
      </c>
      <c r="BW1169">
        <f>'T_TTAFStock'!BU57</f>
        <v/>
      </c>
      <c r="BX1169">
        <f>'T_TTAFStock'!BV57</f>
        <v/>
      </c>
      <c r="BY1169">
        <f>'T_TTAFStock'!BW57</f>
        <v/>
      </c>
      <c r="BZ1169">
        <f>'T_TTAFStock'!BX57</f>
        <v/>
      </c>
      <c r="CA1169">
        <f>'T_TTAFStock'!BY57</f>
        <v/>
      </c>
      <c r="CB1169">
        <f>'T_TTAFStock'!BZ57</f>
        <v/>
      </c>
      <c r="CC1169">
        <f>'T_TTAFStock'!CA57</f>
        <v/>
      </c>
      <c r="CD1169">
        <f>'T_TTAFStock'!CB57</f>
        <v/>
      </c>
      <c r="CE1169">
        <f>'T_TTAFStock'!CC57</f>
        <v/>
      </c>
      <c r="CF1169">
        <f>'T_TTAFStock'!CD57</f>
        <v/>
      </c>
      <c r="CG1169">
        <f>'T_TTAFStock'!CE57</f>
        <v/>
      </c>
      <c r="CH1169">
        <f>'T_TTAFStock'!CF57</f>
        <v/>
      </c>
      <c r="CI1169">
        <f>'T_TTAFStock'!CG57</f>
        <v/>
      </c>
      <c r="CJ1169">
        <f>'T_TTAFStock'!CH57</f>
        <v/>
      </c>
      <c r="CK1169">
        <f>'T_TTAFStock'!CI57</f>
        <v/>
      </c>
      <c r="CL1169">
        <f>'T_TTAFStock'!CJ57</f>
        <v/>
      </c>
      <c r="CM1169">
        <f>'T_TTAFStock'!CK57</f>
        <v/>
      </c>
      <c r="CN1169">
        <f>'T_TTAFStock'!CL57</f>
        <v/>
      </c>
      <c r="CO1169">
        <f>'T_TTAFStock'!CM57</f>
        <v/>
      </c>
      <c r="CP1169">
        <f>'T_TTAFStock'!CN57</f>
        <v/>
      </c>
      <c r="CQ1169">
        <f>'T_TTAFStock'!CO57</f>
        <v/>
      </c>
      <c r="CR1169">
        <f>'T_TTAFStock'!CP57</f>
        <v/>
      </c>
      <c r="CS1169">
        <f>'T_TTAFStock'!CQ57</f>
        <v/>
      </c>
      <c r="CT1169">
        <f>'T_TTAFStock'!CR57</f>
        <v/>
      </c>
      <c r="CU1169">
        <f>'T_TTAFStock'!CS57</f>
        <v/>
      </c>
      <c r="CV1169">
        <f>'T_TTAFStock'!CT57</f>
        <v/>
      </c>
      <c r="CW1169">
        <f>'T_TTAFStock'!CU57</f>
        <v/>
      </c>
      <c r="CX1169">
        <f>'T_TTAFStock'!CV57</f>
        <v/>
      </c>
      <c r="CY1169">
        <f>'T_TTAFStock'!CW57</f>
        <v/>
      </c>
      <c r="CZ1169">
        <f>'T_TTAFStock'!CX57</f>
        <v/>
      </c>
      <c r="DA1169">
        <f>'T_TTAFStock'!CY57</f>
        <v/>
      </c>
      <c r="DB1169">
        <f>'T_TTAFStock'!CZ57</f>
        <v/>
      </c>
      <c r="DC1169">
        <f>'T_TTAFStock'!DA57</f>
        <v/>
      </c>
    </row>
    <row r="1170">
      <c r="B1170" t="inlineStr">
        <is>
          <t>自社在庫(実績,kg)</t>
        </is>
      </c>
      <c r="D1170">
        <f>'T_SelfStock'!B57</f>
        <v/>
      </c>
      <c r="E1170">
        <f>'T_SelfStock'!C57</f>
        <v/>
      </c>
      <c r="F1170">
        <f>'T_SelfStock'!D57</f>
        <v/>
      </c>
      <c r="G1170">
        <f>'T_SelfStock'!E57</f>
        <v/>
      </c>
      <c r="H1170">
        <f>'T_SelfStock'!F57</f>
        <v/>
      </c>
      <c r="I1170">
        <f>'T_SelfStock'!G57</f>
        <v/>
      </c>
      <c r="J1170">
        <f>'T_SelfStock'!H57</f>
        <v/>
      </c>
      <c r="K1170">
        <f>'T_SelfStock'!I57</f>
        <v/>
      </c>
      <c r="L1170">
        <f>'T_SelfStock'!J57</f>
        <v/>
      </c>
      <c r="M1170">
        <f>'T_SelfStock'!K57</f>
        <v/>
      </c>
      <c r="N1170">
        <f>'T_SelfStock'!L57</f>
        <v/>
      </c>
      <c r="O1170">
        <f>'T_SelfStock'!M57</f>
        <v/>
      </c>
      <c r="P1170">
        <f>'T_SelfStock'!N57</f>
        <v/>
      </c>
      <c r="Q1170">
        <f>'T_SelfStock'!O57</f>
        <v/>
      </c>
      <c r="R1170">
        <f>'T_SelfStock'!P57</f>
        <v/>
      </c>
      <c r="S1170">
        <f>'T_SelfStock'!Q57</f>
        <v/>
      </c>
      <c r="T1170">
        <f>'T_SelfStock'!R57</f>
        <v/>
      </c>
      <c r="U1170">
        <f>'T_SelfStock'!S57</f>
        <v/>
      </c>
      <c r="V1170">
        <f>'T_SelfStock'!T57</f>
        <v/>
      </c>
      <c r="W1170">
        <f>'T_SelfStock'!U57</f>
        <v/>
      </c>
      <c r="X1170">
        <f>'T_SelfStock'!V57</f>
        <v/>
      </c>
      <c r="Y1170">
        <f>'T_SelfStock'!W57</f>
        <v/>
      </c>
      <c r="Z1170">
        <f>'T_SelfStock'!X57</f>
        <v/>
      </c>
      <c r="AA1170">
        <f>'T_SelfStock'!Y57</f>
        <v/>
      </c>
      <c r="AB1170">
        <f>'T_SelfStock'!Z57</f>
        <v/>
      </c>
      <c r="AC1170">
        <f>'T_SelfStock'!AA57</f>
        <v/>
      </c>
      <c r="AD1170">
        <f>'T_SelfStock'!AB57</f>
        <v/>
      </c>
      <c r="AE1170">
        <f>'T_SelfStock'!AC57</f>
        <v/>
      </c>
      <c r="AF1170">
        <f>'T_SelfStock'!AD57</f>
        <v/>
      </c>
      <c r="AG1170">
        <f>'T_SelfStock'!AE57</f>
        <v/>
      </c>
      <c r="AH1170">
        <f>'T_SelfStock'!AF57</f>
        <v/>
      </c>
      <c r="AI1170">
        <f>'T_SelfStock'!AG57</f>
        <v/>
      </c>
      <c r="AJ1170">
        <f>'T_SelfStock'!AH57</f>
        <v/>
      </c>
      <c r="AK1170">
        <f>'T_SelfStock'!AI57</f>
        <v/>
      </c>
      <c r="AL1170">
        <f>'T_SelfStock'!AJ57</f>
        <v/>
      </c>
      <c r="AM1170">
        <f>'T_SelfStock'!AK57</f>
        <v/>
      </c>
      <c r="AN1170">
        <f>'T_SelfStock'!AL57</f>
        <v/>
      </c>
      <c r="AO1170">
        <f>'T_SelfStock'!AM57</f>
        <v/>
      </c>
      <c r="AP1170">
        <f>'T_SelfStock'!AN57</f>
        <v/>
      </c>
      <c r="AQ1170">
        <f>'T_SelfStock'!AO57</f>
        <v/>
      </c>
      <c r="AR1170">
        <f>'T_SelfStock'!AP57</f>
        <v/>
      </c>
      <c r="AS1170">
        <f>'T_SelfStock'!AQ57</f>
        <v/>
      </c>
      <c r="AT1170">
        <f>'T_SelfStock'!AR57</f>
        <v/>
      </c>
      <c r="AU1170">
        <f>'T_SelfStock'!AS57</f>
        <v/>
      </c>
      <c r="AV1170">
        <f>'T_SelfStock'!AT57</f>
        <v/>
      </c>
      <c r="AW1170">
        <f>'T_SelfStock'!AU57</f>
        <v/>
      </c>
      <c r="AX1170">
        <f>'T_SelfStock'!AV57</f>
        <v/>
      </c>
      <c r="AY1170">
        <f>'T_SelfStock'!AW57</f>
        <v/>
      </c>
      <c r="AZ1170">
        <f>'T_SelfStock'!AX57</f>
        <v/>
      </c>
      <c r="BA1170">
        <f>'T_SelfStock'!AY57</f>
        <v/>
      </c>
      <c r="BB1170">
        <f>'T_SelfStock'!AZ57</f>
        <v/>
      </c>
      <c r="BC1170">
        <f>'T_SelfStock'!BA57</f>
        <v/>
      </c>
      <c r="BD1170">
        <f>'T_SelfStock'!BB57</f>
        <v/>
      </c>
      <c r="BE1170">
        <f>'T_SelfStock'!BC57</f>
        <v/>
      </c>
      <c r="BF1170">
        <f>'T_SelfStock'!BD57</f>
        <v/>
      </c>
      <c r="BG1170">
        <f>'T_SelfStock'!BE57</f>
        <v/>
      </c>
      <c r="BH1170">
        <f>'T_SelfStock'!BF57</f>
        <v/>
      </c>
      <c r="BI1170">
        <f>'T_SelfStock'!BG57</f>
        <v/>
      </c>
      <c r="BJ1170">
        <f>'T_SelfStock'!BH57</f>
        <v/>
      </c>
      <c r="BK1170">
        <f>'T_SelfStock'!BI57</f>
        <v/>
      </c>
      <c r="BL1170">
        <f>'T_SelfStock'!BJ57</f>
        <v/>
      </c>
      <c r="BM1170">
        <f>'T_SelfStock'!BK57</f>
        <v/>
      </c>
      <c r="BN1170">
        <f>'T_SelfStock'!BL57</f>
        <v/>
      </c>
      <c r="BO1170">
        <f>'T_SelfStock'!BM57</f>
        <v/>
      </c>
      <c r="BP1170">
        <f>'T_SelfStock'!BN57</f>
        <v/>
      </c>
      <c r="BQ1170">
        <f>'T_SelfStock'!BO57</f>
        <v/>
      </c>
      <c r="BR1170">
        <f>'T_SelfStock'!BP57</f>
        <v/>
      </c>
      <c r="BS1170">
        <f>'T_SelfStock'!BQ57</f>
        <v/>
      </c>
      <c r="BT1170">
        <f>'T_SelfStock'!BR57</f>
        <v/>
      </c>
      <c r="BU1170">
        <f>'T_SelfStock'!BS57</f>
        <v/>
      </c>
      <c r="BV1170">
        <f>'T_SelfStock'!BT57</f>
        <v/>
      </c>
      <c r="BW1170">
        <f>'T_SelfStock'!BU57</f>
        <v/>
      </c>
      <c r="BX1170">
        <f>'T_SelfStock'!BV57</f>
        <v/>
      </c>
      <c r="BY1170">
        <f>'T_SelfStock'!BW57</f>
        <v/>
      </c>
      <c r="BZ1170">
        <f>'T_SelfStock'!BX57</f>
        <v/>
      </c>
      <c r="CA1170">
        <f>'T_SelfStock'!BY57</f>
        <v/>
      </c>
      <c r="CB1170">
        <f>'T_SelfStock'!BZ57</f>
        <v/>
      </c>
      <c r="CC1170">
        <f>'T_SelfStock'!CA57</f>
        <v/>
      </c>
      <c r="CD1170">
        <f>'T_SelfStock'!CB57</f>
        <v/>
      </c>
      <c r="CE1170">
        <f>'T_SelfStock'!CC57</f>
        <v/>
      </c>
      <c r="CF1170">
        <f>'T_SelfStock'!CD57</f>
        <v/>
      </c>
      <c r="CG1170">
        <f>'T_SelfStock'!CE57</f>
        <v/>
      </c>
      <c r="CH1170">
        <f>'T_SelfStock'!CF57</f>
        <v/>
      </c>
      <c r="CI1170">
        <f>'T_SelfStock'!CG57</f>
        <v/>
      </c>
      <c r="CJ1170">
        <f>'T_SelfStock'!CH57</f>
        <v/>
      </c>
      <c r="CK1170">
        <f>'T_SelfStock'!CI57</f>
        <v/>
      </c>
      <c r="CL1170">
        <f>'T_SelfStock'!CJ57</f>
        <v/>
      </c>
      <c r="CM1170">
        <f>'T_SelfStock'!CK57</f>
        <v/>
      </c>
      <c r="CN1170">
        <f>'T_SelfStock'!CL57</f>
        <v/>
      </c>
      <c r="CO1170">
        <f>'T_SelfStock'!CM57</f>
        <v/>
      </c>
      <c r="CP1170">
        <f>'T_SelfStock'!CN57</f>
        <v/>
      </c>
      <c r="CQ1170">
        <f>'T_SelfStock'!CO57</f>
        <v/>
      </c>
      <c r="CR1170">
        <f>'T_SelfStock'!CP57</f>
        <v/>
      </c>
      <c r="CS1170">
        <f>'T_SelfStock'!CQ57</f>
        <v/>
      </c>
      <c r="CT1170">
        <f>'T_SelfStock'!CR57</f>
        <v/>
      </c>
      <c r="CU1170">
        <f>'T_SelfStock'!CS57</f>
        <v/>
      </c>
      <c r="CV1170">
        <f>'T_SelfStock'!CT57</f>
        <v/>
      </c>
      <c r="CW1170">
        <f>'T_SelfStock'!CU57</f>
        <v/>
      </c>
      <c r="CX1170">
        <f>'T_SelfStock'!CV57</f>
        <v/>
      </c>
      <c r="CY1170">
        <f>'T_SelfStock'!CW57</f>
        <v/>
      </c>
      <c r="CZ1170">
        <f>'T_SelfStock'!CX57</f>
        <v/>
      </c>
      <c r="DA1170">
        <f>'T_SelfStock'!CY57</f>
        <v/>
      </c>
      <c r="DB1170">
        <f>'T_SelfStock'!CZ57</f>
        <v/>
      </c>
      <c r="DC1170">
        <f>'T_SelfStock'!DA57</f>
        <v/>
      </c>
    </row>
    <row r="1171">
      <c r="B1171" t="inlineStr">
        <is>
          <t>Order(発注予定,kg)</t>
        </is>
      </c>
      <c r="D1171">
        <f>IF(SUMIFS(T_PlannedOrders[EffectiveQty],T_PlannedOrders[Part Name],$A1165,T_PlannedOrders[WeekIndex],1)=0,"",SUMIFS(T_PlannedOrders[EffectiveQty],T_PlannedOrders[Part Name],$A1165,T_PlannedOrders[WeekIndex],1)&amp;" ("&amp;TEXT(SUMPRODUCT(MAX((T_PlannedOrders[Part Name]=$A1165)*(T_PlannedOrders[WeekIndex]=1)*(T_PlannedOrders[EffectiveQty]&gt;0)*T_PlannedOrders[Order_Month])),"m月")&amp;"発注)")</f>
        <v/>
      </c>
      <c r="E1171">
        <f>IF(SUMIFS(T_PlannedOrders[EffectiveQty],T_PlannedOrders[Part Name],$A1165,T_PlannedOrders[WeekIndex],2)=0,"",SUMIFS(T_PlannedOrders[EffectiveQty],T_PlannedOrders[Part Name],$A1165,T_PlannedOrders[WeekIndex],2)&amp;" ("&amp;TEXT(SUMPRODUCT(MAX((T_PlannedOrders[Part Name]=$A1165)*(T_PlannedOrders[WeekIndex]=2)*(T_PlannedOrders[EffectiveQty]&gt;0)*T_PlannedOrders[Order_Month])),"m月")&amp;"発注)")</f>
        <v/>
      </c>
      <c r="F1171">
        <f>IF(SUMIFS(T_PlannedOrders[EffectiveQty],T_PlannedOrders[Part Name],$A1165,T_PlannedOrders[WeekIndex],3)=0,"",SUMIFS(T_PlannedOrders[EffectiveQty],T_PlannedOrders[Part Name],$A1165,T_PlannedOrders[WeekIndex],3)&amp;" ("&amp;TEXT(SUMPRODUCT(MAX((T_PlannedOrders[Part Name]=$A1165)*(T_PlannedOrders[WeekIndex]=3)*(T_PlannedOrders[EffectiveQty]&gt;0)*T_PlannedOrders[Order_Month])),"m月")&amp;"発注)")</f>
        <v/>
      </c>
      <c r="G1171">
        <f>IF(SUMIFS(T_PlannedOrders[EffectiveQty],T_PlannedOrders[Part Name],$A1165,T_PlannedOrders[WeekIndex],4)=0,"",SUMIFS(T_PlannedOrders[EffectiveQty],T_PlannedOrders[Part Name],$A1165,T_PlannedOrders[WeekIndex],4)&amp;" ("&amp;TEXT(SUMPRODUCT(MAX((T_PlannedOrders[Part Name]=$A1165)*(T_PlannedOrders[WeekIndex]=4)*(T_PlannedOrders[EffectiveQty]&gt;0)*T_PlannedOrders[Order_Month])),"m月")&amp;"発注)")</f>
        <v/>
      </c>
      <c r="H1171">
        <f>IF(SUMIFS(T_PlannedOrders[EffectiveQty],T_PlannedOrders[Part Name],$A1165,T_PlannedOrders[WeekIndex],5)=0,"",SUMIFS(T_PlannedOrders[EffectiveQty],T_PlannedOrders[Part Name],$A1165,T_PlannedOrders[WeekIndex],5)&amp;" ("&amp;TEXT(SUMPRODUCT(MAX((T_PlannedOrders[Part Name]=$A1165)*(T_PlannedOrders[WeekIndex]=5)*(T_PlannedOrders[EffectiveQty]&gt;0)*T_PlannedOrders[Order_Month])),"m月")&amp;"発注)")</f>
        <v/>
      </c>
      <c r="I1171">
        <f>IF(SUMIFS(T_PlannedOrders[EffectiveQty],T_PlannedOrders[Part Name],$A1165,T_PlannedOrders[WeekIndex],6)=0,"",SUMIFS(T_PlannedOrders[EffectiveQty],T_PlannedOrders[Part Name],$A1165,T_PlannedOrders[WeekIndex],6)&amp;" ("&amp;TEXT(SUMPRODUCT(MAX((T_PlannedOrders[Part Name]=$A1165)*(T_PlannedOrders[WeekIndex]=6)*(T_PlannedOrders[EffectiveQty]&gt;0)*T_PlannedOrders[Order_Month])),"m月")&amp;"発注)")</f>
        <v/>
      </c>
      <c r="J1171">
        <f>IF(SUMIFS(T_PlannedOrders[EffectiveQty],T_PlannedOrders[Part Name],$A1165,T_PlannedOrders[WeekIndex],7)=0,"",SUMIFS(T_PlannedOrders[EffectiveQty],T_PlannedOrders[Part Name],$A1165,T_PlannedOrders[WeekIndex],7)&amp;" ("&amp;TEXT(SUMPRODUCT(MAX((T_PlannedOrders[Part Name]=$A1165)*(T_PlannedOrders[WeekIndex]=7)*(T_PlannedOrders[EffectiveQty]&gt;0)*T_PlannedOrders[Order_Month])),"m月")&amp;"発注)")</f>
        <v/>
      </c>
      <c r="K1171">
        <f>IF(SUMIFS(T_PlannedOrders[EffectiveQty],T_PlannedOrders[Part Name],$A1165,T_PlannedOrders[WeekIndex],8)=0,"",SUMIFS(T_PlannedOrders[EffectiveQty],T_PlannedOrders[Part Name],$A1165,T_PlannedOrders[WeekIndex],8)&amp;" ("&amp;TEXT(SUMPRODUCT(MAX((T_PlannedOrders[Part Name]=$A1165)*(T_PlannedOrders[WeekIndex]=8)*(T_PlannedOrders[EffectiveQty]&gt;0)*T_PlannedOrders[Order_Month])),"m月")&amp;"発注)")</f>
        <v/>
      </c>
      <c r="L1171">
        <f>IF(SUMIFS(T_PlannedOrders[EffectiveQty],T_PlannedOrders[Part Name],$A1165,T_PlannedOrders[WeekIndex],9)=0,"",SUMIFS(T_PlannedOrders[EffectiveQty],T_PlannedOrders[Part Name],$A1165,T_PlannedOrders[WeekIndex],9)&amp;" ("&amp;TEXT(SUMPRODUCT(MAX((T_PlannedOrders[Part Name]=$A1165)*(T_PlannedOrders[WeekIndex]=9)*(T_PlannedOrders[EffectiveQty]&gt;0)*T_PlannedOrders[Order_Month])),"m月")&amp;"発注)")</f>
        <v/>
      </c>
      <c r="M1171">
        <f>IF(SUMIFS(T_PlannedOrders[EffectiveQty],T_PlannedOrders[Part Name],$A1165,T_PlannedOrders[WeekIndex],10)=0,"",SUMIFS(T_PlannedOrders[EffectiveQty],T_PlannedOrders[Part Name],$A1165,T_PlannedOrders[WeekIndex],10)&amp;" ("&amp;TEXT(SUMPRODUCT(MAX((T_PlannedOrders[Part Name]=$A1165)*(T_PlannedOrders[WeekIndex]=10)*(T_PlannedOrders[EffectiveQty]&gt;0)*T_PlannedOrders[Order_Month])),"m月")&amp;"発注)")</f>
        <v/>
      </c>
      <c r="N1171">
        <f>IF(SUMIFS(T_PlannedOrders[EffectiveQty],T_PlannedOrders[Part Name],$A1165,T_PlannedOrders[WeekIndex],11)=0,"",SUMIFS(T_PlannedOrders[EffectiveQty],T_PlannedOrders[Part Name],$A1165,T_PlannedOrders[WeekIndex],11)&amp;" ("&amp;TEXT(SUMPRODUCT(MAX((T_PlannedOrders[Part Name]=$A1165)*(T_PlannedOrders[WeekIndex]=11)*(T_PlannedOrders[EffectiveQty]&gt;0)*T_PlannedOrders[Order_Month])),"m月")&amp;"発注)")</f>
        <v/>
      </c>
      <c r="O1171">
        <f>IF(SUMIFS(T_PlannedOrders[EffectiveQty],T_PlannedOrders[Part Name],$A1165,T_PlannedOrders[WeekIndex],12)=0,"",SUMIFS(T_PlannedOrders[EffectiveQty],T_PlannedOrders[Part Name],$A1165,T_PlannedOrders[WeekIndex],12)&amp;" ("&amp;TEXT(SUMPRODUCT(MAX((T_PlannedOrders[Part Name]=$A1165)*(T_PlannedOrders[WeekIndex]=12)*(T_PlannedOrders[EffectiveQty]&gt;0)*T_PlannedOrders[Order_Month])),"m月")&amp;"発注)")</f>
        <v/>
      </c>
      <c r="P1171">
        <f>IF(SUMIFS(T_PlannedOrders[EffectiveQty],T_PlannedOrders[Part Name],$A1165,T_PlannedOrders[WeekIndex],13)=0,"",SUMIFS(T_PlannedOrders[EffectiveQty],T_PlannedOrders[Part Name],$A1165,T_PlannedOrders[WeekIndex],13)&amp;" ("&amp;TEXT(SUMPRODUCT(MAX((T_PlannedOrders[Part Name]=$A1165)*(T_PlannedOrders[WeekIndex]=13)*(T_PlannedOrders[EffectiveQty]&gt;0)*T_PlannedOrders[Order_Month])),"m月")&amp;"発注)")</f>
        <v/>
      </c>
      <c r="Q1171">
        <f>IF(SUMIFS(T_PlannedOrders[EffectiveQty],T_PlannedOrders[Part Name],$A1165,T_PlannedOrders[WeekIndex],14)=0,"",SUMIFS(T_PlannedOrders[EffectiveQty],T_PlannedOrders[Part Name],$A1165,T_PlannedOrders[WeekIndex],14)&amp;" ("&amp;TEXT(SUMPRODUCT(MAX((T_PlannedOrders[Part Name]=$A1165)*(T_PlannedOrders[WeekIndex]=14)*(T_PlannedOrders[EffectiveQty]&gt;0)*T_PlannedOrders[Order_Month])),"m月")&amp;"発注)")</f>
        <v/>
      </c>
      <c r="R1171">
        <f>IF(SUMIFS(T_PlannedOrders[EffectiveQty],T_PlannedOrders[Part Name],$A1165,T_PlannedOrders[WeekIndex],15)=0,"",SUMIFS(T_PlannedOrders[EffectiveQty],T_PlannedOrders[Part Name],$A1165,T_PlannedOrders[WeekIndex],15)&amp;" ("&amp;TEXT(SUMPRODUCT(MAX((T_PlannedOrders[Part Name]=$A1165)*(T_PlannedOrders[WeekIndex]=15)*(T_PlannedOrders[EffectiveQty]&gt;0)*T_PlannedOrders[Order_Month])),"m月")&amp;"発注)")</f>
        <v/>
      </c>
      <c r="S1171">
        <f>IF(SUMIFS(T_PlannedOrders[EffectiveQty],T_PlannedOrders[Part Name],$A1165,T_PlannedOrders[WeekIndex],16)=0,"",SUMIFS(T_PlannedOrders[EffectiveQty],T_PlannedOrders[Part Name],$A1165,T_PlannedOrders[WeekIndex],16)&amp;" ("&amp;TEXT(SUMPRODUCT(MAX((T_PlannedOrders[Part Name]=$A1165)*(T_PlannedOrders[WeekIndex]=16)*(T_PlannedOrders[EffectiveQty]&gt;0)*T_PlannedOrders[Order_Month])),"m月")&amp;"発注)")</f>
        <v/>
      </c>
      <c r="T1171">
        <f>IF(SUMIFS(T_PlannedOrders[EffectiveQty],T_PlannedOrders[Part Name],$A1165,T_PlannedOrders[WeekIndex],17)=0,"",SUMIFS(T_PlannedOrders[EffectiveQty],T_PlannedOrders[Part Name],$A1165,T_PlannedOrders[WeekIndex],17)&amp;" ("&amp;TEXT(SUMPRODUCT(MAX((T_PlannedOrders[Part Name]=$A1165)*(T_PlannedOrders[WeekIndex]=17)*(T_PlannedOrders[EffectiveQty]&gt;0)*T_PlannedOrders[Order_Month])),"m月")&amp;"発注)")</f>
        <v/>
      </c>
      <c r="U1171">
        <f>IF(SUMIFS(T_PlannedOrders[EffectiveQty],T_PlannedOrders[Part Name],$A1165,T_PlannedOrders[WeekIndex],18)=0,"",SUMIFS(T_PlannedOrders[EffectiveQty],T_PlannedOrders[Part Name],$A1165,T_PlannedOrders[WeekIndex],18)&amp;" ("&amp;TEXT(SUMPRODUCT(MAX((T_PlannedOrders[Part Name]=$A1165)*(T_PlannedOrders[WeekIndex]=18)*(T_PlannedOrders[EffectiveQty]&gt;0)*T_PlannedOrders[Order_Month])),"m月")&amp;"発注)")</f>
        <v/>
      </c>
      <c r="V1171">
        <f>IF(SUMIFS(T_PlannedOrders[EffectiveQty],T_PlannedOrders[Part Name],$A1165,T_PlannedOrders[WeekIndex],19)=0,"",SUMIFS(T_PlannedOrders[EffectiveQty],T_PlannedOrders[Part Name],$A1165,T_PlannedOrders[WeekIndex],19)&amp;" ("&amp;TEXT(SUMPRODUCT(MAX((T_PlannedOrders[Part Name]=$A1165)*(T_PlannedOrders[WeekIndex]=19)*(T_PlannedOrders[EffectiveQty]&gt;0)*T_PlannedOrders[Order_Month])),"m月")&amp;"発注)")</f>
        <v/>
      </c>
      <c r="W1171">
        <f>IF(SUMIFS(T_PlannedOrders[EffectiveQty],T_PlannedOrders[Part Name],$A1165,T_PlannedOrders[WeekIndex],20)=0,"",SUMIFS(T_PlannedOrders[EffectiveQty],T_PlannedOrders[Part Name],$A1165,T_PlannedOrders[WeekIndex],20)&amp;" ("&amp;TEXT(SUMPRODUCT(MAX((T_PlannedOrders[Part Name]=$A1165)*(T_PlannedOrders[WeekIndex]=20)*(T_PlannedOrders[EffectiveQty]&gt;0)*T_PlannedOrders[Order_Month])),"m月")&amp;"発注)")</f>
        <v/>
      </c>
      <c r="X1171">
        <f>IF(SUMIFS(T_PlannedOrders[EffectiveQty],T_PlannedOrders[Part Name],$A1165,T_PlannedOrders[WeekIndex],21)=0,"",SUMIFS(T_PlannedOrders[EffectiveQty],T_PlannedOrders[Part Name],$A1165,T_PlannedOrders[WeekIndex],21)&amp;" ("&amp;TEXT(SUMPRODUCT(MAX((T_PlannedOrders[Part Name]=$A1165)*(T_PlannedOrders[WeekIndex]=21)*(T_PlannedOrders[EffectiveQty]&gt;0)*T_PlannedOrders[Order_Month])),"m月")&amp;"発注)")</f>
        <v/>
      </c>
      <c r="Y1171">
        <f>IF(SUMIFS(T_PlannedOrders[EffectiveQty],T_PlannedOrders[Part Name],$A1165,T_PlannedOrders[WeekIndex],22)=0,"",SUMIFS(T_PlannedOrders[EffectiveQty],T_PlannedOrders[Part Name],$A1165,T_PlannedOrders[WeekIndex],22)&amp;" ("&amp;TEXT(SUMPRODUCT(MAX((T_PlannedOrders[Part Name]=$A1165)*(T_PlannedOrders[WeekIndex]=22)*(T_PlannedOrders[EffectiveQty]&gt;0)*T_PlannedOrders[Order_Month])),"m月")&amp;"発注)")</f>
        <v/>
      </c>
      <c r="Z1171">
        <f>IF(SUMIFS(T_PlannedOrders[EffectiveQty],T_PlannedOrders[Part Name],$A1165,T_PlannedOrders[WeekIndex],23)=0,"",SUMIFS(T_PlannedOrders[EffectiveQty],T_PlannedOrders[Part Name],$A1165,T_PlannedOrders[WeekIndex],23)&amp;" ("&amp;TEXT(SUMPRODUCT(MAX((T_PlannedOrders[Part Name]=$A1165)*(T_PlannedOrders[WeekIndex]=23)*(T_PlannedOrders[EffectiveQty]&gt;0)*T_PlannedOrders[Order_Month])),"m月")&amp;"発注)")</f>
        <v/>
      </c>
      <c r="AA1171">
        <f>IF(SUMIFS(T_PlannedOrders[EffectiveQty],T_PlannedOrders[Part Name],$A1165,T_PlannedOrders[WeekIndex],24)=0,"",SUMIFS(T_PlannedOrders[EffectiveQty],T_PlannedOrders[Part Name],$A1165,T_PlannedOrders[WeekIndex],24)&amp;" ("&amp;TEXT(SUMPRODUCT(MAX((T_PlannedOrders[Part Name]=$A1165)*(T_PlannedOrders[WeekIndex]=24)*(T_PlannedOrders[EffectiveQty]&gt;0)*T_PlannedOrders[Order_Month])),"m月")&amp;"発注)")</f>
        <v/>
      </c>
      <c r="AB1171">
        <f>IF(SUMIFS(T_PlannedOrders[EffectiveQty],T_PlannedOrders[Part Name],$A1165,T_PlannedOrders[WeekIndex],25)=0,"",SUMIFS(T_PlannedOrders[EffectiveQty],T_PlannedOrders[Part Name],$A1165,T_PlannedOrders[WeekIndex],25)&amp;" ("&amp;TEXT(SUMPRODUCT(MAX((T_PlannedOrders[Part Name]=$A1165)*(T_PlannedOrders[WeekIndex]=25)*(T_PlannedOrders[EffectiveQty]&gt;0)*T_PlannedOrders[Order_Month])),"m月")&amp;"発注)")</f>
        <v/>
      </c>
      <c r="AC1171">
        <f>IF(SUMIFS(T_PlannedOrders[EffectiveQty],T_PlannedOrders[Part Name],$A1165,T_PlannedOrders[WeekIndex],26)=0,"",SUMIFS(T_PlannedOrders[EffectiveQty],T_PlannedOrders[Part Name],$A1165,T_PlannedOrders[WeekIndex],26)&amp;" ("&amp;TEXT(SUMPRODUCT(MAX((T_PlannedOrders[Part Name]=$A1165)*(T_PlannedOrders[WeekIndex]=26)*(T_PlannedOrders[EffectiveQty]&gt;0)*T_PlannedOrders[Order_Month])),"m月")&amp;"発注)")</f>
        <v/>
      </c>
      <c r="AD1171">
        <f>IF(SUMIFS(T_PlannedOrders[EffectiveQty],T_PlannedOrders[Part Name],$A1165,T_PlannedOrders[WeekIndex],27)=0,"",SUMIFS(T_PlannedOrders[EffectiveQty],T_PlannedOrders[Part Name],$A1165,T_PlannedOrders[WeekIndex],27)&amp;" ("&amp;TEXT(SUMPRODUCT(MAX((T_PlannedOrders[Part Name]=$A1165)*(T_PlannedOrders[WeekIndex]=27)*(T_PlannedOrders[EffectiveQty]&gt;0)*T_PlannedOrders[Order_Month])),"m月")&amp;"発注)")</f>
        <v/>
      </c>
      <c r="AE1171">
        <f>IF(SUMIFS(T_PlannedOrders[EffectiveQty],T_PlannedOrders[Part Name],$A1165,T_PlannedOrders[WeekIndex],28)=0,"",SUMIFS(T_PlannedOrders[EffectiveQty],T_PlannedOrders[Part Name],$A1165,T_PlannedOrders[WeekIndex],28)&amp;" ("&amp;TEXT(SUMPRODUCT(MAX((T_PlannedOrders[Part Name]=$A1165)*(T_PlannedOrders[WeekIndex]=28)*(T_PlannedOrders[EffectiveQty]&gt;0)*T_PlannedOrders[Order_Month])),"m月")&amp;"発注)")</f>
        <v/>
      </c>
      <c r="AF1171">
        <f>IF(SUMIFS(T_PlannedOrders[EffectiveQty],T_PlannedOrders[Part Name],$A1165,T_PlannedOrders[WeekIndex],29)=0,"",SUMIFS(T_PlannedOrders[EffectiveQty],T_PlannedOrders[Part Name],$A1165,T_PlannedOrders[WeekIndex],29)&amp;" ("&amp;TEXT(SUMPRODUCT(MAX((T_PlannedOrders[Part Name]=$A1165)*(T_PlannedOrders[WeekIndex]=29)*(T_PlannedOrders[EffectiveQty]&gt;0)*T_PlannedOrders[Order_Month])),"m月")&amp;"発注)")</f>
        <v/>
      </c>
      <c r="AG1171">
        <f>IF(SUMIFS(T_PlannedOrders[EffectiveQty],T_PlannedOrders[Part Name],$A1165,T_PlannedOrders[WeekIndex],30)=0,"",SUMIFS(T_PlannedOrders[EffectiveQty],T_PlannedOrders[Part Name],$A1165,T_PlannedOrders[WeekIndex],30)&amp;" ("&amp;TEXT(SUMPRODUCT(MAX((T_PlannedOrders[Part Name]=$A1165)*(T_PlannedOrders[WeekIndex]=30)*(T_PlannedOrders[EffectiveQty]&gt;0)*T_PlannedOrders[Order_Month])),"m月")&amp;"発注)")</f>
        <v/>
      </c>
      <c r="AH1171">
        <f>IF(SUMIFS(T_PlannedOrders[EffectiveQty],T_PlannedOrders[Part Name],$A1165,T_PlannedOrders[WeekIndex],31)=0,"",SUMIFS(T_PlannedOrders[EffectiveQty],T_PlannedOrders[Part Name],$A1165,T_PlannedOrders[WeekIndex],31)&amp;" ("&amp;TEXT(SUMPRODUCT(MAX((T_PlannedOrders[Part Name]=$A1165)*(T_PlannedOrders[WeekIndex]=31)*(T_PlannedOrders[EffectiveQty]&gt;0)*T_PlannedOrders[Order_Month])),"m月")&amp;"発注)")</f>
        <v/>
      </c>
      <c r="AI1171">
        <f>IF(SUMIFS(T_PlannedOrders[EffectiveQty],T_PlannedOrders[Part Name],$A1165,T_PlannedOrders[WeekIndex],32)=0,"",SUMIFS(T_PlannedOrders[EffectiveQty],T_PlannedOrders[Part Name],$A1165,T_PlannedOrders[WeekIndex],32)&amp;" ("&amp;TEXT(SUMPRODUCT(MAX((T_PlannedOrders[Part Name]=$A1165)*(T_PlannedOrders[WeekIndex]=32)*(T_PlannedOrders[EffectiveQty]&gt;0)*T_PlannedOrders[Order_Month])),"m月")&amp;"発注)")</f>
        <v/>
      </c>
      <c r="AJ1171">
        <f>IF(SUMIFS(T_PlannedOrders[EffectiveQty],T_PlannedOrders[Part Name],$A1165,T_PlannedOrders[WeekIndex],33)=0,"",SUMIFS(T_PlannedOrders[EffectiveQty],T_PlannedOrders[Part Name],$A1165,T_PlannedOrders[WeekIndex],33)&amp;" ("&amp;TEXT(SUMPRODUCT(MAX((T_PlannedOrders[Part Name]=$A1165)*(T_PlannedOrders[WeekIndex]=33)*(T_PlannedOrders[EffectiveQty]&gt;0)*T_PlannedOrders[Order_Month])),"m月")&amp;"発注)")</f>
        <v/>
      </c>
      <c r="AK1171">
        <f>IF(SUMIFS(T_PlannedOrders[EffectiveQty],T_PlannedOrders[Part Name],$A1165,T_PlannedOrders[WeekIndex],34)=0,"",SUMIFS(T_PlannedOrders[EffectiveQty],T_PlannedOrders[Part Name],$A1165,T_PlannedOrders[WeekIndex],34)&amp;" ("&amp;TEXT(SUMPRODUCT(MAX((T_PlannedOrders[Part Name]=$A1165)*(T_PlannedOrders[WeekIndex]=34)*(T_PlannedOrders[EffectiveQty]&gt;0)*T_PlannedOrders[Order_Month])),"m月")&amp;"発注)")</f>
        <v/>
      </c>
      <c r="AL1171">
        <f>IF(SUMIFS(T_PlannedOrders[EffectiveQty],T_PlannedOrders[Part Name],$A1165,T_PlannedOrders[WeekIndex],35)=0,"",SUMIFS(T_PlannedOrders[EffectiveQty],T_PlannedOrders[Part Name],$A1165,T_PlannedOrders[WeekIndex],35)&amp;" ("&amp;TEXT(SUMPRODUCT(MAX((T_PlannedOrders[Part Name]=$A1165)*(T_PlannedOrders[WeekIndex]=35)*(T_PlannedOrders[EffectiveQty]&gt;0)*T_PlannedOrders[Order_Month])),"m月")&amp;"発注)")</f>
        <v/>
      </c>
      <c r="AM1171">
        <f>IF(SUMIFS(T_PlannedOrders[EffectiveQty],T_PlannedOrders[Part Name],$A1165,T_PlannedOrders[WeekIndex],36)=0,"",SUMIFS(T_PlannedOrders[EffectiveQty],T_PlannedOrders[Part Name],$A1165,T_PlannedOrders[WeekIndex],36)&amp;" ("&amp;TEXT(SUMPRODUCT(MAX((T_PlannedOrders[Part Name]=$A1165)*(T_PlannedOrders[WeekIndex]=36)*(T_PlannedOrders[EffectiveQty]&gt;0)*T_PlannedOrders[Order_Month])),"m月")&amp;"発注)")</f>
        <v/>
      </c>
      <c r="AN1171">
        <f>IF(SUMIFS(T_PlannedOrders[EffectiveQty],T_PlannedOrders[Part Name],$A1165,T_PlannedOrders[WeekIndex],37)=0,"",SUMIFS(T_PlannedOrders[EffectiveQty],T_PlannedOrders[Part Name],$A1165,T_PlannedOrders[WeekIndex],37)&amp;" ("&amp;TEXT(SUMPRODUCT(MAX((T_PlannedOrders[Part Name]=$A1165)*(T_PlannedOrders[WeekIndex]=37)*(T_PlannedOrders[EffectiveQty]&gt;0)*T_PlannedOrders[Order_Month])),"m月")&amp;"発注)")</f>
        <v/>
      </c>
      <c r="AO1171">
        <f>IF(SUMIFS(T_PlannedOrders[EffectiveQty],T_PlannedOrders[Part Name],$A1165,T_PlannedOrders[WeekIndex],38)=0,"",SUMIFS(T_PlannedOrders[EffectiveQty],T_PlannedOrders[Part Name],$A1165,T_PlannedOrders[WeekIndex],38)&amp;" ("&amp;TEXT(SUMPRODUCT(MAX((T_PlannedOrders[Part Name]=$A1165)*(T_PlannedOrders[WeekIndex]=38)*(T_PlannedOrders[EffectiveQty]&gt;0)*T_PlannedOrders[Order_Month])),"m月")&amp;"発注)")</f>
        <v/>
      </c>
      <c r="AP1171">
        <f>IF(SUMIFS(T_PlannedOrders[EffectiveQty],T_PlannedOrders[Part Name],$A1165,T_PlannedOrders[WeekIndex],39)=0,"",SUMIFS(T_PlannedOrders[EffectiveQty],T_PlannedOrders[Part Name],$A1165,T_PlannedOrders[WeekIndex],39)&amp;" ("&amp;TEXT(SUMPRODUCT(MAX((T_PlannedOrders[Part Name]=$A1165)*(T_PlannedOrders[WeekIndex]=39)*(T_PlannedOrders[EffectiveQty]&gt;0)*T_PlannedOrders[Order_Month])),"m月")&amp;"発注)")</f>
        <v/>
      </c>
      <c r="AQ1171">
        <f>IF(SUMIFS(T_PlannedOrders[EffectiveQty],T_PlannedOrders[Part Name],$A1165,T_PlannedOrders[WeekIndex],40)=0,"",SUMIFS(T_PlannedOrders[EffectiveQty],T_PlannedOrders[Part Name],$A1165,T_PlannedOrders[WeekIndex],40)&amp;" ("&amp;TEXT(SUMPRODUCT(MAX((T_PlannedOrders[Part Name]=$A1165)*(T_PlannedOrders[WeekIndex]=40)*(T_PlannedOrders[EffectiveQty]&gt;0)*T_PlannedOrders[Order_Month])),"m月")&amp;"発注)")</f>
        <v/>
      </c>
      <c r="AR1171">
        <f>IF(SUMIFS(T_PlannedOrders[EffectiveQty],T_PlannedOrders[Part Name],$A1165,T_PlannedOrders[WeekIndex],41)=0,"",SUMIFS(T_PlannedOrders[EffectiveQty],T_PlannedOrders[Part Name],$A1165,T_PlannedOrders[WeekIndex],41)&amp;" ("&amp;TEXT(SUMPRODUCT(MAX((T_PlannedOrders[Part Name]=$A1165)*(T_PlannedOrders[WeekIndex]=41)*(T_PlannedOrders[EffectiveQty]&gt;0)*T_PlannedOrders[Order_Month])),"m月")&amp;"発注)")</f>
        <v/>
      </c>
      <c r="AS1171">
        <f>IF(SUMIFS(T_PlannedOrders[EffectiveQty],T_PlannedOrders[Part Name],$A1165,T_PlannedOrders[WeekIndex],42)=0,"",SUMIFS(T_PlannedOrders[EffectiveQty],T_PlannedOrders[Part Name],$A1165,T_PlannedOrders[WeekIndex],42)&amp;" ("&amp;TEXT(SUMPRODUCT(MAX((T_PlannedOrders[Part Name]=$A1165)*(T_PlannedOrders[WeekIndex]=42)*(T_PlannedOrders[EffectiveQty]&gt;0)*T_PlannedOrders[Order_Month])),"m月")&amp;"発注)")</f>
        <v/>
      </c>
      <c r="AT1171">
        <f>IF(SUMIFS(T_PlannedOrders[EffectiveQty],T_PlannedOrders[Part Name],$A1165,T_PlannedOrders[WeekIndex],43)=0,"",SUMIFS(T_PlannedOrders[EffectiveQty],T_PlannedOrders[Part Name],$A1165,T_PlannedOrders[WeekIndex],43)&amp;" ("&amp;TEXT(SUMPRODUCT(MAX((T_PlannedOrders[Part Name]=$A1165)*(T_PlannedOrders[WeekIndex]=43)*(T_PlannedOrders[EffectiveQty]&gt;0)*T_PlannedOrders[Order_Month])),"m月")&amp;"発注)")</f>
        <v/>
      </c>
      <c r="AU1171">
        <f>IF(SUMIFS(T_PlannedOrders[EffectiveQty],T_PlannedOrders[Part Name],$A1165,T_PlannedOrders[WeekIndex],44)=0,"",SUMIFS(T_PlannedOrders[EffectiveQty],T_PlannedOrders[Part Name],$A1165,T_PlannedOrders[WeekIndex],44)&amp;" ("&amp;TEXT(SUMPRODUCT(MAX((T_PlannedOrders[Part Name]=$A1165)*(T_PlannedOrders[WeekIndex]=44)*(T_PlannedOrders[EffectiveQty]&gt;0)*T_PlannedOrders[Order_Month])),"m月")&amp;"発注)")</f>
        <v/>
      </c>
      <c r="AV1171">
        <f>IF(SUMIFS(T_PlannedOrders[EffectiveQty],T_PlannedOrders[Part Name],$A1165,T_PlannedOrders[WeekIndex],45)=0,"",SUMIFS(T_PlannedOrders[EffectiveQty],T_PlannedOrders[Part Name],$A1165,T_PlannedOrders[WeekIndex],45)&amp;" ("&amp;TEXT(SUMPRODUCT(MAX((T_PlannedOrders[Part Name]=$A1165)*(T_PlannedOrders[WeekIndex]=45)*(T_PlannedOrders[EffectiveQty]&gt;0)*T_PlannedOrders[Order_Month])),"m月")&amp;"発注)")</f>
        <v/>
      </c>
      <c r="AW1171">
        <f>IF(SUMIFS(T_PlannedOrders[EffectiveQty],T_PlannedOrders[Part Name],$A1165,T_PlannedOrders[WeekIndex],46)=0,"",SUMIFS(T_PlannedOrders[EffectiveQty],T_PlannedOrders[Part Name],$A1165,T_PlannedOrders[WeekIndex],46)&amp;" ("&amp;TEXT(SUMPRODUCT(MAX((T_PlannedOrders[Part Name]=$A1165)*(T_PlannedOrders[WeekIndex]=46)*(T_PlannedOrders[EffectiveQty]&gt;0)*T_PlannedOrders[Order_Month])),"m月")&amp;"発注)")</f>
        <v/>
      </c>
      <c r="AX1171">
        <f>IF(SUMIFS(T_PlannedOrders[EffectiveQty],T_PlannedOrders[Part Name],$A1165,T_PlannedOrders[WeekIndex],47)=0,"",SUMIFS(T_PlannedOrders[EffectiveQty],T_PlannedOrders[Part Name],$A1165,T_PlannedOrders[WeekIndex],47)&amp;" ("&amp;TEXT(SUMPRODUCT(MAX((T_PlannedOrders[Part Name]=$A1165)*(T_PlannedOrders[WeekIndex]=47)*(T_PlannedOrders[EffectiveQty]&gt;0)*T_PlannedOrders[Order_Month])),"m月")&amp;"発注)")</f>
        <v/>
      </c>
      <c r="AY1171">
        <f>IF(SUMIFS(T_PlannedOrders[EffectiveQty],T_PlannedOrders[Part Name],$A1165,T_PlannedOrders[WeekIndex],48)=0,"",SUMIFS(T_PlannedOrders[EffectiveQty],T_PlannedOrders[Part Name],$A1165,T_PlannedOrders[WeekIndex],48)&amp;" ("&amp;TEXT(SUMPRODUCT(MAX((T_PlannedOrders[Part Name]=$A1165)*(T_PlannedOrders[WeekIndex]=48)*(T_PlannedOrders[EffectiveQty]&gt;0)*T_PlannedOrders[Order_Month])),"m月")&amp;"発注)")</f>
        <v/>
      </c>
      <c r="AZ1171">
        <f>IF(SUMIFS(T_PlannedOrders[EffectiveQty],T_PlannedOrders[Part Name],$A1165,T_PlannedOrders[WeekIndex],49)=0,"",SUMIFS(T_PlannedOrders[EffectiveQty],T_PlannedOrders[Part Name],$A1165,T_PlannedOrders[WeekIndex],49)&amp;" ("&amp;TEXT(SUMPRODUCT(MAX((T_PlannedOrders[Part Name]=$A1165)*(T_PlannedOrders[WeekIndex]=49)*(T_PlannedOrders[EffectiveQty]&gt;0)*T_PlannedOrders[Order_Month])),"m月")&amp;"発注)")</f>
        <v/>
      </c>
      <c r="BA1171">
        <f>IF(SUMIFS(T_PlannedOrders[EffectiveQty],T_PlannedOrders[Part Name],$A1165,T_PlannedOrders[WeekIndex],50)=0,"",SUMIFS(T_PlannedOrders[EffectiveQty],T_PlannedOrders[Part Name],$A1165,T_PlannedOrders[WeekIndex],50)&amp;" ("&amp;TEXT(SUMPRODUCT(MAX((T_PlannedOrders[Part Name]=$A1165)*(T_PlannedOrders[WeekIndex]=50)*(T_PlannedOrders[EffectiveQty]&gt;0)*T_PlannedOrders[Order_Month])),"m月")&amp;"発注)")</f>
        <v/>
      </c>
      <c r="BB1171">
        <f>IF(SUMIFS(T_PlannedOrders[EffectiveQty],T_PlannedOrders[Part Name],$A1165,T_PlannedOrders[WeekIndex],51)=0,"",SUMIFS(T_PlannedOrders[EffectiveQty],T_PlannedOrders[Part Name],$A1165,T_PlannedOrders[WeekIndex],51)&amp;" ("&amp;TEXT(SUMPRODUCT(MAX((T_PlannedOrders[Part Name]=$A1165)*(T_PlannedOrders[WeekIndex]=51)*(T_PlannedOrders[EffectiveQty]&gt;0)*T_PlannedOrders[Order_Month])),"m月")&amp;"発注)")</f>
        <v/>
      </c>
      <c r="BC1171">
        <f>IF(SUMIFS(T_PlannedOrders[EffectiveQty],T_PlannedOrders[Part Name],$A1165,T_PlannedOrders[WeekIndex],52)=0,"",SUMIFS(T_PlannedOrders[EffectiveQty],T_PlannedOrders[Part Name],$A1165,T_PlannedOrders[WeekIndex],52)&amp;" ("&amp;TEXT(SUMPRODUCT(MAX((T_PlannedOrders[Part Name]=$A1165)*(T_PlannedOrders[WeekIndex]=52)*(T_PlannedOrders[EffectiveQty]&gt;0)*T_PlannedOrders[Order_Month])),"m月")&amp;"発注)")</f>
        <v/>
      </c>
      <c r="BD1171">
        <f>IF(SUMIFS(T_PlannedOrders[EffectiveQty],T_PlannedOrders[Part Name],$A1165,T_PlannedOrders[WeekIndex],53)=0,"",SUMIFS(T_PlannedOrders[EffectiveQty],T_PlannedOrders[Part Name],$A1165,T_PlannedOrders[WeekIndex],53)&amp;" ("&amp;TEXT(SUMPRODUCT(MAX((T_PlannedOrders[Part Name]=$A1165)*(T_PlannedOrders[WeekIndex]=53)*(T_PlannedOrders[EffectiveQty]&gt;0)*T_PlannedOrders[Order_Month])),"m月")&amp;"発注)")</f>
        <v/>
      </c>
      <c r="BE1171">
        <f>IF(SUMIFS(T_PlannedOrders[EffectiveQty],T_PlannedOrders[Part Name],$A1165,T_PlannedOrders[WeekIndex],54)=0,"",SUMIFS(T_PlannedOrders[EffectiveQty],T_PlannedOrders[Part Name],$A1165,T_PlannedOrders[WeekIndex],54)&amp;" ("&amp;TEXT(SUMPRODUCT(MAX((T_PlannedOrders[Part Name]=$A1165)*(T_PlannedOrders[WeekIndex]=54)*(T_PlannedOrders[EffectiveQty]&gt;0)*T_PlannedOrders[Order_Month])),"m月")&amp;"発注)")</f>
        <v/>
      </c>
      <c r="BF1171">
        <f>IF(SUMIFS(T_PlannedOrders[EffectiveQty],T_PlannedOrders[Part Name],$A1165,T_PlannedOrders[WeekIndex],55)=0,"",SUMIFS(T_PlannedOrders[EffectiveQty],T_PlannedOrders[Part Name],$A1165,T_PlannedOrders[WeekIndex],55)&amp;" ("&amp;TEXT(SUMPRODUCT(MAX((T_PlannedOrders[Part Name]=$A1165)*(T_PlannedOrders[WeekIndex]=55)*(T_PlannedOrders[EffectiveQty]&gt;0)*T_PlannedOrders[Order_Month])),"m月")&amp;"発注)")</f>
        <v/>
      </c>
      <c r="BG1171">
        <f>IF(SUMIFS(T_PlannedOrders[EffectiveQty],T_PlannedOrders[Part Name],$A1165,T_PlannedOrders[WeekIndex],56)=0,"",SUMIFS(T_PlannedOrders[EffectiveQty],T_PlannedOrders[Part Name],$A1165,T_PlannedOrders[WeekIndex],56)&amp;" ("&amp;TEXT(SUMPRODUCT(MAX((T_PlannedOrders[Part Name]=$A1165)*(T_PlannedOrders[WeekIndex]=56)*(T_PlannedOrders[EffectiveQty]&gt;0)*T_PlannedOrders[Order_Month])),"m月")&amp;"発注)")</f>
        <v/>
      </c>
      <c r="BH1171">
        <f>IF(SUMIFS(T_PlannedOrders[EffectiveQty],T_PlannedOrders[Part Name],$A1165,T_PlannedOrders[WeekIndex],57)=0,"",SUMIFS(T_PlannedOrders[EffectiveQty],T_PlannedOrders[Part Name],$A1165,T_PlannedOrders[WeekIndex],57)&amp;" ("&amp;TEXT(SUMPRODUCT(MAX((T_PlannedOrders[Part Name]=$A1165)*(T_PlannedOrders[WeekIndex]=57)*(T_PlannedOrders[EffectiveQty]&gt;0)*T_PlannedOrders[Order_Month])),"m月")&amp;"発注)")</f>
        <v/>
      </c>
      <c r="BI1171">
        <f>IF(SUMIFS(T_PlannedOrders[EffectiveQty],T_PlannedOrders[Part Name],$A1165,T_PlannedOrders[WeekIndex],58)=0,"",SUMIFS(T_PlannedOrders[EffectiveQty],T_PlannedOrders[Part Name],$A1165,T_PlannedOrders[WeekIndex],58)&amp;" ("&amp;TEXT(SUMPRODUCT(MAX((T_PlannedOrders[Part Name]=$A1165)*(T_PlannedOrders[WeekIndex]=58)*(T_PlannedOrders[EffectiveQty]&gt;0)*T_PlannedOrders[Order_Month])),"m月")&amp;"発注)")</f>
        <v/>
      </c>
      <c r="BJ1171">
        <f>IF(SUMIFS(T_PlannedOrders[EffectiveQty],T_PlannedOrders[Part Name],$A1165,T_PlannedOrders[WeekIndex],59)=0,"",SUMIFS(T_PlannedOrders[EffectiveQty],T_PlannedOrders[Part Name],$A1165,T_PlannedOrders[WeekIndex],59)&amp;" ("&amp;TEXT(SUMPRODUCT(MAX((T_PlannedOrders[Part Name]=$A1165)*(T_PlannedOrders[WeekIndex]=59)*(T_PlannedOrders[EffectiveQty]&gt;0)*T_PlannedOrders[Order_Month])),"m月")&amp;"発注)")</f>
        <v/>
      </c>
      <c r="BK1171">
        <f>IF(SUMIFS(T_PlannedOrders[EffectiveQty],T_PlannedOrders[Part Name],$A1165,T_PlannedOrders[WeekIndex],60)=0,"",SUMIFS(T_PlannedOrders[EffectiveQty],T_PlannedOrders[Part Name],$A1165,T_PlannedOrders[WeekIndex],60)&amp;" ("&amp;TEXT(SUMPRODUCT(MAX((T_PlannedOrders[Part Name]=$A1165)*(T_PlannedOrders[WeekIndex]=60)*(T_PlannedOrders[EffectiveQty]&gt;0)*T_PlannedOrders[Order_Month])),"m月")&amp;"発注)")</f>
        <v/>
      </c>
      <c r="BL1171">
        <f>IF(SUMIFS(T_PlannedOrders[EffectiveQty],T_PlannedOrders[Part Name],$A1165,T_PlannedOrders[WeekIndex],61)=0,"",SUMIFS(T_PlannedOrders[EffectiveQty],T_PlannedOrders[Part Name],$A1165,T_PlannedOrders[WeekIndex],61)&amp;" ("&amp;TEXT(SUMPRODUCT(MAX((T_PlannedOrders[Part Name]=$A1165)*(T_PlannedOrders[WeekIndex]=61)*(T_PlannedOrders[EffectiveQty]&gt;0)*T_PlannedOrders[Order_Month])),"m月")&amp;"発注)")</f>
        <v/>
      </c>
      <c r="BM1171">
        <f>IF(SUMIFS(T_PlannedOrders[EffectiveQty],T_PlannedOrders[Part Name],$A1165,T_PlannedOrders[WeekIndex],62)=0,"",SUMIFS(T_PlannedOrders[EffectiveQty],T_PlannedOrders[Part Name],$A1165,T_PlannedOrders[WeekIndex],62)&amp;" ("&amp;TEXT(SUMPRODUCT(MAX((T_PlannedOrders[Part Name]=$A1165)*(T_PlannedOrders[WeekIndex]=62)*(T_PlannedOrders[EffectiveQty]&gt;0)*T_PlannedOrders[Order_Month])),"m月")&amp;"発注)")</f>
        <v/>
      </c>
      <c r="BN1171">
        <f>IF(SUMIFS(T_PlannedOrders[EffectiveQty],T_PlannedOrders[Part Name],$A1165,T_PlannedOrders[WeekIndex],63)=0,"",SUMIFS(T_PlannedOrders[EffectiveQty],T_PlannedOrders[Part Name],$A1165,T_PlannedOrders[WeekIndex],63)&amp;" ("&amp;TEXT(SUMPRODUCT(MAX((T_PlannedOrders[Part Name]=$A1165)*(T_PlannedOrders[WeekIndex]=63)*(T_PlannedOrders[EffectiveQty]&gt;0)*T_PlannedOrders[Order_Month])),"m月")&amp;"発注)")</f>
        <v/>
      </c>
      <c r="BO1171">
        <f>IF(SUMIFS(T_PlannedOrders[EffectiveQty],T_PlannedOrders[Part Name],$A1165,T_PlannedOrders[WeekIndex],64)=0,"",SUMIFS(T_PlannedOrders[EffectiveQty],T_PlannedOrders[Part Name],$A1165,T_PlannedOrders[WeekIndex],64)&amp;" ("&amp;TEXT(SUMPRODUCT(MAX((T_PlannedOrders[Part Name]=$A1165)*(T_PlannedOrders[WeekIndex]=64)*(T_PlannedOrders[EffectiveQty]&gt;0)*T_PlannedOrders[Order_Month])),"m月")&amp;"発注)")</f>
        <v/>
      </c>
      <c r="BP1171">
        <f>IF(SUMIFS(T_PlannedOrders[EffectiveQty],T_PlannedOrders[Part Name],$A1165,T_PlannedOrders[WeekIndex],65)=0,"",SUMIFS(T_PlannedOrders[EffectiveQty],T_PlannedOrders[Part Name],$A1165,T_PlannedOrders[WeekIndex],65)&amp;" ("&amp;TEXT(SUMPRODUCT(MAX((T_PlannedOrders[Part Name]=$A1165)*(T_PlannedOrders[WeekIndex]=65)*(T_PlannedOrders[EffectiveQty]&gt;0)*T_PlannedOrders[Order_Month])),"m月")&amp;"発注)")</f>
        <v/>
      </c>
      <c r="BQ1171">
        <f>IF(SUMIFS(T_PlannedOrders[EffectiveQty],T_PlannedOrders[Part Name],$A1165,T_PlannedOrders[WeekIndex],66)=0,"",SUMIFS(T_PlannedOrders[EffectiveQty],T_PlannedOrders[Part Name],$A1165,T_PlannedOrders[WeekIndex],66)&amp;" ("&amp;TEXT(SUMPRODUCT(MAX((T_PlannedOrders[Part Name]=$A1165)*(T_PlannedOrders[WeekIndex]=66)*(T_PlannedOrders[EffectiveQty]&gt;0)*T_PlannedOrders[Order_Month])),"m月")&amp;"発注)")</f>
        <v/>
      </c>
      <c r="BR1171">
        <f>IF(SUMIFS(T_PlannedOrders[EffectiveQty],T_PlannedOrders[Part Name],$A1165,T_PlannedOrders[WeekIndex],67)=0,"",SUMIFS(T_PlannedOrders[EffectiveQty],T_PlannedOrders[Part Name],$A1165,T_PlannedOrders[WeekIndex],67)&amp;" ("&amp;TEXT(SUMPRODUCT(MAX((T_PlannedOrders[Part Name]=$A1165)*(T_PlannedOrders[WeekIndex]=67)*(T_PlannedOrders[EffectiveQty]&gt;0)*T_PlannedOrders[Order_Month])),"m月")&amp;"発注)")</f>
        <v/>
      </c>
      <c r="BS1171">
        <f>IF(SUMIFS(T_PlannedOrders[EffectiveQty],T_PlannedOrders[Part Name],$A1165,T_PlannedOrders[WeekIndex],68)=0,"",SUMIFS(T_PlannedOrders[EffectiveQty],T_PlannedOrders[Part Name],$A1165,T_PlannedOrders[WeekIndex],68)&amp;" ("&amp;TEXT(SUMPRODUCT(MAX((T_PlannedOrders[Part Name]=$A1165)*(T_PlannedOrders[WeekIndex]=68)*(T_PlannedOrders[EffectiveQty]&gt;0)*T_PlannedOrders[Order_Month])),"m月")&amp;"発注)")</f>
        <v/>
      </c>
      <c r="BT1171">
        <f>IF(SUMIFS(T_PlannedOrders[EffectiveQty],T_PlannedOrders[Part Name],$A1165,T_PlannedOrders[WeekIndex],69)=0,"",SUMIFS(T_PlannedOrders[EffectiveQty],T_PlannedOrders[Part Name],$A1165,T_PlannedOrders[WeekIndex],69)&amp;" ("&amp;TEXT(SUMPRODUCT(MAX((T_PlannedOrders[Part Name]=$A1165)*(T_PlannedOrders[WeekIndex]=69)*(T_PlannedOrders[EffectiveQty]&gt;0)*T_PlannedOrders[Order_Month])),"m月")&amp;"発注)")</f>
        <v/>
      </c>
      <c r="BU1171">
        <f>IF(SUMIFS(T_PlannedOrders[EffectiveQty],T_PlannedOrders[Part Name],$A1165,T_PlannedOrders[WeekIndex],70)=0,"",SUMIFS(T_PlannedOrders[EffectiveQty],T_PlannedOrders[Part Name],$A1165,T_PlannedOrders[WeekIndex],70)&amp;" ("&amp;TEXT(SUMPRODUCT(MAX((T_PlannedOrders[Part Name]=$A1165)*(T_PlannedOrders[WeekIndex]=70)*(T_PlannedOrders[EffectiveQty]&gt;0)*T_PlannedOrders[Order_Month])),"m月")&amp;"発注)")</f>
        <v/>
      </c>
      <c r="BV1171">
        <f>IF(SUMIFS(T_PlannedOrders[EffectiveQty],T_PlannedOrders[Part Name],$A1165,T_PlannedOrders[WeekIndex],71)=0,"",SUMIFS(T_PlannedOrders[EffectiveQty],T_PlannedOrders[Part Name],$A1165,T_PlannedOrders[WeekIndex],71)&amp;" ("&amp;TEXT(SUMPRODUCT(MAX((T_PlannedOrders[Part Name]=$A1165)*(T_PlannedOrders[WeekIndex]=71)*(T_PlannedOrders[EffectiveQty]&gt;0)*T_PlannedOrders[Order_Month])),"m月")&amp;"発注)")</f>
        <v/>
      </c>
      <c r="BW1171">
        <f>IF(SUMIFS(T_PlannedOrders[EffectiveQty],T_PlannedOrders[Part Name],$A1165,T_PlannedOrders[WeekIndex],72)=0,"",SUMIFS(T_PlannedOrders[EffectiveQty],T_PlannedOrders[Part Name],$A1165,T_PlannedOrders[WeekIndex],72)&amp;" ("&amp;TEXT(SUMPRODUCT(MAX((T_PlannedOrders[Part Name]=$A1165)*(T_PlannedOrders[WeekIndex]=72)*(T_PlannedOrders[EffectiveQty]&gt;0)*T_PlannedOrders[Order_Month])),"m月")&amp;"発注)")</f>
        <v/>
      </c>
      <c r="BX1171">
        <f>IF(SUMIFS(T_PlannedOrders[EffectiveQty],T_PlannedOrders[Part Name],$A1165,T_PlannedOrders[WeekIndex],73)=0,"",SUMIFS(T_PlannedOrders[EffectiveQty],T_PlannedOrders[Part Name],$A1165,T_PlannedOrders[WeekIndex],73)&amp;" ("&amp;TEXT(SUMPRODUCT(MAX((T_PlannedOrders[Part Name]=$A1165)*(T_PlannedOrders[WeekIndex]=73)*(T_PlannedOrders[EffectiveQty]&gt;0)*T_PlannedOrders[Order_Month])),"m月")&amp;"発注)")</f>
        <v/>
      </c>
      <c r="BY1171">
        <f>IF(SUMIFS(T_PlannedOrders[EffectiveQty],T_PlannedOrders[Part Name],$A1165,T_PlannedOrders[WeekIndex],74)=0,"",SUMIFS(T_PlannedOrders[EffectiveQty],T_PlannedOrders[Part Name],$A1165,T_PlannedOrders[WeekIndex],74)&amp;" ("&amp;TEXT(SUMPRODUCT(MAX((T_PlannedOrders[Part Name]=$A1165)*(T_PlannedOrders[WeekIndex]=74)*(T_PlannedOrders[EffectiveQty]&gt;0)*T_PlannedOrders[Order_Month])),"m月")&amp;"発注)")</f>
        <v/>
      </c>
      <c r="BZ1171">
        <f>IF(SUMIFS(T_PlannedOrders[EffectiveQty],T_PlannedOrders[Part Name],$A1165,T_PlannedOrders[WeekIndex],75)=0,"",SUMIFS(T_PlannedOrders[EffectiveQty],T_PlannedOrders[Part Name],$A1165,T_PlannedOrders[WeekIndex],75)&amp;" ("&amp;TEXT(SUMPRODUCT(MAX((T_PlannedOrders[Part Name]=$A1165)*(T_PlannedOrders[WeekIndex]=75)*(T_PlannedOrders[EffectiveQty]&gt;0)*T_PlannedOrders[Order_Month])),"m月")&amp;"発注)")</f>
        <v/>
      </c>
      <c r="CA1171">
        <f>IF(SUMIFS(T_PlannedOrders[EffectiveQty],T_PlannedOrders[Part Name],$A1165,T_PlannedOrders[WeekIndex],76)=0,"",SUMIFS(T_PlannedOrders[EffectiveQty],T_PlannedOrders[Part Name],$A1165,T_PlannedOrders[WeekIndex],76)&amp;" ("&amp;TEXT(SUMPRODUCT(MAX((T_PlannedOrders[Part Name]=$A1165)*(T_PlannedOrders[WeekIndex]=76)*(T_PlannedOrders[EffectiveQty]&gt;0)*T_PlannedOrders[Order_Month])),"m月")&amp;"発注)")</f>
        <v/>
      </c>
      <c r="CB1171">
        <f>IF(SUMIFS(T_PlannedOrders[EffectiveQty],T_PlannedOrders[Part Name],$A1165,T_PlannedOrders[WeekIndex],77)=0,"",SUMIFS(T_PlannedOrders[EffectiveQty],T_PlannedOrders[Part Name],$A1165,T_PlannedOrders[WeekIndex],77)&amp;" ("&amp;TEXT(SUMPRODUCT(MAX((T_PlannedOrders[Part Name]=$A1165)*(T_PlannedOrders[WeekIndex]=77)*(T_PlannedOrders[EffectiveQty]&gt;0)*T_PlannedOrders[Order_Month])),"m月")&amp;"発注)")</f>
        <v/>
      </c>
      <c r="CC1171">
        <f>IF(SUMIFS(T_PlannedOrders[EffectiveQty],T_PlannedOrders[Part Name],$A1165,T_PlannedOrders[WeekIndex],78)=0,"",SUMIFS(T_PlannedOrders[EffectiveQty],T_PlannedOrders[Part Name],$A1165,T_PlannedOrders[WeekIndex],78)&amp;" ("&amp;TEXT(SUMPRODUCT(MAX((T_PlannedOrders[Part Name]=$A1165)*(T_PlannedOrders[WeekIndex]=78)*(T_PlannedOrders[EffectiveQty]&gt;0)*T_PlannedOrders[Order_Month])),"m月")&amp;"発注)")</f>
        <v/>
      </c>
      <c r="CD1171">
        <f>IF(SUMIFS(T_PlannedOrders[EffectiveQty],T_PlannedOrders[Part Name],$A1165,T_PlannedOrders[WeekIndex],79)=0,"",SUMIFS(T_PlannedOrders[EffectiveQty],T_PlannedOrders[Part Name],$A1165,T_PlannedOrders[WeekIndex],79)&amp;" ("&amp;TEXT(SUMPRODUCT(MAX((T_PlannedOrders[Part Name]=$A1165)*(T_PlannedOrders[WeekIndex]=79)*(T_PlannedOrders[EffectiveQty]&gt;0)*T_PlannedOrders[Order_Month])),"m月")&amp;"発注)")</f>
        <v/>
      </c>
      <c r="CE1171">
        <f>IF(SUMIFS(T_PlannedOrders[EffectiveQty],T_PlannedOrders[Part Name],$A1165,T_PlannedOrders[WeekIndex],80)=0,"",SUMIFS(T_PlannedOrders[EffectiveQty],T_PlannedOrders[Part Name],$A1165,T_PlannedOrders[WeekIndex],80)&amp;" ("&amp;TEXT(SUMPRODUCT(MAX((T_PlannedOrders[Part Name]=$A1165)*(T_PlannedOrders[WeekIndex]=80)*(T_PlannedOrders[EffectiveQty]&gt;0)*T_PlannedOrders[Order_Month])),"m月")&amp;"発注)")</f>
        <v/>
      </c>
      <c r="CF1171">
        <f>IF(SUMIFS(T_PlannedOrders[EffectiveQty],T_PlannedOrders[Part Name],$A1165,T_PlannedOrders[WeekIndex],81)=0,"",SUMIFS(T_PlannedOrders[EffectiveQty],T_PlannedOrders[Part Name],$A1165,T_PlannedOrders[WeekIndex],81)&amp;" ("&amp;TEXT(SUMPRODUCT(MAX((T_PlannedOrders[Part Name]=$A1165)*(T_PlannedOrders[WeekIndex]=81)*(T_PlannedOrders[EffectiveQty]&gt;0)*T_PlannedOrders[Order_Month])),"m月")&amp;"発注)")</f>
        <v/>
      </c>
      <c r="CG1171">
        <f>IF(SUMIFS(T_PlannedOrders[EffectiveQty],T_PlannedOrders[Part Name],$A1165,T_PlannedOrders[WeekIndex],82)=0,"",SUMIFS(T_PlannedOrders[EffectiveQty],T_PlannedOrders[Part Name],$A1165,T_PlannedOrders[WeekIndex],82)&amp;" ("&amp;TEXT(SUMPRODUCT(MAX((T_PlannedOrders[Part Name]=$A1165)*(T_PlannedOrders[WeekIndex]=82)*(T_PlannedOrders[EffectiveQty]&gt;0)*T_PlannedOrders[Order_Month])),"m月")&amp;"発注)")</f>
        <v/>
      </c>
      <c r="CH1171">
        <f>IF(SUMIFS(T_PlannedOrders[EffectiveQty],T_PlannedOrders[Part Name],$A1165,T_PlannedOrders[WeekIndex],83)=0,"",SUMIFS(T_PlannedOrders[EffectiveQty],T_PlannedOrders[Part Name],$A1165,T_PlannedOrders[WeekIndex],83)&amp;" ("&amp;TEXT(SUMPRODUCT(MAX((T_PlannedOrders[Part Name]=$A1165)*(T_PlannedOrders[WeekIndex]=83)*(T_PlannedOrders[EffectiveQty]&gt;0)*T_PlannedOrders[Order_Month])),"m月")&amp;"発注)")</f>
        <v/>
      </c>
      <c r="CI1171">
        <f>IF(SUMIFS(T_PlannedOrders[EffectiveQty],T_PlannedOrders[Part Name],$A1165,T_PlannedOrders[WeekIndex],84)=0,"",SUMIFS(T_PlannedOrders[EffectiveQty],T_PlannedOrders[Part Name],$A1165,T_PlannedOrders[WeekIndex],84)&amp;" ("&amp;TEXT(SUMPRODUCT(MAX((T_PlannedOrders[Part Name]=$A1165)*(T_PlannedOrders[WeekIndex]=84)*(T_PlannedOrders[EffectiveQty]&gt;0)*T_PlannedOrders[Order_Month])),"m月")&amp;"発注)")</f>
        <v/>
      </c>
      <c r="CJ1171">
        <f>IF(SUMIFS(T_PlannedOrders[EffectiveQty],T_PlannedOrders[Part Name],$A1165,T_PlannedOrders[WeekIndex],85)=0,"",SUMIFS(T_PlannedOrders[EffectiveQty],T_PlannedOrders[Part Name],$A1165,T_PlannedOrders[WeekIndex],85)&amp;" ("&amp;TEXT(SUMPRODUCT(MAX((T_PlannedOrders[Part Name]=$A1165)*(T_PlannedOrders[WeekIndex]=85)*(T_PlannedOrders[EffectiveQty]&gt;0)*T_PlannedOrders[Order_Month])),"m月")&amp;"発注)")</f>
        <v/>
      </c>
      <c r="CK1171">
        <f>IF(SUMIFS(T_PlannedOrders[EffectiveQty],T_PlannedOrders[Part Name],$A1165,T_PlannedOrders[WeekIndex],86)=0,"",SUMIFS(T_PlannedOrders[EffectiveQty],T_PlannedOrders[Part Name],$A1165,T_PlannedOrders[WeekIndex],86)&amp;" ("&amp;TEXT(SUMPRODUCT(MAX((T_PlannedOrders[Part Name]=$A1165)*(T_PlannedOrders[WeekIndex]=86)*(T_PlannedOrders[EffectiveQty]&gt;0)*T_PlannedOrders[Order_Month])),"m月")&amp;"発注)")</f>
        <v/>
      </c>
      <c r="CL1171">
        <f>IF(SUMIFS(T_PlannedOrders[EffectiveQty],T_PlannedOrders[Part Name],$A1165,T_PlannedOrders[WeekIndex],87)=0,"",SUMIFS(T_PlannedOrders[EffectiveQty],T_PlannedOrders[Part Name],$A1165,T_PlannedOrders[WeekIndex],87)&amp;" ("&amp;TEXT(SUMPRODUCT(MAX((T_PlannedOrders[Part Name]=$A1165)*(T_PlannedOrders[WeekIndex]=87)*(T_PlannedOrders[EffectiveQty]&gt;0)*T_PlannedOrders[Order_Month])),"m月")&amp;"発注)")</f>
        <v/>
      </c>
      <c r="CM1171">
        <f>IF(SUMIFS(T_PlannedOrders[EffectiveQty],T_PlannedOrders[Part Name],$A1165,T_PlannedOrders[WeekIndex],88)=0,"",SUMIFS(T_PlannedOrders[EffectiveQty],T_PlannedOrders[Part Name],$A1165,T_PlannedOrders[WeekIndex],88)&amp;" ("&amp;TEXT(SUMPRODUCT(MAX((T_PlannedOrders[Part Name]=$A1165)*(T_PlannedOrders[WeekIndex]=88)*(T_PlannedOrders[EffectiveQty]&gt;0)*T_PlannedOrders[Order_Month])),"m月")&amp;"発注)")</f>
        <v/>
      </c>
      <c r="CN1171">
        <f>IF(SUMIFS(T_PlannedOrders[EffectiveQty],T_PlannedOrders[Part Name],$A1165,T_PlannedOrders[WeekIndex],89)=0,"",SUMIFS(T_PlannedOrders[EffectiveQty],T_PlannedOrders[Part Name],$A1165,T_PlannedOrders[WeekIndex],89)&amp;" ("&amp;TEXT(SUMPRODUCT(MAX((T_PlannedOrders[Part Name]=$A1165)*(T_PlannedOrders[WeekIndex]=89)*(T_PlannedOrders[EffectiveQty]&gt;0)*T_PlannedOrders[Order_Month])),"m月")&amp;"発注)")</f>
        <v/>
      </c>
      <c r="CO1171">
        <f>IF(SUMIFS(T_PlannedOrders[EffectiveQty],T_PlannedOrders[Part Name],$A1165,T_PlannedOrders[WeekIndex],90)=0,"",SUMIFS(T_PlannedOrders[EffectiveQty],T_PlannedOrders[Part Name],$A1165,T_PlannedOrders[WeekIndex],90)&amp;" ("&amp;TEXT(SUMPRODUCT(MAX((T_PlannedOrders[Part Name]=$A1165)*(T_PlannedOrders[WeekIndex]=90)*(T_PlannedOrders[EffectiveQty]&gt;0)*T_PlannedOrders[Order_Month])),"m月")&amp;"発注)")</f>
        <v/>
      </c>
      <c r="CP1171">
        <f>IF(SUMIFS(T_PlannedOrders[EffectiveQty],T_PlannedOrders[Part Name],$A1165,T_PlannedOrders[WeekIndex],91)=0,"",SUMIFS(T_PlannedOrders[EffectiveQty],T_PlannedOrders[Part Name],$A1165,T_PlannedOrders[WeekIndex],91)&amp;" ("&amp;TEXT(SUMPRODUCT(MAX((T_PlannedOrders[Part Name]=$A1165)*(T_PlannedOrders[WeekIndex]=91)*(T_PlannedOrders[EffectiveQty]&gt;0)*T_PlannedOrders[Order_Month])),"m月")&amp;"発注)")</f>
        <v/>
      </c>
      <c r="CQ1171">
        <f>IF(SUMIFS(T_PlannedOrders[EffectiveQty],T_PlannedOrders[Part Name],$A1165,T_PlannedOrders[WeekIndex],92)=0,"",SUMIFS(T_PlannedOrders[EffectiveQty],T_PlannedOrders[Part Name],$A1165,T_PlannedOrders[WeekIndex],92)&amp;" ("&amp;TEXT(SUMPRODUCT(MAX((T_PlannedOrders[Part Name]=$A1165)*(T_PlannedOrders[WeekIndex]=92)*(T_PlannedOrders[EffectiveQty]&gt;0)*T_PlannedOrders[Order_Month])),"m月")&amp;"発注)")</f>
        <v/>
      </c>
      <c r="CR1171">
        <f>IF(SUMIFS(T_PlannedOrders[EffectiveQty],T_PlannedOrders[Part Name],$A1165,T_PlannedOrders[WeekIndex],93)=0,"",SUMIFS(T_PlannedOrders[EffectiveQty],T_PlannedOrders[Part Name],$A1165,T_PlannedOrders[WeekIndex],93)&amp;" ("&amp;TEXT(SUMPRODUCT(MAX((T_PlannedOrders[Part Name]=$A1165)*(T_PlannedOrders[WeekIndex]=93)*(T_PlannedOrders[EffectiveQty]&gt;0)*T_PlannedOrders[Order_Month])),"m月")&amp;"発注)")</f>
        <v/>
      </c>
      <c r="CS1171">
        <f>IF(SUMIFS(T_PlannedOrders[EffectiveQty],T_PlannedOrders[Part Name],$A1165,T_PlannedOrders[WeekIndex],94)=0,"",SUMIFS(T_PlannedOrders[EffectiveQty],T_PlannedOrders[Part Name],$A1165,T_PlannedOrders[WeekIndex],94)&amp;" ("&amp;TEXT(SUMPRODUCT(MAX((T_PlannedOrders[Part Name]=$A1165)*(T_PlannedOrders[WeekIndex]=94)*(T_PlannedOrders[EffectiveQty]&gt;0)*T_PlannedOrders[Order_Month])),"m月")&amp;"発注)")</f>
        <v/>
      </c>
      <c r="CT1171">
        <f>IF(SUMIFS(T_PlannedOrders[EffectiveQty],T_PlannedOrders[Part Name],$A1165,T_PlannedOrders[WeekIndex],95)=0,"",SUMIFS(T_PlannedOrders[EffectiveQty],T_PlannedOrders[Part Name],$A1165,T_PlannedOrders[WeekIndex],95)&amp;" ("&amp;TEXT(SUMPRODUCT(MAX((T_PlannedOrders[Part Name]=$A1165)*(T_PlannedOrders[WeekIndex]=95)*(T_PlannedOrders[EffectiveQty]&gt;0)*T_PlannedOrders[Order_Month])),"m月")&amp;"発注)")</f>
        <v/>
      </c>
      <c r="CU1171">
        <f>IF(SUMIFS(T_PlannedOrders[EffectiveQty],T_PlannedOrders[Part Name],$A1165,T_PlannedOrders[WeekIndex],96)=0,"",SUMIFS(T_PlannedOrders[EffectiveQty],T_PlannedOrders[Part Name],$A1165,T_PlannedOrders[WeekIndex],96)&amp;" ("&amp;TEXT(SUMPRODUCT(MAX((T_PlannedOrders[Part Name]=$A1165)*(T_PlannedOrders[WeekIndex]=96)*(T_PlannedOrders[EffectiveQty]&gt;0)*T_PlannedOrders[Order_Month])),"m月")&amp;"発注)")</f>
        <v/>
      </c>
      <c r="CV1171">
        <f>IF(SUMIFS(T_PlannedOrders[EffectiveQty],T_PlannedOrders[Part Name],$A1165,T_PlannedOrders[WeekIndex],97)=0,"",SUMIFS(T_PlannedOrders[EffectiveQty],T_PlannedOrders[Part Name],$A1165,T_PlannedOrders[WeekIndex],97)&amp;" ("&amp;TEXT(SUMPRODUCT(MAX((T_PlannedOrders[Part Name]=$A1165)*(T_PlannedOrders[WeekIndex]=97)*(T_PlannedOrders[EffectiveQty]&gt;0)*T_PlannedOrders[Order_Month])),"m月")&amp;"発注)")</f>
        <v/>
      </c>
      <c r="CW1171">
        <f>IF(SUMIFS(T_PlannedOrders[EffectiveQty],T_PlannedOrders[Part Name],$A1165,T_PlannedOrders[WeekIndex],98)=0,"",SUMIFS(T_PlannedOrders[EffectiveQty],T_PlannedOrders[Part Name],$A1165,T_PlannedOrders[WeekIndex],98)&amp;" ("&amp;TEXT(SUMPRODUCT(MAX((T_PlannedOrders[Part Name]=$A1165)*(T_PlannedOrders[WeekIndex]=98)*(T_PlannedOrders[EffectiveQty]&gt;0)*T_PlannedOrders[Order_Month])),"m月")&amp;"発注)")</f>
        <v/>
      </c>
      <c r="CX1171">
        <f>IF(SUMIFS(T_PlannedOrders[EffectiveQty],T_PlannedOrders[Part Name],$A1165,T_PlannedOrders[WeekIndex],99)=0,"",SUMIFS(T_PlannedOrders[EffectiveQty],T_PlannedOrders[Part Name],$A1165,T_PlannedOrders[WeekIndex],99)&amp;" ("&amp;TEXT(SUMPRODUCT(MAX((T_PlannedOrders[Part Name]=$A1165)*(T_PlannedOrders[WeekIndex]=99)*(T_PlannedOrders[EffectiveQty]&gt;0)*T_PlannedOrders[Order_Month])),"m月")&amp;"発注)")</f>
        <v/>
      </c>
      <c r="CY1171">
        <f>IF(SUMIFS(T_PlannedOrders[EffectiveQty],T_PlannedOrders[Part Name],$A1165,T_PlannedOrders[WeekIndex],100)=0,"",SUMIFS(T_PlannedOrders[EffectiveQty],T_PlannedOrders[Part Name],$A1165,T_PlannedOrders[WeekIndex],100)&amp;" ("&amp;TEXT(SUMPRODUCT(MAX((T_PlannedOrders[Part Name]=$A1165)*(T_PlannedOrders[WeekIndex]=100)*(T_PlannedOrders[EffectiveQty]&gt;0)*T_PlannedOrders[Order_Month])),"m月")&amp;"発注)")</f>
        <v/>
      </c>
      <c r="CZ1171">
        <f>IF(SUMIFS(T_PlannedOrders[EffectiveQty],T_PlannedOrders[Part Name],$A1165,T_PlannedOrders[WeekIndex],101)=0,"",SUMIFS(T_PlannedOrders[EffectiveQty],T_PlannedOrders[Part Name],$A1165,T_PlannedOrders[WeekIndex],101)&amp;" ("&amp;TEXT(SUMPRODUCT(MAX((T_PlannedOrders[Part Name]=$A1165)*(T_PlannedOrders[WeekIndex]=101)*(T_PlannedOrders[EffectiveQty]&gt;0)*T_PlannedOrders[Order_Month])),"m月")&amp;"発注)")</f>
        <v/>
      </c>
      <c r="DA1171">
        <f>IF(SUMIFS(T_PlannedOrders[EffectiveQty],T_PlannedOrders[Part Name],$A1165,T_PlannedOrders[WeekIndex],102)=0,"",SUMIFS(T_PlannedOrders[EffectiveQty],T_PlannedOrders[Part Name],$A1165,T_PlannedOrders[WeekIndex],102)&amp;" ("&amp;TEXT(SUMPRODUCT(MAX((T_PlannedOrders[Part Name]=$A1165)*(T_PlannedOrders[WeekIndex]=102)*(T_PlannedOrders[EffectiveQty]&gt;0)*T_PlannedOrders[Order_Month])),"m月")&amp;"発注)")</f>
        <v/>
      </c>
      <c r="DB1171">
        <f>IF(SUMIFS(T_PlannedOrders[EffectiveQty],T_PlannedOrders[Part Name],$A1165,T_PlannedOrders[WeekIndex],103)=0,"",SUMIFS(T_PlannedOrders[EffectiveQty],T_PlannedOrders[Part Name],$A1165,T_PlannedOrders[WeekIndex],103)&amp;" ("&amp;TEXT(SUMPRODUCT(MAX((T_PlannedOrders[Part Name]=$A1165)*(T_PlannedOrders[WeekIndex]=103)*(T_PlannedOrders[EffectiveQty]&gt;0)*T_PlannedOrders[Order_Month])),"m月")&amp;"発注)")</f>
        <v/>
      </c>
      <c r="DC1171">
        <f>IF(SUMIFS(T_PlannedOrders[EffectiveQty],T_PlannedOrders[Part Name],$A1165,T_PlannedOrders[WeekIndex],104)=0,"",SUMIFS(T_PlannedOrders[EffectiveQty],T_PlannedOrders[Part Name],$A1165,T_PlannedOrders[WeekIndex],104)&amp;" ("&amp;TEXT(SUMPRODUCT(MAX((T_PlannedOrders[Part Name]=$A1165)*(T_PlannedOrders[WeekIndex]=104)*(T_PlannedOrders[EffectiveQty]&gt;0)*T_PlannedOrders[Order_Month])),"m月")&amp;"発注)")</f>
        <v/>
      </c>
    </row>
    <row r="1172">
      <c r="B1172" s="5" t="inlineStr">
        <is>
          <t>合計在庫(週末時点,kg)</t>
        </is>
      </c>
      <c r="D1172">
        <f>'Grid_Stock'!B53</f>
        <v/>
      </c>
      <c r="E1172">
        <f>'Grid_Stock'!C53</f>
        <v/>
      </c>
      <c r="F1172">
        <f>'Grid_Stock'!D53</f>
        <v/>
      </c>
      <c r="G1172">
        <f>'Grid_Stock'!E53</f>
        <v/>
      </c>
      <c r="H1172">
        <f>'Grid_Stock'!F53</f>
        <v/>
      </c>
      <c r="I1172">
        <f>'Grid_Stock'!G53</f>
        <v/>
      </c>
      <c r="J1172">
        <f>'Grid_Stock'!H53</f>
        <v/>
      </c>
      <c r="K1172">
        <f>'Grid_Stock'!I53</f>
        <v/>
      </c>
      <c r="L1172">
        <f>'Grid_Stock'!J53</f>
        <v/>
      </c>
      <c r="M1172">
        <f>'Grid_Stock'!K53</f>
        <v/>
      </c>
      <c r="N1172">
        <f>'Grid_Stock'!L53</f>
        <v/>
      </c>
      <c r="O1172">
        <f>'Grid_Stock'!M53</f>
        <v/>
      </c>
      <c r="P1172">
        <f>'Grid_Stock'!N53</f>
        <v/>
      </c>
      <c r="Q1172">
        <f>'Grid_Stock'!O53</f>
        <v/>
      </c>
      <c r="R1172">
        <f>'Grid_Stock'!P53</f>
        <v/>
      </c>
      <c r="S1172">
        <f>'Grid_Stock'!Q53</f>
        <v/>
      </c>
      <c r="T1172">
        <f>'Grid_Stock'!R53</f>
        <v/>
      </c>
      <c r="U1172">
        <f>'Grid_Stock'!S53</f>
        <v/>
      </c>
      <c r="V1172">
        <f>'Grid_Stock'!T53</f>
        <v/>
      </c>
      <c r="W1172">
        <f>'Grid_Stock'!U53</f>
        <v/>
      </c>
      <c r="X1172">
        <f>'Grid_Stock'!V53</f>
        <v/>
      </c>
      <c r="Y1172">
        <f>'Grid_Stock'!W53</f>
        <v/>
      </c>
      <c r="Z1172">
        <f>'Grid_Stock'!X53</f>
        <v/>
      </c>
      <c r="AA1172">
        <f>'Grid_Stock'!Y53</f>
        <v/>
      </c>
      <c r="AB1172">
        <f>'Grid_Stock'!Z53</f>
        <v/>
      </c>
      <c r="AC1172">
        <f>'Grid_Stock'!AA53</f>
        <v/>
      </c>
      <c r="AD1172">
        <f>'Grid_Stock'!AB53</f>
        <v/>
      </c>
      <c r="AE1172">
        <f>'Grid_Stock'!AC53</f>
        <v/>
      </c>
      <c r="AF1172">
        <f>'Grid_Stock'!AD53</f>
        <v/>
      </c>
      <c r="AG1172">
        <f>'Grid_Stock'!AE53</f>
        <v/>
      </c>
      <c r="AH1172">
        <f>'Grid_Stock'!AF53</f>
        <v/>
      </c>
      <c r="AI1172">
        <f>'Grid_Stock'!AG53</f>
        <v/>
      </c>
      <c r="AJ1172">
        <f>'Grid_Stock'!AH53</f>
        <v/>
      </c>
      <c r="AK1172">
        <f>'Grid_Stock'!AI53</f>
        <v/>
      </c>
      <c r="AL1172">
        <f>'Grid_Stock'!AJ53</f>
        <v/>
      </c>
      <c r="AM1172">
        <f>'Grid_Stock'!AK53</f>
        <v/>
      </c>
      <c r="AN1172">
        <f>'Grid_Stock'!AL53</f>
        <v/>
      </c>
      <c r="AO1172">
        <f>'Grid_Stock'!AM53</f>
        <v/>
      </c>
      <c r="AP1172">
        <f>'Grid_Stock'!AN53</f>
        <v/>
      </c>
      <c r="AQ1172">
        <f>'Grid_Stock'!AO53</f>
        <v/>
      </c>
      <c r="AR1172">
        <f>'Grid_Stock'!AP53</f>
        <v/>
      </c>
      <c r="AS1172">
        <f>'Grid_Stock'!AQ53</f>
        <v/>
      </c>
      <c r="AT1172">
        <f>'Grid_Stock'!AR53</f>
        <v/>
      </c>
      <c r="AU1172">
        <f>'Grid_Stock'!AS53</f>
        <v/>
      </c>
      <c r="AV1172">
        <f>'Grid_Stock'!AT53</f>
        <v/>
      </c>
      <c r="AW1172">
        <f>'Grid_Stock'!AU53</f>
        <v/>
      </c>
      <c r="AX1172">
        <f>'Grid_Stock'!AV53</f>
        <v/>
      </c>
      <c r="AY1172">
        <f>'Grid_Stock'!AW53</f>
        <v/>
      </c>
      <c r="AZ1172">
        <f>'Grid_Stock'!AX53</f>
        <v/>
      </c>
      <c r="BA1172">
        <f>'Grid_Stock'!AY53</f>
        <v/>
      </c>
      <c r="BB1172">
        <f>'Grid_Stock'!AZ53</f>
        <v/>
      </c>
      <c r="BC1172">
        <f>'Grid_Stock'!BA53</f>
        <v/>
      </c>
      <c r="BD1172">
        <f>'Grid_Stock'!BB53</f>
        <v/>
      </c>
      <c r="BE1172">
        <f>'Grid_Stock'!BC53</f>
        <v/>
      </c>
      <c r="BF1172">
        <f>'Grid_Stock'!BD53</f>
        <v/>
      </c>
      <c r="BG1172">
        <f>'Grid_Stock'!BE53</f>
        <v/>
      </c>
      <c r="BH1172">
        <f>'Grid_Stock'!BF53</f>
        <v/>
      </c>
      <c r="BI1172">
        <f>'Grid_Stock'!BG53</f>
        <v/>
      </c>
      <c r="BJ1172">
        <f>'Grid_Stock'!BH53</f>
        <v/>
      </c>
      <c r="BK1172">
        <f>'Grid_Stock'!BI53</f>
        <v/>
      </c>
      <c r="BL1172">
        <f>'Grid_Stock'!BJ53</f>
        <v/>
      </c>
      <c r="BM1172">
        <f>'Grid_Stock'!BK53</f>
        <v/>
      </c>
      <c r="BN1172">
        <f>'Grid_Stock'!BL53</f>
        <v/>
      </c>
      <c r="BO1172">
        <f>'Grid_Stock'!BM53</f>
        <v/>
      </c>
      <c r="BP1172">
        <f>'Grid_Stock'!BN53</f>
        <v/>
      </c>
      <c r="BQ1172">
        <f>'Grid_Stock'!BO53</f>
        <v/>
      </c>
      <c r="BR1172">
        <f>'Grid_Stock'!BP53</f>
        <v/>
      </c>
      <c r="BS1172">
        <f>'Grid_Stock'!BQ53</f>
        <v/>
      </c>
      <c r="BT1172">
        <f>'Grid_Stock'!BR53</f>
        <v/>
      </c>
      <c r="BU1172">
        <f>'Grid_Stock'!BS53</f>
        <v/>
      </c>
      <c r="BV1172">
        <f>'Grid_Stock'!BT53</f>
        <v/>
      </c>
      <c r="BW1172">
        <f>'Grid_Stock'!BU53</f>
        <v/>
      </c>
      <c r="BX1172">
        <f>'Grid_Stock'!BV53</f>
        <v/>
      </c>
      <c r="BY1172">
        <f>'Grid_Stock'!BW53</f>
        <v/>
      </c>
      <c r="BZ1172">
        <f>'Grid_Stock'!BX53</f>
        <v/>
      </c>
      <c r="CA1172">
        <f>'Grid_Stock'!BY53</f>
        <v/>
      </c>
      <c r="CB1172">
        <f>'Grid_Stock'!BZ53</f>
        <v/>
      </c>
      <c r="CC1172">
        <f>'Grid_Stock'!CA53</f>
        <v/>
      </c>
      <c r="CD1172">
        <f>'Grid_Stock'!CB53</f>
        <v/>
      </c>
      <c r="CE1172">
        <f>'Grid_Stock'!CC53</f>
        <v/>
      </c>
      <c r="CF1172">
        <f>'Grid_Stock'!CD53</f>
        <v/>
      </c>
      <c r="CG1172">
        <f>'Grid_Stock'!CE53</f>
        <v/>
      </c>
      <c r="CH1172">
        <f>'Grid_Stock'!CF53</f>
        <v/>
      </c>
      <c r="CI1172">
        <f>'Grid_Stock'!CG53</f>
        <v/>
      </c>
      <c r="CJ1172">
        <f>'Grid_Stock'!CH53</f>
        <v/>
      </c>
      <c r="CK1172">
        <f>'Grid_Stock'!CI53</f>
        <v/>
      </c>
      <c r="CL1172">
        <f>'Grid_Stock'!CJ53</f>
        <v/>
      </c>
      <c r="CM1172">
        <f>'Grid_Stock'!CK53</f>
        <v/>
      </c>
      <c r="CN1172">
        <f>'Grid_Stock'!CL53</f>
        <v/>
      </c>
      <c r="CO1172">
        <f>'Grid_Stock'!CM53</f>
        <v/>
      </c>
      <c r="CP1172">
        <f>'Grid_Stock'!CN53</f>
        <v/>
      </c>
      <c r="CQ1172">
        <f>'Grid_Stock'!CO53</f>
        <v/>
      </c>
      <c r="CR1172">
        <f>'Grid_Stock'!CP53</f>
        <v/>
      </c>
      <c r="CS1172">
        <f>'Grid_Stock'!CQ53</f>
        <v/>
      </c>
      <c r="CT1172">
        <f>'Grid_Stock'!CR53</f>
        <v/>
      </c>
      <c r="CU1172">
        <f>'Grid_Stock'!CS53</f>
        <v/>
      </c>
      <c r="CV1172">
        <f>'Grid_Stock'!CT53</f>
        <v/>
      </c>
      <c r="CW1172">
        <f>'Grid_Stock'!CU53</f>
        <v/>
      </c>
      <c r="CX1172">
        <f>'Grid_Stock'!CV53</f>
        <v/>
      </c>
      <c r="CY1172">
        <f>'Grid_Stock'!CW53</f>
        <v/>
      </c>
      <c r="CZ1172">
        <f>'Grid_Stock'!CX53</f>
        <v/>
      </c>
      <c r="DA1172">
        <f>'Grid_Stock'!CY53</f>
        <v/>
      </c>
      <c r="DB1172">
        <f>'Grid_Stock'!CZ53</f>
        <v/>
      </c>
      <c r="DC1172">
        <f>'Grid_Stock'!DA53</f>
        <v/>
      </c>
    </row>
    <row r="1173">
      <c r="B1173" s="23" t="inlineStr">
        <is>
          <t>（発注の目安はDashboardの基準在庫[下限/上限]と色分けを参照）</t>
        </is>
      </c>
    </row>
    <row r="1175">
      <c r="A1175" s="21" t="inlineStr">
        <is>
          <t>PP Film</t>
        </is>
      </c>
      <c r="B1175" s="21" t="inlineStr">
        <is>
          <t>PP Film</t>
        </is>
      </c>
      <c r="C1175" s="22" t="n"/>
      <c r="D1175" s="21" t="n"/>
      <c r="E1175" s="21" t="n"/>
      <c r="F1175" s="21" t="n"/>
      <c r="G1175" s="21" t="n"/>
      <c r="H1175" s="21" t="n"/>
      <c r="I1175" s="21" t="n"/>
      <c r="J1175" s="21" t="n"/>
      <c r="K1175" s="21" t="n"/>
      <c r="L1175" s="21" t="n"/>
      <c r="M1175" s="21" t="n"/>
      <c r="N1175" s="21" t="n"/>
      <c r="O1175" s="21" t="n"/>
      <c r="P1175" s="21" t="n"/>
      <c r="Q1175" s="21" t="n"/>
      <c r="R1175" s="21" t="n"/>
      <c r="S1175" s="21" t="n"/>
      <c r="T1175" s="21" t="n"/>
      <c r="U1175" s="21" t="n"/>
      <c r="V1175" s="21" t="n"/>
      <c r="W1175" s="21" t="n"/>
      <c r="X1175" s="21" t="n"/>
      <c r="Y1175" s="21" t="n"/>
      <c r="Z1175" s="21" t="n"/>
      <c r="AA1175" s="21" t="n"/>
      <c r="AB1175" s="21" t="n"/>
      <c r="AC1175" s="21" t="n"/>
      <c r="AD1175" s="21" t="n"/>
      <c r="AE1175" s="21" t="n"/>
      <c r="AF1175" s="21" t="n"/>
      <c r="AG1175" s="21" t="n"/>
      <c r="AH1175" s="21" t="n"/>
      <c r="AI1175" s="21" t="n"/>
      <c r="AJ1175" s="21" t="n"/>
      <c r="AK1175" s="21" t="n"/>
      <c r="AL1175" s="21" t="n"/>
      <c r="AM1175" s="21" t="n"/>
      <c r="AN1175" s="21" t="n"/>
      <c r="AO1175" s="21" t="n"/>
      <c r="AP1175" s="21" t="n"/>
      <c r="AQ1175" s="21" t="n"/>
      <c r="AR1175" s="21" t="n"/>
      <c r="AS1175" s="21" t="n"/>
      <c r="AT1175" s="21" t="n"/>
      <c r="AU1175" s="21" t="n"/>
      <c r="AV1175" s="21" t="n"/>
      <c r="AW1175" s="21" t="n"/>
      <c r="AX1175" s="21" t="n"/>
      <c r="AY1175" s="21" t="n"/>
      <c r="AZ1175" s="21" t="n"/>
      <c r="BA1175" s="21" t="n"/>
      <c r="BB1175" s="21" t="n"/>
      <c r="BC1175" s="21" t="n"/>
      <c r="BD1175" s="21" t="n"/>
      <c r="BE1175" s="21" t="n"/>
      <c r="BF1175" s="21" t="n"/>
      <c r="BG1175" s="21" t="n"/>
      <c r="BH1175" s="21" t="n"/>
      <c r="BI1175" s="21" t="n"/>
      <c r="BJ1175" s="21" t="n"/>
      <c r="BK1175" s="21" t="n"/>
      <c r="BL1175" s="21" t="n"/>
      <c r="BM1175" s="21" t="n"/>
      <c r="BN1175" s="21" t="n"/>
      <c r="BO1175" s="21" t="n"/>
      <c r="BP1175" s="21" t="n"/>
      <c r="BQ1175" s="21" t="n"/>
      <c r="BR1175" s="21" t="n"/>
      <c r="BS1175" s="21" t="n"/>
      <c r="BT1175" s="21" t="n"/>
      <c r="BU1175" s="21" t="n"/>
      <c r="BV1175" s="21" t="n"/>
      <c r="BW1175" s="21" t="n"/>
      <c r="BX1175" s="21" t="n"/>
      <c r="BY1175" s="21" t="n"/>
      <c r="BZ1175" s="21" t="n"/>
      <c r="CA1175" s="21" t="n"/>
      <c r="CB1175" s="21" t="n"/>
      <c r="CC1175" s="21" t="n"/>
      <c r="CD1175" s="21" t="n"/>
      <c r="CE1175" s="21" t="n"/>
      <c r="CF1175" s="21" t="n"/>
      <c r="CG1175" s="21" t="n"/>
      <c r="CH1175" s="21" t="n"/>
      <c r="CI1175" s="21" t="n"/>
      <c r="CJ1175" s="21" t="n"/>
      <c r="CK1175" s="21" t="n"/>
      <c r="CL1175" s="21" t="n"/>
      <c r="CM1175" s="21" t="n"/>
      <c r="CN1175" s="21" t="n"/>
      <c r="CO1175" s="21" t="n"/>
      <c r="CP1175" s="21" t="n"/>
      <c r="CQ1175" s="21" t="n"/>
      <c r="CR1175" s="21" t="n"/>
      <c r="CS1175" s="21" t="n"/>
      <c r="CT1175" s="21" t="n"/>
      <c r="CU1175" s="21" t="n"/>
      <c r="CV1175" s="21" t="n"/>
      <c r="CW1175" s="21" t="n"/>
      <c r="CX1175" s="21" t="n"/>
      <c r="CY1175" s="21" t="n"/>
      <c r="CZ1175" s="21" t="n"/>
      <c r="DA1175" s="21" t="n"/>
      <c r="DB1175" s="21" t="n"/>
      <c r="DC1175" s="21" t="n"/>
    </row>
    <row r="1176">
      <c r="B1176" t="inlineStr">
        <is>
          <t>PP Film</t>
        </is>
      </c>
      <c r="C1176" t="inlineStr">
        <is>
          <t>No. of batches</t>
        </is>
      </c>
      <c r="D1176">
        <f>IFERROR(INDEX(PP_Grid[#Data],$DD1176,2),0)</f>
        <v/>
      </c>
      <c r="E1176">
        <f>IFERROR(INDEX(PP_Grid[#Data],$DD1176,3),0)</f>
        <v/>
      </c>
      <c r="F1176">
        <f>IFERROR(INDEX(PP_Grid[#Data],$DD1176,4),0)</f>
        <v/>
      </c>
      <c r="G1176">
        <f>IFERROR(INDEX(PP_Grid[#Data],$DD1176,5),0)</f>
        <v/>
      </c>
      <c r="H1176">
        <f>IFERROR(INDEX(PP_Grid[#Data],$DD1176,6),0)</f>
        <v/>
      </c>
      <c r="I1176">
        <f>IFERROR(INDEX(PP_Grid[#Data],$DD1176,7),0)</f>
        <v/>
      </c>
      <c r="J1176">
        <f>IFERROR(INDEX(PP_Grid[#Data],$DD1176,8),0)</f>
        <v/>
      </c>
      <c r="K1176">
        <f>IFERROR(INDEX(PP_Grid[#Data],$DD1176,9),0)</f>
        <v/>
      </c>
      <c r="L1176">
        <f>IFERROR(INDEX(PP_Grid[#Data],$DD1176,10),0)</f>
        <v/>
      </c>
      <c r="M1176">
        <f>IFERROR(INDEX(PP_Grid[#Data],$DD1176,11),0)</f>
        <v/>
      </c>
      <c r="N1176">
        <f>IFERROR(INDEX(PP_Grid[#Data],$DD1176,12),0)</f>
        <v/>
      </c>
      <c r="O1176">
        <f>IFERROR(INDEX(PP_Grid[#Data],$DD1176,13),0)</f>
        <v/>
      </c>
      <c r="P1176">
        <f>IFERROR(INDEX(PP_Grid[#Data],$DD1176,14),0)</f>
        <v/>
      </c>
      <c r="Q1176">
        <f>IFERROR(INDEX(PP_Grid[#Data],$DD1176,15),0)</f>
        <v/>
      </c>
      <c r="R1176">
        <f>IFERROR(INDEX(PP_Grid[#Data],$DD1176,16),0)</f>
        <v/>
      </c>
      <c r="S1176">
        <f>IFERROR(INDEX(PP_Grid[#Data],$DD1176,17),0)</f>
        <v/>
      </c>
      <c r="T1176">
        <f>IFERROR(INDEX(PP_Grid[#Data],$DD1176,18),0)</f>
        <v/>
      </c>
      <c r="U1176">
        <f>IFERROR(INDEX(PP_Grid[#Data],$DD1176,19),0)</f>
        <v/>
      </c>
      <c r="V1176">
        <f>IFERROR(INDEX(PP_Grid[#Data],$DD1176,20),0)</f>
        <v/>
      </c>
      <c r="W1176">
        <f>IFERROR(INDEX(PP_Grid[#Data],$DD1176,21),0)</f>
        <v/>
      </c>
      <c r="X1176">
        <f>IFERROR(INDEX(PP_Grid[#Data],$DD1176,22),0)</f>
        <v/>
      </c>
      <c r="Y1176">
        <f>IFERROR(INDEX(PP_Grid[#Data],$DD1176,23),0)</f>
        <v/>
      </c>
      <c r="Z1176">
        <f>IFERROR(INDEX(PP_Grid[#Data],$DD1176,24),0)</f>
        <v/>
      </c>
      <c r="AA1176">
        <f>IFERROR(INDEX(PP_Grid[#Data],$DD1176,25),0)</f>
        <v/>
      </c>
      <c r="AB1176">
        <f>IFERROR(INDEX(PP_Grid[#Data],$DD1176,26),0)</f>
        <v/>
      </c>
      <c r="AC1176">
        <f>IFERROR(INDEX(PP_Grid[#Data],$DD1176,27),0)</f>
        <v/>
      </c>
      <c r="AD1176">
        <f>IFERROR(INDEX(PP_Grid[#Data],$DD1176,28),0)</f>
        <v/>
      </c>
      <c r="AE1176">
        <f>IFERROR(INDEX(PP_Grid[#Data],$DD1176,29),0)</f>
        <v/>
      </c>
      <c r="AF1176">
        <f>IFERROR(INDEX(PP_Grid[#Data],$DD1176,30),0)</f>
        <v/>
      </c>
      <c r="AG1176">
        <f>IFERROR(INDEX(PP_Grid[#Data],$DD1176,31),0)</f>
        <v/>
      </c>
      <c r="AH1176">
        <f>IFERROR(INDEX(PP_Grid[#Data],$DD1176,32),0)</f>
        <v/>
      </c>
      <c r="AI1176">
        <f>IFERROR(INDEX(PP_Grid[#Data],$DD1176,33),0)</f>
        <v/>
      </c>
      <c r="AJ1176">
        <f>IFERROR(INDEX(PP_Grid[#Data],$DD1176,34),0)</f>
        <v/>
      </c>
      <c r="AK1176">
        <f>IFERROR(INDEX(PP_Grid[#Data],$DD1176,35),0)</f>
        <v/>
      </c>
      <c r="AL1176">
        <f>IFERROR(INDEX(PP_Grid[#Data],$DD1176,36),0)</f>
        <v/>
      </c>
      <c r="AM1176">
        <f>IFERROR(INDEX(PP_Grid[#Data],$DD1176,37),0)</f>
        <v/>
      </c>
      <c r="AN1176">
        <f>IFERROR(INDEX(PP_Grid[#Data],$DD1176,38),0)</f>
        <v/>
      </c>
      <c r="AO1176">
        <f>IFERROR(INDEX(PP_Grid[#Data],$DD1176,39),0)</f>
        <v/>
      </c>
      <c r="AP1176">
        <f>IFERROR(INDEX(PP_Grid[#Data],$DD1176,40),0)</f>
        <v/>
      </c>
      <c r="AQ1176">
        <f>IFERROR(INDEX(PP_Grid[#Data],$DD1176,41),0)</f>
        <v/>
      </c>
      <c r="AR1176">
        <f>IFERROR(INDEX(PP_Grid[#Data],$DD1176,42),0)</f>
        <v/>
      </c>
      <c r="AS1176">
        <f>IFERROR(INDEX(PP_Grid[#Data],$DD1176,43),0)</f>
        <v/>
      </c>
      <c r="AT1176">
        <f>IFERROR(INDEX(PP_Grid[#Data],$DD1176,44),0)</f>
        <v/>
      </c>
      <c r="AU1176">
        <f>IFERROR(INDEX(PP_Grid[#Data],$DD1176,45),0)</f>
        <v/>
      </c>
      <c r="AV1176">
        <f>IFERROR(INDEX(PP_Grid[#Data],$DD1176,46),0)</f>
        <v/>
      </c>
      <c r="AW1176">
        <f>IFERROR(INDEX(PP_Grid[#Data],$DD1176,47),0)</f>
        <v/>
      </c>
      <c r="AX1176">
        <f>IFERROR(INDEX(PP_Grid[#Data],$DD1176,48),0)</f>
        <v/>
      </c>
      <c r="AY1176">
        <f>IFERROR(INDEX(PP_Grid[#Data],$DD1176,49),0)</f>
        <v/>
      </c>
      <c r="AZ1176">
        <f>IFERROR(INDEX(PP_Grid[#Data],$DD1176,50),0)</f>
        <v/>
      </c>
      <c r="BA1176">
        <f>IFERROR(INDEX(PP_Grid[#Data],$DD1176,51),0)</f>
        <v/>
      </c>
      <c r="BB1176">
        <f>IFERROR(INDEX(PP_Grid[#Data],$DD1176,52),0)</f>
        <v/>
      </c>
      <c r="BC1176">
        <f>IFERROR(INDEX(PP_Grid[#Data],$DD1176,53),0)</f>
        <v/>
      </c>
      <c r="BD1176">
        <f>IFERROR(INDEX(PP_Grid[#Data],$DD1176,54),0)</f>
        <v/>
      </c>
      <c r="BE1176">
        <f>IFERROR(INDEX(PP_Grid[#Data],$DD1176,55),0)</f>
        <v/>
      </c>
      <c r="BF1176">
        <f>IFERROR(INDEX(PP_Grid[#Data],$DD1176,56),0)</f>
        <v/>
      </c>
      <c r="BG1176">
        <f>IFERROR(INDEX(PP_Grid[#Data],$DD1176,57),0)</f>
        <v/>
      </c>
      <c r="BH1176">
        <f>IFERROR(INDEX(PP_Grid[#Data],$DD1176,58),0)</f>
        <v/>
      </c>
      <c r="BI1176">
        <f>IFERROR(INDEX(PP_Grid[#Data],$DD1176,59),0)</f>
        <v/>
      </c>
      <c r="BJ1176">
        <f>IFERROR(INDEX(PP_Grid[#Data],$DD1176,60),0)</f>
        <v/>
      </c>
      <c r="BK1176">
        <f>IFERROR(INDEX(PP_Grid[#Data],$DD1176,61),0)</f>
        <v/>
      </c>
      <c r="BL1176">
        <f>IFERROR(INDEX(PP_Grid[#Data],$DD1176,62),0)</f>
        <v/>
      </c>
      <c r="BM1176">
        <f>IFERROR(INDEX(PP_Grid[#Data],$DD1176,63),0)</f>
        <v/>
      </c>
      <c r="BN1176">
        <f>IFERROR(INDEX(PP_Grid[#Data],$DD1176,64),0)</f>
        <v/>
      </c>
      <c r="BO1176">
        <f>IFERROR(INDEX(PP_Grid[#Data],$DD1176,65),0)</f>
        <v/>
      </c>
      <c r="BP1176">
        <f>IFERROR(INDEX(PP_Grid[#Data],$DD1176,66),0)</f>
        <v/>
      </c>
      <c r="BQ1176">
        <f>IFERROR(INDEX(PP_Grid[#Data],$DD1176,67),0)</f>
        <v/>
      </c>
      <c r="BR1176">
        <f>IFERROR(INDEX(PP_Grid[#Data],$DD1176,68),0)</f>
        <v/>
      </c>
      <c r="BS1176">
        <f>IFERROR(INDEX(PP_Grid[#Data],$DD1176,69),0)</f>
        <v/>
      </c>
      <c r="BT1176">
        <f>IFERROR(INDEX(PP_Grid[#Data],$DD1176,70),0)</f>
        <v/>
      </c>
      <c r="BU1176">
        <f>IFERROR(INDEX(PP_Grid[#Data],$DD1176,71),0)</f>
        <v/>
      </c>
      <c r="BV1176">
        <f>IFERROR(INDEX(PP_Grid[#Data],$DD1176,72),0)</f>
        <v/>
      </c>
      <c r="BW1176">
        <f>IFERROR(INDEX(PP_Grid[#Data],$DD1176,73),0)</f>
        <v/>
      </c>
      <c r="BX1176">
        <f>IFERROR(INDEX(PP_Grid[#Data],$DD1176,74),0)</f>
        <v/>
      </c>
      <c r="BY1176">
        <f>IFERROR(INDEX(PP_Grid[#Data],$DD1176,75),0)</f>
        <v/>
      </c>
      <c r="BZ1176">
        <f>IFERROR(INDEX(PP_Grid[#Data],$DD1176,76),0)</f>
        <v/>
      </c>
      <c r="CA1176">
        <f>IFERROR(INDEX(PP_Grid[#Data],$DD1176,77),0)</f>
        <v/>
      </c>
      <c r="CB1176">
        <f>IFERROR(INDEX(PP_Grid[#Data],$DD1176,78),0)</f>
        <v/>
      </c>
      <c r="CC1176">
        <f>IFERROR(INDEX(PP_Grid[#Data],$DD1176,79),0)</f>
        <v/>
      </c>
      <c r="CD1176">
        <f>IFERROR(INDEX(PP_Grid[#Data],$DD1176,80),0)</f>
        <v/>
      </c>
      <c r="CE1176">
        <f>IFERROR(INDEX(PP_Grid[#Data],$DD1176,81),0)</f>
        <v/>
      </c>
      <c r="CF1176">
        <f>IFERROR(INDEX(PP_Grid[#Data],$DD1176,82),0)</f>
        <v/>
      </c>
      <c r="CG1176">
        <f>IFERROR(INDEX(PP_Grid[#Data],$DD1176,83),0)</f>
        <v/>
      </c>
      <c r="CH1176">
        <f>IFERROR(INDEX(PP_Grid[#Data],$DD1176,84),0)</f>
        <v/>
      </c>
      <c r="CI1176">
        <f>IFERROR(INDEX(PP_Grid[#Data],$DD1176,85),0)</f>
        <v/>
      </c>
      <c r="CJ1176">
        <f>IFERROR(INDEX(PP_Grid[#Data],$DD1176,86),0)</f>
        <v/>
      </c>
      <c r="CK1176">
        <f>IFERROR(INDEX(PP_Grid[#Data],$DD1176,87),0)</f>
        <v/>
      </c>
      <c r="CL1176">
        <f>IFERROR(INDEX(PP_Grid[#Data],$DD1176,88),0)</f>
        <v/>
      </c>
      <c r="CM1176">
        <f>IFERROR(INDEX(PP_Grid[#Data],$DD1176,89),0)</f>
        <v/>
      </c>
      <c r="CN1176">
        <f>IFERROR(INDEX(PP_Grid[#Data],$DD1176,90),0)</f>
        <v/>
      </c>
      <c r="CO1176">
        <f>IFERROR(INDEX(PP_Grid[#Data],$DD1176,91),0)</f>
        <v/>
      </c>
      <c r="CP1176">
        <f>IFERROR(INDEX(PP_Grid[#Data],$DD1176,92),0)</f>
        <v/>
      </c>
      <c r="CQ1176">
        <f>IFERROR(INDEX(PP_Grid[#Data],$DD1176,93),0)</f>
        <v/>
      </c>
      <c r="CR1176">
        <f>IFERROR(INDEX(PP_Grid[#Data],$DD1176,94),0)</f>
        <v/>
      </c>
      <c r="CS1176">
        <f>IFERROR(INDEX(PP_Grid[#Data],$DD1176,95),0)</f>
        <v/>
      </c>
      <c r="CT1176">
        <f>IFERROR(INDEX(PP_Grid[#Data],$DD1176,96),0)</f>
        <v/>
      </c>
      <c r="CU1176">
        <f>IFERROR(INDEX(PP_Grid[#Data],$DD1176,97),0)</f>
        <v/>
      </c>
      <c r="CV1176">
        <f>IFERROR(INDEX(PP_Grid[#Data],$DD1176,98),0)</f>
        <v/>
      </c>
      <c r="CW1176">
        <f>IFERROR(INDEX(PP_Grid[#Data],$DD1176,99),0)</f>
        <v/>
      </c>
      <c r="CX1176">
        <f>IFERROR(INDEX(PP_Grid[#Data],$DD1176,100),0)</f>
        <v/>
      </c>
      <c r="CY1176">
        <f>IFERROR(INDEX(PP_Grid[#Data],$DD1176,101),0)</f>
        <v/>
      </c>
      <c r="CZ1176">
        <f>IFERROR(INDEX(PP_Grid[#Data],$DD1176,102),0)</f>
        <v/>
      </c>
      <c r="DA1176">
        <f>IFERROR(INDEX(PP_Grid[#Data],$DD1176,103),0)</f>
        <v/>
      </c>
      <c r="DB1176">
        <f>IFERROR(INDEX(PP_Grid[#Data],$DD1176,104),0)</f>
        <v/>
      </c>
      <c r="DC1176">
        <f>IFERROR(INDEX(PP_Grid[#Data],$DD1176,105),0)</f>
        <v/>
      </c>
      <c r="DD1176" s="12">
        <f>IFERROR(MATCH($B1176,PP_Grid[Intermediate],0),99999)</f>
        <v/>
      </c>
    </row>
    <row r="1177">
      <c r="B1177" t="inlineStr">
        <is>
          <t>使用量(kg)</t>
        </is>
      </c>
      <c r="C1177">
        <f>SUMIFS(M_BOM[RM_Qty_Per_Batch],M_BOM[Intermediate],$B1176,M_BOM[Part Name],$A1175)</f>
        <v/>
      </c>
      <c r="D1177">
        <f>$C1177*D1176</f>
        <v/>
      </c>
      <c r="E1177">
        <f>$C1177*E1176</f>
        <v/>
      </c>
      <c r="F1177">
        <f>$C1177*F1176</f>
        <v/>
      </c>
      <c r="G1177">
        <f>$C1177*G1176</f>
        <v/>
      </c>
      <c r="H1177">
        <f>$C1177*H1176</f>
        <v/>
      </c>
      <c r="I1177">
        <f>$C1177*I1176</f>
        <v/>
      </c>
      <c r="J1177">
        <f>$C1177*J1176</f>
        <v/>
      </c>
      <c r="K1177">
        <f>$C1177*K1176</f>
        <v/>
      </c>
      <c r="L1177">
        <f>$C1177*L1176</f>
        <v/>
      </c>
      <c r="M1177">
        <f>$C1177*M1176</f>
        <v/>
      </c>
      <c r="N1177">
        <f>$C1177*N1176</f>
        <v/>
      </c>
      <c r="O1177">
        <f>$C1177*O1176</f>
        <v/>
      </c>
      <c r="P1177">
        <f>$C1177*P1176</f>
        <v/>
      </c>
      <c r="Q1177">
        <f>$C1177*Q1176</f>
        <v/>
      </c>
      <c r="R1177">
        <f>$C1177*R1176</f>
        <v/>
      </c>
      <c r="S1177">
        <f>$C1177*S1176</f>
        <v/>
      </c>
      <c r="T1177">
        <f>$C1177*T1176</f>
        <v/>
      </c>
      <c r="U1177">
        <f>$C1177*U1176</f>
        <v/>
      </c>
      <c r="V1177">
        <f>$C1177*V1176</f>
        <v/>
      </c>
      <c r="W1177">
        <f>$C1177*W1176</f>
        <v/>
      </c>
      <c r="X1177">
        <f>$C1177*X1176</f>
        <v/>
      </c>
      <c r="Y1177">
        <f>$C1177*Y1176</f>
        <v/>
      </c>
      <c r="Z1177">
        <f>$C1177*Z1176</f>
        <v/>
      </c>
      <c r="AA1177">
        <f>$C1177*AA1176</f>
        <v/>
      </c>
      <c r="AB1177">
        <f>$C1177*AB1176</f>
        <v/>
      </c>
      <c r="AC1177">
        <f>$C1177*AC1176</f>
        <v/>
      </c>
      <c r="AD1177">
        <f>$C1177*AD1176</f>
        <v/>
      </c>
      <c r="AE1177">
        <f>$C1177*AE1176</f>
        <v/>
      </c>
      <c r="AF1177">
        <f>$C1177*AF1176</f>
        <v/>
      </c>
      <c r="AG1177">
        <f>$C1177*AG1176</f>
        <v/>
      </c>
      <c r="AH1177">
        <f>$C1177*AH1176</f>
        <v/>
      </c>
      <c r="AI1177">
        <f>$C1177*AI1176</f>
        <v/>
      </c>
      <c r="AJ1177">
        <f>$C1177*AJ1176</f>
        <v/>
      </c>
      <c r="AK1177">
        <f>$C1177*AK1176</f>
        <v/>
      </c>
      <c r="AL1177">
        <f>$C1177*AL1176</f>
        <v/>
      </c>
      <c r="AM1177">
        <f>$C1177*AM1176</f>
        <v/>
      </c>
      <c r="AN1177">
        <f>$C1177*AN1176</f>
        <v/>
      </c>
      <c r="AO1177">
        <f>$C1177*AO1176</f>
        <v/>
      </c>
      <c r="AP1177">
        <f>$C1177*AP1176</f>
        <v/>
      </c>
      <c r="AQ1177">
        <f>$C1177*AQ1176</f>
        <v/>
      </c>
      <c r="AR1177">
        <f>$C1177*AR1176</f>
        <v/>
      </c>
      <c r="AS1177">
        <f>$C1177*AS1176</f>
        <v/>
      </c>
      <c r="AT1177">
        <f>$C1177*AT1176</f>
        <v/>
      </c>
      <c r="AU1177">
        <f>$C1177*AU1176</f>
        <v/>
      </c>
      <c r="AV1177">
        <f>$C1177*AV1176</f>
        <v/>
      </c>
      <c r="AW1177">
        <f>$C1177*AW1176</f>
        <v/>
      </c>
      <c r="AX1177">
        <f>$C1177*AX1176</f>
        <v/>
      </c>
      <c r="AY1177">
        <f>$C1177*AY1176</f>
        <v/>
      </c>
      <c r="AZ1177">
        <f>$C1177*AZ1176</f>
        <v/>
      </c>
      <c r="BA1177">
        <f>$C1177*BA1176</f>
        <v/>
      </c>
      <c r="BB1177">
        <f>$C1177*BB1176</f>
        <v/>
      </c>
      <c r="BC1177">
        <f>$C1177*BC1176</f>
        <v/>
      </c>
      <c r="BD1177">
        <f>$C1177*BD1176</f>
        <v/>
      </c>
      <c r="BE1177">
        <f>$C1177*BE1176</f>
        <v/>
      </c>
      <c r="BF1177">
        <f>$C1177*BF1176</f>
        <v/>
      </c>
      <c r="BG1177">
        <f>$C1177*BG1176</f>
        <v/>
      </c>
      <c r="BH1177">
        <f>$C1177*BH1176</f>
        <v/>
      </c>
      <c r="BI1177">
        <f>$C1177*BI1176</f>
        <v/>
      </c>
      <c r="BJ1177">
        <f>$C1177*BJ1176</f>
        <v/>
      </c>
      <c r="BK1177">
        <f>$C1177*BK1176</f>
        <v/>
      </c>
      <c r="BL1177">
        <f>$C1177*BL1176</f>
        <v/>
      </c>
      <c r="BM1177">
        <f>$C1177*BM1176</f>
        <v/>
      </c>
      <c r="BN1177">
        <f>$C1177*BN1176</f>
        <v/>
      </c>
      <c r="BO1177">
        <f>$C1177*BO1176</f>
        <v/>
      </c>
      <c r="BP1177">
        <f>$C1177*BP1176</f>
        <v/>
      </c>
      <c r="BQ1177">
        <f>$C1177*BQ1176</f>
        <v/>
      </c>
      <c r="BR1177">
        <f>$C1177*BR1176</f>
        <v/>
      </c>
      <c r="BS1177">
        <f>$C1177*BS1176</f>
        <v/>
      </c>
      <c r="BT1177">
        <f>$C1177*BT1176</f>
        <v/>
      </c>
      <c r="BU1177">
        <f>$C1177*BU1176</f>
        <v/>
      </c>
      <c r="BV1177">
        <f>$C1177*BV1176</f>
        <v/>
      </c>
      <c r="BW1177">
        <f>$C1177*BW1176</f>
        <v/>
      </c>
      <c r="BX1177">
        <f>$C1177*BX1176</f>
        <v/>
      </c>
      <c r="BY1177">
        <f>$C1177*BY1176</f>
        <v/>
      </c>
      <c r="BZ1177">
        <f>$C1177*BZ1176</f>
        <v/>
      </c>
      <c r="CA1177">
        <f>$C1177*CA1176</f>
        <v/>
      </c>
      <c r="CB1177">
        <f>$C1177*CB1176</f>
        <v/>
      </c>
      <c r="CC1177">
        <f>$C1177*CC1176</f>
        <v/>
      </c>
      <c r="CD1177">
        <f>$C1177*CD1176</f>
        <v/>
      </c>
      <c r="CE1177">
        <f>$C1177*CE1176</f>
        <v/>
      </c>
      <c r="CF1177">
        <f>$C1177*CF1176</f>
        <v/>
      </c>
      <c r="CG1177">
        <f>$C1177*CG1176</f>
        <v/>
      </c>
      <c r="CH1177">
        <f>$C1177*CH1176</f>
        <v/>
      </c>
      <c r="CI1177">
        <f>$C1177*CI1176</f>
        <v/>
      </c>
      <c r="CJ1177">
        <f>$C1177*CJ1176</f>
        <v/>
      </c>
      <c r="CK1177">
        <f>$C1177*CK1176</f>
        <v/>
      </c>
      <c r="CL1177">
        <f>$C1177*CL1176</f>
        <v/>
      </c>
      <c r="CM1177">
        <f>$C1177*CM1176</f>
        <v/>
      </c>
      <c r="CN1177">
        <f>$C1177*CN1176</f>
        <v/>
      </c>
      <c r="CO1177">
        <f>$C1177*CO1176</f>
        <v/>
      </c>
      <c r="CP1177">
        <f>$C1177*CP1176</f>
        <v/>
      </c>
      <c r="CQ1177">
        <f>$C1177*CQ1176</f>
        <v/>
      </c>
      <c r="CR1177">
        <f>$C1177*CR1176</f>
        <v/>
      </c>
      <c r="CS1177">
        <f>$C1177*CS1176</f>
        <v/>
      </c>
      <c r="CT1177">
        <f>$C1177*CT1176</f>
        <v/>
      </c>
      <c r="CU1177">
        <f>$C1177*CU1176</f>
        <v/>
      </c>
      <c r="CV1177">
        <f>$C1177*CV1176</f>
        <v/>
      </c>
      <c r="CW1177">
        <f>$C1177*CW1176</f>
        <v/>
      </c>
      <c r="CX1177">
        <f>$C1177*CX1176</f>
        <v/>
      </c>
      <c r="CY1177">
        <f>$C1177*CY1176</f>
        <v/>
      </c>
      <c r="CZ1177">
        <f>$C1177*CZ1176</f>
        <v/>
      </c>
      <c r="DA1177">
        <f>$C1177*DA1176</f>
        <v/>
      </c>
      <c r="DB1177">
        <f>$C1177*DB1176</f>
        <v/>
      </c>
      <c r="DC1177">
        <f>$C1177*DC1176</f>
        <v/>
      </c>
    </row>
    <row r="1178">
      <c r="B1178" s="5" t="inlineStr">
        <is>
          <t>合計使用量(kg)/週</t>
        </is>
      </c>
      <c r="D1178">
        <f>'Grid_Requirement'!B54</f>
        <v/>
      </c>
      <c r="E1178">
        <f>'Grid_Requirement'!C54</f>
        <v/>
      </c>
      <c r="F1178">
        <f>'Grid_Requirement'!D54</f>
        <v/>
      </c>
      <c r="G1178">
        <f>'Grid_Requirement'!E54</f>
        <v/>
      </c>
      <c r="H1178">
        <f>'Grid_Requirement'!F54</f>
        <v/>
      </c>
      <c r="I1178">
        <f>'Grid_Requirement'!G54</f>
        <v/>
      </c>
      <c r="J1178">
        <f>'Grid_Requirement'!H54</f>
        <v/>
      </c>
      <c r="K1178">
        <f>'Grid_Requirement'!I54</f>
        <v/>
      </c>
      <c r="L1178">
        <f>'Grid_Requirement'!J54</f>
        <v/>
      </c>
      <c r="M1178">
        <f>'Grid_Requirement'!K54</f>
        <v/>
      </c>
      <c r="N1178">
        <f>'Grid_Requirement'!L54</f>
        <v/>
      </c>
      <c r="O1178">
        <f>'Grid_Requirement'!M54</f>
        <v/>
      </c>
      <c r="P1178">
        <f>'Grid_Requirement'!N54</f>
        <v/>
      </c>
      <c r="Q1178">
        <f>'Grid_Requirement'!O54</f>
        <v/>
      </c>
      <c r="R1178">
        <f>'Grid_Requirement'!P54</f>
        <v/>
      </c>
      <c r="S1178">
        <f>'Grid_Requirement'!Q54</f>
        <v/>
      </c>
      <c r="T1178">
        <f>'Grid_Requirement'!R54</f>
        <v/>
      </c>
      <c r="U1178">
        <f>'Grid_Requirement'!S54</f>
        <v/>
      </c>
      <c r="V1178">
        <f>'Grid_Requirement'!T54</f>
        <v/>
      </c>
      <c r="W1178">
        <f>'Grid_Requirement'!U54</f>
        <v/>
      </c>
      <c r="X1178">
        <f>'Grid_Requirement'!V54</f>
        <v/>
      </c>
      <c r="Y1178">
        <f>'Grid_Requirement'!W54</f>
        <v/>
      </c>
      <c r="Z1178">
        <f>'Grid_Requirement'!X54</f>
        <v/>
      </c>
      <c r="AA1178">
        <f>'Grid_Requirement'!Y54</f>
        <v/>
      </c>
      <c r="AB1178">
        <f>'Grid_Requirement'!Z54</f>
        <v/>
      </c>
      <c r="AC1178">
        <f>'Grid_Requirement'!AA54</f>
        <v/>
      </c>
      <c r="AD1178">
        <f>'Grid_Requirement'!AB54</f>
        <v/>
      </c>
      <c r="AE1178">
        <f>'Grid_Requirement'!AC54</f>
        <v/>
      </c>
      <c r="AF1178">
        <f>'Grid_Requirement'!AD54</f>
        <v/>
      </c>
      <c r="AG1178">
        <f>'Grid_Requirement'!AE54</f>
        <v/>
      </c>
      <c r="AH1178">
        <f>'Grid_Requirement'!AF54</f>
        <v/>
      </c>
      <c r="AI1178">
        <f>'Grid_Requirement'!AG54</f>
        <v/>
      </c>
      <c r="AJ1178">
        <f>'Grid_Requirement'!AH54</f>
        <v/>
      </c>
      <c r="AK1178">
        <f>'Grid_Requirement'!AI54</f>
        <v/>
      </c>
      <c r="AL1178">
        <f>'Grid_Requirement'!AJ54</f>
        <v/>
      </c>
      <c r="AM1178">
        <f>'Grid_Requirement'!AK54</f>
        <v/>
      </c>
      <c r="AN1178">
        <f>'Grid_Requirement'!AL54</f>
        <v/>
      </c>
      <c r="AO1178">
        <f>'Grid_Requirement'!AM54</f>
        <v/>
      </c>
      <c r="AP1178">
        <f>'Grid_Requirement'!AN54</f>
        <v/>
      </c>
      <c r="AQ1178">
        <f>'Grid_Requirement'!AO54</f>
        <v/>
      </c>
      <c r="AR1178">
        <f>'Grid_Requirement'!AP54</f>
        <v/>
      </c>
      <c r="AS1178">
        <f>'Grid_Requirement'!AQ54</f>
        <v/>
      </c>
      <c r="AT1178">
        <f>'Grid_Requirement'!AR54</f>
        <v/>
      </c>
      <c r="AU1178">
        <f>'Grid_Requirement'!AS54</f>
        <v/>
      </c>
      <c r="AV1178">
        <f>'Grid_Requirement'!AT54</f>
        <v/>
      </c>
      <c r="AW1178">
        <f>'Grid_Requirement'!AU54</f>
        <v/>
      </c>
      <c r="AX1178">
        <f>'Grid_Requirement'!AV54</f>
        <v/>
      </c>
      <c r="AY1178">
        <f>'Grid_Requirement'!AW54</f>
        <v/>
      </c>
      <c r="AZ1178">
        <f>'Grid_Requirement'!AX54</f>
        <v/>
      </c>
      <c r="BA1178">
        <f>'Grid_Requirement'!AY54</f>
        <v/>
      </c>
      <c r="BB1178">
        <f>'Grid_Requirement'!AZ54</f>
        <v/>
      </c>
      <c r="BC1178">
        <f>'Grid_Requirement'!BA54</f>
        <v/>
      </c>
      <c r="BD1178">
        <f>'Grid_Requirement'!BB54</f>
        <v/>
      </c>
      <c r="BE1178">
        <f>'Grid_Requirement'!BC54</f>
        <v/>
      </c>
      <c r="BF1178">
        <f>'Grid_Requirement'!BD54</f>
        <v/>
      </c>
      <c r="BG1178">
        <f>'Grid_Requirement'!BE54</f>
        <v/>
      </c>
      <c r="BH1178">
        <f>'Grid_Requirement'!BF54</f>
        <v/>
      </c>
      <c r="BI1178">
        <f>'Grid_Requirement'!BG54</f>
        <v/>
      </c>
      <c r="BJ1178">
        <f>'Grid_Requirement'!BH54</f>
        <v/>
      </c>
      <c r="BK1178">
        <f>'Grid_Requirement'!BI54</f>
        <v/>
      </c>
      <c r="BL1178">
        <f>'Grid_Requirement'!BJ54</f>
        <v/>
      </c>
      <c r="BM1178">
        <f>'Grid_Requirement'!BK54</f>
        <v/>
      </c>
      <c r="BN1178">
        <f>'Grid_Requirement'!BL54</f>
        <v/>
      </c>
      <c r="BO1178">
        <f>'Grid_Requirement'!BM54</f>
        <v/>
      </c>
      <c r="BP1178">
        <f>'Grid_Requirement'!BN54</f>
        <v/>
      </c>
      <c r="BQ1178">
        <f>'Grid_Requirement'!BO54</f>
        <v/>
      </c>
      <c r="BR1178">
        <f>'Grid_Requirement'!BP54</f>
        <v/>
      </c>
      <c r="BS1178">
        <f>'Grid_Requirement'!BQ54</f>
        <v/>
      </c>
      <c r="BT1178">
        <f>'Grid_Requirement'!BR54</f>
        <v/>
      </c>
      <c r="BU1178">
        <f>'Grid_Requirement'!BS54</f>
        <v/>
      </c>
      <c r="BV1178">
        <f>'Grid_Requirement'!BT54</f>
        <v/>
      </c>
      <c r="BW1178">
        <f>'Grid_Requirement'!BU54</f>
        <v/>
      </c>
      <c r="BX1178">
        <f>'Grid_Requirement'!BV54</f>
        <v/>
      </c>
      <c r="BY1178">
        <f>'Grid_Requirement'!BW54</f>
        <v/>
      </c>
      <c r="BZ1178">
        <f>'Grid_Requirement'!BX54</f>
        <v/>
      </c>
      <c r="CA1178">
        <f>'Grid_Requirement'!BY54</f>
        <v/>
      </c>
      <c r="CB1178">
        <f>'Grid_Requirement'!BZ54</f>
        <v/>
      </c>
      <c r="CC1178">
        <f>'Grid_Requirement'!CA54</f>
        <v/>
      </c>
      <c r="CD1178">
        <f>'Grid_Requirement'!CB54</f>
        <v/>
      </c>
      <c r="CE1178">
        <f>'Grid_Requirement'!CC54</f>
        <v/>
      </c>
      <c r="CF1178">
        <f>'Grid_Requirement'!CD54</f>
        <v/>
      </c>
      <c r="CG1178">
        <f>'Grid_Requirement'!CE54</f>
        <v/>
      </c>
      <c r="CH1178">
        <f>'Grid_Requirement'!CF54</f>
        <v/>
      </c>
      <c r="CI1178">
        <f>'Grid_Requirement'!CG54</f>
        <v/>
      </c>
      <c r="CJ1178">
        <f>'Grid_Requirement'!CH54</f>
        <v/>
      </c>
      <c r="CK1178">
        <f>'Grid_Requirement'!CI54</f>
        <v/>
      </c>
      <c r="CL1178">
        <f>'Grid_Requirement'!CJ54</f>
        <v/>
      </c>
      <c r="CM1178">
        <f>'Grid_Requirement'!CK54</f>
        <v/>
      </c>
      <c r="CN1178">
        <f>'Grid_Requirement'!CL54</f>
        <v/>
      </c>
      <c r="CO1178">
        <f>'Grid_Requirement'!CM54</f>
        <v/>
      </c>
      <c r="CP1178">
        <f>'Grid_Requirement'!CN54</f>
        <v/>
      </c>
      <c r="CQ1178">
        <f>'Grid_Requirement'!CO54</f>
        <v/>
      </c>
      <c r="CR1178">
        <f>'Grid_Requirement'!CP54</f>
        <v/>
      </c>
      <c r="CS1178">
        <f>'Grid_Requirement'!CQ54</f>
        <v/>
      </c>
      <c r="CT1178">
        <f>'Grid_Requirement'!CR54</f>
        <v/>
      </c>
      <c r="CU1178">
        <f>'Grid_Requirement'!CS54</f>
        <v/>
      </c>
      <c r="CV1178">
        <f>'Grid_Requirement'!CT54</f>
        <v/>
      </c>
      <c r="CW1178">
        <f>'Grid_Requirement'!CU54</f>
        <v/>
      </c>
      <c r="CX1178">
        <f>'Grid_Requirement'!CV54</f>
        <v/>
      </c>
      <c r="CY1178">
        <f>'Grid_Requirement'!CW54</f>
        <v/>
      </c>
      <c r="CZ1178">
        <f>'Grid_Requirement'!CX54</f>
        <v/>
      </c>
      <c r="DA1178">
        <f>'Grid_Requirement'!CY54</f>
        <v/>
      </c>
      <c r="DB1178">
        <f>'Grid_Requirement'!CZ54</f>
        <v/>
      </c>
      <c r="DC1178">
        <f>'Grid_Requirement'!DA54</f>
        <v/>
      </c>
    </row>
    <row r="1179">
      <c r="B1179" t="inlineStr">
        <is>
          <t>TTAF在庫(実績,kg)</t>
        </is>
      </c>
      <c r="D1179">
        <f>'T_TTAFStock'!B58</f>
        <v/>
      </c>
      <c r="E1179">
        <f>'T_TTAFStock'!C58</f>
        <v/>
      </c>
      <c r="F1179">
        <f>'T_TTAFStock'!D58</f>
        <v/>
      </c>
      <c r="G1179">
        <f>'T_TTAFStock'!E58</f>
        <v/>
      </c>
      <c r="H1179">
        <f>'T_TTAFStock'!F58</f>
        <v/>
      </c>
      <c r="I1179">
        <f>'T_TTAFStock'!G58</f>
        <v/>
      </c>
      <c r="J1179">
        <f>'T_TTAFStock'!H58</f>
        <v/>
      </c>
      <c r="K1179">
        <f>'T_TTAFStock'!I58</f>
        <v/>
      </c>
      <c r="L1179">
        <f>'T_TTAFStock'!J58</f>
        <v/>
      </c>
      <c r="M1179">
        <f>'T_TTAFStock'!K58</f>
        <v/>
      </c>
      <c r="N1179">
        <f>'T_TTAFStock'!L58</f>
        <v/>
      </c>
      <c r="O1179">
        <f>'T_TTAFStock'!M58</f>
        <v/>
      </c>
      <c r="P1179">
        <f>'T_TTAFStock'!N58</f>
        <v/>
      </c>
      <c r="Q1179">
        <f>'T_TTAFStock'!O58</f>
        <v/>
      </c>
      <c r="R1179">
        <f>'T_TTAFStock'!P58</f>
        <v/>
      </c>
      <c r="S1179">
        <f>'T_TTAFStock'!Q58</f>
        <v/>
      </c>
      <c r="T1179">
        <f>'T_TTAFStock'!R58</f>
        <v/>
      </c>
      <c r="U1179">
        <f>'T_TTAFStock'!S58</f>
        <v/>
      </c>
      <c r="V1179">
        <f>'T_TTAFStock'!T58</f>
        <v/>
      </c>
      <c r="W1179">
        <f>'T_TTAFStock'!U58</f>
        <v/>
      </c>
      <c r="X1179">
        <f>'T_TTAFStock'!V58</f>
        <v/>
      </c>
      <c r="Y1179">
        <f>'T_TTAFStock'!W58</f>
        <v/>
      </c>
      <c r="Z1179">
        <f>'T_TTAFStock'!X58</f>
        <v/>
      </c>
      <c r="AA1179">
        <f>'T_TTAFStock'!Y58</f>
        <v/>
      </c>
      <c r="AB1179">
        <f>'T_TTAFStock'!Z58</f>
        <v/>
      </c>
      <c r="AC1179">
        <f>'T_TTAFStock'!AA58</f>
        <v/>
      </c>
      <c r="AD1179">
        <f>'T_TTAFStock'!AB58</f>
        <v/>
      </c>
      <c r="AE1179">
        <f>'T_TTAFStock'!AC58</f>
        <v/>
      </c>
      <c r="AF1179">
        <f>'T_TTAFStock'!AD58</f>
        <v/>
      </c>
      <c r="AG1179">
        <f>'T_TTAFStock'!AE58</f>
        <v/>
      </c>
      <c r="AH1179">
        <f>'T_TTAFStock'!AF58</f>
        <v/>
      </c>
      <c r="AI1179">
        <f>'T_TTAFStock'!AG58</f>
        <v/>
      </c>
      <c r="AJ1179">
        <f>'T_TTAFStock'!AH58</f>
        <v/>
      </c>
      <c r="AK1179">
        <f>'T_TTAFStock'!AI58</f>
        <v/>
      </c>
      <c r="AL1179">
        <f>'T_TTAFStock'!AJ58</f>
        <v/>
      </c>
      <c r="AM1179">
        <f>'T_TTAFStock'!AK58</f>
        <v/>
      </c>
      <c r="AN1179">
        <f>'T_TTAFStock'!AL58</f>
        <v/>
      </c>
      <c r="AO1179">
        <f>'T_TTAFStock'!AM58</f>
        <v/>
      </c>
      <c r="AP1179">
        <f>'T_TTAFStock'!AN58</f>
        <v/>
      </c>
      <c r="AQ1179">
        <f>'T_TTAFStock'!AO58</f>
        <v/>
      </c>
      <c r="AR1179">
        <f>'T_TTAFStock'!AP58</f>
        <v/>
      </c>
      <c r="AS1179">
        <f>'T_TTAFStock'!AQ58</f>
        <v/>
      </c>
      <c r="AT1179">
        <f>'T_TTAFStock'!AR58</f>
        <v/>
      </c>
      <c r="AU1179">
        <f>'T_TTAFStock'!AS58</f>
        <v/>
      </c>
      <c r="AV1179">
        <f>'T_TTAFStock'!AT58</f>
        <v/>
      </c>
      <c r="AW1179">
        <f>'T_TTAFStock'!AU58</f>
        <v/>
      </c>
      <c r="AX1179">
        <f>'T_TTAFStock'!AV58</f>
        <v/>
      </c>
      <c r="AY1179">
        <f>'T_TTAFStock'!AW58</f>
        <v/>
      </c>
      <c r="AZ1179">
        <f>'T_TTAFStock'!AX58</f>
        <v/>
      </c>
      <c r="BA1179">
        <f>'T_TTAFStock'!AY58</f>
        <v/>
      </c>
      <c r="BB1179">
        <f>'T_TTAFStock'!AZ58</f>
        <v/>
      </c>
      <c r="BC1179">
        <f>'T_TTAFStock'!BA58</f>
        <v/>
      </c>
      <c r="BD1179">
        <f>'T_TTAFStock'!BB58</f>
        <v/>
      </c>
      <c r="BE1179">
        <f>'T_TTAFStock'!BC58</f>
        <v/>
      </c>
      <c r="BF1179">
        <f>'T_TTAFStock'!BD58</f>
        <v/>
      </c>
      <c r="BG1179">
        <f>'T_TTAFStock'!BE58</f>
        <v/>
      </c>
      <c r="BH1179">
        <f>'T_TTAFStock'!BF58</f>
        <v/>
      </c>
      <c r="BI1179">
        <f>'T_TTAFStock'!BG58</f>
        <v/>
      </c>
      <c r="BJ1179">
        <f>'T_TTAFStock'!BH58</f>
        <v/>
      </c>
      <c r="BK1179">
        <f>'T_TTAFStock'!BI58</f>
        <v/>
      </c>
      <c r="BL1179">
        <f>'T_TTAFStock'!BJ58</f>
        <v/>
      </c>
      <c r="BM1179">
        <f>'T_TTAFStock'!BK58</f>
        <v/>
      </c>
      <c r="BN1179">
        <f>'T_TTAFStock'!BL58</f>
        <v/>
      </c>
      <c r="BO1179">
        <f>'T_TTAFStock'!BM58</f>
        <v/>
      </c>
      <c r="BP1179">
        <f>'T_TTAFStock'!BN58</f>
        <v/>
      </c>
      <c r="BQ1179">
        <f>'T_TTAFStock'!BO58</f>
        <v/>
      </c>
      <c r="BR1179">
        <f>'T_TTAFStock'!BP58</f>
        <v/>
      </c>
      <c r="BS1179">
        <f>'T_TTAFStock'!BQ58</f>
        <v/>
      </c>
      <c r="BT1179">
        <f>'T_TTAFStock'!BR58</f>
        <v/>
      </c>
      <c r="BU1179">
        <f>'T_TTAFStock'!BS58</f>
        <v/>
      </c>
      <c r="BV1179">
        <f>'T_TTAFStock'!BT58</f>
        <v/>
      </c>
      <c r="BW1179">
        <f>'T_TTAFStock'!BU58</f>
        <v/>
      </c>
      <c r="BX1179">
        <f>'T_TTAFStock'!BV58</f>
        <v/>
      </c>
      <c r="BY1179">
        <f>'T_TTAFStock'!BW58</f>
        <v/>
      </c>
      <c r="BZ1179">
        <f>'T_TTAFStock'!BX58</f>
        <v/>
      </c>
      <c r="CA1179">
        <f>'T_TTAFStock'!BY58</f>
        <v/>
      </c>
      <c r="CB1179">
        <f>'T_TTAFStock'!BZ58</f>
        <v/>
      </c>
      <c r="CC1179">
        <f>'T_TTAFStock'!CA58</f>
        <v/>
      </c>
      <c r="CD1179">
        <f>'T_TTAFStock'!CB58</f>
        <v/>
      </c>
      <c r="CE1179">
        <f>'T_TTAFStock'!CC58</f>
        <v/>
      </c>
      <c r="CF1179">
        <f>'T_TTAFStock'!CD58</f>
        <v/>
      </c>
      <c r="CG1179">
        <f>'T_TTAFStock'!CE58</f>
        <v/>
      </c>
      <c r="CH1179">
        <f>'T_TTAFStock'!CF58</f>
        <v/>
      </c>
      <c r="CI1179">
        <f>'T_TTAFStock'!CG58</f>
        <v/>
      </c>
      <c r="CJ1179">
        <f>'T_TTAFStock'!CH58</f>
        <v/>
      </c>
      <c r="CK1179">
        <f>'T_TTAFStock'!CI58</f>
        <v/>
      </c>
      <c r="CL1179">
        <f>'T_TTAFStock'!CJ58</f>
        <v/>
      </c>
      <c r="CM1179">
        <f>'T_TTAFStock'!CK58</f>
        <v/>
      </c>
      <c r="CN1179">
        <f>'T_TTAFStock'!CL58</f>
        <v/>
      </c>
      <c r="CO1179">
        <f>'T_TTAFStock'!CM58</f>
        <v/>
      </c>
      <c r="CP1179">
        <f>'T_TTAFStock'!CN58</f>
        <v/>
      </c>
      <c r="CQ1179">
        <f>'T_TTAFStock'!CO58</f>
        <v/>
      </c>
      <c r="CR1179">
        <f>'T_TTAFStock'!CP58</f>
        <v/>
      </c>
      <c r="CS1179">
        <f>'T_TTAFStock'!CQ58</f>
        <v/>
      </c>
      <c r="CT1179">
        <f>'T_TTAFStock'!CR58</f>
        <v/>
      </c>
      <c r="CU1179">
        <f>'T_TTAFStock'!CS58</f>
        <v/>
      </c>
      <c r="CV1179">
        <f>'T_TTAFStock'!CT58</f>
        <v/>
      </c>
      <c r="CW1179">
        <f>'T_TTAFStock'!CU58</f>
        <v/>
      </c>
      <c r="CX1179">
        <f>'T_TTAFStock'!CV58</f>
        <v/>
      </c>
      <c r="CY1179">
        <f>'T_TTAFStock'!CW58</f>
        <v/>
      </c>
      <c r="CZ1179">
        <f>'T_TTAFStock'!CX58</f>
        <v/>
      </c>
      <c r="DA1179">
        <f>'T_TTAFStock'!CY58</f>
        <v/>
      </c>
      <c r="DB1179">
        <f>'T_TTAFStock'!CZ58</f>
        <v/>
      </c>
      <c r="DC1179">
        <f>'T_TTAFStock'!DA58</f>
        <v/>
      </c>
    </row>
    <row r="1180">
      <c r="B1180" t="inlineStr">
        <is>
          <t>自社在庫(実績,kg)</t>
        </is>
      </c>
      <c r="D1180">
        <f>'T_SelfStock'!B58</f>
        <v/>
      </c>
      <c r="E1180">
        <f>'T_SelfStock'!C58</f>
        <v/>
      </c>
      <c r="F1180">
        <f>'T_SelfStock'!D58</f>
        <v/>
      </c>
      <c r="G1180">
        <f>'T_SelfStock'!E58</f>
        <v/>
      </c>
      <c r="H1180">
        <f>'T_SelfStock'!F58</f>
        <v/>
      </c>
      <c r="I1180">
        <f>'T_SelfStock'!G58</f>
        <v/>
      </c>
      <c r="J1180">
        <f>'T_SelfStock'!H58</f>
        <v/>
      </c>
      <c r="K1180">
        <f>'T_SelfStock'!I58</f>
        <v/>
      </c>
      <c r="L1180">
        <f>'T_SelfStock'!J58</f>
        <v/>
      </c>
      <c r="M1180">
        <f>'T_SelfStock'!K58</f>
        <v/>
      </c>
      <c r="N1180">
        <f>'T_SelfStock'!L58</f>
        <v/>
      </c>
      <c r="O1180">
        <f>'T_SelfStock'!M58</f>
        <v/>
      </c>
      <c r="P1180">
        <f>'T_SelfStock'!N58</f>
        <v/>
      </c>
      <c r="Q1180">
        <f>'T_SelfStock'!O58</f>
        <v/>
      </c>
      <c r="R1180">
        <f>'T_SelfStock'!P58</f>
        <v/>
      </c>
      <c r="S1180">
        <f>'T_SelfStock'!Q58</f>
        <v/>
      </c>
      <c r="T1180">
        <f>'T_SelfStock'!R58</f>
        <v/>
      </c>
      <c r="U1180">
        <f>'T_SelfStock'!S58</f>
        <v/>
      </c>
      <c r="V1180">
        <f>'T_SelfStock'!T58</f>
        <v/>
      </c>
      <c r="W1180">
        <f>'T_SelfStock'!U58</f>
        <v/>
      </c>
      <c r="X1180">
        <f>'T_SelfStock'!V58</f>
        <v/>
      </c>
      <c r="Y1180">
        <f>'T_SelfStock'!W58</f>
        <v/>
      </c>
      <c r="Z1180">
        <f>'T_SelfStock'!X58</f>
        <v/>
      </c>
      <c r="AA1180">
        <f>'T_SelfStock'!Y58</f>
        <v/>
      </c>
      <c r="AB1180">
        <f>'T_SelfStock'!Z58</f>
        <v/>
      </c>
      <c r="AC1180">
        <f>'T_SelfStock'!AA58</f>
        <v/>
      </c>
      <c r="AD1180">
        <f>'T_SelfStock'!AB58</f>
        <v/>
      </c>
      <c r="AE1180">
        <f>'T_SelfStock'!AC58</f>
        <v/>
      </c>
      <c r="AF1180">
        <f>'T_SelfStock'!AD58</f>
        <v/>
      </c>
      <c r="AG1180">
        <f>'T_SelfStock'!AE58</f>
        <v/>
      </c>
      <c r="AH1180">
        <f>'T_SelfStock'!AF58</f>
        <v/>
      </c>
      <c r="AI1180">
        <f>'T_SelfStock'!AG58</f>
        <v/>
      </c>
      <c r="AJ1180">
        <f>'T_SelfStock'!AH58</f>
        <v/>
      </c>
      <c r="AK1180">
        <f>'T_SelfStock'!AI58</f>
        <v/>
      </c>
      <c r="AL1180">
        <f>'T_SelfStock'!AJ58</f>
        <v/>
      </c>
      <c r="AM1180">
        <f>'T_SelfStock'!AK58</f>
        <v/>
      </c>
      <c r="AN1180">
        <f>'T_SelfStock'!AL58</f>
        <v/>
      </c>
      <c r="AO1180">
        <f>'T_SelfStock'!AM58</f>
        <v/>
      </c>
      <c r="AP1180">
        <f>'T_SelfStock'!AN58</f>
        <v/>
      </c>
      <c r="AQ1180">
        <f>'T_SelfStock'!AO58</f>
        <v/>
      </c>
      <c r="AR1180">
        <f>'T_SelfStock'!AP58</f>
        <v/>
      </c>
      <c r="AS1180">
        <f>'T_SelfStock'!AQ58</f>
        <v/>
      </c>
      <c r="AT1180">
        <f>'T_SelfStock'!AR58</f>
        <v/>
      </c>
      <c r="AU1180">
        <f>'T_SelfStock'!AS58</f>
        <v/>
      </c>
      <c r="AV1180">
        <f>'T_SelfStock'!AT58</f>
        <v/>
      </c>
      <c r="AW1180">
        <f>'T_SelfStock'!AU58</f>
        <v/>
      </c>
      <c r="AX1180">
        <f>'T_SelfStock'!AV58</f>
        <v/>
      </c>
      <c r="AY1180">
        <f>'T_SelfStock'!AW58</f>
        <v/>
      </c>
      <c r="AZ1180">
        <f>'T_SelfStock'!AX58</f>
        <v/>
      </c>
      <c r="BA1180">
        <f>'T_SelfStock'!AY58</f>
        <v/>
      </c>
      <c r="BB1180">
        <f>'T_SelfStock'!AZ58</f>
        <v/>
      </c>
      <c r="BC1180">
        <f>'T_SelfStock'!BA58</f>
        <v/>
      </c>
      <c r="BD1180">
        <f>'T_SelfStock'!BB58</f>
        <v/>
      </c>
      <c r="BE1180">
        <f>'T_SelfStock'!BC58</f>
        <v/>
      </c>
      <c r="BF1180">
        <f>'T_SelfStock'!BD58</f>
        <v/>
      </c>
      <c r="BG1180">
        <f>'T_SelfStock'!BE58</f>
        <v/>
      </c>
      <c r="BH1180">
        <f>'T_SelfStock'!BF58</f>
        <v/>
      </c>
      <c r="BI1180">
        <f>'T_SelfStock'!BG58</f>
        <v/>
      </c>
      <c r="BJ1180">
        <f>'T_SelfStock'!BH58</f>
        <v/>
      </c>
      <c r="BK1180">
        <f>'T_SelfStock'!BI58</f>
        <v/>
      </c>
      <c r="BL1180">
        <f>'T_SelfStock'!BJ58</f>
        <v/>
      </c>
      <c r="BM1180">
        <f>'T_SelfStock'!BK58</f>
        <v/>
      </c>
      <c r="BN1180">
        <f>'T_SelfStock'!BL58</f>
        <v/>
      </c>
      <c r="BO1180">
        <f>'T_SelfStock'!BM58</f>
        <v/>
      </c>
      <c r="BP1180">
        <f>'T_SelfStock'!BN58</f>
        <v/>
      </c>
      <c r="BQ1180">
        <f>'T_SelfStock'!BO58</f>
        <v/>
      </c>
      <c r="BR1180">
        <f>'T_SelfStock'!BP58</f>
        <v/>
      </c>
      <c r="BS1180">
        <f>'T_SelfStock'!BQ58</f>
        <v/>
      </c>
      <c r="BT1180">
        <f>'T_SelfStock'!BR58</f>
        <v/>
      </c>
      <c r="BU1180">
        <f>'T_SelfStock'!BS58</f>
        <v/>
      </c>
      <c r="BV1180">
        <f>'T_SelfStock'!BT58</f>
        <v/>
      </c>
      <c r="BW1180">
        <f>'T_SelfStock'!BU58</f>
        <v/>
      </c>
      <c r="BX1180">
        <f>'T_SelfStock'!BV58</f>
        <v/>
      </c>
      <c r="BY1180">
        <f>'T_SelfStock'!BW58</f>
        <v/>
      </c>
      <c r="BZ1180">
        <f>'T_SelfStock'!BX58</f>
        <v/>
      </c>
      <c r="CA1180">
        <f>'T_SelfStock'!BY58</f>
        <v/>
      </c>
      <c r="CB1180">
        <f>'T_SelfStock'!BZ58</f>
        <v/>
      </c>
      <c r="CC1180">
        <f>'T_SelfStock'!CA58</f>
        <v/>
      </c>
      <c r="CD1180">
        <f>'T_SelfStock'!CB58</f>
        <v/>
      </c>
      <c r="CE1180">
        <f>'T_SelfStock'!CC58</f>
        <v/>
      </c>
      <c r="CF1180">
        <f>'T_SelfStock'!CD58</f>
        <v/>
      </c>
      <c r="CG1180">
        <f>'T_SelfStock'!CE58</f>
        <v/>
      </c>
      <c r="CH1180">
        <f>'T_SelfStock'!CF58</f>
        <v/>
      </c>
      <c r="CI1180">
        <f>'T_SelfStock'!CG58</f>
        <v/>
      </c>
      <c r="CJ1180">
        <f>'T_SelfStock'!CH58</f>
        <v/>
      </c>
      <c r="CK1180">
        <f>'T_SelfStock'!CI58</f>
        <v/>
      </c>
      <c r="CL1180">
        <f>'T_SelfStock'!CJ58</f>
        <v/>
      </c>
      <c r="CM1180">
        <f>'T_SelfStock'!CK58</f>
        <v/>
      </c>
      <c r="CN1180">
        <f>'T_SelfStock'!CL58</f>
        <v/>
      </c>
      <c r="CO1180">
        <f>'T_SelfStock'!CM58</f>
        <v/>
      </c>
      <c r="CP1180">
        <f>'T_SelfStock'!CN58</f>
        <v/>
      </c>
      <c r="CQ1180">
        <f>'T_SelfStock'!CO58</f>
        <v/>
      </c>
      <c r="CR1180">
        <f>'T_SelfStock'!CP58</f>
        <v/>
      </c>
      <c r="CS1180">
        <f>'T_SelfStock'!CQ58</f>
        <v/>
      </c>
      <c r="CT1180">
        <f>'T_SelfStock'!CR58</f>
        <v/>
      </c>
      <c r="CU1180">
        <f>'T_SelfStock'!CS58</f>
        <v/>
      </c>
      <c r="CV1180">
        <f>'T_SelfStock'!CT58</f>
        <v/>
      </c>
      <c r="CW1180">
        <f>'T_SelfStock'!CU58</f>
        <v/>
      </c>
      <c r="CX1180">
        <f>'T_SelfStock'!CV58</f>
        <v/>
      </c>
      <c r="CY1180">
        <f>'T_SelfStock'!CW58</f>
        <v/>
      </c>
      <c r="CZ1180">
        <f>'T_SelfStock'!CX58</f>
        <v/>
      </c>
      <c r="DA1180">
        <f>'T_SelfStock'!CY58</f>
        <v/>
      </c>
      <c r="DB1180">
        <f>'T_SelfStock'!CZ58</f>
        <v/>
      </c>
      <c r="DC1180">
        <f>'T_SelfStock'!DA58</f>
        <v/>
      </c>
    </row>
    <row r="1181">
      <c r="B1181" t="inlineStr">
        <is>
          <t>Order(発注予定,kg)</t>
        </is>
      </c>
      <c r="D1181">
        <f>IF(SUMIFS(T_PlannedOrders[EffectiveQty],T_PlannedOrders[Part Name],$A1175,T_PlannedOrders[WeekIndex],1)=0,"",SUMIFS(T_PlannedOrders[EffectiveQty],T_PlannedOrders[Part Name],$A1175,T_PlannedOrders[WeekIndex],1)&amp;" ("&amp;TEXT(SUMPRODUCT(MAX((T_PlannedOrders[Part Name]=$A1175)*(T_PlannedOrders[WeekIndex]=1)*(T_PlannedOrders[EffectiveQty]&gt;0)*T_PlannedOrders[Order_Month])),"m月")&amp;"発注)")</f>
        <v/>
      </c>
      <c r="E1181">
        <f>IF(SUMIFS(T_PlannedOrders[EffectiveQty],T_PlannedOrders[Part Name],$A1175,T_PlannedOrders[WeekIndex],2)=0,"",SUMIFS(T_PlannedOrders[EffectiveQty],T_PlannedOrders[Part Name],$A1175,T_PlannedOrders[WeekIndex],2)&amp;" ("&amp;TEXT(SUMPRODUCT(MAX((T_PlannedOrders[Part Name]=$A1175)*(T_PlannedOrders[WeekIndex]=2)*(T_PlannedOrders[EffectiveQty]&gt;0)*T_PlannedOrders[Order_Month])),"m月")&amp;"発注)")</f>
        <v/>
      </c>
      <c r="F1181">
        <f>IF(SUMIFS(T_PlannedOrders[EffectiveQty],T_PlannedOrders[Part Name],$A1175,T_PlannedOrders[WeekIndex],3)=0,"",SUMIFS(T_PlannedOrders[EffectiveQty],T_PlannedOrders[Part Name],$A1175,T_PlannedOrders[WeekIndex],3)&amp;" ("&amp;TEXT(SUMPRODUCT(MAX((T_PlannedOrders[Part Name]=$A1175)*(T_PlannedOrders[WeekIndex]=3)*(T_PlannedOrders[EffectiveQty]&gt;0)*T_PlannedOrders[Order_Month])),"m月")&amp;"発注)")</f>
        <v/>
      </c>
      <c r="G1181">
        <f>IF(SUMIFS(T_PlannedOrders[EffectiveQty],T_PlannedOrders[Part Name],$A1175,T_PlannedOrders[WeekIndex],4)=0,"",SUMIFS(T_PlannedOrders[EffectiveQty],T_PlannedOrders[Part Name],$A1175,T_PlannedOrders[WeekIndex],4)&amp;" ("&amp;TEXT(SUMPRODUCT(MAX((T_PlannedOrders[Part Name]=$A1175)*(T_PlannedOrders[WeekIndex]=4)*(T_PlannedOrders[EffectiveQty]&gt;0)*T_PlannedOrders[Order_Month])),"m月")&amp;"発注)")</f>
        <v/>
      </c>
      <c r="H1181">
        <f>IF(SUMIFS(T_PlannedOrders[EffectiveQty],T_PlannedOrders[Part Name],$A1175,T_PlannedOrders[WeekIndex],5)=0,"",SUMIFS(T_PlannedOrders[EffectiveQty],T_PlannedOrders[Part Name],$A1175,T_PlannedOrders[WeekIndex],5)&amp;" ("&amp;TEXT(SUMPRODUCT(MAX((T_PlannedOrders[Part Name]=$A1175)*(T_PlannedOrders[WeekIndex]=5)*(T_PlannedOrders[EffectiveQty]&gt;0)*T_PlannedOrders[Order_Month])),"m月")&amp;"発注)")</f>
        <v/>
      </c>
      <c r="I1181">
        <f>IF(SUMIFS(T_PlannedOrders[EffectiveQty],T_PlannedOrders[Part Name],$A1175,T_PlannedOrders[WeekIndex],6)=0,"",SUMIFS(T_PlannedOrders[EffectiveQty],T_PlannedOrders[Part Name],$A1175,T_PlannedOrders[WeekIndex],6)&amp;" ("&amp;TEXT(SUMPRODUCT(MAX((T_PlannedOrders[Part Name]=$A1175)*(T_PlannedOrders[WeekIndex]=6)*(T_PlannedOrders[EffectiveQty]&gt;0)*T_PlannedOrders[Order_Month])),"m月")&amp;"発注)")</f>
        <v/>
      </c>
      <c r="J1181">
        <f>IF(SUMIFS(T_PlannedOrders[EffectiveQty],T_PlannedOrders[Part Name],$A1175,T_PlannedOrders[WeekIndex],7)=0,"",SUMIFS(T_PlannedOrders[EffectiveQty],T_PlannedOrders[Part Name],$A1175,T_PlannedOrders[WeekIndex],7)&amp;" ("&amp;TEXT(SUMPRODUCT(MAX((T_PlannedOrders[Part Name]=$A1175)*(T_PlannedOrders[WeekIndex]=7)*(T_PlannedOrders[EffectiveQty]&gt;0)*T_PlannedOrders[Order_Month])),"m月")&amp;"発注)")</f>
        <v/>
      </c>
      <c r="K1181">
        <f>IF(SUMIFS(T_PlannedOrders[EffectiveQty],T_PlannedOrders[Part Name],$A1175,T_PlannedOrders[WeekIndex],8)=0,"",SUMIFS(T_PlannedOrders[EffectiveQty],T_PlannedOrders[Part Name],$A1175,T_PlannedOrders[WeekIndex],8)&amp;" ("&amp;TEXT(SUMPRODUCT(MAX((T_PlannedOrders[Part Name]=$A1175)*(T_PlannedOrders[WeekIndex]=8)*(T_PlannedOrders[EffectiveQty]&gt;0)*T_PlannedOrders[Order_Month])),"m月")&amp;"発注)")</f>
        <v/>
      </c>
      <c r="L1181">
        <f>IF(SUMIFS(T_PlannedOrders[EffectiveQty],T_PlannedOrders[Part Name],$A1175,T_PlannedOrders[WeekIndex],9)=0,"",SUMIFS(T_PlannedOrders[EffectiveQty],T_PlannedOrders[Part Name],$A1175,T_PlannedOrders[WeekIndex],9)&amp;" ("&amp;TEXT(SUMPRODUCT(MAX((T_PlannedOrders[Part Name]=$A1175)*(T_PlannedOrders[WeekIndex]=9)*(T_PlannedOrders[EffectiveQty]&gt;0)*T_PlannedOrders[Order_Month])),"m月")&amp;"発注)")</f>
        <v/>
      </c>
      <c r="M1181">
        <f>IF(SUMIFS(T_PlannedOrders[EffectiveQty],T_PlannedOrders[Part Name],$A1175,T_PlannedOrders[WeekIndex],10)=0,"",SUMIFS(T_PlannedOrders[EffectiveQty],T_PlannedOrders[Part Name],$A1175,T_PlannedOrders[WeekIndex],10)&amp;" ("&amp;TEXT(SUMPRODUCT(MAX((T_PlannedOrders[Part Name]=$A1175)*(T_PlannedOrders[WeekIndex]=10)*(T_PlannedOrders[EffectiveQty]&gt;0)*T_PlannedOrders[Order_Month])),"m月")&amp;"発注)")</f>
        <v/>
      </c>
      <c r="N1181">
        <f>IF(SUMIFS(T_PlannedOrders[EffectiveQty],T_PlannedOrders[Part Name],$A1175,T_PlannedOrders[WeekIndex],11)=0,"",SUMIFS(T_PlannedOrders[EffectiveQty],T_PlannedOrders[Part Name],$A1175,T_PlannedOrders[WeekIndex],11)&amp;" ("&amp;TEXT(SUMPRODUCT(MAX((T_PlannedOrders[Part Name]=$A1175)*(T_PlannedOrders[WeekIndex]=11)*(T_PlannedOrders[EffectiveQty]&gt;0)*T_PlannedOrders[Order_Month])),"m月")&amp;"発注)")</f>
        <v/>
      </c>
      <c r="O1181">
        <f>IF(SUMIFS(T_PlannedOrders[EffectiveQty],T_PlannedOrders[Part Name],$A1175,T_PlannedOrders[WeekIndex],12)=0,"",SUMIFS(T_PlannedOrders[EffectiveQty],T_PlannedOrders[Part Name],$A1175,T_PlannedOrders[WeekIndex],12)&amp;" ("&amp;TEXT(SUMPRODUCT(MAX((T_PlannedOrders[Part Name]=$A1175)*(T_PlannedOrders[WeekIndex]=12)*(T_PlannedOrders[EffectiveQty]&gt;0)*T_PlannedOrders[Order_Month])),"m月")&amp;"発注)")</f>
        <v/>
      </c>
      <c r="P1181">
        <f>IF(SUMIFS(T_PlannedOrders[EffectiveQty],T_PlannedOrders[Part Name],$A1175,T_PlannedOrders[WeekIndex],13)=0,"",SUMIFS(T_PlannedOrders[EffectiveQty],T_PlannedOrders[Part Name],$A1175,T_PlannedOrders[WeekIndex],13)&amp;" ("&amp;TEXT(SUMPRODUCT(MAX((T_PlannedOrders[Part Name]=$A1175)*(T_PlannedOrders[WeekIndex]=13)*(T_PlannedOrders[EffectiveQty]&gt;0)*T_PlannedOrders[Order_Month])),"m月")&amp;"発注)")</f>
        <v/>
      </c>
      <c r="Q1181">
        <f>IF(SUMIFS(T_PlannedOrders[EffectiveQty],T_PlannedOrders[Part Name],$A1175,T_PlannedOrders[WeekIndex],14)=0,"",SUMIFS(T_PlannedOrders[EffectiveQty],T_PlannedOrders[Part Name],$A1175,T_PlannedOrders[WeekIndex],14)&amp;" ("&amp;TEXT(SUMPRODUCT(MAX((T_PlannedOrders[Part Name]=$A1175)*(T_PlannedOrders[WeekIndex]=14)*(T_PlannedOrders[EffectiveQty]&gt;0)*T_PlannedOrders[Order_Month])),"m月")&amp;"発注)")</f>
        <v/>
      </c>
      <c r="R1181">
        <f>IF(SUMIFS(T_PlannedOrders[EffectiveQty],T_PlannedOrders[Part Name],$A1175,T_PlannedOrders[WeekIndex],15)=0,"",SUMIFS(T_PlannedOrders[EffectiveQty],T_PlannedOrders[Part Name],$A1175,T_PlannedOrders[WeekIndex],15)&amp;" ("&amp;TEXT(SUMPRODUCT(MAX((T_PlannedOrders[Part Name]=$A1175)*(T_PlannedOrders[WeekIndex]=15)*(T_PlannedOrders[EffectiveQty]&gt;0)*T_PlannedOrders[Order_Month])),"m月")&amp;"発注)")</f>
        <v/>
      </c>
      <c r="S1181">
        <f>IF(SUMIFS(T_PlannedOrders[EffectiveQty],T_PlannedOrders[Part Name],$A1175,T_PlannedOrders[WeekIndex],16)=0,"",SUMIFS(T_PlannedOrders[EffectiveQty],T_PlannedOrders[Part Name],$A1175,T_PlannedOrders[WeekIndex],16)&amp;" ("&amp;TEXT(SUMPRODUCT(MAX((T_PlannedOrders[Part Name]=$A1175)*(T_PlannedOrders[WeekIndex]=16)*(T_PlannedOrders[EffectiveQty]&gt;0)*T_PlannedOrders[Order_Month])),"m月")&amp;"発注)")</f>
        <v/>
      </c>
      <c r="T1181">
        <f>IF(SUMIFS(T_PlannedOrders[EffectiveQty],T_PlannedOrders[Part Name],$A1175,T_PlannedOrders[WeekIndex],17)=0,"",SUMIFS(T_PlannedOrders[EffectiveQty],T_PlannedOrders[Part Name],$A1175,T_PlannedOrders[WeekIndex],17)&amp;" ("&amp;TEXT(SUMPRODUCT(MAX((T_PlannedOrders[Part Name]=$A1175)*(T_PlannedOrders[WeekIndex]=17)*(T_PlannedOrders[EffectiveQty]&gt;0)*T_PlannedOrders[Order_Month])),"m月")&amp;"発注)")</f>
        <v/>
      </c>
      <c r="U1181">
        <f>IF(SUMIFS(T_PlannedOrders[EffectiveQty],T_PlannedOrders[Part Name],$A1175,T_PlannedOrders[WeekIndex],18)=0,"",SUMIFS(T_PlannedOrders[EffectiveQty],T_PlannedOrders[Part Name],$A1175,T_PlannedOrders[WeekIndex],18)&amp;" ("&amp;TEXT(SUMPRODUCT(MAX((T_PlannedOrders[Part Name]=$A1175)*(T_PlannedOrders[WeekIndex]=18)*(T_PlannedOrders[EffectiveQty]&gt;0)*T_PlannedOrders[Order_Month])),"m月")&amp;"発注)")</f>
        <v/>
      </c>
      <c r="V1181">
        <f>IF(SUMIFS(T_PlannedOrders[EffectiveQty],T_PlannedOrders[Part Name],$A1175,T_PlannedOrders[WeekIndex],19)=0,"",SUMIFS(T_PlannedOrders[EffectiveQty],T_PlannedOrders[Part Name],$A1175,T_PlannedOrders[WeekIndex],19)&amp;" ("&amp;TEXT(SUMPRODUCT(MAX((T_PlannedOrders[Part Name]=$A1175)*(T_PlannedOrders[WeekIndex]=19)*(T_PlannedOrders[EffectiveQty]&gt;0)*T_PlannedOrders[Order_Month])),"m月")&amp;"発注)")</f>
        <v/>
      </c>
      <c r="W1181">
        <f>IF(SUMIFS(T_PlannedOrders[EffectiveQty],T_PlannedOrders[Part Name],$A1175,T_PlannedOrders[WeekIndex],20)=0,"",SUMIFS(T_PlannedOrders[EffectiveQty],T_PlannedOrders[Part Name],$A1175,T_PlannedOrders[WeekIndex],20)&amp;" ("&amp;TEXT(SUMPRODUCT(MAX((T_PlannedOrders[Part Name]=$A1175)*(T_PlannedOrders[WeekIndex]=20)*(T_PlannedOrders[EffectiveQty]&gt;0)*T_PlannedOrders[Order_Month])),"m月")&amp;"発注)")</f>
        <v/>
      </c>
      <c r="X1181">
        <f>IF(SUMIFS(T_PlannedOrders[EffectiveQty],T_PlannedOrders[Part Name],$A1175,T_PlannedOrders[WeekIndex],21)=0,"",SUMIFS(T_PlannedOrders[EffectiveQty],T_PlannedOrders[Part Name],$A1175,T_PlannedOrders[WeekIndex],21)&amp;" ("&amp;TEXT(SUMPRODUCT(MAX((T_PlannedOrders[Part Name]=$A1175)*(T_PlannedOrders[WeekIndex]=21)*(T_PlannedOrders[EffectiveQty]&gt;0)*T_PlannedOrders[Order_Month])),"m月")&amp;"発注)")</f>
        <v/>
      </c>
      <c r="Y1181">
        <f>IF(SUMIFS(T_PlannedOrders[EffectiveQty],T_PlannedOrders[Part Name],$A1175,T_PlannedOrders[WeekIndex],22)=0,"",SUMIFS(T_PlannedOrders[EffectiveQty],T_PlannedOrders[Part Name],$A1175,T_PlannedOrders[WeekIndex],22)&amp;" ("&amp;TEXT(SUMPRODUCT(MAX((T_PlannedOrders[Part Name]=$A1175)*(T_PlannedOrders[WeekIndex]=22)*(T_PlannedOrders[EffectiveQty]&gt;0)*T_PlannedOrders[Order_Month])),"m月")&amp;"発注)")</f>
        <v/>
      </c>
      <c r="Z1181">
        <f>IF(SUMIFS(T_PlannedOrders[EffectiveQty],T_PlannedOrders[Part Name],$A1175,T_PlannedOrders[WeekIndex],23)=0,"",SUMIFS(T_PlannedOrders[EffectiveQty],T_PlannedOrders[Part Name],$A1175,T_PlannedOrders[WeekIndex],23)&amp;" ("&amp;TEXT(SUMPRODUCT(MAX((T_PlannedOrders[Part Name]=$A1175)*(T_PlannedOrders[WeekIndex]=23)*(T_PlannedOrders[EffectiveQty]&gt;0)*T_PlannedOrders[Order_Month])),"m月")&amp;"発注)")</f>
        <v/>
      </c>
      <c r="AA1181">
        <f>IF(SUMIFS(T_PlannedOrders[EffectiveQty],T_PlannedOrders[Part Name],$A1175,T_PlannedOrders[WeekIndex],24)=0,"",SUMIFS(T_PlannedOrders[EffectiveQty],T_PlannedOrders[Part Name],$A1175,T_PlannedOrders[WeekIndex],24)&amp;" ("&amp;TEXT(SUMPRODUCT(MAX((T_PlannedOrders[Part Name]=$A1175)*(T_PlannedOrders[WeekIndex]=24)*(T_PlannedOrders[EffectiveQty]&gt;0)*T_PlannedOrders[Order_Month])),"m月")&amp;"発注)")</f>
        <v/>
      </c>
      <c r="AB1181">
        <f>IF(SUMIFS(T_PlannedOrders[EffectiveQty],T_PlannedOrders[Part Name],$A1175,T_PlannedOrders[WeekIndex],25)=0,"",SUMIFS(T_PlannedOrders[EffectiveQty],T_PlannedOrders[Part Name],$A1175,T_PlannedOrders[WeekIndex],25)&amp;" ("&amp;TEXT(SUMPRODUCT(MAX((T_PlannedOrders[Part Name]=$A1175)*(T_PlannedOrders[WeekIndex]=25)*(T_PlannedOrders[EffectiveQty]&gt;0)*T_PlannedOrders[Order_Month])),"m月")&amp;"発注)")</f>
        <v/>
      </c>
      <c r="AC1181">
        <f>IF(SUMIFS(T_PlannedOrders[EffectiveQty],T_PlannedOrders[Part Name],$A1175,T_PlannedOrders[WeekIndex],26)=0,"",SUMIFS(T_PlannedOrders[EffectiveQty],T_PlannedOrders[Part Name],$A1175,T_PlannedOrders[WeekIndex],26)&amp;" ("&amp;TEXT(SUMPRODUCT(MAX((T_PlannedOrders[Part Name]=$A1175)*(T_PlannedOrders[WeekIndex]=26)*(T_PlannedOrders[EffectiveQty]&gt;0)*T_PlannedOrders[Order_Month])),"m月")&amp;"発注)")</f>
        <v/>
      </c>
      <c r="AD1181">
        <f>IF(SUMIFS(T_PlannedOrders[EffectiveQty],T_PlannedOrders[Part Name],$A1175,T_PlannedOrders[WeekIndex],27)=0,"",SUMIFS(T_PlannedOrders[EffectiveQty],T_PlannedOrders[Part Name],$A1175,T_PlannedOrders[WeekIndex],27)&amp;" ("&amp;TEXT(SUMPRODUCT(MAX((T_PlannedOrders[Part Name]=$A1175)*(T_PlannedOrders[WeekIndex]=27)*(T_PlannedOrders[EffectiveQty]&gt;0)*T_PlannedOrders[Order_Month])),"m月")&amp;"発注)")</f>
        <v/>
      </c>
      <c r="AE1181">
        <f>IF(SUMIFS(T_PlannedOrders[EffectiveQty],T_PlannedOrders[Part Name],$A1175,T_PlannedOrders[WeekIndex],28)=0,"",SUMIFS(T_PlannedOrders[EffectiveQty],T_PlannedOrders[Part Name],$A1175,T_PlannedOrders[WeekIndex],28)&amp;" ("&amp;TEXT(SUMPRODUCT(MAX((T_PlannedOrders[Part Name]=$A1175)*(T_PlannedOrders[WeekIndex]=28)*(T_PlannedOrders[EffectiveQty]&gt;0)*T_PlannedOrders[Order_Month])),"m月")&amp;"発注)")</f>
        <v/>
      </c>
      <c r="AF1181">
        <f>IF(SUMIFS(T_PlannedOrders[EffectiveQty],T_PlannedOrders[Part Name],$A1175,T_PlannedOrders[WeekIndex],29)=0,"",SUMIFS(T_PlannedOrders[EffectiveQty],T_PlannedOrders[Part Name],$A1175,T_PlannedOrders[WeekIndex],29)&amp;" ("&amp;TEXT(SUMPRODUCT(MAX((T_PlannedOrders[Part Name]=$A1175)*(T_PlannedOrders[WeekIndex]=29)*(T_PlannedOrders[EffectiveQty]&gt;0)*T_PlannedOrders[Order_Month])),"m月")&amp;"発注)")</f>
        <v/>
      </c>
      <c r="AG1181">
        <f>IF(SUMIFS(T_PlannedOrders[EffectiveQty],T_PlannedOrders[Part Name],$A1175,T_PlannedOrders[WeekIndex],30)=0,"",SUMIFS(T_PlannedOrders[EffectiveQty],T_PlannedOrders[Part Name],$A1175,T_PlannedOrders[WeekIndex],30)&amp;" ("&amp;TEXT(SUMPRODUCT(MAX((T_PlannedOrders[Part Name]=$A1175)*(T_PlannedOrders[WeekIndex]=30)*(T_PlannedOrders[EffectiveQty]&gt;0)*T_PlannedOrders[Order_Month])),"m月")&amp;"発注)")</f>
        <v/>
      </c>
      <c r="AH1181">
        <f>IF(SUMIFS(T_PlannedOrders[EffectiveQty],T_PlannedOrders[Part Name],$A1175,T_PlannedOrders[WeekIndex],31)=0,"",SUMIFS(T_PlannedOrders[EffectiveQty],T_PlannedOrders[Part Name],$A1175,T_PlannedOrders[WeekIndex],31)&amp;" ("&amp;TEXT(SUMPRODUCT(MAX((T_PlannedOrders[Part Name]=$A1175)*(T_PlannedOrders[WeekIndex]=31)*(T_PlannedOrders[EffectiveQty]&gt;0)*T_PlannedOrders[Order_Month])),"m月")&amp;"発注)")</f>
        <v/>
      </c>
      <c r="AI1181">
        <f>IF(SUMIFS(T_PlannedOrders[EffectiveQty],T_PlannedOrders[Part Name],$A1175,T_PlannedOrders[WeekIndex],32)=0,"",SUMIFS(T_PlannedOrders[EffectiveQty],T_PlannedOrders[Part Name],$A1175,T_PlannedOrders[WeekIndex],32)&amp;" ("&amp;TEXT(SUMPRODUCT(MAX((T_PlannedOrders[Part Name]=$A1175)*(T_PlannedOrders[WeekIndex]=32)*(T_PlannedOrders[EffectiveQty]&gt;0)*T_PlannedOrders[Order_Month])),"m月")&amp;"発注)")</f>
        <v/>
      </c>
      <c r="AJ1181">
        <f>IF(SUMIFS(T_PlannedOrders[EffectiveQty],T_PlannedOrders[Part Name],$A1175,T_PlannedOrders[WeekIndex],33)=0,"",SUMIFS(T_PlannedOrders[EffectiveQty],T_PlannedOrders[Part Name],$A1175,T_PlannedOrders[WeekIndex],33)&amp;" ("&amp;TEXT(SUMPRODUCT(MAX((T_PlannedOrders[Part Name]=$A1175)*(T_PlannedOrders[WeekIndex]=33)*(T_PlannedOrders[EffectiveQty]&gt;0)*T_PlannedOrders[Order_Month])),"m月")&amp;"発注)")</f>
        <v/>
      </c>
      <c r="AK1181">
        <f>IF(SUMIFS(T_PlannedOrders[EffectiveQty],T_PlannedOrders[Part Name],$A1175,T_PlannedOrders[WeekIndex],34)=0,"",SUMIFS(T_PlannedOrders[EffectiveQty],T_PlannedOrders[Part Name],$A1175,T_PlannedOrders[WeekIndex],34)&amp;" ("&amp;TEXT(SUMPRODUCT(MAX((T_PlannedOrders[Part Name]=$A1175)*(T_PlannedOrders[WeekIndex]=34)*(T_PlannedOrders[EffectiveQty]&gt;0)*T_PlannedOrders[Order_Month])),"m月")&amp;"発注)")</f>
        <v/>
      </c>
      <c r="AL1181">
        <f>IF(SUMIFS(T_PlannedOrders[EffectiveQty],T_PlannedOrders[Part Name],$A1175,T_PlannedOrders[WeekIndex],35)=0,"",SUMIFS(T_PlannedOrders[EffectiveQty],T_PlannedOrders[Part Name],$A1175,T_PlannedOrders[WeekIndex],35)&amp;" ("&amp;TEXT(SUMPRODUCT(MAX((T_PlannedOrders[Part Name]=$A1175)*(T_PlannedOrders[WeekIndex]=35)*(T_PlannedOrders[EffectiveQty]&gt;0)*T_PlannedOrders[Order_Month])),"m月")&amp;"発注)")</f>
        <v/>
      </c>
      <c r="AM1181">
        <f>IF(SUMIFS(T_PlannedOrders[EffectiveQty],T_PlannedOrders[Part Name],$A1175,T_PlannedOrders[WeekIndex],36)=0,"",SUMIFS(T_PlannedOrders[EffectiveQty],T_PlannedOrders[Part Name],$A1175,T_PlannedOrders[WeekIndex],36)&amp;" ("&amp;TEXT(SUMPRODUCT(MAX((T_PlannedOrders[Part Name]=$A1175)*(T_PlannedOrders[WeekIndex]=36)*(T_PlannedOrders[EffectiveQty]&gt;0)*T_PlannedOrders[Order_Month])),"m月")&amp;"発注)")</f>
        <v/>
      </c>
      <c r="AN1181">
        <f>IF(SUMIFS(T_PlannedOrders[EffectiveQty],T_PlannedOrders[Part Name],$A1175,T_PlannedOrders[WeekIndex],37)=0,"",SUMIFS(T_PlannedOrders[EffectiveQty],T_PlannedOrders[Part Name],$A1175,T_PlannedOrders[WeekIndex],37)&amp;" ("&amp;TEXT(SUMPRODUCT(MAX((T_PlannedOrders[Part Name]=$A1175)*(T_PlannedOrders[WeekIndex]=37)*(T_PlannedOrders[EffectiveQty]&gt;0)*T_PlannedOrders[Order_Month])),"m月")&amp;"発注)")</f>
        <v/>
      </c>
      <c r="AO1181">
        <f>IF(SUMIFS(T_PlannedOrders[EffectiveQty],T_PlannedOrders[Part Name],$A1175,T_PlannedOrders[WeekIndex],38)=0,"",SUMIFS(T_PlannedOrders[EffectiveQty],T_PlannedOrders[Part Name],$A1175,T_PlannedOrders[WeekIndex],38)&amp;" ("&amp;TEXT(SUMPRODUCT(MAX((T_PlannedOrders[Part Name]=$A1175)*(T_PlannedOrders[WeekIndex]=38)*(T_PlannedOrders[EffectiveQty]&gt;0)*T_PlannedOrders[Order_Month])),"m月")&amp;"発注)")</f>
        <v/>
      </c>
      <c r="AP1181">
        <f>IF(SUMIFS(T_PlannedOrders[EffectiveQty],T_PlannedOrders[Part Name],$A1175,T_PlannedOrders[WeekIndex],39)=0,"",SUMIFS(T_PlannedOrders[EffectiveQty],T_PlannedOrders[Part Name],$A1175,T_PlannedOrders[WeekIndex],39)&amp;" ("&amp;TEXT(SUMPRODUCT(MAX((T_PlannedOrders[Part Name]=$A1175)*(T_PlannedOrders[WeekIndex]=39)*(T_PlannedOrders[EffectiveQty]&gt;0)*T_PlannedOrders[Order_Month])),"m月")&amp;"発注)")</f>
        <v/>
      </c>
      <c r="AQ1181">
        <f>IF(SUMIFS(T_PlannedOrders[EffectiveQty],T_PlannedOrders[Part Name],$A1175,T_PlannedOrders[WeekIndex],40)=0,"",SUMIFS(T_PlannedOrders[EffectiveQty],T_PlannedOrders[Part Name],$A1175,T_PlannedOrders[WeekIndex],40)&amp;" ("&amp;TEXT(SUMPRODUCT(MAX((T_PlannedOrders[Part Name]=$A1175)*(T_PlannedOrders[WeekIndex]=40)*(T_PlannedOrders[EffectiveQty]&gt;0)*T_PlannedOrders[Order_Month])),"m月")&amp;"発注)")</f>
        <v/>
      </c>
      <c r="AR1181">
        <f>IF(SUMIFS(T_PlannedOrders[EffectiveQty],T_PlannedOrders[Part Name],$A1175,T_PlannedOrders[WeekIndex],41)=0,"",SUMIFS(T_PlannedOrders[EffectiveQty],T_PlannedOrders[Part Name],$A1175,T_PlannedOrders[WeekIndex],41)&amp;" ("&amp;TEXT(SUMPRODUCT(MAX((T_PlannedOrders[Part Name]=$A1175)*(T_PlannedOrders[WeekIndex]=41)*(T_PlannedOrders[EffectiveQty]&gt;0)*T_PlannedOrders[Order_Month])),"m月")&amp;"発注)")</f>
        <v/>
      </c>
      <c r="AS1181">
        <f>IF(SUMIFS(T_PlannedOrders[EffectiveQty],T_PlannedOrders[Part Name],$A1175,T_PlannedOrders[WeekIndex],42)=0,"",SUMIFS(T_PlannedOrders[EffectiveQty],T_PlannedOrders[Part Name],$A1175,T_PlannedOrders[WeekIndex],42)&amp;" ("&amp;TEXT(SUMPRODUCT(MAX((T_PlannedOrders[Part Name]=$A1175)*(T_PlannedOrders[WeekIndex]=42)*(T_PlannedOrders[EffectiveQty]&gt;0)*T_PlannedOrders[Order_Month])),"m月")&amp;"発注)")</f>
        <v/>
      </c>
      <c r="AT1181">
        <f>IF(SUMIFS(T_PlannedOrders[EffectiveQty],T_PlannedOrders[Part Name],$A1175,T_PlannedOrders[WeekIndex],43)=0,"",SUMIFS(T_PlannedOrders[EffectiveQty],T_PlannedOrders[Part Name],$A1175,T_PlannedOrders[WeekIndex],43)&amp;" ("&amp;TEXT(SUMPRODUCT(MAX((T_PlannedOrders[Part Name]=$A1175)*(T_PlannedOrders[WeekIndex]=43)*(T_PlannedOrders[EffectiveQty]&gt;0)*T_PlannedOrders[Order_Month])),"m月")&amp;"発注)")</f>
        <v/>
      </c>
      <c r="AU1181">
        <f>IF(SUMIFS(T_PlannedOrders[EffectiveQty],T_PlannedOrders[Part Name],$A1175,T_PlannedOrders[WeekIndex],44)=0,"",SUMIFS(T_PlannedOrders[EffectiveQty],T_PlannedOrders[Part Name],$A1175,T_PlannedOrders[WeekIndex],44)&amp;" ("&amp;TEXT(SUMPRODUCT(MAX((T_PlannedOrders[Part Name]=$A1175)*(T_PlannedOrders[WeekIndex]=44)*(T_PlannedOrders[EffectiveQty]&gt;0)*T_PlannedOrders[Order_Month])),"m月")&amp;"発注)")</f>
        <v/>
      </c>
      <c r="AV1181">
        <f>IF(SUMIFS(T_PlannedOrders[EffectiveQty],T_PlannedOrders[Part Name],$A1175,T_PlannedOrders[WeekIndex],45)=0,"",SUMIFS(T_PlannedOrders[EffectiveQty],T_PlannedOrders[Part Name],$A1175,T_PlannedOrders[WeekIndex],45)&amp;" ("&amp;TEXT(SUMPRODUCT(MAX((T_PlannedOrders[Part Name]=$A1175)*(T_PlannedOrders[WeekIndex]=45)*(T_PlannedOrders[EffectiveQty]&gt;0)*T_PlannedOrders[Order_Month])),"m月")&amp;"発注)")</f>
        <v/>
      </c>
      <c r="AW1181">
        <f>IF(SUMIFS(T_PlannedOrders[EffectiveQty],T_PlannedOrders[Part Name],$A1175,T_PlannedOrders[WeekIndex],46)=0,"",SUMIFS(T_PlannedOrders[EffectiveQty],T_PlannedOrders[Part Name],$A1175,T_PlannedOrders[WeekIndex],46)&amp;" ("&amp;TEXT(SUMPRODUCT(MAX((T_PlannedOrders[Part Name]=$A1175)*(T_PlannedOrders[WeekIndex]=46)*(T_PlannedOrders[EffectiveQty]&gt;0)*T_PlannedOrders[Order_Month])),"m月")&amp;"発注)")</f>
        <v/>
      </c>
      <c r="AX1181">
        <f>IF(SUMIFS(T_PlannedOrders[EffectiveQty],T_PlannedOrders[Part Name],$A1175,T_PlannedOrders[WeekIndex],47)=0,"",SUMIFS(T_PlannedOrders[EffectiveQty],T_PlannedOrders[Part Name],$A1175,T_PlannedOrders[WeekIndex],47)&amp;" ("&amp;TEXT(SUMPRODUCT(MAX((T_PlannedOrders[Part Name]=$A1175)*(T_PlannedOrders[WeekIndex]=47)*(T_PlannedOrders[EffectiveQty]&gt;0)*T_PlannedOrders[Order_Month])),"m月")&amp;"発注)")</f>
        <v/>
      </c>
      <c r="AY1181">
        <f>IF(SUMIFS(T_PlannedOrders[EffectiveQty],T_PlannedOrders[Part Name],$A1175,T_PlannedOrders[WeekIndex],48)=0,"",SUMIFS(T_PlannedOrders[EffectiveQty],T_PlannedOrders[Part Name],$A1175,T_PlannedOrders[WeekIndex],48)&amp;" ("&amp;TEXT(SUMPRODUCT(MAX((T_PlannedOrders[Part Name]=$A1175)*(T_PlannedOrders[WeekIndex]=48)*(T_PlannedOrders[EffectiveQty]&gt;0)*T_PlannedOrders[Order_Month])),"m月")&amp;"発注)")</f>
        <v/>
      </c>
      <c r="AZ1181">
        <f>IF(SUMIFS(T_PlannedOrders[EffectiveQty],T_PlannedOrders[Part Name],$A1175,T_PlannedOrders[WeekIndex],49)=0,"",SUMIFS(T_PlannedOrders[EffectiveQty],T_PlannedOrders[Part Name],$A1175,T_PlannedOrders[WeekIndex],49)&amp;" ("&amp;TEXT(SUMPRODUCT(MAX((T_PlannedOrders[Part Name]=$A1175)*(T_PlannedOrders[WeekIndex]=49)*(T_PlannedOrders[EffectiveQty]&gt;0)*T_PlannedOrders[Order_Month])),"m月")&amp;"発注)")</f>
        <v/>
      </c>
      <c r="BA1181">
        <f>IF(SUMIFS(T_PlannedOrders[EffectiveQty],T_PlannedOrders[Part Name],$A1175,T_PlannedOrders[WeekIndex],50)=0,"",SUMIFS(T_PlannedOrders[EffectiveQty],T_PlannedOrders[Part Name],$A1175,T_PlannedOrders[WeekIndex],50)&amp;" ("&amp;TEXT(SUMPRODUCT(MAX((T_PlannedOrders[Part Name]=$A1175)*(T_PlannedOrders[WeekIndex]=50)*(T_PlannedOrders[EffectiveQty]&gt;0)*T_PlannedOrders[Order_Month])),"m月")&amp;"発注)")</f>
        <v/>
      </c>
      <c r="BB1181">
        <f>IF(SUMIFS(T_PlannedOrders[EffectiveQty],T_PlannedOrders[Part Name],$A1175,T_PlannedOrders[WeekIndex],51)=0,"",SUMIFS(T_PlannedOrders[EffectiveQty],T_PlannedOrders[Part Name],$A1175,T_PlannedOrders[WeekIndex],51)&amp;" ("&amp;TEXT(SUMPRODUCT(MAX((T_PlannedOrders[Part Name]=$A1175)*(T_PlannedOrders[WeekIndex]=51)*(T_PlannedOrders[EffectiveQty]&gt;0)*T_PlannedOrders[Order_Month])),"m月")&amp;"発注)")</f>
        <v/>
      </c>
      <c r="BC1181">
        <f>IF(SUMIFS(T_PlannedOrders[EffectiveQty],T_PlannedOrders[Part Name],$A1175,T_PlannedOrders[WeekIndex],52)=0,"",SUMIFS(T_PlannedOrders[EffectiveQty],T_PlannedOrders[Part Name],$A1175,T_PlannedOrders[WeekIndex],52)&amp;" ("&amp;TEXT(SUMPRODUCT(MAX((T_PlannedOrders[Part Name]=$A1175)*(T_PlannedOrders[WeekIndex]=52)*(T_PlannedOrders[EffectiveQty]&gt;0)*T_PlannedOrders[Order_Month])),"m月")&amp;"発注)")</f>
        <v/>
      </c>
      <c r="BD1181">
        <f>IF(SUMIFS(T_PlannedOrders[EffectiveQty],T_PlannedOrders[Part Name],$A1175,T_PlannedOrders[WeekIndex],53)=0,"",SUMIFS(T_PlannedOrders[EffectiveQty],T_PlannedOrders[Part Name],$A1175,T_PlannedOrders[WeekIndex],53)&amp;" ("&amp;TEXT(SUMPRODUCT(MAX((T_PlannedOrders[Part Name]=$A1175)*(T_PlannedOrders[WeekIndex]=53)*(T_PlannedOrders[EffectiveQty]&gt;0)*T_PlannedOrders[Order_Month])),"m月")&amp;"発注)")</f>
        <v/>
      </c>
      <c r="BE1181">
        <f>IF(SUMIFS(T_PlannedOrders[EffectiveQty],T_PlannedOrders[Part Name],$A1175,T_PlannedOrders[WeekIndex],54)=0,"",SUMIFS(T_PlannedOrders[EffectiveQty],T_PlannedOrders[Part Name],$A1175,T_PlannedOrders[WeekIndex],54)&amp;" ("&amp;TEXT(SUMPRODUCT(MAX((T_PlannedOrders[Part Name]=$A1175)*(T_PlannedOrders[WeekIndex]=54)*(T_PlannedOrders[EffectiveQty]&gt;0)*T_PlannedOrders[Order_Month])),"m月")&amp;"発注)")</f>
        <v/>
      </c>
      <c r="BF1181">
        <f>IF(SUMIFS(T_PlannedOrders[EffectiveQty],T_PlannedOrders[Part Name],$A1175,T_PlannedOrders[WeekIndex],55)=0,"",SUMIFS(T_PlannedOrders[EffectiveQty],T_PlannedOrders[Part Name],$A1175,T_PlannedOrders[WeekIndex],55)&amp;" ("&amp;TEXT(SUMPRODUCT(MAX((T_PlannedOrders[Part Name]=$A1175)*(T_PlannedOrders[WeekIndex]=55)*(T_PlannedOrders[EffectiveQty]&gt;0)*T_PlannedOrders[Order_Month])),"m月")&amp;"発注)")</f>
        <v/>
      </c>
      <c r="BG1181">
        <f>IF(SUMIFS(T_PlannedOrders[EffectiveQty],T_PlannedOrders[Part Name],$A1175,T_PlannedOrders[WeekIndex],56)=0,"",SUMIFS(T_PlannedOrders[EffectiveQty],T_PlannedOrders[Part Name],$A1175,T_PlannedOrders[WeekIndex],56)&amp;" ("&amp;TEXT(SUMPRODUCT(MAX((T_PlannedOrders[Part Name]=$A1175)*(T_PlannedOrders[WeekIndex]=56)*(T_PlannedOrders[EffectiveQty]&gt;0)*T_PlannedOrders[Order_Month])),"m月")&amp;"発注)")</f>
        <v/>
      </c>
      <c r="BH1181">
        <f>IF(SUMIFS(T_PlannedOrders[EffectiveQty],T_PlannedOrders[Part Name],$A1175,T_PlannedOrders[WeekIndex],57)=0,"",SUMIFS(T_PlannedOrders[EffectiveQty],T_PlannedOrders[Part Name],$A1175,T_PlannedOrders[WeekIndex],57)&amp;" ("&amp;TEXT(SUMPRODUCT(MAX((T_PlannedOrders[Part Name]=$A1175)*(T_PlannedOrders[WeekIndex]=57)*(T_PlannedOrders[EffectiveQty]&gt;0)*T_PlannedOrders[Order_Month])),"m月")&amp;"発注)")</f>
        <v/>
      </c>
      <c r="BI1181">
        <f>IF(SUMIFS(T_PlannedOrders[EffectiveQty],T_PlannedOrders[Part Name],$A1175,T_PlannedOrders[WeekIndex],58)=0,"",SUMIFS(T_PlannedOrders[EffectiveQty],T_PlannedOrders[Part Name],$A1175,T_PlannedOrders[WeekIndex],58)&amp;" ("&amp;TEXT(SUMPRODUCT(MAX((T_PlannedOrders[Part Name]=$A1175)*(T_PlannedOrders[WeekIndex]=58)*(T_PlannedOrders[EffectiveQty]&gt;0)*T_PlannedOrders[Order_Month])),"m月")&amp;"発注)")</f>
        <v/>
      </c>
      <c r="BJ1181">
        <f>IF(SUMIFS(T_PlannedOrders[EffectiveQty],T_PlannedOrders[Part Name],$A1175,T_PlannedOrders[WeekIndex],59)=0,"",SUMIFS(T_PlannedOrders[EffectiveQty],T_PlannedOrders[Part Name],$A1175,T_PlannedOrders[WeekIndex],59)&amp;" ("&amp;TEXT(SUMPRODUCT(MAX((T_PlannedOrders[Part Name]=$A1175)*(T_PlannedOrders[WeekIndex]=59)*(T_PlannedOrders[EffectiveQty]&gt;0)*T_PlannedOrders[Order_Month])),"m月")&amp;"発注)")</f>
        <v/>
      </c>
      <c r="BK1181">
        <f>IF(SUMIFS(T_PlannedOrders[EffectiveQty],T_PlannedOrders[Part Name],$A1175,T_PlannedOrders[WeekIndex],60)=0,"",SUMIFS(T_PlannedOrders[EffectiveQty],T_PlannedOrders[Part Name],$A1175,T_PlannedOrders[WeekIndex],60)&amp;" ("&amp;TEXT(SUMPRODUCT(MAX((T_PlannedOrders[Part Name]=$A1175)*(T_PlannedOrders[WeekIndex]=60)*(T_PlannedOrders[EffectiveQty]&gt;0)*T_PlannedOrders[Order_Month])),"m月")&amp;"発注)")</f>
        <v/>
      </c>
      <c r="BL1181">
        <f>IF(SUMIFS(T_PlannedOrders[EffectiveQty],T_PlannedOrders[Part Name],$A1175,T_PlannedOrders[WeekIndex],61)=0,"",SUMIFS(T_PlannedOrders[EffectiveQty],T_PlannedOrders[Part Name],$A1175,T_PlannedOrders[WeekIndex],61)&amp;" ("&amp;TEXT(SUMPRODUCT(MAX((T_PlannedOrders[Part Name]=$A1175)*(T_PlannedOrders[WeekIndex]=61)*(T_PlannedOrders[EffectiveQty]&gt;0)*T_PlannedOrders[Order_Month])),"m月")&amp;"発注)")</f>
        <v/>
      </c>
      <c r="BM1181">
        <f>IF(SUMIFS(T_PlannedOrders[EffectiveQty],T_PlannedOrders[Part Name],$A1175,T_PlannedOrders[WeekIndex],62)=0,"",SUMIFS(T_PlannedOrders[EffectiveQty],T_PlannedOrders[Part Name],$A1175,T_PlannedOrders[WeekIndex],62)&amp;" ("&amp;TEXT(SUMPRODUCT(MAX((T_PlannedOrders[Part Name]=$A1175)*(T_PlannedOrders[WeekIndex]=62)*(T_PlannedOrders[EffectiveQty]&gt;0)*T_PlannedOrders[Order_Month])),"m月")&amp;"発注)")</f>
        <v/>
      </c>
      <c r="BN1181">
        <f>IF(SUMIFS(T_PlannedOrders[EffectiveQty],T_PlannedOrders[Part Name],$A1175,T_PlannedOrders[WeekIndex],63)=0,"",SUMIFS(T_PlannedOrders[EffectiveQty],T_PlannedOrders[Part Name],$A1175,T_PlannedOrders[WeekIndex],63)&amp;" ("&amp;TEXT(SUMPRODUCT(MAX((T_PlannedOrders[Part Name]=$A1175)*(T_PlannedOrders[WeekIndex]=63)*(T_PlannedOrders[EffectiveQty]&gt;0)*T_PlannedOrders[Order_Month])),"m月")&amp;"発注)")</f>
        <v/>
      </c>
      <c r="BO1181">
        <f>IF(SUMIFS(T_PlannedOrders[EffectiveQty],T_PlannedOrders[Part Name],$A1175,T_PlannedOrders[WeekIndex],64)=0,"",SUMIFS(T_PlannedOrders[EffectiveQty],T_PlannedOrders[Part Name],$A1175,T_PlannedOrders[WeekIndex],64)&amp;" ("&amp;TEXT(SUMPRODUCT(MAX((T_PlannedOrders[Part Name]=$A1175)*(T_PlannedOrders[WeekIndex]=64)*(T_PlannedOrders[EffectiveQty]&gt;0)*T_PlannedOrders[Order_Month])),"m月")&amp;"発注)")</f>
        <v/>
      </c>
      <c r="BP1181">
        <f>IF(SUMIFS(T_PlannedOrders[EffectiveQty],T_PlannedOrders[Part Name],$A1175,T_PlannedOrders[WeekIndex],65)=0,"",SUMIFS(T_PlannedOrders[EffectiveQty],T_PlannedOrders[Part Name],$A1175,T_PlannedOrders[WeekIndex],65)&amp;" ("&amp;TEXT(SUMPRODUCT(MAX((T_PlannedOrders[Part Name]=$A1175)*(T_PlannedOrders[WeekIndex]=65)*(T_PlannedOrders[EffectiveQty]&gt;0)*T_PlannedOrders[Order_Month])),"m月")&amp;"発注)")</f>
        <v/>
      </c>
      <c r="BQ1181">
        <f>IF(SUMIFS(T_PlannedOrders[EffectiveQty],T_PlannedOrders[Part Name],$A1175,T_PlannedOrders[WeekIndex],66)=0,"",SUMIFS(T_PlannedOrders[EffectiveQty],T_PlannedOrders[Part Name],$A1175,T_PlannedOrders[WeekIndex],66)&amp;" ("&amp;TEXT(SUMPRODUCT(MAX((T_PlannedOrders[Part Name]=$A1175)*(T_PlannedOrders[WeekIndex]=66)*(T_PlannedOrders[EffectiveQty]&gt;0)*T_PlannedOrders[Order_Month])),"m月")&amp;"発注)")</f>
        <v/>
      </c>
      <c r="BR1181">
        <f>IF(SUMIFS(T_PlannedOrders[EffectiveQty],T_PlannedOrders[Part Name],$A1175,T_PlannedOrders[WeekIndex],67)=0,"",SUMIFS(T_PlannedOrders[EffectiveQty],T_PlannedOrders[Part Name],$A1175,T_PlannedOrders[WeekIndex],67)&amp;" ("&amp;TEXT(SUMPRODUCT(MAX((T_PlannedOrders[Part Name]=$A1175)*(T_PlannedOrders[WeekIndex]=67)*(T_PlannedOrders[EffectiveQty]&gt;0)*T_PlannedOrders[Order_Month])),"m月")&amp;"発注)")</f>
        <v/>
      </c>
      <c r="BS1181">
        <f>IF(SUMIFS(T_PlannedOrders[EffectiveQty],T_PlannedOrders[Part Name],$A1175,T_PlannedOrders[WeekIndex],68)=0,"",SUMIFS(T_PlannedOrders[EffectiveQty],T_PlannedOrders[Part Name],$A1175,T_PlannedOrders[WeekIndex],68)&amp;" ("&amp;TEXT(SUMPRODUCT(MAX((T_PlannedOrders[Part Name]=$A1175)*(T_PlannedOrders[WeekIndex]=68)*(T_PlannedOrders[EffectiveQty]&gt;0)*T_PlannedOrders[Order_Month])),"m月")&amp;"発注)")</f>
        <v/>
      </c>
      <c r="BT1181">
        <f>IF(SUMIFS(T_PlannedOrders[EffectiveQty],T_PlannedOrders[Part Name],$A1175,T_PlannedOrders[WeekIndex],69)=0,"",SUMIFS(T_PlannedOrders[EffectiveQty],T_PlannedOrders[Part Name],$A1175,T_PlannedOrders[WeekIndex],69)&amp;" ("&amp;TEXT(SUMPRODUCT(MAX((T_PlannedOrders[Part Name]=$A1175)*(T_PlannedOrders[WeekIndex]=69)*(T_PlannedOrders[EffectiveQty]&gt;0)*T_PlannedOrders[Order_Month])),"m月")&amp;"発注)")</f>
        <v/>
      </c>
      <c r="BU1181">
        <f>IF(SUMIFS(T_PlannedOrders[EffectiveQty],T_PlannedOrders[Part Name],$A1175,T_PlannedOrders[WeekIndex],70)=0,"",SUMIFS(T_PlannedOrders[EffectiveQty],T_PlannedOrders[Part Name],$A1175,T_PlannedOrders[WeekIndex],70)&amp;" ("&amp;TEXT(SUMPRODUCT(MAX((T_PlannedOrders[Part Name]=$A1175)*(T_PlannedOrders[WeekIndex]=70)*(T_PlannedOrders[EffectiveQty]&gt;0)*T_PlannedOrders[Order_Month])),"m月")&amp;"発注)")</f>
        <v/>
      </c>
      <c r="BV1181">
        <f>IF(SUMIFS(T_PlannedOrders[EffectiveQty],T_PlannedOrders[Part Name],$A1175,T_PlannedOrders[WeekIndex],71)=0,"",SUMIFS(T_PlannedOrders[EffectiveQty],T_PlannedOrders[Part Name],$A1175,T_PlannedOrders[WeekIndex],71)&amp;" ("&amp;TEXT(SUMPRODUCT(MAX((T_PlannedOrders[Part Name]=$A1175)*(T_PlannedOrders[WeekIndex]=71)*(T_PlannedOrders[EffectiveQty]&gt;0)*T_PlannedOrders[Order_Month])),"m月")&amp;"発注)")</f>
        <v/>
      </c>
      <c r="BW1181">
        <f>IF(SUMIFS(T_PlannedOrders[EffectiveQty],T_PlannedOrders[Part Name],$A1175,T_PlannedOrders[WeekIndex],72)=0,"",SUMIFS(T_PlannedOrders[EffectiveQty],T_PlannedOrders[Part Name],$A1175,T_PlannedOrders[WeekIndex],72)&amp;" ("&amp;TEXT(SUMPRODUCT(MAX((T_PlannedOrders[Part Name]=$A1175)*(T_PlannedOrders[WeekIndex]=72)*(T_PlannedOrders[EffectiveQty]&gt;0)*T_PlannedOrders[Order_Month])),"m月")&amp;"発注)")</f>
        <v/>
      </c>
      <c r="BX1181">
        <f>IF(SUMIFS(T_PlannedOrders[EffectiveQty],T_PlannedOrders[Part Name],$A1175,T_PlannedOrders[WeekIndex],73)=0,"",SUMIFS(T_PlannedOrders[EffectiveQty],T_PlannedOrders[Part Name],$A1175,T_PlannedOrders[WeekIndex],73)&amp;" ("&amp;TEXT(SUMPRODUCT(MAX((T_PlannedOrders[Part Name]=$A1175)*(T_PlannedOrders[WeekIndex]=73)*(T_PlannedOrders[EffectiveQty]&gt;0)*T_PlannedOrders[Order_Month])),"m月")&amp;"発注)")</f>
        <v/>
      </c>
      <c r="BY1181">
        <f>IF(SUMIFS(T_PlannedOrders[EffectiveQty],T_PlannedOrders[Part Name],$A1175,T_PlannedOrders[WeekIndex],74)=0,"",SUMIFS(T_PlannedOrders[EffectiveQty],T_PlannedOrders[Part Name],$A1175,T_PlannedOrders[WeekIndex],74)&amp;" ("&amp;TEXT(SUMPRODUCT(MAX((T_PlannedOrders[Part Name]=$A1175)*(T_PlannedOrders[WeekIndex]=74)*(T_PlannedOrders[EffectiveQty]&gt;0)*T_PlannedOrders[Order_Month])),"m月")&amp;"発注)")</f>
        <v/>
      </c>
      <c r="BZ1181">
        <f>IF(SUMIFS(T_PlannedOrders[EffectiveQty],T_PlannedOrders[Part Name],$A1175,T_PlannedOrders[WeekIndex],75)=0,"",SUMIFS(T_PlannedOrders[EffectiveQty],T_PlannedOrders[Part Name],$A1175,T_PlannedOrders[WeekIndex],75)&amp;" ("&amp;TEXT(SUMPRODUCT(MAX((T_PlannedOrders[Part Name]=$A1175)*(T_PlannedOrders[WeekIndex]=75)*(T_PlannedOrders[EffectiveQty]&gt;0)*T_PlannedOrders[Order_Month])),"m月")&amp;"発注)")</f>
        <v/>
      </c>
      <c r="CA1181">
        <f>IF(SUMIFS(T_PlannedOrders[EffectiveQty],T_PlannedOrders[Part Name],$A1175,T_PlannedOrders[WeekIndex],76)=0,"",SUMIFS(T_PlannedOrders[EffectiveQty],T_PlannedOrders[Part Name],$A1175,T_PlannedOrders[WeekIndex],76)&amp;" ("&amp;TEXT(SUMPRODUCT(MAX((T_PlannedOrders[Part Name]=$A1175)*(T_PlannedOrders[WeekIndex]=76)*(T_PlannedOrders[EffectiveQty]&gt;0)*T_PlannedOrders[Order_Month])),"m月")&amp;"発注)")</f>
        <v/>
      </c>
      <c r="CB1181">
        <f>IF(SUMIFS(T_PlannedOrders[EffectiveQty],T_PlannedOrders[Part Name],$A1175,T_PlannedOrders[WeekIndex],77)=0,"",SUMIFS(T_PlannedOrders[EffectiveQty],T_PlannedOrders[Part Name],$A1175,T_PlannedOrders[WeekIndex],77)&amp;" ("&amp;TEXT(SUMPRODUCT(MAX((T_PlannedOrders[Part Name]=$A1175)*(T_PlannedOrders[WeekIndex]=77)*(T_PlannedOrders[EffectiveQty]&gt;0)*T_PlannedOrders[Order_Month])),"m月")&amp;"発注)")</f>
        <v/>
      </c>
      <c r="CC1181">
        <f>IF(SUMIFS(T_PlannedOrders[EffectiveQty],T_PlannedOrders[Part Name],$A1175,T_PlannedOrders[WeekIndex],78)=0,"",SUMIFS(T_PlannedOrders[EffectiveQty],T_PlannedOrders[Part Name],$A1175,T_PlannedOrders[WeekIndex],78)&amp;" ("&amp;TEXT(SUMPRODUCT(MAX((T_PlannedOrders[Part Name]=$A1175)*(T_PlannedOrders[WeekIndex]=78)*(T_PlannedOrders[EffectiveQty]&gt;0)*T_PlannedOrders[Order_Month])),"m月")&amp;"発注)")</f>
        <v/>
      </c>
      <c r="CD1181">
        <f>IF(SUMIFS(T_PlannedOrders[EffectiveQty],T_PlannedOrders[Part Name],$A1175,T_PlannedOrders[WeekIndex],79)=0,"",SUMIFS(T_PlannedOrders[EffectiveQty],T_PlannedOrders[Part Name],$A1175,T_PlannedOrders[WeekIndex],79)&amp;" ("&amp;TEXT(SUMPRODUCT(MAX((T_PlannedOrders[Part Name]=$A1175)*(T_PlannedOrders[WeekIndex]=79)*(T_PlannedOrders[EffectiveQty]&gt;0)*T_PlannedOrders[Order_Month])),"m月")&amp;"発注)")</f>
        <v/>
      </c>
      <c r="CE1181">
        <f>IF(SUMIFS(T_PlannedOrders[EffectiveQty],T_PlannedOrders[Part Name],$A1175,T_PlannedOrders[WeekIndex],80)=0,"",SUMIFS(T_PlannedOrders[EffectiveQty],T_PlannedOrders[Part Name],$A1175,T_PlannedOrders[WeekIndex],80)&amp;" ("&amp;TEXT(SUMPRODUCT(MAX((T_PlannedOrders[Part Name]=$A1175)*(T_PlannedOrders[WeekIndex]=80)*(T_PlannedOrders[EffectiveQty]&gt;0)*T_PlannedOrders[Order_Month])),"m月")&amp;"発注)")</f>
        <v/>
      </c>
      <c r="CF1181">
        <f>IF(SUMIFS(T_PlannedOrders[EffectiveQty],T_PlannedOrders[Part Name],$A1175,T_PlannedOrders[WeekIndex],81)=0,"",SUMIFS(T_PlannedOrders[EffectiveQty],T_PlannedOrders[Part Name],$A1175,T_PlannedOrders[WeekIndex],81)&amp;" ("&amp;TEXT(SUMPRODUCT(MAX((T_PlannedOrders[Part Name]=$A1175)*(T_PlannedOrders[WeekIndex]=81)*(T_PlannedOrders[EffectiveQty]&gt;0)*T_PlannedOrders[Order_Month])),"m月")&amp;"発注)")</f>
        <v/>
      </c>
      <c r="CG1181">
        <f>IF(SUMIFS(T_PlannedOrders[EffectiveQty],T_PlannedOrders[Part Name],$A1175,T_PlannedOrders[WeekIndex],82)=0,"",SUMIFS(T_PlannedOrders[EffectiveQty],T_PlannedOrders[Part Name],$A1175,T_PlannedOrders[WeekIndex],82)&amp;" ("&amp;TEXT(SUMPRODUCT(MAX((T_PlannedOrders[Part Name]=$A1175)*(T_PlannedOrders[WeekIndex]=82)*(T_PlannedOrders[EffectiveQty]&gt;0)*T_PlannedOrders[Order_Month])),"m月")&amp;"発注)")</f>
        <v/>
      </c>
      <c r="CH1181">
        <f>IF(SUMIFS(T_PlannedOrders[EffectiveQty],T_PlannedOrders[Part Name],$A1175,T_PlannedOrders[WeekIndex],83)=0,"",SUMIFS(T_PlannedOrders[EffectiveQty],T_PlannedOrders[Part Name],$A1175,T_PlannedOrders[WeekIndex],83)&amp;" ("&amp;TEXT(SUMPRODUCT(MAX((T_PlannedOrders[Part Name]=$A1175)*(T_PlannedOrders[WeekIndex]=83)*(T_PlannedOrders[EffectiveQty]&gt;0)*T_PlannedOrders[Order_Month])),"m月")&amp;"発注)")</f>
        <v/>
      </c>
      <c r="CI1181">
        <f>IF(SUMIFS(T_PlannedOrders[EffectiveQty],T_PlannedOrders[Part Name],$A1175,T_PlannedOrders[WeekIndex],84)=0,"",SUMIFS(T_PlannedOrders[EffectiveQty],T_PlannedOrders[Part Name],$A1175,T_PlannedOrders[WeekIndex],84)&amp;" ("&amp;TEXT(SUMPRODUCT(MAX((T_PlannedOrders[Part Name]=$A1175)*(T_PlannedOrders[WeekIndex]=84)*(T_PlannedOrders[EffectiveQty]&gt;0)*T_PlannedOrders[Order_Month])),"m月")&amp;"発注)")</f>
        <v/>
      </c>
      <c r="CJ1181">
        <f>IF(SUMIFS(T_PlannedOrders[EffectiveQty],T_PlannedOrders[Part Name],$A1175,T_PlannedOrders[WeekIndex],85)=0,"",SUMIFS(T_PlannedOrders[EffectiveQty],T_PlannedOrders[Part Name],$A1175,T_PlannedOrders[WeekIndex],85)&amp;" ("&amp;TEXT(SUMPRODUCT(MAX((T_PlannedOrders[Part Name]=$A1175)*(T_PlannedOrders[WeekIndex]=85)*(T_PlannedOrders[EffectiveQty]&gt;0)*T_PlannedOrders[Order_Month])),"m月")&amp;"発注)")</f>
        <v/>
      </c>
      <c r="CK1181">
        <f>IF(SUMIFS(T_PlannedOrders[EffectiveQty],T_PlannedOrders[Part Name],$A1175,T_PlannedOrders[WeekIndex],86)=0,"",SUMIFS(T_PlannedOrders[EffectiveQty],T_PlannedOrders[Part Name],$A1175,T_PlannedOrders[WeekIndex],86)&amp;" ("&amp;TEXT(SUMPRODUCT(MAX((T_PlannedOrders[Part Name]=$A1175)*(T_PlannedOrders[WeekIndex]=86)*(T_PlannedOrders[EffectiveQty]&gt;0)*T_PlannedOrders[Order_Month])),"m月")&amp;"発注)")</f>
        <v/>
      </c>
      <c r="CL1181">
        <f>IF(SUMIFS(T_PlannedOrders[EffectiveQty],T_PlannedOrders[Part Name],$A1175,T_PlannedOrders[WeekIndex],87)=0,"",SUMIFS(T_PlannedOrders[EffectiveQty],T_PlannedOrders[Part Name],$A1175,T_PlannedOrders[WeekIndex],87)&amp;" ("&amp;TEXT(SUMPRODUCT(MAX((T_PlannedOrders[Part Name]=$A1175)*(T_PlannedOrders[WeekIndex]=87)*(T_PlannedOrders[EffectiveQty]&gt;0)*T_PlannedOrders[Order_Month])),"m月")&amp;"発注)")</f>
        <v/>
      </c>
      <c r="CM1181">
        <f>IF(SUMIFS(T_PlannedOrders[EffectiveQty],T_PlannedOrders[Part Name],$A1175,T_PlannedOrders[WeekIndex],88)=0,"",SUMIFS(T_PlannedOrders[EffectiveQty],T_PlannedOrders[Part Name],$A1175,T_PlannedOrders[WeekIndex],88)&amp;" ("&amp;TEXT(SUMPRODUCT(MAX((T_PlannedOrders[Part Name]=$A1175)*(T_PlannedOrders[WeekIndex]=88)*(T_PlannedOrders[EffectiveQty]&gt;0)*T_PlannedOrders[Order_Month])),"m月")&amp;"発注)")</f>
        <v/>
      </c>
      <c r="CN1181">
        <f>IF(SUMIFS(T_PlannedOrders[EffectiveQty],T_PlannedOrders[Part Name],$A1175,T_PlannedOrders[WeekIndex],89)=0,"",SUMIFS(T_PlannedOrders[EffectiveQty],T_PlannedOrders[Part Name],$A1175,T_PlannedOrders[WeekIndex],89)&amp;" ("&amp;TEXT(SUMPRODUCT(MAX((T_PlannedOrders[Part Name]=$A1175)*(T_PlannedOrders[WeekIndex]=89)*(T_PlannedOrders[EffectiveQty]&gt;0)*T_PlannedOrders[Order_Month])),"m月")&amp;"発注)")</f>
        <v/>
      </c>
      <c r="CO1181">
        <f>IF(SUMIFS(T_PlannedOrders[EffectiveQty],T_PlannedOrders[Part Name],$A1175,T_PlannedOrders[WeekIndex],90)=0,"",SUMIFS(T_PlannedOrders[EffectiveQty],T_PlannedOrders[Part Name],$A1175,T_PlannedOrders[WeekIndex],90)&amp;" ("&amp;TEXT(SUMPRODUCT(MAX((T_PlannedOrders[Part Name]=$A1175)*(T_PlannedOrders[WeekIndex]=90)*(T_PlannedOrders[EffectiveQty]&gt;0)*T_PlannedOrders[Order_Month])),"m月")&amp;"発注)")</f>
        <v/>
      </c>
      <c r="CP1181">
        <f>IF(SUMIFS(T_PlannedOrders[EffectiveQty],T_PlannedOrders[Part Name],$A1175,T_PlannedOrders[WeekIndex],91)=0,"",SUMIFS(T_PlannedOrders[EffectiveQty],T_PlannedOrders[Part Name],$A1175,T_PlannedOrders[WeekIndex],91)&amp;" ("&amp;TEXT(SUMPRODUCT(MAX((T_PlannedOrders[Part Name]=$A1175)*(T_PlannedOrders[WeekIndex]=91)*(T_PlannedOrders[EffectiveQty]&gt;0)*T_PlannedOrders[Order_Month])),"m月")&amp;"発注)")</f>
        <v/>
      </c>
      <c r="CQ1181">
        <f>IF(SUMIFS(T_PlannedOrders[EffectiveQty],T_PlannedOrders[Part Name],$A1175,T_PlannedOrders[WeekIndex],92)=0,"",SUMIFS(T_PlannedOrders[EffectiveQty],T_PlannedOrders[Part Name],$A1175,T_PlannedOrders[WeekIndex],92)&amp;" ("&amp;TEXT(SUMPRODUCT(MAX((T_PlannedOrders[Part Name]=$A1175)*(T_PlannedOrders[WeekIndex]=92)*(T_PlannedOrders[EffectiveQty]&gt;0)*T_PlannedOrders[Order_Month])),"m月")&amp;"発注)")</f>
        <v/>
      </c>
      <c r="CR1181">
        <f>IF(SUMIFS(T_PlannedOrders[EffectiveQty],T_PlannedOrders[Part Name],$A1175,T_PlannedOrders[WeekIndex],93)=0,"",SUMIFS(T_PlannedOrders[EffectiveQty],T_PlannedOrders[Part Name],$A1175,T_PlannedOrders[WeekIndex],93)&amp;" ("&amp;TEXT(SUMPRODUCT(MAX((T_PlannedOrders[Part Name]=$A1175)*(T_PlannedOrders[WeekIndex]=93)*(T_PlannedOrders[EffectiveQty]&gt;0)*T_PlannedOrders[Order_Month])),"m月")&amp;"発注)")</f>
        <v/>
      </c>
      <c r="CS1181">
        <f>IF(SUMIFS(T_PlannedOrders[EffectiveQty],T_PlannedOrders[Part Name],$A1175,T_PlannedOrders[WeekIndex],94)=0,"",SUMIFS(T_PlannedOrders[EffectiveQty],T_PlannedOrders[Part Name],$A1175,T_PlannedOrders[WeekIndex],94)&amp;" ("&amp;TEXT(SUMPRODUCT(MAX((T_PlannedOrders[Part Name]=$A1175)*(T_PlannedOrders[WeekIndex]=94)*(T_PlannedOrders[EffectiveQty]&gt;0)*T_PlannedOrders[Order_Month])),"m月")&amp;"発注)")</f>
        <v/>
      </c>
      <c r="CT1181">
        <f>IF(SUMIFS(T_PlannedOrders[EffectiveQty],T_PlannedOrders[Part Name],$A1175,T_PlannedOrders[WeekIndex],95)=0,"",SUMIFS(T_PlannedOrders[EffectiveQty],T_PlannedOrders[Part Name],$A1175,T_PlannedOrders[WeekIndex],95)&amp;" ("&amp;TEXT(SUMPRODUCT(MAX((T_PlannedOrders[Part Name]=$A1175)*(T_PlannedOrders[WeekIndex]=95)*(T_PlannedOrders[EffectiveQty]&gt;0)*T_PlannedOrders[Order_Month])),"m月")&amp;"発注)")</f>
        <v/>
      </c>
      <c r="CU1181">
        <f>IF(SUMIFS(T_PlannedOrders[EffectiveQty],T_PlannedOrders[Part Name],$A1175,T_PlannedOrders[WeekIndex],96)=0,"",SUMIFS(T_PlannedOrders[EffectiveQty],T_PlannedOrders[Part Name],$A1175,T_PlannedOrders[WeekIndex],96)&amp;" ("&amp;TEXT(SUMPRODUCT(MAX((T_PlannedOrders[Part Name]=$A1175)*(T_PlannedOrders[WeekIndex]=96)*(T_PlannedOrders[EffectiveQty]&gt;0)*T_PlannedOrders[Order_Month])),"m月")&amp;"発注)")</f>
        <v/>
      </c>
      <c r="CV1181">
        <f>IF(SUMIFS(T_PlannedOrders[EffectiveQty],T_PlannedOrders[Part Name],$A1175,T_PlannedOrders[WeekIndex],97)=0,"",SUMIFS(T_PlannedOrders[EffectiveQty],T_PlannedOrders[Part Name],$A1175,T_PlannedOrders[WeekIndex],97)&amp;" ("&amp;TEXT(SUMPRODUCT(MAX((T_PlannedOrders[Part Name]=$A1175)*(T_PlannedOrders[WeekIndex]=97)*(T_PlannedOrders[EffectiveQty]&gt;0)*T_PlannedOrders[Order_Month])),"m月")&amp;"発注)")</f>
        <v/>
      </c>
      <c r="CW1181">
        <f>IF(SUMIFS(T_PlannedOrders[EffectiveQty],T_PlannedOrders[Part Name],$A1175,T_PlannedOrders[WeekIndex],98)=0,"",SUMIFS(T_PlannedOrders[EffectiveQty],T_PlannedOrders[Part Name],$A1175,T_PlannedOrders[WeekIndex],98)&amp;" ("&amp;TEXT(SUMPRODUCT(MAX((T_PlannedOrders[Part Name]=$A1175)*(T_PlannedOrders[WeekIndex]=98)*(T_PlannedOrders[EffectiveQty]&gt;0)*T_PlannedOrders[Order_Month])),"m月")&amp;"発注)")</f>
        <v/>
      </c>
      <c r="CX1181">
        <f>IF(SUMIFS(T_PlannedOrders[EffectiveQty],T_PlannedOrders[Part Name],$A1175,T_PlannedOrders[WeekIndex],99)=0,"",SUMIFS(T_PlannedOrders[EffectiveQty],T_PlannedOrders[Part Name],$A1175,T_PlannedOrders[WeekIndex],99)&amp;" ("&amp;TEXT(SUMPRODUCT(MAX((T_PlannedOrders[Part Name]=$A1175)*(T_PlannedOrders[WeekIndex]=99)*(T_PlannedOrders[EffectiveQty]&gt;0)*T_PlannedOrders[Order_Month])),"m月")&amp;"発注)")</f>
        <v/>
      </c>
      <c r="CY1181">
        <f>IF(SUMIFS(T_PlannedOrders[EffectiveQty],T_PlannedOrders[Part Name],$A1175,T_PlannedOrders[WeekIndex],100)=0,"",SUMIFS(T_PlannedOrders[EffectiveQty],T_PlannedOrders[Part Name],$A1175,T_PlannedOrders[WeekIndex],100)&amp;" ("&amp;TEXT(SUMPRODUCT(MAX((T_PlannedOrders[Part Name]=$A1175)*(T_PlannedOrders[WeekIndex]=100)*(T_PlannedOrders[EffectiveQty]&gt;0)*T_PlannedOrders[Order_Month])),"m月")&amp;"発注)")</f>
        <v/>
      </c>
      <c r="CZ1181">
        <f>IF(SUMIFS(T_PlannedOrders[EffectiveQty],T_PlannedOrders[Part Name],$A1175,T_PlannedOrders[WeekIndex],101)=0,"",SUMIFS(T_PlannedOrders[EffectiveQty],T_PlannedOrders[Part Name],$A1175,T_PlannedOrders[WeekIndex],101)&amp;" ("&amp;TEXT(SUMPRODUCT(MAX((T_PlannedOrders[Part Name]=$A1175)*(T_PlannedOrders[WeekIndex]=101)*(T_PlannedOrders[EffectiveQty]&gt;0)*T_PlannedOrders[Order_Month])),"m月")&amp;"発注)")</f>
        <v/>
      </c>
      <c r="DA1181">
        <f>IF(SUMIFS(T_PlannedOrders[EffectiveQty],T_PlannedOrders[Part Name],$A1175,T_PlannedOrders[WeekIndex],102)=0,"",SUMIFS(T_PlannedOrders[EffectiveQty],T_PlannedOrders[Part Name],$A1175,T_PlannedOrders[WeekIndex],102)&amp;" ("&amp;TEXT(SUMPRODUCT(MAX((T_PlannedOrders[Part Name]=$A1175)*(T_PlannedOrders[WeekIndex]=102)*(T_PlannedOrders[EffectiveQty]&gt;0)*T_PlannedOrders[Order_Month])),"m月")&amp;"発注)")</f>
        <v/>
      </c>
      <c r="DB1181">
        <f>IF(SUMIFS(T_PlannedOrders[EffectiveQty],T_PlannedOrders[Part Name],$A1175,T_PlannedOrders[WeekIndex],103)=0,"",SUMIFS(T_PlannedOrders[EffectiveQty],T_PlannedOrders[Part Name],$A1175,T_PlannedOrders[WeekIndex],103)&amp;" ("&amp;TEXT(SUMPRODUCT(MAX((T_PlannedOrders[Part Name]=$A1175)*(T_PlannedOrders[WeekIndex]=103)*(T_PlannedOrders[EffectiveQty]&gt;0)*T_PlannedOrders[Order_Month])),"m月")&amp;"発注)")</f>
        <v/>
      </c>
      <c r="DC1181">
        <f>IF(SUMIFS(T_PlannedOrders[EffectiveQty],T_PlannedOrders[Part Name],$A1175,T_PlannedOrders[WeekIndex],104)=0,"",SUMIFS(T_PlannedOrders[EffectiveQty],T_PlannedOrders[Part Name],$A1175,T_PlannedOrders[WeekIndex],104)&amp;" ("&amp;TEXT(SUMPRODUCT(MAX((T_PlannedOrders[Part Name]=$A1175)*(T_PlannedOrders[WeekIndex]=104)*(T_PlannedOrders[EffectiveQty]&gt;0)*T_PlannedOrders[Order_Month])),"m月")&amp;"発注)")</f>
        <v/>
      </c>
    </row>
    <row r="1182">
      <c r="B1182" s="5" t="inlineStr">
        <is>
          <t>合計在庫(週末時点,kg)</t>
        </is>
      </c>
      <c r="D1182">
        <f>'Grid_Stock'!B54</f>
        <v/>
      </c>
      <c r="E1182">
        <f>'Grid_Stock'!C54</f>
        <v/>
      </c>
      <c r="F1182">
        <f>'Grid_Stock'!D54</f>
        <v/>
      </c>
      <c r="G1182">
        <f>'Grid_Stock'!E54</f>
        <v/>
      </c>
      <c r="H1182">
        <f>'Grid_Stock'!F54</f>
        <v/>
      </c>
      <c r="I1182">
        <f>'Grid_Stock'!G54</f>
        <v/>
      </c>
      <c r="J1182">
        <f>'Grid_Stock'!H54</f>
        <v/>
      </c>
      <c r="K1182">
        <f>'Grid_Stock'!I54</f>
        <v/>
      </c>
      <c r="L1182">
        <f>'Grid_Stock'!J54</f>
        <v/>
      </c>
      <c r="M1182">
        <f>'Grid_Stock'!K54</f>
        <v/>
      </c>
      <c r="N1182">
        <f>'Grid_Stock'!L54</f>
        <v/>
      </c>
      <c r="O1182">
        <f>'Grid_Stock'!M54</f>
        <v/>
      </c>
      <c r="P1182">
        <f>'Grid_Stock'!N54</f>
        <v/>
      </c>
      <c r="Q1182">
        <f>'Grid_Stock'!O54</f>
        <v/>
      </c>
      <c r="R1182">
        <f>'Grid_Stock'!P54</f>
        <v/>
      </c>
      <c r="S1182">
        <f>'Grid_Stock'!Q54</f>
        <v/>
      </c>
      <c r="T1182">
        <f>'Grid_Stock'!R54</f>
        <v/>
      </c>
      <c r="U1182">
        <f>'Grid_Stock'!S54</f>
        <v/>
      </c>
      <c r="V1182">
        <f>'Grid_Stock'!T54</f>
        <v/>
      </c>
      <c r="W1182">
        <f>'Grid_Stock'!U54</f>
        <v/>
      </c>
      <c r="X1182">
        <f>'Grid_Stock'!V54</f>
        <v/>
      </c>
      <c r="Y1182">
        <f>'Grid_Stock'!W54</f>
        <v/>
      </c>
      <c r="Z1182">
        <f>'Grid_Stock'!X54</f>
        <v/>
      </c>
      <c r="AA1182">
        <f>'Grid_Stock'!Y54</f>
        <v/>
      </c>
      <c r="AB1182">
        <f>'Grid_Stock'!Z54</f>
        <v/>
      </c>
      <c r="AC1182">
        <f>'Grid_Stock'!AA54</f>
        <v/>
      </c>
      <c r="AD1182">
        <f>'Grid_Stock'!AB54</f>
        <v/>
      </c>
      <c r="AE1182">
        <f>'Grid_Stock'!AC54</f>
        <v/>
      </c>
      <c r="AF1182">
        <f>'Grid_Stock'!AD54</f>
        <v/>
      </c>
      <c r="AG1182">
        <f>'Grid_Stock'!AE54</f>
        <v/>
      </c>
      <c r="AH1182">
        <f>'Grid_Stock'!AF54</f>
        <v/>
      </c>
      <c r="AI1182">
        <f>'Grid_Stock'!AG54</f>
        <v/>
      </c>
      <c r="AJ1182">
        <f>'Grid_Stock'!AH54</f>
        <v/>
      </c>
      <c r="AK1182">
        <f>'Grid_Stock'!AI54</f>
        <v/>
      </c>
      <c r="AL1182">
        <f>'Grid_Stock'!AJ54</f>
        <v/>
      </c>
      <c r="AM1182">
        <f>'Grid_Stock'!AK54</f>
        <v/>
      </c>
      <c r="AN1182">
        <f>'Grid_Stock'!AL54</f>
        <v/>
      </c>
      <c r="AO1182">
        <f>'Grid_Stock'!AM54</f>
        <v/>
      </c>
      <c r="AP1182">
        <f>'Grid_Stock'!AN54</f>
        <v/>
      </c>
      <c r="AQ1182">
        <f>'Grid_Stock'!AO54</f>
        <v/>
      </c>
      <c r="AR1182">
        <f>'Grid_Stock'!AP54</f>
        <v/>
      </c>
      <c r="AS1182">
        <f>'Grid_Stock'!AQ54</f>
        <v/>
      </c>
      <c r="AT1182">
        <f>'Grid_Stock'!AR54</f>
        <v/>
      </c>
      <c r="AU1182">
        <f>'Grid_Stock'!AS54</f>
        <v/>
      </c>
      <c r="AV1182">
        <f>'Grid_Stock'!AT54</f>
        <v/>
      </c>
      <c r="AW1182">
        <f>'Grid_Stock'!AU54</f>
        <v/>
      </c>
      <c r="AX1182">
        <f>'Grid_Stock'!AV54</f>
        <v/>
      </c>
      <c r="AY1182">
        <f>'Grid_Stock'!AW54</f>
        <v/>
      </c>
      <c r="AZ1182">
        <f>'Grid_Stock'!AX54</f>
        <v/>
      </c>
      <c r="BA1182">
        <f>'Grid_Stock'!AY54</f>
        <v/>
      </c>
      <c r="BB1182">
        <f>'Grid_Stock'!AZ54</f>
        <v/>
      </c>
      <c r="BC1182">
        <f>'Grid_Stock'!BA54</f>
        <v/>
      </c>
      <c r="BD1182">
        <f>'Grid_Stock'!BB54</f>
        <v/>
      </c>
      <c r="BE1182">
        <f>'Grid_Stock'!BC54</f>
        <v/>
      </c>
      <c r="BF1182">
        <f>'Grid_Stock'!BD54</f>
        <v/>
      </c>
      <c r="BG1182">
        <f>'Grid_Stock'!BE54</f>
        <v/>
      </c>
      <c r="BH1182">
        <f>'Grid_Stock'!BF54</f>
        <v/>
      </c>
      <c r="BI1182">
        <f>'Grid_Stock'!BG54</f>
        <v/>
      </c>
      <c r="BJ1182">
        <f>'Grid_Stock'!BH54</f>
        <v/>
      </c>
      <c r="BK1182">
        <f>'Grid_Stock'!BI54</f>
        <v/>
      </c>
      <c r="BL1182">
        <f>'Grid_Stock'!BJ54</f>
        <v/>
      </c>
      <c r="BM1182">
        <f>'Grid_Stock'!BK54</f>
        <v/>
      </c>
      <c r="BN1182">
        <f>'Grid_Stock'!BL54</f>
        <v/>
      </c>
      <c r="BO1182">
        <f>'Grid_Stock'!BM54</f>
        <v/>
      </c>
      <c r="BP1182">
        <f>'Grid_Stock'!BN54</f>
        <v/>
      </c>
      <c r="BQ1182">
        <f>'Grid_Stock'!BO54</f>
        <v/>
      </c>
      <c r="BR1182">
        <f>'Grid_Stock'!BP54</f>
        <v/>
      </c>
      <c r="BS1182">
        <f>'Grid_Stock'!BQ54</f>
        <v/>
      </c>
      <c r="BT1182">
        <f>'Grid_Stock'!BR54</f>
        <v/>
      </c>
      <c r="BU1182">
        <f>'Grid_Stock'!BS54</f>
        <v/>
      </c>
      <c r="BV1182">
        <f>'Grid_Stock'!BT54</f>
        <v/>
      </c>
      <c r="BW1182">
        <f>'Grid_Stock'!BU54</f>
        <v/>
      </c>
      <c r="BX1182">
        <f>'Grid_Stock'!BV54</f>
        <v/>
      </c>
      <c r="BY1182">
        <f>'Grid_Stock'!BW54</f>
        <v/>
      </c>
      <c r="BZ1182">
        <f>'Grid_Stock'!BX54</f>
        <v/>
      </c>
      <c r="CA1182">
        <f>'Grid_Stock'!BY54</f>
        <v/>
      </c>
      <c r="CB1182">
        <f>'Grid_Stock'!BZ54</f>
        <v/>
      </c>
      <c r="CC1182">
        <f>'Grid_Stock'!CA54</f>
        <v/>
      </c>
      <c r="CD1182">
        <f>'Grid_Stock'!CB54</f>
        <v/>
      </c>
      <c r="CE1182">
        <f>'Grid_Stock'!CC54</f>
        <v/>
      </c>
      <c r="CF1182">
        <f>'Grid_Stock'!CD54</f>
        <v/>
      </c>
      <c r="CG1182">
        <f>'Grid_Stock'!CE54</f>
        <v/>
      </c>
      <c r="CH1182">
        <f>'Grid_Stock'!CF54</f>
        <v/>
      </c>
      <c r="CI1182">
        <f>'Grid_Stock'!CG54</f>
        <v/>
      </c>
      <c r="CJ1182">
        <f>'Grid_Stock'!CH54</f>
        <v/>
      </c>
      <c r="CK1182">
        <f>'Grid_Stock'!CI54</f>
        <v/>
      </c>
      <c r="CL1182">
        <f>'Grid_Stock'!CJ54</f>
        <v/>
      </c>
      <c r="CM1182">
        <f>'Grid_Stock'!CK54</f>
        <v/>
      </c>
      <c r="CN1182">
        <f>'Grid_Stock'!CL54</f>
        <v/>
      </c>
      <c r="CO1182">
        <f>'Grid_Stock'!CM54</f>
        <v/>
      </c>
      <c r="CP1182">
        <f>'Grid_Stock'!CN54</f>
        <v/>
      </c>
      <c r="CQ1182">
        <f>'Grid_Stock'!CO54</f>
        <v/>
      </c>
      <c r="CR1182">
        <f>'Grid_Stock'!CP54</f>
        <v/>
      </c>
      <c r="CS1182">
        <f>'Grid_Stock'!CQ54</f>
        <v/>
      </c>
      <c r="CT1182">
        <f>'Grid_Stock'!CR54</f>
        <v/>
      </c>
      <c r="CU1182">
        <f>'Grid_Stock'!CS54</f>
        <v/>
      </c>
      <c r="CV1182">
        <f>'Grid_Stock'!CT54</f>
        <v/>
      </c>
      <c r="CW1182">
        <f>'Grid_Stock'!CU54</f>
        <v/>
      </c>
      <c r="CX1182">
        <f>'Grid_Stock'!CV54</f>
        <v/>
      </c>
      <c r="CY1182">
        <f>'Grid_Stock'!CW54</f>
        <v/>
      </c>
      <c r="CZ1182">
        <f>'Grid_Stock'!CX54</f>
        <v/>
      </c>
      <c r="DA1182">
        <f>'Grid_Stock'!CY54</f>
        <v/>
      </c>
      <c r="DB1182">
        <f>'Grid_Stock'!CZ54</f>
        <v/>
      </c>
      <c r="DC1182">
        <f>'Grid_Stock'!DA54</f>
        <v/>
      </c>
    </row>
    <row r="1183">
      <c r="B1183" s="23" t="inlineStr">
        <is>
          <t>（発注の目安はDashboardの基準在庫[下限/上限]と色分けを参照）</t>
        </is>
      </c>
    </row>
    <row r="1185">
      <c r="A1185" s="21" t="inlineStr">
        <is>
          <t>CHEM-1560</t>
        </is>
      </c>
      <c r="B1185" s="21" t="inlineStr">
        <is>
          <t>TZP 511</t>
        </is>
      </c>
      <c r="C1185" s="22" t="n"/>
      <c r="D1185" s="21" t="n"/>
      <c r="E1185" s="21" t="n"/>
      <c r="F1185" s="21" t="n"/>
      <c r="G1185" s="21" t="n"/>
      <c r="H1185" s="21" t="n"/>
      <c r="I1185" s="21" t="n"/>
      <c r="J1185" s="21" t="n"/>
      <c r="K1185" s="21" t="n"/>
      <c r="L1185" s="21" t="n"/>
      <c r="M1185" s="21" t="n"/>
      <c r="N1185" s="21" t="n"/>
      <c r="O1185" s="21" t="n"/>
      <c r="P1185" s="21" t="n"/>
      <c r="Q1185" s="21" t="n"/>
      <c r="R1185" s="21" t="n"/>
      <c r="S1185" s="21" t="n"/>
      <c r="T1185" s="21" t="n"/>
      <c r="U1185" s="21" t="n"/>
      <c r="V1185" s="21" t="n"/>
      <c r="W1185" s="21" t="n"/>
      <c r="X1185" s="21" t="n"/>
      <c r="Y1185" s="21" t="n"/>
      <c r="Z1185" s="21" t="n"/>
      <c r="AA1185" s="21" t="n"/>
      <c r="AB1185" s="21" t="n"/>
      <c r="AC1185" s="21" t="n"/>
      <c r="AD1185" s="21" t="n"/>
      <c r="AE1185" s="21" t="n"/>
      <c r="AF1185" s="21" t="n"/>
      <c r="AG1185" s="21" t="n"/>
      <c r="AH1185" s="21" t="n"/>
      <c r="AI1185" s="21" t="n"/>
      <c r="AJ1185" s="21" t="n"/>
      <c r="AK1185" s="21" t="n"/>
      <c r="AL1185" s="21" t="n"/>
      <c r="AM1185" s="21" t="n"/>
      <c r="AN1185" s="21" t="n"/>
      <c r="AO1185" s="21" t="n"/>
      <c r="AP1185" s="21" t="n"/>
      <c r="AQ1185" s="21" t="n"/>
      <c r="AR1185" s="21" t="n"/>
      <c r="AS1185" s="21" t="n"/>
      <c r="AT1185" s="21" t="n"/>
      <c r="AU1185" s="21" t="n"/>
      <c r="AV1185" s="21" t="n"/>
      <c r="AW1185" s="21" t="n"/>
      <c r="AX1185" s="21" t="n"/>
      <c r="AY1185" s="21" t="n"/>
      <c r="AZ1185" s="21" t="n"/>
      <c r="BA1185" s="21" t="n"/>
      <c r="BB1185" s="21" t="n"/>
      <c r="BC1185" s="21" t="n"/>
      <c r="BD1185" s="21" t="n"/>
      <c r="BE1185" s="21" t="n"/>
      <c r="BF1185" s="21" t="n"/>
      <c r="BG1185" s="21" t="n"/>
      <c r="BH1185" s="21" t="n"/>
      <c r="BI1185" s="21" t="n"/>
      <c r="BJ1185" s="21" t="n"/>
      <c r="BK1185" s="21" t="n"/>
      <c r="BL1185" s="21" t="n"/>
      <c r="BM1185" s="21" t="n"/>
      <c r="BN1185" s="21" t="n"/>
      <c r="BO1185" s="21" t="n"/>
      <c r="BP1185" s="21" t="n"/>
      <c r="BQ1185" s="21" t="n"/>
      <c r="BR1185" s="21" t="n"/>
      <c r="BS1185" s="21" t="n"/>
      <c r="BT1185" s="21" t="n"/>
      <c r="BU1185" s="21" t="n"/>
      <c r="BV1185" s="21" t="n"/>
      <c r="BW1185" s="21" t="n"/>
      <c r="BX1185" s="21" t="n"/>
      <c r="BY1185" s="21" t="n"/>
      <c r="BZ1185" s="21" t="n"/>
      <c r="CA1185" s="21" t="n"/>
      <c r="CB1185" s="21" t="n"/>
      <c r="CC1185" s="21" t="n"/>
      <c r="CD1185" s="21" t="n"/>
      <c r="CE1185" s="21" t="n"/>
      <c r="CF1185" s="21" t="n"/>
      <c r="CG1185" s="21" t="n"/>
      <c r="CH1185" s="21" t="n"/>
      <c r="CI1185" s="21" t="n"/>
      <c r="CJ1185" s="21" t="n"/>
      <c r="CK1185" s="21" t="n"/>
      <c r="CL1185" s="21" t="n"/>
      <c r="CM1185" s="21" t="n"/>
      <c r="CN1185" s="21" t="n"/>
      <c r="CO1185" s="21" t="n"/>
      <c r="CP1185" s="21" t="n"/>
      <c r="CQ1185" s="21" t="n"/>
      <c r="CR1185" s="21" t="n"/>
      <c r="CS1185" s="21" t="n"/>
      <c r="CT1185" s="21" t="n"/>
      <c r="CU1185" s="21" t="n"/>
      <c r="CV1185" s="21" t="n"/>
      <c r="CW1185" s="21" t="n"/>
      <c r="CX1185" s="21" t="n"/>
      <c r="CY1185" s="21" t="n"/>
      <c r="CZ1185" s="21" t="n"/>
      <c r="DA1185" s="21" t="n"/>
      <c r="DB1185" s="21" t="n"/>
      <c r="DC1185" s="21" t="n"/>
    </row>
    <row r="1186">
      <c r="B1186" t="inlineStr">
        <is>
          <t>TSP-360</t>
        </is>
      </c>
      <c r="C1186" t="inlineStr">
        <is>
          <t>No. of batches</t>
        </is>
      </c>
      <c r="D1186">
        <f>IFERROR(INDEX(PP_Grid[#Data],$DD1186,2),0)</f>
        <v/>
      </c>
      <c r="E1186">
        <f>IFERROR(INDEX(PP_Grid[#Data],$DD1186,3),0)</f>
        <v/>
      </c>
      <c r="F1186">
        <f>IFERROR(INDEX(PP_Grid[#Data],$DD1186,4),0)</f>
        <v/>
      </c>
      <c r="G1186">
        <f>IFERROR(INDEX(PP_Grid[#Data],$DD1186,5),0)</f>
        <v/>
      </c>
      <c r="H1186">
        <f>IFERROR(INDEX(PP_Grid[#Data],$DD1186,6),0)</f>
        <v/>
      </c>
      <c r="I1186">
        <f>IFERROR(INDEX(PP_Grid[#Data],$DD1186,7),0)</f>
        <v/>
      </c>
      <c r="J1186">
        <f>IFERROR(INDEX(PP_Grid[#Data],$DD1186,8),0)</f>
        <v/>
      </c>
      <c r="K1186">
        <f>IFERROR(INDEX(PP_Grid[#Data],$DD1186,9),0)</f>
        <v/>
      </c>
      <c r="L1186">
        <f>IFERROR(INDEX(PP_Grid[#Data],$DD1186,10),0)</f>
        <v/>
      </c>
      <c r="M1186">
        <f>IFERROR(INDEX(PP_Grid[#Data],$DD1186,11),0)</f>
        <v/>
      </c>
      <c r="N1186">
        <f>IFERROR(INDEX(PP_Grid[#Data],$DD1186,12),0)</f>
        <v/>
      </c>
      <c r="O1186">
        <f>IFERROR(INDEX(PP_Grid[#Data],$DD1186,13),0)</f>
        <v/>
      </c>
      <c r="P1186">
        <f>IFERROR(INDEX(PP_Grid[#Data],$DD1186,14),0)</f>
        <v/>
      </c>
      <c r="Q1186">
        <f>IFERROR(INDEX(PP_Grid[#Data],$DD1186,15),0)</f>
        <v/>
      </c>
      <c r="R1186">
        <f>IFERROR(INDEX(PP_Grid[#Data],$DD1186,16),0)</f>
        <v/>
      </c>
      <c r="S1186">
        <f>IFERROR(INDEX(PP_Grid[#Data],$DD1186,17),0)</f>
        <v/>
      </c>
      <c r="T1186">
        <f>IFERROR(INDEX(PP_Grid[#Data],$DD1186,18),0)</f>
        <v/>
      </c>
      <c r="U1186">
        <f>IFERROR(INDEX(PP_Grid[#Data],$DD1186,19),0)</f>
        <v/>
      </c>
      <c r="V1186">
        <f>IFERROR(INDEX(PP_Grid[#Data],$DD1186,20),0)</f>
        <v/>
      </c>
      <c r="W1186">
        <f>IFERROR(INDEX(PP_Grid[#Data],$DD1186,21),0)</f>
        <v/>
      </c>
      <c r="X1186">
        <f>IFERROR(INDEX(PP_Grid[#Data],$DD1186,22),0)</f>
        <v/>
      </c>
      <c r="Y1186">
        <f>IFERROR(INDEX(PP_Grid[#Data],$DD1186,23),0)</f>
        <v/>
      </c>
      <c r="Z1186">
        <f>IFERROR(INDEX(PP_Grid[#Data],$DD1186,24),0)</f>
        <v/>
      </c>
      <c r="AA1186">
        <f>IFERROR(INDEX(PP_Grid[#Data],$DD1186,25),0)</f>
        <v/>
      </c>
      <c r="AB1186">
        <f>IFERROR(INDEX(PP_Grid[#Data],$DD1186,26),0)</f>
        <v/>
      </c>
      <c r="AC1186">
        <f>IFERROR(INDEX(PP_Grid[#Data],$DD1186,27),0)</f>
        <v/>
      </c>
      <c r="AD1186">
        <f>IFERROR(INDEX(PP_Grid[#Data],$DD1186,28),0)</f>
        <v/>
      </c>
      <c r="AE1186">
        <f>IFERROR(INDEX(PP_Grid[#Data],$DD1186,29),0)</f>
        <v/>
      </c>
      <c r="AF1186">
        <f>IFERROR(INDEX(PP_Grid[#Data],$DD1186,30),0)</f>
        <v/>
      </c>
      <c r="AG1186">
        <f>IFERROR(INDEX(PP_Grid[#Data],$DD1186,31),0)</f>
        <v/>
      </c>
      <c r="AH1186">
        <f>IFERROR(INDEX(PP_Grid[#Data],$DD1186,32),0)</f>
        <v/>
      </c>
      <c r="AI1186">
        <f>IFERROR(INDEX(PP_Grid[#Data],$DD1186,33),0)</f>
        <v/>
      </c>
      <c r="AJ1186">
        <f>IFERROR(INDEX(PP_Grid[#Data],$DD1186,34),0)</f>
        <v/>
      </c>
      <c r="AK1186">
        <f>IFERROR(INDEX(PP_Grid[#Data],$DD1186,35),0)</f>
        <v/>
      </c>
      <c r="AL1186">
        <f>IFERROR(INDEX(PP_Grid[#Data],$DD1186,36),0)</f>
        <v/>
      </c>
      <c r="AM1186">
        <f>IFERROR(INDEX(PP_Grid[#Data],$DD1186,37),0)</f>
        <v/>
      </c>
      <c r="AN1186">
        <f>IFERROR(INDEX(PP_Grid[#Data],$DD1186,38),0)</f>
        <v/>
      </c>
      <c r="AO1186">
        <f>IFERROR(INDEX(PP_Grid[#Data],$DD1186,39),0)</f>
        <v/>
      </c>
      <c r="AP1186">
        <f>IFERROR(INDEX(PP_Grid[#Data],$DD1186,40),0)</f>
        <v/>
      </c>
      <c r="AQ1186">
        <f>IFERROR(INDEX(PP_Grid[#Data],$DD1186,41),0)</f>
        <v/>
      </c>
      <c r="AR1186">
        <f>IFERROR(INDEX(PP_Grid[#Data],$DD1186,42),0)</f>
        <v/>
      </c>
      <c r="AS1186">
        <f>IFERROR(INDEX(PP_Grid[#Data],$DD1186,43),0)</f>
        <v/>
      </c>
      <c r="AT1186">
        <f>IFERROR(INDEX(PP_Grid[#Data],$DD1186,44),0)</f>
        <v/>
      </c>
      <c r="AU1186">
        <f>IFERROR(INDEX(PP_Grid[#Data],$DD1186,45),0)</f>
        <v/>
      </c>
      <c r="AV1186">
        <f>IFERROR(INDEX(PP_Grid[#Data],$DD1186,46),0)</f>
        <v/>
      </c>
      <c r="AW1186">
        <f>IFERROR(INDEX(PP_Grid[#Data],$DD1186,47),0)</f>
        <v/>
      </c>
      <c r="AX1186">
        <f>IFERROR(INDEX(PP_Grid[#Data],$DD1186,48),0)</f>
        <v/>
      </c>
      <c r="AY1186">
        <f>IFERROR(INDEX(PP_Grid[#Data],$DD1186,49),0)</f>
        <v/>
      </c>
      <c r="AZ1186">
        <f>IFERROR(INDEX(PP_Grid[#Data],$DD1186,50),0)</f>
        <v/>
      </c>
      <c r="BA1186">
        <f>IFERROR(INDEX(PP_Grid[#Data],$DD1186,51),0)</f>
        <v/>
      </c>
      <c r="BB1186">
        <f>IFERROR(INDEX(PP_Grid[#Data],$DD1186,52),0)</f>
        <v/>
      </c>
      <c r="BC1186">
        <f>IFERROR(INDEX(PP_Grid[#Data],$DD1186,53),0)</f>
        <v/>
      </c>
      <c r="BD1186">
        <f>IFERROR(INDEX(PP_Grid[#Data],$DD1186,54),0)</f>
        <v/>
      </c>
      <c r="BE1186">
        <f>IFERROR(INDEX(PP_Grid[#Data],$DD1186,55),0)</f>
        <v/>
      </c>
      <c r="BF1186">
        <f>IFERROR(INDEX(PP_Grid[#Data],$DD1186,56),0)</f>
        <v/>
      </c>
      <c r="BG1186">
        <f>IFERROR(INDEX(PP_Grid[#Data],$DD1186,57),0)</f>
        <v/>
      </c>
      <c r="BH1186">
        <f>IFERROR(INDEX(PP_Grid[#Data],$DD1186,58),0)</f>
        <v/>
      </c>
      <c r="BI1186">
        <f>IFERROR(INDEX(PP_Grid[#Data],$DD1186,59),0)</f>
        <v/>
      </c>
      <c r="BJ1186">
        <f>IFERROR(INDEX(PP_Grid[#Data],$DD1186,60),0)</f>
        <v/>
      </c>
      <c r="BK1186">
        <f>IFERROR(INDEX(PP_Grid[#Data],$DD1186,61),0)</f>
        <v/>
      </c>
      <c r="BL1186">
        <f>IFERROR(INDEX(PP_Grid[#Data],$DD1186,62),0)</f>
        <v/>
      </c>
      <c r="BM1186">
        <f>IFERROR(INDEX(PP_Grid[#Data],$DD1186,63),0)</f>
        <v/>
      </c>
      <c r="BN1186">
        <f>IFERROR(INDEX(PP_Grid[#Data],$DD1186,64),0)</f>
        <v/>
      </c>
      <c r="BO1186">
        <f>IFERROR(INDEX(PP_Grid[#Data],$DD1186,65),0)</f>
        <v/>
      </c>
      <c r="BP1186">
        <f>IFERROR(INDEX(PP_Grid[#Data],$DD1186,66),0)</f>
        <v/>
      </c>
      <c r="BQ1186">
        <f>IFERROR(INDEX(PP_Grid[#Data],$DD1186,67),0)</f>
        <v/>
      </c>
      <c r="BR1186">
        <f>IFERROR(INDEX(PP_Grid[#Data],$DD1186,68),0)</f>
        <v/>
      </c>
      <c r="BS1186">
        <f>IFERROR(INDEX(PP_Grid[#Data],$DD1186,69),0)</f>
        <v/>
      </c>
      <c r="BT1186">
        <f>IFERROR(INDEX(PP_Grid[#Data],$DD1186,70),0)</f>
        <v/>
      </c>
      <c r="BU1186">
        <f>IFERROR(INDEX(PP_Grid[#Data],$DD1186,71),0)</f>
        <v/>
      </c>
      <c r="BV1186">
        <f>IFERROR(INDEX(PP_Grid[#Data],$DD1186,72),0)</f>
        <v/>
      </c>
      <c r="BW1186">
        <f>IFERROR(INDEX(PP_Grid[#Data],$DD1186,73),0)</f>
        <v/>
      </c>
      <c r="BX1186">
        <f>IFERROR(INDEX(PP_Grid[#Data],$DD1186,74),0)</f>
        <v/>
      </c>
      <c r="BY1186">
        <f>IFERROR(INDEX(PP_Grid[#Data],$DD1186,75),0)</f>
        <v/>
      </c>
      <c r="BZ1186">
        <f>IFERROR(INDEX(PP_Grid[#Data],$DD1186,76),0)</f>
        <v/>
      </c>
      <c r="CA1186">
        <f>IFERROR(INDEX(PP_Grid[#Data],$DD1186,77),0)</f>
        <v/>
      </c>
      <c r="CB1186">
        <f>IFERROR(INDEX(PP_Grid[#Data],$DD1186,78),0)</f>
        <v/>
      </c>
      <c r="CC1186">
        <f>IFERROR(INDEX(PP_Grid[#Data],$DD1186,79),0)</f>
        <v/>
      </c>
      <c r="CD1186">
        <f>IFERROR(INDEX(PP_Grid[#Data],$DD1186,80),0)</f>
        <v/>
      </c>
      <c r="CE1186">
        <f>IFERROR(INDEX(PP_Grid[#Data],$DD1186,81),0)</f>
        <v/>
      </c>
      <c r="CF1186">
        <f>IFERROR(INDEX(PP_Grid[#Data],$DD1186,82),0)</f>
        <v/>
      </c>
      <c r="CG1186">
        <f>IFERROR(INDEX(PP_Grid[#Data],$DD1186,83),0)</f>
        <v/>
      </c>
      <c r="CH1186">
        <f>IFERROR(INDEX(PP_Grid[#Data],$DD1186,84),0)</f>
        <v/>
      </c>
      <c r="CI1186">
        <f>IFERROR(INDEX(PP_Grid[#Data],$DD1186,85),0)</f>
        <v/>
      </c>
      <c r="CJ1186">
        <f>IFERROR(INDEX(PP_Grid[#Data],$DD1186,86),0)</f>
        <v/>
      </c>
      <c r="CK1186">
        <f>IFERROR(INDEX(PP_Grid[#Data],$DD1186,87),0)</f>
        <v/>
      </c>
      <c r="CL1186">
        <f>IFERROR(INDEX(PP_Grid[#Data],$DD1186,88),0)</f>
        <v/>
      </c>
      <c r="CM1186">
        <f>IFERROR(INDEX(PP_Grid[#Data],$DD1186,89),0)</f>
        <v/>
      </c>
      <c r="CN1186">
        <f>IFERROR(INDEX(PP_Grid[#Data],$DD1186,90),0)</f>
        <v/>
      </c>
      <c r="CO1186">
        <f>IFERROR(INDEX(PP_Grid[#Data],$DD1186,91),0)</f>
        <v/>
      </c>
      <c r="CP1186">
        <f>IFERROR(INDEX(PP_Grid[#Data],$DD1186,92),0)</f>
        <v/>
      </c>
      <c r="CQ1186">
        <f>IFERROR(INDEX(PP_Grid[#Data],$DD1186,93),0)</f>
        <v/>
      </c>
      <c r="CR1186">
        <f>IFERROR(INDEX(PP_Grid[#Data],$DD1186,94),0)</f>
        <v/>
      </c>
      <c r="CS1186">
        <f>IFERROR(INDEX(PP_Grid[#Data],$DD1186,95),0)</f>
        <v/>
      </c>
      <c r="CT1186">
        <f>IFERROR(INDEX(PP_Grid[#Data],$DD1186,96),0)</f>
        <v/>
      </c>
      <c r="CU1186">
        <f>IFERROR(INDEX(PP_Grid[#Data],$DD1186,97),0)</f>
        <v/>
      </c>
      <c r="CV1186">
        <f>IFERROR(INDEX(PP_Grid[#Data],$DD1186,98),0)</f>
        <v/>
      </c>
      <c r="CW1186">
        <f>IFERROR(INDEX(PP_Grid[#Data],$DD1186,99),0)</f>
        <v/>
      </c>
      <c r="CX1186">
        <f>IFERROR(INDEX(PP_Grid[#Data],$DD1186,100),0)</f>
        <v/>
      </c>
      <c r="CY1186">
        <f>IFERROR(INDEX(PP_Grid[#Data],$DD1186,101),0)</f>
        <v/>
      </c>
      <c r="CZ1186">
        <f>IFERROR(INDEX(PP_Grid[#Data],$DD1186,102),0)</f>
        <v/>
      </c>
      <c r="DA1186">
        <f>IFERROR(INDEX(PP_Grid[#Data],$DD1186,103),0)</f>
        <v/>
      </c>
      <c r="DB1186">
        <f>IFERROR(INDEX(PP_Grid[#Data],$DD1186,104),0)</f>
        <v/>
      </c>
      <c r="DC1186">
        <f>IFERROR(INDEX(PP_Grid[#Data],$DD1186,105),0)</f>
        <v/>
      </c>
      <c r="DD1186" s="12">
        <f>IFERROR(MATCH($B1186,PP_Grid[Intermediate],0),99999)</f>
        <v/>
      </c>
    </row>
    <row r="1187">
      <c r="B1187" t="inlineStr">
        <is>
          <t>使用量(kg)</t>
        </is>
      </c>
      <c r="C1187">
        <f>SUMIFS(M_BOM[RM_Qty_Per_Batch],M_BOM[Intermediate],$B1186,M_BOM[Part Name],$A1185)</f>
        <v/>
      </c>
      <c r="D1187">
        <f>$C1187*D1186</f>
        <v/>
      </c>
      <c r="E1187">
        <f>$C1187*E1186</f>
        <v/>
      </c>
      <c r="F1187">
        <f>$C1187*F1186</f>
        <v/>
      </c>
      <c r="G1187">
        <f>$C1187*G1186</f>
        <v/>
      </c>
      <c r="H1187">
        <f>$C1187*H1186</f>
        <v/>
      </c>
      <c r="I1187">
        <f>$C1187*I1186</f>
        <v/>
      </c>
      <c r="J1187">
        <f>$C1187*J1186</f>
        <v/>
      </c>
      <c r="K1187">
        <f>$C1187*K1186</f>
        <v/>
      </c>
      <c r="L1187">
        <f>$C1187*L1186</f>
        <v/>
      </c>
      <c r="M1187">
        <f>$C1187*M1186</f>
        <v/>
      </c>
      <c r="N1187">
        <f>$C1187*N1186</f>
        <v/>
      </c>
      <c r="O1187">
        <f>$C1187*O1186</f>
        <v/>
      </c>
      <c r="P1187">
        <f>$C1187*P1186</f>
        <v/>
      </c>
      <c r="Q1187">
        <f>$C1187*Q1186</f>
        <v/>
      </c>
      <c r="R1187">
        <f>$C1187*R1186</f>
        <v/>
      </c>
      <c r="S1187">
        <f>$C1187*S1186</f>
        <v/>
      </c>
      <c r="T1187">
        <f>$C1187*T1186</f>
        <v/>
      </c>
      <c r="U1187">
        <f>$C1187*U1186</f>
        <v/>
      </c>
      <c r="V1187">
        <f>$C1187*V1186</f>
        <v/>
      </c>
      <c r="W1187">
        <f>$C1187*W1186</f>
        <v/>
      </c>
      <c r="X1187">
        <f>$C1187*X1186</f>
        <v/>
      </c>
      <c r="Y1187">
        <f>$C1187*Y1186</f>
        <v/>
      </c>
      <c r="Z1187">
        <f>$C1187*Z1186</f>
        <v/>
      </c>
      <c r="AA1187">
        <f>$C1187*AA1186</f>
        <v/>
      </c>
      <c r="AB1187">
        <f>$C1187*AB1186</f>
        <v/>
      </c>
      <c r="AC1187">
        <f>$C1187*AC1186</f>
        <v/>
      </c>
      <c r="AD1187">
        <f>$C1187*AD1186</f>
        <v/>
      </c>
      <c r="AE1187">
        <f>$C1187*AE1186</f>
        <v/>
      </c>
      <c r="AF1187">
        <f>$C1187*AF1186</f>
        <v/>
      </c>
      <c r="AG1187">
        <f>$C1187*AG1186</f>
        <v/>
      </c>
      <c r="AH1187">
        <f>$C1187*AH1186</f>
        <v/>
      </c>
      <c r="AI1187">
        <f>$C1187*AI1186</f>
        <v/>
      </c>
      <c r="AJ1187">
        <f>$C1187*AJ1186</f>
        <v/>
      </c>
      <c r="AK1187">
        <f>$C1187*AK1186</f>
        <v/>
      </c>
      <c r="AL1187">
        <f>$C1187*AL1186</f>
        <v/>
      </c>
      <c r="AM1187">
        <f>$C1187*AM1186</f>
        <v/>
      </c>
      <c r="AN1187">
        <f>$C1187*AN1186</f>
        <v/>
      </c>
      <c r="AO1187">
        <f>$C1187*AO1186</f>
        <v/>
      </c>
      <c r="AP1187">
        <f>$C1187*AP1186</f>
        <v/>
      </c>
      <c r="AQ1187">
        <f>$C1187*AQ1186</f>
        <v/>
      </c>
      <c r="AR1187">
        <f>$C1187*AR1186</f>
        <v/>
      </c>
      <c r="AS1187">
        <f>$C1187*AS1186</f>
        <v/>
      </c>
      <c r="AT1187">
        <f>$C1187*AT1186</f>
        <v/>
      </c>
      <c r="AU1187">
        <f>$C1187*AU1186</f>
        <v/>
      </c>
      <c r="AV1187">
        <f>$C1187*AV1186</f>
        <v/>
      </c>
      <c r="AW1187">
        <f>$C1187*AW1186</f>
        <v/>
      </c>
      <c r="AX1187">
        <f>$C1187*AX1186</f>
        <v/>
      </c>
      <c r="AY1187">
        <f>$C1187*AY1186</f>
        <v/>
      </c>
      <c r="AZ1187">
        <f>$C1187*AZ1186</f>
        <v/>
      </c>
      <c r="BA1187">
        <f>$C1187*BA1186</f>
        <v/>
      </c>
      <c r="BB1187">
        <f>$C1187*BB1186</f>
        <v/>
      </c>
      <c r="BC1187">
        <f>$C1187*BC1186</f>
        <v/>
      </c>
      <c r="BD1187">
        <f>$C1187*BD1186</f>
        <v/>
      </c>
      <c r="BE1187">
        <f>$C1187*BE1186</f>
        <v/>
      </c>
      <c r="BF1187">
        <f>$C1187*BF1186</f>
        <v/>
      </c>
      <c r="BG1187">
        <f>$C1187*BG1186</f>
        <v/>
      </c>
      <c r="BH1187">
        <f>$C1187*BH1186</f>
        <v/>
      </c>
      <c r="BI1187">
        <f>$C1187*BI1186</f>
        <v/>
      </c>
      <c r="BJ1187">
        <f>$C1187*BJ1186</f>
        <v/>
      </c>
      <c r="BK1187">
        <f>$C1187*BK1186</f>
        <v/>
      </c>
      <c r="BL1187">
        <f>$C1187*BL1186</f>
        <v/>
      </c>
      <c r="BM1187">
        <f>$C1187*BM1186</f>
        <v/>
      </c>
      <c r="BN1187">
        <f>$C1187*BN1186</f>
        <v/>
      </c>
      <c r="BO1187">
        <f>$C1187*BO1186</f>
        <v/>
      </c>
      <c r="BP1187">
        <f>$C1187*BP1186</f>
        <v/>
      </c>
      <c r="BQ1187">
        <f>$C1187*BQ1186</f>
        <v/>
      </c>
      <c r="BR1187">
        <f>$C1187*BR1186</f>
        <v/>
      </c>
      <c r="BS1187">
        <f>$C1187*BS1186</f>
        <v/>
      </c>
      <c r="BT1187">
        <f>$C1187*BT1186</f>
        <v/>
      </c>
      <c r="BU1187">
        <f>$C1187*BU1186</f>
        <v/>
      </c>
      <c r="BV1187">
        <f>$C1187*BV1186</f>
        <v/>
      </c>
      <c r="BW1187">
        <f>$C1187*BW1186</f>
        <v/>
      </c>
      <c r="BX1187">
        <f>$C1187*BX1186</f>
        <v/>
      </c>
      <c r="BY1187">
        <f>$C1187*BY1186</f>
        <v/>
      </c>
      <c r="BZ1187">
        <f>$C1187*BZ1186</f>
        <v/>
      </c>
      <c r="CA1187">
        <f>$C1187*CA1186</f>
        <v/>
      </c>
      <c r="CB1187">
        <f>$C1187*CB1186</f>
        <v/>
      </c>
      <c r="CC1187">
        <f>$C1187*CC1186</f>
        <v/>
      </c>
      <c r="CD1187">
        <f>$C1187*CD1186</f>
        <v/>
      </c>
      <c r="CE1187">
        <f>$C1187*CE1186</f>
        <v/>
      </c>
      <c r="CF1187">
        <f>$C1187*CF1186</f>
        <v/>
      </c>
      <c r="CG1187">
        <f>$C1187*CG1186</f>
        <v/>
      </c>
      <c r="CH1187">
        <f>$C1187*CH1186</f>
        <v/>
      </c>
      <c r="CI1187">
        <f>$C1187*CI1186</f>
        <v/>
      </c>
      <c r="CJ1187">
        <f>$C1187*CJ1186</f>
        <v/>
      </c>
      <c r="CK1187">
        <f>$C1187*CK1186</f>
        <v/>
      </c>
      <c r="CL1187">
        <f>$C1187*CL1186</f>
        <v/>
      </c>
      <c r="CM1187">
        <f>$C1187*CM1186</f>
        <v/>
      </c>
      <c r="CN1187">
        <f>$C1187*CN1186</f>
        <v/>
      </c>
      <c r="CO1187">
        <f>$C1187*CO1186</f>
        <v/>
      </c>
      <c r="CP1187">
        <f>$C1187*CP1186</f>
        <v/>
      </c>
      <c r="CQ1187">
        <f>$C1187*CQ1186</f>
        <v/>
      </c>
      <c r="CR1187">
        <f>$C1187*CR1186</f>
        <v/>
      </c>
      <c r="CS1187">
        <f>$C1187*CS1186</f>
        <v/>
      </c>
      <c r="CT1187">
        <f>$C1187*CT1186</f>
        <v/>
      </c>
      <c r="CU1187">
        <f>$C1187*CU1186</f>
        <v/>
      </c>
      <c r="CV1187">
        <f>$C1187*CV1186</f>
        <v/>
      </c>
      <c r="CW1187">
        <f>$C1187*CW1186</f>
        <v/>
      </c>
      <c r="CX1187">
        <f>$C1187*CX1186</f>
        <v/>
      </c>
      <c r="CY1187">
        <f>$C1187*CY1186</f>
        <v/>
      </c>
      <c r="CZ1187">
        <f>$C1187*CZ1186</f>
        <v/>
      </c>
      <c r="DA1187">
        <f>$C1187*DA1186</f>
        <v/>
      </c>
      <c r="DB1187">
        <f>$C1187*DB1186</f>
        <v/>
      </c>
      <c r="DC1187">
        <f>$C1187*DC1186</f>
        <v/>
      </c>
    </row>
    <row r="1188">
      <c r="B1188" t="inlineStr">
        <is>
          <t>TSP-544</t>
        </is>
      </c>
      <c r="C1188" t="inlineStr">
        <is>
          <t>No. of batches</t>
        </is>
      </c>
      <c r="D1188">
        <f>IFERROR(INDEX(PP_Grid[#Data],$DD1188,2),0)</f>
        <v/>
      </c>
      <c r="E1188">
        <f>IFERROR(INDEX(PP_Grid[#Data],$DD1188,3),0)</f>
        <v/>
      </c>
      <c r="F1188">
        <f>IFERROR(INDEX(PP_Grid[#Data],$DD1188,4),0)</f>
        <v/>
      </c>
      <c r="G1188">
        <f>IFERROR(INDEX(PP_Grid[#Data],$DD1188,5),0)</f>
        <v/>
      </c>
      <c r="H1188">
        <f>IFERROR(INDEX(PP_Grid[#Data],$DD1188,6),0)</f>
        <v/>
      </c>
      <c r="I1188">
        <f>IFERROR(INDEX(PP_Grid[#Data],$DD1188,7),0)</f>
        <v/>
      </c>
      <c r="J1188">
        <f>IFERROR(INDEX(PP_Grid[#Data],$DD1188,8),0)</f>
        <v/>
      </c>
      <c r="K1188">
        <f>IFERROR(INDEX(PP_Grid[#Data],$DD1188,9),0)</f>
        <v/>
      </c>
      <c r="L1188">
        <f>IFERROR(INDEX(PP_Grid[#Data],$DD1188,10),0)</f>
        <v/>
      </c>
      <c r="M1188">
        <f>IFERROR(INDEX(PP_Grid[#Data],$DD1188,11),0)</f>
        <v/>
      </c>
      <c r="N1188">
        <f>IFERROR(INDEX(PP_Grid[#Data],$DD1188,12),0)</f>
        <v/>
      </c>
      <c r="O1188">
        <f>IFERROR(INDEX(PP_Grid[#Data],$DD1188,13),0)</f>
        <v/>
      </c>
      <c r="P1188">
        <f>IFERROR(INDEX(PP_Grid[#Data],$DD1188,14),0)</f>
        <v/>
      </c>
      <c r="Q1188">
        <f>IFERROR(INDEX(PP_Grid[#Data],$DD1188,15),0)</f>
        <v/>
      </c>
      <c r="R1188">
        <f>IFERROR(INDEX(PP_Grid[#Data],$DD1188,16),0)</f>
        <v/>
      </c>
      <c r="S1188">
        <f>IFERROR(INDEX(PP_Grid[#Data],$DD1188,17),0)</f>
        <v/>
      </c>
      <c r="T1188">
        <f>IFERROR(INDEX(PP_Grid[#Data],$DD1188,18),0)</f>
        <v/>
      </c>
      <c r="U1188">
        <f>IFERROR(INDEX(PP_Grid[#Data],$DD1188,19),0)</f>
        <v/>
      </c>
      <c r="V1188">
        <f>IFERROR(INDEX(PP_Grid[#Data],$DD1188,20),0)</f>
        <v/>
      </c>
      <c r="W1188">
        <f>IFERROR(INDEX(PP_Grid[#Data],$DD1188,21),0)</f>
        <v/>
      </c>
      <c r="X1188">
        <f>IFERROR(INDEX(PP_Grid[#Data],$DD1188,22),0)</f>
        <v/>
      </c>
      <c r="Y1188">
        <f>IFERROR(INDEX(PP_Grid[#Data],$DD1188,23),0)</f>
        <v/>
      </c>
      <c r="Z1188">
        <f>IFERROR(INDEX(PP_Grid[#Data],$DD1188,24),0)</f>
        <v/>
      </c>
      <c r="AA1188">
        <f>IFERROR(INDEX(PP_Grid[#Data],$DD1188,25),0)</f>
        <v/>
      </c>
      <c r="AB1188">
        <f>IFERROR(INDEX(PP_Grid[#Data],$DD1188,26),0)</f>
        <v/>
      </c>
      <c r="AC1188">
        <f>IFERROR(INDEX(PP_Grid[#Data],$DD1188,27),0)</f>
        <v/>
      </c>
      <c r="AD1188">
        <f>IFERROR(INDEX(PP_Grid[#Data],$DD1188,28),0)</f>
        <v/>
      </c>
      <c r="AE1188">
        <f>IFERROR(INDEX(PP_Grid[#Data],$DD1188,29),0)</f>
        <v/>
      </c>
      <c r="AF1188">
        <f>IFERROR(INDEX(PP_Grid[#Data],$DD1188,30),0)</f>
        <v/>
      </c>
      <c r="AG1188">
        <f>IFERROR(INDEX(PP_Grid[#Data],$DD1188,31),0)</f>
        <v/>
      </c>
      <c r="AH1188">
        <f>IFERROR(INDEX(PP_Grid[#Data],$DD1188,32),0)</f>
        <v/>
      </c>
      <c r="AI1188">
        <f>IFERROR(INDEX(PP_Grid[#Data],$DD1188,33),0)</f>
        <v/>
      </c>
      <c r="AJ1188">
        <f>IFERROR(INDEX(PP_Grid[#Data],$DD1188,34),0)</f>
        <v/>
      </c>
      <c r="AK1188">
        <f>IFERROR(INDEX(PP_Grid[#Data],$DD1188,35),0)</f>
        <v/>
      </c>
      <c r="AL1188">
        <f>IFERROR(INDEX(PP_Grid[#Data],$DD1188,36),0)</f>
        <v/>
      </c>
      <c r="AM1188">
        <f>IFERROR(INDEX(PP_Grid[#Data],$DD1188,37),0)</f>
        <v/>
      </c>
      <c r="AN1188">
        <f>IFERROR(INDEX(PP_Grid[#Data],$DD1188,38),0)</f>
        <v/>
      </c>
      <c r="AO1188">
        <f>IFERROR(INDEX(PP_Grid[#Data],$DD1188,39),0)</f>
        <v/>
      </c>
      <c r="AP1188">
        <f>IFERROR(INDEX(PP_Grid[#Data],$DD1188,40),0)</f>
        <v/>
      </c>
      <c r="AQ1188">
        <f>IFERROR(INDEX(PP_Grid[#Data],$DD1188,41),0)</f>
        <v/>
      </c>
      <c r="AR1188">
        <f>IFERROR(INDEX(PP_Grid[#Data],$DD1188,42),0)</f>
        <v/>
      </c>
      <c r="AS1188">
        <f>IFERROR(INDEX(PP_Grid[#Data],$DD1188,43),0)</f>
        <v/>
      </c>
      <c r="AT1188">
        <f>IFERROR(INDEX(PP_Grid[#Data],$DD1188,44),0)</f>
        <v/>
      </c>
      <c r="AU1188">
        <f>IFERROR(INDEX(PP_Grid[#Data],$DD1188,45),0)</f>
        <v/>
      </c>
      <c r="AV1188">
        <f>IFERROR(INDEX(PP_Grid[#Data],$DD1188,46),0)</f>
        <v/>
      </c>
      <c r="AW1188">
        <f>IFERROR(INDEX(PP_Grid[#Data],$DD1188,47),0)</f>
        <v/>
      </c>
      <c r="AX1188">
        <f>IFERROR(INDEX(PP_Grid[#Data],$DD1188,48),0)</f>
        <v/>
      </c>
      <c r="AY1188">
        <f>IFERROR(INDEX(PP_Grid[#Data],$DD1188,49),0)</f>
        <v/>
      </c>
      <c r="AZ1188">
        <f>IFERROR(INDEX(PP_Grid[#Data],$DD1188,50),0)</f>
        <v/>
      </c>
      <c r="BA1188">
        <f>IFERROR(INDEX(PP_Grid[#Data],$DD1188,51),0)</f>
        <v/>
      </c>
      <c r="BB1188">
        <f>IFERROR(INDEX(PP_Grid[#Data],$DD1188,52),0)</f>
        <v/>
      </c>
      <c r="BC1188">
        <f>IFERROR(INDEX(PP_Grid[#Data],$DD1188,53),0)</f>
        <v/>
      </c>
      <c r="BD1188">
        <f>IFERROR(INDEX(PP_Grid[#Data],$DD1188,54),0)</f>
        <v/>
      </c>
      <c r="BE1188">
        <f>IFERROR(INDEX(PP_Grid[#Data],$DD1188,55),0)</f>
        <v/>
      </c>
      <c r="BF1188">
        <f>IFERROR(INDEX(PP_Grid[#Data],$DD1188,56),0)</f>
        <v/>
      </c>
      <c r="BG1188">
        <f>IFERROR(INDEX(PP_Grid[#Data],$DD1188,57),0)</f>
        <v/>
      </c>
      <c r="BH1188">
        <f>IFERROR(INDEX(PP_Grid[#Data],$DD1188,58),0)</f>
        <v/>
      </c>
      <c r="BI1188">
        <f>IFERROR(INDEX(PP_Grid[#Data],$DD1188,59),0)</f>
        <v/>
      </c>
      <c r="BJ1188">
        <f>IFERROR(INDEX(PP_Grid[#Data],$DD1188,60),0)</f>
        <v/>
      </c>
      <c r="BK1188">
        <f>IFERROR(INDEX(PP_Grid[#Data],$DD1188,61),0)</f>
        <v/>
      </c>
      <c r="BL1188">
        <f>IFERROR(INDEX(PP_Grid[#Data],$DD1188,62),0)</f>
        <v/>
      </c>
      <c r="BM1188">
        <f>IFERROR(INDEX(PP_Grid[#Data],$DD1188,63),0)</f>
        <v/>
      </c>
      <c r="BN1188">
        <f>IFERROR(INDEX(PP_Grid[#Data],$DD1188,64),0)</f>
        <v/>
      </c>
      <c r="BO1188">
        <f>IFERROR(INDEX(PP_Grid[#Data],$DD1188,65),0)</f>
        <v/>
      </c>
      <c r="BP1188">
        <f>IFERROR(INDEX(PP_Grid[#Data],$DD1188,66),0)</f>
        <v/>
      </c>
      <c r="BQ1188">
        <f>IFERROR(INDEX(PP_Grid[#Data],$DD1188,67),0)</f>
        <v/>
      </c>
      <c r="BR1188">
        <f>IFERROR(INDEX(PP_Grid[#Data],$DD1188,68),0)</f>
        <v/>
      </c>
      <c r="BS1188">
        <f>IFERROR(INDEX(PP_Grid[#Data],$DD1188,69),0)</f>
        <v/>
      </c>
      <c r="BT1188">
        <f>IFERROR(INDEX(PP_Grid[#Data],$DD1188,70),0)</f>
        <v/>
      </c>
      <c r="BU1188">
        <f>IFERROR(INDEX(PP_Grid[#Data],$DD1188,71),0)</f>
        <v/>
      </c>
      <c r="BV1188">
        <f>IFERROR(INDEX(PP_Grid[#Data],$DD1188,72),0)</f>
        <v/>
      </c>
      <c r="BW1188">
        <f>IFERROR(INDEX(PP_Grid[#Data],$DD1188,73),0)</f>
        <v/>
      </c>
      <c r="BX1188">
        <f>IFERROR(INDEX(PP_Grid[#Data],$DD1188,74),0)</f>
        <v/>
      </c>
      <c r="BY1188">
        <f>IFERROR(INDEX(PP_Grid[#Data],$DD1188,75),0)</f>
        <v/>
      </c>
      <c r="BZ1188">
        <f>IFERROR(INDEX(PP_Grid[#Data],$DD1188,76),0)</f>
        <v/>
      </c>
      <c r="CA1188">
        <f>IFERROR(INDEX(PP_Grid[#Data],$DD1188,77),0)</f>
        <v/>
      </c>
      <c r="CB1188">
        <f>IFERROR(INDEX(PP_Grid[#Data],$DD1188,78),0)</f>
        <v/>
      </c>
      <c r="CC1188">
        <f>IFERROR(INDEX(PP_Grid[#Data],$DD1188,79),0)</f>
        <v/>
      </c>
      <c r="CD1188">
        <f>IFERROR(INDEX(PP_Grid[#Data],$DD1188,80),0)</f>
        <v/>
      </c>
      <c r="CE1188">
        <f>IFERROR(INDEX(PP_Grid[#Data],$DD1188,81),0)</f>
        <v/>
      </c>
      <c r="CF1188">
        <f>IFERROR(INDEX(PP_Grid[#Data],$DD1188,82),0)</f>
        <v/>
      </c>
      <c r="CG1188">
        <f>IFERROR(INDEX(PP_Grid[#Data],$DD1188,83),0)</f>
        <v/>
      </c>
      <c r="CH1188">
        <f>IFERROR(INDEX(PP_Grid[#Data],$DD1188,84),0)</f>
        <v/>
      </c>
      <c r="CI1188">
        <f>IFERROR(INDEX(PP_Grid[#Data],$DD1188,85),0)</f>
        <v/>
      </c>
      <c r="CJ1188">
        <f>IFERROR(INDEX(PP_Grid[#Data],$DD1188,86),0)</f>
        <v/>
      </c>
      <c r="CK1188">
        <f>IFERROR(INDEX(PP_Grid[#Data],$DD1188,87),0)</f>
        <v/>
      </c>
      <c r="CL1188">
        <f>IFERROR(INDEX(PP_Grid[#Data],$DD1188,88),0)</f>
        <v/>
      </c>
      <c r="CM1188">
        <f>IFERROR(INDEX(PP_Grid[#Data],$DD1188,89),0)</f>
        <v/>
      </c>
      <c r="CN1188">
        <f>IFERROR(INDEX(PP_Grid[#Data],$DD1188,90),0)</f>
        <v/>
      </c>
      <c r="CO1188">
        <f>IFERROR(INDEX(PP_Grid[#Data],$DD1188,91),0)</f>
        <v/>
      </c>
      <c r="CP1188">
        <f>IFERROR(INDEX(PP_Grid[#Data],$DD1188,92),0)</f>
        <v/>
      </c>
      <c r="CQ1188">
        <f>IFERROR(INDEX(PP_Grid[#Data],$DD1188,93),0)</f>
        <v/>
      </c>
      <c r="CR1188">
        <f>IFERROR(INDEX(PP_Grid[#Data],$DD1188,94),0)</f>
        <v/>
      </c>
      <c r="CS1188">
        <f>IFERROR(INDEX(PP_Grid[#Data],$DD1188,95),0)</f>
        <v/>
      </c>
      <c r="CT1188">
        <f>IFERROR(INDEX(PP_Grid[#Data],$DD1188,96),0)</f>
        <v/>
      </c>
      <c r="CU1188">
        <f>IFERROR(INDEX(PP_Grid[#Data],$DD1188,97),0)</f>
        <v/>
      </c>
      <c r="CV1188">
        <f>IFERROR(INDEX(PP_Grid[#Data],$DD1188,98),0)</f>
        <v/>
      </c>
      <c r="CW1188">
        <f>IFERROR(INDEX(PP_Grid[#Data],$DD1188,99),0)</f>
        <v/>
      </c>
      <c r="CX1188">
        <f>IFERROR(INDEX(PP_Grid[#Data],$DD1188,100),0)</f>
        <v/>
      </c>
      <c r="CY1188">
        <f>IFERROR(INDEX(PP_Grid[#Data],$DD1188,101),0)</f>
        <v/>
      </c>
      <c r="CZ1188">
        <f>IFERROR(INDEX(PP_Grid[#Data],$DD1188,102),0)</f>
        <v/>
      </c>
      <c r="DA1188">
        <f>IFERROR(INDEX(PP_Grid[#Data],$DD1188,103),0)</f>
        <v/>
      </c>
      <c r="DB1188">
        <f>IFERROR(INDEX(PP_Grid[#Data],$DD1188,104),0)</f>
        <v/>
      </c>
      <c r="DC1188">
        <f>IFERROR(INDEX(PP_Grid[#Data],$DD1188,105),0)</f>
        <v/>
      </c>
      <c r="DD1188" s="12">
        <f>IFERROR(MATCH($B1188,PP_Grid[Intermediate],0),99999)</f>
        <v/>
      </c>
    </row>
    <row r="1189">
      <c r="B1189" t="inlineStr">
        <is>
          <t>使用量(kg)</t>
        </is>
      </c>
      <c r="C1189">
        <f>SUMIFS(M_BOM[RM_Qty_Per_Batch],M_BOM[Intermediate],$B1188,M_BOM[Part Name],$A1185)</f>
        <v/>
      </c>
      <c r="D1189">
        <f>$C1189*D1188</f>
        <v/>
      </c>
      <c r="E1189">
        <f>$C1189*E1188</f>
        <v/>
      </c>
      <c r="F1189">
        <f>$C1189*F1188</f>
        <v/>
      </c>
      <c r="G1189">
        <f>$C1189*G1188</f>
        <v/>
      </c>
      <c r="H1189">
        <f>$C1189*H1188</f>
        <v/>
      </c>
      <c r="I1189">
        <f>$C1189*I1188</f>
        <v/>
      </c>
      <c r="J1189">
        <f>$C1189*J1188</f>
        <v/>
      </c>
      <c r="K1189">
        <f>$C1189*K1188</f>
        <v/>
      </c>
      <c r="L1189">
        <f>$C1189*L1188</f>
        <v/>
      </c>
      <c r="M1189">
        <f>$C1189*M1188</f>
        <v/>
      </c>
      <c r="N1189">
        <f>$C1189*N1188</f>
        <v/>
      </c>
      <c r="O1189">
        <f>$C1189*O1188</f>
        <v/>
      </c>
      <c r="P1189">
        <f>$C1189*P1188</f>
        <v/>
      </c>
      <c r="Q1189">
        <f>$C1189*Q1188</f>
        <v/>
      </c>
      <c r="R1189">
        <f>$C1189*R1188</f>
        <v/>
      </c>
      <c r="S1189">
        <f>$C1189*S1188</f>
        <v/>
      </c>
      <c r="T1189">
        <f>$C1189*T1188</f>
        <v/>
      </c>
      <c r="U1189">
        <f>$C1189*U1188</f>
        <v/>
      </c>
      <c r="V1189">
        <f>$C1189*V1188</f>
        <v/>
      </c>
      <c r="W1189">
        <f>$C1189*W1188</f>
        <v/>
      </c>
      <c r="X1189">
        <f>$C1189*X1188</f>
        <v/>
      </c>
      <c r="Y1189">
        <f>$C1189*Y1188</f>
        <v/>
      </c>
      <c r="Z1189">
        <f>$C1189*Z1188</f>
        <v/>
      </c>
      <c r="AA1189">
        <f>$C1189*AA1188</f>
        <v/>
      </c>
      <c r="AB1189">
        <f>$C1189*AB1188</f>
        <v/>
      </c>
      <c r="AC1189">
        <f>$C1189*AC1188</f>
        <v/>
      </c>
      <c r="AD1189">
        <f>$C1189*AD1188</f>
        <v/>
      </c>
      <c r="AE1189">
        <f>$C1189*AE1188</f>
        <v/>
      </c>
      <c r="AF1189">
        <f>$C1189*AF1188</f>
        <v/>
      </c>
      <c r="AG1189">
        <f>$C1189*AG1188</f>
        <v/>
      </c>
      <c r="AH1189">
        <f>$C1189*AH1188</f>
        <v/>
      </c>
      <c r="AI1189">
        <f>$C1189*AI1188</f>
        <v/>
      </c>
      <c r="AJ1189">
        <f>$C1189*AJ1188</f>
        <v/>
      </c>
      <c r="AK1189">
        <f>$C1189*AK1188</f>
        <v/>
      </c>
      <c r="AL1189">
        <f>$C1189*AL1188</f>
        <v/>
      </c>
      <c r="AM1189">
        <f>$C1189*AM1188</f>
        <v/>
      </c>
      <c r="AN1189">
        <f>$C1189*AN1188</f>
        <v/>
      </c>
      <c r="AO1189">
        <f>$C1189*AO1188</f>
        <v/>
      </c>
      <c r="AP1189">
        <f>$C1189*AP1188</f>
        <v/>
      </c>
      <c r="AQ1189">
        <f>$C1189*AQ1188</f>
        <v/>
      </c>
      <c r="AR1189">
        <f>$C1189*AR1188</f>
        <v/>
      </c>
      <c r="AS1189">
        <f>$C1189*AS1188</f>
        <v/>
      </c>
      <c r="AT1189">
        <f>$C1189*AT1188</f>
        <v/>
      </c>
      <c r="AU1189">
        <f>$C1189*AU1188</f>
        <v/>
      </c>
      <c r="AV1189">
        <f>$C1189*AV1188</f>
        <v/>
      </c>
      <c r="AW1189">
        <f>$C1189*AW1188</f>
        <v/>
      </c>
      <c r="AX1189">
        <f>$C1189*AX1188</f>
        <v/>
      </c>
      <c r="AY1189">
        <f>$C1189*AY1188</f>
        <v/>
      </c>
      <c r="AZ1189">
        <f>$C1189*AZ1188</f>
        <v/>
      </c>
      <c r="BA1189">
        <f>$C1189*BA1188</f>
        <v/>
      </c>
      <c r="BB1189">
        <f>$C1189*BB1188</f>
        <v/>
      </c>
      <c r="BC1189">
        <f>$C1189*BC1188</f>
        <v/>
      </c>
      <c r="BD1189">
        <f>$C1189*BD1188</f>
        <v/>
      </c>
      <c r="BE1189">
        <f>$C1189*BE1188</f>
        <v/>
      </c>
      <c r="BF1189">
        <f>$C1189*BF1188</f>
        <v/>
      </c>
      <c r="BG1189">
        <f>$C1189*BG1188</f>
        <v/>
      </c>
      <c r="BH1189">
        <f>$C1189*BH1188</f>
        <v/>
      </c>
      <c r="BI1189">
        <f>$C1189*BI1188</f>
        <v/>
      </c>
      <c r="BJ1189">
        <f>$C1189*BJ1188</f>
        <v/>
      </c>
      <c r="BK1189">
        <f>$C1189*BK1188</f>
        <v/>
      </c>
      <c r="BL1189">
        <f>$C1189*BL1188</f>
        <v/>
      </c>
      <c r="BM1189">
        <f>$C1189*BM1188</f>
        <v/>
      </c>
      <c r="BN1189">
        <f>$C1189*BN1188</f>
        <v/>
      </c>
      <c r="BO1189">
        <f>$C1189*BO1188</f>
        <v/>
      </c>
      <c r="BP1189">
        <f>$C1189*BP1188</f>
        <v/>
      </c>
      <c r="BQ1189">
        <f>$C1189*BQ1188</f>
        <v/>
      </c>
      <c r="BR1189">
        <f>$C1189*BR1188</f>
        <v/>
      </c>
      <c r="BS1189">
        <f>$C1189*BS1188</f>
        <v/>
      </c>
      <c r="BT1189">
        <f>$C1189*BT1188</f>
        <v/>
      </c>
      <c r="BU1189">
        <f>$C1189*BU1188</f>
        <v/>
      </c>
      <c r="BV1189">
        <f>$C1189*BV1188</f>
        <v/>
      </c>
      <c r="BW1189">
        <f>$C1189*BW1188</f>
        <v/>
      </c>
      <c r="BX1189">
        <f>$C1189*BX1188</f>
        <v/>
      </c>
      <c r="BY1189">
        <f>$C1189*BY1188</f>
        <v/>
      </c>
      <c r="BZ1189">
        <f>$C1189*BZ1188</f>
        <v/>
      </c>
      <c r="CA1189">
        <f>$C1189*CA1188</f>
        <v/>
      </c>
      <c r="CB1189">
        <f>$C1189*CB1188</f>
        <v/>
      </c>
      <c r="CC1189">
        <f>$C1189*CC1188</f>
        <v/>
      </c>
      <c r="CD1189">
        <f>$C1189*CD1188</f>
        <v/>
      </c>
      <c r="CE1189">
        <f>$C1189*CE1188</f>
        <v/>
      </c>
      <c r="CF1189">
        <f>$C1189*CF1188</f>
        <v/>
      </c>
      <c r="CG1189">
        <f>$C1189*CG1188</f>
        <v/>
      </c>
      <c r="CH1189">
        <f>$C1189*CH1188</f>
        <v/>
      </c>
      <c r="CI1189">
        <f>$C1189*CI1188</f>
        <v/>
      </c>
      <c r="CJ1189">
        <f>$C1189*CJ1188</f>
        <v/>
      </c>
      <c r="CK1189">
        <f>$C1189*CK1188</f>
        <v/>
      </c>
      <c r="CL1189">
        <f>$C1189*CL1188</f>
        <v/>
      </c>
      <c r="CM1189">
        <f>$C1189*CM1188</f>
        <v/>
      </c>
      <c r="CN1189">
        <f>$C1189*CN1188</f>
        <v/>
      </c>
      <c r="CO1189">
        <f>$C1189*CO1188</f>
        <v/>
      </c>
      <c r="CP1189">
        <f>$C1189*CP1188</f>
        <v/>
      </c>
      <c r="CQ1189">
        <f>$C1189*CQ1188</f>
        <v/>
      </c>
      <c r="CR1189">
        <f>$C1189*CR1188</f>
        <v/>
      </c>
      <c r="CS1189">
        <f>$C1189*CS1188</f>
        <v/>
      </c>
      <c r="CT1189">
        <f>$C1189*CT1188</f>
        <v/>
      </c>
      <c r="CU1189">
        <f>$C1189*CU1188</f>
        <v/>
      </c>
      <c r="CV1189">
        <f>$C1189*CV1188</f>
        <v/>
      </c>
      <c r="CW1189">
        <f>$C1189*CW1188</f>
        <v/>
      </c>
      <c r="CX1189">
        <f>$C1189*CX1188</f>
        <v/>
      </c>
      <c r="CY1189">
        <f>$C1189*CY1188</f>
        <v/>
      </c>
      <c r="CZ1189">
        <f>$C1189*CZ1188</f>
        <v/>
      </c>
      <c r="DA1189">
        <f>$C1189*DA1188</f>
        <v/>
      </c>
      <c r="DB1189">
        <f>$C1189*DB1188</f>
        <v/>
      </c>
      <c r="DC1189">
        <f>$C1189*DC1188</f>
        <v/>
      </c>
    </row>
    <row r="1190">
      <c r="B1190" t="inlineStr">
        <is>
          <t>TSP-710</t>
        </is>
      </c>
      <c r="C1190" t="inlineStr">
        <is>
          <t>No. of batches</t>
        </is>
      </c>
      <c r="D1190">
        <f>IFERROR(INDEX(PP_Grid[#Data],$DD1190,2),0)</f>
        <v/>
      </c>
      <c r="E1190">
        <f>IFERROR(INDEX(PP_Grid[#Data],$DD1190,3),0)</f>
        <v/>
      </c>
      <c r="F1190">
        <f>IFERROR(INDEX(PP_Grid[#Data],$DD1190,4),0)</f>
        <v/>
      </c>
      <c r="G1190">
        <f>IFERROR(INDEX(PP_Grid[#Data],$DD1190,5),0)</f>
        <v/>
      </c>
      <c r="H1190">
        <f>IFERROR(INDEX(PP_Grid[#Data],$DD1190,6),0)</f>
        <v/>
      </c>
      <c r="I1190">
        <f>IFERROR(INDEX(PP_Grid[#Data],$DD1190,7),0)</f>
        <v/>
      </c>
      <c r="J1190">
        <f>IFERROR(INDEX(PP_Grid[#Data],$DD1190,8),0)</f>
        <v/>
      </c>
      <c r="K1190">
        <f>IFERROR(INDEX(PP_Grid[#Data],$DD1190,9),0)</f>
        <v/>
      </c>
      <c r="L1190">
        <f>IFERROR(INDEX(PP_Grid[#Data],$DD1190,10),0)</f>
        <v/>
      </c>
      <c r="M1190">
        <f>IFERROR(INDEX(PP_Grid[#Data],$DD1190,11),0)</f>
        <v/>
      </c>
      <c r="N1190">
        <f>IFERROR(INDEX(PP_Grid[#Data],$DD1190,12),0)</f>
        <v/>
      </c>
      <c r="O1190">
        <f>IFERROR(INDEX(PP_Grid[#Data],$DD1190,13),0)</f>
        <v/>
      </c>
      <c r="P1190">
        <f>IFERROR(INDEX(PP_Grid[#Data],$DD1190,14),0)</f>
        <v/>
      </c>
      <c r="Q1190">
        <f>IFERROR(INDEX(PP_Grid[#Data],$DD1190,15),0)</f>
        <v/>
      </c>
      <c r="R1190">
        <f>IFERROR(INDEX(PP_Grid[#Data],$DD1190,16),0)</f>
        <v/>
      </c>
      <c r="S1190">
        <f>IFERROR(INDEX(PP_Grid[#Data],$DD1190,17),0)</f>
        <v/>
      </c>
      <c r="T1190">
        <f>IFERROR(INDEX(PP_Grid[#Data],$DD1190,18),0)</f>
        <v/>
      </c>
      <c r="U1190">
        <f>IFERROR(INDEX(PP_Grid[#Data],$DD1190,19),0)</f>
        <v/>
      </c>
      <c r="V1190">
        <f>IFERROR(INDEX(PP_Grid[#Data],$DD1190,20),0)</f>
        <v/>
      </c>
      <c r="W1190">
        <f>IFERROR(INDEX(PP_Grid[#Data],$DD1190,21),0)</f>
        <v/>
      </c>
      <c r="X1190">
        <f>IFERROR(INDEX(PP_Grid[#Data],$DD1190,22),0)</f>
        <v/>
      </c>
      <c r="Y1190">
        <f>IFERROR(INDEX(PP_Grid[#Data],$DD1190,23),0)</f>
        <v/>
      </c>
      <c r="Z1190">
        <f>IFERROR(INDEX(PP_Grid[#Data],$DD1190,24),0)</f>
        <v/>
      </c>
      <c r="AA1190">
        <f>IFERROR(INDEX(PP_Grid[#Data],$DD1190,25),0)</f>
        <v/>
      </c>
      <c r="AB1190">
        <f>IFERROR(INDEX(PP_Grid[#Data],$DD1190,26),0)</f>
        <v/>
      </c>
      <c r="AC1190">
        <f>IFERROR(INDEX(PP_Grid[#Data],$DD1190,27),0)</f>
        <v/>
      </c>
      <c r="AD1190">
        <f>IFERROR(INDEX(PP_Grid[#Data],$DD1190,28),0)</f>
        <v/>
      </c>
      <c r="AE1190">
        <f>IFERROR(INDEX(PP_Grid[#Data],$DD1190,29),0)</f>
        <v/>
      </c>
      <c r="AF1190">
        <f>IFERROR(INDEX(PP_Grid[#Data],$DD1190,30),0)</f>
        <v/>
      </c>
      <c r="AG1190">
        <f>IFERROR(INDEX(PP_Grid[#Data],$DD1190,31),0)</f>
        <v/>
      </c>
      <c r="AH1190">
        <f>IFERROR(INDEX(PP_Grid[#Data],$DD1190,32),0)</f>
        <v/>
      </c>
      <c r="AI1190">
        <f>IFERROR(INDEX(PP_Grid[#Data],$DD1190,33),0)</f>
        <v/>
      </c>
      <c r="AJ1190">
        <f>IFERROR(INDEX(PP_Grid[#Data],$DD1190,34),0)</f>
        <v/>
      </c>
      <c r="AK1190">
        <f>IFERROR(INDEX(PP_Grid[#Data],$DD1190,35),0)</f>
        <v/>
      </c>
      <c r="AL1190">
        <f>IFERROR(INDEX(PP_Grid[#Data],$DD1190,36),0)</f>
        <v/>
      </c>
      <c r="AM1190">
        <f>IFERROR(INDEX(PP_Grid[#Data],$DD1190,37),0)</f>
        <v/>
      </c>
      <c r="AN1190">
        <f>IFERROR(INDEX(PP_Grid[#Data],$DD1190,38),0)</f>
        <v/>
      </c>
      <c r="AO1190">
        <f>IFERROR(INDEX(PP_Grid[#Data],$DD1190,39),0)</f>
        <v/>
      </c>
      <c r="AP1190">
        <f>IFERROR(INDEX(PP_Grid[#Data],$DD1190,40),0)</f>
        <v/>
      </c>
      <c r="AQ1190">
        <f>IFERROR(INDEX(PP_Grid[#Data],$DD1190,41),0)</f>
        <v/>
      </c>
      <c r="AR1190">
        <f>IFERROR(INDEX(PP_Grid[#Data],$DD1190,42),0)</f>
        <v/>
      </c>
      <c r="AS1190">
        <f>IFERROR(INDEX(PP_Grid[#Data],$DD1190,43),0)</f>
        <v/>
      </c>
      <c r="AT1190">
        <f>IFERROR(INDEX(PP_Grid[#Data],$DD1190,44),0)</f>
        <v/>
      </c>
      <c r="AU1190">
        <f>IFERROR(INDEX(PP_Grid[#Data],$DD1190,45),0)</f>
        <v/>
      </c>
      <c r="AV1190">
        <f>IFERROR(INDEX(PP_Grid[#Data],$DD1190,46),0)</f>
        <v/>
      </c>
      <c r="AW1190">
        <f>IFERROR(INDEX(PP_Grid[#Data],$DD1190,47),0)</f>
        <v/>
      </c>
      <c r="AX1190">
        <f>IFERROR(INDEX(PP_Grid[#Data],$DD1190,48),0)</f>
        <v/>
      </c>
      <c r="AY1190">
        <f>IFERROR(INDEX(PP_Grid[#Data],$DD1190,49),0)</f>
        <v/>
      </c>
      <c r="AZ1190">
        <f>IFERROR(INDEX(PP_Grid[#Data],$DD1190,50),0)</f>
        <v/>
      </c>
      <c r="BA1190">
        <f>IFERROR(INDEX(PP_Grid[#Data],$DD1190,51),0)</f>
        <v/>
      </c>
      <c r="BB1190">
        <f>IFERROR(INDEX(PP_Grid[#Data],$DD1190,52),0)</f>
        <v/>
      </c>
      <c r="BC1190">
        <f>IFERROR(INDEX(PP_Grid[#Data],$DD1190,53),0)</f>
        <v/>
      </c>
      <c r="BD1190">
        <f>IFERROR(INDEX(PP_Grid[#Data],$DD1190,54),0)</f>
        <v/>
      </c>
      <c r="BE1190">
        <f>IFERROR(INDEX(PP_Grid[#Data],$DD1190,55),0)</f>
        <v/>
      </c>
      <c r="BF1190">
        <f>IFERROR(INDEX(PP_Grid[#Data],$DD1190,56),0)</f>
        <v/>
      </c>
      <c r="BG1190">
        <f>IFERROR(INDEX(PP_Grid[#Data],$DD1190,57),0)</f>
        <v/>
      </c>
      <c r="BH1190">
        <f>IFERROR(INDEX(PP_Grid[#Data],$DD1190,58),0)</f>
        <v/>
      </c>
      <c r="BI1190">
        <f>IFERROR(INDEX(PP_Grid[#Data],$DD1190,59),0)</f>
        <v/>
      </c>
      <c r="BJ1190">
        <f>IFERROR(INDEX(PP_Grid[#Data],$DD1190,60),0)</f>
        <v/>
      </c>
      <c r="BK1190">
        <f>IFERROR(INDEX(PP_Grid[#Data],$DD1190,61),0)</f>
        <v/>
      </c>
      <c r="BL1190">
        <f>IFERROR(INDEX(PP_Grid[#Data],$DD1190,62),0)</f>
        <v/>
      </c>
      <c r="BM1190">
        <f>IFERROR(INDEX(PP_Grid[#Data],$DD1190,63),0)</f>
        <v/>
      </c>
      <c r="BN1190">
        <f>IFERROR(INDEX(PP_Grid[#Data],$DD1190,64),0)</f>
        <v/>
      </c>
      <c r="BO1190">
        <f>IFERROR(INDEX(PP_Grid[#Data],$DD1190,65),0)</f>
        <v/>
      </c>
      <c r="BP1190">
        <f>IFERROR(INDEX(PP_Grid[#Data],$DD1190,66),0)</f>
        <v/>
      </c>
      <c r="BQ1190">
        <f>IFERROR(INDEX(PP_Grid[#Data],$DD1190,67),0)</f>
        <v/>
      </c>
      <c r="BR1190">
        <f>IFERROR(INDEX(PP_Grid[#Data],$DD1190,68),0)</f>
        <v/>
      </c>
      <c r="BS1190">
        <f>IFERROR(INDEX(PP_Grid[#Data],$DD1190,69),0)</f>
        <v/>
      </c>
      <c r="BT1190">
        <f>IFERROR(INDEX(PP_Grid[#Data],$DD1190,70),0)</f>
        <v/>
      </c>
      <c r="BU1190">
        <f>IFERROR(INDEX(PP_Grid[#Data],$DD1190,71),0)</f>
        <v/>
      </c>
      <c r="BV1190">
        <f>IFERROR(INDEX(PP_Grid[#Data],$DD1190,72),0)</f>
        <v/>
      </c>
      <c r="BW1190">
        <f>IFERROR(INDEX(PP_Grid[#Data],$DD1190,73),0)</f>
        <v/>
      </c>
      <c r="BX1190">
        <f>IFERROR(INDEX(PP_Grid[#Data],$DD1190,74),0)</f>
        <v/>
      </c>
      <c r="BY1190">
        <f>IFERROR(INDEX(PP_Grid[#Data],$DD1190,75),0)</f>
        <v/>
      </c>
      <c r="BZ1190">
        <f>IFERROR(INDEX(PP_Grid[#Data],$DD1190,76),0)</f>
        <v/>
      </c>
      <c r="CA1190">
        <f>IFERROR(INDEX(PP_Grid[#Data],$DD1190,77),0)</f>
        <v/>
      </c>
      <c r="CB1190">
        <f>IFERROR(INDEX(PP_Grid[#Data],$DD1190,78),0)</f>
        <v/>
      </c>
      <c r="CC1190">
        <f>IFERROR(INDEX(PP_Grid[#Data],$DD1190,79),0)</f>
        <v/>
      </c>
      <c r="CD1190">
        <f>IFERROR(INDEX(PP_Grid[#Data],$DD1190,80),0)</f>
        <v/>
      </c>
      <c r="CE1190">
        <f>IFERROR(INDEX(PP_Grid[#Data],$DD1190,81),0)</f>
        <v/>
      </c>
      <c r="CF1190">
        <f>IFERROR(INDEX(PP_Grid[#Data],$DD1190,82),0)</f>
        <v/>
      </c>
      <c r="CG1190">
        <f>IFERROR(INDEX(PP_Grid[#Data],$DD1190,83),0)</f>
        <v/>
      </c>
      <c r="CH1190">
        <f>IFERROR(INDEX(PP_Grid[#Data],$DD1190,84),0)</f>
        <v/>
      </c>
      <c r="CI1190">
        <f>IFERROR(INDEX(PP_Grid[#Data],$DD1190,85),0)</f>
        <v/>
      </c>
      <c r="CJ1190">
        <f>IFERROR(INDEX(PP_Grid[#Data],$DD1190,86),0)</f>
        <v/>
      </c>
      <c r="CK1190">
        <f>IFERROR(INDEX(PP_Grid[#Data],$DD1190,87),0)</f>
        <v/>
      </c>
      <c r="CL1190">
        <f>IFERROR(INDEX(PP_Grid[#Data],$DD1190,88),0)</f>
        <v/>
      </c>
      <c r="CM1190">
        <f>IFERROR(INDEX(PP_Grid[#Data],$DD1190,89),0)</f>
        <v/>
      </c>
      <c r="CN1190">
        <f>IFERROR(INDEX(PP_Grid[#Data],$DD1190,90),0)</f>
        <v/>
      </c>
      <c r="CO1190">
        <f>IFERROR(INDEX(PP_Grid[#Data],$DD1190,91),0)</f>
        <v/>
      </c>
      <c r="CP1190">
        <f>IFERROR(INDEX(PP_Grid[#Data],$DD1190,92),0)</f>
        <v/>
      </c>
      <c r="CQ1190">
        <f>IFERROR(INDEX(PP_Grid[#Data],$DD1190,93),0)</f>
        <v/>
      </c>
      <c r="CR1190">
        <f>IFERROR(INDEX(PP_Grid[#Data],$DD1190,94),0)</f>
        <v/>
      </c>
      <c r="CS1190">
        <f>IFERROR(INDEX(PP_Grid[#Data],$DD1190,95),0)</f>
        <v/>
      </c>
      <c r="CT1190">
        <f>IFERROR(INDEX(PP_Grid[#Data],$DD1190,96),0)</f>
        <v/>
      </c>
      <c r="CU1190">
        <f>IFERROR(INDEX(PP_Grid[#Data],$DD1190,97),0)</f>
        <v/>
      </c>
      <c r="CV1190">
        <f>IFERROR(INDEX(PP_Grid[#Data],$DD1190,98),0)</f>
        <v/>
      </c>
      <c r="CW1190">
        <f>IFERROR(INDEX(PP_Grid[#Data],$DD1190,99),0)</f>
        <v/>
      </c>
      <c r="CX1190">
        <f>IFERROR(INDEX(PP_Grid[#Data],$DD1190,100),0)</f>
        <v/>
      </c>
      <c r="CY1190">
        <f>IFERROR(INDEX(PP_Grid[#Data],$DD1190,101),0)</f>
        <v/>
      </c>
      <c r="CZ1190">
        <f>IFERROR(INDEX(PP_Grid[#Data],$DD1190,102),0)</f>
        <v/>
      </c>
      <c r="DA1190">
        <f>IFERROR(INDEX(PP_Grid[#Data],$DD1190,103),0)</f>
        <v/>
      </c>
      <c r="DB1190">
        <f>IFERROR(INDEX(PP_Grid[#Data],$DD1190,104),0)</f>
        <v/>
      </c>
      <c r="DC1190">
        <f>IFERROR(INDEX(PP_Grid[#Data],$DD1190,105),0)</f>
        <v/>
      </c>
      <c r="DD1190" s="12">
        <f>IFERROR(MATCH($B1190,PP_Grid[Intermediate],0),99999)</f>
        <v/>
      </c>
    </row>
    <row r="1191">
      <c r="B1191" t="inlineStr">
        <is>
          <t>使用量(kg)</t>
        </is>
      </c>
      <c r="C1191">
        <f>SUMIFS(M_BOM[RM_Qty_Per_Batch],M_BOM[Intermediate],$B1190,M_BOM[Part Name],$A1185)</f>
        <v/>
      </c>
      <c r="D1191">
        <f>$C1191*D1190</f>
        <v/>
      </c>
      <c r="E1191">
        <f>$C1191*E1190</f>
        <v/>
      </c>
      <c r="F1191">
        <f>$C1191*F1190</f>
        <v/>
      </c>
      <c r="G1191">
        <f>$C1191*G1190</f>
        <v/>
      </c>
      <c r="H1191">
        <f>$C1191*H1190</f>
        <v/>
      </c>
      <c r="I1191">
        <f>$C1191*I1190</f>
        <v/>
      </c>
      <c r="J1191">
        <f>$C1191*J1190</f>
        <v/>
      </c>
      <c r="K1191">
        <f>$C1191*K1190</f>
        <v/>
      </c>
      <c r="L1191">
        <f>$C1191*L1190</f>
        <v/>
      </c>
      <c r="M1191">
        <f>$C1191*M1190</f>
        <v/>
      </c>
      <c r="N1191">
        <f>$C1191*N1190</f>
        <v/>
      </c>
      <c r="O1191">
        <f>$C1191*O1190</f>
        <v/>
      </c>
      <c r="P1191">
        <f>$C1191*P1190</f>
        <v/>
      </c>
      <c r="Q1191">
        <f>$C1191*Q1190</f>
        <v/>
      </c>
      <c r="R1191">
        <f>$C1191*R1190</f>
        <v/>
      </c>
      <c r="S1191">
        <f>$C1191*S1190</f>
        <v/>
      </c>
      <c r="T1191">
        <f>$C1191*T1190</f>
        <v/>
      </c>
      <c r="U1191">
        <f>$C1191*U1190</f>
        <v/>
      </c>
      <c r="V1191">
        <f>$C1191*V1190</f>
        <v/>
      </c>
      <c r="W1191">
        <f>$C1191*W1190</f>
        <v/>
      </c>
      <c r="X1191">
        <f>$C1191*X1190</f>
        <v/>
      </c>
      <c r="Y1191">
        <f>$C1191*Y1190</f>
        <v/>
      </c>
      <c r="Z1191">
        <f>$C1191*Z1190</f>
        <v/>
      </c>
      <c r="AA1191">
        <f>$C1191*AA1190</f>
        <v/>
      </c>
      <c r="AB1191">
        <f>$C1191*AB1190</f>
        <v/>
      </c>
      <c r="AC1191">
        <f>$C1191*AC1190</f>
        <v/>
      </c>
      <c r="AD1191">
        <f>$C1191*AD1190</f>
        <v/>
      </c>
      <c r="AE1191">
        <f>$C1191*AE1190</f>
        <v/>
      </c>
      <c r="AF1191">
        <f>$C1191*AF1190</f>
        <v/>
      </c>
      <c r="AG1191">
        <f>$C1191*AG1190</f>
        <v/>
      </c>
      <c r="AH1191">
        <f>$C1191*AH1190</f>
        <v/>
      </c>
      <c r="AI1191">
        <f>$C1191*AI1190</f>
        <v/>
      </c>
      <c r="AJ1191">
        <f>$C1191*AJ1190</f>
        <v/>
      </c>
      <c r="AK1191">
        <f>$C1191*AK1190</f>
        <v/>
      </c>
      <c r="AL1191">
        <f>$C1191*AL1190</f>
        <v/>
      </c>
      <c r="AM1191">
        <f>$C1191*AM1190</f>
        <v/>
      </c>
      <c r="AN1191">
        <f>$C1191*AN1190</f>
        <v/>
      </c>
      <c r="AO1191">
        <f>$C1191*AO1190</f>
        <v/>
      </c>
      <c r="AP1191">
        <f>$C1191*AP1190</f>
        <v/>
      </c>
      <c r="AQ1191">
        <f>$C1191*AQ1190</f>
        <v/>
      </c>
      <c r="AR1191">
        <f>$C1191*AR1190</f>
        <v/>
      </c>
      <c r="AS1191">
        <f>$C1191*AS1190</f>
        <v/>
      </c>
      <c r="AT1191">
        <f>$C1191*AT1190</f>
        <v/>
      </c>
      <c r="AU1191">
        <f>$C1191*AU1190</f>
        <v/>
      </c>
      <c r="AV1191">
        <f>$C1191*AV1190</f>
        <v/>
      </c>
      <c r="AW1191">
        <f>$C1191*AW1190</f>
        <v/>
      </c>
      <c r="AX1191">
        <f>$C1191*AX1190</f>
        <v/>
      </c>
      <c r="AY1191">
        <f>$C1191*AY1190</f>
        <v/>
      </c>
      <c r="AZ1191">
        <f>$C1191*AZ1190</f>
        <v/>
      </c>
      <c r="BA1191">
        <f>$C1191*BA1190</f>
        <v/>
      </c>
      <c r="BB1191">
        <f>$C1191*BB1190</f>
        <v/>
      </c>
      <c r="BC1191">
        <f>$C1191*BC1190</f>
        <v/>
      </c>
      <c r="BD1191">
        <f>$C1191*BD1190</f>
        <v/>
      </c>
      <c r="BE1191">
        <f>$C1191*BE1190</f>
        <v/>
      </c>
      <c r="BF1191">
        <f>$C1191*BF1190</f>
        <v/>
      </c>
      <c r="BG1191">
        <f>$C1191*BG1190</f>
        <v/>
      </c>
      <c r="BH1191">
        <f>$C1191*BH1190</f>
        <v/>
      </c>
      <c r="BI1191">
        <f>$C1191*BI1190</f>
        <v/>
      </c>
      <c r="BJ1191">
        <f>$C1191*BJ1190</f>
        <v/>
      </c>
      <c r="BK1191">
        <f>$C1191*BK1190</f>
        <v/>
      </c>
      <c r="BL1191">
        <f>$C1191*BL1190</f>
        <v/>
      </c>
      <c r="BM1191">
        <f>$C1191*BM1190</f>
        <v/>
      </c>
      <c r="BN1191">
        <f>$C1191*BN1190</f>
        <v/>
      </c>
      <c r="BO1191">
        <f>$C1191*BO1190</f>
        <v/>
      </c>
      <c r="BP1191">
        <f>$C1191*BP1190</f>
        <v/>
      </c>
      <c r="BQ1191">
        <f>$C1191*BQ1190</f>
        <v/>
      </c>
      <c r="BR1191">
        <f>$C1191*BR1190</f>
        <v/>
      </c>
      <c r="BS1191">
        <f>$C1191*BS1190</f>
        <v/>
      </c>
      <c r="BT1191">
        <f>$C1191*BT1190</f>
        <v/>
      </c>
      <c r="BU1191">
        <f>$C1191*BU1190</f>
        <v/>
      </c>
      <c r="BV1191">
        <f>$C1191*BV1190</f>
        <v/>
      </c>
      <c r="BW1191">
        <f>$C1191*BW1190</f>
        <v/>
      </c>
      <c r="BX1191">
        <f>$C1191*BX1190</f>
        <v/>
      </c>
      <c r="BY1191">
        <f>$C1191*BY1190</f>
        <v/>
      </c>
      <c r="BZ1191">
        <f>$C1191*BZ1190</f>
        <v/>
      </c>
      <c r="CA1191">
        <f>$C1191*CA1190</f>
        <v/>
      </c>
      <c r="CB1191">
        <f>$C1191*CB1190</f>
        <v/>
      </c>
      <c r="CC1191">
        <f>$C1191*CC1190</f>
        <v/>
      </c>
      <c r="CD1191">
        <f>$C1191*CD1190</f>
        <v/>
      </c>
      <c r="CE1191">
        <f>$C1191*CE1190</f>
        <v/>
      </c>
      <c r="CF1191">
        <f>$C1191*CF1190</f>
        <v/>
      </c>
      <c r="CG1191">
        <f>$C1191*CG1190</f>
        <v/>
      </c>
      <c r="CH1191">
        <f>$C1191*CH1190</f>
        <v/>
      </c>
      <c r="CI1191">
        <f>$C1191*CI1190</f>
        <v/>
      </c>
      <c r="CJ1191">
        <f>$C1191*CJ1190</f>
        <v/>
      </c>
      <c r="CK1191">
        <f>$C1191*CK1190</f>
        <v/>
      </c>
      <c r="CL1191">
        <f>$C1191*CL1190</f>
        <v/>
      </c>
      <c r="CM1191">
        <f>$C1191*CM1190</f>
        <v/>
      </c>
      <c r="CN1191">
        <f>$C1191*CN1190</f>
        <v/>
      </c>
      <c r="CO1191">
        <f>$C1191*CO1190</f>
        <v/>
      </c>
      <c r="CP1191">
        <f>$C1191*CP1190</f>
        <v/>
      </c>
      <c r="CQ1191">
        <f>$C1191*CQ1190</f>
        <v/>
      </c>
      <c r="CR1191">
        <f>$C1191*CR1190</f>
        <v/>
      </c>
      <c r="CS1191">
        <f>$C1191*CS1190</f>
        <v/>
      </c>
      <c r="CT1191">
        <f>$C1191*CT1190</f>
        <v/>
      </c>
      <c r="CU1191">
        <f>$C1191*CU1190</f>
        <v/>
      </c>
      <c r="CV1191">
        <f>$C1191*CV1190</f>
        <v/>
      </c>
      <c r="CW1191">
        <f>$C1191*CW1190</f>
        <v/>
      </c>
      <c r="CX1191">
        <f>$C1191*CX1190</f>
        <v/>
      </c>
      <c r="CY1191">
        <f>$C1191*CY1190</f>
        <v/>
      </c>
      <c r="CZ1191">
        <f>$C1191*CZ1190</f>
        <v/>
      </c>
      <c r="DA1191">
        <f>$C1191*DA1190</f>
        <v/>
      </c>
      <c r="DB1191">
        <f>$C1191*DB1190</f>
        <v/>
      </c>
      <c r="DC1191">
        <f>$C1191*DC1190</f>
        <v/>
      </c>
    </row>
    <row r="1192">
      <c r="B1192" s="5" t="inlineStr">
        <is>
          <t>合計使用量(kg)/週</t>
        </is>
      </c>
      <c r="D1192">
        <f>'Grid_Requirement'!B55</f>
        <v/>
      </c>
      <c r="E1192">
        <f>'Grid_Requirement'!C55</f>
        <v/>
      </c>
      <c r="F1192">
        <f>'Grid_Requirement'!D55</f>
        <v/>
      </c>
      <c r="G1192">
        <f>'Grid_Requirement'!E55</f>
        <v/>
      </c>
      <c r="H1192">
        <f>'Grid_Requirement'!F55</f>
        <v/>
      </c>
      <c r="I1192">
        <f>'Grid_Requirement'!G55</f>
        <v/>
      </c>
      <c r="J1192">
        <f>'Grid_Requirement'!H55</f>
        <v/>
      </c>
      <c r="K1192">
        <f>'Grid_Requirement'!I55</f>
        <v/>
      </c>
      <c r="L1192">
        <f>'Grid_Requirement'!J55</f>
        <v/>
      </c>
      <c r="M1192">
        <f>'Grid_Requirement'!K55</f>
        <v/>
      </c>
      <c r="N1192">
        <f>'Grid_Requirement'!L55</f>
        <v/>
      </c>
      <c r="O1192">
        <f>'Grid_Requirement'!M55</f>
        <v/>
      </c>
      <c r="P1192">
        <f>'Grid_Requirement'!N55</f>
        <v/>
      </c>
      <c r="Q1192">
        <f>'Grid_Requirement'!O55</f>
        <v/>
      </c>
      <c r="R1192">
        <f>'Grid_Requirement'!P55</f>
        <v/>
      </c>
      <c r="S1192">
        <f>'Grid_Requirement'!Q55</f>
        <v/>
      </c>
      <c r="T1192">
        <f>'Grid_Requirement'!R55</f>
        <v/>
      </c>
      <c r="U1192">
        <f>'Grid_Requirement'!S55</f>
        <v/>
      </c>
      <c r="V1192">
        <f>'Grid_Requirement'!T55</f>
        <v/>
      </c>
      <c r="W1192">
        <f>'Grid_Requirement'!U55</f>
        <v/>
      </c>
      <c r="X1192">
        <f>'Grid_Requirement'!V55</f>
        <v/>
      </c>
      <c r="Y1192">
        <f>'Grid_Requirement'!W55</f>
        <v/>
      </c>
      <c r="Z1192">
        <f>'Grid_Requirement'!X55</f>
        <v/>
      </c>
      <c r="AA1192">
        <f>'Grid_Requirement'!Y55</f>
        <v/>
      </c>
      <c r="AB1192">
        <f>'Grid_Requirement'!Z55</f>
        <v/>
      </c>
      <c r="AC1192">
        <f>'Grid_Requirement'!AA55</f>
        <v/>
      </c>
      <c r="AD1192">
        <f>'Grid_Requirement'!AB55</f>
        <v/>
      </c>
      <c r="AE1192">
        <f>'Grid_Requirement'!AC55</f>
        <v/>
      </c>
      <c r="AF1192">
        <f>'Grid_Requirement'!AD55</f>
        <v/>
      </c>
      <c r="AG1192">
        <f>'Grid_Requirement'!AE55</f>
        <v/>
      </c>
      <c r="AH1192">
        <f>'Grid_Requirement'!AF55</f>
        <v/>
      </c>
      <c r="AI1192">
        <f>'Grid_Requirement'!AG55</f>
        <v/>
      </c>
      <c r="AJ1192">
        <f>'Grid_Requirement'!AH55</f>
        <v/>
      </c>
      <c r="AK1192">
        <f>'Grid_Requirement'!AI55</f>
        <v/>
      </c>
      <c r="AL1192">
        <f>'Grid_Requirement'!AJ55</f>
        <v/>
      </c>
      <c r="AM1192">
        <f>'Grid_Requirement'!AK55</f>
        <v/>
      </c>
      <c r="AN1192">
        <f>'Grid_Requirement'!AL55</f>
        <v/>
      </c>
      <c r="AO1192">
        <f>'Grid_Requirement'!AM55</f>
        <v/>
      </c>
      <c r="AP1192">
        <f>'Grid_Requirement'!AN55</f>
        <v/>
      </c>
      <c r="AQ1192">
        <f>'Grid_Requirement'!AO55</f>
        <v/>
      </c>
      <c r="AR1192">
        <f>'Grid_Requirement'!AP55</f>
        <v/>
      </c>
      <c r="AS1192">
        <f>'Grid_Requirement'!AQ55</f>
        <v/>
      </c>
      <c r="AT1192">
        <f>'Grid_Requirement'!AR55</f>
        <v/>
      </c>
      <c r="AU1192">
        <f>'Grid_Requirement'!AS55</f>
        <v/>
      </c>
      <c r="AV1192">
        <f>'Grid_Requirement'!AT55</f>
        <v/>
      </c>
      <c r="AW1192">
        <f>'Grid_Requirement'!AU55</f>
        <v/>
      </c>
      <c r="AX1192">
        <f>'Grid_Requirement'!AV55</f>
        <v/>
      </c>
      <c r="AY1192">
        <f>'Grid_Requirement'!AW55</f>
        <v/>
      </c>
      <c r="AZ1192">
        <f>'Grid_Requirement'!AX55</f>
        <v/>
      </c>
      <c r="BA1192">
        <f>'Grid_Requirement'!AY55</f>
        <v/>
      </c>
      <c r="BB1192">
        <f>'Grid_Requirement'!AZ55</f>
        <v/>
      </c>
      <c r="BC1192">
        <f>'Grid_Requirement'!BA55</f>
        <v/>
      </c>
      <c r="BD1192">
        <f>'Grid_Requirement'!BB55</f>
        <v/>
      </c>
      <c r="BE1192">
        <f>'Grid_Requirement'!BC55</f>
        <v/>
      </c>
      <c r="BF1192">
        <f>'Grid_Requirement'!BD55</f>
        <v/>
      </c>
      <c r="BG1192">
        <f>'Grid_Requirement'!BE55</f>
        <v/>
      </c>
      <c r="BH1192">
        <f>'Grid_Requirement'!BF55</f>
        <v/>
      </c>
      <c r="BI1192">
        <f>'Grid_Requirement'!BG55</f>
        <v/>
      </c>
      <c r="BJ1192">
        <f>'Grid_Requirement'!BH55</f>
        <v/>
      </c>
      <c r="BK1192">
        <f>'Grid_Requirement'!BI55</f>
        <v/>
      </c>
      <c r="BL1192">
        <f>'Grid_Requirement'!BJ55</f>
        <v/>
      </c>
      <c r="BM1192">
        <f>'Grid_Requirement'!BK55</f>
        <v/>
      </c>
      <c r="BN1192">
        <f>'Grid_Requirement'!BL55</f>
        <v/>
      </c>
      <c r="BO1192">
        <f>'Grid_Requirement'!BM55</f>
        <v/>
      </c>
      <c r="BP1192">
        <f>'Grid_Requirement'!BN55</f>
        <v/>
      </c>
      <c r="BQ1192">
        <f>'Grid_Requirement'!BO55</f>
        <v/>
      </c>
      <c r="BR1192">
        <f>'Grid_Requirement'!BP55</f>
        <v/>
      </c>
      <c r="BS1192">
        <f>'Grid_Requirement'!BQ55</f>
        <v/>
      </c>
      <c r="BT1192">
        <f>'Grid_Requirement'!BR55</f>
        <v/>
      </c>
      <c r="BU1192">
        <f>'Grid_Requirement'!BS55</f>
        <v/>
      </c>
      <c r="BV1192">
        <f>'Grid_Requirement'!BT55</f>
        <v/>
      </c>
      <c r="BW1192">
        <f>'Grid_Requirement'!BU55</f>
        <v/>
      </c>
      <c r="BX1192">
        <f>'Grid_Requirement'!BV55</f>
        <v/>
      </c>
      <c r="BY1192">
        <f>'Grid_Requirement'!BW55</f>
        <v/>
      </c>
      <c r="BZ1192">
        <f>'Grid_Requirement'!BX55</f>
        <v/>
      </c>
      <c r="CA1192">
        <f>'Grid_Requirement'!BY55</f>
        <v/>
      </c>
      <c r="CB1192">
        <f>'Grid_Requirement'!BZ55</f>
        <v/>
      </c>
      <c r="CC1192">
        <f>'Grid_Requirement'!CA55</f>
        <v/>
      </c>
      <c r="CD1192">
        <f>'Grid_Requirement'!CB55</f>
        <v/>
      </c>
      <c r="CE1192">
        <f>'Grid_Requirement'!CC55</f>
        <v/>
      </c>
      <c r="CF1192">
        <f>'Grid_Requirement'!CD55</f>
        <v/>
      </c>
      <c r="CG1192">
        <f>'Grid_Requirement'!CE55</f>
        <v/>
      </c>
      <c r="CH1192">
        <f>'Grid_Requirement'!CF55</f>
        <v/>
      </c>
      <c r="CI1192">
        <f>'Grid_Requirement'!CG55</f>
        <v/>
      </c>
      <c r="CJ1192">
        <f>'Grid_Requirement'!CH55</f>
        <v/>
      </c>
      <c r="CK1192">
        <f>'Grid_Requirement'!CI55</f>
        <v/>
      </c>
      <c r="CL1192">
        <f>'Grid_Requirement'!CJ55</f>
        <v/>
      </c>
      <c r="CM1192">
        <f>'Grid_Requirement'!CK55</f>
        <v/>
      </c>
      <c r="CN1192">
        <f>'Grid_Requirement'!CL55</f>
        <v/>
      </c>
      <c r="CO1192">
        <f>'Grid_Requirement'!CM55</f>
        <v/>
      </c>
      <c r="CP1192">
        <f>'Grid_Requirement'!CN55</f>
        <v/>
      </c>
      <c r="CQ1192">
        <f>'Grid_Requirement'!CO55</f>
        <v/>
      </c>
      <c r="CR1192">
        <f>'Grid_Requirement'!CP55</f>
        <v/>
      </c>
      <c r="CS1192">
        <f>'Grid_Requirement'!CQ55</f>
        <v/>
      </c>
      <c r="CT1192">
        <f>'Grid_Requirement'!CR55</f>
        <v/>
      </c>
      <c r="CU1192">
        <f>'Grid_Requirement'!CS55</f>
        <v/>
      </c>
      <c r="CV1192">
        <f>'Grid_Requirement'!CT55</f>
        <v/>
      </c>
      <c r="CW1192">
        <f>'Grid_Requirement'!CU55</f>
        <v/>
      </c>
      <c r="CX1192">
        <f>'Grid_Requirement'!CV55</f>
        <v/>
      </c>
      <c r="CY1192">
        <f>'Grid_Requirement'!CW55</f>
        <v/>
      </c>
      <c r="CZ1192">
        <f>'Grid_Requirement'!CX55</f>
        <v/>
      </c>
      <c r="DA1192">
        <f>'Grid_Requirement'!CY55</f>
        <v/>
      </c>
      <c r="DB1192">
        <f>'Grid_Requirement'!CZ55</f>
        <v/>
      </c>
      <c r="DC1192">
        <f>'Grid_Requirement'!DA55</f>
        <v/>
      </c>
    </row>
    <row r="1193">
      <c r="B1193" t="inlineStr">
        <is>
          <t>TTAF在庫(実績,kg)</t>
        </is>
      </c>
      <c r="D1193">
        <f>'T_TTAFStock'!B59</f>
        <v/>
      </c>
      <c r="E1193">
        <f>'T_TTAFStock'!C59</f>
        <v/>
      </c>
      <c r="F1193">
        <f>'T_TTAFStock'!D59</f>
        <v/>
      </c>
      <c r="G1193">
        <f>'T_TTAFStock'!E59</f>
        <v/>
      </c>
      <c r="H1193">
        <f>'T_TTAFStock'!F59</f>
        <v/>
      </c>
      <c r="I1193">
        <f>'T_TTAFStock'!G59</f>
        <v/>
      </c>
      <c r="J1193">
        <f>'T_TTAFStock'!H59</f>
        <v/>
      </c>
      <c r="K1193">
        <f>'T_TTAFStock'!I59</f>
        <v/>
      </c>
      <c r="L1193">
        <f>'T_TTAFStock'!J59</f>
        <v/>
      </c>
      <c r="M1193">
        <f>'T_TTAFStock'!K59</f>
        <v/>
      </c>
      <c r="N1193">
        <f>'T_TTAFStock'!L59</f>
        <v/>
      </c>
      <c r="O1193">
        <f>'T_TTAFStock'!M59</f>
        <v/>
      </c>
      <c r="P1193">
        <f>'T_TTAFStock'!N59</f>
        <v/>
      </c>
      <c r="Q1193">
        <f>'T_TTAFStock'!O59</f>
        <v/>
      </c>
      <c r="R1193">
        <f>'T_TTAFStock'!P59</f>
        <v/>
      </c>
      <c r="S1193">
        <f>'T_TTAFStock'!Q59</f>
        <v/>
      </c>
      <c r="T1193">
        <f>'T_TTAFStock'!R59</f>
        <v/>
      </c>
      <c r="U1193">
        <f>'T_TTAFStock'!S59</f>
        <v/>
      </c>
      <c r="V1193">
        <f>'T_TTAFStock'!T59</f>
        <v/>
      </c>
      <c r="W1193">
        <f>'T_TTAFStock'!U59</f>
        <v/>
      </c>
      <c r="X1193">
        <f>'T_TTAFStock'!V59</f>
        <v/>
      </c>
      <c r="Y1193">
        <f>'T_TTAFStock'!W59</f>
        <v/>
      </c>
      <c r="Z1193">
        <f>'T_TTAFStock'!X59</f>
        <v/>
      </c>
      <c r="AA1193">
        <f>'T_TTAFStock'!Y59</f>
        <v/>
      </c>
      <c r="AB1193">
        <f>'T_TTAFStock'!Z59</f>
        <v/>
      </c>
      <c r="AC1193">
        <f>'T_TTAFStock'!AA59</f>
        <v/>
      </c>
      <c r="AD1193">
        <f>'T_TTAFStock'!AB59</f>
        <v/>
      </c>
      <c r="AE1193">
        <f>'T_TTAFStock'!AC59</f>
        <v/>
      </c>
      <c r="AF1193">
        <f>'T_TTAFStock'!AD59</f>
        <v/>
      </c>
      <c r="AG1193">
        <f>'T_TTAFStock'!AE59</f>
        <v/>
      </c>
      <c r="AH1193">
        <f>'T_TTAFStock'!AF59</f>
        <v/>
      </c>
      <c r="AI1193">
        <f>'T_TTAFStock'!AG59</f>
        <v/>
      </c>
      <c r="AJ1193">
        <f>'T_TTAFStock'!AH59</f>
        <v/>
      </c>
      <c r="AK1193">
        <f>'T_TTAFStock'!AI59</f>
        <v/>
      </c>
      <c r="AL1193">
        <f>'T_TTAFStock'!AJ59</f>
        <v/>
      </c>
      <c r="AM1193">
        <f>'T_TTAFStock'!AK59</f>
        <v/>
      </c>
      <c r="AN1193">
        <f>'T_TTAFStock'!AL59</f>
        <v/>
      </c>
      <c r="AO1193">
        <f>'T_TTAFStock'!AM59</f>
        <v/>
      </c>
      <c r="AP1193">
        <f>'T_TTAFStock'!AN59</f>
        <v/>
      </c>
      <c r="AQ1193">
        <f>'T_TTAFStock'!AO59</f>
        <v/>
      </c>
      <c r="AR1193">
        <f>'T_TTAFStock'!AP59</f>
        <v/>
      </c>
      <c r="AS1193">
        <f>'T_TTAFStock'!AQ59</f>
        <v/>
      </c>
      <c r="AT1193">
        <f>'T_TTAFStock'!AR59</f>
        <v/>
      </c>
      <c r="AU1193">
        <f>'T_TTAFStock'!AS59</f>
        <v/>
      </c>
      <c r="AV1193">
        <f>'T_TTAFStock'!AT59</f>
        <v/>
      </c>
      <c r="AW1193">
        <f>'T_TTAFStock'!AU59</f>
        <v/>
      </c>
      <c r="AX1193">
        <f>'T_TTAFStock'!AV59</f>
        <v/>
      </c>
      <c r="AY1193">
        <f>'T_TTAFStock'!AW59</f>
        <v/>
      </c>
      <c r="AZ1193">
        <f>'T_TTAFStock'!AX59</f>
        <v/>
      </c>
      <c r="BA1193">
        <f>'T_TTAFStock'!AY59</f>
        <v/>
      </c>
      <c r="BB1193">
        <f>'T_TTAFStock'!AZ59</f>
        <v/>
      </c>
      <c r="BC1193">
        <f>'T_TTAFStock'!BA59</f>
        <v/>
      </c>
      <c r="BD1193">
        <f>'T_TTAFStock'!BB59</f>
        <v/>
      </c>
      <c r="BE1193">
        <f>'T_TTAFStock'!BC59</f>
        <v/>
      </c>
      <c r="BF1193">
        <f>'T_TTAFStock'!BD59</f>
        <v/>
      </c>
      <c r="BG1193">
        <f>'T_TTAFStock'!BE59</f>
        <v/>
      </c>
      <c r="BH1193">
        <f>'T_TTAFStock'!BF59</f>
        <v/>
      </c>
      <c r="BI1193">
        <f>'T_TTAFStock'!BG59</f>
        <v/>
      </c>
      <c r="BJ1193">
        <f>'T_TTAFStock'!BH59</f>
        <v/>
      </c>
      <c r="BK1193">
        <f>'T_TTAFStock'!BI59</f>
        <v/>
      </c>
      <c r="BL1193">
        <f>'T_TTAFStock'!BJ59</f>
        <v/>
      </c>
      <c r="BM1193">
        <f>'T_TTAFStock'!BK59</f>
        <v/>
      </c>
      <c r="BN1193">
        <f>'T_TTAFStock'!BL59</f>
        <v/>
      </c>
      <c r="BO1193">
        <f>'T_TTAFStock'!BM59</f>
        <v/>
      </c>
      <c r="BP1193">
        <f>'T_TTAFStock'!BN59</f>
        <v/>
      </c>
      <c r="BQ1193">
        <f>'T_TTAFStock'!BO59</f>
        <v/>
      </c>
      <c r="BR1193">
        <f>'T_TTAFStock'!BP59</f>
        <v/>
      </c>
      <c r="BS1193">
        <f>'T_TTAFStock'!BQ59</f>
        <v/>
      </c>
      <c r="BT1193">
        <f>'T_TTAFStock'!BR59</f>
        <v/>
      </c>
      <c r="BU1193">
        <f>'T_TTAFStock'!BS59</f>
        <v/>
      </c>
      <c r="BV1193">
        <f>'T_TTAFStock'!BT59</f>
        <v/>
      </c>
      <c r="BW1193">
        <f>'T_TTAFStock'!BU59</f>
        <v/>
      </c>
      <c r="BX1193">
        <f>'T_TTAFStock'!BV59</f>
        <v/>
      </c>
      <c r="BY1193">
        <f>'T_TTAFStock'!BW59</f>
        <v/>
      </c>
      <c r="BZ1193">
        <f>'T_TTAFStock'!BX59</f>
        <v/>
      </c>
      <c r="CA1193">
        <f>'T_TTAFStock'!BY59</f>
        <v/>
      </c>
      <c r="CB1193">
        <f>'T_TTAFStock'!BZ59</f>
        <v/>
      </c>
      <c r="CC1193">
        <f>'T_TTAFStock'!CA59</f>
        <v/>
      </c>
      <c r="CD1193">
        <f>'T_TTAFStock'!CB59</f>
        <v/>
      </c>
      <c r="CE1193">
        <f>'T_TTAFStock'!CC59</f>
        <v/>
      </c>
      <c r="CF1193">
        <f>'T_TTAFStock'!CD59</f>
        <v/>
      </c>
      <c r="CG1193">
        <f>'T_TTAFStock'!CE59</f>
        <v/>
      </c>
      <c r="CH1193">
        <f>'T_TTAFStock'!CF59</f>
        <v/>
      </c>
      <c r="CI1193">
        <f>'T_TTAFStock'!CG59</f>
        <v/>
      </c>
      <c r="CJ1193">
        <f>'T_TTAFStock'!CH59</f>
        <v/>
      </c>
      <c r="CK1193">
        <f>'T_TTAFStock'!CI59</f>
        <v/>
      </c>
      <c r="CL1193">
        <f>'T_TTAFStock'!CJ59</f>
        <v/>
      </c>
      <c r="CM1193">
        <f>'T_TTAFStock'!CK59</f>
        <v/>
      </c>
      <c r="CN1193">
        <f>'T_TTAFStock'!CL59</f>
        <v/>
      </c>
      <c r="CO1193">
        <f>'T_TTAFStock'!CM59</f>
        <v/>
      </c>
      <c r="CP1193">
        <f>'T_TTAFStock'!CN59</f>
        <v/>
      </c>
      <c r="CQ1193">
        <f>'T_TTAFStock'!CO59</f>
        <v/>
      </c>
      <c r="CR1193">
        <f>'T_TTAFStock'!CP59</f>
        <v/>
      </c>
      <c r="CS1193">
        <f>'T_TTAFStock'!CQ59</f>
        <v/>
      </c>
      <c r="CT1193">
        <f>'T_TTAFStock'!CR59</f>
        <v/>
      </c>
      <c r="CU1193">
        <f>'T_TTAFStock'!CS59</f>
        <v/>
      </c>
      <c r="CV1193">
        <f>'T_TTAFStock'!CT59</f>
        <v/>
      </c>
      <c r="CW1193">
        <f>'T_TTAFStock'!CU59</f>
        <v/>
      </c>
      <c r="CX1193">
        <f>'T_TTAFStock'!CV59</f>
        <v/>
      </c>
      <c r="CY1193">
        <f>'T_TTAFStock'!CW59</f>
        <v/>
      </c>
      <c r="CZ1193">
        <f>'T_TTAFStock'!CX59</f>
        <v/>
      </c>
      <c r="DA1193">
        <f>'T_TTAFStock'!CY59</f>
        <v/>
      </c>
      <c r="DB1193">
        <f>'T_TTAFStock'!CZ59</f>
        <v/>
      </c>
      <c r="DC1193">
        <f>'T_TTAFStock'!DA59</f>
        <v/>
      </c>
    </row>
    <row r="1194">
      <c r="B1194" t="inlineStr">
        <is>
          <t>自社在庫(実績,kg)</t>
        </is>
      </c>
      <c r="D1194">
        <f>'T_SelfStock'!B59</f>
        <v/>
      </c>
      <c r="E1194">
        <f>'T_SelfStock'!C59</f>
        <v/>
      </c>
      <c r="F1194">
        <f>'T_SelfStock'!D59</f>
        <v/>
      </c>
      <c r="G1194">
        <f>'T_SelfStock'!E59</f>
        <v/>
      </c>
      <c r="H1194">
        <f>'T_SelfStock'!F59</f>
        <v/>
      </c>
      <c r="I1194">
        <f>'T_SelfStock'!G59</f>
        <v/>
      </c>
      <c r="J1194">
        <f>'T_SelfStock'!H59</f>
        <v/>
      </c>
      <c r="K1194">
        <f>'T_SelfStock'!I59</f>
        <v/>
      </c>
      <c r="L1194">
        <f>'T_SelfStock'!J59</f>
        <v/>
      </c>
      <c r="M1194">
        <f>'T_SelfStock'!K59</f>
        <v/>
      </c>
      <c r="N1194">
        <f>'T_SelfStock'!L59</f>
        <v/>
      </c>
      <c r="O1194">
        <f>'T_SelfStock'!M59</f>
        <v/>
      </c>
      <c r="P1194">
        <f>'T_SelfStock'!N59</f>
        <v/>
      </c>
      <c r="Q1194">
        <f>'T_SelfStock'!O59</f>
        <v/>
      </c>
      <c r="R1194">
        <f>'T_SelfStock'!P59</f>
        <v/>
      </c>
      <c r="S1194">
        <f>'T_SelfStock'!Q59</f>
        <v/>
      </c>
      <c r="T1194">
        <f>'T_SelfStock'!R59</f>
        <v/>
      </c>
      <c r="U1194">
        <f>'T_SelfStock'!S59</f>
        <v/>
      </c>
      <c r="V1194">
        <f>'T_SelfStock'!T59</f>
        <v/>
      </c>
      <c r="W1194">
        <f>'T_SelfStock'!U59</f>
        <v/>
      </c>
      <c r="X1194">
        <f>'T_SelfStock'!V59</f>
        <v/>
      </c>
      <c r="Y1194">
        <f>'T_SelfStock'!W59</f>
        <v/>
      </c>
      <c r="Z1194">
        <f>'T_SelfStock'!X59</f>
        <v/>
      </c>
      <c r="AA1194">
        <f>'T_SelfStock'!Y59</f>
        <v/>
      </c>
      <c r="AB1194">
        <f>'T_SelfStock'!Z59</f>
        <v/>
      </c>
      <c r="AC1194">
        <f>'T_SelfStock'!AA59</f>
        <v/>
      </c>
      <c r="AD1194">
        <f>'T_SelfStock'!AB59</f>
        <v/>
      </c>
      <c r="AE1194">
        <f>'T_SelfStock'!AC59</f>
        <v/>
      </c>
      <c r="AF1194">
        <f>'T_SelfStock'!AD59</f>
        <v/>
      </c>
      <c r="AG1194">
        <f>'T_SelfStock'!AE59</f>
        <v/>
      </c>
      <c r="AH1194">
        <f>'T_SelfStock'!AF59</f>
        <v/>
      </c>
      <c r="AI1194">
        <f>'T_SelfStock'!AG59</f>
        <v/>
      </c>
      <c r="AJ1194">
        <f>'T_SelfStock'!AH59</f>
        <v/>
      </c>
      <c r="AK1194">
        <f>'T_SelfStock'!AI59</f>
        <v/>
      </c>
      <c r="AL1194">
        <f>'T_SelfStock'!AJ59</f>
        <v/>
      </c>
      <c r="AM1194">
        <f>'T_SelfStock'!AK59</f>
        <v/>
      </c>
      <c r="AN1194">
        <f>'T_SelfStock'!AL59</f>
        <v/>
      </c>
      <c r="AO1194">
        <f>'T_SelfStock'!AM59</f>
        <v/>
      </c>
      <c r="AP1194">
        <f>'T_SelfStock'!AN59</f>
        <v/>
      </c>
      <c r="AQ1194">
        <f>'T_SelfStock'!AO59</f>
        <v/>
      </c>
      <c r="AR1194">
        <f>'T_SelfStock'!AP59</f>
        <v/>
      </c>
      <c r="AS1194">
        <f>'T_SelfStock'!AQ59</f>
        <v/>
      </c>
      <c r="AT1194">
        <f>'T_SelfStock'!AR59</f>
        <v/>
      </c>
      <c r="AU1194">
        <f>'T_SelfStock'!AS59</f>
        <v/>
      </c>
      <c r="AV1194">
        <f>'T_SelfStock'!AT59</f>
        <v/>
      </c>
      <c r="AW1194">
        <f>'T_SelfStock'!AU59</f>
        <v/>
      </c>
      <c r="AX1194">
        <f>'T_SelfStock'!AV59</f>
        <v/>
      </c>
      <c r="AY1194">
        <f>'T_SelfStock'!AW59</f>
        <v/>
      </c>
      <c r="AZ1194">
        <f>'T_SelfStock'!AX59</f>
        <v/>
      </c>
      <c r="BA1194">
        <f>'T_SelfStock'!AY59</f>
        <v/>
      </c>
      <c r="BB1194">
        <f>'T_SelfStock'!AZ59</f>
        <v/>
      </c>
      <c r="BC1194">
        <f>'T_SelfStock'!BA59</f>
        <v/>
      </c>
      <c r="BD1194">
        <f>'T_SelfStock'!BB59</f>
        <v/>
      </c>
      <c r="BE1194">
        <f>'T_SelfStock'!BC59</f>
        <v/>
      </c>
      <c r="BF1194">
        <f>'T_SelfStock'!BD59</f>
        <v/>
      </c>
      <c r="BG1194">
        <f>'T_SelfStock'!BE59</f>
        <v/>
      </c>
      <c r="BH1194">
        <f>'T_SelfStock'!BF59</f>
        <v/>
      </c>
      <c r="BI1194">
        <f>'T_SelfStock'!BG59</f>
        <v/>
      </c>
      <c r="BJ1194">
        <f>'T_SelfStock'!BH59</f>
        <v/>
      </c>
      <c r="BK1194">
        <f>'T_SelfStock'!BI59</f>
        <v/>
      </c>
      <c r="BL1194">
        <f>'T_SelfStock'!BJ59</f>
        <v/>
      </c>
      <c r="BM1194">
        <f>'T_SelfStock'!BK59</f>
        <v/>
      </c>
      <c r="BN1194">
        <f>'T_SelfStock'!BL59</f>
        <v/>
      </c>
      <c r="BO1194">
        <f>'T_SelfStock'!BM59</f>
        <v/>
      </c>
      <c r="BP1194">
        <f>'T_SelfStock'!BN59</f>
        <v/>
      </c>
      <c r="BQ1194">
        <f>'T_SelfStock'!BO59</f>
        <v/>
      </c>
      <c r="BR1194">
        <f>'T_SelfStock'!BP59</f>
        <v/>
      </c>
      <c r="BS1194">
        <f>'T_SelfStock'!BQ59</f>
        <v/>
      </c>
      <c r="BT1194">
        <f>'T_SelfStock'!BR59</f>
        <v/>
      </c>
      <c r="BU1194">
        <f>'T_SelfStock'!BS59</f>
        <v/>
      </c>
      <c r="BV1194">
        <f>'T_SelfStock'!BT59</f>
        <v/>
      </c>
      <c r="BW1194">
        <f>'T_SelfStock'!BU59</f>
        <v/>
      </c>
      <c r="BX1194">
        <f>'T_SelfStock'!BV59</f>
        <v/>
      </c>
      <c r="BY1194">
        <f>'T_SelfStock'!BW59</f>
        <v/>
      </c>
      <c r="BZ1194">
        <f>'T_SelfStock'!BX59</f>
        <v/>
      </c>
      <c r="CA1194">
        <f>'T_SelfStock'!BY59</f>
        <v/>
      </c>
      <c r="CB1194">
        <f>'T_SelfStock'!BZ59</f>
        <v/>
      </c>
      <c r="CC1194">
        <f>'T_SelfStock'!CA59</f>
        <v/>
      </c>
      <c r="CD1194">
        <f>'T_SelfStock'!CB59</f>
        <v/>
      </c>
      <c r="CE1194">
        <f>'T_SelfStock'!CC59</f>
        <v/>
      </c>
      <c r="CF1194">
        <f>'T_SelfStock'!CD59</f>
        <v/>
      </c>
      <c r="CG1194">
        <f>'T_SelfStock'!CE59</f>
        <v/>
      </c>
      <c r="CH1194">
        <f>'T_SelfStock'!CF59</f>
        <v/>
      </c>
      <c r="CI1194">
        <f>'T_SelfStock'!CG59</f>
        <v/>
      </c>
      <c r="CJ1194">
        <f>'T_SelfStock'!CH59</f>
        <v/>
      </c>
      <c r="CK1194">
        <f>'T_SelfStock'!CI59</f>
        <v/>
      </c>
      <c r="CL1194">
        <f>'T_SelfStock'!CJ59</f>
        <v/>
      </c>
      <c r="CM1194">
        <f>'T_SelfStock'!CK59</f>
        <v/>
      </c>
      <c r="CN1194">
        <f>'T_SelfStock'!CL59</f>
        <v/>
      </c>
      <c r="CO1194">
        <f>'T_SelfStock'!CM59</f>
        <v/>
      </c>
      <c r="CP1194">
        <f>'T_SelfStock'!CN59</f>
        <v/>
      </c>
      <c r="CQ1194">
        <f>'T_SelfStock'!CO59</f>
        <v/>
      </c>
      <c r="CR1194">
        <f>'T_SelfStock'!CP59</f>
        <v/>
      </c>
      <c r="CS1194">
        <f>'T_SelfStock'!CQ59</f>
        <v/>
      </c>
      <c r="CT1194">
        <f>'T_SelfStock'!CR59</f>
        <v/>
      </c>
      <c r="CU1194">
        <f>'T_SelfStock'!CS59</f>
        <v/>
      </c>
      <c r="CV1194">
        <f>'T_SelfStock'!CT59</f>
        <v/>
      </c>
      <c r="CW1194">
        <f>'T_SelfStock'!CU59</f>
        <v/>
      </c>
      <c r="CX1194">
        <f>'T_SelfStock'!CV59</f>
        <v/>
      </c>
      <c r="CY1194">
        <f>'T_SelfStock'!CW59</f>
        <v/>
      </c>
      <c r="CZ1194">
        <f>'T_SelfStock'!CX59</f>
        <v/>
      </c>
      <c r="DA1194">
        <f>'T_SelfStock'!CY59</f>
        <v/>
      </c>
      <c r="DB1194">
        <f>'T_SelfStock'!CZ59</f>
        <v/>
      </c>
      <c r="DC1194">
        <f>'T_SelfStock'!DA59</f>
        <v/>
      </c>
    </row>
    <row r="1195">
      <c r="B1195" t="inlineStr">
        <is>
          <t>Order(発注予定,kg)</t>
        </is>
      </c>
      <c r="D1195">
        <f>IF(SUMIFS(T_PlannedOrders[EffectiveQty],T_PlannedOrders[Part Name],$A1185,T_PlannedOrders[WeekIndex],1)=0,"",SUMIFS(T_PlannedOrders[EffectiveQty],T_PlannedOrders[Part Name],$A1185,T_PlannedOrders[WeekIndex],1)&amp;" ("&amp;TEXT(SUMPRODUCT(MAX((T_PlannedOrders[Part Name]=$A1185)*(T_PlannedOrders[WeekIndex]=1)*(T_PlannedOrders[EffectiveQty]&gt;0)*T_PlannedOrders[Order_Month])),"m月")&amp;"発注)")</f>
        <v/>
      </c>
      <c r="E1195">
        <f>IF(SUMIFS(T_PlannedOrders[EffectiveQty],T_PlannedOrders[Part Name],$A1185,T_PlannedOrders[WeekIndex],2)=0,"",SUMIFS(T_PlannedOrders[EffectiveQty],T_PlannedOrders[Part Name],$A1185,T_PlannedOrders[WeekIndex],2)&amp;" ("&amp;TEXT(SUMPRODUCT(MAX((T_PlannedOrders[Part Name]=$A1185)*(T_PlannedOrders[WeekIndex]=2)*(T_PlannedOrders[EffectiveQty]&gt;0)*T_PlannedOrders[Order_Month])),"m月")&amp;"発注)")</f>
        <v/>
      </c>
      <c r="F1195">
        <f>IF(SUMIFS(T_PlannedOrders[EffectiveQty],T_PlannedOrders[Part Name],$A1185,T_PlannedOrders[WeekIndex],3)=0,"",SUMIFS(T_PlannedOrders[EffectiveQty],T_PlannedOrders[Part Name],$A1185,T_PlannedOrders[WeekIndex],3)&amp;" ("&amp;TEXT(SUMPRODUCT(MAX((T_PlannedOrders[Part Name]=$A1185)*(T_PlannedOrders[WeekIndex]=3)*(T_PlannedOrders[EffectiveQty]&gt;0)*T_PlannedOrders[Order_Month])),"m月")&amp;"発注)")</f>
        <v/>
      </c>
      <c r="G1195">
        <f>IF(SUMIFS(T_PlannedOrders[EffectiveQty],T_PlannedOrders[Part Name],$A1185,T_PlannedOrders[WeekIndex],4)=0,"",SUMIFS(T_PlannedOrders[EffectiveQty],T_PlannedOrders[Part Name],$A1185,T_PlannedOrders[WeekIndex],4)&amp;" ("&amp;TEXT(SUMPRODUCT(MAX((T_PlannedOrders[Part Name]=$A1185)*(T_PlannedOrders[WeekIndex]=4)*(T_PlannedOrders[EffectiveQty]&gt;0)*T_PlannedOrders[Order_Month])),"m月")&amp;"発注)")</f>
        <v/>
      </c>
      <c r="H1195">
        <f>IF(SUMIFS(T_PlannedOrders[EffectiveQty],T_PlannedOrders[Part Name],$A1185,T_PlannedOrders[WeekIndex],5)=0,"",SUMIFS(T_PlannedOrders[EffectiveQty],T_PlannedOrders[Part Name],$A1185,T_PlannedOrders[WeekIndex],5)&amp;" ("&amp;TEXT(SUMPRODUCT(MAX((T_PlannedOrders[Part Name]=$A1185)*(T_PlannedOrders[WeekIndex]=5)*(T_PlannedOrders[EffectiveQty]&gt;0)*T_PlannedOrders[Order_Month])),"m月")&amp;"発注)")</f>
        <v/>
      </c>
      <c r="I1195">
        <f>IF(SUMIFS(T_PlannedOrders[EffectiveQty],T_PlannedOrders[Part Name],$A1185,T_PlannedOrders[WeekIndex],6)=0,"",SUMIFS(T_PlannedOrders[EffectiveQty],T_PlannedOrders[Part Name],$A1185,T_PlannedOrders[WeekIndex],6)&amp;" ("&amp;TEXT(SUMPRODUCT(MAX((T_PlannedOrders[Part Name]=$A1185)*(T_PlannedOrders[WeekIndex]=6)*(T_PlannedOrders[EffectiveQty]&gt;0)*T_PlannedOrders[Order_Month])),"m月")&amp;"発注)")</f>
        <v/>
      </c>
      <c r="J1195">
        <f>IF(SUMIFS(T_PlannedOrders[EffectiveQty],T_PlannedOrders[Part Name],$A1185,T_PlannedOrders[WeekIndex],7)=0,"",SUMIFS(T_PlannedOrders[EffectiveQty],T_PlannedOrders[Part Name],$A1185,T_PlannedOrders[WeekIndex],7)&amp;" ("&amp;TEXT(SUMPRODUCT(MAX((T_PlannedOrders[Part Name]=$A1185)*(T_PlannedOrders[WeekIndex]=7)*(T_PlannedOrders[EffectiveQty]&gt;0)*T_PlannedOrders[Order_Month])),"m月")&amp;"発注)")</f>
        <v/>
      </c>
      <c r="K1195">
        <f>IF(SUMIFS(T_PlannedOrders[EffectiveQty],T_PlannedOrders[Part Name],$A1185,T_PlannedOrders[WeekIndex],8)=0,"",SUMIFS(T_PlannedOrders[EffectiveQty],T_PlannedOrders[Part Name],$A1185,T_PlannedOrders[WeekIndex],8)&amp;" ("&amp;TEXT(SUMPRODUCT(MAX((T_PlannedOrders[Part Name]=$A1185)*(T_PlannedOrders[WeekIndex]=8)*(T_PlannedOrders[EffectiveQty]&gt;0)*T_PlannedOrders[Order_Month])),"m月")&amp;"発注)")</f>
        <v/>
      </c>
      <c r="L1195">
        <f>IF(SUMIFS(T_PlannedOrders[EffectiveQty],T_PlannedOrders[Part Name],$A1185,T_PlannedOrders[WeekIndex],9)=0,"",SUMIFS(T_PlannedOrders[EffectiveQty],T_PlannedOrders[Part Name],$A1185,T_PlannedOrders[WeekIndex],9)&amp;" ("&amp;TEXT(SUMPRODUCT(MAX((T_PlannedOrders[Part Name]=$A1185)*(T_PlannedOrders[WeekIndex]=9)*(T_PlannedOrders[EffectiveQty]&gt;0)*T_PlannedOrders[Order_Month])),"m月")&amp;"発注)")</f>
        <v/>
      </c>
      <c r="M1195">
        <f>IF(SUMIFS(T_PlannedOrders[EffectiveQty],T_PlannedOrders[Part Name],$A1185,T_PlannedOrders[WeekIndex],10)=0,"",SUMIFS(T_PlannedOrders[EffectiveQty],T_PlannedOrders[Part Name],$A1185,T_PlannedOrders[WeekIndex],10)&amp;" ("&amp;TEXT(SUMPRODUCT(MAX((T_PlannedOrders[Part Name]=$A1185)*(T_PlannedOrders[WeekIndex]=10)*(T_PlannedOrders[EffectiveQty]&gt;0)*T_PlannedOrders[Order_Month])),"m月")&amp;"発注)")</f>
        <v/>
      </c>
      <c r="N1195">
        <f>IF(SUMIFS(T_PlannedOrders[EffectiveQty],T_PlannedOrders[Part Name],$A1185,T_PlannedOrders[WeekIndex],11)=0,"",SUMIFS(T_PlannedOrders[EffectiveQty],T_PlannedOrders[Part Name],$A1185,T_PlannedOrders[WeekIndex],11)&amp;" ("&amp;TEXT(SUMPRODUCT(MAX((T_PlannedOrders[Part Name]=$A1185)*(T_PlannedOrders[WeekIndex]=11)*(T_PlannedOrders[EffectiveQty]&gt;0)*T_PlannedOrders[Order_Month])),"m月")&amp;"発注)")</f>
        <v/>
      </c>
      <c r="O1195">
        <f>IF(SUMIFS(T_PlannedOrders[EffectiveQty],T_PlannedOrders[Part Name],$A1185,T_PlannedOrders[WeekIndex],12)=0,"",SUMIFS(T_PlannedOrders[EffectiveQty],T_PlannedOrders[Part Name],$A1185,T_PlannedOrders[WeekIndex],12)&amp;" ("&amp;TEXT(SUMPRODUCT(MAX((T_PlannedOrders[Part Name]=$A1185)*(T_PlannedOrders[WeekIndex]=12)*(T_PlannedOrders[EffectiveQty]&gt;0)*T_PlannedOrders[Order_Month])),"m月")&amp;"発注)")</f>
        <v/>
      </c>
      <c r="P1195">
        <f>IF(SUMIFS(T_PlannedOrders[EffectiveQty],T_PlannedOrders[Part Name],$A1185,T_PlannedOrders[WeekIndex],13)=0,"",SUMIFS(T_PlannedOrders[EffectiveQty],T_PlannedOrders[Part Name],$A1185,T_PlannedOrders[WeekIndex],13)&amp;" ("&amp;TEXT(SUMPRODUCT(MAX((T_PlannedOrders[Part Name]=$A1185)*(T_PlannedOrders[WeekIndex]=13)*(T_PlannedOrders[EffectiveQty]&gt;0)*T_PlannedOrders[Order_Month])),"m月")&amp;"発注)")</f>
        <v/>
      </c>
      <c r="Q1195">
        <f>IF(SUMIFS(T_PlannedOrders[EffectiveQty],T_PlannedOrders[Part Name],$A1185,T_PlannedOrders[WeekIndex],14)=0,"",SUMIFS(T_PlannedOrders[EffectiveQty],T_PlannedOrders[Part Name],$A1185,T_PlannedOrders[WeekIndex],14)&amp;" ("&amp;TEXT(SUMPRODUCT(MAX((T_PlannedOrders[Part Name]=$A1185)*(T_PlannedOrders[WeekIndex]=14)*(T_PlannedOrders[EffectiveQty]&gt;0)*T_PlannedOrders[Order_Month])),"m月")&amp;"発注)")</f>
        <v/>
      </c>
      <c r="R1195">
        <f>IF(SUMIFS(T_PlannedOrders[EffectiveQty],T_PlannedOrders[Part Name],$A1185,T_PlannedOrders[WeekIndex],15)=0,"",SUMIFS(T_PlannedOrders[EffectiveQty],T_PlannedOrders[Part Name],$A1185,T_PlannedOrders[WeekIndex],15)&amp;" ("&amp;TEXT(SUMPRODUCT(MAX((T_PlannedOrders[Part Name]=$A1185)*(T_PlannedOrders[WeekIndex]=15)*(T_PlannedOrders[EffectiveQty]&gt;0)*T_PlannedOrders[Order_Month])),"m月")&amp;"発注)")</f>
        <v/>
      </c>
      <c r="S1195">
        <f>IF(SUMIFS(T_PlannedOrders[EffectiveQty],T_PlannedOrders[Part Name],$A1185,T_PlannedOrders[WeekIndex],16)=0,"",SUMIFS(T_PlannedOrders[EffectiveQty],T_PlannedOrders[Part Name],$A1185,T_PlannedOrders[WeekIndex],16)&amp;" ("&amp;TEXT(SUMPRODUCT(MAX((T_PlannedOrders[Part Name]=$A1185)*(T_PlannedOrders[WeekIndex]=16)*(T_PlannedOrders[EffectiveQty]&gt;0)*T_PlannedOrders[Order_Month])),"m月")&amp;"発注)")</f>
        <v/>
      </c>
      <c r="T1195">
        <f>IF(SUMIFS(T_PlannedOrders[EffectiveQty],T_PlannedOrders[Part Name],$A1185,T_PlannedOrders[WeekIndex],17)=0,"",SUMIFS(T_PlannedOrders[EffectiveQty],T_PlannedOrders[Part Name],$A1185,T_PlannedOrders[WeekIndex],17)&amp;" ("&amp;TEXT(SUMPRODUCT(MAX((T_PlannedOrders[Part Name]=$A1185)*(T_PlannedOrders[WeekIndex]=17)*(T_PlannedOrders[EffectiveQty]&gt;0)*T_PlannedOrders[Order_Month])),"m月")&amp;"発注)")</f>
        <v/>
      </c>
      <c r="U1195">
        <f>IF(SUMIFS(T_PlannedOrders[EffectiveQty],T_PlannedOrders[Part Name],$A1185,T_PlannedOrders[WeekIndex],18)=0,"",SUMIFS(T_PlannedOrders[EffectiveQty],T_PlannedOrders[Part Name],$A1185,T_PlannedOrders[WeekIndex],18)&amp;" ("&amp;TEXT(SUMPRODUCT(MAX((T_PlannedOrders[Part Name]=$A1185)*(T_PlannedOrders[WeekIndex]=18)*(T_PlannedOrders[EffectiveQty]&gt;0)*T_PlannedOrders[Order_Month])),"m月")&amp;"発注)")</f>
        <v/>
      </c>
      <c r="V1195">
        <f>IF(SUMIFS(T_PlannedOrders[EffectiveQty],T_PlannedOrders[Part Name],$A1185,T_PlannedOrders[WeekIndex],19)=0,"",SUMIFS(T_PlannedOrders[EffectiveQty],T_PlannedOrders[Part Name],$A1185,T_PlannedOrders[WeekIndex],19)&amp;" ("&amp;TEXT(SUMPRODUCT(MAX((T_PlannedOrders[Part Name]=$A1185)*(T_PlannedOrders[WeekIndex]=19)*(T_PlannedOrders[EffectiveQty]&gt;0)*T_PlannedOrders[Order_Month])),"m月")&amp;"発注)")</f>
        <v/>
      </c>
      <c r="W1195">
        <f>IF(SUMIFS(T_PlannedOrders[EffectiveQty],T_PlannedOrders[Part Name],$A1185,T_PlannedOrders[WeekIndex],20)=0,"",SUMIFS(T_PlannedOrders[EffectiveQty],T_PlannedOrders[Part Name],$A1185,T_PlannedOrders[WeekIndex],20)&amp;" ("&amp;TEXT(SUMPRODUCT(MAX((T_PlannedOrders[Part Name]=$A1185)*(T_PlannedOrders[WeekIndex]=20)*(T_PlannedOrders[EffectiveQty]&gt;0)*T_PlannedOrders[Order_Month])),"m月")&amp;"発注)")</f>
        <v/>
      </c>
      <c r="X1195">
        <f>IF(SUMIFS(T_PlannedOrders[EffectiveQty],T_PlannedOrders[Part Name],$A1185,T_PlannedOrders[WeekIndex],21)=0,"",SUMIFS(T_PlannedOrders[EffectiveQty],T_PlannedOrders[Part Name],$A1185,T_PlannedOrders[WeekIndex],21)&amp;" ("&amp;TEXT(SUMPRODUCT(MAX((T_PlannedOrders[Part Name]=$A1185)*(T_PlannedOrders[WeekIndex]=21)*(T_PlannedOrders[EffectiveQty]&gt;0)*T_PlannedOrders[Order_Month])),"m月")&amp;"発注)")</f>
        <v/>
      </c>
      <c r="Y1195">
        <f>IF(SUMIFS(T_PlannedOrders[EffectiveQty],T_PlannedOrders[Part Name],$A1185,T_PlannedOrders[WeekIndex],22)=0,"",SUMIFS(T_PlannedOrders[EffectiveQty],T_PlannedOrders[Part Name],$A1185,T_PlannedOrders[WeekIndex],22)&amp;" ("&amp;TEXT(SUMPRODUCT(MAX((T_PlannedOrders[Part Name]=$A1185)*(T_PlannedOrders[WeekIndex]=22)*(T_PlannedOrders[EffectiveQty]&gt;0)*T_PlannedOrders[Order_Month])),"m月")&amp;"発注)")</f>
        <v/>
      </c>
      <c r="Z1195">
        <f>IF(SUMIFS(T_PlannedOrders[EffectiveQty],T_PlannedOrders[Part Name],$A1185,T_PlannedOrders[WeekIndex],23)=0,"",SUMIFS(T_PlannedOrders[EffectiveQty],T_PlannedOrders[Part Name],$A1185,T_PlannedOrders[WeekIndex],23)&amp;" ("&amp;TEXT(SUMPRODUCT(MAX((T_PlannedOrders[Part Name]=$A1185)*(T_PlannedOrders[WeekIndex]=23)*(T_PlannedOrders[EffectiveQty]&gt;0)*T_PlannedOrders[Order_Month])),"m月")&amp;"発注)")</f>
        <v/>
      </c>
      <c r="AA1195">
        <f>IF(SUMIFS(T_PlannedOrders[EffectiveQty],T_PlannedOrders[Part Name],$A1185,T_PlannedOrders[WeekIndex],24)=0,"",SUMIFS(T_PlannedOrders[EffectiveQty],T_PlannedOrders[Part Name],$A1185,T_PlannedOrders[WeekIndex],24)&amp;" ("&amp;TEXT(SUMPRODUCT(MAX((T_PlannedOrders[Part Name]=$A1185)*(T_PlannedOrders[WeekIndex]=24)*(T_PlannedOrders[EffectiveQty]&gt;0)*T_PlannedOrders[Order_Month])),"m月")&amp;"発注)")</f>
        <v/>
      </c>
      <c r="AB1195">
        <f>IF(SUMIFS(T_PlannedOrders[EffectiveQty],T_PlannedOrders[Part Name],$A1185,T_PlannedOrders[WeekIndex],25)=0,"",SUMIFS(T_PlannedOrders[EffectiveQty],T_PlannedOrders[Part Name],$A1185,T_PlannedOrders[WeekIndex],25)&amp;" ("&amp;TEXT(SUMPRODUCT(MAX((T_PlannedOrders[Part Name]=$A1185)*(T_PlannedOrders[WeekIndex]=25)*(T_PlannedOrders[EffectiveQty]&gt;0)*T_PlannedOrders[Order_Month])),"m月")&amp;"発注)")</f>
        <v/>
      </c>
      <c r="AC1195">
        <f>IF(SUMIFS(T_PlannedOrders[EffectiveQty],T_PlannedOrders[Part Name],$A1185,T_PlannedOrders[WeekIndex],26)=0,"",SUMIFS(T_PlannedOrders[EffectiveQty],T_PlannedOrders[Part Name],$A1185,T_PlannedOrders[WeekIndex],26)&amp;" ("&amp;TEXT(SUMPRODUCT(MAX((T_PlannedOrders[Part Name]=$A1185)*(T_PlannedOrders[WeekIndex]=26)*(T_PlannedOrders[EffectiveQty]&gt;0)*T_PlannedOrders[Order_Month])),"m月")&amp;"発注)")</f>
        <v/>
      </c>
      <c r="AD1195">
        <f>IF(SUMIFS(T_PlannedOrders[EffectiveQty],T_PlannedOrders[Part Name],$A1185,T_PlannedOrders[WeekIndex],27)=0,"",SUMIFS(T_PlannedOrders[EffectiveQty],T_PlannedOrders[Part Name],$A1185,T_PlannedOrders[WeekIndex],27)&amp;" ("&amp;TEXT(SUMPRODUCT(MAX((T_PlannedOrders[Part Name]=$A1185)*(T_PlannedOrders[WeekIndex]=27)*(T_PlannedOrders[EffectiveQty]&gt;0)*T_PlannedOrders[Order_Month])),"m月")&amp;"発注)")</f>
        <v/>
      </c>
      <c r="AE1195">
        <f>IF(SUMIFS(T_PlannedOrders[EffectiveQty],T_PlannedOrders[Part Name],$A1185,T_PlannedOrders[WeekIndex],28)=0,"",SUMIFS(T_PlannedOrders[EffectiveQty],T_PlannedOrders[Part Name],$A1185,T_PlannedOrders[WeekIndex],28)&amp;" ("&amp;TEXT(SUMPRODUCT(MAX((T_PlannedOrders[Part Name]=$A1185)*(T_PlannedOrders[WeekIndex]=28)*(T_PlannedOrders[EffectiveQty]&gt;0)*T_PlannedOrders[Order_Month])),"m月")&amp;"発注)")</f>
        <v/>
      </c>
      <c r="AF1195">
        <f>IF(SUMIFS(T_PlannedOrders[EffectiveQty],T_PlannedOrders[Part Name],$A1185,T_PlannedOrders[WeekIndex],29)=0,"",SUMIFS(T_PlannedOrders[EffectiveQty],T_PlannedOrders[Part Name],$A1185,T_PlannedOrders[WeekIndex],29)&amp;" ("&amp;TEXT(SUMPRODUCT(MAX((T_PlannedOrders[Part Name]=$A1185)*(T_PlannedOrders[WeekIndex]=29)*(T_PlannedOrders[EffectiveQty]&gt;0)*T_PlannedOrders[Order_Month])),"m月")&amp;"発注)")</f>
        <v/>
      </c>
      <c r="AG1195">
        <f>IF(SUMIFS(T_PlannedOrders[EffectiveQty],T_PlannedOrders[Part Name],$A1185,T_PlannedOrders[WeekIndex],30)=0,"",SUMIFS(T_PlannedOrders[EffectiveQty],T_PlannedOrders[Part Name],$A1185,T_PlannedOrders[WeekIndex],30)&amp;" ("&amp;TEXT(SUMPRODUCT(MAX((T_PlannedOrders[Part Name]=$A1185)*(T_PlannedOrders[WeekIndex]=30)*(T_PlannedOrders[EffectiveQty]&gt;0)*T_PlannedOrders[Order_Month])),"m月")&amp;"発注)")</f>
        <v/>
      </c>
      <c r="AH1195">
        <f>IF(SUMIFS(T_PlannedOrders[EffectiveQty],T_PlannedOrders[Part Name],$A1185,T_PlannedOrders[WeekIndex],31)=0,"",SUMIFS(T_PlannedOrders[EffectiveQty],T_PlannedOrders[Part Name],$A1185,T_PlannedOrders[WeekIndex],31)&amp;" ("&amp;TEXT(SUMPRODUCT(MAX((T_PlannedOrders[Part Name]=$A1185)*(T_PlannedOrders[WeekIndex]=31)*(T_PlannedOrders[EffectiveQty]&gt;0)*T_PlannedOrders[Order_Month])),"m月")&amp;"発注)")</f>
        <v/>
      </c>
      <c r="AI1195">
        <f>IF(SUMIFS(T_PlannedOrders[EffectiveQty],T_PlannedOrders[Part Name],$A1185,T_PlannedOrders[WeekIndex],32)=0,"",SUMIFS(T_PlannedOrders[EffectiveQty],T_PlannedOrders[Part Name],$A1185,T_PlannedOrders[WeekIndex],32)&amp;" ("&amp;TEXT(SUMPRODUCT(MAX((T_PlannedOrders[Part Name]=$A1185)*(T_PlannedOrders[WeekIndex]=32)*(T_PlannedOrders[EffectiveQty]&gt;0)*T_PlannedOrders[Order_Month])),"m月")&amp;"発注)")</f>
        <v/>
      </c>
      <c r="AJ1195">
        <f>IF(SUMIFS(T_PlannedOrders[EffectiveQty],T_PlannedOrders[Part Name],$A1185,T_PlannedOrders[WeekIndex],33)=0,"",SUMIFS(T_PlannedOrders[EffectiveQty],T_PlannedOrders[Part Name],$A1185,T_PlannedOrders[WeekIndex],33)&amp;" ("&amp;TEXT(SUMPRODUCT(MAX((T_PlannedOrders[Part Name]=$A1185)*(T_PlannedOrders[WeekIndex]=33)*(T_PlannedOrders[EffectiveQty]&gt;0)*T_PlannedOrders[Order_Month])),"m月")&amp;"発注)")</f>
        <v/>
      </c>
      <c r="AK1195">
        <f>IF(SUMIFS(T_PlannedOrders[EffectiveQty],T_PlannedOrders[Part Name],$A1185,T_PlannedOrders[WeekIndex],34)=0,"",SUMIFS(T_PlannedOrders[EffectiveQty],T_PlannedOrders[Part Name],$A1185,T_PlannedOrders[WeekIndex],34)&amp;" ("&amp;TEXT(SUMPRODUCT(MAX((T_PlannedOrders[Part Name]=$A1185)*(T_PlannedOrders[WeekIndex]=34)*(T_PlannedOrders[EffectiveQty]&gt;0)*T_PlannedOrders[Order_Month])),"m月")&amp;"発注)")</f>
        <v/>
      </c>
      <c r="AL1195">
        <f>IF(SUMIFS(T_PlannedOrders[EffectiveQty],T_PlannedOrders[Part Name],$A1185,T_PlannedOrders[WeekIndex],35)=0,"",SUMIFS(T_PlannedOrders[EffectiveQty],T_PlannedOrders[Part Name],$A1185,T_PlannedOrders[WeekIndex],35)&amp;" ("&amp;TEXT(SUMPRODUCT(MAX((T_PlannedOrders[Part Name]=$A1185)*(T_PlannedOrders[WeekIndex]=35)*(T_PlannedOrders[EffectiveQty]&gt;0)*T_PlannedOrders[Order_Month])),"m月")&amp;"発注)")</f>
        <v/>
      </c>
      <c r="AM1195">
        <f>IF(SUMIFS(T_PlannedOrders[EffectiveQty],T_PlannedOrders[Part Name],$A1185,T_PlannedOrders[WeekIndex],36)=0,"",SUMIFS(T_PlannedOrders[EffectiveQty],T_PlannedOrders[Part Name],$A1185,T_PlannedOrders[WeekIndex],36)&amp;" ("&amp;TEXT(SUMPRODUCT(MAX((T_PlannedOrders[Part Name]=$A1185)*(T_PlannedOrders[WeekIndex]=36)*(T_PlannedOrders[EffectiveQty]&gt;0)*T_PlannedOrders[Order_Month])),"m月")&amp;"発注)")</f>
        <v/>
      </c>
      <c r="AN1195">
        <f>IF(SUMIFS(T_PlannedOrders[EffectiveQty],T_PlannedOrders[Part Name],$A1185,T_PlannedOrders[WeekIndex],37)=0,"",SUMIFS(T_PlannedOrders[EffectiveQty],T_PlannedOrders[Part Name],$A1185,T_PlannedOrders[WeekIndex],37)&amp;" ("&amp;TEXT(SUMPRODUCT(MAX((T_PlannedOrders[Part Name]=$A1185)*(T_PlannedOrders[WeekIndex]=37)*(T_PlannedOrders[EffectiveQty]&gt;0)*T_PlannedOrders[Order_Month])),"m月")&amp;"発注)")</f>
        <v/>
      </c>
      <c r="AO1195">
        <f>IF(SUMIFS(T_PlannedOrders[EffectiveQty],T_PlannedOrders[Part Name],$A1185,T_PlannedOrders[WeekIndex],38)=0,"",SUMIFS(T_PlannedOrders[EffectiveQty],T_PlannedOrders[Part Name],$A1185,T_PlannedOrders[WeekIndex],38)&amp;" ("&amp;TEXT(SUMPRODUCT(MAX((T_PlannedOrders[Part Name]=$A1185)*(T_PlannedOrders[WeekIndex]=38)*(T_PlannedOrders[EffectiveQty]&gt;0)*T_PlannedOrders[Order_Month])),"m月")&amp;"発注)")</f>
        <v/>
      </c>
      <c r="AP1195">
        <f>IF(SUMIFS(T_PlannedOrders[EffectiveQty],T_PlannedOrders[Part Name],$A1185,T_PlannedOrders[WeekIndex],39)=0,"",SUMIFS(T_PlannedOrders[EffectiveQty],T_PlannedOrders[Part Name],$A1185,T_PlannedOrders[WeekIndex],39)&amp;" ("&amp;TEXT(SUMPRODUCT(MAX((T_PlannedOrders[Part Name]=$A1185)*(T_PlannedOrders[WeekIndex]=39)*(T_PlannedOrders[EffectiveQty]&gt;0)*T_PlannedOrders[Order_Month])),"m月")&amp;"発注)")</f>
        <v/>
      </c>
      <c r="AQ1195">
        <f>IF(SUMIFS(T_PlannedOrders[EffectiveQty],T_PlannedOrders[Part Name],$A1185,T_PlannedOrders[WeekIndex],40)=0,"",SUMIFS(T_PlannedOrders[EffectiveQty],T_PlannedOrders[Part Name],$A1185,T_PlannedOrders[WeekIndex],40)&amp;" ("&amp;TEXT(SUMPRODUCT(MAX((T_PlannedOrders[Part Name]=$A1185)*(T_PlannedOrders[WeekIndex]=40)*(T_PlannedOrders[EffectiveQty]&gt;0)*T_PlannedOrders[Order_Month])),"m月")&amp;"発注)")</f>
        <v/>
      </c>
      <c r="AR1195">
        <f>IF(SUMIFS(T_PlannedOrders[EffectiveQty],T_PlannedOrders[Part Name],$A1185,T_PlannedOrders[WeekIndex],41)=0,"",SUMIFS(T_PlannedOrders[EffectiveQty],T_PlannedOrders[Part Name],$A1185,T_PlannedOrders[WeekIndex],41)&amp;" ("&amp;TEXT(SUMPRODUCT(MAX((T_PlannedOrders[Part Name]=$A1185)*(T_PlannedOrders[WeekIndex]=41)*(T_PlannedOrders[EffectiveQty]&gt;0)*T_PlannedOrders[Order_Month])),"m月")&amp;"発注)")</f>
        <v/>
      </c>
      <c r="AS1195">
        <f>IF(SUMIFS(T_PlannedOrders[EffectiveQty],T_PlannedOrders[Part Name],$A1185,T_PlannedOrders[WeekIndex],42)=0,"",SUMIFS(T_PlannedOrders[EffectiveQty],T_PlannedOrders[Part Name],$A1185,T_PlannedOrders[WeekIndex],42)&amp;" ("&amp;TEXT(SUMPRODUCT(MAX((T_PlannedOrders[Part Name]=$A1185)*(T_PlannedOrders[WeekIndex]=42)*(T_PlannedOrders[EffectiveQty]&gt;0)*T_PlannedOrders[Order_Month])),"m月")&amp;"発注)")</f>
        <v/>
      </c>
      <c r="AT1195">
        <f>IF(SUMIFS(T_PlannedOrders[EffectiveQty],T_PlannedOrders[Part Name],$A1185,T_PlannedOrders[WeekIndex],43)=0,"",SUMIFS(T_PlannedOrders[EffectiveQty],T_PlannedOrders[Part Name],$A1185,T_PlannedOrders[WeekIndex],43)&amp;" ("&amp;TEXT(SUMPRODUCT(MAX((T_PlannedOrders[Part Name]=$A1185)*(T_PlannedOrders[WeekIndex]=43)*(T_PlannedOrders[EffectiveQty]&gt;0)*T_PlannedOrders[Order_Month])),"m月")&amp;"発注)")</f>
        <v/>
      </c>
      <c r="AU1195">
        <f>IF(SUMIFS(T_PlannedOrders[EffectiveQty],T_PlannedOrders[Part Name],$A1185,T_PlannedOrders[WeekIndex],44)=0,"",SUMIFS(T_PlannedOrders[EffectiveQty],T_PlannedOrders[Part Name],$A1185,T_PlannedOrders[WeekIndex],44)&amp;" ("&amp;TEXT(SUMPRODUCT(MAX((T_PlannedOrders[Part Name]=$A1185)*(T_PlannedOrders[WeekIndex]=44)*(T_PlannedOrders[EffectiveQty]&gt;0)*T_PlannedOrders[Order_Month])),"m月")&amp;"発注)")</f>
        <v/>
      </c>
      <c r="AV1195">
        <f>IF(SUMIFS(T_PlannedOrders[EffectiveQty],T_PlannedOrders[Part Name],$A1185,T_PlannedOrders[WeekIndex],45)=0,"",SUMIFS(T_PlannedOrders[EffectiveQty],T_PlannedOrders[Part Name],$A1185,T_PlannedOrders[WeekIndex],45)&amp;" ("&amp;TEXT(SUMPRODUCT(MAX((T_PlannedOrders[Part Name]=$A1185)*(T_PlannedOrders[WeekIndex]=45)*(T_PlannedOrders[EffectiveQty]&gt;0)*T_PlannedOrders[Order_Month])),"m月")&amp;"発注)")</f>
        <v/>
      </c>
      <c r="AW1195">
        <f>IF(SUMIFS(T_PlannedOrders[EffectiveQty],T_PlannedOrders[Part Name],$A1185,T_PlannedOrders[WeekIndex],46)=0,"",SUMIFS(T_PlannedOrders[EffectiveQty],T_PlannedOrders[Part Name],$A1185,T_PlannedOrders[WeekIndex],46)&amp;" ("&amp;TEXT(SUMPRODUCT(MAX((T_PlannedOrders[Part Name]=$A1185)*(T_PlannedOrders[WeekIndex]=46)*(T_PlannedOrders[EffectiveQty]&gt;0)*T_PlannedOrders[Order_Month])),"m月")&amp;"発注)")</f>
        <v/>
      </c>
      <c r="AX1195">
        <f>IF(SUMIFS(T_PlannedOrders[EffectiveQty],T_PlannedOrders[Part Name],$A1185,T_PlannedOrders[WeekIndex],47)=0,"",SUMIFS(T_PlannedOrders[EffectiveQty],T_PlannedOrders[Part Name],$A1185,T_PlannedOrders[WeekIndex],47)&amp;" ("&amp;TEXT(SUMPRODUCT(MAX((T_PlannedOrders[Part Name]=$A1185)*(T_PlannedOrders[WeekIndex]=47)*(T_PlannedOrders[EffectiveQty]&gt;0)*T_PlannedOrders[Order_Month])),"m月")&amp;"発注)")</f>
        <v/>
      </c>
      <c r="AY1195">
        <f>IF(SUMIFS(T_PlannedOrders[EffectiveQty],T_PlannedOrders[Part Name],$A1185,T_PlannedOrders[WeekIndex],48)=0,"",SUMIFS(T_PlannedOrders[EffectiveQty],T_PlannedOrders[Part Name],$A1185,T_PlannedOrders[WeekIndex],48)&amp;" ("&amp;TEXT(SUMPRODUCT(MAX((T_PlannedOrders[Part Name]=$A1185)*(T_PlannedOrders[WeekIndex]=48)*(T_PlannedOrders[EffectiveQty]&gt;0)*T_PlannedOrders[Order_Month])),"m月")&amp;"発注)")</f>
        <v/>
      </c>
      <c r="AZ1195">
        <f>IF(SUMIFS(T_PlannedOrders[EffectiveQty],T_PlannedOrders[Part Name],$A1185,T_PlannedOrders[WeekIndex],49)=0,"",SUMIFS(T_PlannedOrders[EffectiveQty],T_PlannedOrders[Part Name],$A1185,T_PlannedOrders[WeekIndex],49)&amp;" ("&amp;TEXT(SUMPRODUCT(MAX((T_PlannedOrders[Part Name]=$A1185)*(T_PlannedOrders[WeekIndex]=49)*(T_PlannedOrders[EffectiveQty]&gt;0)*T_PlannedOrders[Order_Month])),"m月")&amp;"発注)")</f>
        <v/>
      </c>
      <c r="BA1195">
        <f>IF(SUMIFS(T_PlannedOrders[EffectiveQty],T_PlannedOrders[Part Name],$A1185,T_PlannedOrders[WeekIndex],50)=0,"",SUMIFS(T_PlannedOrders[EffectiveQty],T_PlannedOrders[Part Name],$A1185,T_PlannedOrders[WeekIndex],50)&amp;" ("&amp;TEXT(SUMPRODUCT(MAX((T_PlannedOrders[Part Name]=$A1185)*(T_PlannedOrders[WeekIndex]=50)*(T_PlannedOrders[EffectiveQty]&gt;0)*T_PlannedOrders[Order_Month])),"m月")&amp;"発注)")</f>
        <v/>
      </c>
      <c r="BB1195">
        <f>IF(SUMIFS(T_PlannedOrders[EffectiveQty],T_PlannedOrders[Part Name],$A1185,T_PlannedOrders[WeekIndex],51)=0,"",SUMIFS(T_PlannedOrders[EffectiveQty],T_PlannedOrders[Part Name],$A1185,T_PlannedOrders[WeekIndex],51)&amp;" ("&amp;TEXT(SUMPRODUCT(MAX((T_PlannedOrders[Part Name]=$A1185)*(T_PlannedOrders[WeekIndex]=51)*(T_PlannedOrders[EffectiveQty]&gt;0)*T_PlannedOrders[Order_Month])),"m月")&amp;"発注)")</f>
        <v/>
      </c>
      <c r="BC1195">
        <f>IF(SUMIFS(T_PlannedOrders[EffectiveQty],T_PlannedOrders[Part Name],$A1185,T_PlannedOrders[WeekIndex],52)=0,"",SUMIFS(T_PlannedOrders[EffectiveQty],T_PlannedOrders[Part Name],$A1185,T_PlannedOrders[WeekIndex],52)&amp;" ("&amp;TEXT(SUMPRODUCT(MAX((T_PlannedOrders[Part Name]=$A1185)*(T_PlannedOrders[WeekIndex]=52)*(T_PlannedOrders[EffectiveQty]&gt;0)*T_PlannedOrders[Order_Month])),"m月")&amp;"発注)")</f>
        <v/>
      </c>
      <c r="BD1195">
        <f>IF(SUMIFS(T_PlannedOrders[EffectiveQty],T_PlannedOrders[Part Name],$A1185,T_PlannedOrders[WeekIndex],53)=0,"",SUMIFS(T_PlannedOrders[EffectiveQty],T_PlannedOrders[Part Name],$A1185,T_PlannedOrders[WeekIndex],53)&amp;" ("&amp;TEXT(SUMPRODUCT(MAX((T_PlannedOrders[Part Name]=$A1185)*(T_PlannedOrders[WeekIndex]=53)*(T_PlannedOrders[EffectiveQty]&gt;0)*T_PlannedOrders[Order_Month])),"m月")&amp;"発注)")</f>
        <v/>
      </c>
      <c r="BE1195">
        <f>IF(SUMIFS(T_PlannedOrders[EffectiveQty],T_PlannedOrders[Part Name],$A1185,T_PlannedOrders[WeekIndex],54)=0,"",SUMIFS(T_PlannedOrders[EffectiveQty],T_PlannedOrders[Part Name],$A1185,T_PlannedOrders[WeekIndex],54)&amp;" ("&amp;TEXT(SUMPRODUCT(MAX((T_PlannedOrders[Part Name]=$A1185)*(T_PlannedOrders[WeekIndex]=54)*(T_PlannedOrders[EffectiveQty]&gt;0)*T_PlannedOrders[Order_Month])),"m月")&amp;"発注)")</f>
        <v/>
      </c>
      <c r="BF1195">
        <f>IF(SUMIFS(T_PlannedOrders[EffectiveQty],T_PlannedOrders[Part Name],$A1185,T_PlannedOrders[WeekIndex],55)=0,"",SUMIFS(T_PlannedOrders[EffectiveQty],T_PlannedOrders[Part Name],$A1185,T_PlannedOrders[WeekIndex],55)&amp;" ("&amp;TEXT(SUMPRODUCT(MAX((T_PlannedOrders[Part Name]=$A1185)*(T_PlannedOrders[WeekIndex]=55)*(T_PlannedOrders[EffectiveQty]&gt;0)*T_PlannedOrders[Order_Month])),"m月")&amp;"発注)")</f>
        <v/>
      </c>
      <c r="BG1195">
        <f>IF(SUMIFS(T_PlannedOrders[EffectiveQty],T_PlannedOrders[Part Name],$A1185,T_PlannedOrders[WeekIndex],56)=0,"",SUMIFS(T_PlannedOrders[EffectiveQty],T_PlannedOrders[Part Name],$A1185,T_PlannedOrders[WeekIndex],56)&amp;" ("&amp;TEXT(SUMPRODUCT(MAX((T_PlannedOrders[Part Name]=$A1185)*(T_PlannedOrders[WeekIndex]=56)*(T_PlannedOrders[EffectiveQty]&gt;0)*T_PlannedOrders[Order_Month])),"m月")&amp;"発注)")</f>
        <v/>
      </c>
      <c r="BH1195">
        <f>IF(SUMIFS(T_PlannedOrders[EffectiveQty],T_PlannedOrders[Part Name],$A1185,T_PlannedOrders[WeekIndex],57)=0,"",SUMIFS(T_PlannedOrders[EffectiveQty],T_PlannedOrders[Part Name],$A1185,T_PlannedOrders[WeekIndex],57)&amp;" ("&amp;TEXT(SUMPRODUCT(MAX((T_PlannedOrders[Part Name]=$A1185)*(T_PlannedOrders[WeekIndex]=57)*(T_PlannedOrders[EffectiveQty]&gt;0)*T_PlannedOrders[Order_Month])),"m月")&amp;"発注)")</f>
        <v/>
      </c>
      <c r="BI1195">
        <f>IF(SUMIFS(T_PlannedOrders[EffectiveQty],T_PlannedOrders[Part Name],$A1185,T_PlannedOrders[WeekIndex],58)=0,"",SUMIFS(T_PlannedOrders[EffectiveQty],T_PlannedOrders[Part Name],$A1185,T_PlannedOrders[WeekIndex],58)&amp;" ("&amp;TEXT(SUMPRODUCT(MAX((T_PlannedOrders[Part Name]=$A1185)*(T_PlannedOrders[WeekIndex]=58)*(T_PlannedOrders[EffectiveQty]&gt;0)*T_PlannedOrders[Order_Month])),"m月")&amp;"発注)")</f>
        <v/>
      </c>
      <c r="BJ1195">
        <f>IF(SUMIFS(T_PlannedOrders[EffectiveQty],T_PlannedOrders[Part Name],$A1185,T_PlannedOrders[WeekIndex],59)=0,"",SUMIFS(T_PlannedOrders[EffectiveQty],T_PlannedOrders[Part Name],$A1185,T_PlannedOrders[WeekIndex],59)&amp;" ("&amp;TEXT(SUMPRODUCT(MAX((T_PlannedOrders[Part Name]=$A1185)*(T_PlannedOrders[WeekIndex]=59)*(T_PlannedOrders[EffectiveQty]&gt;0)*T_PlannedOrders[Order_Month])),"m月")&amp;"発注)")</f>
        <v/>
      </c>
      <c r="BK1195">
        <f>IF(SUMIFS(T_PlannedOrders[EffectiveQty],T_PlannedOrders[Part Name],$A1185,T_PlannedOrders[WeekIndex],60)=0,"",SUMIFS(T_PlannedOrders[EffectiveQty],T_PlannedOrders[Part Name],$A1185,T_PlannedOrders[WeekIndex],60)&amp;" ("&amp;TEXT(SUMPRODUCT(MAX((T_PlannedOrders[Part Name]=$A1185)*(T_PlannedOrders[WeekIndex]=60)*(T_PlannedOrders[EffectiveQty]&gt;0)*T_PlannedOrders[Order_Month])),"m月")&amp;"発注)")</f>
        <v/>
      </c>
      <c r="BL1195">
        <f>IF(SUMIFS(T_PlannedOrders[EffectiveQty],T_PlannedOrders[Part Name],$A1185,T_PlannedOrders[WeekIndex],61)=0,"",SUMIFS(T_PlannedOrders[EffectiveQty],T_PlannedOrders[Part Name],$A1185,T_PlannedOrders[WeekIndex],61)&amp;" ("&amp;TEXT(SUMPRODUCT(MAX((T_PlannedOrders[Part Name]=$A1185)*(T_PlannedOrders[WeekIndex]=61)*(T_PlannedOrders[EffectiveQty]&gt;0)*T_PlannedOrders[Order_Month])),"m月")&amp;"発注)")</f>
        <v/>
      </c>
      <c r="BM1195">
        <f>IF(SUMIFS(T_PlannedOrders[EffectiveQty],T_PlannedOrders[Part Name],$A1185,T_PlannedOrders[WeekIndex],62)=0,"",SUMIFS(T_PlannedOrders[EffectiveQty],T_PlannedOrders[Part Name],$A1185,T_PlannedOrders[WeekIndex],62)&amp;" ("&amp;TEXT(SUMPRODUCT(MAX((T_PlannedOrders[Part Name]=$A1185)*(T_PlannedOrders[WeekIndex]=62)*(T_PlannedOrders[EffectiveQty]&gt;0)*T_PlannedOrders[Order_Month])),"m月")&amp;"発注)")</f>
        <v/>
      </c>
      <c r="BN1195">
        <f>IF(SUMIFS(T_PlannedOrders[EffectiveQty],T_PlannedOrders[Part Name],$A1185,T_PlannedOrders[WeekIndex],63)=0,"",SUMIFS(T_PlannedOrders[EffectiveQty],T_PlannedOrders[Part Name],$A1185,T_PlannedOrders[WeekIndex],63)&amp;" ("&amp;TEXT(SUMPRODUCT(MAX((T_PlannedOrders[Part Name]=$A1185)*(T_PlannedOrders[WeekIndex]=63)*(T_PlannedOrders[EffectiveQty]&gt;0)*T_PlannedOrders[Order_Month])),"m月")&amp;"発注)")</f>
        <v/>
      </c>
      <c r="BO1195">
        <f>IF(SUMIFS(T_PlannedOrders[EffectiveQty],T_PlannedOrders[Part Name],$A1185,T_PlannedOrders[WeekIndex],64)=0,"",SUMIFS(T_PlannedOrders[EffectiveQty],T_PlannedOrders[Part Name],$A1185,T_PlannedOrders[WeekIndex],64)&amp;" ("&amp;TEXT(SUMPRODUCT(MAX((T_PlannedOrders[Part Name]=$A1185)*(T_PlannedOrders[WeekIndex]=64)*(T_PlannedOrders[EffectiveQty]&gt;0)*T_PlannedOrders[Order_Month])),"m月")&amp;"発注)")</f>
        <v/>
      </c>
      <c r="BP1195">
        <f>IF(SUMIFS(T_PlannedOrders[EffectiveQty],T_PlannedOrders[Part Name],$A1185,T_PlannedOrders[WeekIndex],65)=0,"",SUMIFS(T_PlannedOrders[EffectiveQty],T_PlannedOrders[Part Name],$A1185,T_PlannedOrders[WeekIndex],65)&amp;" ("&amp;TEXT(SUMPRODUCT(MAX((T_PlannedOrders[Part Name]=$A1185)*(T_PlannedOrders[WeekIndex]=65)*(T_PlannedOrders[EffectiveQty]&gt;0)*T_PlannedOrders[Order_Month])),"m月")&amp;"発注)")</f>
        <v/>
      </c>
      <c r="BQ1195">
        <f>IF(SUMIFS(T_PlannedOrders[EffectiveQty],T_PlannedOrders[Part Name],$A1185,T_PlannedOrders[WeekIndex],66)=0,"",SUMIFS(T_PlannedOrders[EffectiveQty],T_PlannedOrders[Part Name],$A1185,T_PlannedOrders[WeekIndex],66)&amp;" ("&amp;TEXT(SUMPRODUCT(MAX((T_PlannedOrders[Part Name]=$A1185)*(T_PlannedOrders[WeekIndex]=66)*(T_PlannedOrders[EffectiveQty]&gt;0)*T_PlannedOrders[Order_Month])),"m月")&amp;"発注)")</f>
        <v/>
      </c>
      <c r="BR1195">
        <f>IF(SUMIFS(T_PlannedOrders[EffectiveQty],T_PlannedOrders[Part Name],$A1185,T_PlannedOrders[WeekIndex],67)=0,"",SUMIFS(T_PlannedOrders[EffectiveQty],T_PlannedOrders[Part Name],$A1185,T_PlannedOrders[WeekIndex],67)&amp;" ("&amp;TEXT(SUMPRODUCT(MAX((T_PlannedOrders[Part Name]=$A1185)*(T_PlannedOrders[WeekIndex]=67)*(T_PlannedOrders[EffectiveQty]&gt;0)*T_PlannedOrders[Order_Month])),"m月")&amp;"発注)")</f>
        <v/>
      </c>
      <c r="BS1195">
        <f>IF(SUMIFS(T_PlannedOrders[EffectiveQty],T_PlannedOrders[Part Name],$A1185,T_PlannedOrders[WeekIndex],68)=0,"",SUMIFS(T_PlannedOrders[EffectiveQty],T_PlannedOrders[Part Name],$A1185,T_PlannedOrders[WeekIndex],68)&amp;" ("&amp;TEXT(SUMPRODUCT(MAX((T_PlannedOrders[Part Name]=$A1185)*(T_PlannedOrders[WeekIndex]=68)*(T_PlannedOrders[EffectiveQty]&gt;0)*T_PlannedOrders[Order_Month])),"m月")&amp;"発注)")</f>
        <v/>
      </c>
      <c r="BT1195">
        <f>IF(SUMIFS(T_PlannedOrders[EffectiveQty],T_PlannedOrders[Part Name],$A1185,T_PlannedOrders[WeekIndex],69)=0,"",SUMIFS(T_PlannedOrders[EffectiveQty],T_PlannedOrders[Part Name],$A1185,T_PlannedOrders[WeekIndex],69)&amp;" ("&amp;TEXT(SUMPRODUCT(MAX((T_PlannedOrders[Part Name]=$A1185)*(T_PlannedOrders[WeekIndex]=69)*(T_PlannedOrders[EffectiveQty]&gt;0)*T_PlannedOrders[Order_Month])),"m月")&amp;"発注)")</f>
        <v/>
      </c>
      <c r="BU1195">
        <f>IF(SUMIFS(T_PlannedOrders[EffectiveQty],T_PlannedOrders[Part Name],$A1185,T_PlannedOrders[WeekIndex],70)=0,"",SUMIFS(T_PlannedOrders[EffectiveQty],T_PlannedOrders[Part Name],$A1185,T_PlannedOrders[WeekIndex],70)&amp;" ("&amp;TEXT(SUMPRODUCT(MAX((T_PlannedOrders[Part Name]=$A1185)*(T_PlannedOrders[WeekIndex]=70)*(T_PlannedOrders[EffectiveQty]&gt;0)*T_PlannedOrders[Order_Month])),"m月")&amp;"発注)")</f>
        <v/>
      </c>
      <c r="BV1195">
        <f>IF(SUMIFS(T_PlannedOrders[EffectiveQty],T_PlannedOrders[Part Name],$A1185,T_PlannedOrders[WeekIndex],71)=0,"",SUMIFS(T_PlannedOrders[EffectiveQty],T_PlannedOrders[Part Name],$A1185,T_PlannedOrders[WeekIndex],71)&amp;" ("&amp;TEXT(SUMPRODUCT(MAX((T_PlannedOrders[Part Name]=$A1185)*(T_PlannedOrders[WeekIndex]=71)*(T_PlannedOrders[EffectiveQty]&gt;0)*T_PlannedOrders[Order_Month])),"m月")&amp;"発注)")</f>
        <v/>
      </c>
      <c r="BW1195">
        <f>IF(SUMIFS(T_PlannedOrders[EffectiveQty],T_PlannedOrders[Part Name],$A1185,T_PlannedOrders[WeekIndex],72)=0,"",SUMIFS(T_PlannedOrders[EffectiveQty],T_PlannedOrders[Part Name],$A1185,T_PlannedOrders[WeekIndex],72)&amp;" ("&amp;TEXT(SUMPRODUCT(MAX((T_PlannedOrders[Part Name]=$A1185)*(T_PlannedOrders[WeekIndex]=72)*(T_PlannedOrders[EffectiveQty]&gt;0)*T_PlannedOrders[Order_Month])),"m月")&amp;"発注)")</f>
        <v/>
      </c>
      <c r="BX1195">
        <f>IF(SUMIFS(T_PlannedOrders[EffectiveQty],T_PlannedOrders[Part Name],$A1185,T_PlannedOrders[WeekIndex],73)=0,"",SUMIFS(T_PlannedOrders[EffectiveQty],T_PlannedOrders[Part Name],$A1185,T_PlannedOrders[WeekIndex],73)&amp;" ("&amp;TEXT(SUMPRODUCT(MAX((T_PlannedOrders[Part Name]=$A1185)*(T_PlannedOrders[WeekIndex]=73)*(T_PlannedOrders[EffectiveQty]&gt;0)*T_PlannedOrders[Order_Month])),"m月")&amp;"発注)")</f>
        <v/>
      </c>
      <c r="BY1195">
        <f>IF(SUMIFS(T_PlannedOrders[EffectiveQty],T_PlannedOrders[Part Name],$A1185,T_PlannedOrders[WeekIndex],74)=0,"",SUMIFS(T_PlannedOrders[EffectiveQty],T_PlannedOrders[Part Name],$A1185,T_PlannedOrders[WeekIndex],74)&amp;" ("&amp;TEXT(SUMPRODUCT(MAX((T_PlannedOrders[Part Name]=$A1185)*(T_PlannedOrders[WeekIndex]=74)*(T_PlannedOrders[EffectiveQty]&gt;0)*T_PlannedOrders[Order_Month])),"m月")&amp;"発注)")</f>
        <v/>
      </c>
      <c r="BZ1195">
        <f>IF(SUMIFS(T_PlannedOrders[EffectiveQty],T_PlannedOrders[Part Name],$A1185,T_PlannedOrders[WeekIndex],75)=0,"",SUMIFS(T_PlannedOrders[EffectiveQty],T_PlannedOrders[Part Name],$A1185,T_PlannedOrders[WeekIndex],75)&amp;" ("&amp;TEXT(SUMPRODUCT(MAX((T_PlannedOrders[Part Name]=$A1185)*(T_PlannedOrders[WeekIndex]=75)*(T_PlannedOrders[EffectiveQty]&gt;0)*T_PlannedOrders[Order_Month])),"m月")&amp;"発注)")</f>
        <v/>
      </c>
      <c r="CA1195">
        <f>IF(SUMIFS(T_PlannedOrders[EffectiveQty],T_PlannedOrders[Part Name],$A1185,T_PlannedOrders[WeekIndex],76)=0,"",SUMIFS(T_PlannedOrders[EffectiveQty],T_PlannedOrders[Part Name],$A1185,T_PlannedOrders[WeekIndex],76)&amp;" ("&amp;TEXT(SUMPRODUCT(MAX((T_PlannedOrders[Part Name]=$A1185)*(T_PlannedOrders[WeekIndex]=76)*(T_PlannedOrders[EffectiveQty]&gt;0)*T_PlannedOrders[Order_Month])),"m月")&amp;"発注)")</f>
        <v/>
      </c>
      <c r="CB1195">
        <f>IF(SUMIFS(T_PlannedOrders[EffectiveQty],T_PlannedOrders[Part Name],$A1185,T_PlannedOrders[WeekIndex],77)=0,"",SUMIFS(T_PlannedOrders[EffectiveQty],T_PlannedOrders[Part Name],$A1185,T_PlannedOrders[WeekIndex],77)&amp;" ("&amp;TEXT(SUMPRODUCT(MAX((T_PlannedOrders[Part Name]=$A1185)*(T_PlannedOrders[WeekIndex]=77)*(T_PlannedOrders[EffectiveQty]&gt;0)*T_PlannedOrders[Order_Month])),"m月")&amp;"発注)")</f>
        <v/>
      </c>
      <c r="CC1195">
        <f>IF(SUMIFS(T_PlannedOrders[EffectiveQty],T_PlannedOrders[Part Name],$A1185,T_PlannedOrders[WeekIndex],78)=0,"",SUMIFS(T_PlannedOrders[EffectiveQty],T_PlannedOrders[Part Name],$A1185,T_PlannedOrders[WeekIndex],78)&amp;" ("&amp;TEXT(SUMPRODUCT(MAX((T_PlannedOrders[Part Name]=$A1185)*(T_PlannedOrders[WeekIndex]=78)*(T_PlannedOrders[EffectiveQty]&gt;0)*T_PlannedOrders[Order_Month])),"m月")&amp;"発注)")</f>
        <v/>
      </c>
      <c r="CD1195">
        <f>IF(SUMIFS(T_PlannedOrders[EffectiveQty],T_PlannedOrders[Part Name],$A1185,T_PlannedOrders[WeekIndex],79)=0,"",SUMIFS(T_PlannedOrders[EffectiveQty],T_PlannedOrders[Part Name],$A1185,T_PlannedOrders[WeekIndex],79)&amp;" ("&amp;TEXT(SUMPRODUCT(MAX((T_PlannedOrders[Part Name]=$A1185)*(T_PlannedOrders[WeekIndex]=79)*(T_PlannedOrders[EffectiveQty]&gt;0)*T_PlannedOrders[Order_Month])),"m月")&amp;"発注)")</f>
        <v/>
      </c>
      <c r="CE1195">
        <f>IF(SUMIFS(T_PlannedOrders[EffectiveQty],T_PlannedOrders[Part Name],$A1185,T_PlannedOrders[WeekIndex],80)=0,"",SUMIFS(T_PlannedOrders[EffectiveQty],T_PlannedOrders[Part Name],$A1185,T_PlannedOrders[WeekIndex],80)&amp;" ("&amp;TEXT(SUMPRODUCT(MAX((T_PlannedOrders[Part Name]=$A1185)*(T_PlannedOrders[WeekIndex]=80)*(T_PlannedOrders[EffectiveQty]&gt;0)*T_PlannedOrders[Order_Month])),"m月")&amp;"発注)")</f>
        <v/>
      </c>
      <c r="CF1195">
        <f>IF(SUMIFS(T_PlannedOrders[EffectiveQty],T_PlannedOrders[Part Name],$A1185,T_PlannedOrders[WeekIndex],81)=0,"",SUMIFS(T_PlannedOrders[EffectiveQty],T_PlannedOrders[Part Name],$A1185,T_PlannedOrders[WeekIndex],81)&amp;" ("&amp;TEXT(SUMPRODUCT(MAX((T_PlannedOrders[Part Name]=$A1185)*(T_PlannedOrders[WeekIndex]=81)*(T_PlannedOrders[EffectiveQty]&gt;0)*T_PlannedOrders[Order_Month])),"m月")&amp;"発注)")</f>
        <v/>
      </c>
      <c r="CG1195">
        <f>IF(SUMIFS(T_PlannedOrders[EffectiveQty],T_PlannedOrders[Part Name],$A1185,T_PlannedOrders[WeekIndex],82)=0,"",SUMIFS(T_PlannedOrders[EffectiveQty],T_PlannedOrders[Part Name],$A1185,T_PlannedOrders[WeekIndex],82)&amp;" ("&amp;TEXT(SUMPRODUCT(MAX((T_PlannedOrders[Part Name]=$A1185)*(T_PlannedOrders[WeekIndex]=82)*(T_PlannedOrders[EffectiveQty]&gt;0)*T_PlannedOrders[Order_Month])),"m月")&amp;"発注)")</f>
        <v/>
      </c>
      <c r="CH1195">
        <f>IF(SUMIFS(T_PlannedOrders[EffectiveQty],T_PlannedOrders[Part Name],$A1185,T_PlannedOrders[WeekIndex],83)=0,"",SUMIFS(T_PlannedOrders[EffectiveQty],T_PlannedOrders[Part Name],$A1185,T_PlannedOrders[WeekIndex],83)&amp;" ("&amp;TEXT(SUMPRODUCT(MAX((T_PlannedOrders[Part Name]=$A1185)*(T_PlannedOrders[WeekIndex]=83)*(T_PlannedOrders[EffectiveQty]&gt;0)*T_PlannedOrders[Order_Month])),"m月")&amp;"発注)")</f>
        <v/>
      </c>
      <c r="CI1195">
        <f>IF(SUMIFS(T_PlannedOrders[EffectiveQty],T_PlannedOrders[Part Name],$A1185,T_PlannedOrders[WeekIndex],84)=0,"",SUMIFS(T_PlannedOrders[EffectiveQty],T_PlannedOrders[Part Name],$A1185,T_PlannedOrders[WeekIndex],84)&amp;" ("&amp;TEXT(SUMPRODUCT(MAX((T_PlannedOrders[Part Name]=$A1185)*(T_PlannedOrders[WeekIndex]=84)*(T_PlannedOrders[EffectiveQty]&gt;0)*T_PlannedOrders[Order_Month])),"m月")&amp;"発注)")</f>
        <v/>
      </c>
      <c r="CJ1195">
        <f>IF(SUMIFS(T_PlannedOrders[EffectiveQty],T_PlannedOrders[Part Name],$A1185,T_PlannedOrders[WeekIndex],85)=0,"",SUMIFS(T_PlannedOrders[EffectiveQty],T_PlannedOrders[Part Name],$A1185,T_PlannedOrders[WeekIndex],85)&amp;" ("&amp;TEXT(SUMPRODUCT(MAX((T_PlannedOrders[Part Name]=$A1185)*(T_PlannedOrders[WeekIndex]=85)*(T_PlannedOrders[EffectiveQty]&gt;0)*T_PlannedOrders[Order_Month])),"m月")&amp;"発注)")</f>
        <v/>
      </c>
      <c r="CK1195">
        <f>IF(SUMIFS(T_PlannedOrders[EffectiveQty],T_PlannedOrders[Part Name],$A1185,T_PlannedOrders[WeekIndex],86)=0,"",SUMIFS(T_PlannedOrders[EffectiveQty],T_PlannedOrders[Part Name],$A1185,T_PlannedOrders[WeekIndex],86)&amp;" ("&amp;TEXT(SUMPRODUCT(MAX((T_PlannedOrders[Part Name]=$A1185)*(T_PlannedOrders[WeekIndex]=86)*(T_PlannedOrders[EffectiveQty]&gt;0)*T_PlannedOrders[Order_Month])),"m月")&amp;"発注)")</f>
        <v/>
      </c>
      <c r="CL1195">
        <f>IF(SUMIFS(T_PlannedOrders[EffectiveQty],T_PlannedOrders[Part Name],$A1185,T_PlannedOrders[WeekIndex],87)=0,"",SUMIFS(T_PlannedOrders[EffectiveQty],T_PlannedOrders[Part Name],$A1185,T_PlannedOrders[WeekIndex],87)&amp;" ("&amp;TEXT(SUMPRODUCT(MAX((T_PlannedOrders[Part Name]=$A1185)*(T_PlannedOrders[WeekIndex]=87)*(T_PlannedOrders[EffectiveQty]&gt;0)*T_PlannedOrders[Order_Month])),"m月")&amp;"発注)")</f>
        <v/>
      </c>
      <c r="CM1195">
        <f>IF(SUMIFS(T_PlannedOrders[EffectiveQty],T_PlannedOrders[Part Name],$A1185,T_PlannedOrders[WeekIndex],88)=0,"",SUMIFS(T_PlannedOrders[EffectiveQty],T_PlannedOrders[Part Name],$A1185,T_PlannedOrders[WeekIndex],88)&amp;" ("&amp;TEXT(SUMPRODUCT(MAX((T_PlannedOrders[Part Name]=$A1185)*(T_PlannedOrders[WeekIndex]=88)*(T_PlannedOrders[EffectiveQty]&gt;0)*T_PlannedOrders[Order_Month])),"m月")&amp;"発注)")</f>
        <v/>
      </c>
      <c r="CN1195">
        <f>IF(SUMIFS(T_PlannedOrders[EffectiveQty],T_PlannedOrders[Part Name],$A1185,T_PlannedOrders[WeekIndex],89)=0,"",SUMIFS(T_PlannedOrders[EffectiveQty],T_PlannedOrders[Part Name],$A1185,T_PlannedOrders[WeekIndex],89)&amp;" ("&amp;TEXT(SUMPRODUCT(MAX((T_PlannedOrders[Part Name]=$A1185)*(T_PlannedOrders[WeekIndex]=89)*(T_PlannedOrders[EffectiveQty]&gt;0)*T_PlannedOrders[Order_Month])),"m月")&amp;"発注)")</f>
        <v/>
      </c>
      <c r="CO1195">
        <f>IF(SUMIFS(T_PlannedOrders[EffectiveQty],T_PlannedOrders[Part Name],$A1185,T_PlannedOrders[WeekIndex],90)=0,"",SUMIFS(T_PlannedOrders[EffectiveQty],T_PlannedOrders[Part Name],$A1185,T_PlannedOrders[WeekIndex],90)&amp;" ("&amp;TEXT(SUMPRODUCT(MAX((T_PlannedOrders[Part Name]=$A1185)*(T_PlannedOrders[WeekIndex]=90)*(T_PlannedOrders[EffectiveQty]&gt;0)*T_PlannedOrders[Order_Month])),"m月")&amp;"発注)")</f>
        <v/>
      </c>
      <c r="CP1195">
        <f>IF(SUMIFS(T_PlannedOrders[EffectiveQty],T_PlannedOrders[Part Name],$A1185,T_PlannedOrders[WeekIndex],91)=0,"",SUMIFS(T_PlannedOrders[EffectiveQty],T_PlannedOrders[Part Name],$A1185,T_PlannedOrders[WeekIndex],91)&amp;" ("&amp;TEXT(SUMPRODUCT(MAX((T_PlannedOrders[Part Name]=$A1185)*(T_PlannedOrders[WeekIndex]=91)*(T_PlannedOrders[EffectiveQty]&gt;0)*T_PlannedOrders[Order_Month])),"m月")&amp;"発注)")</f>
        <v/>
      </c>
      <c r="CQ1195">
        <f>IF(SUMIFS(T_PlannedOrders[EffectiveQty],T_PlannedOrders[Part Name],$A1185,T_PlannedOrders[WeekIndex],92)=0,"",SUMIFS(T_PlannedOrders[EffectiveQty],T_PlannedOrders[Part Name],$A1185,T_PlannedOrders[WeekIndex],92)&amp;" ("&amp;TEXT(SUMPRODUCT(MAX((T_PlannedOrders[Part Name]=$A1185)*(T_PlannedOrders[WeekIndex]=92)*(T_PlannedOrders[EffectiveQty]&gt;0)*T_PlannedOrders[Order_Month])),"m月")&amp;"発注)")</f>
        <v/>
      </c>
      <c r="CR1195">
        <f>IF(SUMIFS(T_PlannedOrders[EffectiveQty],T_PlannedOrders[Part Name],$A1185,T_PlannedOrders[WeekIndex],93)=0,"",SUMIFS(T_PlannedOrders[EffectiveQty],T_PlannedOrders[Part Name],$A1185,T_PlannedOrders[WeekIndex],93)&amp;" ("&amp;TEXT(SUMPRODUCT(MAX((T_PlannedOrders[Part Name]=$A1185)*(T_PlannedOrders[WeekIndex]=93)*(T_PlannedOrders[EffectiveQty]&gt;0)*T_PlannedOrders[Order_Month])),"m月")&amp;"発注)")</f>
        <v/>
      </c>
      <c r="CS1195">
        <f>IF(SUMIFS(T_PlannedOrders[EffectiveQty],T_PlannedOrders[Part Name],$A1185,T_PlannedOrders[WeekIndex],94)=0,"",SUMIFS(T_PlannedOrders[EffectiveQty],T_PlannedOrders[Part Name],$A1185,T_PlannedOrders[WeekIndex],94)&amp;" ("&amp;TEXT(SUMPRODUCT(MAX((T_PlannedOrders[Part Name]=$A1185)*(T_PlannedOrders[WeekIndex]=94)*(T_PlannedOrders[EffectiveQty]&gt;0)*T_PlannedOrders[Order_Month])),"m月")&amp;"発注)")</f>
        <v/>
      </c>
      <c r="CT1195">
        <f>IF(SUMIFS(T_PlannedOrders[EffectiveQty],T_PlannedOrders[Part Name],$A1185,T_PlannedOrders[WeekIndex],95)=0,"",SUMIFS(T_PlannedOrders[EffectiveQty],T_PlannedOrders[Part Name],$A1185,T_PlannedOrders[WeekIndex],95)&amp;" ("&amp;TEXT(SUMPRODUCT(MAX((T_PlannedOrders[Part Name]=$A1185)*(T_PlannedOrders[WeekIndex]=95)*(T_PlannedOrders[EffectiveQty]&gt;0)*T_PlannedOrders[Order_Month])),"m月")&amp;"発注)")</f>
        <v/>
      </c>
      <c r="CU1195">
        <f>IF(SUMIFS(T_PlannedOrders[EffectiveQty],T_PlannedOrders[Part Name],$A1185,T_PlannedOrders[WeekIndex],96)=0,"",SUMIFS(T_PlannedOrders[EffectiveQty],T_PlannedOrders[Part Name],$A1185,T_PlannedOrders[WeekIndex],96)&amp;" ("&amp;TEXT(SUMPRODUCT(MAX((T_PlannedOrders[Part Name]=$A1185)*(T_PlannedOrders[WeekIndex]=96)*(T_PlannedOrders[EffectiveQty]&gt;0)*T_PlannedOrders[Order_Month])),"m月")&amp;"発注)")</f>
        <v/>
      </c>
      <c r="CV1195">
        <f>IF(SUMIFS(T_PlannedOrders[EffectiveQty],T_PlannedOrders[Part Name],$A1185,T_PlannedOrders[WeekIndex],97)=0,"",SUMIFS(T_PlannedOrders[EffectiveQty],T_PlannedOrders[Part Name],$A1185,T_PlannedOrders[WeekIndex],97)&amp;" ("&amp;TEXT(SUMPRODUCT(MAX((T_PlannedOrders[Part Name]=$A1185)*(T_PlannedOrders[WeekIndex]=97)*(T_PlannedOrders[EffectiveQty]&gt;0)*T_PlannedOrders[Order_Month])),"m月")&amp;"発注)")</f>
        <v/>
      </c>
      <c r="CW1195">
        <f>IF(SUMIFS(T_PlannedOrders[EffectiveQty],T_PlannedOrders[Part Name],$A1185,T_PlannedOrders[WeekIndex],98)=0,"",SUMIFS(T_PlannedOrders[EffectiveQty],T_PlannedOrders[Part Name],$A1185,T_PlannedOrders[WeekIndex],98)&amp;" ("&amp;TEXT(SUMPRODUCT(MAX((T_PlannedOrders[Part Name]=$A1185)*(T_PlannedOrders[WeekIndex]=98)*(T_PlannedOrders[EffectiveQty]&gt;0)*T_PlannedOrders[Order_Month])),"m月")&amp;"発注)")</f>
        <v/>
      </c>
      <c r="CX1195">
        <f>IF(SUMIFS(T_PlannedOrders[EffectiveQty],T_PlannedOrders[Part Name],$A1185,T_PlannedOrders[WeekIndex],99)=0,"",SUMIFS(T_PlannedOrders[EffectiveQty],T_PlannedOrders[Part Name],$A1185,T_PlannedOrders[WeekIndex],99)&amp;" ("&amp;TEXT(SUMPRODUCT(MAX((T_PlannedOrders[Part Name]=$A1185)*(T_PlannedOrders[WeekIndex]=99)*(T_PlannedOrders[EffectiveQty]&gt;0)*T_PlannedOrders[Order_Month])),"m月")&amp;"発注)")</f>
        <v/>
      </c>
      <c r="CY1195">
        <f>IF(SUMIFS(T_PlannedOrders[EffectiveQty],T_PlannedOrders[Part Name],$A1185,T_PlannedOrders[WeekIndex],100)=0,"",SUMIFS(T_PlannedOrders[EffectiveQty],T_PlannedOrders[Part Name],$A1185,T_PlannedOrders[WeekIndex],100)&amp;" ("&amp;TEXT(SUMPRODUCT(MAX((T_PlannedOrders[Part Name]=$A1185)*(T_PlannedOrders[WeekIndex]=100)*(T_PlannedOrders[EffectiveQty]&gt;0)*T_PlannedOrders[Order_Month])),"m月")&amp;"発注)")</f>
        <v/>
      </c>
      <c r="CZ1195">
        <f>IF(SUMIFS(T_PlannedOrders[EffectiveQty],T_PlannedOrders[Part Name],$A1185,T_PlannedOrders[WeekIndex],101)=0,"",SUMIFS(T_PlannedOrders[EffectiveQty],T_PlannedOrders[Part Name],$A1185,T_PlannedOrders[WeekIndex],101)&amp;" ("&amp;TEXT(SUMPRODUCT(MAX((T_PlannedOrders[Part Name]=$A1185)*(T_PlannedOrders[WeekIndex]=101)*(T_PlannedOrders[EffectiveQty]&gt;0)*T_PlannedOrders[Order_Month])),"m月")&amp;"発注)")</f>
        <v/>
      </c>
      <c r="DA1195">
        <f>IF(SUMIFS(T_PlannedOrders[EffectiveQty],T_PlannedOrders[Part Name],$A1185,T_PlannedOrders[WeekIndex],102)=0,"",SUMIFS(T_PlannedOrders[EffectiveQty],T_PlannedOrders[Part Name],$A1185,T_PlannedOrders[WeekIndex],102)&amp;" ("&amp;TEXT(SUMPRODUCT(MAX((T_PlannedOrders[Part Name]=$A1185)*(T_PlannedOrders[WeekIndex]=102)*(T_PlannedOrders[EffectiveQty]&gt;0)*T_PlannedOrders[Order_Month])),"m月")&amp;"発注)")</f>
        <v/>
      </c>
      <c r="DB1195">
        <f>IF(SUMIFS(T_PlannedOrders[EffectiveQty],T_PlannedOrders[Part Name],$A1185,T_PlannedOrders[WeekIndex],103)=0,"",SUMIFS(T_PlannedOrders[EffectiveQty],T_PlannedOrders[Part Name],$A1185,T_PlannedOrders[WeekIndex],103)&amp;" ("&amp;TEXT(SUMPRODUCT(MAX((T_PlannedOrders[Part Name]=$A1185)*(T_PlannedOrders[WeekIndex]=103)*(T_PlannedOrders[EffectiveQty]&gt;0)*T_PlannedOrders[Order_Month])),"m月")&amp;"発注)")</f>
        <v/>
      </c>
      <c r="DC1195">
        <f>IF(SUMIFS(T_PlannedOrders[EffectiveQty],T_PlannedOrders[Part Name],$A1185,T_PlannedOrders[WeekIndex],104)=0,"",SUMIFS(T_PlannedOrders[EffectiveQty],T_PlannedOrders[Part Name],$A1185,T_PlannedOrders[WeekIndex],104)&amp;" ("&amp;TEXT(SUMPRODUCT(MAX((T_PlannedOrders[Part Name]=$A1185)*(T_PlannedOrders[WeekIndex]=104)*(T_PlannedOrders[EffectiveQty]&gt;0)*T_PlannedOrders[Order_Month])),"m月")&amp;"発注)")</f>
        <v/>
      </c>
    </row>
    <row r="1196">
      <c r="B1196" s="5" t="inlineStr">
        <is>
          <t>合計在庫(週末時点,kg)</t>
        </is>
      </c>
      <c r="D1196">
        <f>'Grid_Stock'!B55</f>
        <v/>
      </c>
      <c r="E1196">
        <f>'Grid_Stock'!C55</f>
        <v/>
      </c>
      <c r="F1196">
        <f>'Grid_Stock'!D55</f>
        <v/>
      </c>
      <c r="G1196">
        <f>'Grid_Stock'!E55</f>
        <v/>
      </c>
      <c r="H1196">
        <f>'Grid_Stock'!F55</f>
        <v/>
      </c>
      <c r="I1196">
        <f>'Grid_Stock'!G55</f>
        <v/>
      </c>
      <c r="J1196">
        <f>'Grid_Stock'!H55</f>
        <v/>
      </c>
      <c r="K1196">
        <f>'Grid_Stock'!I55</f>
        <v/>
      </c>
      <c r="L1196">
        <f>'Grid_Stock'!J55</f>
        <v/>
      </c>
      <c r="M1196">
        <f>'Grid_Stock'!K55</f>
        <v/>
      </c>
      <c r="N1196">
        <f>'Grid_Stock'!L55</f>
        <v/>
      </c>
      <c r="O1196">
        <f>'Grid_Stock'!M55</f>
        <v/>
      </c>
      <c r="P1196">
        <f>'Grid_Stock'!N55</f>
        <v/>
      </c>
      <c r="Q1196">
        <f>'Grid_Stock'!O55</f>
        <v/>
      </c>
      <c r="R1196">
        <f>'Grid_Stock'!P55</f>
        <v/>
      </c>
      <c r="S1196">
        <f>'Grid_Stock'!Q55</f>
        <v/>
      </c>
      <c r="T1196">
        <f>'Grid_Stock'!R55</f>
        <v/>
      </c>
      <c r="U1196">
        <f>'Grid_Stock'!S55</f>
        <v/>
      </c>
      <c r="V1196">
        <f>'Grid_Stock'!T55</f>
        <v/>
      </c>
      <c r="W1196">
        <f>'Grid_Stock'!U55</f>
        <v/>
      </c>
      <c r="X1196">
        <f>'Grid_Stock'!V55</f>
        <v/>
      </c>
      <c r="Y1196">
        <f>'Grid_Stock'!W55</f>
        <v/>
      </c>
      <c r="Z1196">
        <f>'Grid_Stock'!X55</f>
        <v/>
      </c>
      <c r="AA1196">
        <f>'Grid_Stock'!Y55</f>
        <v/>
      </c>
      <c r="AB1196">
        <f>'Grid_Stock'!Z55</f>
        <v/>
      </c>
      <c r="AC1196">
        <f>'Grid_Stock'!AA55</f>
        <v/>
      </c>
      <c r="AD1196">
        <f>'Grid_Stock'!AB55</f>
        <v/>
      </c>
      <c r="AE1196">
        <f>'Grid_Stock'!AC55</f>
        <v/>
      </c>
      <c r="AF1196">
        <f>'Grid_Stock'!AD55</f>
        <v/>
      </c>
      <c r="AG1196">
        <f>'Grid_Stock'!AE55</f>
        <v/>
      </c>
      <c r="AH1196">
        <f>'Grid_Stock'!AF55</f>
        <v/>
      </c>
      <c r="AI1196">
        <f>'Grid_Stock'!AG55</f>
        <v/>
      </c>
      <c r="AJ1196">
        <f>'Grid_Stock'!AH55</f>
        <v/>
      </c>
      <c r="AK1196">
        <f>'Grid_Stock'!AI55</f>
        <v/>
      </c>
      <c r="AL1196">
        <f>'Grid_Stock'!AJ55</f>
        <v/>
      </c>
      <c r="AM1196">
        <f>'Grid_Stock'!AK55</f>
        <v/>
      </c>
      <c r="AN1196">
        <f>'Grid_Stock'!AL55</f>
        <v/>
      </c>
      <c r="AO1196">
        <f>'Grid_Stock'!AM55</f>
        <v/>
      </c>
      <c r="AP1196">
        <f>'Grid_Stock'!AN55</f>
        <v/>
      </c>
      <c r="AQ1196">
        <f>'Grid_Stock'!AO55</f>
        <v/>
      </c>
      <c r="AR1196">
        <f>'Grid_Stock'!AP55</f>
        <v/>
      </c>
      <c r="AS1196">
        <f>'Grid_Stock'!AQ55</f>
        <v/>
      </c>
      <c r="AT1196">
        <f>'Grid_Stock'!AR55</f>
        <v/>
      </c>
      <c r="AU1196">
        <f>'Grid_Stock'!AS55</f>
        <v/>
      </c>
      <c r="AV1196">
        <f>'Grid_Stock'!AT55</f>
        <v/>
      </c>
      <c r="AW1196">
        <f>'Grid_Stock'!AU55</f>
        <v/>
      </c>
      <c r="AX1196">
        <f>'Grid_Stock'!AV55</f>
        <v/>
      </c>
      <c r="AY1196">
        <f>'Grid_Stock'!AW55</f>
        <v/>
      </c>
      <c r="AZ1196">
        <f>'Grid_Stock'!AX55</f>
        <v/>
      </c>
      <c r="BA1196">
        <f>'Grid_Stock'!AY55</f>
        <v/>
      </c>
      <c r="BB1196">
        <f>'Grid_Stock'!AZ55</f>
        <v/>
      </c>
      <c r="BC1196">
        <f>'Grid_Stock'!BA55</f>
        <v/>
      </c>
      <c r="BD1196">
        <f>'Grid_Stock'!BB55</f>
        <v/>
      </c>
      <c r="BE1196">
        <f>'Grid_Stock'!BC55</f>
        <v/>
      </c>
      <c r="BF1196">
        <f>'Grid_Stock'!BD55</f>
        <v/>
      </c>
      <c r="BG1196">
        <f>'Grid_Stock'!BE55</f>
        <v/>
      </c>
      <c r="BH1196">
        <f>'Grid_Stock'!BF55</f>
        <v/>
      </c>
      <c r="BI1196">
        <f>'Grid_Stock'!BG55</f>
        <v/>
      </c>
      <c r="BJ1196">
        <f>'Grid_Stock'!BH55</f>
        <v/>
      </c>
      <c r="BK1196">
        <f>'Grid_Stock'!BI55</f>
        <v/>
      </c>
      <c r="BL1196">
        <f>'Grid_Stock'!BJ55</f>
        <v/>
      </c>
      <c r="BM1196">
        <f>'Grid_Stock'!BK55</f>
        <v/>
      </c>
      <c r="BN1196">
        <f>'Grid_Stock'!BL55</f>
        <v/>
      </c>
      <c r="BO1196">
        <f>'Grid_Stock'!BM55</f>
        <v/>
      </c>
      <c r="BP1196">
        <f>'Grid_Stock'!BN55</f>
        <v/>
      </c>
      <c r="BQ1196">
        <f>'Grid_Stock'!BO55</f>
        <v/>
      </c>
      <c r="BR1196">
        <f>'Grid_Stock'!BP55</f>
        <v/>
      </c>
      <c r="BS1196">
        <f>'Grid_Stock'!BQ55</f>
        <v/>
      </c>
      <c r="BT1196">
        <f>'Grid_Stock'!BR55</f>
        <v/>
      </c>
      <c r="BU1196">
        <f>'Grid_Stock'!BS55</f>
        <v/>
      </c>
      <c r="BV1196">
        <f>'Grid_Stock'!BT55</f>
        <v/>
      </c>
      <c r="BW1196">
        <f>'Grid_Stock'!BU55</f>
        <v/>
      </c>
      <c r="BX1196">
        <f>'Grid_Stock'!BV55</f>
        <v/>
      </c>
      <c r="BY1196">
        <f>'Grid_Stock'!BW55</f>
        <v/>
      </c>
      <c r="BZ1196">
        <f>'Grid_Stock'!BX55</f>
        <v/>
      </c>
      <c r="CA1196">
        <f>'Grid_Stock'!BY55</f>
        <v/>
      </c>
      <c r="CB1196">
        <f>'Grid_Stock'!BZ55</f>
        <v/>
      </c>
      <c r="CC1196">
        <f>'Grid_Stock'!CA55</f>
        <v/>
      </c>
      <c r="CD1196">
        <f>'Grid_Stock'!CB55</f>
        <v/>
      </c>
      <c r="CE1196">
        <f>'Grid_Stock'!CC55</f>
        <v/>
      </c>
      <c r="CF1196">
        <f>'Grid_Stock'!CD55</f>
        <v/>
      </c>
      <c r="CG1196">
        <f>'Grid_Stock'!CE55</f>
        <v/>
      </c>
      <c r="CH1196">
        <f>'Grid_Stock'!CF55</f>
        <v/>
      </c>
      <c r="CI1196">
        <f>'Grid_Stock'!CG55</f>
        <v/>
      </c>
      <c r="CJ1196">
        <f>'Grid_Stock'!CH55</f>
        <v/>
      </c>
      <c r="CK1196">
        <f>'Grid_Stock'!CI55</f>
        <v/>
      </c>
      <c r="CL1196">
        <f>'Grid_Stock'!CJ55</f>
        <v/>
      </c>
      <c r="CM1196">
        <f>'Grid_Stock'!CK55</f>
        <v/>
      </c>
      <c r="CN1196">
        <f>'Grid_Stock'!CL55</f>
        <v/>
      </c>
      <c r="CO1196">
        <f>'Grid_Stock'!CM55</f>
        <v/>
      </c>
      <c r="CP1196">
        <f>'Grid_Stock'!CN55</f>
        <v/>
      </c>
      <c r="CQ1196">
        <f>'Grid_Stock'!CO55</f>
        <v/>
      </c>
      <c r="CR1196">
        <f>'Grid_Stock'!CP55</f>
        <v/>
      </c>
      <c r="CS1196">
        <f>'Grid_Stock'!CQ55</f>
        <v/>
      </c>
      <c r="CT1196">
        <f>'Grid_Stock'!CR55</f>
        <v/>
      </c>
      <c r="CU1196">
        <f>'Grid_Stock'!CS55</f>
        <v/>
      </c>
      <c r="CV1196">
        <f>'Grid_Stock'!CT55</f>
        <v/>
      </c>
      <c r="CW1196">
        <f>'Grid_Stock'!CU55</f>
        <v/>
      </c>
      <c r="CX1196">
        <f>'Grid_Stock'!CV55</f>
        <v/>
      </c>
      <c r="CY1196">
        <f>'Grid_Stock'!CW55</f>
        <v/>
      </c>
      <c r="CZ1196">
        <f>'Grid_Stock'!CX55</f>
        <v/>
      </c>
      <c r="DA1196">
        <f>'Grid_Stock'!CY55</f>
        <v/>
      </c>
      <c r="DB1196">
        <f>'Grid_Stock'!CZ55</f>
        <v/>
      </c>
      <c r="DC1196">
        <f>'Grid_Stock'!DA55</f>
        <v/>
      </c>
    </row>
    <row r="1197">
      <c r="B1197" s="23" t="inlineStr">
        <is>
          <t>（発注の目安はDashboardの基準在庫[下限/上限]と色分けを参照）</t>
        </is>
      </c>
    </row>
    <row r="1199">
      <c r="A1199" s="21" t="inlineStr">
        <is>
          <t>CHEM-1690</t>
        </is>
      </c>
      <c r="B1199" s="21" t="inlineStr">
        <is>
          <t>TPZ 560</t>
        </is>
      </c>
      <c r="C1199" s="22" t="n"/>
      <c r="D1199" s="21" t="n"/>
      <c r="E1199" s="21" t="n"/>
      <c r="F1199" s="21" t="n"/>
      <c r="G1199" s="21" t="n"/>
      <c r="H1199" s="21" t="n"/>
      <c r="I1199" s="21" t="n"/>
      <c r="J1199" s="21" t="n"/>
      <c r="K1199" s="21" t="n"/>
      <c r="L1199" s="21" t="n"/>
      <c r="M1199" s="21" t="n"/>
      <c r="N1199" s="21" t="n"/>
      <c r="O1199" s="21" t="n"/>
      <c r="P1199" s="21" t="n"/>
      <c r="Q1199" s="21" t="n"/>
      <c r="R1199" s="21" t="n"/>
      <c r="S1199" s="21" t="n"/>
      <c r="T1199" s="21" t="n"/>
      <c r="U1199" s="21" t="n"/>
      <c r="V1199" s="21" t="n"/>
      <c r="W1199" s="21" t="n"/>
      <c r="X1199" s="21" t="n"/>
      <c r="Y1199" s="21" t="n"/>
      <c r="Z1199" s="21" t="n"/>
      <c r="AA1199" s="21" t="n"/>
      <c r="AB1199" s="21" t="n"/>
      <c r="AC1199" s="21" t="n"/>
      <c r="AD1199" s="21" t="n"/>
      <c r="AE1199" s="21" t="n"/>
      <c r="AF1199" s="21" t="n"/>
      <c r="AG1199" s="21" t="n"/>
      <c r="AH1199" s="21" t="n"/>
      <c r="AI1199" s="21" t="n"/>
      <c r="AJ1199" s="21" t="n"/>
      <c r="AK1199" s="21" t="n"/>
      <c r="AL1199" s="21" t="n"/>
      <c r="AM1199" s="21" t="n"/>
      <c r="AN1199" s="21" t="n"/>
      <c r="AO1199" s="21" t="n"/>
      <c r="AP1199" s="21" t="n"/>
      <c r="AQ1199" s="21" t="n"/>
      <c r="AR1199" s="21" t="n"/>
      <c r="AS1199" s="21" t="n"/>
      <c r="AT1199" s="21" t="n"/>
      <c r="AU1199" s="21" t="n"/>
      <c r="AV1199" s="21" t="n"/>
      <c r="AW1199" s="21" t="n"/>
      <c r="AX1199" s="21" t="n"/>
      <c r="AY1199" s="21" t="n"/>
      <c r="AZ1199" s="21" t="n"/>
      <c r="BA1199" s="21" t="n"/>
      <c r="BB1199" s="21" t="n"/>
      <c r="BC1199" s="21" t="n"/>
      <c r="BD1199" s="21" t="n"/>
      <c r="BE1199" s="21" t="n"/>
      <c r="BF1199" s="21" t="n"/>
      <c r="BG1199" s="21" t="n"/>
      <c r="BH1199" s="21" t="n"/>
      <c r="BI1199" s="21" t="n"/>
      <c r="BJ1199" s="21" t="n"/>
      <c r="BK1199" s="21" t="n"/>
      <c r="BL1199" s="21" t="n"/>
      <c r="BM1199" s="21" t="n"/>
      <c r="BN1199" s="21" t="n"/>
      <c r="BO1199" s="21" t="n"/>
      <c r="BP1199" s="21" t="n"/>
      <c r="BQ1199" s="21" t="n"/>
      <c r="BR1199" s="21" t="n"/>
      <c r="BS1199" s="21" t="n"/>
      <c r="BT1199" s="21" t="n"/>
      <c r="BU1199" s="21" t="n"/>
      <c r="BV1199" s="21" t="n"/>
      <c r="BW1199" s="21" t="n"/>
      <c r="BX1199" s="21" t="n"/>
      <c r="BY1199" s="21" t="n"/>
      <c r="BZ1199" s="21" t="n"/>
      <c r="CA1199" s="21" t="n"/>
      <c r="CB1199" s="21" t="n"/>
      <c r="CC1199" s="21" t="n"/>
      <c r="CD1199" s="21" t="n"/>
      <c r="CE1199" s="21" t="n"/>
      <c r="CF1199" s="21" t="n"/>
      <c r="CG1199" s="21" t="n"/>
      <c r="CH1199" s="21" t="n"/>
      <c r="CI1199" s="21" t="n"/>
      <c r="CJ1199" s="21" t="n"/>
      <c r="CK1199" s="21" t="n"/>
      <c r="CL1199" s="21" t="n"/>
      <c r="CM1199" s="21" t="n"/>
      <c r="CN1199" s="21" t="n"/>
      <c r="CO1199" s="21" t="n"/>
      <c r="CP1199" s="21" t="n"/>
      <c r="CQ1199" s="21" t="n"/>
      <c r="CR1199" s="21" t="n"/>
      <c r="CS1199" s="21" t="n"/>
      <c r="CT1199" s="21" t="n"/>
      <c r="CU1199" s="21" t="n"/>
      <c r="CV1199" s="21" t="n"/>
      <c r="CW1199" s="21" t="n"/>
      <c r="CX1199" s="21" t="n"/>
      <c r="CY1199" s="21" t="n"/>
      <c r="CZ1199" s="21" t="n"/>
      <c r="DA1199" s="21" t="n"/>
      <c r="DB1199" s="21" t="n"/>
      <c r="DC1199" s="21" t="n"/>
    </row>
    <row r="1200">
      <c r="B1200" t="inlineStr">
        <is>
          <t>TSP-618</t>
        </is>
      </c>
      <c r="C1200" t="inlineStr">
        <is>
          <t>No. of batches</t>
        </is>
      </c>
      <c r="D1200">
        <f>IFERROR(INDEX(PP_Grid[#Data],$DD1200,2),0)</f>
        <v/>
      </c>
      <c r="E1200">
        <f>IFERROR(INDEX(PP_Grid[#Data],$DD1200,3),0)</f>
        <v/>
      </c>
      <c r="F1200">
        <f>IFERROR(INDEX(PP_Grid[#Data],$DD1200,4),0)</f>
        <v/>
      </c>
      <c r="G1200">
        <f>IFERROR(INDEX(PP_Grid[#Data],$DD1200,5),0)</f>
        <v/>
      </c>
      <c r="H1200">
        <f>IFERROR(INDEX(PP_Grid[#Data],$DD1200,6),0)</f>
        <v/>
      </c>
      <c r="I1200">
        <f>IFERROR(INDEX(PP_Grid[#Data],$DD1200,7),0)</f>
        <v/>
      </c>
      <c r="J1200">
        <f>IFERROR(INDEX(PP_Grid[#Data],$DD1200,8),0)</f>
        <v/>
      </c>
      <c r="K1200">
        <f>IFERROR(INDEX(PP_Grid[#Data],$DD1200,9),0)</f>
        <v/>
      </c>
      <c r="L1200">
        <f>IFERROR(INDEX(PP_Grid[#Data],$DD1200,10),0)</f>
        <v/>
      </c>
      <c r="M1200">
        <f>IFERROR(INDEX(PP_Grid[#Data],$DD1200,11),0)</f>
        <v/>
      </c>
      <c r="N1200">
        <f>IFERROR(INDEX(PP_Grid[#Data],$DD1200,12),0)</f>
        <v/>
      </c>
      <c r="O1200">
        <f>IFERROR(INDEX(PP_Grid[#Data],$DD1200,13),0)</f>
        <v/>
      </c>
      <c r="P1200">
        <f>IFERROR(INDEX(PP_Grid[#Data],$DD1200,14),0)</f>
        <v/>
      </c>
      <c r="Q1200">
        <f>IFERROR(INDEX(PP_Grid[#Data],$DD1200,15),0)</f>
        <v/>
      </c>
      <c r="R1200">
        <f>IFERROR(INDEX(PP_Grid[#Data],$DD1200,16),0)</f>
        <v/>
      </c>
      <c r="S1200">
        <f>IFERROR(INDEX(PP_Grid[#Data],$DD1200,17),0)</f>
        <v/>
      </c>
      <c r="T1200">
        <f>IFERROR(INDEX(PP_Grid[#Data],$DD1200,18),0)</f>
        <v/>
      </c>
      <c r="U1200">
        <f>IFERROR(INDEX(PP_Grid[#Data],$DD1200,19),0)</f>
        <v/>
      </c>
      <c r="V1200">
        <f>IFERROR(INDEX(PP_Grid[#Data],$DD1200,20),0)</f>
        <v/>
      </c>
      <c r="W1200">
        <f>IFERROR(INDEX(PP_Grid[#Data],$DD1200,21),0)</f>
        <v/>
      </c>
      <c r="X1200">
        <f>IFERROR(INDEX(PP_Grid[#Data],$DD1200,22),0)</f>
        <v/>
      </c>
      <c r="Y1200">
        <f>IFERROR(INDEX(PP_Grid[#Data],$DD1200,23),0)</f>
        <v/>
      </c>
      <c r="Z1200">
        <f>IFERROR(INDEX(PP_Grid[#Data],$DD1200,24),0)</f>
        <v/>
      </c>
      <c r="AA1200">
        <f>IFERROR(INDEX(PP_Grid[#Data],$DD1200,25),0)</f>
        <v/>
      </c>
      <c r="AB1200">
        <f>IFERROR(INDEX(PP_Grid[#Data],$DD1200,26),0)</f>
        <v/>
      </c>
      <c r="AC1200">
        <f>IFERROR(INDEX(PP_Grid[#Data],$DD1200,27),0)</f>
        <v/>
      </c>
      <c r="AD1200">
        <f>IFERROR(INDEX(PP_Grid[#Data],$DD1200,28),0)</f>
        <v/>
      </c>
      <c r="AE1200">
        <f>IFERROR(INDEX(PP_Grid[#Data],$DD1200,29),0)</f>
        <v/>
      </c>
      <c r="AF1200">
        <f>IFERROR(INDEX(PP_Grid[#Data],$DD1200,30),0)</f>
        <v/>
      </c>
      <c r="AG1200">
        <f>IFERROR(INDEX(PP_Grid[#Data],$DD1200,31),0)</f>
        <v/>
      </c>
      <c r="AH1200">
        <f>IFERROR(INDEX(PP_Grid[#Data],$DD1200,32),0)</f>
        <v/>
      </c>
      <c r="AI1200">
        <f>IFERROR(INDEX(PP_Grid[#Data],$DD1200,33),0)</f>
        <v/>
      </c>
      <c r="AJ1200">
        <f>IFERROR(INDEX(PP_Grid[#Data],$DD1200,34),0)</f>
        <v/>
      </c>
      <c r="AK1200">
        <f>IFERROR(INDEX(PP_Grid[#Data],$DD1200,35),0)</f>
        <v/>
      </c>
      <c r="AL1200">
        <f>IFERROR(INDEX(PP_Grid[#Data],$DD1200,36),0)</f>
        <v/>
      </c>
      <c r="AM1200">
        <f>IFERROR(INDEX(PP_Grid[#Data],$DD1200,37),0)</f>
        <v/>
      </c>
      <c r="AN1200">
        <f>IFERROR(INDEX(PP_Grid[#Data],$DD1200,38),0)</f>
        <v/>
      </c>
      <c r="AO1200">
        <f>IFERROR(INDEX(PP_Grid[#Data],$DD1200,39),0)</f>
        <v/>
      </c>
      <c r="AP1200">
        <f>IFERROR(INDEX(PP_Grid[#Data],$DD1200,40),0)</f>
        <v/>
      </c>
      <c r="AQ1200">
        <f>IFERROR(INDEX(PP_Grid[#Data],$DD1200,41),0)</f>
        <v/>
      </c>
      <c r="AR1200">
        <f>IFERROR(INDEX(PP_Grid[#Data],$DD1200,42),0)</f>
        <v/>
      </c>
      <c r="AS1200">
        <f>IFERROR(INDEX(PP_Grid[#Data],$DD1200,43),0)</f>
        <v/>
      </c>
      <c r="AT1200">
        <f>IFERROR(INDEX(PP_Grid[#Data],$DD1200,44),0)</f>
        <v/>
      </c>
      <c r="AU1200">
        <f>IFERROR(INDEX(PP_Grid[#Data],$DD1200,45),0)</f>
        <v/>
      </c>
      <c r="AV1200">
        <f>IFERROR(INDEX(PP_Grid[#Data],$DD1200,46),0)</f>
        <v/>
      </c>
      <c r="AW1200">
        <f>IFERROR(INDEX(PP_Grid[#Data],$DD1200,47),0)</f>
        <v/>
      </c>
      <c r="AX1200">
        <f>IFERROR(INDEX(PP_Grid[#Data],$DD1200,48),0)</f>
        <v/>
      </c>
      <c r="AY1200">
        <f>IFERROR(INDEX(PP_Grid[#Data],$DD1200,49),0)</f>
        <v/>
      </c>
      <c r="AZ1200">
        <f>IFERROR(INDEX(PP_Grid[#Data],$DD1200,50),0)</f>
        <v/>
      </c>
      <c r="BA1200">
        <f>IFERROR(INDEX(PP_Grid[#Data],$DD1200,51),0)</f>
        <v/>
      </c>
      <c r="BB1200">
        <f>IFERROR(INDEX(PP_Grid[#Data],$DD1200,52),0)</f>
        <v/>
      </c>
      <c r="BC1200">
        <f>IFERROR(INDEX(PP_Grid[#Data],$DD1200,53),0)</f>
        <v/>
      </c>
      <c r="BD1200">
        <f>IFERROR(INDEX(PP_Grid[#Data],$DD1200,54),0)</f>
        <v/>
      </c>
      <c r="BE1200">
        <f>IFERROR(INDEX(PP_Grid[#Data],$DD1200,55),0)</f>
        <v/>
      </c>
      <c r="BF1200">
        <f>IFERROR(INDEX(PP_Grid[#Data],$DD1200,56),0)</f>
        <v/>
      </c>
      <c r="BG1200">
        <f>IFERROR(INDEX(PP_Grid[#Data],$DD1200,57),0)</f>
        <v/>
      </c>
      <c r="BH1200">
        <f>IFERROR(INDEX(PP_Grid[#Data],$DD1200,58),0)</f>
        <v/>
      </c>
      <c r="BI1200">
        <f>IFERROR(INDEX(PP_Grid[#Data],$DD1200,59),0)</f>
        <v/>
      </c>
      <c r="BJ1200">
        <f>IFERROR(INDEX(PP_Grid[#Data],$DD1200,60),0)</f>
        <v/>
      </c>
      <c r="BK1200">
        <f>IFERROR(INDEX(PP_Grid[#Data],$DD1200,61),0)</f>
        <v/>
      </c>
      <c r="BL1200">
        <f>IFERROR(INDEX(PP_Grid[#Data],$DD1200,62),0)</f>
        <v/>
      </c>
      <c r="BM1200">
        <f>IFERROR(INDEX(PP_Grid[#Data],$DD1200,63),0)</f>
        <v/>
      </c>
      <c r="BN1200">
        <f>IFERROR(INDEX(PP_Grid[#Data],$DD1200,64),0)</f>
        <v/>
      </c>
      <c r="BO1200">
        <f>IFERROR(INDEX(PP_Grid[#Data],$DD1200,65),0)</f>
        <v/>
      </c>
      <c r="BP1200">
        <f>IFERROR(INDEX(PP_Grid[#Data],$DD1200,66),0)</f>
        <v/>
      </c>
      <c r="BQ1200">
        <f>IFERROR(INDEX(PP_Grid[#Data],$DD1200,67),0)</f>
        <v/>
      </c>
      <c r="BR1200">
        <f>IFERROR(INDEX(PP_Grid[#Data],$DD1200,68),0)</f>
        <v/>
      </c>
      <c r="BS1200">
        <f>IFERROR(INDEX(PP_Grid[#Data],$DD1200,69),0)</f>
        <v/>
      </c>
      <c r="BT1200">
        <f>IFERROR(INDEX(PP_Grid[#Data],$DD1200,70),0)</f>
        <v/>
      </c>
      <c r="BU1200">
        <f>IFERROR(INDEX(PP_Grid[#Data],$DD1200,71),0)</f>
        <v/>
      </c>
      <c r="BV1200">
        <f>IFERROR(INDEX(PP_Grid[#Data],$DD1200,72),0)</f>
        <v/>
      </c>
      <c r="BW1200">
        <f>IFERROR(INDEX(PP_Grid[#Data],$DD1200,73),0)</f>
        <v/>
      </c>
      <c r="BX1200">
        <f>IFERROR(INDEX(PP_Grid[#Data],$DD1200,74),0)</f>
        <v/>
      </c>
      <c r="BY1200">
        <f>IFERROR(INDEX(PP_Grid[#Data],$DD1200,75),0)</f>
        <v/>
      </c>
      <c r="BZ1200">
        <f>IFERROR(INDEX(PP_Grid[#Data],$DD1200,76),0)</f>
        <v/>
      </c>
      <c r="CA1200">
        <f>IFERROR(INDEX(PP_Grid[#Data],$DD1200,77),0)</f>
        <v/>
      </c>
      <c r="CB1200">
        <f>IFERROR(INDEX(PP_Grid[#Data],$DD1200,78),0)</f>
        <v/>
      </c>
      <c r="CC1200">
        <f>IFERROR(INDEX(PP_Grid[#Data],$DD1200,79),0)</f>
        <v/>
      </c>
      <c r="CD1200">
        <f>IFERROR(INDEX(PP_Grid[#Data],$DD1200,80),0)</f>
        <v/>
      </c>
      <c r="CE1200">
        <f>IFERROR(INDEX(PP_Grid[#Data],$DD1200,81),0)</f>
        <v/>
      </c>
      <c r="CF1200">
        <f>IFERROR(INDEX(PP_Grid[#Data],$DD1200,82),0)</f>
        <v/>
      </c>
      <c r="CG1200">
        <f>IFERROR(INDEX(PP_Grid[#Data],$DD1200,83),0)</f>
        <v/>
      </c>
      <c r="CH1200">
        <f>IFERROR(INDEX(PP_Grid[#Data],$DD1200,84),0)</f>
        <v/>
      </c>
      <c r="CI1200">
        <f>IFERROR(INDEX(PP_Grid[#Data],$DD1200,85),0)</f>
        <v/>
      </c>
      <c r="CJ1200">
        <f>IFERROR(INDEX(PP_Grid[#Data],$DD1200,86),0)</f>
        <v/>
      </c>
      <c r="CK1200">
        <f>IFERROR(INDEX(PP_Grid[#Data],$DD1200,87),0)</f>
        <v/>
      </c>
      <c r="CL1200">
        <f>IFERROR(INDEX(PP_Grid[#Data],$DD1200,88),0)</f>
        <v/>
      </c>
      <c r="CM1200">
        <f>IFERROR(INDEX(PP_Grid[#Data],$DD1200,89),0)</f>
        <v/>
      </c>
      <c r="CN1200">
        <f>IFERROR(INDEX(PP_Grid[#Data],$DD1200,90),0)</f>
        <v/>
      </c>
      <c r="CO1200">
        <f>IFERROR(INDEX(PP_Grid[#Data],$DD1200,91),0)</f>
        <v/>
      </c>
      <c r="CP1200">
        <f>IFERROR(INDEX(PP_Grid[#Data],$DD1200,92),0)</f>
        <v/>
      </c>
      <c r="CQ1200">
        <f>IFERROR(INDEX(PP_Grid[#Data],$DD1200,93),0)</f>
        <v/>
      </c>
      <c r="CR1200">
        <f>IFERROR(INDEX(PP_Grid[#Data],$DD1200,94),0)</f>
        <v/>
      </c>
      <c r="CS1200">
        <f>IFERROR(INDEX(PP_Grid[#Data],$DD1200,95),0)</f>
        <v/>
      </c>
      <c r="CT1200">
        <f>IFERROR(INDEX(PP_Grid[#Data],$DD1200,96),0)</f>
        <v/>
      </c>
      <c r="CU1200">
        <f>IFERROR(INDEX(PP_Grid[#Data],$DD1200,97),0)</f>
        <v/>
      </c>
      <c r="CV1200">
        <f>IFERROR(INDEX(PP_Grid[#Data],$DD1200,98),0)</f>
        <v/>
      </c>
      <c r="CW1200">
        <f>IFERROR(INDEX(PP_Grid[#Data],$DD1200,99),0)</f>
        <v/>
      </c>
      <c r="CX1200">
        <f>IFERROR(INDEX(PP_Grid[#Data],$DD1200,100),0)</f>
        <v/>
      </c>
      <c r="CY1200">
        <f>IFERROR(INDEX(PP_Grid[#Data],$DD1200,101),0)</f>
        <v/>
      </c>
      <c r="CZ1200">
        <f>IFERROR(INDEX(PP_Grid[#Data],$DD1200,102),0)</f>
        <v/>
      </c>
      <c r="DA1200">
        <f>IFERROR(INDEX(PP_Grid[#Data],$DD1200,103),0)</f>
        <v/>
      </c>
      <c r="DB1200">
        <f>IFERROR(INDEX(PP_Grid[#Data],$DD1200,104),0)</f>
        <v/>
      </c>
      <c r="DC1200">
        <f>IFERROR(INDEX(PP_Grid[#Data],$DD1200,105),0)</f>
        <v/>
      </c>
      <c r="DD1200" s="12">
        <f>IFERROR(MATCH($B1200,PP_Grid[Intermediate],0),99999)</f>
        <v/>
      </c>
    </row>
    <row r="1201">
      <c r="B1201" t="inlineStr">
        <is>
          <t>使用量(kg)</t>
        </is>
      </c>
      <c r="C1201">
        <f>SUMIFS(M_BOM[RM_Qty_Per_Batch],M_BOM[Intermediate],$B1200,M_BOM[Part Name],$A1199)</f>
        <v/>
      </c>
      <c r="D1201">
        <f>$C1201*D1200</f>
        <v/>
      </c>
      <c r="E1201">
        <f>$C1201*E1200</f>
        <v/>
      </c>
      <c r="F1201">
        <f>$C1201*F1200</f>
        <v/>
      </c>
      <c r="G1201">
        <f>$C1201*G1200</f>
        <v/>
      </c>
      <c r="H1201">
        <f>$C1201*H1200</f>
        <v/>
      </c>
      <c r="I1201">
        <f>$C1201*I1200</f>
        <v/>
      </c>
      <c r="J1201">
        <f>$C1201*J1200</f>
        <v/>
      </c>
      <c r="K1201">
        <f>$C1201*K1200</f>
        <v/>
      </c>
      <c r="L1201">
        <f>$C1201*L1200</f>
        <v/>
      </c>
      <c r="M1201">
        <f>$C1201*M1200</f>
        <v/>
      </c>
      <c r="N1201">
        <f>$C1201*N1200</f>
        <v/>
      </c>
      <c r="O1201">
        <f>$C1201*O1200</f>
        <v/>
      </c>
      <c r="P1201">
        <f>$C1201*P1200</f>
        <v/>
      </c>
      <c r="Q1201">
        <f>$C1201*Q1200</f>
        <v/>
      </c>
      <c r="R1201">
        <f>$C1201*R1200</f>
        <v/>
      </c>
      <c r="S1201">
        <f>$C1201*S1200</f>
        <v/>
      </c>
      <c r="T1201">
        <f>$C1201*T1200</f>
        <v/>
      </c>
      <c r="U1201">
        <f>$C1201*U1200</f>
        <v/>
      </c>
      <c r="V1201">
        <f>$C1201*V1200</f>
        <v/>
      </c>
      <c r="W1201">
        <f>$C1201*W1200</f>
        <v/>
      </c>
      <c r="X1201">
        <f>$C1201*X1200</f>
        <v/>
      </c>
      <c r="Y1201">
        <f>$C1201*Y1200</f>
        <v/>
      </c>
      <c r="Z1201">
        <f>$C1201*Z1200</f>
        <v/>
      </c>
      <c r="AA1201">
        <f>$C1201*AA1200</f>
        <v/>
      </c>
      <c r="AB1201">
        <f>$C1201*AB1200</f>
        <v/>
      </c>
      <c r="AC1201">
        <f>$C1201*AC1200</f>
        <v/>
      </c>
      <c r="AD1201">
        <f>$C1201*AD1200</f>
        <v/>
      </c>
      <c r="AE1201">
        <f>$C1201*AE1200</f>
        <v/>
      </c>
      <c r="AF1201">
        <f>$C1201*AF1200</f>
        <v/>
      </c>
      <c r="AG1201">
        <f>$C1201*AG1200</f>
        <v/>
      </c>
      <c r="AH1201">
        <f>$C1201*AH1200</f>
        <v/>
      </c>
      <c r="AI1201">
        <f>$C1201*AI1200</f>
        <v/>
      </c>
      <c r="AJ1201">
        <f>$C1201*AJ1200</f>
        <v/>
      </c>
      <c r="AK1201">
        <f>$C1201*AK1200</f>
        <v/>
      </c>
      <c r="AL1201">
        <f>$C1201*AL1200</f>
        <v/>
      </c>
      <c r="AM1201">
        <f>$C1201*AM1200</f>
        <v/>
      </c>
      <c r="AN1201">
        <f>$C1201*AN1200</f>
        <v/>
      </c>
      <c r="AO1201">
        <f>$C1201*AO1200</f>
        <v/>
      </c>
      <c r="AP1201">
        <f>$C1201*AP1200</f>
        <v/>
      </c>
      <c r="AQ1201">
        <f>$C1201*AQ1200</f>
        <v/>
      </c>
      <c r="AR1201">
        <f>$C1201*AR1200</f>
        <v/>
      </c>
      <c r="AS1201">
        <f>$C1201*AS1200</f>
        <v/>
      </c>
      <c r="AT1201">
        <f>$C1201*AT1200</f>
        <v/>
      </c>
      <c r="AU1201">
        <f>$C1201*AU1200</f>
        <v/>
      </c>
      <c r="AV1201">
        <f>$C1201*AV1200</f>
        <v/>
      </c>
      <c r="AW1201">
        <f>$C1201*AW1200</f>
        <v/>
      </c>
      <c r="AX1201">
        <f>$C1201*AX1200</f>
        <v/>
      </c>
      <c r="AY1201">
        <f>$C1201*AY1200</f>
        <v/>
      </c>
      <c r="AZ1201">
        <f>$C1201*AZ1200</f>
        <v/>
      </c>
      <c r="BA1201">
        <f>$C1201*BA1200</f>
        <v/>
      </c>
      <c r="BB1201">
        <f>$C1201*BB1200</f>
        <v/>
      </c>
      <c r="BC1201">
        <f>$C1201*BC1200</f>
        <v/>
      </c>
      <c r="BD1201">
        <f>$C1201*BD1200</f>
        <v/>
      </c>
      <c r="BE1201">
        <f>$C1201*BE1200</f>
        <v/>
      </c>
      <c r="BF1201">
        <f>$C1201*BF1200</f>
        <v/>
      </c>
      <c r="BG1201">
        <f>$C1201*BG1200</f>
        <v/>
      </c>
      <c r="BH1201">
        <f>$C1201*BH1200</f>
        <v/>
      </c>
      <c r="BI1201">
        <f>$C1201*BI1200</f>
        <v/>
      </c>
      <c r="BJ1201">
        <f>$C1201*BJ1200</f>
        <v/>
      </c>
      <c r="BK1201">
        <f>$C1201*BK1200</f>
        <v/>
      </c>
      <c r="BL1201">
        <f>$C1201*BL1200</f>
        <v/>
      </c>
      <c r="BM1201">
        <f>$C1201*BM1200</f>
        <v/>
      </c>
      <c r="BN1201">
        <f>$C1201*BN1200</f>
        <v/>
      </c>
      <c r="BO1201">
        <f>$C1201*BO1200</f>
        <v/>
      </c>
      <c r="BP1201">
        <f>$C1201*BP1200</f>
        <v/>
      </c>
      <c r="BQ1201">
        <f>$C1201*BQ1200</f>
        <v/>
      </c>
      <c r="BR1201">
        <f>$C1201*BR1200</f>
        <v/>
      </c>
      <c r="BS1201">
        <f>$C1201*BS1200</f>
        <v/>
      </c>
      <c r="BT1201">
        <f>$C1201*BT1200</f>
        <v/>
      </c>
      <c r="BU1201">
        <f>$C1201*BU1200</f>
        <v/>
      </c>
      <c r="BV1201">
        <f>$C1201*BV1200</f>
        <v/>
      </c>
      <c r="BW1201">
        <f>$C1201*BW1200</f>
        <v/>
      </c>
      <c r="BX1201">
        <f>$C1201*BX1200</f>
        <v/>
      </c>
      <c r="BY1201">
        <f>$C1201*BY1200</f>
        <v/>
      </c>
      <c r="BZ1201">
        <f>$C1201*BZ1200</f>
        <v/>
      </c>
      <c r="CA1201">
        <f>$C1201*CA1200</f>
        <v/>
      </c>
      <c r="CB1201">
        <f>$C1201*CB1200</f>
        <v/>
      </c>
      <c r="CC1201">
        <f>$C1201*CC1200</f>
        <v/>
      </c>
      <c r="CD1201">
        <f>$C1201*CD1200</f>
        <v/>
      </c>
      <c r="CE1201">
        <f>$C1201*CE1200</f>
        <v/>
      </c>
      <c r="CF1201">
        <f>$C1201*CF1200</f>
        <v/>
      </c>
      <c r="CG1201">
        <f>$C1201*CG1200</f>
        <v/>
      </c>
      <c r="CH1201">
        <f>$C1201*CH1200</f>
        <v/>
      </c>
      <c r="CI1201">
        <f>$C1201*CI1200</f>
        <v/>
      </c>
      <c r="CJ1201">
        <f>$C1201*CJ1200</f>
        <v/>
      </c>
      <c r="CK1201">
        <f>$C1201*CK1200</f>
        <v/>
      </c>
      <c r="CL1201">
        <f>$C1201*CL1200</f>
        <v/>
      </c>
      <c r="CM1201">
        <f>$C1201*CM1200</f>
        <v/>
      </c>
      <c r="CN1201">
        <f>$C1201*CN1200</f>
        <v/>
      </c>
      <c r="CO1201">
        <f>$C1201*CO1200</f>
        <v/>
      </c>
      <c r="CP1201">
        <f>$C1201*CP1200</f>
        <v/>
      </c>
      <c r="CQ1201">
        <f>$C1201*CQ1200</f>
        <v/>
      </c>
      <c r="CR1201">
        <f>$C1201*CR1200</f>
        <v/>
      </c>
      <c r="CS1201">
        <f>$C1201*CS1200</f>
        <v/>
      </c>
      <c r="CT1201">
        <f>$C1201*CT1200</f>
        <v/>
      </c>
      <c r="CU1201">
        <f>$C1201*CU1200</f>
        <v/>
      </c>
      <c r="CV1201">
        <f>$C1201*CV1200</f>
        <v/>
      </c>
      <c r="CW1201">
        <f>$C1201*CW1200</f>
        <v/>
      </c>
      <c r="CX1201">
        <f>$C1201*CX1200</f>
        <v/>
      </c>
      <c r="CY1201">
        <f>$C1201*CY1200</f>
        <v/>
      </c>
      <c r="CZ1201">
        <f>$C1201*CZ1200</f>
        <v/>
      </c>
      <c r="DA1201">
        <f>$C1201*DA1200</f>
        <v/>
      </c>
      <c r="DB1201">
        <f>$C1201*DB1200</f>
        <v/>
      </c>
      <c r="DC1201">
        <f>$C1201*DC1200</f>
        <v/>
      </c>
    </row>
    <row r="1202">
      <c r="B1202" t="inlineStr">
        <is>
          <t>TSP-903</t>
        </is>
      </c>
      <c r="C1202" t="inlineStr">
        <is>
          <t>No. of batches</t>
        </is>
      </c>
      <c r="D1202">
        <f>IFERROR(INDEX(PP_Grid[#Data],$DD1202,2),0)</f>
        <v/>
      </c>
      <c r="E1202">
        <f>IFERROR(INDEX(PP_Grid[#Data],$DD1202,3),0)</f>
        <v/>
      </c>
      <c r="F1202">
        <f>IFERROR(INDEX(PP_Grid[#Data],$DD1202,4),0)</f>
        <v/>
      </c>
      <c r="G1202">
        <f>IFERROR(INDEX(PP_Grid[#Data],$DD1202,5),0)</f>
        <v/>
      </c>
      <c r="H1202">
        <f>IFERROR(INDEX(PP_Grid[#Data],$DD1202,6),0)</f>
        <v/>
      </c>
      <c r="I1202">
        <f>IFERROR(INDEX(PP_Grid[#Data],$DD1202,7),0)</f>
        <v/>
      </c>
      <c r="J1202">
        <f>IFERROR(INDEX(PP_Grid[#Data],$DD1202,8),0)</f>
        <v/>
      </c>
      <c r="K1202">
        <f>IFERROR(INDEX(PP_Grid[#Data],$DD1202,9),0)</f>
        <v/>
      </c>
      <c r="L1202">
        <f>IFERROR(INDEX(PP_Grid[#Data],$DD1202,10),0)</f>
        <v/>
      </c>
      <c r="M1202">
        <f>IFERROR(INDEX(PP_Grid[#Data],$DD1202,11),0)</f>
        <v/>
      </c>
      <c r="N1202">
        <f>IFERROR(INDEX(PP_Grid[#Data],$DD1202,12),0)</f>
        <v/>
      </c>
      <c r="O1202">
        <f>IFERROR(INDEX(PP_Grid[#Data],$DD1202,13),0)</f>
        <v/>
      </c>
      <c r="P1202">
        <f>IFERROR(INDEX(PP_Grid[#Data],$DD1202,14),0)</f>
        <v/>
      </c>
      <c r="Q1202">
        <f>IFERROR(INDEX(PP_Grid[#Data],$DD1202,15),0)</f>
        <v/>
      </c>
      <c r="R1202">
        <f>IFERROR(INDEX(PP_Grid[#Data],$DD1202,16),0)</f>
        <v/>
      </c>
      <c r="S1202">
        <f>IFERROR(INDEX(PP_Grid[#Data],$DD1202,17),0)</f>
        <v/>
      </c>
      <c r="T1202">
        <f>IFERROR(INDEX(PP_Grid[#Data],$DD1202,18),0)</f>
        <v/>
      </c>
      <c r="U1202">
        <f>IFERROR(INDEX(PP_Grid[#Data],$DD1202,19),0)</f>
        <v/>
      </c>
      <c r="V1202">
        <f>IFERROR(INDEX(PP_Grid[#Data],$DD1202,20),0)</f>
        <v/>
      </c>
      <c r="W1202">
        <f>IFERROR(INDEX(PP_Grid[#Data],$DD1202,21),0)</f>
        <v/>
      </c>
      <c r="X1202">
        <f>IFERROR(INDEX(PP_Grid[#Data],$DD1202,22),0)</f>
        <v/>
      </c>
      <c r="Y1202">
        <f>IFERROR(INDEX(PP_Grid[#Data],$DD1202,23),0)</f>
        <v/>
      </c>
      <c r="Z1202">
        <f>IFERROR(INDEX(PP_Grid[#Data],$DD1202,24),0)</f>
        <v/>
      </c>
      <c r="AA1202">
        <f>IFERROR(INDEX(PP_Grid[#Data],$DD1202,25),0)</f>
        <v/>
      </c>
      <c r="AB1202">
        <f>IFERROR(INDEX(PP_Grid[#Data],$DD1202,26),0)</f>
        <v/>
      </c>
      <c r="AC1202">
        <f>IFERROR(INDEX(PP_Grid[#Data],$DD1202,27),0)</f>
        <v/>
      </c>
      <c r="AD1202">
        <f>IFERROR(INDEX(PP_Grid[#Data],$DD1202,28),0)</f>
        <v/>
      </c>
      <c r="AE1202">
        <f>IFERROR(INDEX(PP_Grid[#Data],$DD1202,29),0)</f>
        <v/>
      </c>
      <c r="AF1202">
        <f>IFERROR(INDEX(PP_Grid[#Data],$DD1202,30),0)</f>
        <v/>
      </c>
      <c r="AG1202">
        <f>IFERROR(INDEX(PP_Grid[#Data],$DD1202,31),0)</f>
        <v/>
      </c>
      <c r="AH1202">
        <f>IFERROR(INDEX(PP_Grid[#Data],$DD1202,32),0)</f>
        <v/>
      </c>
      <c r="AI1202">
        <f>IFERROR(INDEX(PP_Grid[#Data],$DD1202,33),0)</f>
        <v/>
      </c>
      <c r="AJ1202">
        <f>IFERROR(INDEX(PP_Grid[#Data],$DD1202,34),0)</f>
        <v/>
      </c>
      <c r="AK1202">
        <f>IFERROR(INDEX(PP_Grid[#Data],$DD1202,35),0)</f>
        <v/>
      </c>
      <c r="AL1202">
        <f>IFERROR(INDEX(PP_Grid[#Data],$DD1202,36),0)</f>
        <v/>
      </c>
      <c r="AM1202">
        <f>IFERROR(INDEX(PP_Grid[#Data],$DD1202,37),0)</f>
        <v/>
      </c>
      <c r="AN1202">
        <f>IFERROR(INDEX(PP_Grid[#Data],$DD1202,38),0)</f>
        <v/>
      </c>
      <c r="AO1202">
        <f>IFERROR(INDEX(PP_Grid[#Data],$DD1202,39),0)</f>
        <v/>
      </c>
      <c r="AP1202">
        <f>IFERROR(INDEX(PP_Grid[#Data],$DD1202,40),0)</f>
        <v/>
      </c>
      <c r="AQ1202">
        <f>IFERROR(INDEX(PP_Grid[#Data],$DD1202,41),0)</f>
        <v/>
      </c>
      <c r="AR1202">
        <f>IFERROR(INDEX(PP_Grid[#Data],$DD1202,42),0)</f>
        <v/>
      </c>
      <c r="AS1202">
        <f>IFERROR(INDEX(PP_Grid[#Data],$DD1202,43),0)</f>
        <v/>
      </c>
      <c r="AT1202">
        <f>IFERROR(INDEX(PP_Grid[#Data],$DD1202,44),0)</f>
        <v/>
      </c>
      <c r="AU1202">
        <f>IFERROR(INDEX(PP_Grid[#Data],$DD1202,45),0)</f>
        <v/>
      </c>
      <c r="AV1202">
        <f>IFERROR(INDEX(PP_Grid[#Data],$DD1202,46),0)</f>
        <v/>
      </c>
      <c r="AW1202">
        <f>IFERROR(INDEX(PP_Grid[#Data],$DD1202,47),0)</f>
        <v/>
      </c>
      <c r="AX1202">
        <f>IFERROR(INDEX(PP_Grid[#Data],$DD1202,48),0)</f>
        <v/>
      </c>
      <c r="AY1202">
        <f>IFERROR(INDEX(PP_Grid[#Data],$DD1202,49),0)</f>
        <v/>
      </c>
      <c r="AZ1202">
        <f>IFERROR(INDEX(PP_Grid[#Data],$DD1202,50),0)</f>
        <v/>
      </c>
      <c r="BA1202">
        <f>IFERROR(INDEX(PP_Grid[#Data],$DD1202,51),0)</f>
        <v/>
      </c>
      <c r="BB1202">
        <f>IFERROR(INDEX(PP_Grid[#Data],$DD1202,52),0)</f>
        <v/>
      </c>
      <c r="BC1202">
        <f>IFERROR(INDEX(PP_Grid[#Data],$DD1202,53),0)</f>
        <v/>
      </c>
      <c r="BD1202">
        <f>IFERROR(INDEX(PP_Grid[#Data],$DD1202,54),0)</f>
        <v/>
      </c>
      <c r="BE1202">
        <f>IFERROR(INDEX(PP_Grid[#Data],$DD1202,55),0)</f>
        <v/>
      </c>
      <c r="BF1202">
        <f>IFERROR(INDEX(PP_Grid[#Data],$DD1202,56),0)</f>
        <v/>
      </c>
      <c r="BG1202">
        <f>IFERROR(INDEX(PP_Grid[#Data],$DD1202,57),0)</f>
        <v/>
      </c>
      <c r="BH1202">
        <f>IFERROR(INDEX(PP_Grid[#Data],$DD1202,58),0)</f>
        <v/>
      </c>
      <c r="BI1202">
        <f>IFERROR(INDEX(PP_Grid[#Data],$DD1202,59),0)</f>
        <v/>
      </c>
      <c r="BJ1202">
        <f>IFERROR(INDEX(PP_Grid[#Data],$DD1202,60),0)</f>
        <v/>
      </c>
      <c r="BK1202">
        <f>IFERROR(INDEX(PP_Grid[#Data],$DD1202,61),0)</f>
        <v/>
      </c>
      <c r="BL1202">
        <f>IFERROR(INDEX(PP_Grid[#Data],$DD1202,62),0)</f>
        <v/>
      </c>
      <c r="BM1202">
        <f>IFERROR(INDEX(PP_Grid[#Data],$DD1202,63),0)</f>
        <v/>
      </c>
      <c r="BN1202">
        <f>IFERROR(INDEX(PP_Grid[#Data],$DD1202,64),0)</f>
        <v/>
      </c>
      <c r="BO1202">
        <f>IFERROR(INDEX(PP_Grid[#Data],$DD1202,65),0)</f>
        <v/>
      </c>
      <c r="BP1202">
        <f>IFERROR(INDEX(PP_Grid[#Data],$DD1202,66),0)</f>
        <v/>
      </c>
      <c r="BQ1202">
        <f>IFERROR(INDEX(PP_Grid[#Data],$DD1202,67),0)</f>
        <v/>
      </c>
      <c r="BR1202">
        <f>IFERROR(INDEX(PP_Grid[#Data],$DD1202,68),0)</f>
        <v/>
      </c>
      <c r="BS1202">
        <f>IFERROR(INDEX(PP_Grid[#Data],$DD1202,69),0)</f>
        <v/>
      </c>
      <c r="BT1202">
        <f>IFERROR(INDEX(PP_Grid[#Data],$DD1202,70),0)</f>
        <v/>
      </c>
      <c r="BU1202">
        <f>IFERROR(INDEX(PP_Grid[#Data],$DD1202,71),0)</f>
        <v/>
      </c>
      <c r="BV1202">
        <f>IFERROR(INDEX(PP_Grid[#Data],$DD1202,72),0)</f>
        <v/>
      </c>
      <c r="BW1202">
        <f>IFERROR(INDEX(PP_Grid[#Data],$DD1202,73),0)</f>
        <v/>
      </c>
      <c r="BX1202">
        <f>IFERROR(INDEX(PP_Grid[#Data],$DD1202,74),0)</f>
        <v/>
      </c>
      <c r="BY1202">
        <f>IFERROR(INDEX(PP_Grid[#Data],$DD1202,75),0)</f>
        <v/>
      </c>
      <c r="BZ1202">
        <f>IFERROR(INDEX(PP_Grid[#Data],$DD1202,76),0)</f>
        <v/>
      </c>
      <c r="CA1202">
        <f>IFERROR(INDEX(PP_Grid[#Data],$DD1202,77),0)</f>
        <v/>
      </c>
      <c r="CB1202">
        <f>IFERROR(INDEX(PP_Grid[#Data],$DD1202,78),0)</f>
        <v/>
      </c>
      <c r="CC1202">
        <f>IFERROR(INDEX(PP_Grid[#Data],$DD1202,79),0)</f>
        <v/>
      </c>
      <c r="CD1202">
        <f>IFERROR(INDEX(PP_Grid[#Data],$DD1202,80),0)</f>
        <v/>
      </c>
      <c r="CE1202">
        <f>IFERROR(INDEX(PP_Grid[#Data],$DD1202,81),0)</f>
        <v/>
      </c>
      <c r="CF1202">
        <f>IFERROR(INDEX(PP_Grid[#Data],$DD1202,82),0)</f>
        <v/>
      </c>
      <c r="CG1202">
        <f>IFERROR(INDEX(PP_Grid[#Data],$DD1202,83),0)</f>
        <v/>
      </c>
      <c r="CH1202">
        <f>IFERROR(INDEX(PP_Grid[#Data],$DD1202,84),0)</f>
        <v/>
      </c>
      <c r="CI1202">
        <f>IFERROR(INDEX(PP_Grid[#Data],$DD1202,85),0)</f>
        <v/>
      </c>
      <c r="CJ1202">
        <f>IFERROR(INDEX(PP_Grid[#Data],$DD1202,86),0)</f>
        <v/>
      </c>
      <c r="CK1202">
        <f>IFERROR(INDEX(PP_Grid[#Data],$DD1202,87),0)</f>
        <v/>
      </c>
      <c r="CL1202">
        <f>IFERROR(INDEX(PP_Grid[#Data],$DD1202,88),0)</f>
        <v/>
      </c>
      <c r="CM1202">
        <f>IFERROR(INDEX(PP_Grid[#Data],$DD1202,89),0)</f>
        <v/>
      </c>
      <c r="CN1202">
        <f>IFERROR(INDEX(PP_Grid[#Data],$DD1202,90),0)</f>
        <v/>
      </c>
      <c r="CO1202">
        <f>IFERROR(INDEX(PP_Grid[#Data],$DD1202,91),0)</f>
        <v/>
      </c>
      <c r="CP1202">
        <f>IFERROR(INDEX(PP_Grid[#Data],$DD1202,92),0)</f>
        <v/>
      </c>
      <c r="CQ1202">
        <f>IFERROR(INDEX(PP_Grid[#Data],$DD1202,93),0)</f>
        <v/>
      </c>
      <c r="CR1202">
        <f>IFERROR(INDEX(PP_Grid[#Data],$DD1202,94),0)</f>
        <v/>
      </c>
      <c r="CS1202">
        <f>IFERROR(INDEX(PP_Grid[#Data],$DD1202,95),0)</f>
        <v/>
      </c>
      <c r="CT1202">
        <f>IFERROR(INDEX(PP_Grid[#Data],$DD1202,96),0)</f>
        <v/>
      </c>
      <c r="CU1202">
        <f>IFERROR(INDEX(PP_Grid[#Data],$DD1202,97),0)</f>
        <v/>
      </c>
      <c r="CV1202">
        <f>IFERROR(INDEX(PP_Grid[#Data],$DD1202,98),0)</f>
        <v/>
      </c>
      <c r="CW1202">
        <f>IFERROR(INDEX(PP_Grid[#Data],$DD1202,99),0)</f>
        <v/>
      </c>
      <c r="CX1202">
        <f>IFERROR(INDEX(PP_Grid[#Data],$DD1202,100),0)</f>
        <v/>
      </c>
      <c r="CY1202">
        <f>IFERROR(INDEX(PP_Grid[#Data],$DD1202,101),0)</f>
        <v/>
      </c>
      <c r="CZ1202">
        <f>IFERROR(INDEX(PP_Grid[#Data],$DD1202,102),0)</f>
        <v/>
      </c>
      <c r="DA1202">
        <f>IFERROR(INDEX(PP_Grid[#Data],$DD1202,103),0)</f>
        <v/>
      </c>
      <c r="DB1202">
        <f>IFERROR(INDEX(PP_Grid[#Data],$DD1202,104),0)</f>
        <v/>
      </c>
      <c r="DC1202">
        <f>IFERROR(INDEX(PP_Grid[#Data],$DD1202,105),0)</f>
        <v/>
      </c>
      <c r="DD1202" s="12">
        <f>IFERROR(MATCH($B1202,PP_Grid[Intermediate],0),99999)</f>
        <v/>
      </c>
    </row>
    <row r="1203">
      <c r="B1203" t="inlineStr">
        <is>
          <t>使用量(kg)</t>
        </is>
      </c>
      <c r="C1203">
        <f>SUMIFS(M_BOM[RM_Qty_Per_Batch],M_BOM[Intermediate],$B1202,M_BOM[Part Name],$A1199)</f>
        <v/>
      </c>
      <c r="D1203">
        <f>$C1203*D1202</f>
        <v/>
      </c>
      <c r="E1203">
        <f>$C1203*E1202</f>
        <v/>
      </c>
      <c r="F1203">
        <f>$C1203*F1202</f>
        <v/>
      </c>
      <c r="G1203">
        <f>$C1203*G1202</f>
        <v/>
      </c>
      <c r="H1203">
        <f>$C1203*H1202</f>
        <v/>
      </c>
      <c r="I1203">
        <f>$C1203*I1202</f>
        <v/>
      </c>
      <c r="J1203">
        <f>$C1203*J1202</f>
        <v/>
      </c>
      <c r="K1203">
        <f>$C1203*K1202</f>
        <v/>
      </c>
      <c r="L1203">
        <f>$C1203*L1202</f>
        <v/>
      </c>
      <c r="M1203">
        <f>$C1203*M1202</f>
        <v/>
      </c>
      <c r="N1203">
        <f>$C1203*N1202</f>
        <v/>
      </c>
      <c r="O1203">
        <f>$C1203*O1202</f>
        <v/>
      </c>
      <c r="P1203">
        <f>$C1203*P1202</f>
        <v/>
      </c>
      <c r="Q1203">
        <f>$C1203*Q1202</f>
        <v/>
      </c>
      <c r="R1203">
        <f>$C1203*R1202</f>
        <v/>
      </c>
      <c r="S1203">
        <f>$C1203*S1202</f>
        <v/>
      </c>
      <c r="T1203">
        <f>$C1203*T1202</f>
        <v/>
      </c>
      <c r="U1203">
        <f>$C1203*U1202</f>
        <v/>
      </c>
      <c r="V1203">
        <f>$C1203*V1202</f>
        <v/>
      </c>
      <c r="W1203">
        <f>$C1203*W1202</f>
        <v/>
      </c>
      <c r="X1203">
        <f>$C1203*X1202</f>
        <v/>
      </c>
      <c r="Y1203">
        <f>$C1203*Y1202</f>
        <v/>
      </c>
      <c r="Z1203">
        <f>$C1203*Z1202</f>
        <v/>
      </c>
      <c r="AA1203">
        <f>$C1203*AA1202</f>
        <v/>
      </c>
      <c r="AB1203">
        <f>$C1203*AB1202</f>
        <v/>
      </c>
      <c r="AC1203">
        <f>$C1203*AC1202</f>
        <v/>
      </c>
      <c r="AD1203">
        <f>$C1203*AD1202</f>
        <v/>
      </c>
      <c r="AE1203">
        <f>$C1203*AE1202</f>
        <v/>
      </c>
      <c r="AF1203">
        <f>$C1203*AF1202</f>
        <v/>
      </c>
      <c r="AG1203">
        <f>$C1203*AG1202</f>
        <v/>
      </c>
      <c r="AH1203">
        <f>$C1203*AH1202</f>
        <v/>
      </c>
      <c r="AI1203">
        <f>$C1203*AI1202</f>
        <v/>
      </c>
      <c r="AJ1203">
        <f>$C1203*AJ1202</f>
        <v/>
      </c>
      <c r="AK1203">
        <f>$C1203*AK1202</f>
        <v/>
      </c>
      <c r="AL1203">
        <f>$C1203*AL1202</f>
        <v/>
      </c>
      <c r="AM1203">
        <f>$C1203*AM1202</f>
        <v/>
      </c>
      <c r="AN1203">
        <f>$C1203*AN1202</f>
        <v/>
      </c>
      <c r="AO1203">
        <f>$C1203*AO1202</f>
        <v/>
      </c>
      <c r="AP1203">
        <f>$C1203*AP1202</f>
        <v/>
      </c>
      <c r="AQ1203">
        <f>$C1203*AQ1202</f>
        <v/>
      </c>
      <c r="AR1203">
        <f>$C1203*AR1202</f>
        <v/>
      </c>
      <c r="AS1203">
        <f>$C1203*AS1202</f>
        <v/>
      </c>
      <c r="AT1203">
        <f>$C1203*AT1202</f>
        <v/>
      </c>
      <c r="AU1203">
        <f>$C1203*AU1202</f>
        <v/>
      </c>
      <c r="AV1203">
        <f>$C1203*AV1202</f>
        <v/>
      </c>
      <c r="AW1203">
        <f>$C1203*AW1202</f>
        <v/>
      </c>
      <c r="AX1203">
        <f>$C1203*AX1202</f>
        <v/>
      </c>
      <c r="AY1203">
        <f>$C1203*AY1202</f>
        <v/>
      </c>
      <c r="AZ1203">
        <f>$C1203*AZ1202</f>
        <v/>
      </c>
      <c r="BA1203">
        <f>$C1203*BA1202</f>
        <v/>
      </c>
      <c r="BB1203">
        <f>$C1203*BB1202</f>
        <v/>
      </c>
      <c r="BC1203">
        <f>$C1203*BC1202</f>
        <v/>
      </c>
      <c r="BD1203">
        <f>$C1203*BD1202</f>
        <v/>
      </c>
      <c r="BE1203">
        <f>$C1203*BE1202</f>
        <v/>
      </c>
      <c r="BF1203">
        <f>$C1203*BF1202</f>
        <v/>
      </c>
      <c r="BG1203">
        <f>$C1203*BG1202</f>
        <v/>
      </c>
      <c r="BH1203">
        <f>$C1203*BH1202</f>
        <v/>
      </c>
      <c r="BI1203">
        <f>$C1203*BI1202</f>
        <v/>
      </c>
      <c r="BJ1203">
        <f>$C1203*BJ1202</f>
        <v/>
      </c>
      <c r="BK1203">
        <f>$C1203*BK1202</f>
        <v/>
      </c>
      <c r="BL1203">
        <f>$C1203*BL1202</f>
        <v/>
      </c>
      <c r="BM1203">
        <f>$C1203*BM1202</f>
        <v/>
      </c>
      <c r="BN1203">
        <f>$C1203*BN1202</f>
        <v/>
      </c>
      <c r="BO1203">
        <f>$C1203*BO1202</f>
        <v/>
      </c>
      <c r="BP1203">
        <f>$C1203*BP1202</f>
        <v/>
      </c>
      <c r="BQ1203">
        <f>$C1203*BQ1202</f>
        <v/>
      </c>
      <c r="BR1203">
        <f>$C1203*BR1202</f>
        <v/>
      </c>
      <c r="BS1203">
        <f>$C1203*BS1202</f>
        <v/>
      </c>
      <c r="BT1203">
        <f>$C1203*BT1202</f>
        <v/>
      </c>
      <c r="BU1203">
        <f>$C1203*BU1202</f>
        <v/>
      </c>
      <c r="BV1203">
        <f>$C1203*BV1202</f>
        <v/>
      </c>
      <c r="BW1203">
        <f>$C1203*BW1202</f>
        <v/>
      </c>
      <c r="BX1203">
        <f>$C1203*BX1202</f>
        <v/>
      </c>
      <c r="BY1203">
        <f>$C1203*BY1202</f>
        <v/>
      </c>
      <c r="BZ1203">
        <f>$C1203*BZ1202</f>
        <v/>
      </c>
      <c r="CA1203">
        <f>$C1203*CA1202</f>
        <v/>
      </c>
      <c r="CB1203">
        <f>$C1203*CB1202</f>
        <v/>
      </c>
      <c r="CC1203">
        <f>$C1203*CC1202</f>
        <v/>
      </c>
      <c r="CD1203">
        <f>$C1203*CD1202</f>
        <v/>
      </c>
      <c r="CE1203">
        <f>$C1203*CE1202</f>
        <v/>
      </c>
      <c r="CF1203">
        <f>$C1203*CF1202</f>
        <v/>
      </c>
      <c r="CG1203">
        <f>$C1203*CG1202</f>
        <v/>
      </c>
      <c r="CH1203">
        <f>$C1203*CH1202</f>
        <v/>
      </c>
      <c r="CI1203">
        <f>$C1203*CI1202</f>
        <v/>
      </c>
      <c r="CJ1203">
        <f>$C1203*CJ1202</f>
        <v/>
      </c>
      <c r="CK1203">
        <f>$C1203*CK1202</f>
        <v/>
      </c>
      <c r="CL1203">
        <f>$C1203*CL1202</f>
        <v/>
      </c>
      <c r="CM1203">
        <f>$C1203*CM1202</f>
        <v/>
      </c>
      <c r="CN1203">
        <f>$C1203*CN1202</f>
        <v/>
      </c>
      <c r="CO1203">
        <f>$C1203*CO1202</f>
        <v/>
      </c>
      <c r="CP1203">
        <f>$C1203*CP1202</f>
        <v/>
      </c>
      <c r="CQ1203">
        <f>$C1203*CQ1202</f>
        <v/>
      </c>
      <c r="CR1203">
        <f>$C1203*CR1202</f>
        <v/>
      </c>
      <c r="CS1203">
        <f>$C1203*CS1202</f>
        <v/>
      </c>
      <c r="CT1203">
        <f>$C1203*CT1202</f>
        <v/>
      </c>
      <c r="CU1203">
        <f>$C1203*CU1202</f>
        <v/>
      </c>
      <c r="CV1203">
        <f>$C1203*CV1202</f>
        <v/>
      </c>
      <c r="CW1203">
        <f>$C1203*CW1202</f>
        <v/>
      </c>
      <c r="CX1203">
        <f>$C1203*CX1202</f>
        <v/>
      </c>
      <c r="CY1203">
        <f>$C1203*CY1202</f>
        <v/>
      </c>
      <c r="CZ1203">
        <f>$C1203*CZ1202</f>
        <v/>
      </c>
      <c r="DA1203">
        <f>$C1203*DA1202</f>
        <v/>
      </c>
      <c r="DB1203">
        <f>$C1203*DB1202</f>
        <v/>
      </c>
      <c r="DC1203">
        <f>$C1203*DC1202</f>
        <v/>
      </c>
    </row>
    <row r="1204">
      <c r="B1204" t="inlineStr">
        <is>
          <t>TSP-966</t>
        </is>
      </c>
      <c r="C1204" t="inlineStr">
        <is>
          <t>No. of batches</t>
        </is>
      </c>
      <c r="D1204">
        <f>IFERROR(INDEX(PP_Grid[#Data],$DD1204,2),0)</f>
        <v/>
      </c>
      <c r="E1204">
        <f>IFERROR(INDEX(PP_Grid[#Data],$DD1204,3),0)</f>
        <v/>
      </c>
      <c r="F1204">
        <f>IFERROR(INDEX(PP_Grid[#Data],$DD1204,4),0)</f>
        <v/>
      </c>
      <c r="G1204">
        <f>IFERROR(INDEX(PP_Grid[#Data],$DD1204,5),0)</f>
        <v/>
      </c>
      <c r="H1204">
        <f>IFERROR(INDEX(PP_Grid[#Data],$DD1204,6),0)</f>
        <v/>
      </c>
      <c r="I1204">
        <f>IFERROR(INDEX(PP_Grid[#Data],$DD1204,7),0)</f>
        <v/>
      </c>
      <c r="J1204">
        <f>IFERROR(INDEX(PP_Grid[#Data],$DD1204,8),0)</f>
        <v/>
      </c>
      <c r="K1204">
        <f>IFERROR(INDEX(PP_Grid[#Data],$DD1204,9),0)</f>
        <v/>
      </c>
      <c r="L1204">
        <f>IFERROR(INDEX(PP_Grid[#Data],$DD1204,10),0)</f>
        <v/>
      </c>
      <c r="M1204">
        <f>IFERROR(INDEX(PP_Grid[#Data],$DD1204,11),0)</f>
        <v/>
      </c>
      <c r="N1204">
        <f>IFERROR(INDEX(PP_Grid[#Data],$DD1204,12),0)</f>
        <v/>
      </c>
      <c r="O1204">
        <f>IFERROR(INDEX(PP_Grid[#Data],$DD1204,13),0)</f>
        <v/>
      </c>
      <c r="P1204">
        <f>IFERROR(INDEX(PP_Grid[#Data],$DD1204,14),0)</f>
        <v/>
      </c>
      <c r="Q1204">
        <f>IFERROR(INDEX(PP_Grid[#Data],$DD1204,15),0)</f>
        <v/>
      </c>
      <c r="R1204">
        <f>IFERROR(INDEX(PP_Grid[#Data],$DD1204,16),0)</f>
        <v/>
      </c>
      <c r="S1204">
        <f>IFERROR(INDEX(PP_Grid[#Data],$DD1204,17),0)</f>
        <v/>
      </c>
      <c r="T1204">
        <f>IFERROR(INDEX(PP_Grid[#Data],$DD1204,18),0)</f>
        <v/>
      </c>
      <c r="U1204">
        <f>IFERROR(INDEX(PP_Grid[#Data],$DD1204,19),0)</f>
        <v/>
      </c>
      <c r="V1204">
        <f>IFERROR(INDEX(PP_Grid[#Data],$DD1204,20),0)</f>
        <v/>
      </c>
      <c r="W1204">
        <f>IFERROR(INDEX(PP_Grid[#Data],$DD1204,21),0)</f>
        <v/>
      </c>
      <c r="X1204">
        <f>IFERROR(INDEX(PP_Grid[#Data],$DD1204,22),0)</f>
        <v/>
      </c>
      <c r="Y1204">
        <f>IFERROR(INDEX(PP_Grid[#Data],$DD1204,23),0)</f>
        <v/>
      </c>
      <c r="Z1204">
        <f>IFERROR(INDEX(PP_Grid[#Data],$DD1204,24),0)</f>
        <v/>
      </c>
      <c r="AA1204">
        <f>IFERROR(INDEX(PP_Grid[#Data],$DD1204,25),0)</f>
        <v/>
      </c>
      <c r="AB1204">
        <f>IFERROR(INDEX(PP_Grid[#Data],$DD1204,26),0)</f>
        <v/>
      </c>
      <c r="AC1204">
        <f>IFERROR(INDEX(PP_Grid[#Data],$DD1204,27),0)</f>
        <v/>
      </c>
      <c r="AD1204">
        <f>IFERROR(INDEX(PP_Grid[#Data],$DD1204,28),0)</f>
        <v/>
      </c>
      <c r="AE1204">
        <f>IFERROR(INDEX(PP_Grid[#Data],$DD1204,29),0)</f>
        <v/>
      </c>
      <c r="AF1204">
        <f>IFERROR(INDEX(PP_Grid[#Data],$DD1204,30),0)</f>
        <v/>
      </c>
      <c r="AG1204">
        <f>IFERROR(INDEX(PP_Grid[#Data],$DD1204,31),0)</f>
        <v/>
      </c>
      <c r="AH1204">
        <f>IFERROR(INDEX(PP_Grid[#Data],$DD1204,32),0)</f>
        <v/>
      </c>
      <c r="AI1204">
        <f>IFERROR(INDEX(PP_Grid[#Data],$DD1204,33),0)</f>
        <v/>
      </c>
      <c r="AJ1204">
        <f>IFERROR(INDEX(PP_Grid[#Data],$DD1204,34),0)</f>
        <v/>
      </c>
      <c r="AK1204">
        <f>IFERROR(INDEX(PP_Grid[#Data],$DD1204,35),0)</f>
        <v/>
      </c>
      <c r="AL1204">
        <f>IFERROR(INDEX(PP_Grid[#Data],$DD1204,36),0)</f>
        <v/>
      </c>
      <c r="AM1204">
        <f>IFERROR(INDEX(PP_Grid[#Data],$DD1204,37),0)</f>
        <v/>
      </c>
      <c r="AN1204">
        <f>IFERROR(INDEX(PP_Grid[#Data],$DD1204,38),0)</f>
        <v/>
      </c>
      <c r="AO1204">
        <f>IFERROR(INDEX(PP_Grid[#Data],$DD1204,39),0)</f>
        <v/>
      </c>
      <c r="AP1204">
        <f>IFERROR(INDEX(PP_Grid[#Data],$DD1204,40),0)</f>
        <v/>
      </c>
      <c r="AQ1204">
        <f>IFERROR(INDEX(PP_Grid[#Data],$DD1204,41),0)</f>
        <v/>
      </c>
      <c r="AR1204">
        <f>IFERROR(INDEX(PP_Grid[#Data],$DD1204,42),0)</f>
        <v/>
      </c>
      <c r="AS1204">
        <f>IFERROR(INDEX(PP_Grid[#Data],$DD1204,43),0)</f>
        <v/>
      </c>
      <c r="AT1204">
        <f>IFERROR(INDEX(PP_Grid[#Data],$DD1204,44),0)</f>
        <v/>
      </c>
      <c r="AU1204">
        <f>IFERROR(INDEX(PP_Grid[#Data],$DD1204,45),0)</f>
        <v/>
      </c>
      <c r="AV1204">
        <f>IFERROR(INDEX(PP_Grid[#Data],$DD1204,46),0)</f>
        <v/>
      </c>
      <c r="AW1204">
        <f>IFERROR(INDEX(PP_Grid[#Data],$DD1204,47),0)</f>
        <v/>
      </c>
      <c r="AX1204">
        <f>IFERROR(INDEX(PP_Grid[#Data],$DD1204,48),0)</f>
        <v/>
      </c>
      <c r="AY1204">
        <f>IFERROR(INDEX(PP_Grid[#Data],$DD1204,49),0)</f>
        <v/>
      </c>
      <c r="AZ1204">
        <f>IFERROR(INDEX(PP_Grid[#Data],$DD1204,50),0)</f>
        <v/>
      </c>
      <c r="BA1204">
        <f>IFERROR(INDEX(PP_Grid[#Data],$DD1204,51),0)</f>
        <v/>
      </c>
      <c r="BB1204">
        <f>IFERROR(INDEX(PP_Grid[#Data],$DD1204,52),0)</f>
        <v/>
      </c>
      <c r="BC1204">
        <f>IFERROR(INDEX(PP_Grid[#Data],$DD1204,53),0)</f>
        <v/>
      </c>
      <c r="BD1204">
        <f>IFERROR(INDEX(PP_Grid[#Data],$DD1204,54),0)</f>
        <v/>
      </c>
      <c r="BE1204">
        <f>IFERROR(INDEX(PP_Grid[#Data],$DD1204,55),0)</f>
        <v/>
      </c>
      <c r="BF1204">
        <f>IFERROR(INDEX(PP_Grid[#Data],$DD1204,56),0)</f>
        <v/>
      </c>
      <c r="BG1204">
        <f>IFERROR(INDEX(PP_Grid[#Data],$DD1204,57),0)</f>
        <v/>
      </c>
      <c r="BH1204">
        <f>IFERROR(INDEX(PP_Grid[#Data],$DD1204,58),0)</f>
        <v/>
      </c>
      <c r="BI1204">
        <f>IFERROR(INDEX(PP_Grid[#Data],$DD1204,59),0)</f>
        <v/>
      </c>
      <c r="BJ1204">
        <f>IFERROR(INDEX(PP_Grid[#Data],$DD1204,60),0)</f>
        <v/>
      </c>
      <c r="BK1204">
        <f>IFERROR(INDEX(PP_Grid[#Data],$DD1204,61),0)</f>
        <v/>
      </c>
      <c r="BL1204">
        <f>IFERROR(INDEX(PP_Grid[#Data],$DD1204,62),0)</f>
        <v/>
      </c>
      <c r="BM1204">
        <f>IFERROR(INDEX(PP_Grid[#Data],$DD1204,63),0)</f>
        <v/>
      </c>
      <c r="BN1204">
        <f>IFERROR(INDEX(PP_Grid[#Data],$DD1204,64),0)</f>
        <v/>
      </c>
      <c r="BO1204">
        <f>IFERROR(INDEX(PP_Grid[#Data],$DD1204,65),0)</f>
        <v/>
      </c>
      <c r="BP1204">
        <f>IFERROR(INDEX(PP_Grid[#Data],$DD1204,66),0)</f>
        <v/>
      </c>
      <c r="BQ1204">
        <f>IFERROR(INDEX(PP_Grid[#Data],$DD1204,67),0)</f>
        <v/>
      </c>
      <c r="BR1204">
        <f>IFERROR(INDEX(PP_Grid[#Data],$DD1204,68),0)</f>
        <v/>
      </c>
      <c r="BS1204">
        <f>IFERROR(INDEX(PP_Grid[#Data],$DD1204,69),0)</f>
        <v/>
      </c>
      <c r="BT1204">
        <f>IFERROR(INDEX(PP_Grid[#Data],$DD1204,70),0)</f>
        <v/>
      </c>
      <c r="BU1204">
        <f>IFERROR(INDEX(PP_Grid[#Data],$DD1204,71),0)</f>
        <v/>
      </c>
      <c r="BV1204">
        <f>IFERROR(INDEX(PP_Grid[#Data],$DD1204,72),0)</f>
        <v/>
      </c>
      <c r="BW1204">
        <f>IFERROR(INDEX(PP_Grid[#Data],$DD1204,73),0)</f>
        <v/>
      </c>
      <c r="BX1204">
        <f>IFERROR(INDEX(PP_Grid[#Data],$DD1204,74),0)</f>
        <v/>
      </c>
      <c r="BY1204">
        <f>IFERROR(INDEX(PP_Grid[#Data],$DD1204,75),0)</f>
        <v/>
      </c>
      <c r="BZ1204">
        <f>IFERROR(INDEX(PP_Grid[#Data],$DD1204,76),0)</f>
        <v/>
      </c>
      <c r="CA1204">
        <f>IFERROR(INDEX(PP_Grid[#Data],$DD1204,77),0)</f>
        <v/>
      </c>
      <c r="CB1204">
        <f>IFERROR(INDEX(PP_Grid[#Data],$DD1204,78),0)</f>
        <v/>
      </c>
      <c r="CC1204">
        <f>IFERROR(INDEX(PP_Grid[#Data],$DD1204,79),0)</f>
        <v/>
      </c>
      <c r="CD1204">
        <f>IFERROR(INDEX(PP_Grid[#Data],$DD1204,80),0)</f>
        <v/>
      </c>
      <c r="CE1204">
        <f>IFERROR(INDEX(PP_Grid[#Data],$DD1204,81),0)</f>
        <v/>
      </c>
      <c r="CF1204">
        <f>IFERROR(INDEX(PP_Grid[#Data],$DD1204,82),0)</f>
        <v/>
      </c>
      <c r="CG1204">
        <f>IFERROR(INDEX(PP_Grid[#Data],$DD1204,83),0)</f>
        <v/>
      </c>
      <c r="CH1204">
        <f>IFERROR(INDEX(PP_Grid[#Data],$DD1204,84),0)</f>
        <v/>
      </c>
      <c r="CI1204">
        <f>IFERROR(INDEX(PP_Grid[#Data],$DD1204,85),0)</f>
        <v/>
      </c>
      <c r="CJ1204">
        <f>IFERROR(INDEX(PP_Grid[#Data],$DD1204,86),0)</f>
        <v/>
      </c>
      <c r="CK1204">
        <f>IFERROR(INDEX(PP_Grid[#Data],$DD1204,87),0)</f>
        <v/>
      </c>
      <c r="CL1204">
        <f>IFERROR(INDEX(PP_Grid[#Data],$DD1204,88),0)</f>
        <v/>
      </c>
      <c r="CM1204">
        <f>IFERROR(INDEX(PP_Grid[#Data],$DD1204,89),0)</f>
        <v/>
      </c>
      <c r="CN1204">
        <f>IFERROR(INDEX(PP_Grid[#Data],$DD1204,90),0)</f>
        <v/>
      </c>
      <c r="CO1204">
        <f>IFERROR(INDEX(PP_Grid[#Data],$DD1204,91),0)</f>
        <v/>
      </c>
      <c r="CP1204">
        <f>IFERROR(INDEX(PP_Grid[#Data],$DD1204,92),0)</f>
        <v/>
      </c>
      <c r="CQ1204">
        <f>IFERROR(INDEX(PP_Grid[#Data],$DD1204,93),0)</f>
        <v/>
      </c>
      <c r="CR1204">
        <f>IFERROR(INDEX(PP_Grid[#Data],$DD1204,94),0)</f>
        <v/>
      </c>
      <c r="CS1204">
        <f>IFERROR(INDEX(PP_Grid[#Data],$DD1204,95),0)</f>
        <v/>
      </c>
      <c r="CT1204">
        <f>IFERROR(INDEX(PP_Grid[#Data],$DD1204,96),0)</f>
        <v/>
      </c>
      <c r="CU1204">
        <f>IFERROR(INDEX(PP_Grid[#Data],$DD1204,97),0)</f>
        <v/>
      </c>
      <c r="CV1204">
        <f>IFERROR(INDEX(PP_Grid[#Data],$DD1204,98),0)</f>
        <v/>
      </c>
      <c r="CW1204">
        <f>IFERROR(INDEX(PP_Grid[#Data],$DD1204,99),0)</f>
        <v/>
      </c>
      <c r="CX1204">
        <f>IFERROR(INDEX(PP_Grid[#Data],$DD1204,100),0)</f>
        <v/>
      </c>
      <c r="CY1204">
        <f>IFERROR(INDEX(PP_Grid[#Data],$DD1204,101),0)</f>
        <v/>
      </c>
      <c r="CZ1204">
        <f>IFERROR(INDEX(PP_Grid[#Data],$DD1204,102),0)</f>
        <v/>
      </c>
      <c r="DA1204">
        <f>IFERROR(INDEX(PP_Grid[#Data],$DD1204,103),0)</f>
        <v/>
      </c>
      <c r="DB1204">
        <f>IFERROR(INDEX(PP_Grid[#Data],$DD1204,104),0)</f>
        <v/>
      </c>
      <c r="DC1204">
        <f>IFERROR(INDEX(PP_Grid[#Data],$DD1204,105),0)</f>
        <v/>
      </c>
      <c r="DD1204" s="12">
        <f>IFERROR(MATCH($B1204,PP_Grid[Intermediate],0),99999)</f>
        <v/>
      </c>
    </row>
    <row r="1205">
      <c r="B1205" t="inlineStr">
        <is>
          <t>使用量(kg)</t>
        </is>
      </c>
      <c r="C1205">
        <f>SUMIFS(M_BOM[RM_Qty_Per_Batch],M_BOM[Intermediate],$B1204,M_BOM[Part Name],$A1199)</f>
        <v/>
      </c>
      <c r="D1205">
        <f>$C1205*D1204</f>
        <v/>
      </c>
      <c r="E1205">
        <f>$C1205*E1204</f>
        <v/>
      </c>
      <c r="F1205">
        <f>$C1205*F1204</f>
        <v/>
      </c>
      <c r="G1205">
        <f>$C1205*G1204</f>
        <v/>
      </c>
      <c r="H1205">
        <f>$C1205*H1204</f>
        <v/>
      </c>
      <c r="I1205">
        <f>$C1205*I1204</f>
        <v/>
      </c>
      <c r="J1205">
        <f>$C1205*J1204</f>
        <v/>
      </c>
      <c r="K1205">
        <f>$C1205*K1204</f>
        <v/>
      </c>
      <c r="L1205">
        <f>$C1205*L1204</f>
        <v/>
      </c>
      <c r="M1205">
        <f>$C1205*M1204</f>
        <v/>
      </c>
      <c r="N1205">
        <f>$C1205*N1204</f>
        <v/>
      </c>
      <c r="O1205">
        <f>$C1205*O1204</f>
        <v/>
      </c>
      <c r="P1205">
        <f>$C1205*P1204</f>
        <v/>
      </c>
      <c r="Q1205">
        <f>$C1205*Q1204</f>
        <v/>
      </c>
      <c r="R1205">
        <f>$C1205*R1204</f>
        <v/>
      </c>
      <c r="S1205">
        <f>$C1205*S1204</f>
        <v/>
      </c>
      <c r="T1205">
        <f>$C1205*T1204</f>
        <v/>
      </c>
      <c r="U1205">
        <f>$C1205*U1204</f>
        <v/>
      </c>
      <c r="V1205">
        <f>$C1205*V1204</f>
        <v/>
      </c>
      <c r="W1205">
        <f>$C1205*W1204</f>
        <v/>
      </c>
      <c r="X1205">
        <f>$C1205*X1204</f>
        <v/>
      </c>
      <c r="Y1205">
        <f>$C1205*Y1204</f>
        <v/>
      </c>
      <c r="Z1205">
        <f>$C1205*Z1204</f>
        <v/>
      </c>
      <c r="AA1205">
        <f>$C1205*AA1204</f>
        <v/>
      </c>
      <c r="AB1205">
        <f>$C1205*AB1204</f>
        <v/>
      </c>
      <c r="AC1205">
        <f>$C1205*AC1204</f>
        <v/>
      </c>
      <c r="AD1205">
        <f>$C1205*AD1204</f>
        <v/>
      </c>
      <c r="AE1205">
        <f>$C1205*AE1204</f>
        <v/>
      </c>
      <c r="AF1205">
        <f>$C1205*AF1204</f>
        <v/>
      </c>
      <c r="AG1205">
        <f>$C1205*AG1204</f>
        <v/>
      </c>
      <c r="AH1205">
        <f>$C1205*AH1204</f>
        <v/>
      </c>
      <c r="AI1205">
        <f>$C1205*AI1204</f>
        <v/>
      </c>
      <c r="AJ1205">
        <f>$C1205*AJ1204</f>
        <v/>
      </c>
      <c r="AK1205">
        <f>$C1205*AK1204</f>
        <v/>
      </c>
      <c r="AL1205">
        <f>$C1205*AL1204</f>
        <v/>
      </c>
      <c r="AM1205">
        <f>$C1205*AM1204</f>
        <v/>
      </c>
      <c r="AN1205">
        <f>$C1205*AN1204</f>
        <v/>
      </c>
      <c r="AO1205">
        <f>$C1205*AO1204</f>
        <v/>
      </c>
      <c r="AP1205">
        <f>$C1205*AP1204</f>
        <v/>
      </c>
      <c r="AQ1205">
        <f>$C1205*AQ1204</f>
        <v/>
      </c>
      <c r="AR1205">
        <f>$C1205*AR1204</f>
        <v/>
      </c>
      <c r="AS1205">
        <f>$C1205*AS1204</f>
        <v/>
      </c>
      <c r="AT1205">
        <f>$C1205*AT1204</f>
        <v/>
      </c>
      <c r="AU1205">
        <f>$C1205*AU1204</f>
        <v/>
      </c>
      <c r="AV1205">
        <f>$C1205*AV1204</f>
        <v/>
      </c>
      <c r="AW1205">
        <f>$C1205*AW1204</f>
        <v/>
      </c>
      <c r="AX1205">
        <f>$C1205*AX1204</f>
        <v/>
      </c>
      <c r="AY1205">
        <f>$C1205*AY1204</f>
        <v/>
      </c>
      <c r="AZ1205">
        <f>$C1205*AZ1204</f>
        <v/>
      </c>
      <c r="BA1205">
        <f>$C1205*BA1204</f>
        <v/>
      </c>
      <c r="BB1205">
        <f>$C1205*BB1204</f>
        <v/>
      </c>
      <c r="BC1205">
        <f>$C1205*BC1204</f>
        <v/>
      </c>
      <c r="BD1205">
        <f>$C1205*BD1204</f>
        <v/>
      </c>
      <c r="BE1205">
        <f>$C1205*BE1204</f>
        <v/>
      </c>
      <c r="BF1205">
        <f>$C1205*BF1204</f>
        <v/>
      </c>
      <c r="BG1205">
        <f>$C1205*BG1204</f>
        <v/>
      </c>
      <c r="BH1205">
        <f>$C1205*BH1204</f>
        <v/>
      </c>
      <c r="BI1205">
        <f>$C1205*BI1204</f>
        <v/>
      </c>
      <c r="BJ1205">
        <f>$C1205*BJ1204</f>
        <v/>
      </c>
      <c r="BK1205">
        <f>$C1205*BK1204</f>
        <v/>
      </c>
      <c r="BL1205">
        <f>$C1205*BL1204</f>
        <v/>
      </c>
      <c r="BM1205">
        <f>$C1205*BM1204</f>
        <v/>
      </c>
      <c r="BN1205">
        <f>$C1205*BN1204</f>
        <v/>
      </c>
      <c r="BO1205">
        <f>$C1205*BO1204</f>
        <v/>
      </c>
      <c r="BP1205">
        <f>$C1205*BP1204</f>
        <v/>
      </c>
      <c r="BQ1205">
        <f>$C1205*BQ1204</f>
        <v/>
      </c>
      <c r="BR1205">
        <f>$C1205*BR1204</f>
        <v/>
      </c>
      <c r="BS1205">
        <f>$C1205*BS1204</f>
        <v/>
      </c>
      <c r="BT1205">
        <f>$C1205*BT1204</f>
        <v/>
      </c>
      <c r="BU1205">
        <f>$C1205*BU1204</f>
        <v/>
      </c>
      <c r="BV1205">
        <f>$C1205*BV1204</f>
        <v/>
      </c>
      <c r="BW1205">
        <f>$C1205*BW1204</f>
        <v/>
      </c>
      <c r="BX1205">
        <f>$C1205*BX1204</f>
        <v/>
      </c>
      <c r="BY1205">
        <f>$C1205*BY1204</f>
        <v/>
      </c>
      <c r="BZ1205">
        <f>$C1205*BZ1204</f>
        <v/>
      </c>
      <c r="CA1205">
        <f>$C1205*CA1204</f>
        <v/>
      </c>
      <c r="CB1205">
        <f>$C1205*CB1204</f>
        <v/>
      </c>
      <c r="CC1205">
        <f>$C1205*CC1204</f>
        <v/>
      </c>
      <c r="CD1205">
        <f>$C1205*CD1204</f>
        <v/>
      </c>
      <c r="CE1205">
        <f>$C1205*CE1204</f>
        <v/>
      </c>
      <c r="CF1205">
        <f>$C1205*CF1204</f>
        <v/>
      </c>
      <c r="CG1205">
        <f>$C1205*CG1204</f>
        <v/>
      </c>
      <c r="CH1205">
        <f>$C1205*CH1204</f>
        <v/>
      </c>
      <c r="CI1205">
        <f>$C1205*CI1204</f>
        <v/>
      </c>
      <c r="CJ1205">
        <f>$C1205*CJ1204</f>
        <v/>
      </c>
      <c r="CK1205">
        <f>$C1205*CK1204</f>
        <v/>
      </c>
      <c r="CL1205">
        <f>$C1205*CL1204</f>
        <v/>
      </c>
      <c r="CM1205">
        <f>$C1205*CM1204</f>
        <v/>
      </c>
      <c r="CN1205">
        <f>$C1205*CN1204</f>
        <v/>
      </c>
      <c r="CO1205">
        <f>$C1205*CO1204</f>
        <v/>
      </c>
      <c r="CP1205">
        <f>$C1205*CP1204</f>
        <v/>
      </c>
      <c r="CQ1205">
        <f>$C1205*CQ1204</f>
        <v/>
      </c>
      <c r="CR1205">
        <f>$C1205*CR1204</f>
        <v/>
      </c>
      <c r="CS1205">
        <f>$C1205*CS1204</f>
        <v/>
      </c>
      <c r="CT1205">
        <f>$C1205*CT1204</f>
        <v/>
      </c>
      <c r="CU1205">
        <f>$C1205*CU1204</f>
        <v/>
      </c>
      <c r="CV1205">
        <f>$C1205*CV1204</f>
        <v/>
      </c>
      <c r="CW1205">
        <f>$C1205*CW1204</f>
        <v/>
      </c>
      <c r="CX1205">
        <f>$C1205*CX1204</f>
        <v/>
      </c>
      <c r="CY1205">
        <f>$C1205*CY1204</f>
        <v/>
      </c>
      <c r="CZ1205">
        <f>$C1205*CZ1204</f>
        <v/>
      </c>
      <c r="DA1205">
        <f>$C1205*DA1204</f>
        <v/>
      </c>
      <c r="DB1205">
        <f>$C1205*DB1204</f>
        <v/>
      </c>
      <c r="DC1205">
        <f>$C1205*DC1204</f>
        <v/>
      </c>
    </row>
    <row r="1206">
      <c r="B1206" s="5" t="inlineStr">
        <is>
          <t>合計使用量(kg)/週</t>
        </is>
      </c>
      <c r="D1206">
        <f>'Grid_Requirement'!B56</f>
        <v/>
      </c>
      <c r="E1206">
        <f>'Grid_Requirement'!C56</f>
        <v/>
      </c>
      <c r="F1206">
        <f>'Grid_Requirement'!D56</f>
        <v/>
      </c>
      <c r="G1206">
        <f>'Grid_Requirement'!E56</f>
        <v/>
      </c>
      <c r="H1206">
        <f>'Grid_Requirement'!F56</f>
        <v/>
      </c>
      <c r="I1206">
        <f>'Grid_Requirement'!G56</f>
        <v/>
      </c>
      <c r="J1206">
        <f>'Grid_Requirement'!H56</f>
        <v/>
      </c>
      <c r="K1206">
        <f>'Grid_Requirement'!I56</f>
        <v/>
      </c>
      <c r="L1206">
        <f>'Grid_Requirement'!J56</f>
        <v/>
      </c>
      <c r="M1206">
        <f>'Grid_Requirement'!K56</f>
        <v/>
      </c>
      <c r="N1206">
        <f>'Grid_Requirement'!L56</f>
        <v/>
      </c>
      <c r="O1206">
        <f>'Grid_Requirement'!M56</f>
        <v/>
      </c>
      <c r="P1206">
        <f>'Grid_Requirement'!N56</f>
        <v/>
      </c>
      <c r="Q1206">
        <f>'Grid_Requirement'!O56</f>
        <v/>
      </c>
      <c r="R1206">
        <f>'Grid_Requirement'!P56</f>
        <v/>
      </c>
      <c r="S1206">
        <f>'Grid_Requirement'!Q56</f>
        <v/>
      </c>
      <c r="T1206">
        <f>'Grid_Requirement'!R56</f>
        <v/>
      </c>
      <c r="U1206">
        <f>'Grid_Requirement'!S56</f>
        <v/>
      </c>
      <c r="V1206">
        <f>'Grid_Requirement'!T56</f>
        <v/>
      </c>
      <c r="W1206">
        <f>'Grid_Requirement'!U56</f>
        <v/>
      </c>
      <c r="X1206">
        <f>'Grid_Requirement'!V56</f>
        <v/>
      </c>
      <c r="Y1206">
        <f>'Grid_Requirement'!W56</f>
        <v/>
      </c>
      <c r="Z1206">
        <f>'Grid_Requirement'!X56</f>
        <v/>
      </c>
      <c r="AA1206">
        <f>'Grid_Requirement'!Y56</f>
        <v/>
      </c>
      <c r="AB1206">
        <f>'Grid_Requirement'!Z56</f>
        <v/>
      </c>
      <c r="AC1206">
        <f>'Grid_Requirement'!AA56</f>
        <v/>
      </c>
      <c r="AD1206">
        <f>'Grid_Requirement'!AB56</f>
        <v/>
      </c>
      <c r="AE1206">
        <f>'Grid_Requirement'!AC56</f>
        <v/>
      </c>
      <c r="AF1206">
        <f>'Grid_Requirement'!AD56</f>
        <v/>
      </c>
      <c r="AG1206">
        <f>'Grid_Requirement'!AE56</f>
        <v/>
      </c>
      <c r="AH1206">
        <f>'Grid_Requirement'!AF56</f>
        <v/>
      </c>
      <c r="AI1206">
        <f>'Grid_Requirement'!AG56</f>
        <v/>
      </c>
      <c r="AJ1206">
        <f>'Grid_Requirement'!AH56</f>
        <v/>
      </c>
      <c r="AK1206">
        <f>'Grid_Requirement'!AI56</f>
        <v/>
      </c>
      <c r="AL1206">
        <f>'Grid_Requirement'!AJ56</f>
        <v/>
      </c>
      <c r="AM1206">
        <f>'Grid_Requirement'!AK56</f>
        <v/>
      </c>
      <c r="AN1206">
        <f>'Grid_Requirement'!AL56</f>
        <v/>
      </c>
      <c r="AO1206">
        <f>'Grid_Requirement'!AM56</f>
        <v/>
      </c>
      <c r="AP1206">
        <f>'Grid_Requirement'!AN56</f>
        <v/>
      </c>
      <c r="AQ1206">
        <f>'Grid_Requirement'!AO56</f>
        <v/>
      </c>
      <c r="AR1206">
        <f>'Grid_Requirement'!AP56</f>
        <v/>
      </c>
      <c r="AS1206">
        <f>'Grid_Requirement'!AQ56</f>
        <v/>
      </c>
      <c r="AT1206">
        <f>'Grid_Requirement'!AR56</f>
        <v/>
      </c>
      <c r="AU1206">
        <f>'Grid_Requirement'!AS56</f>
        <v/>
      </c>
      <c r="AV1206">
        <f>'Grid_Requirement'!AT56</f>
        <v/>
      </c>
      <c r="AW1206">
        <f>'Grid_Requirement'!AU56</f>
        <v/>
      </c>
      <c r="AX1206">
        <f>'Grid_Requirement'!AV56</f>
        <v/>
      </c>
      <c r="AY1206">
        <f>'Grid_Requirement'!AW56</f>
        <v/>
      </c>
      <c r="AZ1206">
        <f>'Grid_Requirement'!AX56</f>
        <v/>
      </c>
      <c r="BA1206">
        <f>'Grid_Requirement'!AY56</f>
        <v/>
      </c>
      <c r="BB1206">
        <f>'Grid_Requirement'!AZ56</f>
        <v/>
      </c>
      <c r="BC1206">
        <f>'Grid_Requirement'!BA56</f>
        <v/>
      </c>
      <c r="BD1206">
        <f>'Grid_Requirement'!BB56</f>
        <v/>
      </c>
      <c r="BE1206">
        <f>'Grid_Requirement'!BC56</f>
        <v/>
      </c>
      <c r="BF1206">
        <f>'Grid_Requirement'!BD56</f>
        <v/>
      </c>
      <c r="BG1206">
        <f>'Grid_Requirement'!BE56</f>
        <v/>
      </c>
      <c r="BH1206">
        <f>'Grid_Requirement'!BF56</f>
        <v/>
      </c>
      <c r="BI1206">
        <f>'Grid_Requirement'!BG56</f>
        <v/>
      </c>
      <c r="BJ1206">
        <f>'Grid_Requirement'!BH56</f>
        <v/>
      </c>
      <c r="BK1206">
        <f>'Grid_Requirement'!BI56</f>
        <v/>
      </c>
      <c r="BL1206">
        <f>'Grid_Requirement'!BJ56</f>
        <v/>
      </c>
      <c r="BM1206">
        <f>'Grid_Requirement'!BK56</f>
        <v/>
      </c>
      <c r="BN1206">
        <f>'Grid_Requirement'!BL56</f>
        <v/>
      </c>
      <c r="BO1206">
        <f>'Grid_Requirement'!BM56</f>
        <v/>
      </c>
      <c r="BP1206">
        <f>'Grid_Requirement'!BN56</f>
        <v/>
      </c>
      <c r="BQ1206">
        <f>'Grid_Requirement'!BO56</f>
        <v/>
      </c>
      <c r="BR1206">
        <f>'Grid_Requirement'!BP56</f>
        <v/>
      </c>
      <c r="BS1206">
        <f>'Grid_Requirement'!BQ56</f>
        <v/>
      </c>
      <c r="BT1206">
        <f>'Grid_Requirement'!BR56</f>
        <v/>
      </c>
      <c r="BU1206">
        <f>'Grid_Requirement'!BS56</f>
        <v/>
      </c>
      <c r="BV1206">
        <f>'Grid_Requirement'!BT56</f>
        <v/>
      </c>
      <c r="BW1206">
        <f>'Grid_Requirement'!BU56</f>
        <v/>
      </c>
      <c r="BX1206">
        <f>'Grid_Requirement'!BV56</f>
        <v/>
      </c>
      <c r="BY1206">
        <f>'Grid_Requirement'!BW56</f>
        <v/>
      </c>
      <c r="BZ1206">
        <f>'Grid_Requirement'!BX56</f>
        <v/>
      </c>
      <c r="CA1206">
        <f>'Grid_Requirement'!BY56</f>
        <v/>
      </c>
      <c r="CB1206">
        <f>'Grid_Requirement'!BZ56</f>
        <v/>
      </c>
      <c r="CC1206">
        <f>'Grid_Requirement'!CA56</f>
        <v/>
      </c>
      <c r="CD1206">
        <f>'Grid_Requirement'!CB56</f>
        <v/>
      </c>
      <c r="CE1206">
        <f>'Grid_Requirement'!CC56</f>
        <v/>
      </c>
      <c r="CF1206">
        <f>'Grid_Requirement'!CD56</f>
        <v/>
      </c>
      <c r="CG1206">
        <f>'Grid_Requirement'!CE56</f>
        <v/>
      </c>
      <c r="CH1206">
        <f>'Grid_Requirement'!CF56</f>
        <v/>
      </c>
      <c r="CI1206">
        <f>'Grid_Requirement'!CG56</f>
        <v/>
      </c>
      <c r="CJ1206">
        <f>'Grid_Requirement'!CH56</f>
        <v/>
      </c>
      <c r="CK1206">
        <f>'Grid_Requirement'!CI56</f>
        <v/>
      </c>
      <c r="CL1206">
        <f>'Grid_Requirement'!CJ56</f>
        <v/>
      </c>
      <c r="CM1206">
        <f>'Grid_Requirement'!CK56</f>
        <v/>
      </c>
      <c r="CN1206">
        <f>'Grid_Requirement'!CL56</f>
        <v/>
      </c>
      <c r="CO1206">
        <f>'Grid_Requirement'!CM56</f>
        <v/>
      </c>
      <c r="CP1206">
        <f>'Grid_Requirement'!CN56</f>
        <v/>
      </c>
      <c r="CQ1206">
        <f>'Grid_Requirement'!CO56</f>
        <v/>
      </c>
      <c r="CR1206">
        <f>'Grid_Requirement'!CP56</f>
        <v/>
      </c>
      <c r="CS1206">
        <f>'Grid_Requirement'!CQ56</f>
        <v/>
      </c>
      <c r="CT1206">
        <f>'Grid_Requirement'!CR56</f>
        <v/>
      </c>
      <c r="CU1206">
        <f>'Grid_Requirement'!CS56</f>
        <v/>
      </c>
      <c r="CV1206">
        <f>'Grid_Requirement'!CT56</f>
        <v/>
      </c>
      <c r="CW1206">
        <f>'Grid_Requirement'!CU56</f>
        <v/>
      </c>
      <c r="CX1206">
        <f>'Grid_Requirement'!CV56</f>
        <v/>
      </c>
      <c r="CY1206">
        <f>'Grid_Requirement'!CW56</f>
        <v/>
      </c>
      <c r="CZ1206">
        <f>'Grid_Requirement'!CX56</f>
        <v/>
      </c>
      <c r="DA1206">
        <f>'Grid_Requirement'!CY56</f>
        <v/>
      </c>
      <c r="DB1206">
        <f>'Grid_Requirement'!CZ56</f>
        <v/>
      </c>
      <c r="DC1206">
        <f>'Grid_Requirement'!DA56</f>
        <v/>
      </c>
    </row>
    <row r="1207">
      <c r="B1207" t="inlineStr">
        <is>
          <t>TTAF在庫(実績,kg)</t>
        </is>
      </c>
      <c r="D1207">
        <f>'T_TTAFStock'!B60</f>
        <v/>
      </c>
      <c r="E1207">
        <f>'T_TTAFStock'!C60</f>
        <v/>
      </c>
      <c r="F1207">
        <f>'T_TTAFStock'!D60</f>
        <v/>
      </c>
      <c r="G1207">
        <f>'T_TTAFStock'!E60</f>
        <v/>
      </c>
      <c r="H1207">
        <f>'T_TTAFStock'!F60</f>
        <v/>
      </c>
      <c r="I1207">
        <f>'T_TTAFStock'!G60</f>
        <v/>
      </c>
      <c r="J1207">
        <f>'T_TTAFStock'!H60</f>
        <v/>
      </c>
      <c r="K1207">
        <f>'T_TTAFStock'!I60</f>
        <v/>
      </c>
      <c r="L1207">
        <f>'T_TTAFStock'!J60</f>
        <v/>
      </c>
      <c r="M1207">
        <f>'T_TTAFStock'!K60</f>
        <v/>
      </c>
      <c r="N1207">
        <f>'T_TTAFStock'!L60</f>
        <v/>
      </c>
      <c r="O1207">
        <f>'T_TTAFStock'!M60</f>
        <v/>
      </c>
      <c r="P1207">
        <f>'T_TTAFStock'!N60</f>
        <v/>
      </c>
      <c r="Q1207">
        <f>'T_TTAFStock'!O60</f>
        <v/>
      </c>
      <c r="R1207">
        <f>'T_TTAFStock'!P60</f>
        <v/>
      </c>
      <c r="S1207">
        <f>'T_TTAFStock'!Q60</f>
        <v/>
      </c>
      <c r="T1207">
        <f>'T_TTAFStock'!R60</f>
        <v/>
      </c>
      <c r="U1207">
        <f>'T_TTAFStock'!S60</f>
        <v/>
      </c>
      <c r="V1207">
        <f>'T_TTAFStock'!T60</f>
        <v/>
      </c>
      <c r="W1207">
        <f>'T_TTAFStock'!U60</f>
        <v/>
      </c>
      <c r="X1207">
        <f>'T_TTAFStock'!V60</f>
        <v/>
      </c>
      <c r="Y1207">
        <f>'T_TTAFStock'!W60</f>
        <v/>
      </c>
      <c r="Z1207">
        <f>'T_TTAFStock'!X60</f>
        <v/>
      </c>
      <c r="AA1207">
        <f>'T_TTAFStock'!Y60</f>
        <v/>
      </c>
      <c r="AB1207">
        <f>'T_TTAFStock'!Z60</f>
        <v/>
      </c>
      <c r="AC1207">
        <f>'T_TTAFStock'!AA60</f>
        <v/>
      </c>
      <c r="AD1207">
        <f>'T_TTAFStock'!AB60</f>
        <v/>
      </c>
      <c r="AE1207">
        <f>'T_TTAFStock'!AC60</f>
        <v/>
      </c>
      <c r="AF1207">
        <f>'T_TTAFStock'!AD60</f>
        <v/>
      </c>
      <c r="AG1207">
        <f>'T_TTAFStock'!AE60</f>
        <v/>
      </c>
      <c r="AH1207">
        <f>'T_TTAFStock'!AF60</f>
        <v/>
      </c>
      <c r="AI1207">
        <f>'T_TTAFStock'!AG60</f>
        <v/>
      </c>
      <c r="AJ1207">
        <f>'T_TTAFStock'!AH60</f>
        <v/>
      </c>
      <c r="AK1207">
        <f>'T_TTAFStock'!AI60</f>
        <v/>
      </c>
      <c r="AL1207">
        <f>'T_TTAFStock'!AJ60</f>
        <v/>
      </c>
      <c r="AM1207">
        <f>'T_TTAFStock'!AK60</f>
        <v/>
      </c>
      <c r="AN1207">
        <f>'T_TTAFStock'!AL60</f>
        <v/>
      </c>
      <c r="AO1207">
        <f>'T_TTAFStock'!AM60</f>
        <v/>
      </c>
      <c r="AP1207">
        <f>'T_TTAFStock'!AN60</f>
        <v/>
      </c>
      <c r="AQ1207">
        <f>'T_TTAFStock'!AO60</f>
        <v/>
      </c>
      <c r="AR1207">
        <f>'T_TTAFStock'!AP60</f>
        <v/>
      </c>
      <c r="AS1207">
        <f>'T_TTAFStock'!AQ60</f>
        <v/>
      </c>
      <c r="AT1207">
        <f>'T_TTAFStock'!AR60</f>
        <v/>
      </c>
      <c r="AU1207">
        <f>'T_TTAFStock'!AS60</f>
        <v/>
      </c>
      <c r="AV1207">
        <f>'T_TTAFStock'!AT60</f>
        <v/>
      </c>
      <c r="AW1207">
        <f>'T_TTAFStock'!AU60</f>
        <v/>
      </c>
      <c r="AX1207">
        <f>'T_TTAFStock'!AV60</f>
        <v/>
      </c>
      <c r="AY1207">
        <f>'T_TTAFStock'!AW60</f>
        <v/>
      </c>
      <c r="AZ1207">
        <f>'T_TTAFStock'!AX60</f>
        <v/>
      </c>
      <c r="BA1207">
        <f>'T_TTAFStock'!AY60</f>
        <v/>
      </c>
      <c r="BB1207">
        <f>'T_TTAFStock'!AZ60</f>
        <v/>
      </c>
      <c r="BC1207">
        <f>'T_TTAFStock'!BA60</f>
        <v/>
      </c>
      <c r="BD1207">
        <f>'T_TTAFStock'!BB60</f>
        <v/>
      </c>
      <c r="BE1207">
        <f>'T_TTAFStock'!BC60</f>
        <v/>
      </c>
      <c r="BF1207">
        <f>'T_TTAFStock'!BD60</f>
        <v/>
      </c>
      <c r="BG1207">
        <f>'T_TTAFStock'!BE60</f>
        <v/>
      </c>
      <c r="BH1207">
        <f>'T_TTAFStock'!BF60</f>
        <v/>
      </c>
      <c r="BI1207">
        <f>'T_TTAFStock'!BG60</f>
        <v/>
      </c>
      <c r="BJ1207">
        <f>'T_TTAFStock'!BH60</f>
        <v/>
      </c>
      <c r="BK1207">
        <f>'T_TTAFStock'!BI60</f>
        <v/>
      </c>
      <c r="BL1207">
        <f>'T_TTAFStock'!BJ60</f>
        <v/>
      </c>
      <c r="BM1207">
        <f>'T_TTAFStock'!BK60</f>
        <v/>
      </c>
      <c r="BN1207">
        <f>'T_TTAFStock'!BL60</f>
        <v/>
      </c>
      <c r="BO1207">
        <f>'T_TTAFStock'!BM60</f>
        <v/>
      </c>
      <c r="BP1207">
        <f>'T_TTAFStock'!BN60</f>
        <v/>
      </c>
      <c r="BQ1207">
        <f>'T_TTAFStock'!BO60</f>
        <v/>
      </c>
      <c r="BR1207">
        <f>'T_TTAFStock'!BP60</f>
        <v/>
      </c>
      <c r="BS1207">
        <f>'T_TTAFStock'!BQ60</f>
        <v/>
      </c>
      <c r="BT1207">
        <f>'T_TTAFStock'!BR60</f>
        <v/>
      </c>
      <c r="BU1207">
        <f>'T_TTAFStock'!BS60</f>
        <v/>
      </c>
      <c r="BV1207">
        <f>'T_TTAFStock'!BT60</f>
        <v/>
      </c>
      <c r="BW1207">
        <f>'T_TTAFStock'!BU60</f>
        <v/>
      </c>
      <c r="BX1207">
        <f>'T_TTAFStock'!BV60</f>
        <v/>
      </c>
      <c r="BY1207">
        <f>'T_TTAFStock'!BW60</f>
        <v/>
      </c>
      <c r="BZ1207">
        <f>'T_TTAFStock'!BX60</f>
        <v/>
      </c>
      <c r="CA1207">
        <f>'T_TTAFStock'!BY60</f>
        <v/>
      </c>
      <c r="CB1207">
        <f>'T_TTAFStock'!BZ60</f>
        <v/>
      </c>
      <c r="CC1207">
        <f>'T_TTAFStock'!CA60</f>
        <v/>
      </c>
      <c r="CD1207">
        <f>'T_TTAFStock'!CB60</f>
        <v/>
      </c>
      <c r="CE1207">
        <f>'T_TTAFStock'!CC60</f>
        <v/>
      </c>
      <c r="CF1207">
        <f>'T_TTAFStock'!CD60</f>
        <v/>
      </c>
      <c r="CG1207">
        <f>'T_TTAFStock'!CE60</f>
        <v/>
      </c>
      <c r="CH1207">
        <f>'T_TTAFStock'!CF60</f>
        <v/>
      </c>
      <c r="CI1207">
        <f>'T_TTAFStock'!CG60</f>
        <v/>
      </c>
      <c r="CJ1207">
        <f>'T_TTAFStock'!CH60</f>
        <v/>
      </c>
      <c r="CK1207">
        <f>'T_TTAFStock'!CI60</f>
        <v/>
      </c>
      <c r="CL1207">
        <f>'T_TTAFStock'!CJ60</f>
        <v/>
      </c>
      <c r="CM1207">
        <f>'T_TTAFStock'!CK60</f>
        <v/>
      </c>
      <c r="CN1207">
        <f>'T_TTAFStock'!CL60</f>
        <v/>
      </c>
      <c r="CO1207">
        <f>'T_TTAFStock'!CM60</f>
        <v/>
      </c>
      <c r="CP1207">
        <f>'T_TTAFStock'!CN60</f>
        <v/>
      </c>
      <c r="CQ1207">
        <f>'T_TTAFStock'!CO60</f>
        <v/>
      </c>
      <c r="CR1207">
        <f>'T_TTAFStock'!CP60</f>
        <v/>
      </c>
      <c r="CS1207">
        <f>'T_TTAFStock'!CQ60</f>
        <v/>
      </c>
      <c r="CT1207">
        <f>'T_TTAFStock'!CR60</f>
        <v/>
      </c>
      <c r="CU1207">
        <f>'T_TTAFStock'!CS60</f>
        <v/>
      </c>
      <c r="CV1207">
        <f>'T_TTAFStock'!CT60</f>
        <v/>
      </c>
      <c r="CW1207">
        <f>'T_TTAFStock'!CU60</f>
        <v/>
      </c>
      <c r="CX1207">
        <f>'T_TTAFStock'!CV60</f>
        <v/>
      </c>
      <c r="CY1207">
        <f>'T_TTAFStock'!CW60</f>
        <v/>
      </c>
      <c r="CZ1207">
        <f>'T_TTAFStock'!CX60</f>
        <v/>
      </c>
      <c r="DA1207">
        <f>'T_TTAFStock'!CY60</f>
        <v/>
      </c>
      <c r="DB1207">
        <f>'T_TTAFStock'!CZ60</f>
        <v/>
      </c>
      <c r="DC1207">
        <f>'T_TTAFStock'!DA60</f>
        <v/>
      </c>
    </row>
    <row r="1208">
      <c r="B1208" t="inlineStr">
        <is>
          <t>自社在庫(実績,kg)</t>
        </is>
      </c>
      <c r="D1208">
        <f>'T_SelfStock'!B60</f>
        <v/>
      </c>
      <c r="E1208">
        <f>'T_SelfStock'!C60</f>
        <v/>
      </c>
      <c r="F1208">
        <f>'T_SelfStock'!D60</f>
        <v/>
      </c>
      <c r="G1208">
        <f>'T_SelfStock'!E60</f>
        <v/>
      </c>
      <c r="H1208">
        <f>'T_SelfStock'!F60</f>
        <v/>
      </c>
      <c r="I1208">
        <f>'T_SelfStock'!G60</f>
        <v/>
      </c>
      <c r="J1208">
        <f>'T_SelfStock'!H60</f>
        <v/>
      </c>
      <c r="K1208">
        <f>'T_SelfStock'!I60</f>
        <v/>
      </c>
      <c r="L1208">
        <f>'T_SelfStock'!J60</f>
        <v/>
      </c>
      <c r="M1208">
        <f>'T_SelfStock'!K60</f>
        <v/>
      </c>
      <c r="N1208">
        <f>'T_SelfStock'!L60</f>
        <v/>
      </c>
      <c r="O1208">
        <f>'T_SelfStock'!M60</f>
        <v/>
      </c>
      <c r="P1208">
        <f>'T_SelfStock'!N60</f>
        <v/>
      </c>
      <c r="Q1208">
        <f>'T_SelfStock'!O60</f>
        <v/>
      </c>
      <c r="R1208">
        <f>'T_SelfStock'!P60</f>
        <v/>
      </c>
      <c r="S1208">
        <f>'T_SelfStock'!Q60</f>
        <v/>
      </c>
      <c r="T1208">
        <f>'T_SelfStock'!R60</f>
        <v/>
      </c>
      <c r="U1208">
        <f>'T_SelfStock'!S60</f>
        <v/>
      </c>
      <c r="V1208">
        <f>'T_SelfStock'!T60</f>
        <v/>
      </c>
      <c r="W1208">
        <f>'T_SelfStock'!U60</f>
        <v/>
      </c>
      <c r="X1208">
        <f>'T_SelfStock'!V60</f>
        <v/>
      </c>
      <c r="Y1208">
        <f>'T_SelfStock'!W60</f>
        <v/>
      </c>
      <c r="Z1208">
        <f>'T_SelfStock'!X60</f>
        <v/>
      </c>
      <c r="AA1208">
        <f>'T_SelfStock'!Y60</f>
        <v/>
      </c>
      <c r="AB1208">
        <f>'T_SelfStock'!Z60</f>
        <v/>
      </c>
      <c r="AC1208">
        <f>'T_SelfStock'!AA60</f>
        <v/>
      </c>
      <c r="AD1208">
        <f>'T_SelfStock'!AB60</f>
        <v/>
      </c>
      <c r="AE1208">
        <f>'T_SelfStock'!AC60</f>
        <v/>
      </c>
      <c r="AF1208">
        <f>'T_SelfStock'!AD60</f>
        <v/>
      </c>
      <c r="AG1208">
        <f>'T_SelfStock'!AE60</f>
        <v/>
      </c>
      <c r="AH1208">
        <f>'T_SelfStock'!AF60</f>
        <v/>
      </c>
      <c r="AI1208">
        <f>'T_SelfStock'!AG60</f>
        <v/>
      </c>
      <c r="AJ1208">
        <f>'T_SelfStock'!AH60</f>
        <v/>
      </c>
      <c r="AK1208">
        <f>'T_SelfStock'!AI60</f>
        <v/>
      </c>
      <c r="AL1208">
        <f>'T_SelfStock'!AJ60</f>
        <v/>
      </c>
      <c r="AM1208">
        <f>'T_SelfStock'!AK60</f>
        <v/>
      </c>
      <c r="AN1208">
        <f>'T_SelfStock'!AL60</f>
        <v/>
      </c>
      <c r="AO1208">
        <f>'T_SelfStock'!AM60</f>
        <v/>
      </c>
      <c r="AP1208">
        <f>'T_SelfStock'!AN60</f>
        <v/>
      </c>
      <c r="AQ1208">
        <f>'T_SelfStock'!AO60</f>
        <v/>
      </c>
      <c r="AR1208">
        <f>'T_SelfStock'!AP60</f>
        <v/>
      </c>
      <c r="AS1208">
        <f>'T_SelfStock'!AQ60</f>
        <v/>
      </c>
      <c r="AT1208">
        <f>'T_SelfStock'!AR60</f>
        <v/>
      </c>
      <c r="AU1208">
        <f>'T_SelfStock'!AS60</f>
        <v/>
      </c>
      <c r="AV1208">
        <f>'T_SelfStock'!AT60</f>
        <v/>
      </c>
      <c r="AW1208">
        <f>'T_SelfStock'!AU60</f>
        <v/>
      </c>
      <c r="AX1208">
        <f>'T_SelfStock'!AV60</f>
        <v/>
      </c>
      <c r="AY1208">
        <f>'T_SelfStock'!AW60</f>
        <v/>
      </c>
      <c r="AZ1208">
        <f>'T_SelfStock'!AX60</f>
        <v/>
      </c>
      <c r="BA1208">
        <f>'T_SelfStock'!AY60</f>
        <v/>
      </c>
      <c r="BB1208">
        <f>'T_SelfStock'!AZ60</f>
        <v/>
      </c>
      <c r="BC1208">
        <f>'T_SelfStock'!BA60</f>
        <v/>
      </c>
      <c r="BD1208">
        <f>'T_SelfStock'!BB60</f>
        <v/>
      </c>
      <c r="BE1208">
        <f>'T_SelfStock'!BC60</f>
        <v/>
      </c>
      <c r="BF1208">
        <f>'T_SelfStock'!BD60</f>
        <v/>
      </c>
      <c r="BG1208">
        <f>'T_SelfStock'!BE60</f>
        <v/>
      </c>
      <c r="BH1208">
        <f>'T_SelfStock'!BF60</f>
        <v/>
      </c>
      <c r="BI1208">
        <f>'T_SelfStock'!BG60</f>
        <v/>
      </c>
      <c r="BJ1208">
        <f>'T_SelfStock'!BH60</f>
        <v/>
      </c>
      <c r="BK1208">
        <f>'T_SelfStock'!BI60</f>
        <v/>
      </c>
      <c r="BL1208">
        <f>'T_SelfStock'!BJ60</f>
        <v/>
      </c>
      <c r="BM1208">
        <f>'T_SelfStock'!BK60</f>
        <v/>
      </c>
      <c r="BN1208">
        <f>'T_SelfStock'!BL60</f>
        <v/>
      </c>
      <c r="BO1208">
        <f>'T_SelfStock'!BM60</f>
        <v/>
      </c>
      <c r="BP1208">
        <f>'T_SelfStock'!BN60</f>
        <v/>
      </c>
      <c r="BQ1208">
        <f>'T_SelfStock'!BO60</f>
        <v/>
      </c>
      <c r="BR1208">
        <f>'T_SelfStock'!BP60</f>
        <v/>
      </c>
      <c r="BS1208">
        <f>'T_SelfStock'!BQ60</f>
        <v/>
      </c>
      <c r="BT1208">
        <f>'T_SelfStock'!BR60</f>
        <v/>
      </c>
      <c r="BU1208">
        <f>'T_SelfStock'!BS60</f>
        <v/>
      </c>
      <c r="BV1208">
        <f>'T_SelfStock'!BT60</f>
        <v/>
      </c>
      <c r="BW1208">
        <f>'T_SelfStock'!BU60</f>
        <v/>
      </c>
      <c r="BX1208">
        <f>'T_SelfStock'!BV60</f>
        <v/>
      </c>
      <c r="BY1208">
        <f>'T_SelfStock'!BW60</f>
        <v/>
      </c>
      <c r="BZ1208">
        <f>'T_SelfStock'!BX60</f>
        <v/>
      </c>
      <c r="CA1208">
        <f>'T_SelfStock'!BY60</f>
        <v/>
      </c>
      <c r="CB1208">
        <f>'T_SelfStock'!BZ60</f>
        <v/>
      </c>
      <c r="CC1208">
        <f>'T_SelfStock'!CA60</f>
        <v/>
      </c>
      <c r="CD1208">
        <f>'T_SelfStock'!CB60</f>
        <v/>
      </c>
      <c r="CE1208">
        <f>'T_SelfStock'!CC60</f>
        <v/>
      </c>
      <c r="CF1208">
        <f>'T_SelfStock'!CD60</f>
        <v/>
      </c>
      <c r="CG1208">
        <f>'T_SelfStock'!CE60</f>
        <v/>
      </c>
      <c r="CH1208">
        <f>'T_SelfStock'!CF60</f>
        <v/>
      </c>
      <c r="CI1208">
        <f>'T_SelfStock'!CG60</f>
        <v/>
      </c>
      <c r="CJ1208">
        <f>'T_SelfStock'!CH60</f>
        <v/>
      </c>
      <c r="CK1208">
        <f>'T_SelfStock'!CI60</f>
        <v/>
      </c>
      <c r="CL1208">
        <f>'T_SelfStock'!CJ60</f>
        <v/>
      </c>
      <c r="CM1208">
        <f>'T_SelfStock'!CK60</f>
        <v/>
      </c>
      <c r="CN1208">
        <f>'T_SelfStock'!CL60</f>
        <v/>
      </c>
      <c r="CO1208">
        <f>'T_SelfStock'!CM60</f>
        <v/>
      </c>
      <c r="CP1208">
        <f>'T_SelfStock'!CN60</f>
        <v/>
      </c>
      <c r="CQ1208">
        <f>'T_SelfStock'!CO60</f>
        <v/>
      </c>
      <c r="CR1208">
        <f>'T_SelfStock'!CP60</f>
        <v/>
      </c>
      <c r="CS1208">
        <f>'T_SelfStock'!CQ60</f>
        <v/>
      </c>
      <c r="CT1208">
        <f>'T_SelfStock'!CR60</f>
        <v/>
      </c>
      <c r="CU1208">
        <f>'T_SelfStock'!CS60</f>
        <v/>
      </c>
      <c r="CV1208">
        <f>'T_SelfStock'!CT60</f>
        <v/>
      </c>
      <c r="CW1208">
        <f>'T_SelfStock'!CU60</f>
        <v/>
      </c>
      <c r="CX1208">
        <f>'T_SelfStock'!CV60</f>
        <v/>
      </c>
      <c r="CY1208">
        <f>'T_SelfStock'!CW60</f>
        <v/>
      </c>
      <c r="CZ1208">
        <f>'T_SelfStock'!CX60</f>
        <v/>
      </c>
      <c r="DA1208">
        <f>'T_SelfStock'!CY60</f>
        <v/>
      </c>
      <c r="DB1208">
        <f>'T_SelfStock'!CZ60</f>
        <v/>
      </c>
      <c r="DC1208">
        <f>'T_SelfStock'!DA60</f>
        <v/>
      </c>
    </row>
    <row r="1209">
      <c r="B1209" t="inlineStr">
        <is>
          <t>Order(発注予定,kg)</t>
        </is>
      </c>
      <c r="D1209">
        <f>IF(SUMIFS(T_PlannedOrders[EffectiveQty],T_PlannedOrders[Part Name],$A1199,T_PlannedOrders[WeekIndex],1)=0,"",SUMIFS(T_PlannedOrders[EffectiveQty],T_PlannedOrders[Part Name],$A1199,T_PlannedOrders[WeekIndex],1)&amp;" ("&amp;TEXT(SUMPRODUCT(MAX((T_PlannedOrders[Part Name]=$A1199)*(T_PlannedOrders[WeekIndex]=1)*(T_PlannedOrders[EffectiveQty]&gt;0)*T_PlannedOrders[Order_Month])),"m月")&amp;"発注)")</f>
        <v/>
      </c>
      <c r="E1209">
        <f>IF(SUMIFS(T_PlannedOrders[EffectiveQty],T_PlannedOrders[Part Name],$A1199,T_PlannedOrders[WeekIndex],2)=0,"",SUMIFS(T_PlannedOrders[EffectiveQty],T_PlannedOrders[Part Name],$A1199,T_PlannedOrders[WeekIndex],2)&amp;" ("&amp;TEXT(SUMPRODUCT(MAX((T_PlannedOrders[Part Name]=$A1199)*(T_PlannedOrders[WeekIndex]=2)*(T_PlannedOrders[EffectiveQty]&gt;0)*T_PlannedOrders[Order_Month])),"m月")&amp;"発注)")</f>
        <v/>
      </c>
      <c r="F1209">
        <f>IF(SUMIFS(T_PlannedOrders[EffectiveQty],T_PlannedOrders[Part Name],$A1199,T_PlannedOrders[WeekIndex],3)=0,"",SUMIFS(T_PlannedOrders[EffectiveQty],T_PlannedOrders[Part Name],$A1199,T_PlannedOrders[WeekIndex],3)&amp;" ("&amp;TEXT(SUMPRODUCT(MAX((T_PlannedOrders[Part Name]=$A1199)*(T_PlannedOrders[WeekIndex]=3)*(T_PlannedOrders[EffectiveQty]&gt;0)*T_PlannedOrders[Order_Month])),"m月")&amp;"発注)")</f>
        <v/>
      </c>
      <c r="G1209">
        <f>IF(SUMIFS(T_PlannedOrders[EffectiveQty],T_PlannedOrders[Part Name],$A1199,T_PlannedOrders[WeekIndex],4)=0,"",SUMIFS(T_PlannedOrders[EffectiveQty],T_PlannedOrders[Part Name],$A1199,T_PlannedOrders[WeekIndex],4)&amp;" ("&amp;TEXT(SUMPRODUCT(MAX((T_PlannedOrders[Part Name]=$A1199)*(T_PlannedOrders[WeekIndex]=4)*(T_PlannedOrders[EffectiveQty]&gt;0)*T_PlannedOrders[Order_Month])),"m月")&amp;"発注)")</f>
        <v/>
      </c>
      <c r="H1209">
        <f>IF(SUMIFS(T_PlannedOrders[EffectiveQty],T_PlannedOrders[Part Name],$A1199,T_PlannedOrders[WeekIndex],5)=0,"",SUMIFS(T_PlannedOrders[EffectiveQty],T_PlannedOrders[Part Name],$A1199,T_PlannedOrders[WeekIndex],5)&amp;" ("&amp;TEXT(SUMPRODUCT(MAX((T_PlannedOrders[Part Name]=$A1199)*(T_PlannedOrders[WeekIndex]=5)*(T_PlannedOrders[EffectiveQty]&gt;0)*T_PlannedOrders[Order_Month])),"m月")&amp;"発注)")</f>
        <v/>
      </c>
      <c r="I1209">
        <f>IF(SUMIFS(T_PlannedOrders[EffectiveQty],T_PlannedOrders[Part Name],$A1199,T_PlannedOrders[WeekIndex],6)=0,"",SUMIFS(T_PlannedOrders[EffectiveQty],T_PlannedOrders[Part Name],$A1199,T_PlannedOrders[WeekIndex],6)&amp;" ("&amp;TEXT(SUMPRODUCT(MAX((T_PlannedOrders[Part Name]=$A1199)*(T_PlannedOrders[WeekIndex]=6)*(T_PlannedOrders[EffectiveQty]&gt;0)*T_PlannedOrders[Order_Month])),"m月")&amp;"発注)")</f>
        <v/>
      </c>
      <c r="J1209">
        <f>IF(SUMIFS(T_PlannedOrders[EffectiveQty],T_PlannedOrders[Part Name],$A1199,T_PlannedOrders[WeekIndex],7)=0,"",SUMIFS(T_PlannedOrders[EffectiveQty],T_PlannedOrders[Part Name],$A1199,T_PlannedOrders[WeekIndex],7)&amp;" ("&amp;TEXT(SUMPRODUCT(MAX((T_PlannedOrders[Part Name]=$A1199)*(T_PlannedOrders[WeekIndex]=7)*(T_PlannedOrders[EffectiveQty]&gt;0)*T_PlannedOrders[Order_Month])),"m月")&amp;"発注)")</f>
        <v/>
      </c>
      <c r="K1209">
        <f>IF(SUMIFS(T_PlannedOrders[EffectiveQty],T_PlannedOrders[Part Name],$A1199,T_PlannedOrders[WeekIndex],8)=0,"",SUMIFS(T_PlannedOrders[EffectiveQty],T_PlannedOrders[Part Name],$A1199,T_PlannedOrders[WeekIndex],8)&amp;" ("&amp;TEXT(SUMPRODUCT(MAX((T_PlannedOrders[Part Name]=$A1199)*(T_PlannedOrders[WeekIndex]=8)*(T_PlannedOrders[EffectiveQty]&gt;0)*T_PlannedOrders[Order_Month])),"m月")&amp;"発注)")</f>
        <v/>
      </c>
      <c r="L1209">
        <f>IF(SUMIFS(T_PlannedOrders[EffectiveQty],T_PlannedOrders[Part Name],$A1199,T_PlannedOrders[WeekIndex],9)=0,"",SUMIFS(T_PlannedOrders[EffectiveQty],T_PlannedOrders[Part Name],$A1199,T_PlannedOrders[WeekIndex],9)&amp;" ("&amp;TEXT(SUMPRODUCT(MAX((T_PlannedOrders[Part Name]=$A1199)*(T_PlannedOrders[WeekIndex]=9)*(T_PlannedOrders[EffectiveQty]&gt;0)*T_PlannedOrders[Order_Month])),"m月")&amp;"発注)")</f>
        <v/>
      </c>
      <c r="M1209">
        <f>IF(SUMIFS(T_PlannedOrders[EffectiveQty],T_PlannedOrders[Part Name],$A1199,T_PlannedOrders[WeekIndex],10)=0,"",SUMIFS(T_PlannedOrders[EffectiveQty],T_PlannedOrders[Part Name],$A1199,T_PlannedOrders[WeekIndex],10)&amp;" ("&amp;TEXT(SUMPRODUCT(MAX((T_PlannedOrders[Part Name]=$A1199)*(T_PlannedOrders[WeekIndex]=10)*(T_PlannedOrders[EffectiveQty]&gt;0)*T_PlannedOrders[Order_Month])),"m月")&amp;"発注)")</f>
        <v/>
      </c>
      <c r="N1209">
        <f>IF(SUMIFS(T_PlannedOrders[EffectiveQty],T_PlannedOrders[Part Name],$A1199,T_PlannedOrders[WeekIndex],11)=0,"",SUMIFS(T_PlannedOrders[EffectiveQty],T_PlannedOrders[Part Name],$A1199,T_PlannedOrders[WeekIndex],11)&amp;" ("&amp;TEXT(SUMPRODUCT(MAX((T_PlannedOrders[Part Name]=$A1199)*(T_PlannedOrders[WeekIndex]=11)*(T_PlannedOrders[EffectiveQty]&gt;0)*T_PlannedOrders[Order_Month])),"m月")&amp;"発注)")</f>
        <v/>
      </c>
      <c r="O1209">
        <f>IF(SUMIFS(T_PlannedOrders[EffectiveQty],T_PlannedOrders[Part Name],$A1199,T_PlannedOrders[WeekIndex],12)=0,"",SUMIFS(T_PlannedOrders[EffectiveQty],T_PlannedOrders[Part Name],$A1199,T_PlannedOrders[WeekIndex],12)&amp;" ("&amp;TEXT(SUMPRODUCT(MAX((T_PlannedOrders[Part Name]=$A1199)*(T_PlannedOrders[WeekIndex]=12)*(T_PlannedOrders[EffectiveQty]&gt;0)*T_PlannedOrders[Order_Month])),"m月")&amp;"発注)")</f>
        <v/>
      </c>
      <c r="P1209">
        <f>IF(SUMIFS(T_PlannedOrders[EffectiveQty],T_PlannedOrders[Part Name],$A1199,T_PlannedOrders[WeekIndex],13)=0,"",SUMIFS(T_PlannedOrders[EffectiveQty],T_PlannedOrders[Part Name],$A1199,T_PlannedOrders[WeekIndex],13)&amp;" ("&amp;TEXT(SUMPRODUCT(MAX((T_PlannedOrders[Part Name]=$A1199)*(T_PlannedOrders[WeekIndex]=13)*(T_PlannedOrders[EffectiveQty]&gt;0)*T_PlannedOrders[Order_Month])),"m月")&amp;"発注)")</f>
        <v/>
      </c>
      <c r="Q1209">
        <f>IF(SUMIFS(T_PlannedOrders[EffectiveQty],T_PlannedOrders[Part Name],$A1199,T_PlannedOrders[WeekIndex],14)=0,"",SUMIFS(T_PlannedOrders[EffectiveQty],T_PlannedOrders[Part Name],$A1199,T_PlannedOrders[WeekIndex],14)&amp;" ("&amp;TEXT(SUMPRODUCT(MAX((T_PlannedOrders[Part Name]=$A1199)*(T_PlannedOrders[WeekIndex]=14)*(T_PlannedOrders[EffectiveQty]&gt;0)*T_PlannedOrders[Order_Month])),"m月")&amp;"発注)")</f>
        <v/>
      </c>
      <c r="R1209">
        <f>IF(SUMIFS(T_PlannedOrders[EffectiveQty],T_PlannedOrders[Part Name],$A1199,T_PlannedOrders[WeekIndex],15)=0,"",SUMIFS(T_PlannedOrders[EffectiveQty],T_PlannedOrders[Part Name],$A1199,T_PlannedOrders[WeekIndex],15)&amp;" ("&amp;TEXT(SUMPRODUCT(MAX((T_PlannedOrders[Part Name]=$A1199)*(T_PlannedOrders[WeekIndex]=15)*(T_PlannedOrders[EffectiveQty]&gt;0)*T_PlannedOrders[Order_Month])),"m月")&amp;"発注)")</f>
        <v/>
      </c>
      <c r="S1209">
        <f>IF(SUMIFS(T_PlannedOrders[EffectiveQty],T_PlannedOrders[Part Name],$A1199,T_PlannedOrders[WeekIndex],16)=0,"",SUMIFS(T_PlannedOrders[EffectiveQty],T_PlannedOrders[Part Name],$A1199,T_PlannedOrders[WeekIndex],16)&amp;" ("&amp;TEXT(SUMPRODUCT(MAX((T_PlannedOrders[Part Name]=$A1199)*(T_PlannedOrders[WeekIndex]=16)*(T_PlannedOrders[EffectiveQty]&gt;0)*T_PlannedOrders[Order_Month])),"m月")&amp;"発注)")</f>
        <v/>
      </c>
      <c r="T1209">
        <f>IF(SUMIFS(T_PlannedOrders[EffectiveQty],T_PlannedOrders[Part Name],$A1199,T_PlannedOrders[WeekIndex],17)=0,"",SUMIFS(T_PlannedOrders[EffectiveQty],T_PlannedOrders[Part Name],$A1199,T_PlannedOrders[WeekIndex],17)&amp;" ("&amp;TEXT(SUMPRODUCT(MAX((T_PlannedOrders[Part Name]=$A1199)*(T_PlannedOrders[WeekIndex]=17)*(T_PlannedOrders[EffectiveQty]&gt;0)*T_PlannedOrders[Order_Month])),"m月")&amp;"発注)")</f>
        <v/>
      </c>
      <c r="U1209">
        <f>IF(SUMIFS(T_PlannedOrders[EffectiveQty],T_PlannedOrders[Part Name],$A1199,T_PlannedOrders[WeekIndex],18)=0,"",SUMIFS(T_PlannedOrders[EffectiveQty],T_PlannedOrders[Part Name],$A1199,T_PlannedOrders[WeekIndex],18)&amp;" ("&amp;TEXT(SUMPRODUCT(MAX((T_PlannedOrders[Part Name]=$A1199)*(T_PlannedOrders[WeekIndex]=18)*(T_PlannedOrders[EffectiveQty]&gt;0)*T_PlannedOrders[Order_Month])),"m月")&amp;"発注)")</f>
        <v/>
      </c>
      <c r="V1209">
        <f>IF(SUMIFS(T_PlannedOrders[EffectiveQty],T_PlannedOrders[Part Name],$A1199,T_PlannedOrders[WeekIndex],19)=0,"",SUMIFS(T_PlannedOrders[EffectiveQty],T_PlannedOrders[Part Name],$A1199,T_PlannedOrders[WeekIndex],19)&amp;" ("&amp;TEXT(SUMPRODUCT(MAX((T_PlannedOrders[Part Name]=$A1199)*(T_PlannedOrders[WeekIndex]=19)*(T_PlannedOrders[EffectiveQty]&gt;0)*T_PlannedOrders[Order_Month])),"m月")&amp;"発注)")</f>
        <v/>
      </c>
      <c r="W1209">
        <f>IF(SUMIFS(T_PlannedOrders[EffectiveQty],T_PlannedOrders[Part Name],$A1199,T_PlannedOrders[WeekIndex],20)=0,"",SUMIFS(T_PlannedOrders[EffectiveQty],T_PlannedOrders[Part Name],$A1199,T_PlannedOrders[WeekIndex],20)&amp;" ("&amp;TEXT(SUMPRODUCT(MAX((T_PlannedOrders[Part Name]=$A1199)*(T_PlannedOrders[WeekIndex]=20)*(T_PlannedOrders[EffectiveQty]&gt;0)*T_PlannedOrders[Order_Month])),"m月")&amp;"発注)")</f>
        <v/>
      </c>
      <c r="X1209">
        <f>IF(SUMIFS(T_PlannedOrders[EffectiveQty],T_PlannedOrders[Part Name],$A1199,T_PlannedOrders[WeekIndex],21)=0,"",SUMIFS(T_PlannedOrders[EffectiveQty],T_PlannedOrders[Part Name],$A1199,T_PlannedOrders[WeekIndex],21)&amp;" ("&amp;TEXT(SUMPRODUCT(MAX((T_PlannedOrders[Part Name]=$A1199)*(T_PlannedOrders[WeekIndex]=21)*(T_PlannedOrders[EffectiveQty]&gt;0)*T_PlannedOrders[Order_Month])),"m月")&amp;"発注)")</f>
        <v/>
      </c>
      <c r="Y1209">
        <f>IF(SUMIFS(T_PlannedOrders[EffectiveQty],T_PlannedOrders[Part Name],$A1199,T_PlannedOrders[WeekIndex],22)=0,"",SUMIFS(T_PlannedOrders[EffectiveQty],T_PlannedOrders[Part Name],$A1199,T_PlannedOrders[WeekIndex],22)&amp;" ("&amp;TEXT(SUMPRODUCT(MAX((T_PlannedOrders[Part Name]=$A1199)*(T_PlannedOrders[WeekIndex]=22)*(T_PlannedOrders[EffectiveQty]&gt;0)*T_PlannedOrders[Order_Month])),"m月")&amp;"発注)")</f>
        <v/>
      </c>
      <c r="Z1209">
        <f>IF(SUMIFS(T_PlannedOrders[EffectiveQty],T_PlannedOrders[Part Name],$A1199,T_PlannedOrders[WeekIndex],23)=0,"",SUMIFS(T_PlannedOrders[EffectiveQty],T_PlannedOrders[Part Name],$A1199,T_PlannedOrders[WeekIndex],23)&amp;" ("&amp;TEXT(SUMPRODUCT(MAX((T_PlannedOrders[Part Name]=$A1199)*(T_PlannedOrders[WeekIndex]=23)*(T_PlannedOrders[EffectiveQty]&gt;0)*T_PlannedOrders[Order_Month])),"m月")&amp;"発注)")</f>
        <v/>
      </c>
      <c r="AA1209">
        <f>IF(SUMIFS(T_PlannedOrders[EffectiveQty],T_PlannedOrders[Part Name],$A1199,T_PlannedOrders[WeekIndex],24)=0,"",SUMIFS(T_PlannedOrders[EffectiveQty],T_PlannedOrders[Part Name],$A1199,T_PlannedOrders[WeekIndex],24)&amp;" ("&amp;TEXT(SUMPRODUCT(MAX((T_PlannedOrders[Part Name]=$A1199)*(T_PlannedOrders[WeekIndex]=24)*(T_PlannedOrders[EffectiveQty]&gt;0)*T_PlannedOrders[Order_Month])),"m月")&amp;"発注)")</f>
        <v/>
      </c>
      <c r="AB1209">
        <f>IF(SUMIFS(T_PlannedOrders[EffectiveQty],T_PlannedOrders[Part Name],$A1199,T_PlannedOrders[WeekIndex],25)=0,"",SUMIFS(T_PlannedOrders[EffectiveQty],T_PlannedOrders[Part Name],$A1199,T_PlannedOrders[WeekIndex],25)&amp;" ("&amp;TEXT(SUMPRODUCT(MAX((T_PlannedOrders[Part Name]=$A1199)*(T_PlannedOrders[WeekIndex]=25)*(T_PlannedOrders[EffectiveQty]&gt;0)*T_PlannedOrders[Order_Month])),"m月")&amp;"発注)")</f>
        <v/>
      </c>
      <c r="AC1209">
        <f>IF(SUMIFS(T_PlannedOrders[EffectiveQty],T_PlannedOrders[Part Name],$A1199,T_PlannedOrders[WeekIndex],26)=0,"",SUMIFS(T_PlannedOrders[EffectiveQty],T_PlannedOrders[Part Name],$A1199,T_PlannedOrders[WeekIndex],26)&amp;" ("&amp;TEXT(SUMPRODUCT(MAX((T_PlannedOrders[Part Name]=$A1199)*(T_PlannedOrders[WeekIndex]=26)*(T_PlannedOrders[EffectiveQty]&gt;0)*T_PlannedOrders[Order_Month])),"m月")&amp;"発注)")</f>
        <v/>
      </c>
      <c r="AD1209">
        <f>IF(SUMIFS(T_PlannedOrders[EffectiveQty],T_PlannedOrders[Part Name],$A1199,T_PlannedOrders[WeekIndex],27)=0,"",SUMIFS(T_PlannedOrders[EffectiveQty],T_PlannedOrders[Part Name],$A1199,T_PlannedOrders[WeekIndex],27)&amp;" ("&amp;TEXT(SUMPRODUCT(MAX((T_PlannedOrders[Part Name]=$A1199)*(T_PlannedOrders[WeekIndex]=27)*(T_PlannedOrders[EffectiveQty]&gt;0)*T_PlannedOrders[Order_Month])),"m月")&amp;"発注)")</f>
        <v/>
      </c>
      <c r="AE1209">
        <f>IF(SUMIFS(T_PlannedOrders[EffectiveQty],T_PlannedOrders[Part Name],$A1199,T_PlannedOrders[WeekIndex],28)=0,"",SUMIFS(T_PlannedOrders[EffectiveQty],T_PlannedOrders[Part Name],$A1199,T_PlannedOrders[WeekIndex],28)&amp;" ("&amp;TEXT(SUMPRODUCT(MAX((T_PlannedOrders[Part Name]=$A1199)*(T_PlannedOrders[WeekIndex]=28)*(T_PlannedOrders[EffectiveQty]&gt;0)*T_PlannedOrders[Order_Month])),"m月")&amp;"発注)")</f>
        <v/>
      </c>
      <c r="AF1209">
        <f>IF(SUMIFS(T_PlannedOrders[EffectiveQty],T_PlannedOrders[Part Name],$A1199,T_PlannedOrders[WeekIndex],29)=0,"",SUMIFS(T_PlannedOrders[EffectiveQty],T_PlannedOrders[Part Name],$A1199,T_PlannedOrders[WeekIndex],29)&amp;" ("&amp;TEXT(SUMPRODUCT(MAX((T_PlannedOrders[Part Name]=$A1199)*(T_PlannedOrders[WeekIndex]=29)*(T_PlannedOrders[EffectiveQty]&gt;0)*T_PlannedOrders[Order_Month])),"m月")&amp;"発注)")</f>
        <v/>
      </c>
      <c r="AG1209">
        <f>IF(SUMIFS(T_PlannedOrders[EffectiveQty],T_PlannedOrders[Part Name],$A1199,T_PlannedOrders[WeekIndex],30)=0,"",SUMIFS(T_PlannedOrders[EffectiveQty],T_PlannedOrders[Part Name],$A1199,T_PlannedOrders[WeekIndex],30)&amp;" ("&amp;TEXT(SUMPRODUCT(MAX((T_PlannedOrders[Part Name]=$A1199)*(T_PlannedOrders[WeekIndex]=30)*(T_PlannedOrders[EffectiveQty]&gt;0)*T_PlannedOrders[Order_Month])),"m月")&amp;"発注)")</f>
        <v/>
      </c>
      <c r="AH1209">
        <f>IF(SUMIFS(T_PlannedOrders[EffectiveQty],T_PlannedOrders[Part Name],$A1199,T_PlannedOrders[WeekIndex],31)=0,"",SUMIFS(T_PlannedOrders[EffectiveQty],T_PlannedOrders[Part Name],$A1199,T_PlannedOrders[WeekIndex],31)&amp;" ("&amp;TEXT(SUMPRODUCT(MAX((T_PlannedOrders[Part Name]=$A1199)*(T_PlannedOrders[WeekIndex]=31)*(T_PlannedOrders[EffectiveQty]&gt;0)*T_PlannedOrders[Order_Month])),"m月")&amp;"発注)")</f>
        <v/>
      </c>
      <c r="AI1209">
        <f>IF(SUMIFS(T_PlannedOrders[EffectiveQty],T_PlannedOrders[Part Name],$A1199,T_PlannedOrders[WeekIndex],32)=0,"",SUMIFS(T_PlannedOrders[EffectiveQty],T_PlannedOrders[Part Name],$A1199,T_PlannedOrders[WeekIndex],32)&amp;" ("&amp;TEXT(SUMPRODUCT(MAX((T_PlannedOrders[Part Name]=$A1199)*(T_PlannedOrders[WeekIndex]=32)*(T_PlannedOrders[EffectiveQty]&gt;0)*T_PlannedOrders[Order_Month])),"m月")&amp;"発注)")</f>
        <v/>
      </c>
      <c r="AJ1209">
        <f>IF(SUMIFS(T_PlannedOrders[EffectiveQty],T_PlannedOrders[Part Name],$A1199,T_PlannedOrders[WeekIndex],33)=0,"",SUMIFS(T_PlannedOrders[EffectiveQty],T_PlannedOrders[Part Name],$A1199,T_PlannedOrders[WeekIndex],33)&amp;" ("&amp;TEXT(SUMPRODUCT(MAX((T_PlannedOrders[Part Name]=$A1199)*(T_PlannedOrders[WeekIndex]=33)*(T_PlannedOrders[EffectiveQty]&gt;0)*T_PlannedOrders[Order_Month])),"m月")&amp;"発注)")</f>
        <v/>
      </c>
      <c r="AK1209">
        <f>IF(SUMIFS(T_PlannedOrders[EffectiveQty],T_PlannedOrders[Part Name],$A1199,T_PlannedOrders[WeekIndex],34)=0,"",SUMIFS(T_PlannedOrders[EffectiveQty],T_PlannedOrders[Part Name],$A1199,T_PlannedOrders[WeekIndex],34)&amp;" ("&amp;TEXT(SUMPRODUCT(MAX((T_PlannedOrders[Part Name]=$A1199)*(T_PlannedOrders[WeekIndex]=34)*(T_PlannedOrders[EffectiveQty]&gt;0)*T_PlannedOrders[Order_Month])),"m月")&amp;"発注)")</f>
        <v/>
      </c>
      <c r="AL1209">
        <f>IF(SUMIFS(T_PlannedOrders[EffectiveQty],T_PlannedOrders[Part Name],$A1199,T_PlannedOrders[WeekIndex],35)=0,"",SUMIFS(T_PlannedOrders[EffectiveQty],T_PlannedOrders[Part Name],$A1199,T_PlannedOrders[WeekIndex],35)&amp;" ("&amp;TEXT(SUMPRODUCT(MAX((T_PlannedOrders[Part Name]=$A1199)*(T_PlannedOrders[WeekIndex]=35)*(T_PlannedOrders[EffectiveQty]&gt;0)*T_PlannedOrders[Order_Month])),"m月")&amp;"発注)")</f>
        <v/>
      </c>
      <c r="AM1209">
        <f>IF(SUMIFS(T_PlannedOrders[EffectiveQty],T_PlannedOrders[Part Name],$A1199,T_PlannedOrders[WeekIndex],36)=0,"",SUMIFS(T_PlannedOrders[EffectiveQty],T_PlannedOrders[Part Name],$A1199,T_PlannedOrders[WeekIndex],36)&amp;" ("&amp;TEXT(SUMPRODUCT(MAX((T_PlannedOrders[Part Name]=$A1199)*(T_PlannedOrders[WeekIndex]=36)*(T_PlannedOrders[EffectiveQty]&gt;0)*T_PlannedOrders[Order_Month])),"m月")&amp;"発注)")</f>
        <v/>
      </c>
      <c r="AN1209">
        <f>IF(SUMIFS(T_PlannedOrders[EffectiveQty],T_PlannedOrders[Part Name],$A1199,T_PlannedOrders[WeekIndex],37)=0,"",SUMIFS(T_PlannedOrders[EffectiveQty],T_PlannedOrders[Part Name],$A1199,T_PlannedOrders[WeekIndex],37)&amp;" ("&amp;TEXT(SUMPRODUCT(MAX((T_PlannedOrders[Part Name]=$A1199)*(T_PlannedOrders[WeekIndex]=37)*(T_PlannedOrders[EffectiveQty]&gt;0)*T_PlannedOrders[Order_Month])),"m月")&amp;"発注)")</f>
        <v/>
      </c>
      <c r="AO1209">
        <f>IF(SUMIFS(T_PlannedOrders[EffectiveQty],T_PlannedOrders[Part Name],$A1199,T_PlannedOrders[WeekIndex],38)=0,"",SUMIFS(T_PlannedOrders[EffectiveQty],T_PlannedOrders[Part Name],$A1199,T_PlannedOrders[WeekIndex],38)&amp;" ("&amp;TEXT(SUMPRODUCT(MAX((T_PlannedOrders[Part Name]=$A1199)*(T_PlannedOrders[WeekIndex]=38)*(T_PlannedOrders[EffectiveQty]&gt;0)*T_PlannedOrders[Order_Month])),"m月")&amp;"発注)")</f>
        <v/>
      </c>
      <c r="AP1209">
        <f>IF(SUMIFS(T_PlannedOrders[EffectiveQty],T_PlannedOrders[Part Name],$A1199,T_PlannedOrders[WeekIndex],39)=0,"",SUMIFS(T_PlannedOrders[EffectiveQty],T_PlannedOrders[Part Name],$A1199,T_PlannedOrders[WeekIndex],39)&amp;" ("&amp;TEXT(SUMPRODUCT(MAX((T_PlannedOrders[Part Name]=$A1199)*(T_PlannedOrders[WeekIndex]=39)*(T_PlannedOrders[EffectiveQty]&gt;0)*T_PlannedOrders[Order_Month])),"m月")&amp;"発注)")</f>
        <v/>
      </c>
      <c r="AQ1209">
        <f>IF(SUMIFS(T_PlannedOrders[EffectiveQty],T_PlannedOrders[Part Name],$A1199,T_PlannedOrders[WeekIndex],40)=0,"",SUMIFS(T_PlannedOrders[EffectiveQty],T_PlannedOrders[Part Name],$A1199,T_PlannedOrders[WeekIndex],40)&amp;" ("&amp;TEXT(SUMPRODUCT(MAX((T_PlannedOrders[Part Name]=$A1199)*(T_PlannedOrders[WeekIndex]=40)*(T_PlannedOrders[EffectiveQty]&gt;0)*T_PlannedOrders[Order_Month])),"m月")&amp;"発注)")</f>
        <v/>
      </c>
      <c r="AR1209">
        <f>IF(SUMIFS(T_PlannedOrders[EffectiveQty],T_PlannedOrders[Part Name],$A1199,T_PlannedOrders[WeekIndex],41)=0,"",SUMIFS(T_PlannedOrders[EffectiveQty],T_PlannedOrders[Part Name],$A1199,T_PlannedOrders[WeekIndex],41)&amp;" ("&amp;TEXT(SUMPRODUCT(MAX((T_PlannedOrders[Part Name]=$A1199)*(T_PlannedOrders[WeekIndex]=41)*(T_PlannedOrders[EffectiveQty]&gt;0)*T_PlannedOrders[Order_Month])),"m月")&amp;"発注)")</f>
        <v/>
      </c>
      <c r="AS1209">
        <f>IF(SUMIFS(T_PlannedOrders[EffectiveQty],T_PlannedOrders[Part Name],$A1199,T_PlannedOrders[WeekIndex],42)=0,"",SUMIFS(T_PlannedOrders[EffectiveQty],T_PlannedOrders[Part Name],$A1199,T_PlannedOrders[WeekIndex],42)&amp;" ("&amp;TEXT(SUMPRODUCT(MAX((T_PlannedOrders[Part Name]=$A1199)*(T_PlannedOrders[WeekIndex]=42)*(T_PlannedOrders[EffectiveQty]&gt;0)*T_PlannedOrders[Order_Month])),"m月")&amp;"発注)")</f>
        <v/>
      </c>
      <c r="AT1209">
        <f>IF(SUMIFS(T_PlannedOrders[EffectiveQty],T_PlannedOrders[Part Name],$A1199,T_PlannedOrders[WeekIndex],43)=0,"",SUMIFS(T_PlannedOrders[EffectiveQty],T_PlannedOrders[Part Name],$A1199,T_PlannedOrders[WeekIndex],43)&amp;" ("&amp;TEXT(SUMPRODUCT(MAX((T_PlannedOrders[Part Name]=$A1199)*(T_PlannedOrders[WeekIndex]=43)*(T_PlannedOrders[EffectiveQty]&gt;0)*T_PlannedOrders[Order_Month])),"m月")&amp;"発注)")</f>
        <v/>
      </c>
      <c r="AU1209">
        <f>IF(SUMIFS(T_PlannedOrders[EffectiveQty],T_PlannedOrders[Part Name],$A1199,T_PlannedOrders[WeekIndex],44)=0,"",SUMIFS(T_PlannedOrders[EffectiveQty],T_PlannedOrders[Part Name],$A1199,T_PlannedOrders[WeekIndex],44)&amp;" ("&amp;TEXT(SUMPRODUCT(MAX((T_PlannedOrders[Part Name]=$A1199)*(T_PlannedOrders[WeekIndex]=44)*(T_PlannedOrders[EffectiveQty]&gt;0)*T_PlannedOrders[Order_Month])),"m月")&amp;"発注)")</f>
        <v/>
      </c>
      <c r="AV1209">
        <f>IF(SUMIFS(T_PlannedOrders[EffectiveQty],T_PlannedOrders[Part Name],$A1199,T_PlannedOrders[WeekIndex],45)=0,"",SUMIFS(T_PlannedOrders[EffectiveQty],T_PlannedOrders[Part Name],$A1199,T_PlannedOrders[WeekIndex],45)&amp;" ("&amp;TEXT(SUMPRODUCT(MAX((T_PlannedOrders[Part Name]=$A1199)*(T_PlannedOrders[WeekIndex]=45)*(T_PlannedOrders[EffectiveQty]&gt;0)*T_PlannedOrders[Order_Month])),"m月")&amp;"発注)")</f>
        <v/>
      </c>
      <c r="AW1209">
        <f>IF(SUMIFS(T_PlannedOrders[EffectiveQty],T_PlannedOrders[Part Name],$A1199,T_PlannedOrders[WeekIndex],46)=0,"",SUMIFS(T_PlannedOrders[EffectiveQty],T_PlannedOrders[Part Name],$A1199,T_PlannedOrders[WeekIndex],46)&amp;" ("&amp;TEXT(SUMPRODUCT(MAX((T_PlannedOrders[Part Name]=$A1199)*(T_PlannedOrders[WeekIndex]=46)*(T_PlannedOrders[EffectiveQty]&gt;0)*T_PlannedOrders[Order_Month])),"m月")&amp;"発注)")</f>
        <v/>
      </c>
      <c r="AX1209">
        <f>IF(SUMIFS(T_PlannedOrders[EffectiveQty],T_PlannedOrders[Part Name],$A1199,T_PlannedOrders[WeekIndex],47)=0,"",SUMIFS(T_PlannedOrders[EffectiveQty],T_PlannedOrders[Part Name],$A1199,T_PlannedOrders[WeekIndex],47)&amp;" ("&amp;TEXT(SUMPRODUCT(MAX((T_PlannedOrders[Part Name]=$A1199)*(T_PlannedOrders[WeekIndex]=47)*(T_PlannedOrders[EffectiveQty]&gt;0)*T_PlannedOrders[Order_Month])),"m月")&amp;"発注)")</f>
        <v/>
      </c>
      <c r="AY1209">
        <f>IF(SUMIFS(T_PlannedOrders[EffectiveQty],T_PlannedOrders[Part Name],$A1199,T_PlannedOrders[WeekIndex],48)=0,"",SUMIFS(T_PlannedOrders[EffectiveQty],T_PlannedOrders[Part Name],$A1199,T_PlannedOrders[WeekIndex],48)&amp;" ("&amp;TEXT(SUMPRODUCT(MAX((T_PlannedOrders[Part Name]=$A1199)*(T_PlannedOrders[WeekIndex]=48)*(T_PlannedOrders[EffectiveQty]&gt;0)*T_PlannedOrders[Order_Month])),"m月")&amp;"発注)")</f>
        <v/>
      </c>
      <c r="AZ1209">
        <f>IF(SUMIFS(T_PlannedOrders[EffectiveQty],T_PlannedOrders[Part Name],$A1199,T_PlannedOrders[WeekIndex],49)=0,"",SUMIFS(T_PlannedOrders[EffectiveQty],T_PlannedOrders[Part Name],$A1199,T_PlannedOrders[WeekIndex],49)&amp;" ("&amp;TEXT(SUMPRODUCT(MAX((T_PlannedOrders[Part Name]=$A1199)*(T_PlannedOrders[WeekIndex]=49)*(T_PlannedOrders[EffectiveQty]&gt;0)*T_PlannedOrders[Order_Month])),"m月")&amp;"発注)")</f>
        <v/>
      </c>
      <c r="BA1209">
        <f>IF(SUMIFS(T_PlannedOrders[EffectiveQty],T_PlannedOrders[Part Name],$A1199,T_PlannedOrders[WeekIndex],50)=0,"",SUMIFS(T_PlannedOrders[EffectiveQty],T_PlannedOrders[Part Name],$A1199,T_PlannedOrders[WeekIndex],50)&amp;" ("&amp;TEXT(SUMPRODUCT(MAX((T_PlannedOrders[Part Name]=$A1199)*(T_PlannedOrders[WeekIndex]=50)*(T_PlannedOrders[EffectiveQty]&gt;0)*T_PlannedOrders[Order_Month])),"m月")&amp;"発注)")</f>
        <v/>
      </c>
      <c r="BB1209">
        <f>IF(SUMIFS(T_PlannedOrders[EffectiveQty],T_PlannedOrders[Part Name],$A1199,T_PlannedOrders[WeekIndex],51)=0,"",SUMIFS(T_PlannedOrders[EffectiveQty],T_PlannedOrders[Part Name],$A1199,T_PlannedOrders[WeekIndex],51)&amp;" ("&amp;TEXT(SUMPRODUCT(MAX((T_PlannedOrders[Part Name]=$A1199)*(T_PlannedOrders[WeekIndex]=51)*(T_PlannedOrders[EffectiveQty]&gt;0)*T_PlannedOrders[Order_Month])),"m月")&amp;"発注)")</f>
        <v/>
      </c>
      <c r="BC1209">
        <f>IF(SUMIFS(T_PlannedOrders[EffectiveQty],T_PlannedOrders[Part Name],$A1199,T_PlannedOrders[WeekIndex],52)=0,"",SUMIFS(T_PlannedOrders[EffectiveQty],T_PlannedOrders[Part Name],$A1199,T_PlannedOrders[WeekIndex],52)&amp;" ("&amp;TEXT(SUMPRODUCT(MAX((T_PlannedOrders[Part Name]=$A1199)*(T_PlannedOrders[WeekIndex]=52)*(T_PlannedOrders[EffectiveQty]&gt;0)*T_PlannedOrders[Order_Month])),"m月")&amp;"発注)")</f>
        <v/>
      </c>
      <c r="BD1209">
        <f>IF(SUMIFS(T_PlannedOrders[EffectiveQty],T_PlannedOrders[Part Name],$A1199,T_PlannedOrders[WeekIndex],53)=0,"",SUMIFS(T_PlannedOrders[EffectiveQty],T_PlannedOrders[Part Name],$A1199,T_PlannedOrders[WeekIndex],53)&amp;" ("&amp;TEXT(SUMPRODUCT(MAX((T_PlannedOrders[Part Name]=$A1199)*(T_PlannedOrders[WeekIndex]=53)*(T_PlannedOrders[EffectiveQty]&gt;0)*T_PlannedOrders[Order_Month])),"m月")&amp;"発注)")</f>
        <v/>
      </c>
      <c r="BE1209">
        <f>IF(SUMIFS(T_PlannedOrders[EffectiveQty],T_PlannedOrders[Part Name],$A1199,T_PlannedOrders[WeekIndex],54)=0,"",SUMIFS(T_PlannedOrders[EffectiveQty],T_PlannedOrders[Part Name],$A1199,T_PlannedOrders[WeekIndex],54)&amp;" ("&amp;TEXT(SUMPRODUCT(MAX((T_PlannedOrders[Part Name]=$A1199)*(T_PlannedOrders[WeekIndex]=54)*(T_PlannedOrders[EffectiveQty]&gt;0)*T_PlannedOrders[Order_Month])),"m月")&amp;"発注)")</f>
        <v/>
      </c>
      <c r="BF1209">
        <f>IF(SUMIFS(T_PlannedOrders[EffectiveQty],T_PlannedOrders[Part Name],$A1199,T_PlannedOrders[WeekIndex],55)=0,"",SUMIFS(T_PlannedOrders[EffectiveQty],T_PlannedOrders[Part Name],$A1199,T_PlannedOrders[WeekIndex],55)&amp;" ("&amp;TEXT(SUMPRODUCT(MAX((T_PlannedOrders[Part Name]=$A1199)*(T_PlannedOrders[WeekIndex]=55)*(T_PlannedOrders[EffectiveQty]&gt;0)*T_PlannedOrders[Order_Month])),"m月")&amp;"発注)")</f>
        <v/>
      </c>
      <c r="BG1209">
        <f>IF(SUMIFS(T_PlannedOrders[EffectiveQty],T_PlannedOrders[Part Name],$A1199,T_PlannedOrders[WeekIndex],56)=0,"",SUMIFS(T_PlannedOrders[EffectiveQty],T_PlannedOrders[Part Name],$A1199,T_PlannedOrders[WeekIndex],56)&amp;" ("&amp;TEXT(SUMPRODUCT(MAX((T_PlannedOrders[Part Name]=$A1199)*(T_PlannedOrders[WeekIndex]=56)*(T_PlannedOrders[EffectiveQty]&gt;0)*T_PlannedOrders[Order_Month])),"m月")&amp;"発注)")</f>
        <v/>
      </c>
      <c r="BH1209">
        <f>IF(SUMIFS(T_PlannedOrders[EffectiveQty],T_PlannedOrders[Part Name],$A1199,T_PlannedOrders[WeekIndex],57)=0,"",SUMIFS(T_PlannedOrders[EffectiveQty],T_PlannedOrders[Part Name],$A1199,T_PlannedOrders[WeekIndex],57)&amp;" ("&amp;TEXT(SUMPRODUCT(MAX((T_PlannedOrders[Part Name]=$A1199)*(T_PlannedOrders[WeekIndex]=57)*(T_PlannedOrders[EffectiveQty]&gt;0)*T_PlannedOrders[Order_Month])),"m月")&amp;"発注)")</f>
        <v/>
      </c>
      <c r="BI1209">
        <f>IF(SUMIFS(T_PlannedOrders[EffectiveQty],T_PlannedOrders[Part Name],$A1199,T_PlannedOrders[WeekIndex],58)=0,"",SUMIFS(T_PlannedOrders[EffectiveQty],T_PlannedOrders[Part Name],$A1199,T_PlannedOrders[WeekIndex],58)&amp;" ("&amp;TEXT(SUMPRODUCT(MAX((T_PlannedOrders[Part Name]=$A1199)*(T_PlannedOrders[WeekIndex]=58)*(T_PlannedOrders[EffectiveQty]&gt;0)*T_PlannedOrders[Order_Month])),"m月")&amp;"発注)")</f>
        <v/>
      </c>
      <c r="BJ1209">
        <f>IF(SUMIFS(T_PlannedOrders[EffectiveQty],T_PlannedOrders[Part Name],$A1199,T_PlannedOrders[WeekIndex],59)=0,"",SUMIFS(T_PlannedOrders[EffectiveQty],T_PlannedOrders[Part Name],$A1199,T_PlannedOrders[WeekIndex],59)&amp;" ("&amp;TEXT(SUMPRODUCT(MAX((T_PlannedOrders[Part Name]=$A1199)*(T_PlannedOrders[WeekIndex]=59)*(T_PlannedOrders[EffectiveQty]&gt;0)*T_PlannedOrders[Order_Month])),"m月")&amp;"発注)")</f>
        <v/>
      </c>
      <c r="BK1209">
        <f>IF(SUMIFS(T_PlannedOrders[EffectiveQty],T_PlannedOrders[Part Name],$A1199,T_PlannedOrders[WeekIndex],60)=0,"",SUMIFS(T_PlannedOrders[EffectiveQty],T_PlannedOrders[Part Name],$A1199,T_PlannedOrders[WeekIndex],60)&amp;" ("&amp;TEXT(SUMPRODUCT(MAX((T_PlannedOrders[Part Name]=$A1199)*(T_PlannedOrders[WeekIndex]=60)*(T_PlannedOrders[EffectiveQty]&gt;0)*T_PlannedOrders[Order_Month])),"m月")&amp;"発注)")</f>
        <v/>
      </c>
      <c r="BL1209">
        <f>IF(SUMIFS(T_PlannedOrders[EffectiveQty],T_PlannedOrders[Part Name],$A1199,T_PlannedOrders[WeekIndex],61)=0,"",SUMIFS(T_PlannedOrders[EffectiveQty],T_PlannedOrders[Part Name],$A1199,T_PlannedOrders[WeekIndex],61)&amp;" ("&amp;TEXT(SUMPRODUCT(MAX((T_PlannedOrders[Part Name]=$A1199)*(T_PlannedOrders[WeekIndex]=61)*(T_PlannedOrders[EffectiveQty]&gt;0)*T_PlannedOrders[Order_Month])),"m月")&amp;"発注)")</f>
        <v/>
      </c>
      <c r="BM1209">
        <f>IF(SUMIFS(T_PlannedOrders[EffectiveQty],T_PlannedOrders[Part Name],$A1199,T_PlannedOrders[WeekIndex],62)=0,"",SUMIFS(T_PlannedOrders[EffectiveQty],T_PlannedOrders[Part Name],$A1199,T_PlannedOrders[WeekIndex],62)&amp;" ("&amp;TEXT(SUMPRODUCT(MAX((T_PlannedOrders[Part Name]=$A1199)*(T_PlannedOrders[WeekIndex]=62)*(T_PlannedOrders[EffectiveQty]&gt;0)*T_PlannedOrders[Order_Month])),"m月")&amp;"発注)")</f>
        <v/>
      </c>
      <c r="BN1209">
        <f>IF(SUMIFS(T_PlannedOrders[EffectiveQty],T_PlannedOrders[Part Name],$A1199,T_PlannedOrders[WeekIndex],63)=0,"",SUMIFS(T_PlannedOrders[EffectiveQty],T_PlannedOrders[Part Name],$A1199,T_PlannedOrders[WeekIndex],63)&amp;" ("&amp;TEXT(SUMPRODUCT(MAX((T_PlannedOrders[Part Name]=$A1199)*(T_PlannedOrders[WeekIndex]=63)*(T_PlannedOrders[EffectiveQty]&gt;0)*T_PlannedOrders[Order_Month])),"m月")&amp;"発注)")</f>
        <v/>
      </c>
      <c r="BO1209">
        <f>IF(SUMIFS(T_PlannedOrders[EffectiveQty],T_PlannedOrders[Part Name],$A1199,T_PlannedOrders[WeekIndex],64)=0,"",SUMIFS(T_PlannedOrders[EffectiveQty],T_PlannedOrders[Part Name],$A1199,T_PlannedOrders[WeekIndex],64)&amp;" ("&amp;TEXT(SUMPRODUCT(MAX((T_PlannedOrders[Part Name]=$A1199)*(T_PlannedOrders[WeekIndex]=64)*(T_PlannedOrders[EffectiveQty]&gt;0)*T_PlannedOrders[Order_Month])),"m月")&amp;"発注)")</f>
        <v/>
      </c>
      <c r="BP1209">
        <f>IF(SUMIFS(T_PlannedOrders[EffectiveQty],T_PlannedOrders[Part Name],$A1199,T_PlannedOrders[WeekIndex],65)=0,"",SUMIFS(T_PlannedOrders[EffectiveQty],T_PlannedOrders[Part Name],$A1199,T_PlannedOrders[WeekIndex],65)&amp;" ("&amp;TEXT(SUMPRODUCT(MAX((T_PlannedOrders[Part Name]=$A1199)*(T_PlannedOrders[WeekIndex]=65)*(T_PlannedOrders[EffectiveQty]&gt;0)*T_PlannedOrders[Order_Month])),"m月")&amp;"発注)")</f>
        <v/>
      </c>
      <c r="BQ1209">
        <f>IF(SUMIFS(T_PlannedOrders[EffectiveQty],T_PlannedOrders[Part Name],$A1199,T_PlannedOrders[WeekIndex],66)=0,"",SUMIFS(T_PlannedOrders[EffectiveQty],T_PlannedOrders[Part Name],$A1199,T_PlannedOrders[WeekIndex],66)&amp;" ("&amp;TEXT(SUMPRODUCT(MAX((T_PlannedOrders[Part Name]=$A1199)*(T_PlannedOrders[WeekIndex]=66)*(T_PlannedOrders[EffectiveQty]&gt;0)*T_PlannedOrders[Order_Month])),"m月")&amp;"発注)")</f>
        <v/>
      </c>
      <c r="BR1209">
        <f>IF(SUMIFS(T_PlannedOrders[EffectiveQty],T_PlannedOrders[Part Name],$A1199,T_PlannedOrders[WeekIndex],67)=0,"",SUMIFS(T_PlannedOrders[EffectiveQty],T_PlannedOrders[Part Name],$A1199,T_PlannedOrders[WeekIndex],67)&amp;" ("&amp;TEXT(SUMPRODUCT(MAX((T_PlannedOrders[Part Name]=$A1199)*(T_PlannedOrders[WeekIndex]=67)*(T_PlannedOrders[EffectiveQty]&gt;0)*T_PlannedOrders[Order_Month])),"m月")&amp;"発注)")</f>
        <v/>
      </c>
      <c r="BS1209">
        <f>IF(SUMIFS(T_PlannedOrders[EffectiveQty],T_PlannedOrders[Part Name],$A1199,T_PlannedOrders[WeekIndex],68)=0,"",SUMIFS(T_PlannedOrders[EffectiveQty],T_PlannedOrders[Part Name],$A1199,T_PlannedOrders[WeekIndex],68)&amp;" ("&amp;TEXT(SUMPRODUCT(MAX((T_PlannedOrders[Part Name]=$A1199)*(T_PlannedOrders[WeekIndex]=68)*(T_PlannedOrders[EffectiveQty]&gt;0)*T_PlannedOrders[Order_Month])),"m月")&amp;"発注)")</f>
        <v/>
      </c>
      <c r="BT1209">
        <f>IF(SUMIFS(T_PlannedOrders[EffectiveQty],T_PlannedOrders[Part Name],$A1199,T_PlannedOrders[WeekIndex],69)=0,"",SUMIFS(T_PlannedOrders[EffectiveQty],T_PlannedOrders[Part Name],$A1199,T_PlannedOrders[WeekIndex],69)&amp;" ("&amp;TEXT(SUMPRODUCT(MAX((T_PlannedOrders[Part Name]=$A1199)*(T_PlannedOrders[WeekIndex]=69)*(T_PlannedOrders[EffectiveQty]&gt;0)*T_PlannedOrders[Order_Month])),"m月")&amp;"発注)")</f>
        <v/>
      </c>
      <c r="BU1209">
        <f>IF(SUMIFS(T_PlannedOrders[EffectiveQty],T_PlannedOrders[Part Name],$A1199,T_PlannedOrders[WeekIndex],70)=0,"",SUMIFS(T_PlannedOrders[EffectiveQty],T_PlannedOrders[Part Name],$A1199,T_PlannedOrders[WeekIndex],70)&amp;" ("&amp;TEXT(SUMPRODUCT(MAX((T_PlannedOrders[Part Name]=$A1199)*(T_PlannedOrders[WeekIndex]=70)*(T_PlannedOrders[EffectiveQty]&gt;0)*T_PlannedOrders[Order_Month])),"m月")&amp;"発注)")</f>
        <v/>
      </c>
      <c r="BV1209">
        <f>IF(SUMIFS(T_PlannedOrders[EffectiveQty],T_PlannedOrders[Part Name],$A1199,T_PlannedOrders[WeekIndex],71)=0,"",SUMIFS(T_PlannedOrders[EffectiveQty],T_PlannedOrders[Part Name],$A1199,T_PlannedOrders[WeekIndex],71)&amp;" ("&amp;TEXT(SUMPRODUCT(MAX((T_PlannedOrders[Part Name]=$A1199)*(T_PlannedOrders[WeekIndex]=71)*(T_PlannedOrders[EffectiveQty]&gt;0)*T_PlannedOrders[Order_Month])),"m月")&amp;"発注)")</f>
        <v/>
      </c>
      <c r="BW1209">
        <f>IF(SUMIFS(T_PlannedOrders[EffectiveQty],T_PlannedOrders[Part Name],$A1199,T_PlannedOrders[WeekIndex],72)=0,"",SUMIFS(T_PlannedOrders[EffectiveQty],T_PlannedOrders[Part Name],$A1199,T_PlannedOrders[WeekIndex],72)&amp;" ("&amp;TEXT(SUMPRODUCT(MAX((T_PlannedOrders[Part Name]=$A1199)*(T_PlannedOrders[WeekIndex]=72)*(T_PlannedOrders[EffectiveQty]&gt;0)*T_PlannedOrders[Order_Month])),"m月")&amp;"発注)")</f>
        <v/>
      </c>
      <c r="BX1209">
        <f>IF(SUMIFS(T_PlannedOrders[EffectiveQty],T_PlannedOrders[Part Name],$A1199,T_PlannedOrders[WeekIndex],73)=0,"",SUMIFS(T_PlannedOrders[EffectiveQty],T_PlannedOrders[Part Name],$A1199,T_PlannedOrders[WeekIndex],73)&amp;" ("&amp;TEXT(SUMPRODUCT(MAX((T_PlannedOrders[Part Name]=$A1199)*(T_PlannedOrders[WeekIndex]=73)*(T_PlannedOrders[EffectiveQty]&gt;0)*T_PlannedOrders[Order_Month])),"m月")&amp;"発注)")</f>
        <v/>
      </c>
      <c r="BY1209">
        <f>IF(SUMIFS(T_PlannedOrders[EffectiveQty],T_PlannedOrders[Part Name],$A1199,T_PlannedOrders[WeekIndex],74)=0,"",SUMIFS(T_PlannedOrders[EffectiveQty],T_PlannedOrders[Part Name],$A1199,T_PlannedOrders[WeekIndex],74)&amp;" ("&amp;TEXT(SUMPRODUCT(MAX((T_PlannedOrders[Part Name]=$A1199)*(T_PlannedOrders[WeekIndex]=74)*(T_PlannedOrders[EffectiveQty]&gt;0)*T_PlannedOrders[Order_Month])),"m月")&amp;"発注)")</f>
        <v/>
      </c>
      <c r="BZ1209">
        <f>IF(SUMIFS(T_PlannedOrders[EffectiveQty],T_PlannedOrders[Part Name],$A1199,T_PlannedOrders[WeekIndex],75)=0,"",SUMIFS(T_PlannedOrders[EffectiveQty],T_PlannedOrders[Part Name],$A1199,T_PlannedOrders[WeekIndex],75)&amp;" ("&amp;TEXT(SUMPRODUCT(MAX((T_PlannedOrders[Part Name]=$A1199)*(T_PlannedOrders[WeekIndex]=75)*(T_PlannedOrders[EffectiveQty]&gt;0)*T_PlannedOrders[Order_Month])),"m月")&amp;"発注)")</f>
        <v/>
      </c>
      <c r="CA1209">
        <f>IF(SUMIFS(T_PlannedOrders[EffectiveQty],T_PlannedOrders[Part Name],$A1199,T_PlannedOrders[WeekIndex],76)=0,"",SUMIFS(T_PlannedOrders[EffectiveQty],T_PlannedOrders[Part Name],$A1199,T_PlannedOrders[WeekIndex],76)&amp;" ("&amp;TEXT(SUMPRODUCT(MAX((T_PlannedOrders[Part Name]=$A1199)*(T_PlannedOrders[WeekIndex]=76)*(T_PlannedOrders[EffectiveQty]&gt;0)*T_PlannedOrders[Order_Month])),"m月")&amp;"発注)")</f>
        <v/>
      </c>
      <c r="CB1209">
        <f>IF(SUMIFS(T_PlannedOrders[EffectiveQty],T_PlannedOrders[Part Name],$A1199,T_PlannedOrders[WeekIndex],77)=0,"",SUMIFS(T_PlannedOrders[EffectiveQty],T_PlannedOrders[Part Name],$A1199,T_PlannedOrders[WeekIndex],77)&amp;" ("&amp;TEXT(SUMPRODUCT(MAX((T_PlannedOrders[Part Name]=$A1199)*(T_PlannedOrders[WeekIndex]=77)*(T_PlannedOrders[EffectiveQty]&gt;0)*T_PlannedOrders[Order_Month])),"m月")&amp;"発注)")</f>
        <v/>
      </c>
      <c r="CC1209">
        <f>IF(SUMIFS(T_PlannedOrders[EffectiveQty],T_PlannedOrders[Part Name],$A1199,T_PlannedOrders[WeekIndex],78)=0,"",SUMIFS(T_PlannedOrders[EffectiveQty],T_PlannedOrders[Part Name],$A1199,T_PlannedOrders[WeekIndex],78)&amp;" ("&amp;TEXT(SUMPRODUCT(MAX((T_PlannedOrders[Part Name]=$A1199)*(T_PlannedOrders[WeekIndex]=78)*(T_PlannedOrders[EffectiveQty]&gt;0)*T_PlannedOrders[Order_Month])),"m月")&amp;"発注)")</f>
        <v/>
      </c>
      <c r="CD1209">
        <f>IF(SUMIFS(T_PlannedOrders[EffectiveQty],T_PlannedOrders[Part Name],$A1199,T_PlannedOrders[WeekIndex],79)=0,"",SUMIFS(T_PlannedOrders[EffectiveQty],T_PlannedOrders[Part Name],$A1199,T_PlannedOrders[WeekIndex],79)&amp;" ("&amp;TEXT(SUMPRODUCT(MAX((T_PlannedOrders[Part Name]=$A1199)*(T_PlannedOrders[WeekIndex]=79)*(T_PlannedOrders[EffectiveQty]&gt;0)*T_PlannedOrders[Order_Month])),"m月")&amp;"発注)")</f>
        <v/>
      </c>
      <c r="CE1209">
        <f>IF(SUMIFS(T_PlannedOrders[EffectiveQty],T_PlannedOrders[Part Name],$A1199,T_PlannedOrders[WeekIndex],80)=0,"",SUMIFS(T_PlannedOrders[EffectiveQty],T_PlannedOrders[Part Name],$A1199,T_PlannedOrders[WeekIndex],80)&amp;" ("&amp;TEXT(SUMPRODUCT(MAX((T_PlannedOrders[Part Name]=$A1199)*(T_PlannedOrders[WeekIndex]=80)*(T_PlannedOrders[EffectiveQty]&gt;0)*T_PlannedOrders[Order_Month])),"m月")&amp;"発注)")</f>
        <v/>
      </c>
      <c r="CF1209">
        <f>IF(SUMIFS(T_PlannedOrders[EffectiveQty],T_PlannedOrders[Part Name],$A1199,T_PlannedOrders[WeekIndex],81)=0,"",SUMIFS(T_PlannedOrders[EffectiveQty],T_PlannedOrders[Part Name],$A1199,T_PlannedOrders[WeekIndex],81)&amp;" ("&amp;TEXT(SUMPRODUCT(MAX((T_PlannedOrders[Part Name]=$A1199)*(T_PlannedOrders[WeekIndex]=81)*(T_PlannedOrders[EffectiveQty]&gt;0)*T_PlannedOrders[Order_Month])),"m月")&amp;"発注)")</f>
        <v/>
      </c>
      <c r="CG1209">
        <f>IF(SUMIFS(T_PlannedOrders[EffectiveQty],T_PlannedOrders[Part Name],$A1199,T_PlannedOrders[WeekIndex],82)=0,"",SUMIFS(T_PlannedOrders[EffectiveQty],T_PlannedOrders[Part Name],$A1199,T_PlannedOrders[WeekIndex],82)&amp;" ("&amp;TEXT(SUMPRODUCT(MAX((T_PlannedOrders[Part Name]=$A1199)*(T_PlannedOrders[WeekIndex]=82)*(T_PlannedOrders[EffectiveQty]&gt;0)*T_PlannedOrders[Order_Month])),"m月")&amp;"発注)")</f>
        <v/>
      </c>
      <c r="CH1209">
        <f>IF(SUMIFS(T_PlannedOrders[EffectiveQty],T_PlannedOrders[Part Name],$A1199,T_PlannedOrders[WeekIndex],83)=0,"",SUMIFS(T_PlannedOrders[EffectiveQty],T_PlannedOrders[Part Name],$A1199,T_PlannedOrders[WeekIndex],83)&amp;" ("&amp;TEXT(SUMPRODUCT(MAX((T_PlannedOrders[Part Name]=$A1199)*(T_PlannedOrders[WeekIndex]=83)*(T_PlannedOrders[EffectiveQty]&gt;0)*T_PlannedOrders[Order_Month])),"m月")&amp;"発注)")</f>
        <v/>
      </c>
      <c r="CI1209">
        <f>IF(SUMIFS(T_PlannedOrders[EffectiveQty],T_PlannedOrders[Part Name],$A1199,T_PlannedOrders[WeekIndex],84)=0,"",SUMIFS(T_PlannedOrders[EffectiveQty],T_PlannedOrders[Part Name],$A1199,T_PlannedOrders[WeekIndex],84)&amp;" ("&amp;TEXT(SUMPRODUCT(MAX((T_PlannedOrders[Part Name]=$A1199)*(T_PlannedOrders[WeekIndex]=84)*(T_PlannedOrders[EffectiveQty]&gt;0)*T_PlannedOrders[Order_Month])),"m月")&amp;"発注)")</f>
        <v/>
      </c>
      <c r="CJ1209">
        <f>IF(SUMIFS(T_PlannedOrders[EffectiveQty],T_PlannedOrders[Part Name],$A1199,T_PlannedOrders[WeekIndex],85)=0,"",SUMIFS(T_PlannedOrders[EffectiveQty],T_PlannedOrders[Part Name],$A1199,T_PlannedOrders[WeekIndex],85)&amp;" ("&amp;TEXT(SUMPRODUCT(MAX((T_PlannedOrders[Part Name]=$A1199)*(T_PlannedOrders[WeekIndex]=85)*(T_PlannedOrders[EffectiveQty]&gt;0)*T_PlannedOrders[Order_Month])),"m月")&amp;"発注)")</f>
        <v/>
      </c>
      <c r="CK1209">
        <f>IF(SUMIFS(T_PlannedOrders[EffectiveQty],T_PlannedOrders[Part Name],$A1199,T_PlannedOrders[WeekIndex],86)=0,"",SUMIFS(T_PlannedOrders[EffectiveQty],T_PlannedOrders[Part Name],$A1199,T_PlannedOrders[WeekIndex],86)&amp;" ("&amp;TEXT(SUMPRODUCT(MAX((T_PlannedOrders[Part Name]=$A1199)*(T_PlannedOrders[WeekIndex]=86)*(T_PlannedOrders[EffectiveQty]&gt;0)*T_PlannedOrders[Order_Month])),"m月")&amp;"発注)")</f>
        <v/>
      </c>
      <c r="CL1209">
        <f>IF(SUMIFS(T_PlannedOrders[EffectiveQty],T_PlannedOrders[Part Name],$A1199,T_PlannedOrders[WeekIndex],87)=0,"",SUMIFS(T_PlannedOrders[EffectiveQty],T_PlannedOrders[Part Name],$A1199,T_PlannedOrders[WeekIndex],87)&amp;" ("&amp;TEXT(SUMPRODUCT(MAX((T_PlannedOrders[Part Name]=$A1199)*(T_PlannedOrders[WeekIndex]=87)*(T_PlannedOrders[EffectiveQty]&gt;0)*T_PlannedOrders[Order_Month])),"m月")&amp;"発注)")</f>
        <v/>
      </c>
      <c r="CM1209">
        <f>IF(SUMIFS(T_PlannedOrders[EffectiveQty],T_PlannedOrders[Part Name],$A1199,T_PlannedOrders[WeekIndex],88)=0,"",SUMIFS(T_PlannedOrders[EffectiveQty],T_PlannedOrders[Part Name],$A1199,T_PlannedOrders[WeekIndex],88)&amp;" ("&amp;TEXT(SUMPRODUCT(MAX((T_PlannedOrders[Part Name]=$A1199)*(T_PlannedOrders[WeekIndex]=88)*(T_PlannedOrders[EffectiveQty]&gt;0)*T_PlannedOrders[Order_Month])),"m月")&amp;"発注)")</f>
        <v/>
      </c>
      <c r="CN1209">
        <f>IF(SUMIFS(T_PlannedOrders[EffectiveQty],T_PlannedOrders[Part Name],$A1199,T_PlannedOrders[WeekIndex],89)=0,"",SUMIFS(T_PlannedOrders[EffectiveQty],T_PlannedOrders[Part Name],$A1199,T_PlannedOrders[WeekIndex],89)&amp;" ("&amp;TEXT(SUMPRODUCT(MAX((T_PlannedOrders[Part Name]=$A1199)*(T_PlannedOrders[WeekIndex]=89)*(T_PlannedOrders[EffectiveQty]&gt;0)*T_PlannedOrders[Order_Month])),"m月")&amp;"発注)")</f>
        <v/>
      </c>
      <c r="CO1209">
        <f>IF(SUMIFS(T_PlannedOrders[EffectiveQty],T_PlannedOrders[Part Name],$A1199,T_PlannedOrders[WeekIndex],90)=0,"",SUMIFS(T_PlannedOrders[EffectiveQty],T_PlannedOrders[Part Name],$A1199,T_PlannedOrders[WeekIndex],90)&amp;" ("&amp;TEXT(SUMPRODUCT(MAX((T_PlannedOrders[Part Name]=$A1199)*(T_PlannedOrders[WeekIndex]=90)*(T_PlannedOrders[EffectiveQty]&gt;0)*T_PlannedOrders[Order_Month])),"m月")&amp;"発注)")</f>
        <v/>
      </c>
      <c r="CP1209">
        <f>IF(SUMIFS(T_PlannedOrders[EffectiveQty],T_PlannedOrders[Part Name],$A1199,T_PlannedOrders[WeekIndex],91)=0,"",SUMIFS(T_PlannedOrders[EffectiveQty],T_PlannedOrders[Part Name],$A1199,T_PlannedOrders[WeekIndex],91)&amp;" ("&amp;TEXT(SUMPRODUCT(MAX((T_PlannedOrders[Part Name]=$A1199)*(T_PlannedOrders[WeekIndex]=91)*(T_PlannedOrders[EffectiveQty]&gt;0)*T_PlannedOrders[Order_Month])),"m月")&amp;"発注)")</f>
        <v/>
      </c>
      <c r="CQ1209">
        <f>IF(SUMIFS(T_PlannedOrders[EffectiveQty],T_PlannedOrders[Part Name],$A1199,T_PlannedOrders[WeekIndex],92)=0,"",SUMIFS(T_PlannedOrders[EffectiveQty],T_PlannedOrders[Part Name],$A1199,T_PlannedOrders[WeekIndex],92)&amp;" ("&amp;TEXT(SUMPRODUCT(MAX((T_PlannedOrders[Part Name]=$A1199)*(T_PlannedOrders[WeekIndex]=92)*(T_PlannedOrders[EffectiveQty]&gt;0)*T_PlannedOrders[Order_Month])),"m月")&amp;"発注)")</f>
        <v/>
      </c>
      <c r="CR1209">
        <f>IF(SUMIFS(T_PlannedOrders[EffectiveQty],T_PlannedOrders[Part Name],$A1199,T_PlannedOrders[WeekIndex],93)=0,"",SUMIFS(T_PlannedOrders[EffectiveQty],T_PlannedOrders[Part Name],$A1199,T_PlannedOrders[WeekIndex],93)&amp;" ("&amp;TEXT(SUMPRODUCT(MAX((T_PlannedOrders[Part Name]=$A1199)*(T_PlannedOrders[WeekIndex]=93)*(T_PlannedOrders[EffectiveQty]&gt;0)*T_PlannedOrders[Order_Month])),"m月")&amp;"発注)")</f>
        <v/>
      </c>
      <c r="CS1209">
        <f>IF(SUMIFS(T_PlannedOrders[EffectiveQty],T_PlannedOrders[Part Name],$A1199,T_PlannedOrders[WeekIndex],94)=0,"",SUMIFS(T_PlannedOrders[EffectiveQty],T_PlannedOrders[Part Name],$A1199,T_PlannedOrders[WeekIndex],94)&amp;" ("&amp;TEXT(SUMPRODUCT(MAX((T_PlannedOrders[Part Name]=$A1199)*(T_PlannedOrders[WeekIndex]=94)*(T_PlannedOrders[EffectiveQty]&gt;0)*T_PlannedOrders[Order_Month])),"m月")&amp;"発注)")</f>
        <v/>
      </c>
      <c r="CT1209">
        <f>IF(SUMIFS(T_PlannedOrders[EffectiveQty],T_PlannedOrders[Part Name],$A1199,T_PlannedOrders[WeekIndex],95)=0,"",SUMIFS(T_PlannedOrders[EffectiveQty],T_PlannedOrders[Part Name],$A1199,T_PlannedOrders[WeekIndex],95)&amp;" ("&amp;TEXT(SUMPRODUCT(MAX((T_PlannedOrders[Part Name]=$A1199)*(T_PlannedOrders[WeekIndex]=95)*(T_PlannedOrders[EffectiveQty]&gt;0)*T_PlannedOrders[Order_Month])),"m月")&amp;"発注)")</f>
        <v/>
      </c>
      <c r="CU1209">
        <f>IF(SUMIFS(T_PlannedOrders[EffectiveQty],T_PlannedOrders[Part Name],$A1199,T_PlannedOrders[WeekIndex],96)=0,"",SUMIFS(T_PlannedOrders[EffectiveQty],T_PlannedOrders[Part Name],$A1199,T_PlannedOrders[WeekIndex],96)&amp;" ("&amp;TEXT(SUMPRODUCT(MAX((T_PlannedOrders[Part Name]=$A1199)*(T_PlannedOrders[WeekIndex]=96)*(T_PlannedOrders[EffectiveQty]&gt;0)*T_PlannedOrders[Order_Month])),"m月")&amp;"発注)")</f>
        <v/>
      </c>
      <c r="CV1209">
        <f>IF(SUMIFS(T_PlannedOrders[EffectiveQty],T_PlannedOrders[Part Name],$A1199,T_PlannedOrders[WeekIndex],97)=0,"",SUMIFS(T_PlannedOrders[EffectiveQty],T_PlannedOrders[Part Name],$A1199,T_PlannedOrders[WeekIndex],97)&amp;" ("&amp;TEXT(SUMPRODUCT(MAX((T_PlannedOrders[Part Name]=$A1199)*(T_PlannedOrders[WeekIndex]=97)*(T_PlannedOrders[EffectiveQty]&gt;0)*T_PlannedOrders[Order_Month])),"m月")&amp;"発注)")</f>
        <v/>
      </c>
      <c r="CW1209">
        <f>IF(SUMIFS(T_PlannedOrders[EffectiveQty],T_PlannedOrders[Part Name],$A1199,T_PlannedOrders[WeekIndex],98)=0,"",SUMIFS(T_PlannedOrders[EffectiveQty],T_PlannedOrders[Part Name],$A1199,T_PlannedOrders[WeekIndex],98)&amp;" ("&amp;TEXT(SUMPRODUCT(MAX((T_PlannedOrders[Part Name]=$A1199)*(T_PlannedOrders[WeekIndex]=98)*(T_PlannedOrders[EffectiveQty]&gt;0)*T_PlannedOrders[Order_Month])),"m月")&amp;"発注)")</f>
        <v/>
      </c>
      <c r="CX1209">
        <f>IF(SUMIFS(T_PlannedOrders[EffectiveQty],T_PlannedOrders[Part Name],$A1199,T_PlannedOrders[WeekIndex],99)=0,"",SUMIFS(T_PlannedOrders[EffectiveQty],T_PlannedOrders[Part Name],$A1199,T_PlannedOrders[WeekIndex],99)&amp;" ("&amp;TEXT(SUMPRODUCT(MAX((T_PlannedOrders[Part Name]=$A1199)*(T_PlannedOrders[WeekIndex]=99)*(T_PlannedOrders[EffectiveQty]&gt;0)*T_PlannedOrders[Order_Month])),"m月")&amp;"発注)")</f>
        <v/>
      </c>
      <c r="CY1209">
        <f>IF(SUMIFS(T_PlannedOrders[EffectiveQty],T_PlannedOrders[Part Name],$A1199,T_PlannedOrders[WeekIndex],100)=0,"",SUMIFS(T_PlannedOrders[EffectiveQty],T_PlannedOrders[Part Name],$A1199,T_PlannedOrders[WeekIndex],100)&amp;" ("&amp;TEXT(SUMPRODUCT(MAX((T_PlannedOrders[Part Name]=$A1199)*(T_PlannedOrders[WeekIndex]=100)*(T_PlannedOrders[EffectiveQty]&gt;0)*T_PlannedOrders[Order_Month])),"m月")&amp;"発注)")</f>
        <v/>
      </c>
      <c r="CZ1209">
        <f>IF(SUMIFS(T_PlannedOrders[EffectiveQty],T_PlannedOrders[Part Name],$A1199,T_PlannedOrders[WeekIndex],101)=0,"",SUMIFS(T_PlannedOrders[EffectiveQty],T_PlannedOrders[Part Name],$A1199,T_PlannedOrders[WeekIndex],101)&amp;" ("&amp;TEXT(SUMPRODUCT(MAX((T_PlannedOrders[Part Name]=$A1199)*(T_PlannedOrders[WeekIndex]=101)*(T_PlannedOrders[EffectiveQty]&gt;0)*T_PlannedOrders[Order_Month])),"m月")&amp;"発注)")</f>
        <v/>
      </c>
      <c r="DA1209">
        <f>IF(SUMIFS(T_PlannedOrders[EffectiveQty],T_PlannedOrders[Part Name],$A1199,T_PlannedOrders[WeekIndex],102)=0,"",SUMIFS(T_PlannedOrders[EffectiveQty],T_PlannedOrders[Part Name],$A1199,T_PlannedOrders[WeekIndex],102)&amp;" ("&amp;TEXT(SUMPRODUCT(MAX((T_PlannedOrders[Part Name]=$A1199)*(T_PlannedOrders[WeekIndex]=102)*(T_PlannedOrders[EffectiveQty]&gt;0)*T_PlannedOrders[Order_Month])),"m月")&amp;"発注)")</f>
        <v/>
      </c>
      <c r="DB1209">
        <f>IF(SUMIFS(T_PlannedOrders[EffectiveQty],T_PlannedOrders[Part Name],$A1199,T_PlannedOrders[WeekIndex],103)=0,"",SUMIFS(T_PlannedOrders[EffectiveQty],T_PlannedOrders[Part Name],$A1199,T_PlannedOrders[WeekIndex],103)&amp;" ("&amp;TEXT(SUMPRODUCT(MAX((T_PlannedOrders[Part Name]=$A1199)*(T_PlannedOrders[WeekIndex]=103)*(T_PlannedOrders[EffectiveQty]&gt;0)*T_PlannedOrders[Order_Month])),"m月")&amp;"発注)")</f>
        <v/>
      </c>
      <c r="DC1209">
        <f>IF(SUMIFS(T_PlannedOrders[EffectiveQty],T_PlannedOrders[Part Name],$A1199,T_PlannedOrders[WeekIndex],104)=0,"",SUMIFS(T_PlannedOrders[EffectiveQty],T_PlannedOrders[Part Name],$A1199,T_PlannedOrders[WeekIndex],104)&amp;" ("&amp;TEXT(SUMPRODUCT(MAX((T_PlannedOrders[Part Name]=$A1199)*(T_PlannedOrders[WeekIndex]=104)*(T_PlannedOrders[EffectiveQty]&gt;0)*T_PlannedOrders[Order_Month])),"m月")&amp;"発注)")</f>
        <v/>
      </c>
    </row>
    <row r="1210">
      <c r="B1210" s="5" t="inlineStr">
        <is>
          <t>合計在庫(週末時点,kg)</t>
        </is>
      </c>
      <c r="D1210">
        <f>'Grid_Stock'!B56</f>
        <v/>
      </c>
      <c r="E1210">
        <f>'Grid_Stock'!C56</f>
        <v/>
      </c>
      <c r="F1210">
        <f>'Grid_Stock'!D56</f>
        <v/>
      </c>
      <c r="G1210">
        <f>'Grid_Stock'!E56</f>
        <v/>
      </c>
      <c r="H1210">
        <f>'Grid_Stock'!F56</f>
        <v/>
      </c>
      <c r="I1210">
        <f>'Grid_Stock'!G56</f>
        <v/>
      </c>
      <c r="J1210">
        <f>'Grid_Stock'!H56</f>
        <v/>
      </c>
      <c r="K1210">
        <f>'Grid_Stock'!I56</f>
        <v/>
      </c>
      <c r="L1210">
        <f>'Grid_Stock'!J56</f>
        <v/>
      </c>
      <c r="M1210">
        <f>'Grid_Stock'!K56</f>
        <v/>
      </c>
      <c r="N1210">
        <f>'Grid_Stock'!L56</f>
        <v/>
      </c>
      <c r="O1210">
        <f>'Grid_Stock'!M56</f>
        <v/>
      </c>
      <c r="P1210">
        <f>'Grid_Stock'!N56</f>
        <v/>
      </c>
      <c r="Q1210">
        <f>'Grid_Stock'!O56</f>
        <v/>
      </c>
      <c r="R1210">
        <f>'Grid_Stock'!P56</f>
        <v/>
      </c>
      <c r="S1210">
        <f>'Grid_Stock'!Q56</f>
        <v/>
      </c>
      <c r="T1210">
        <f>'Grid_Stock'!R56</f>
        <v/>
      </c>
      <c r="U1210">
        <f>'Grid_Stock'!S56</f>
        <v/>
      </c>
      <c r="V1210">
        <f>'Grid_Stock'!T56</f>
        <v/>
      </c>
      <c r="W1210">
        <f>'Grid_Stock'!U56</f>
        <v/>
      </c>
      <c r="X1210">
        <f>'Grid_Stock'!V56</f>
        <v/>
      </c>
      <c r="Y1210">
        <f>'Grid_Stock'!W56</f>
        <v/>
      </c>
      <c r="Z1210">
        <f>'Grid_Stock'!X56</f>
        <v/>
      </c>
      <c r="AA1210">
        <f>'Grid_Stock'!Y56</f>
        <v/>
      </c>
      <c r="AB1210">
        <f>'Grid_Stock'!Z56</f>
        <v/>
      </c>
      <c r="AC1210">
        <f>'Grid_Stock'!AA56</f>
        <v/>
      </c>
      <c r="AD1210">
        <f>'Grid_Stock'!AB56</f>
        <v/>
      </c>
      <c r="AE1210">
        <f>'Grid_Stock'!AC56</f>
        <v/>
      </c>
      <c r="AF1210">
        <f>'Grid_Stock'!AD56</f>
        <v/>
      </c>
      <c r="AG1210">
        <f>'Grid_Stock'!AE56</f>
        <v/>
      </c>
      <c r="AH1210">
        <f>'Grid_Stock'!AF56</f>
        <v/>
      </c>
      <c r="AI1210">
        <f>'Grid_Stock'!AG56</f>
        <v/>
      </c>
      <c r="AJ1210">
        <f>'Grid_Stock'!AH56</f>
        <v/>
      </c>
      <c r="AK1210">
        <f>'Grid_Stock'!AI56</f>
        <v/>
      </c>
      <c r="AL1210">
        <f>'Grid_Stock'!AJ56</f>
        <v/>
      </c>
      <c r="AM1210">
        <f>'Grid_Stock'!AK56</f>
        <v/>
      </c>
      <c r="AN1210">
        <f>'Grid_Stock'!AL56</f>
        <v/>
      </c>
      <c r="AO1210">
        <f>'Grid_Stock'!AM56</f>
        <v/>
      </c>
      <c r="AP1210">
        <f>'Grid_Stock'!AN56</f>
        <v/>
      </c>
      <c r="AQ1210">
        <f>'Grid_Stock'!AO56</f>
        <v/>
      </c>
      <c r="AR1210">
        <f>'Grid_Stock'!AP56</f>
        <v/>
      </c>
      <c r="AS1210">
        <f>'Grid_Stock'!AQ56</f>
        <v/>
      </c>
      <c r="AT1210">
        <f>'Grid_Stock'!AR56</f>
        <v/>
      </c>
      <c r="AU1210">
        <f>'Grid_Stock'!AS56</f>
        <v/>
      </c>
      <c r="AV1210">
        <f>'Grid_Stock'!AT56</f>
        <v/>
      </c>
      <c r="AW1210">
        <f>'Grid_Stock'!AU56</f>
        <v/>
      </c>
      <c r="AX1210">
        <f>'Grid_Stock'!AV56</f>
        <v/>
      </c>
      <c r="AY1210">
        <f>'Grid_Stock'!AW56</f>
        <v/>
      </c>
      <c r="AZ1210">
        <f>'Grid_Stock'!AX56</f>
        <v/>
      </c>
      <c r="BA1210">
        <f>'Grid_Stock'!AY56</f>
        <v/>
      </c>
      <c r="BB1210">
        <f>'Grid_Stock'!AZ56</f>
        <v/>
      </c>
      <c r="BC1210">
        <f>'Grid_Stock'!BA56</f>
        <v/>
      </c>
      <c r="BD1210">
        <f>'Grid_Stock'!BB56</f>
        <v/>
      </c>
      <c r="BE1210">
        <f>'Grid_Stock'!BC56</f>
        <v/>
      </c>
      <c r="BF1210">
        <f>'Grid_Stock'!BD56</f>
        <v/>
      </c>
      <c r="BG1210">
        <f>'Grid_Stock'!BE56</f>
        <v/>
      </c>
      <c r="BH1210">
        <f>'Grid_Stock'!BF56</f>
        <v/>
      </c>
      <c r="BI1210">
        <f>'Grid_Stock'!BG56</f>
        <v/>
      </c>
      <c r="BJ1210">
        <f>'Grid_Stock'!BH56</f>
        <v/>
      </c>
      <c r="BK1210">
        <f>'Grid_Stock'!BI56</f>
        <v/>
      </c>
      <c r="BL1210">
        <f>'Grid_Stock'!BJ56</f>
        <v/>
      </c>
      <c r="BM1210">
        <f>'Grid_Stock'!BK56</f>
        <v/>
      </c>
      <c r="BN1210">
        <f>'Grid_Stock'!BL56</f>
        <v/>
      </c>
      <c r="BO1210">
        <f>'Grid_Stock'!BM56</f>
        <v/>
      </c>
      <c r="BP1210">
        <f>'Grid_Stock'!BN56</f>
        <v/>
      </c>
      <c r="BQ1210">
        <f>'Grid_Stock'!BO56</f>
        <v/>
      </c>
      <c r="BR1210">
        <f>'Grid_Stock'!BP56</f>
        <v/>
      </c>
      <c r="BS1210">
        <f>'Grid_Stock'!BQ56</f>
        <v/>
      </c>
      <c r="BT1210">
        <f>'Grid_Stock'!BR56</f>
        <v/>
      </c>
      <c r="BU1210">
        <f>'Grid_Stock'!BS56</f>
        <v/>
      </c>
      <c r="BV1210">
        <f>'Grid_Stock'!BT56</f>
        <v/>
      </c>
      <c r="BW1210">
        <f>'Grid_Stock'!BU56</f>
        <v/>
      </c>
      <c r="BX1210">
        <f>'Grid_Stock'!BV56</f>
        <v/>
      </c>
      <c r="BY1210">
        <f>'Grid_Stock'!BW56</f>
        <v/>
      </c>
      <c r="BZ1210">
        <f>'Grid_Stock'!BX56</f>
        <v/>
      </c>
      <c r="CA1210">
        <f>'Grid_Stock'!BY56</f>
        <v/>
      </c>
      <c r="CB1210">
        <f>'Grid_Stock'!BZ56</f>
        <v/>
      </c>
      <c r="CC1210">
        <f>'Grid_Stock'!CA56</f>
        <v/>
      </c>
      <c r="CD1210">
        <f>'Grid_Stock'!CB56</f>
        <v/>
      </c>
      <c r="CE1210">
        <f>'Grid_Stock'!CC56</f>
        <v/>
      </c>
      <c r="CF1210">
        <f>'Grid_Stock'!CD56</f>
        <v/>
      </c>
      <c r="CG1210">
        <f>'Grid_Stock'!CE56</f>
        <v/>
      </c>
      <c r="CH1210">
        <f>'Grid_Stock'!CF56</f>
        <v/>
      </c>
      <c r="CI1210">
        <f>'Grid_Stock'!CG56</f>
        <v/>
      </c>
      <c r="CJ1210">
        <f>'Grid_Stock'!CH56</f>
        <v/>
      </c>
      <c r="CK1210">
        <f>'Grid_Stock'!CI56</f>
        <v/>
      </c>
      <c r="CL1210">
        <f>'Grid_Stock'!CJ56</f>
        <v/>
      </c>
      <c r="CM1210">
        <f>'Grid_Stock'!CK56</f>
        <v/>
      </c>
      <c r="CN1210">
        <f>'Grid_Stock'!CL56</f>
        <v/>
      </c>
      <c r="CO1210">
        <f>'Grid_Stock'!CM56</f>
        <v/>
      </c>
      <c r="CP1210">
        <f>'Grid_Stock'!CN56</f>
        <v/>
      </c>
      <c r="CQ1210">
        <f>'Grid_Stock'!CO56</f>
        <v/>
      </c>
      <c r="CR1210">
        <f>'Grid_Stock'!CP56</f>
        <v/>
      </c>
      <c r="CS1210">
        <f>'Grid_Stock'!CQ56</f>
        <v/>
      </c>
      <c r="CT1210">
        <f>'Grid_Stock'!CR56</f>
        <v/>
      </c>
      <c r="CU1210">
        <f>'Grid_Stock'!CS56</f>
        <v/>
      </c>
      <c r="CV1210">
        <f>'Grid_Stock'!CT56</f>
        <v/>
      </c>
      <c r="CW1210">
        <f>'Grid_Stock'!CU56</f>
        <v/>
      </c>
      <c r="CX1210">
        <f>'Grid_Stock'!CV56</f>
        <v/>
      </c>
      <c r="CY1210">
        <f>'Grid_Stock'!CW56</f>
        <v/>
      </c>
      <c r="CZ1210">
        <f>'Grid_Stock'!CX56</f>
        <v/>
      </c>
      <c r="DA1210">
        <f>'Grid_Stock'!CY56</f>
        <v/>
      </c>
      <c r="DB1210">
        <f>'Grid_Stock'!CZ56</f>
        <v/>
      </c>
      <c r="DC1210">
        <f>'Grid_Stock'!DA56</f>
        <v/>
      </c>
    </row>
    <row r="1211">
      <c r="B1211" s="23" t="inlineStr">
        <is>
          <t>（発注の目安はDashboardの基準在庫[下限/上限]と色分けを参照）</t>
        </is>
      </c>
    </row>
    <row r="1213">
      <c r="A1213" s="21" t="inlineStr">
        <is>
          <t>CHEM-1720</t>
        </is>
      </c>
      <c r="B1213" s="21" t="inlineStr">
        <is>
          <t>TPZ 868</t>
        </is>
      </c>
      <c r="C1213" s="22" t="n"/>
      <c r="D1213" s="21" t="n"/>
      <c r="E1213" s="21" t="n"/>
      <c r="F1213" s="21" t="n"/>
      <c r="G1213" s="21" t="n"/>
      <c r="H1213" s="21" t="n"/>
      <c r="I1213" s="21" t="n"/>
      <c r="J1213" s="21" t="n"/>
      <c r="K1213" s="21" t="n"/>
      <c r="L1213" s="21" t="n"/>
      <c r="M1213" s="21" t="n"/>
      <c r="N1213" s="21" t="n"/>
      <c r="O1213" s="21" t="n"/>
      <c r="P1213" s="21" t="n"/>
      <c r="Q1213" s="21" t="n"/>
      <c r="R1213" s="21" t="n"/>
      <c r="S1213" s="21" t="n"/>
      <c r="T1213" s="21" t="n"/>
      <c r="U1213" s="21" t="n"/>
      <c r="V1213" s="21" t="n"/>
      <c r="W1213" s="21" t="n"/>
      <c r="X1213" s="21" t="n"/>
      <c r="Y1213" s="21" t="n"/>
      <c r="Z1213" s="21" t="n"/>
      <c r="AA1213" s="21" t="n"/>
      <c r="AB1213" s="21" t="n"/>
      <c r="AC1213" s="21" t="n"/>
      <c r="AD1213" s="21" t="n"/>
      <c r="AE1213" s="21" t="n"/>
      <c r="AF1213" s="21" t="n"/>
      <c r="AG1213" s="21" t="n"/>
      <c r="AH1213" s="21" t="n"/>
      <c r="AI1213" s="21" t="n"/>
      <c r="AJ1213" s="21" t="n"/>
      <c r="AK1213" s="21" t="n"/>
      <c r="AL1213" s="21" t="n"/>
      <c r="AM1213" s="21" t="n"/>
      <c r="AN1213" s="21" t="n"/>
      <c r="AO1213" s="21" t="n"/>
      <c r="AP1213" s="21" t="n"/>
      <c r="AQ1213" s="21" t="n"/>
      <c r="AR1213" s="21" t="n"/>
      <c r="AS1213" s="21" t="n"/>
      <c r="AT1213" s="21" t="n"/>
      <c r="AU1213" s="21" t="n"/>
      <c r="AV1213" s="21" t="n"/>
      <c r="AW1213" s="21" t="n"/>
      <c r="AX1213" s="21" t="n"/>
      <c r="AY1213" s="21" t="n"/>
      <c r="AZ1213" s="21" t="n"/>
      <c r="BA1213" s="21" t="n"/>
      <c r="BB1213" s="21" t="n"/>
      <c r="BC1213" s="21" t="n"/>
      <c r="BD1213" s="21" t="n"/>
      <c r="BE1213" s="21" t="n"/>
      <c r="BF1213" s="21" t="n"/>
      <c r="BG1213" s="21" t="n"/>
      <c r="BH1213" s="21" t="n"/>
      <c r="BI1213" s="21" t="n"/>
      <c r="BJ1213" s="21" t="n"/>
      <c r="BK1213" s="21" t="n"/>
      <c r="BL1213" s="21" t="n"/>
      <c r="BM1213" s="21" t="n"/>
      <c r="BN1213" s="21" t="n"/>
      <c r="BO1213" s="21" t="n"/>
      <c r="BP1213" s="21" t="n"/>
      <c r="BQ1213" s="21" t="n"/>
      <c r="BR1213" s="21" t="n"/>
      <c r="BS1213" s="21" t="n"/>
      <c r="BT1213" s="21" t="n"/>
      <c r="BU1213" s="21" t="n"/>
      <c r="BV1213" s="21" t="n"/>
      <c r="BW1213" s="21" t="n"/>
      <c r="BX1213" s="21" t="n"/>
      <c r="BY1213" s="21" t="n"/>
      <c r="BZ1213" s="21" t="n"/>
      <c r="CA1213" s="21" t="n"/>
      <c r="CB1213" s="21" t="n"/>
      <c r="CC1213" s="21" t="n"/>
      <c r="CD1213" s="21" t="n"/>
      <c r="CE1213" s="21" t="n"/>
      <c r="CF1213" s="21" t="n"/>
      <c r="CG1213" s="21" t="n"/>
      <c r="CH1213" s="21" t="n"/>
      <c r="CI1213" s="21" t="n"/>
      <c r="CJ1213" s="21" t="n"/>
      <c r="CK1213" s="21" t="n"/>
      <c r="CL1213" s="21" t="n"/>
      <c r="CM1213" s="21" t="n"/>
      <c r="CN1213" s="21" t="n"/>
      <c r="CO1213" s="21" t="n"/>
      <c r="CP1213" s="21" t="n"/>
      <c r="CQ1213" s="21" t="n"/>
      <c r="CR1213" s="21" t="n"/>
      <c r="CS1213" s="21" t="n"/>
      <c r="CT1213" s="21" t="n"/>
      <c r="CU1213" s="21" t="n"/>
      <c r="CV1213" s="21" t="n"/>
      <c r="CW1213" s="21" t="n"/>
      <c r="CX1213" s="21" t="n"/>
      <c r="CY1213" s="21" t="n"/>
      <c r="CZ1213" s="21" t="n"/>
      <c r="DA1213" s="21" t="n"/>
      <c r="DB1213" s="21" t="n"/>
      <c r="DC1213" s="21" t="n"/>
    </row>
    <row r="1214">
      <c r="B1214" t="inlineStr">
        <is>
          <t>TSP-1444</t>
        </is>
      </c>
      <c r="C1214" t="inlineStr">
        <is>
          <t>No. of batches</t>
        </is>
      </c>
      <c r="D1214">
        <f>IFERROR(INDEX(PP_Grid[#Data],$DD1214,2),0)</f>
        <v/>
      </c>
      <c r="E1214">
        <f>IFERROR(INDEX(PP_Grid[#Data],$DD1214,3),0)</f>
        <v/>
      </c>
      <c r="F1214">
        <f>IFERROR(INDEX(PP_Grid[#Data],$DD1214,4),0)</f>
        <v/>
      </c>
      <c r="G1214">
        <f>IFERROR(INDEX(PP_Grid[#Data],$DD1214,5),0)</f>
        <v/>
      </c>
      <c r="H1214">
        <f>IFERROR(INDEX(PP_Grid[#Data],$DD1214,6),0)</f>
        <v/>
      </c>
      <c r="I1214">
        <f>IFERROR(INDEX(PP_Grid[#Data],$DD1214,7),0)</f>
        <v/>
      </c>
      <c r="J1214">
        <f>IFERROR(INDEX(PP_Grid[#Data],$DD1214,8),0)</f>
        <v/>
      </c>
      <c r="K1214">
        <f>IFERROR(INDEX(PP_Grid[#Data],$DD1214,9),0)</f>
        <v/>
      </c>
      <c r="L1214">
        <f>IFERROR(INDEX(PP_Grid[#Data],$DD1214,10),0)</f>
        <v/>
      </c>
      <c r="M1214">
        <f>IFERROR(INDEX(PP_Grid[#Data],$DD1214,11),0)</f>
        <v/>
      </c>
      <c r="N1214">
        <f>IFERROR(INDEX(PP_Grid[#Data],$DD1214,12),0)</f>
        <v/>
      </c>
      <c r="O1214">
        <f>IFERROR(INDEX(PP_Grid[#Data],$DD1214,13),0)</f>
        <v/>
      </c>
      <c r="P1214">
        <f>IFERROR(INDEX(PP_Grid[#Data],$DD1214,14),0)</f>
        <v/>
      </c>
      <c r="Q1214">
        <f>IFERROR(INDEX(PP_Grid[#Data],$DD1214,15),0)</f>
        <v/>
      </c>
      <c r="R1214">
        <f>IFERROR(INDEX(PP_Grid[#Data],$DD1214,16),0)</f>
        <v/>
      </c>
      <c r="S1214">
        <f>IFERROR(INDEX(PP_Grid[#Data],$DD1214,17),0)</f>
        <v/>
      </c>
      <c r="T1214">
        <f>IFERROR(INDEX(PP_Grid[#Data],$DD1214,18),0)</f>
        <v/>
      </c>
      <c r="U1214">
        <f>IFERROR(INDEX(PP_Grid[#Data],$DD1214,19),0)</f>
        <v/>
      </c>
      <c r="V1214">
        <f>IFERROR(INDEX(PP_Grid[#Data],$DD1214,20),0)</f>
        <v/>
      </c>
      <c r="W1214">
        <f>IFERROR(INDEX(PP_Grid[#Data],$DD1214,21),0)</f>
        <v/>
      </c>
      <c r="X1214">
        <f>IFERROR(INDEX(PP_Grid[#Data],$DD1214,22),0)</f>
        <v/>
      </c>
      <c r="Y1214">
        <f>IFERROR(INDEX(PP_Grid[#Data],$DD1214,23),0)</f>
        <v/>
      </c>
      <c r="Z1214">
        <f>IFERROR(INDEX(PP_Grid[#Data],$DD1214,24),0)</f>
        <v/>
      </c>
      <c r="AA1214">
        <f>IFERROR(INDEX(PP_Grid[#Data],$DD1214,25),0)</f>
        <v/>
      </c>
      <c r="AB1214">
        <f>IFERROR(INDEX(PP_Grid[#Data],$DD1214,26),0)</f>
        <v/>
      </c>
      <c r="AC1214">
        <f>IFERROR(INDEX(PP_Grid[#Data],$DD1214,27),0)</f>
        <v/>
      </c>
      <c r="AD1214">
        <f>IFERROR(INDEX(PP_Grid[#Data],$DD1214,28),0)</f>
        <v/>
      </c>
      <c r="AE1214">
        <f>IFERROR(INDEX(PP_Grid[#Data],$DD1214,29),0)</f>
        <v/>
      </c>
      <c r="AF1214">
        <f>IFERROR(INDEX(PP_Grid[#Data],$DD1214,30),0)</f>
        <v/>
      </c>
      <c r="AG1214">
        <f>IFERROR(INDEX(PP_Grid[#Data],$DD1214,31),0)</f>
        <v/>
      </c>
      <c r="AH1214">
        <f>IFERROR(INDEX(PP_Grid[#Data],$DD1214,32),0)</f>
        <v/>
      </c>
      <c r="AI1214">
        <f>IFERROR(INDEX(PP_Grid[#Data],$DD1214,33),0)</f>
        <v/>
      </c>
      <c r="AJ1214">
        <f>IFERROR(INDEX(PP_Grid[#Data],$DD1214,34),0)</f>
        <v/>
      </c>
      <c r="AK1214">
        <f>IFERROR(INDEX(PP_Grid[#Data],$DD1214,35),0)</f>
        <v/>
      </c>
      <c r="AL1214">
        <f>IFERROR(INDEX(PP_Grid[#Data],$DD1214,36),0)</f>
        <v/>
      </c>
      <c r="AM1214">
        <f>IFERROR(INDEX(PP_Grid[#Data],$DD1214,37),0)</f>
        <v/>
      </c>
      <c r="AN1214">
        <f>IFERROR(INDEX(PP_Grid[#Data],$DD1214,38),0)</f>
        <v/>
      </c>
      <c r="AO1214">
        <f>IFERROR(INDEX(PP_Grid[#Data],$DD1214,39),0)</f>
        <v/>
      </c>
      <c r="AP1214">
        <f>IFERROR(INDEX(PP_Grid[#Data],$DD1214,40),0)</f>
        <v/>
      </c>
      <c r="AQ1214">
        <f>IFERROR(INDEX(PP_Grid[#Data],$DD1214,41),0)</f>
        <v/>
      </c>
      <c r="AR1214">
        <f>IFERROR(INDEX(PP_Grid[#Data],$DD1214,42),0)</f>
        <v/>
      </c>
      <c r="AS1214">
        <f>IFERROR(INDEX(PP_Grid[#Data],$DD1214,43),0)</f>
        <v/>
      </c>
      <c r="AT1214">
        <f>IFERROR(INDEX(PP_Grid[#Data],$DD1214,44),0)</f>
        <v/>
      </c>
      <c r="AU1214">
        <f>IFERROR(INDEX(PP_Grid[#Data],$DD1214,45),0)</f>
        <v/>
      </c>
      <c r="AV1214">
        <f>IFERROR(INDEX(PP_Grid[#Data],$DD1214,46),0)</f>
        <v/>
      </c>
      <c r="AW1214">
        <f>IFERROR(INDEX(PP_Grid[#Data],$DD1214,47),0)</f>
        <v/>
      </c>
      <c r="AX1214">
        <f>IFERROR(INDEX(PP_Grid[#Data],$DD1214,48),0)</f>
        <v/>
      </c>
      <c r="AY1214">
        <f>IFERROR(INDEX(PP_Grid[#Data],$DD1214,49),0)</f>
        <v/>
      </c>
      <c r="AZ1214">
        <f>IFERROR(INDEX(PP_Grid[#Data],$DD1214,50),0)</f>
        <v/>
      </c>
      <c r="BA1214">
        <f>IFERROR(INDEX(PP_Grid[#Data],$DD1214,51),0)</f>
        <v/>
      </c>
      <c r="BB1214">
        <f>IFERROR(INDEX(PP_Grid[#Data],$DD1214,52),0)</f>
        <v/>
      </c>
      <c r="BC1214">
        <f>IFERROR(INDEX(PP_Grid[#Data],$DD1214,53),0)</f>
        <v/>
      </c>
      <c r="BD1214">
        <f>IFERROR(INDEX(PP_Grid[#Data],$DD1214,54),0)</f>
        <v/>
      </c>
      <c r="BE1214">
        <f>IFERROR(INDEX(PP_Grid[#Data],$DD1214,55),0)</f>
        <v/>
      </c>
      <c r="BF1214">
        <f>IFERROR(INDEX(PP_Grid[#Data],$DD1214,56),0)</f>
        <v/>
      </c>
      <c r="BG1214">
        <f>IFERROR(INDEX(PP_Grid[#Data],$DD1214,57),0)</f>
        <v/>
      </c>
      <c r="BH1214">
        <f>IFERROR(INDEX(PP_Grid[#Data],$DD1214,58),0)</f>
        <v/>
      </c>
      <c r="BI1214">
        <f>IFERROR(INDEX(PP_Grid[#Data],$DD1214,59),0)</f>
        <v/>
      </c>
      <c r="BJ1214">
        <f>IFERROR(INDEX(PP_Grid[#Data],$DD1214,60),0)</f>
        <v/>
      </c>
      <c r="BK1214">
        <f>IFERROR(INDEX(PP_Grid[#Data],$DD1214,61),0)</f>
        <v/>
      </c>
      <c r="BL1214">
        <f>IFERROR(INDEX(PP_Grid[#Data],$DD1214,62),0)</f>
        <v/>
      </c>
      <c r="BM1214">
        <f>IFERROR(INDEX(PP_Grid[#Data],$DD1214,63),0)</f>
        <v/>
      </c>
      <c r="BN1214">
        <f>IFERROR(INDEX(PP_Grid[#Data],$DD1214,64),0)</f>
        <v/>
      </c>
      <c r="BO1214">
        <f>IFERROR(INDEX(PP_Grid[#Data],$DD1214,65),0)</f>
        <v/>
      </c>
      <c r="BP1214">
        <f>IFERROR(INDEX(PP_Grid[#Data],$DD1214,66),0)</f>
        <v/>
      </c>
      <c r="BQ1214">
        <f>IFERROR(INDEX(PP_Grid[#Data],$DD1214,67),0)</f>
        <v/>
      </c>
      <c r="BR1214">
        <f>IFERROR(INDEX(PP_Grid[#Data],$DD1214,68),0)</f>
        <v/>
      </c>
      <c r="BS1214">
        <f>IFERROR(INDEX(PP_Grid[#Data],$DD1214,69),0)</f>
        <v/>
      </c>
      <c r="BT1214">
        <f>IFERROR(INDEX(PP_Grid[#Data],$DD1214,70),0)</f>
        <v/>
      </c>
      <c r="BU1214">
        <f>IFERROR(INDEX(PP_Grid[#Data],$DD1214,71),0)</f>
        <v/>
      </c>
      <c r="BV1214">
        <f>IFERROR(INDEX(PP_Grid[#Data],$DD1214,72),0)</f>
        <v/>
      </c>
      <c r="BW1214">
        <f>IFERROR(INDEX(PP_Grid[#Data],$DD1214,73),0)</f>
        <v/>
      </c>
      <c r="BX1214">
        <f>IFERROR(INDEX(PP_Grid[#Data],$DD1214,74),0)</f>
        <v/>
      </c>
      <c r="BY1214">
        <f>IFERROR(INDEX(PP_Grid[#Data],$DD1214,75),0)</f>
        <v/>
      </c>
      <c r="BZ1214">
        <f>IFERROR(INDEX(PP_Grid[#Data],$DD1214,76),0)</f>
        <v/>
      </c>
      <c r="CA1214">
        <f>IFERROR(INDEX(PP_Grid[#Data],$DD1214,77),0)</f>
        <v/>
      </c>
      <c r="CB1214">
        <f>IFERROR(INDEX(PP_Grid[#Data],$DD1214,78),0)</f>
        <v/>
      </c>
      <c r="CC1214">
        <f>IFERROR(INDEX(PP_Grid[#Data],$DD1214,79),0)</f>
        <v/>
      </c>
      <c r="CD1214">
        <f>IFERROR(INDEX(PP_Grid[#Data],$DD1214,80),0)</f>
        <v/>
      </c>
      <c r="CE1214">
        <f>IFERROR(INDEX(PP_Grid[#Data],$DD1214,81),0)</f>
        <v/>
      </c>
      <c r="CF1214">
        <f>IFERROR(INDEX(PP_Grid[#Data],$DD1214,82),0)</f>
        <v/>
      </c>
      <c r="CG1214">
        <f>IFERROR(INDEX(PP_Grid[#Data],$DD1214,83),0)</f>
        <v/>
      </c>
      <c r="CH1214">
        <f>IFERROR(INDEX(PP_Grid[#Data],$DD1214,84),0)</f>
        <v/>
      </c>
      <c r="CI1214">
        <f>IFERROR(INDEX(PP_Grid[#Data],$DD1214,85),0)</f>
        <v/>
      </c>
      <c r="CJ1214">
        <f>IFERROR(INDEX(PP_Grid[#Data],$DD1214,86),0)</f>
        <v/>
      </c>
      <c r="CK1214">
        <f>IFERROR(INDEX(PP_Grid[#Data],$DD1214,87),0)</f>
        <v/>
      </c>
      <c r="CL1214">
        <f>IFERROR(INDEX(PP_Grid[#Data],$DD1214,88),0)</f>
        <v/>
      </c>
      <c r="CM1214">
        <f>IFERROR(INDEX(PP_Grid[#Data],$DD1214,89),0)</f>
        <v/>
      </c>
      <c r="CN1214">
        <f>IFERROR(INDEX(PP_Grid[#Data],$DD1214,90),0)</f>
        <v/>
      </c>
      <c r="CO1214">
        <f>IFERROR(INDEX(PP_Grid[#Data],$DD1214,91),0)</f>
        <v/>
      </c>
      <c r="CP1214">
        <f>IFERROR(INDEX(PP_Grid[#Data],$DD1214,92),0)</f>
        <v/>
      </c>
      <c r="CQ1214">
        <f>IFERROR(INDEX(PP_Grid[#Data],$DD1214,93),0)</f>
        <v/>
      </c>
      <c r="CR1214">
        <f>IFERROR(INDEX(PP_Grid[#Data],$DD1214,94),0)</f>
        <v/>
      </c>
      <c r="CS1214">
        <f>IFERROR(INDEX(PP_Grid[#Data],$DD1214,95),0)</f>
        <v/>
      </c>
      <c r="CT1214">
        <f>IFERROR(INDEX(PP_Grid[#Data],$DD1214,96),0)</f>
        <v/>
      </c>
      <c r="CU1214">
        <f>IFERROR(INDEX(PP_Grid[#Data],$DD1214,97),0)</f>
        <v/>
      </c>
      <c r="CV1214">
        <f>IFERROR(INDEX(PP_Grid[#Data],$DD1214,98),0)</f>
        <v/>
      </c>
      <c r="CW1214">
        <f>IFERROR(INDEX(PP_Grid[#Data],$DD1214,99),0)</f>
        <v/>
      </c>
      <c r="CX1214">
        <f>IFERROR(INDEX(PP_Grid[#Data],$DD1214,100),0)</f>
        <v/>
      </c>
      <c r="CY1214">
        <f>IFERROR(INDEX(PP_Grid[#Data],$DD1214,101),0)</f>
        <v/>
      </c>
      <c r="CZ1214">
        <f>IFERROR(INDEX(PP_Grid[#Data],$DD1214,102),0)</f>
        <v/>
      </c>
      <c r="DA1214">
        <f>IFERROR(INDEX(PP_Grid[#Data],$DD1214,103),0)</f>
        <v/>
      </c>
      <c r="DB1214">
        <f>IFERROR(INDEX(PP_Grid[#Data],$DD1214,104),0)</f>
        <v/>
      </c>
      <c r="DC1214">
        <f>IFERROR(INDEX(PP_Grid[#Data],$DD1214,105),0)</f>
        <v/>
      </c>
      <c r="DD1214" s="12">
        <f>IFERROR(MATCH($B1214,PP_Grid[Intermediate],0),99999)</f>
        <v/>
      </c>
    </row>
    <row r="1215">
      <c r="B1215" t="inlineStr">
        <is>
          <t>使用量(kg)</t>
        </is>
      </c>
      <c r="C1215">
        <f>SUMIFS(M_BOM[RM_Qty_Per_Batch],M_BOM[Intermediate],$B1214,M_BOM[Part Name],$A1213)</f>
        <v/>
      </c>
      <c r="D1215">
        <f>$C1215*D1214</f>
        <v/>
      </c>
      <c r="E1215">
        <f>$C1215*E1214</f>
        <v/>
      </c>
      <c r="F1215">
        <f>$C1215*F1214</f>
        <v/>
      </c>
      <c r="G1215">
        <f>$C1215*G1214</f>
        <v/>
      </c>
      <c r="H1215">
        <f>$C1215*H1214</f>
        <v/>
      </c>
      <c r="I1215">
        <f>$C1215*I1214</f>
        <v/>
      </c>
      <c r="J1215">
        <f>$C1215*J1214</f>
        <v/>
      </c>
      <c r="K1215">
        <f>$C1215*K1214</f>
        <v/>
      </c>
      <c r="L1215">
        <f>$C1215*L1214</f>
        <v/>
      </c>
      <c r="M1215">
        <f>$C1215*M1214</f>
        <v/>
      </c>
      <c r="N1215">
        <f>$C1215*N1214</f>
        <v/>
      </c>
      <c r="O1215">
        <f>$C1215*O1214</f>
        <v/>
      </c>
      <c r="P1215">
        <f>$C1215*P1214</f>
        <v/>
      </c>
      <c r="Q1215">
        <f>$C1215*Q1214</f>
        <v/>
      </c>
      <c r="R1215">
        <f>$C1215*R1214</f>
        <v/>
      </c>
      <c r="S1215">
        <f>$C1215*S1214</f>
        <v/>
      </c>
      <c r="T1215">
        <f>$C1215*T1214</f>
        <v/>
      </c>
      <c r="U1215">
        <f>$C1215*U1214</f>
        <v/>
      </c>
      <c r="V1215">
        <f>$C1215*V1214</f>
        <v/>
      </c>
      <c r="W1215">
        <f>$C1215*W1214</f>
        <v/>
      </c>
      <c r="X1215">
        <f>$C1215*X1214</f>
        <v/>
      </c>
      <c r="Y1215">
        <f>$C1215*Y1214</f>
        <v/>
      </c>
      <c r="Z1215">
        <f>$C1215*Z1214</f>
        <v/>
      </c>
      <c r="AA1215">
        <f>$C1215*AA1214</f>
        <v/>
      </c>
      <c r="AB1215">
        <f>$C1215*AB1214</f>
        <v/>
      </c>
      <c r="AC1215">
        <f>$C1215*AC1214</f>
        <v/>
      </c>
      <c r="AD1215">
        <f>$C1215*AD1214</f>
        <v/>
      </c>
      <c r="AE1215">
        <f>$C1215*AE1214</f>
        <v/>
      </c>
      <c r="AF1215">
        <f>$C1215*AF1214</f>
        <v/>
      </c>
      <c r="AG1215">
        <f>$C1215*AG1214</f>
        <v/>
      </c>
      <c r="AH1215">
        <f>$C1215*AH1214</f>
        <v/>
      </c>
      <c r="AI1215">
        <f>$C1215*AI1214</f>
        <v/>
      </c>
      <c r="AJ1215">
        <f>$C1215*AJ1214</f>
        <v/>
      </c>
      <c r="AK1215">
        <f>$C1215*AK1214</f>
        <v/>
      </c>
      <c r="AL1215">
        <f>$C1215*AL1214</f>
        <v/>
      </c>
      <c r="AM1215">
        <f>$C1215*AM1214</f>
        <v/>
      </c>
      <c r="AN1215">
        <f>$C1215*AN1214</f>
        <v/>
      </c>
      <c r="AO1215">
        <f>$C1215*AO1214</f>
        <v/>
      </c>
      <c r="AP1215">
        <f>$C1215*AP1214</f>
        <v/>
      </c>
      <c r="AQ1215">
        <f>$C1215*AQ1214</f>
        <v/>
      </c>
      <c r="AR1215">
        <f>$C1215*AR1214</f>
        <v/>
      </c>
      <c r="AS1215">
        <f>$C1215*AS1214</f>
        <v/>
      </c>
      <c r="AT1215">
        <f>$C1215*AT1214</f>
        <v/>
      </c>
      <c r="AU1215">
        <f>$C1215*AU1214</f>
        <v/>
      </c>
      <c r="AV1215">
        <f>$C1215*AV1214</f>
        <v/>
      </c>
      <c r="AW1215">
        <f>$C1215*AW1214</f>
        <v/>
      </c>
      <c r="AX1215">
        <f>$C1215*AX1214</f>
        <v/>
      </c>
      <c r="AY1215">
        <f>$C1215*AY1214</f>
        <v/>
      </c>
      <c r="AZ1215">
        <f>$C1215*AZ1214</f>
        <v/>
      </c>
      <c r="BA1215">
        <f>$C1215*BA1214</f>
        <v/>
      </c>
      <c r="BB1215">
        <f>$C1215*BB1214</f>
        <v/>
      </c>
      <c r="BC1215">
        <f>$C1215*BC1214</f>
        <v/>
      </c>
      <c r="BD1215">
        <f>$C1215*BD1214</f>
        <v/>
      </c>
      <c r="BE1215">
        <f>$C1215*BE1214</f>
        <v/>
      </c>
      <c r="BF1215">
        <f>$C1215*BF1214</f>
        <v/>
      </c>
      <c r="BG1215">
        <f>$C1215*BG1214</f>
        <v/>
      </c>
      <c r="BH1215">
        <f>$C1215*BH1214</f>
        <v/>
      </c>
      <c r="BI1215">
        <f>$C1215*BI1214</f>
        <v/>
      </c>
      <c r="BJ1215">
        <f>$C1215*BJ1214</f>
        <v/>
      </c>
      <c r="BK1215">
        <f>$C1215*BK1214</f>
        <v/>
      </c>
      <c r="BL1215">
        <f>$C1215*BL1214</f>
        <v/>
      </c>
      <c r="BM1215">
        <f>$C1215*BM1214</f>
        <v/>
      </c>
      <c r="BN1215">
        <f>$C1215*BN1214</f>
        <v/>
      </c>
      <c r="BO1215">
        <f>$C1215*BO1214</f>
        <v/>
      </c>
      <c r="BP1215">
        <f>$C1215*BP1214</f>
        <v/>
      </c>
      <c r="BQ1215">
        <f>$C1215*BQ1214</f>
        <v/>
      </c>
      <c r="BR1215">
        <f>$C1215*BR1214</f>
        <v/>
      </c>
      <c r="BS1215">
        <f>$C1215*BS1214</f>
        <v/>
      </c>
      <c r="BT1215">
        <f>$C1215*BT1214</f>
        <v/>
      </c>
      <c r="BU1215">
        <f>$C1215*BU1214</f>
        <v/>
      </c>
      <c r="BV1215">
        <f>$C1215*BV1214</f>
        <v/>
      </c>
      <c r="BW1215">
        <f>$C1215*BW1214</f>
        <v/>
      </c>
      <c r="BX1215">
        <f>$C1215*BX1214</f>
        <v/>
      </c>
      <c r="BY1215">
        <f>$C1215*BY1214</f>
        <v/>
      </c>
      <c r="BZ1215">
        <f>$C1215*BZ1214</f>
        <v/>
      </c>
      <c r="CA1215">
        <f>$C1215*CA1214</f>
        <v/>
      </c>
      <c r="CB1215">
        <f>$C1215*CB1214</f>
        <v/>
      </c>
      <c r="CC1215">
        <f>$C1215*CC1214</f>
        <v/>
      </c>
      <c r="CD1215">
        <f>$C1215*CD1214</f>
        <v/>
      </c>
      <c r="CE1215">
        <f>$C1215*CE1214</f>
        <v/>
      </c>
      <c r="CF1215">
        <f>$C1215*CF1214</f>
        <v/>
      </c>
      <c r="CG1215">
        <f>$C1215*CG1214</f>
        <v/>
      </c>
      <c r="CH1215">
        <f>$C1215*CH1214</f>
        <v/>
      </c>
      <c r="CI1215">
        <f>$C1215*CI1214</f>
        <v/>
      </c>
      <c r="CJ1215">
        <f>$C1215*CJ1214</f>
        <v/>
      </c>
      <c r="CK1215">
        <f>$C1215*CK1214</f>
        <v/>
      </c>
      <c r="CL1215">
        <f>$C1215*CL1214</f>
        <v/>
      </c>
      <c r="CM1215">
        <f>$C1215*CM1214</f>
        <v/>
      </c>
      <c r="CN1215">
        <f>$C1215*CN1214</f>
        <v/>
      </c>
      <c r="CO1215">
        <f>$C1215*CO1214</f>
        <v/>
      </c>
      <c r="CP1215">
        <f>$C1215*CP1214</f>
        <v/>
      </c>
      <c r="CQ1215">
        <f>$C1215*CQ1214</f>
        <v/>
      </c>
      <c r="CR1215">
        <f>$C1215*CR1214</f>
        <v/>
      </c>
      <c r="CS1215">
        <f>$C1215*CS1214</f>
        <v/>
      </c>
      <c r="CT1215">
        <f>$C1215*CT1214</f>
        <v/>
      </c>
      <c r="CU1215">
        <f>$C1215*CU1214</f>
        <v/>
      </c>
      <c r="CV1215">
        <f>$C1215*CV1214</f>
        <v/>
      </c>
      <c r="CW1215">
        <f>$C1215*CW1214</f>
        <v/>
      </c>
      <c r="CX1215">
        <f>$C1215*CX1214</f>
        <v/>
      </c>
      <c r="CY1215">
        <f>$C1215*CY1214</f>
        <v/>
      </c>
      <c r="CZ1215">
        <f>$C1215*CZ1214</f>
        <v/>
      </c>
      <c r="DA1215">
        <f>$C1215*DA1214</f>
        <v/>
      </c>
      <c r="DB1215">
        <f>$C1215*DB1214</f>
        <v/>
      </c>
      <c r="DC1215">
        <f>$C1215*DC1214</f>
        <v/>
      </c>
    </row>
    <row r="1216">
      <c r="B1216" t="inlineStr">
        <is>
          <t>TSP-1445</t>
        </is>
      </c>
      <c r="C1216" t="inlineStr">
        <is>
          <t>No. of batches</t>
        </is>
      </c>
      <c r="D1216">
        <f>IFERROR(INDEX(PP_Grid[#Data],$DD1216,2),0)</f>
        <v/>
      </c>
      <c r="E1216">
        <f>IFERROR(INDEX(PP_Grid[#Data],$DD1216,3),0)</f>
        <v/>
      </c>
      <c r="F1216">
        <f>IFERROR(INDEX(PP_Grid[#Data],$DD1216,4),0)</f>
        <v/>
      </c>
      <c r="G1216">
        <f>IFERROR(INDEX(PP_Grid[#Data],$DD1216,5),0)</f>
        <v/>
      </c>
      <c r="H1216">
        <f>IFERROR(INDEX(PP_Grid[#Data],$DD1216,6),0)</f>
        <v/>
      </c>
      <c r="I1216">
        <f>IFERROR(INDEX(PP_Grid[#Data],$DD1216,7),0)</f>
        <v/>
      </c>
      <c r="J1216">
        <f>IFERROR(INDEX(PP_Grid[#Data],$DD1216,8),0)</f>
        <v/>
      </c>
      <c r="K1216">
        <f>IFERROR(INDEX(PP_Grid[#Data],$DD1216,9),0)</f>
        <v/>
      </c>
      <c r="L1216">
        <f>IFERROR(INDEX(PP_Grid[#Data],$DD1216,10),0)</f>
        <v/>
      </c>
      <c r="M1216">
        <f>IFERROR(INDEX(PP_Grid[#Data],$DD1216,11),0)</f>
        <v/>
      </c>
      <c r="N1216">
        <f>IFERROR(INDEX(PP_Grid[#Data],$DD1216,12),0)</f>
        <v/>
      </c>
      <c r="O1216">
        <f>IFERROR(INDEX(PP_Grid[#Data],$DD1216,13),0)</f>
        <v/>
      </c>
      <c r="P1216">
        <f>IFERROR(INDEX(PP_Grid[#Data],$DD1216,14),0)</f>
        <v/>
      </c>
      <c r="Q1216">
        <f>IFERROR(INDEX(PP_Grid[#Data],$DD1216,15),0)</f>
        <v/>
      </c>
      <c r="R1216">
        <f>IFERROR(INDEX(PP_Grid[#Data],$DD1216,16),0)</f>
        <v/>
      </c>
      <c r="S1216">
        <f>IFERROR(INDEX(PP_Grid[#Data],$DD1216,17),0)</f>
        <v/>
      </c>
      <c r="T1216">
        <f>IFERROR(INDEX(PP_Grid[#Data],$DD1216,18),0)</f>
        <v/>
      </c>
      <c r="U1216">
        <f>IFERROR(INDEX(PP_Grid[#Data],$DD1216,19),0)</f>
        <v/>
      </c>
      <c r="V1216">
        <f>IFERROR(INDEX(PP_Grid[#Data],$DD1216,20),0)</f>
        <v/>
      </c>
      <c r="W1216">
        <f>IFERROR(INDEX(PP_Grid[#Data],$DD1216,21),0)</f>
        <v/>
      </c>
      <c r="X1216">
        <f>IFERROR(INDEX(PP_Grid[#Data],$DD1216,22),0)</f>
        <v/>
      </c>
      <c r="Y1216">
        <f>IFERROR(INDEX(PP_Grid[#Data],$DD1216,23),0)</f>
        <v/>
      </c>
      <c r="Z1216">
        <f>IFERROR(INDEX(PP_Grid[#Data],$DD1216,24),0)</f>
        <v/>
      </c>
      <c r="AA1216">
        <f>IFERROR(INDEX(PP_Grid[#Data],$DD1216,25),0)</f>
        <v/>
      </c>
      <c r="AB1216">
        <f>IFERROR(INDEX(PP_Grid[#Data],$DD1216,26),0)</f>
        <v/>
      </c>
      <c r="AC1216">
        <f>IFERROR(INDEX(PP_Grid[#Data],$DD1216,27),0)</f>
        <v/>
      </c>
      <c r="AD1216">
        <f>IFERROR(INDEX(PP_Grid[#Data],$DD1216,28),0)</f>
        <v/>
      </c>
      <c r="AE1216">
        <f>IFERROR(INDEX(PP_Grid[#Data],$DD1216,29),0)</f>
        <v/>
      </c>
      <c r="AF1216">
        <f>IFERROR(INDEX(PP_Grid[#Data],$DD1216,30),0)</f>
        <v/>
      </c>
      <c r="AG1216">
        <f>IFERROR(INDEX(PP_Grid[#Data],$DD1216,31),0)</f>
        <v/>
      </c>
      <c r="AH1216">
        <f>IFERROR(INDEX(PP_Grid[#Data],$DD1216,32),0)</f>
        <v/>
      </c>
      <c r="AI1216">
        <f>IFERROR(INDEX(PP_Grid[#Data],$DD1216,33),0)</f>
        <v/>
      </c>
      <c r="AJ1216">
        <f>IFERROR(INDEX(PP_Grid[#Data],$DD1216,34),0)</f>
        <v/>
      </c>
      <c r="AK1216">
        <f>IFERROR(INDEX(PP_Grid[#Data],$DD1216,35),0)</f>
        <v/>
      </c>
      <c r="AL1216">
        <f>IFERROR(INDEX(PP_Grid[#Data],$DD1216,36),0)</f>
        <v/>
      </c>
      <c r="AM1216">
        <f>IFERROR(INDEX(PP_Grid[#Data],$DD1216,37),0)</f>
        <v/>
      </c>
      <c r="AN1216">
        <f>IFERROR(INDEX(PP_Grid[#Data],$DD1216,38),0)</f>
        <v/>
      </c>
      <c r="AO1216">
        <f>IFERROR(INDEX(PP_Grid[#Data],$DD1216,39),0)</f>
        <v/>
      </c>
      <c r="AP1216">
        <f>IFERROR(INDEX(PP_Grid[#Data],$DD1216,40),0)</f>
        <v/>
      </c>
      <c r="AQ1216">
        <f>IFERROR(INDEX(PP_Grid[#Data],$DD1216,41),0)</f>
        <v/>
      </c>
      <c r="AR1216">
        <f>IFERROR(INDEX(PP_Grid[#Data],$DD1216,42),0)</f>
        <v/>
      </c>
      <c r="AS1216">
        <f>IFERROR(INDEX(PP_Grid[#Data],$DD1216,43),0)</f>
        <v/>
      </c>
      <c r="AT1216">
        <f>IFERROR(INDEX(PP_Grid[#Data],$DD1216,44),0)</f>
        <v/>
      </c>
      <c r="AU1216">
        <f>IFERROR(INDEX(PP_Grid[#Data],$DD1216,45),0)</f>
        <v/>
      </c>
      <c r="AV1216">
        <f>IFERROR(INDEX(PP_Grid[#Data],$DD1216,46),0)</f>
        <v/>
      </c>
      <c r="AW1216">
        <f>IFERROR(INDEX(PP_Grid[#Data],$DD1216,47),0)</f>
        <v/>
      </c>
      <c r="AX1216">
        <f>IFERROR(INDEX(PP_Grid[#Data],$DD1216,48),0)</f>
        <v/>
      </c>
      <c r="AY1216">
        <f>IFERROR(INDEX(PP_Grid[#Data],$DD1216,49),0)</f>
        <v/>
      </c>
      <c r="AZ1216">
        <f>IFERROR(INDEX(PP_Grid[#Data],$DD1216,50),0)</f>
        <v/>
      </c>
      <c r="BA1216">
        <f>IFERROR(INDEX(PP_Grid[#Data],$DD1216,51),0)</f>
        <v/>
      </c>
      <c r="BB1216">
        <f>IFERROR(INDEX(PP_Grid[#Data],$DD1216,52),0)</f>
        <v/>
      </c>
      <c r="BC1216">
        <f>IFERROR(INDEX(PP_Grid[#Data],$DD1216,53),0)</f>
        <v/>
      </c>
      <c r="BD1216">
        <f>IFERROR(INDEX(PP_Grid[#Data],$DD1216,54),0)</f>
        <v/>
      </c>
      <c r="BE1216">
        <f>IFERROR(INDEX(PP_Grid[#Data],$DD1216,55),0)</f>
        <v/>
      </c>
      <c r="BF1216">
        <f>IFERROR(INDEX(PP_Grid[#Data],$DD1216,56),0)</f>
        <v/>
      </c>
      <c r="BG1216">
        <f>IFERROR(INDEX(PP_Grid[#Data],$DD1216,57),0)</f>
        <v/>
      </c>
      <c r="BH1216">
        <f>IFERROR(INDEX(PP_Grid[#Data],$DD1216,58),0)</f>
        <v/>
      </c>
      <c r="BI1216">
        <f>IFERROR(INDEX(PP_Grid[#Data],$DD1216,59),0)</f>
        <v/>
      </c>
      <c r="BJ1216">
        <f>IFERROR(INDEX(PP_Grid[#Data],$DD1216,60),0)</f>
        <v/>
      </c>
      <c r="BK1216">
        <f>IFERROR(INDEX(PP_Grid[#Data],$DD1216,61),0)</f>
        <v/>
      </c>
      <c r="BL1216">
        <f>IFERROR(INDEX(PP_Grid[#Data],$DD1216,62),0)</f>
        <v/>
      </c>
      <c r="BM1216">
        <f>IFERROR(INDEX(PP_Grid[#Data],$DD1216,63),0)</f>
        <v/>
      </c>
      <c r="BN1216">
        <f>IFERROR(INDEX(PP_Grid[#Data],$DD1216,64),0)</f>
        <v/>
      </c>
      <c r="BO1216">
        <f>IFERROR(INDEX(PP_Grid[#Data],$DD1216,65),0)</f>
        <v/>
      </c>
      <c r="BP1216">
        <f>IFERROR(INDEX(PP_Grid[#Data],$DD1216,66),0)</f>
        <v/>
      </c>
      <c r="BQ1216">
        <f>IFERROR(INDEX(PP_Grid[#Data],$DD1216,67),0)</f>
        <v/>
      </c>
      <c r="BR1216">
        <f>IFERROR(INDEX(PP_Grid[#Data],$DD1216,68),0)</f>
        <v/>
      </c>
      <c r="BS1216">
        <f>IFERROR(INDEX(PP_Grid[#Data],$DD1216,69),0)</f>
        <v/>
      </c>
      <c r="BT1216">
        <f>IFERROR(INDEX(PP_Grid[#Data],$DD1216,70),0)</f>
        <v/>
      </c>
      <c r="BU1216">
        <f>IFERROR(INDEX(PP_Grid[#Data],$DD1216,71),0)</f>
        <v/>
      </c>
      <c r="BV1216">
        <f>IFERROR(INDEX(PP_Grid[#Data],$DD1216,72),0)</f>
        <v/>
      </c>
      <c r="BW1216">
        <f>IFERROR(INDEX(PP_Grid[#Data],$DD1216,73),0)</f>
        <v/>
      </c>
      <c r="BX1216">
        <f>IFERROR(INDEX(PP_Grid[#Data],$DD1216,74),0)</f>
        <v/>
      </c>
      <c r="BY1216">
        <f>IFERROR(INDEX(PP_Grid[#Data],$DD1216,75),0)</f>
        <v/>
      </c>
      <c r="BZ1216">
        <f>IFERROR(INDEX(PP_Grid[#Data],$DD1216,76),0)</f>
        <v/>
      </c>
      <c r="CA1216">
        <f>IFERROR(INDEX(PP_Grid[#Data],$DD1216,77),0)</f>
        <v/>
      </c>
      <c r="CB1216">
        <f>IFERROR(INDEX(PP_Grid[#Data],$DD1216,78),0)</f>
        <v/>
      </c>
      <c r="CC1216">
        <f>IFERROR(INDEX(PP_Grid[#Data],$DD1216,79),0)</f>
        <v/>
      </c>
      <c r="CD1216">
        <f>IFERROR(INDEX(PP_Grid[#Data],$DD1216,80),0)</f>
        <v/>
      </c>
      <c r="CE1216">
        <f>IFERROR(INDEX(PP_Grid[#Data],$DD1216,81),0)</f>
        <v/>
      </c>
      <c r="CF1216">
        <f>IFERROR(INDEX(PP_Grid[#Data],$DD1216,82),0)</f>
        <v/>
      </c>
      <c r="CG1216">
        <f>IFERROR(INDEX(PP_Grid[#Data],$DD1216,83),0)</f>
        <v/>
      </c>
      <c r="CH1216">
        <f>IFERROR(INDEX(PP_Grid[#Data],$DD1216,84),0)</f>
        <v/>
      </c>
      <c r="CI1216">
        <f>IFERROR(INDEX(PP_Grid[#Data],$DD1216,85),0)</f>
        <v/>
      </c>
      <c r="CJ1216">
        <f>IFERROR(INDEX(PP_Grid[#Data],$DD1216,86),0)</f>
        <v/>
      </c>
      <c r="CK1216">
        <f>IFERROR(INDEX(PP_Grid[#Data],$DD1216,87),0)</f>
        <v/>
      </c>
      <c r="CL1216">
        <f>IFERROR(INDEX(PP_Grid[#Data],$DD1216,88),0)</f>
        <v/>
      </c>
      <c r="CM1216">
        <f>IFERROR(INDEX(PP_Grid[#Data],$DD1216,89),0)</f>
        <v/>
      </c>
      <c r="CN1216">
        <f>IFERROR(INDEX(PP_Grid[#Data],$DD1216,90),0)</f>
        <v/>
      </c>
      <c r="CO1216">
        <f>IFERROR(INDEX(PP_Grid[#Data],$DD1216,91),0)</f>
        <v/>
      </c>
      <c r="CP1216">
        <f>IFERROR(INDEX(PP_Grid[#Data],$DD1216,92),0)</f>
        <v/>
      </c>
      <c r="CQ1216">
        <f>IFERROR(INDEX(PP_Grid[#Data],$DD1216,93),0)</f>
        <v/>
      </c>
      <c r="CR1216">
        <f>IFERROR(INDEX(PP_Grid[#Data],$DD1216,94),0)</f>
        <v/>
      </c>
      <c r="CS1216">
        <f>IFERROR(INDEX(PP_Grid[#Data],$DD1216,95),0)</f>
        <v/>
      </c>
      <c r="CT1216">
        <f>IFERROR(INDEX(PP_Grid[#Data],$DD1216,96),0)</f>
        <v/>
      </c>
      <c r="CU1216">
        <f>IFERROR(INDEX(PP_Grid[#Data],$DD1216,97),0)</f>
        <v/>
      </c>
      <c r="CV1216">
        <f>IFERROR(INDEX(PP_Grid[#Data],$DD1216,98),0)</f>
        <v/>
      </c>
      <c r="CW1216">
        <f>IFERROR(INDEX(PP_Grid[#Data],$DD1216,99),0)</f>
        <v/>
      </c>
      <c r="CX1216">
        <f>IFERROR(INDEX(PP_Grid[#Data],$DD1216,100),0)</f>
        <v/>
      </c>
      <c r="CY1216">
        <f>IFERROR(INDEX(PP_Grid[#Data],$DD1216,101),0)</f>
        <v/>
      </c>
      <c r="CZ1216">
        <f>IFERROR(INDEX(PP_Grid[#Data],$DD1216,102),0)</f>
        <v/>
      </c>
      <c r="DA1216">
        <f>IFERROR(INDEX(PP_Grid[#Data],$DD1216,103),0)</f>
        <v/>
      </c>
      <c r="DB1216">
        <f>IFERROR(INDEX(PP_Grid[#Data],$DD1216,104),0)</f>
        <v/>
      </c>
      <c r="DC1216">
        <f>IFERROR(INDEX(PP_Grid[#Data],$DD1216,105),0)</f>
        <v/>
      </c>
      <c r="DD1216" s="12">
        <f>IFERROR(MATCH($B1216,PP_Grid[Intermediate],0),99999)</f>
        <v/>
      </c>
    </row>
    <row r="1217">
      <c r="B1217" t="inlineStr">
        <is>
          <t>使用量(kg)</t>
        </is>
      </c>
      <c r="C1217">
        <f>SUMIFS(M_BOM[RM_Qty_Per_Batch],M_BOM[Intermediate],$B1216,M_BOM[Part Name],$A1213)</f>
        <v/>
      </c>
      <c r="D1217">
        <f>$C1217*D1216</f>
        <v/>
      </c>
      <c r="E1217">
        <f>$C1217*E1216</f>
        <v/>
      </c>
      <c r="F1217">
        <f>$C1217*F1216</f>
        <v/>
      </c>
      <c r="G1217">
        <f>$C1217*G1216</f>
        <v/>
      </c>
      <c r="H1217">
        <f>$C1217*H1216</f>
        <v/>
      </c>
      <c r="I1217">
        <f>$C1217*I1216</f>
        <v/>
      </c>
      <c r="J1217">
        <f>$C1217*J1216</f>
        <v/>
      </c>
      <c r="K1217">
        <f>$C1217*K1216</f>
        <v/>
      </c>
      <c r="L1217">
        <f>$C1217*L1216</f>
        <v/>
      </c>
      <c r="M1217">
        <f>$C1217*M1216</f>
        <v/>
      </c>
      <c r="N1217">
        <f>$C1217*N1216</f>
        <v/>
      </c>
      <c r="O1217">
        <f>$C1217*O1216</f>
        <v/>
      </c>
      <c r="P1217">
        <f>$C1217*P1216</f>
        <v/>
      </c>
      <c r="Q1217">
        <f>$C1217*Q1216</f>
        <v/>
      </c>
      <c r="R1217">
        <f>$C1217*R1216</f>
        <v/>
      </c>
      <c r="S1217">
        <f>$C1217*S1216</f>
        <v/>
      </c>
      <c r="T1217">
        <f>$C1217*T1216</f>
        <v/>
      </c>
      <c r="U1217">
        <f>$C1217*U1216</f>
        <v/>
      </c>
      <c r="V1217">
        <f>$C1217*V1216</f>
        <v/>
      </c>
      <c r="W1217">
        <f>$C1217*W1216</f>
        <v/>
      </c>
      <c r="X1217">
        <f>$C1217*X1216</f>
        <v/>
      </c>
      <c r="Y1217">
        <f>$C1217*Y1216</f>
        <v/>
      </c>
      <c r="Z1217">
        <f>$C1217*Z1216</f>
        <v/>
      </c>
      <c r="AA1217">
        <f>$C1217*AA1216</f>
        <v/>
      </c>
      <c r="AB1217">
        <f>$C1217*AB1216</f>
        <v/>
      </c>
      <c r="AC1217">
        <f>$C1217*AC1216</f>
        <v/>
      </c>
      <c r="AD1217">
        <f>$C1217*AD1216</f>
        <v/>
      </c>
      <c r="AE1217">
        <f>$C1217*AE1216</f>
        <v/>
      </c>
      <c r="AF1217">
        <f>$C1217*AF1216</f>
        <v/>
      </c>
      <c r="AG1217">
        <f>$C1217*AG1216</f>
        <v/>
      </c>
      <c r="AH1217">
        <f>$C1217*AH1216</f>
        <v/>
      </c>
      <c r="AI1217">
        <f>$C1217*AI1216</f>
        <v/>
      </c>
      <c r="AJ1217">
        <f>$C1217*AJ1216</f>
        <v/>
      </c>
      <c r="AK1217">
        <f>$C1217*AK1216</f>
        <v/>
      </c>
      <c r="AL1217">
        <f>$C1217*AL1216</f>
        <v/>
      </c>
      <c r="AM1217">
        <f>$C1217*AM1216</f>
        <v/>
      </c>
      <c r="AN1217">
        <f>$C1217*AN1216</f>
        <v/>
      </c>
      <c r="AO1217">
        <f>$C1217*AO1216</f>
        <v/>
      </c>
      <c r="AP1217">
        <f>$C1217*AP1216</f>
        <v/>
      </c>
      <c r="AQ1217">
        <f>$C1217*AQ1216</f>
        <v/>
      </c>
      <c r="AR1217">
        <f>$C1217*AR1216</f>
        <v/>
      </c>
      <c r="AS1217">
        <f>$C1217*AS1216</f>
        <v/>
      </c>
      <c r="AT1217">
        <f>$C1217*AT1216</f>
        <v/>
      </c>
      <c r="AU1217">
        <f>$C1217*AU1216</f>
        <v/>
      </c>
      <c r="AV1217">
        <f>$C1217*AV1216</f>
        <v/>
      </c>
      <c r="AW1217">
        <f>$C1217*AW1216</f>
        <v/>
      </c>
      <c r="AX1217">
        <f>$C1217*AX1216</f>
        <v/>
      </c>
      <c r="AY1217">
        <f>$C1217*AY1216</f>
        <v/>
      </c>
      <c r="AZ1217">
        <f>$C1217*AZ1216</f>
        <v/>
      </c>
      <c r="BA1217">
        <f>$C1217*BA1216</f>
        <v/>
      </c>
      <c r="BB1217">
        <f>$C1217*BB1216</f>
        <v/>
      </c>
      <c r="BC1217">
        <f>$C1217*BC1216</f>
        <v/>
      </c>
      <c r="BD1217">
        <f>$C1217*BD1216</f>
        <v/>
      </c>
      <c r="BE1217">
        <f>$C1217*BE1216</f>
        <v/>
      </c>
      <c r="BF1217">
        <f>$C1217*BF1216</f>
        <v/>
      </c>
      <c r="BG1217">
        <f>$C1217*BG1216</f>
        <v/>
      </c>
      <c r="BH1217">
        <f>$C1217*BH1216</f>
        <v/>
      </c>
      <c r="BI1217">
        <f>$C1217*BI1216</f>
        <v/>
      </c>
      <c r="BJ1217">
        <f>$C1217*BJ1216</f>
        <v/>
      </c>
      <c r="BK1217">
        <f>$C1217*BK1216</f>
        <v/>
      </c>
      <c r="BL1217">
        <f>$C1217*BL1216</f>
        <v/>
      </c>
      <c r="BM1217">
        <f>$C1217*BM1216</f>
        <v/>
      </c>
      <c r="BN1217">
        <f>$C1217*BN1216</f>
        <v/>
      </c>
      <c r="BO1217">
        <f>$C1217*BO1216</f>
        <v/>
      </c>
      <c r="BP1217">
        <f>$C1217*BP1216</f>
        <v/>
      </c>
      <c r="BQ1217">
        <f>$C1217*BQ1216</f>
        <v/>
      </c>
      <c r="BR1217">
        <f>$C1217*BR1216</f>
        <v/>
      </c>
      <c r="BS1217">
        <f>$C1217*BS1216</f>
        <v/>
      </c>
      <c r="BT1217">
        <f>$C1217*BT1216</f>
        <v/>
      </c>
      <c r="BU1217">
        <f>$C1217*BU1216</f>
        <v/>
      </c>
      <c r="BV1217">
        <f>$C1217*BV1216</f>
        <v/>
      </c>
      <c r="BW1217">
        <f>$C1217*BW1216</f>
        <v/>
      </c>
      <c r="BX1217">
        <f>$C1217*BX1216</f>
        <v/>
      </c>
      <c r="BY1217">
        <f>$C1217*BY1216</f>
        <v/>
      </c>
      <c r="BZ1217">
        <f>$C1217*BZ1216</f>
        <v/>
      </c>
      <c r="CA1217">
        <f>$C1217*CA1216</f>
        <v/>
      </c>
      <c r="CB1217">
        <f>$C1217*CB1216</f>
        <v/>
      </c>
      <c r="CC1217">
        <f>$C1217*CC1216</f>
        <v/>
      </c>
      <c r="CD1217">
        <f>$C1217*CD1216</f>
        <v/>
      </c>
      <c r="CE1217">
        <f>$C1217*CE1216</f>
        <v/>
      </c>
      <c r="CF1217">
        <f>$C1217*CF1216</f>
        <v/>
      </c>
      <c r="CG1217">
        <f>$C1217*CG1216</f>
        <v/>
      </c>
      <c r="CH1217">
        <f>$C1217*CH1216</f>
        <v/>
      </c>
      <c r="CI1217">
        <f>$C1217*CI1216</f>
        <v/>
      </c>
      <c r="CJ1217">
        <f>$C1217*CJ1216</f>
        <v/>
      </c>
      <c r="CK1217">
        <f>$C1217*CK1216</f>
        <v/>
      </c>
      <c r="CL1217">
        <f>$C1217*CL1216</f>
        <v/>
      </c>
      <c r="CM1217">
        <f>$C1217*CM1216</f>
        <v/>
      </c>
      <c r="CN1217">
        <f>$C1217*CN1216</f>
        <v/>
      </c>
      <c r="CO1217">
        <f>$C1217*CO1216</f>
        <v/>
      </c>
      <c r="CP1217">
        <f>$C1217*CP1216</f>
        <v/>
      </c>
      <c r="CQ1217">
        <f>$C1217*CQ1216</f>
        <v/>
      </c>
      <c r="CR1217">
        <f>$C1217*CR1216</f>
        <v/>
      </c>
      <c r="CS1217">
        <f>$C1217*CS1216</f>
        <v/>
      </c>
      <c r="CT1217">
        <f>$C1217*CT1216</f>
        <v/>
      </c>
      <c r="CU1217">
        <f>$C1217*CU1216</f>
        <v/>
      </c>
      <c r="CV1217">
        <f>$C1217*CV1216</f>
        <v/>
      </c>
      <c r="CW1217">
        <f>$C1217*CW1216</f>
        <v/>
      </c>
      <c r="CX1217">
        <f>$C1217*CX1216</f>
        <v/>
      </c>
      <c r="CY1217">
        <f>$C1217*CY1216</f>
        <v/>
      </c>
      <c r="CZ1217">
        <f>$C1217*CZ1216</f>
        <v/>
      </c>
      <c r="DA1217">
        <f>$C1217*DA1216</f>
        <v/>
      </c>
      <c r="DB1217">
        <f>$C1217*DB1216</f>
        <v/>
      </c>
      <c r="DC1217">
        <f>$C1217*DC1216</f>
        <v/>
      </c>
    </row>
    <row r="1218">
      <c r="B1218" t="inlineStr">
        <is>
          <t>TSP-1446</t>
        </is>
      </c>
      <c r="C1218" t="inlineStr">
        <is>
          <t>No. of batches</t>
        </is>
      </c>
      <c r="D1218">
        <f>IFERROR(INDEX(PP_Grid[#Data],$DD1218,2),0)</f>
        <v/>
      </c>
      <c r="E1218">
        <f>IFERROR(INDEX(PP_Grid[#Data],$DD1218,3),0)</f>
        <v/>
      </c>
      <c r="F1218">
        <f>IFERROR(INDEX(PP_Grid[#Data],$DD1218,4),0)</f>
        <v/>
      </c>
      <c r="G1218">
        <f>IFERROR(INDEX(PP_Grid[#Data],$DD1218,5),0)</f>
        <v/>
      </c>
      <c r="H1218">
        <f>IFERROR(INDEX(PP_Grid[#Data],$DD1218,6),0)</f>
        <v/>
      </c>
      <c r="I1218">
        <f>IFERROR(INDEX(PP_Grid[#Data],$DD1218,7),0)</f>
        <v/>
      </c>
      <c r="J1218">
        <f>IFERROR(INDEX(PP_Grid[#Data],$DD1218,8),0)</f>
        <v/>
      </c>
      <c r="K1218">
        <f>IFERROR(INDEX(PP_Grid[#Data],$DD1218,9),0)</f>
        <v/>
      </c>
      <c r="L1218">
        <f>IFERROR(INDEX(PP_Grid[#Data],$DD1218,10),0)</f>
        <v/>
      </c>
      <c r="M1218">
        <f>IFERROR(INDEX(PP_Grid[#Data],$DD1218,11),0)</f>
        <v/>
      </c>
      <c r="N1218">
        <f>IFERROR(INDEX(PP_Grid[#Data],$DD1218,12),0)</f>
        <v/>
      </c>
      <c r="O1218">
        <f>IFERROR(INDEX(PP_Grid[#Data],$DD1218,13),0)</f>
        <v/>
      </c>
      <c r="P1218">
        <f>IFERROR(INDEX(PP_Grid[#Data],$DD1218,14),0)</f>
        <v/>
      </c>
      <c r="Q1218">
        <f>IFERROR(INDEX(PP_Grid[#Data],$DD1218,15),0)</f>
        <v/>
      </c>
      <c r="R1218">
        <f>IFERROR(INDEX(PP_Grid[#Data],$DD1218,16),0)</f>
        <v/>
      </c>
      <c r="S1218">
        <f>IFERROR(INDEX(PP_Grid[#Data],$DD1218,17),0)</f>
        <v/>
      </c>
      <c r="T1218">
        <f>IFERROR(INDEX(PP_Grid[#Data],$DD1218,18),0)</f>
        <v/>
      </c>
      <c r="U1218">
        <f>IFERROR(INDEX(PP_Grid[#Data],$DD1218,19),0)</f>
        <v/>
      </c>
      <c r="V1218">
        <f>IFERROR(INDEX(PP_Grid[#Data],$DD1218,20),0)</f>
        <v/>
      </c>
      <c r="W1218">
        <f>IFERROR(INDEX(PP_Grid[#Data],$DD1218,21),0)</f>
        <v/>
      </c>
      <c r="X1218">
        <f>IFERROR(INDEX(PP_Grid[#Data],$DD1218,22),0)</f>
        <v/>
      </c>
      <c r="Y1218">
        <f>IFERROR(INDEX(PP_Grid[#Data],$DD1218,23),0)</f>
        <v/>
      </c>
      <c r="Z1218">
        <f>IFERROR(INDEX(PP_Grid[#Data],$DD1218,24),0)</f>
        <v/>
      </c>
      <c r="AA1218">
        <f>IFERROR(INDEX(PP_Grid[#Data],$DD1218,25),0)</f>
        <v/>
      </c>
      <c r="AB1218">
        <f>IFERROR(INDEX(PP_Grid[#Data],$DD1218,26),0)</f>
        <v/>
      </c>
      <c r="AC1218">
        <f>IFERROR(INDEX(PP_Grid[#Data],$DD1218,27),0)</f>
        <v/>
      </c>
      <c r="AD1218">
        <f>IFERROR(INDEX(PP_Grid[#Data],$DD1218,28),0)</f>
        <v/>
      </c>
      <c r="AE1218">
        <f>IFERROR(INDEX(PP_Grid[#Data],$DD1218,29),0)</f>
        <v/>
      </c>
      <c r="AF1218">
        <f>IFERROR(INDEX(PP_Grid[#Data],$DD1218,30),0)</f>
        <v/>
      </c>
      <c r="AG1218">
        <f>IFERROR(INDEX(PP_Grid[#Data],$DD1218,31),0)</f>
        <v/>
      </c>
      <c r="AH1218">
        <f>IFERROR(INDEX(PP_Grid[#Data],$DD1218,32),0)</f>
        <v/>
      </c>
      <c r="AI1218">
        <f>IFERROR(INDEX(PP_Grid[#Data],$DD1218,33),0)</f>
        <v/>
      </c>
      <c r="AJ1218">
        <f>IFERROR(INDEX(PP_Grid[#Data],$DD1218,34),0)</f>
        <v/>
      </c>
      <c r="AK1218">
        <f>IFERROR(INDEX(PP_Grid[#Data],$DD1218,35),0)</f>
        <v/>
      </c>
      <c r="AL1218">
        <f>IFERROR(INDEX(PP_Grid[#Data],$DD1218,36),0)</f>
        <v/>
      </c>
      <c r="AM1218">
        <f>IFERROR(INDEX(PP_Grid[#Data],$DD1218,37),0)</f>
        <v/>
      </c>
      <c r="AN1218">
        <f>IFERROR(INDEX(PP_Grid[#Data],$DD1218,38),0)</f>
        <v/>
      </c>
      <c r="AO1218">
        <f>IFERROR(INDEX(PP_Grid[#Data],$DD1218,39),0)</f>
        <v/>
      </c>
      <c r="AP1218">
        <f>IFERROR(INDEX(PP_Grid[#Data],$DD1218,40),0)</f>
        <v/>
      </c>
      <c r="AQ1218">
        <f>IFERROR(INDEX(PP_Grid[#Data],$DD1218,41),0)</f>
        <v/>
      </c>
      <c r="AR1218">
        <f>IFERROR(INDEX(PP_Grid[#Data],$DD1218,42),0)</f>
        <v/>
      </c>
      <c r="AS1218">
        <f>IFERROR(INDEX(PP_Grid[#Data],$DD1218,43),0)</f>
        <v/>
      </c>
      <c r="AT1218">
        <f>IFERROR(INDEX(PP_Grid[#Data],$DD1218,44),0)</f>
        <v/>
      </c>
      <c r="AU1218">
        <f>IFERROR(INDEX(PP_Grid[#Data],$DD1218,45),0)</f>
        <v/>
      </c>
      <c r="AV1218">
        <f>IFERROR(INDEX(PP_Grid[#Data],$DD1218,46),0)</f>
        <v/>
      </c>
      <c r="AW1218">
        <f>IFERROR(INDEX(PP_Grid[#Data],$DD1218,47),0)</f>
        <v/>
      </c>
      <c r="AX1218">
        <f>IFERROR(INDEX(PP_Grid[#Data],$DD1218,48),0)</f>
        <v/>
      </c>
      <c r="AY1218">
        <f>IFERROR(INDEX(PP_Grid[#Data],$DD1218,49),0)</f>
        <v/>
      </c>
      <c r="AZ1218">
        <f>IFERROR(INDEX(PP_Grid[#Data],$DD1218,50),0)</f>
        <v/>
      </c>
      <c r="BA1218">
        <f>IFERROR(INDEX(PP_Grid[#Data],$DD1218,51),0)</f>
        <v/>
      </c>
      <c r="BB1218">
        <f>IFERROR(INDEX(PP_Grid[#Data],$DD1218,52),0)</f>
        <v/>
      </c>
      <c r="BC1218">
        <f>IFERROR(INDEX(PP_Grid[#Data],$DD1218,53),0)</f>
        <v/>
      </c>
      <c r="BD1218">
        <f>IFERROR(INDEX(PP_Grid[#Data],$DD1218,54),0)</f>
        <v/>
      </c>
      <c r="BE1218">
        <f>IFERROR(INDEX(PP_Grid[#Data],$DD1218,55),0)</f>
        <v/>
      </c>
      <c r="BF1218">
        <f>IFERROR(INDEX(PP_Grid[#Data],$DD1218,56),0)</f>
        <v/>
      </c>
      <c r="BG1218">
        <f>IFERROR(INDEX(PP_Grid[#Data],$DD1218,57),0)</f>
        <v/>
      </c>
      <c r="BH1218">
        <f>IFERROR(INDEX(PP_Grid[#Data],$DD1218,58),0)</f>
        <v/>
      </c>
      <c r="BI1218">
        <f>IFERROR(INDEX(PP_Grid[#Data],$DD1218,59),0)</f>
        <v/>
      </c>
      <c r="BJ1218">
        <f>IFERROR(INDEX(PP_Grid[#Data],$DD1218,60),0)</f>
        <v/>
      </c>
      <c r="BK1218">
        <f>IFERROR(INDEX(PP_Grid[#Data],$DD1218,61),0)</f>
        <v/>
      </c>
      <c r="BL1218">
        <f>IFERROR(INDEX(PP_Grid[#Data],$DD1218,62),0)</f>
        <v/>
      </c>
      <c r="BM1218">
        <f>IFERROR(INDEX(PP_Grid[#Data],$DD1218,63),0)</f>
        <v/>
      </c>
      <c r="BN1218">
        <f>IFERROR(INDEX(PP_Grid[#Data],$DD1218,64),0)</f>
        <v/>
      </c>
      <c r="BO1218">
        <f>IFERROR(INDEX(PP_Grid[#Data],$DD1218,65),0)</f>
        <v/>
      </c>
      <c r="BP1218">
        <f>IFERROR(INDEX(PP_Grid[#Data],$DD1218,66),0)</f>
        <v/>
      </c>
      <c r="BQ1218">
        <f>IFERROR(INDEX(PP_Grid[#Data],$DD1218,67),0)</f>
        <v/>
      </c>
      <c r="BR1218">
        <f>IFERROR(INDEX(PP_Grid[#Data],$DD1218,68),0)</f>
        <v/>
      </c>
      <c r="BS1218">
        <f>IFERROR(INDEX(PP_Grid[#Data],$DD1218,69),0)</f>
        <v/>
      </c>
      <c r="BT1218">
        <f>IFERROR(INDEX(PP_Grid[#Data],$DD1218,70),0)</f>
        <v/>
      </c>
      <c r="BU1218">
        <f>IFERROR(INDEX(PP_Grid[#Data],$DD1218,71),0)</f>
        <v/>
      </c>
      <c r="BV1218">
        <f>IFERROR(INDEX(PP_Grid[#Data],$DD1218,72),0)</f>
        <v/>
      </c>
      <c r="BW1218">
        <f>IFERROR(INDEX(PP_Grid[#Data],$DD1218,73),0)</f>
        <v/>
      </c>
      <c r="BX1218">
        <f>IFERROR(INDEX(PP_Grid[#Data],$DD1218,74),0)</f>
        <v/>
      </c>
      <c r="BY1218">
        <f>IFERROR(INDEX(PP_Grid[#Data],$DD1218,75),0)</f>
        <v/>
      </c>
      <c r="BZ1218">
        <f>IFERROR(INDEX(PP_Grid[#Data],$DD1218,76),0)</f>
        <v/>
      </c>
      <c r="CA1218">
        <f>IFERROR(INDEX(PP_Grid[#Data],$DD1218,77),0)</f>
        <v/>
      </c>
      <c r="CB1218">
        <f>IFERROR(INDEX(PP_Grid[#Data],$DD1218,78),0)</f>
        <v/>
      </c>
      <c r="CC1218">
        <f>IFERROR(INDEX(PP_Grid[#Data],$DD1218,79),0)</f>
        <v/>
      </c>
      <c r="CD1218">
        <f>IFERROR(INDEX(PP_Grid[#Data],$DD1218,80),0)</f>
        <v/>
      </c>
      <c r="CE1218">
        <f>IFERROR(INDEX(PP_Grid[#Data],$DD1218,81),0)</f>
        <v/>
      </c>
      <c r="CF1218">
        <f>IFERROR(INDEX(PP_Grid[#Data],$DD1218,82),0)</f>
        <v/>
      </c>
      <c r="CG1218">
        <f>IFERROR(INDEX(PP_Grid[#Data],$DD1218,83),0)</f>
        <v/>
      </c>
      <c r="CH1218">
        <f>IFERROR(INDEX(PP_Grid[#Data],$DD1218,84),0)</f>
        <v/>
      </c>
      <c r="CI1218">
        <f>IFERROR(INDEX(PP_Grid[#Data],$DD1218,85),0)</f>
        <v/>
      </c>
      <c r="CJ1218">
        <f>IFERROR(INDEX(PP_Grid[#Data],$DD1218,86),0)</f>
        <v/>
      </c>
      <c r="CK1218">
        <f>IFERROR(INDEX(PP_Grid[#Data],$DD1218,87),0)</f>
        <v/>
      </c>
      <c r="CL1218">
        <f>IFERROR(INDEX(PP_Grid[#Data],$DD1218,88),0)</f>
        <v/>
      </c>
      <c r="CM1218">
        <f>IFERROR(INDEX(PP_Grid[#Data],$DD1218,89),0)</f>
        <v/>
      </c>
      <c r="CN1218">
        <f>IFERROR(INDEX(PP_Grid[#Data],$DD1218,90),0)</f>
        <v/>
      </c>
      <c r="CO1218">
        <f>IFERROR(INDEX(PP_Grid[#Data],$DD1218,91),0)</f>
        <v/>
      </c>
      <c r="CP1218">
        <f>IFERROR(INDEX(PP_Grid[#Data],$DD1218,92),0)</f>
        <v/>
      </c>
      <c r="CQ1218">
        <f>IFERROR(INDEX(PP_Grid[#Data],$DD1218,93),0)</f>
        <v/>
      </c>
      <c r="CR1218">
        <f>IFERROR(INDEX(PP_Grid[#Data],$DD1218,94),0)</f>
        <v/>
      </c>
      <c r="CS1218">
        <f>IFERROR(INDEX(PP_Grid[#Data],$DD1218,95),0)</f>
        <v/>
      </c>
      <c r="CT1218">
        <f>IFERROR(INDEX(PP_Grid[#Data],$DD1218,96),0)</f>
        <v/>
      </c>
      <c r="CU1218">
        <f>IFERROR(INDEX(PP_Grid[#Data],$DD1218,97),0)</f>
        <v/>
      </c>
      <c r="CV1218">
        <f>IFERROR(INDEX(PP_Grid[#Data],$DD1218,98),0)</f>
        <v/>
      </c>
      <c r="CW1218">
        <f>IFERROR(INDEX(PP_Grid[#Data],$DD1218,99),0)</f>
        <v/>
      </c>
      <c r="CX1218">
        <f>IFERROR(INDEX(PP_Grid[#Data],$DD1218,100),0)</f>
        <v/>
      </c>
      <c r="CY1218">
        <f>IFERROR(INDEX(PP_Grid[#Data],$DD1218,101),0)</f>
        <v/>
      </c>
      <c r="CZ1218">
        <f>IFERROR(INDEX(PP_Grid[#Data],$DD1218,102),0)</f>
        <v/>
      </c>
      <c r="DA1218">
        <f>IFERROR(INDEX(PP_Grid[#Data],$DD1218,103),0)</f>
        <v/>
      </c>
      <c r="DB1218">
        <f>IFERROR(INDEX(PP_Grid[#Data],$DD1218,104),0)</f>
        <v/>
      </c>
      <c r="DC1218">
        <f>IFERROR(INDEX(PP_Grid[#Data],$DD1218,105),0)</f>
        <v/>
      </c>
      <c r="DD1218" s="12">
        <f>IFERROR(MATCH($B1218,PP_Grid[Intermediate],0),99999)</f>
        <v/>
      </c>
    </row>
    <row r="1219">
      <c r="B1219" t="inlineStr">
        <is>
          <t>使用量(kg)</t>
        </is>
      </c>
      <c r="C1219">
        <f>SUMIFS(M_BOM[RM_Qty_Per_Batch],M_BOM[Intermediate],$B1218,M_BOM[Part Name],$A1213)</f>
        <v/>
      </c>
      <c r="D1219">
        <f>$C1219*D1218</f>
        <v/>
      </c>
      <c r="E1219">
        <f>$C1219*E1218</f>
        <v/>
      </c>
      <c r="F1219">
        <f>$C1219*F1218</f>
        <v/>
      </c>
      <c r="G1219">
        <f>$C1219*G1218</f>
        <v/>
      </c>
      <c r="H1219">
        <f>$C1219*H1218</f>
        <v/>
      </c>
      <c r="I1219">
        <f>$C1219*I1218</f>
        <v/>
      </c>
      <c r="J1219">
        <f>$C1219*J1218</f>
        <v/>
      </c>
      <c r="K1219">
        <f>$C1219*K1218</f>
        <v/>
      </c>
      <c r="L1219">
        <f>$C1219*L1218</f>
        <v/>
      </c>
      <c r="M1219">
        <f>$C1219*M1218</f>
        <v/>
      </c>
      <c r="N1219">
        <f>$C1219*N1218</f>
        <v/>
      </c>
      <c r="O1219">
        <f>$C1219*O1218</f>
        <v/>
      </c>
      <c r="P1219">
        <f>$C1219*P1218</f>
        <v/>
      </c>
      <c r="Q1219">
        <f>$C1219*Q1218</f>
        <v/>
      </c>
      <c r="R1219">
        <f>$C1219*R1218</f>
        <v/>
      </c>
      <c r="S1219">
        <f>$C1219*S1218</f>
        <v/>
      </c>
      <c r="T1219">
        <f>$C1219*T1218</f>
        <v/>
      </c>
      <c r="U1219">
        <f>$C1219*U1218</f>
        <v/>
      </c>
      <c r="V1219">
        <f>$C1219*V1218</f>
        <v/>
      </c>
      <c r="W1219">
        <f>$C1219*W1218</f>
        <v/>
      </c>
      <c r="X1219">
        <f>$C1219*X1218</f>
        <v/>
      </c>
      <c r="Y1219">
        <f>$C1219*Y1218</f>
        <v/>
      </c>
      <c r="Z1219">
        <f>$C1219*Z1218</f>
        <v/>
      </c>
      <c r="AA1219">
        <f>$C1219*AA1218</f>
        <v/>
      </c>
      <c r="AB1219">
        <f>$C1219*AB1218</f>
        <v/>
      </c>
      <c r="AC1219">
        <f>$C1219*AC1218</f>
        <v/>
      </c>
      <c r="AD1219">
        <f>$C1219*AD1218</f>
        <v/>
      </c>
      <c r="AE1219">
        <f>$C1219*AE1218</f>
        <v/>
      </c>
      <c r="AF1219">
        <f>$C1219*AF1218</f>
        <v/>
      </c>
      <c r="AG1219">
        <f>$C1219*AG1218</f>
        <v/>
      </c>
      <c r="AH1219">
        <f>$C1219*AH1218</f>
        <v/>
      </c>
      <c r="AI1219">
        <f>$C1219*AI1218</f>
        <v/>
      </c>
      <c r="AJ1219">
        <f>$C1219*AJ1218</f>
        <v/>
      </c>
      <c r="AK1219">
        <f>$C1219*AK1218</f>
        <v/>
      </c>
      <c r="AL1219">
        <f>$C1219*AL1218</f>
        <v/>
      </c>
      <c r="AM1219">
        <f>$C1219*AM1218</f>
        <v/>
      </c>
      <c r="AN1219">
        <f>$C1219*AN1218</f>
        <v/>
      </c>
      <c r="AO1219">
        <f>$C1219*AO1218</f>
        <v/>
      </c>
      <c r="AP1219">
        <f>$C1219*AP1218</f>
        <v/>
      </c>
      <c r="AQ1219">
        <f>$C1219*AQ1218</f>
        <v/>
      </c>
      <c r="AR1219">
        <f>$C1219*AR1218</f>
        <v/>
      </c>
      <c r="AS1219">
        <f>$C1219*AS1218</f>
        <v/>
      </c>
      <c r="AT1219">
        <f>$C1219*AT1218</f>
        <v/>
      </c>
      <c r="AU1219">
        <f>$C1219*AU1218</f>
        <v/>
      </c>
      <c r="AV1219">
        <f>$C1219*AV1218</f>
        <v/>
      </c>
      <c r="AW1219">
        <f>$C1219*AW1218</f>
        <v/>
      </c>
      <c r="AX1219">
        <f>$C1219*AX1218</f>
        <v/>
      </c>
      <c r="AY1219">
        <f>$C1219*AY1218</f>
        <v/>
      </c>
      <c r="AZ1219">
        <f>$C1219*AZ1218</f>
        <v/>
      </c>
      <c r="BA1219">
        <f>$C1219*BA1218</f>
        <v/>
      </c>
      <c r="BB1219">
        <f>$C1219*BB1218</f>
        <v/>
      </c>
      <c r="BC1219">
        <f>$C1219*BC1218</f>
        <v/>
      </c>
      <c r="BD1219">
        <f>$C1219*BD1218</f>
        <v/>
      </c>
      <c r="BE1219">
        <f>$C1219*BE1218</f>
        <v/>
      </c>
      <c r="BF1219">
        <f>$C1219*BF1218</f>
        <v/>
      </c>
      <c r="BG1219">
        <f>$C1219*BG1218</f>
        <v/>
      </c>
      <c r="BH1219">
        <f>$C1219*BH1218</f>
        <v/>
      </c>
      <c r="BI1219">
        <f>$C1219*BI1218</f>
        <v/>
      </c>
      <c r="BJ1219">
        <f>$C1219*BJ1218</f>
        <v/>
      </c>
      <c r="BK1219">
        <f>$C1219*BK1218</f>
        <v/>
      </c>
      <c r="BL1219">
        <f>$C1219*BL1218</f>
        <v/>
      </c>
      <c r="BM1219">
        <f>$C1219*BM1218</f>
        <v/>
      </c>
      <c r="BN1219">
        <f>$C1219*BN1218</f>
        <v/>
      </c>
      <c r="BO1219">
        <f>$C1219*BO1218</f>
        <v/>
      </c>
      <c r="BP1219">
        <f>$C1219*BP1218</f>
        <v/>
      </c>
      <c r="BQ1219">
        <f>$C1219*BQ1218</f>
        <v/>
      </c>
      <c r="BR1219">
        <f>$C1219*BR1218</f>
        <v/>
      </c>
      <c r="BS1219">
        <f>$C1219*BS1218</f>
        <v/>
      </c>
      <c r="BT1219">
        <f>$C1219*BT1218</f>
        <v/>
      </c>
      <c r="BU1219">
        <f>$C1219*BU1218</f>
        <v/>
      </c>
      <c r="BV1219">
        <f>$C1219*BV1218</f>
        <v/>
      </c>
      <c r="BW1219">
        <f>$C1219*BW1218</f>
        <v/>
      </c>
      <c r="BX1219">
        <f>$C1219*BX1218</f>
        <v/>
      </c>
      <c r="BY1219">
        <f>$C1219*BY1218</f>
        <v/>
      </c>
      <c r="BZ1219">
        <f>$C1219*BZ1218</f>
        <v/>
      </c>
      <c r="CA1219">
        <f>$C1219*CA1218</f>
        <v/>
      </c>
      <c r="CB1219">
        <f>$C1219*CB1218</f>
        <v/>
      </c>
      <c r="CC1219">
        <f>$C1219*CC1218</f>
        <v/>
      </c>
      <c r="CD1219">
        <f>$C1219*CD1218</f>
        <v/>
      </c>
      <c r="CE1219">
        <f>$C1219*CE1218</f>
        <v/>
      </c>
      <c r="CF1219">
        <f>$C1219*CF1218</f>
        <v/>
      </c>
      <c r="CG1219">
        <f>$C1219*CG1218</f>
        <v/>
      </c>
      <c r="CH1219">
        <f>$C1219*CH1218</f>
        <v/>
      </c>
      <c r="CI1219">
        <f>$C1219*CI1218</f>
        <v/>
      </c>
      <c r="CJ1219">
        <f>$C1219*CJ1218</f>
        <v/>
      </c>
      <c r="CK1219">
        <f>$C1219*CK1218</f>
        <v/>
      </c>
      <c r="CL1219">
        <f>$C1219*CL1218</f>
        <v/>
      </c>
      <c r="CM1219">
        <f>$C1219*CM1218</f>
        <v/>
      </c>
      <c r="CN1219">
        <f>$C1219*CN1218</f>
        <v/>
      </c>
      <c r="CO1219">
        <f>$C1219*CO1218</f>
        <v/>
      </c>
      <c r="CP1219">
        <f>$C1219*CP1218</f>
        <v/>
      </c>
      <c r="CQ1219">
        <f>$C1219*CQ1218</f>
        <v/>
      </c>
      <c r="CR1219">
        <f>$C1219*CR1218</f>
        <v/>
      </c>
      <c r="CS1219">
        <f>$C1219*CS1218</f>
        <v/>
      </c>
      <c r="CT1219">
        <f>$C1219*CT1218</f>
        <v/>
      </c>
      <c r="CU1219">
        <f>$C1219*CU1218</f>
        <v/>
      </c>
      <c r="CV1219">
        <f>$C1219*CV1218</f>
        <v/>
      </c>
      <c r="CW1219">
        <f>$C1219*CW1218</f>
        <v/>
      </c>
      <c r="CX1219">
        <f>$C1219*CX1218</f>
        <v/>
      </c>
      <c r="CY1219">
        <f>$C1219*CY1218</f>
        <v/>
      </c>
      <c r="CZ1219">
        <f>$C1219*CZ1218</f>
        <v/>
      </c>
      <c r="DA1219">
        <f>$C1219*DA1218</f>
        <v/>
      </c>
      <c r="DB1219">
        <f>$C1219*DB1218</f>
        <v/>
      </c>
      <c r="DC1219">
        <f>$C1219*DC1218</f>
        <v/>
      </c>
    </row>
    <row r="1220">
      <c r="B1220" t="inlineStr">
        <is>
          <t>TSP-1448</t>
        </is>
      </c>
      <c r="C1220" t="inlineStr">
        <is>
          <t>No. of batches</t>
        </is>
      </c>
      <c r="D1220">
        <f>IFERROR(INDEX(PP_Grid[#Data],$DD1220,2),0)</f>
        <v/>
      </c>
      <c r="E1220">
        <f>IFERROR(INDEX(PP_Grid[#Data],$DD1220,3),0)</f>
        <v/>
      </c>
      <c r="F1220">
        <f>IFERROR(INDEX(PP_Grid[#Data],$DD1220,4),0)</f>
        <v/>
      </c>
      <c r="G1220">
        <f>IFERROR(INDEX(PP_Grid[#Data],$DD1220,5),0)</f>
        <v/>
      </c>
      <c r="H1220">
        <f>IFERROR(INDEX(PP_Grid[#Data],$DD1220,6),0)</f>
        <v/>
      </c>
      <c r="I1220">
        <f>IFERROR(INDEX(PP_Grid[#Data],$DD1220,7),0)</f>
        <v/>
      </c>
      <c r="J1220">
        <f>IFERROR(INDEX(PP_Grid[#Data],$DD1220,8),0)</f>
        <v/>
      </c>
      <c r="K1220">
        <f>IFERROR(INDEX(PP_Grid[#Data],$DD1220,9),0)</f>
        <v/>
      </c>
      <c r="L1220">
        <f>IFERROR(INDEX(PP_Grid[#Data],$DD1220,10),0)</f>
        <v/>
      </c>
      <c r="M1220">
        <f>IFERROR(INDEX(PP_Grid[#Data],$DD1220,11),0)</f>
        <v/>
      </c>
      <c r="N1220">
        <f>IFERROR(INDEX(PP_Grid[#Data],$DD1220,12),0)</f>
        <v/>
      </c>
      <c r="O1220">
        <f>IFERROR(INDEX(PP_Grid[#Data],$DD1220,13),0)</f>
        <v/>
      </c>
      <c r="P1220">
        <f>IFERROR(INDEX(PP_Grid[#Data],$DD1220,14),0)</f>
        <v/>
      </c>
      <c r="Q1220">
        <f>IFERROR(INDEX(PP_Grid[#Data],$DD1220,15),0)</f>
        <v/>
      </c>
      <c r="R1220">
        <f>IFERROR(INDEX(PP_Grid[#Data],$DD1220,16),0)</f>
        <v/>
      </c>
      <c r="S1220">
        <f>IFERROR(INDEX(PP_Grid[#Data],$DD1220,17),0)</f>
        <v/>
      </c>
      <c r="T1220">
        <f>IFERROR(INDEX(PP_Grid[#Data],$DD1220,18),0)</f>
        <v/>
      </c>
      <c r="U1220">
        <f>IFERROR(INDEX(PP_Grid[#Data],$DD1220,19),0)</f>
        <v/>
      </c>
      <c r="V1220">
        <f>IFERROR(INDEX(PP_Grid[#Data],$DD1220,20),0)</f>
        <v/>
      </c>
      <c r="W1220">
        <f>IFERROR(INDEX(PP_Grid[#Data],$DD1220,21),0)</f>
        <v/>
      </c>
      <c r="X1220">
        <f>IFERROR(INDEX(PP_Grid[#Data],$DD1220,22),0)</f>
        <v/>
      </c>
      <c r="Y1220">
        <f>IFERROR(INDEX(PP_Grid[#Data],$DD1220,23),0)</f>
        <v/>
      </c>
      <c r="Z1220">
        <f>IFERROR(INDEX(PP_Grid[#Data],$DD1220,24),0)</f>
        <v/>
      </c>
      <c r="AA1220">
        <f>IFERROR(INDEX(PP_Grid[#Data],$DD1220,25),0)</f>
        <v/>
      </c>
      <c r="AB1220">
        <f>IFERROR(INDEX(PP_Grid[#Data],$DD1220,26),0)</f>
        <v/>
      </c>
      <c r="AC1220">
        <f>IFERROR(INDEX(PP_Grid[#Data],$DD1220,27),0)</f>
        <v/>
      </c>
      <c r="AD1220">
        <f>IFERROR(INDEX(PP_Grid[#Data],$DD1220,28),0)</f>
        <v/>
      </c>
      <c r="AE1220">
        <f>IFERROR(INDEX(PP_Grid[#Data],$DD1220,29),0)</f>
        <v/>
      </c>
      <c r="AF1220">
        <f>IFERROR(INDEX(PP_Grid[#Data],$DD1220,30),0)</f>
        <v/>
      </c>
      <c r="AG1220">
        <f>IFERROR(INDEX(PP_Grid[#Data],$DD1220,31),0)</f>
        <v/>
      </c>
      <c r="AH1220">
        <f>IFERROR(INDEX(PP_Grid[#Data],$DD1220,32),0)</f>
        <v/>
      </c>
      <c r="AI1220">
        <f>IFERROR(INDEX(PP_Grid[#Data],$DD1220,33),0)</f>
        <v/>
      </c>
      <c r="AJ1220">
        <f>IFERROR(INDEX(PP_Grid[#Data],$DD1220,34),0)</f>
        <v/>
      </c>
      <c r="AK1220">
        <f>IFERROR(INDEX(PP_Grid[#Data],$DD1220,35),0)</f>
        <v/>
      </c>
      <c r="AL1220">
        <f>IFERROR(INDEX(PP_Grid[#Data],$DD1220,36),0)</f>
        <v/>
      </c>
      <c r="AM1220">
        <f>IFERROR(INDEX(PP_Grid[#Data],$DD1220,37),0)</f>
        <v/>
      </c>
      <c r="AN1220">
        <f>IFERROR(INDEX(PP_Grid[#Data],$DD1220,38),0)</f>
        <v/>
      </c>
      <c r="AO1220">
        <f>IFERROR(INDEX(PP_Grid[#Data],$DD1220,39),0)</f>
        <v/>
      </c>
      <c r="AP1220">
        <f>IFERROR(INDEX(PP_Grid[#Data],$DD1220,40),0)</f>
        <v/>
      </c>
      <c r="AQ1220">
        <f>IFERROR(INDEX(PP_Grid[#Data],$DD1220,41),0)</f>
        <v/>
      </c>
      <c r="AR1220">
        <f>IFERROR(INDEX(PP_Grid[#Data],$DD1220,42),0)</f>
        <v/>
      </c>
      <c r="AS1220">
        <f>IFERROR(INDEX(PP_Grid[#Data],$DD1220,43),0)</f>
        <v/>
      </c>
      <c r="AT1220">
        <f>IFERROR(INDEX(PP_Grid[#Data],$DD1220,44),0)</f>
        <v/>
      </c>
      <c r="AU1220">
        <f>IFERROR(INDEX(PP_Grid[#Data],$DD1220,45),0)</f>
        <v/>
      </c>
      <c r="AV1220">
        <f>IFERROR(INDEX(PP_Grid[#Data],$DD1220,46),0)</f>
        <v/>
      </c>
      <c r="AW1220">
        <f>IFERROR(INDEX(PP_Grid[#Data],$DD1220,47),0)</f>
        <v/>
      </c>
      <c r="AX1220">
        <f>IFERROR(INDEX(PP_Grid[#Data],$DD1220,48),0)</f>
        <v/>
      </c>
      <c r="AY1220">
        <f>IFERROR(INDEX(PP_Grid[#Data],$DD1220,49),0)</f>
        <v/>
      </c>
      <c r="AZ1220">
        <f>IFERROR(INDEX(PP_Grid[#Data],$DD1220,50),0)</f>
        <v/>
      </c>
      <c r="BA1220">
        <f>IFERROR(INDEX(PP_Grid[#Data],$DD1220,51),0)</f>
        <v/>
      </c>
      <c r="BB1220">
        <f>IFERROR(INDEX(PP_Grid[#Data],$DD1220,52),0)</f>
        <v/>
      </c>
      <c r="BC1220">
        <f>IFERROR(INDEX(PP_Grid[#Data],$DD1220,53),0)</f>
        <v/>
      </c>
      <c r="BD1220">
        <f>IFERROR(INDEX(PP_Grid[#Data],$DD1220,54),0)</f>
        <v/>
      </c>
      <c r="BE1220">
        <f>IFERROR(INDEX(PP_Grid[#Data],$DD1220,55),0)</f>
        <v/>
      </c>
      <c r="BF1220">
        <f>IFERROR(INDEX(PP_Grid[#Data],$DD1220,56),0)</f>
        <v/>
      </c>
      <c r="BG1220">
        <f>IFERROR(INDEX(PP_Grid[#Data],$DD1220,57),0)</f>
        <v/>
      </c>
      <c r="BH1220">
        <f>IFERROR(INDEX(PP_Grid[#Data],$DD1220,58),0)</f>
        <v/>
      </c>
      <c r="BI1220">
        <f>IFERROR(INDEX(PP_Grid[#Data],$DD1220,59),0)</f>
        <v/>
      </c>
      <c r="BJ1220">
        <f>IFERROR(INDEX(PP_Grid[#Data],$DD1220,60),0)</f>
        <v/>
      </c>
      <c r="BK1220">
        <f>IFERROR(INDEX(PP_Grid[#Data],$DD1220,61),0)</f>
        <v/>
      </c>
      <c r="BL1220">
        <f>IFERROR(INDEX(PP_Grid[#Data],$DD1220,62),0)</f>
        <v/>
      </c>
      <c r="BM1220">
        <f>IFERROR(INDEX(PP_Grid[#Data],$DD1220,63),0)</f>
        <v/>
      </c>
      <c r="BN1220">
        <f>IFERROR(INDEX(PP_Grid[#Data],$DD1220,64),0)</f>
        <v/>
      </c>
      <c r="BO1220">
        <f>IFERROR(INDEX(PP_Grid[#Data],$DD1220,65),0)</f>
        <v/>
      </c>
      <c r="BP1220">
        <f>IFERROR(INDEX(PP_Grid[#Data],$DD1220,66),0)</f>
        <v/>
      </c>
      <c r="BQ1220">
        <f>IFERROR(INDEX(PP_Grid[#Data],$DD1220,67),0)</f>
        <v/>
      </c>
      <c r="BR1220">
        <f>IFERROR(INDEX(PP_Grid[#Data],$DD1220,68),0)</f>
        <v/>
      </c>
      <c r="BS1220">
        <f>IFERROR(INDEX(PP_Grid[#Data],$DD1220,69),0)</f>
        <v/>
      </c>
      <c r="BT1220">
        <f>IFERROR(INDEX(PP_Grid[#Data],$DD1220,70),0)</f>
        <v/>
      </c>
      <c r="BU1220">
        <f>IFERROR(INDEX(PP_Grid[#Data],$DD1220,71),0)</f>
        <v/>
      </c>
      <c r="BV1220">
        <f>IFERROR(INDEX(PP_Grid[#Data],$DD1220,72),0)</f>
        <v/>
      </c>
      <c r="BW1220">
        <f>IFERROR(INDEX(PP_Grid[#Data],$DD1220,73),0)</f>
        <v/>
      </c>
      <c r="BX1220">
        <f>IFERROR(INDEX(PP_Grid[#Data],$DD1220,74),0)</f>
        <v/>
      </c>
      <c r="BY1220">
        <f>IFERROR(INDEX(PP_Grid[#Data],$DD1220,75),0)</f>
        <v/>
      </c>
      <c r="BZ1220">
        <f>IFERROR(INDEX(PP_Grid[#Data],$DD1220,76),0)</f>
        <v/>
      </c>
      <c r="CA1220">
        <f>IFERROR(INDEX(PP_Grid[#Data],$DD1220,77),0)</f>
        <v/>
      </c>
      <c r="CB1220">
        <f>IFERROR(INDEX(PP_Grid[#Data],$DD1220,78),0)</f>
        <v/>
      </c>
      <c r="CC1220">
        <f>IFERROR(INDEX(PP_Grid[#Data],$DD1220,79),0)</f>
        <v/>
      </c>
      <c r="CD1220">
        <f>IFERROR(INDEX(PP_Grid[#Data],$DD1220,80),0)</f>
        <v/>
      </c>
      <c r="CE1220">
        <f>IFERROR(INDEX(PP_Grid[#Data],$DD1220,81),0)</f>
        <v/>
      </c>
      <c r="CF1220">
        <f>IFERROR(INDEX(PP_Grid[#Data],$DD1220,82),0)</f>
        <v/>
      </c>
      <c r="CG1220">
        <f>IFERROR(INDEX(PP_Grid[#Data],$DD1220,83),0)</f>
        <v/>
      </c>
      <c r="CH1220">
        <f>IFERROR(INDEX(PP_Grid[#Data],$DD1220,84),0)</f>
        <v/>
      </c>
      <c r="CI1220">
        <f>IFERROR(INDEX(PP_Grid[#Data],$DD1220,85),0)</f>
        <v/>
      </c>
      <c r="CJ1220">
        <f>IFERROR(INDEX(PP_Grid[#Data],$DD1220,86),0)</f>
        <v/>
      </c>
      <c r="CK1220">
        <f>IFERROR(INDEX(PP_Grid[#Data],$DD1220,87),0)</f>
        <v/>
      </c>
      <c r="CL1220">
        <f>IFERROR(INDEX(PP_Grid[#Data],$DD1220,88),0)</f>
        <v/>
      </c>
      <c r="CM1220">
        <f>IFERROR(INDEX(PP_Grid[#Data],$DD1220,89),0)</f>
        <v/>
      </c>
      <c r="CN1220">
        <f>IFERROR(INDEX(PP_Grid[#Data],$DD1220,90),0)</f>
        <v/>
      </c>
      <c r="CO1220">
        <f>IFERROR(INDEX(PP_Grid[#Data],$DD1220,91),0)</f>
        <v/>
      </c>
      <c r="CP1220">
        <f>IFERROR(INDEX(PP_Grid[#Data],$DD1220,92),0)</f>
        <v/>
      </c>
      <c r="CQ1220">
        <f>IFERROR(INDEX(PP_Grid[#Data],$DD1220,93),0)</f>
        <v/>
      </c>
      <c r="CR1220">
        <f>IFERROR(INDEX(PP_Grid[#Data],$DD1220,94),0)</f>
        <v/>
      </c>
      <c r="CS1220">
        <f>IFERROR(INDEX(PP_Grid[#Data],$DD1220,95),0)</f>
        <v/>
      </c>
      <c r="CT1220">
        <f>IFERROR(INDEX(PP_Grid[#Data],$DD1220,96),0)</f>
        <v/>
      </c>
      <c r="CU1220">
        <f>IFERROR(INDEX(PP_Grid[#Data],$DD1220,97),0)</f>
        <v/>
      </c>
      <c r="CV1220">
        <f>IFERROR(INDEX(PP_Grid[#Data],$DD1220,98),0)</f>
        <v/>
      </c>
      <c r="CW1220">
        <f>IFERROR(INDEX(PP_Grid[#Data],$DD1220,99),0)</f>
        <v/>
      </c>
      <c r="CX1220">
        <f>IFERROR(INDEX(PP_Grid[#Data],$DD1220,100),0)</f>
        <v/>
      </c>
      <c r="CY1220">
        <f>IFERROR(INDEX(PP_Grid[#Data],$DD1220,101),0)</f>
        <v/>
      </c>
      <c r="CZ1220">
        <f>IFERROR(INDEX(PP_Grid[#Data],$DD1220,102),0)</f>
        <v/>
      </c>
      <c r="DA1220">
        <f>IFERROR(INDEX(PP_Grid[#Data],$DD1220,103),0)</f>
        <v/>
      </c>
      <c r="DB1220">
        <f>IFERROR(INDEX(PP_Grid[#Data],$DD1220,104),0)</f>
        <v/>
      </c>
      <c r="DC1220">
        <f>IFERROR(INDEX(PP_Grid[#Data],$DD1220,105),0)</f>
        <v/>
      </c>
      <c r="DD1220" s="12">
        <f>IFERROR(MATCH($B1220,PP_Grid[Intermediate],0),99999)</f>
        <v/>
      </c>
    </row>
    <row r="1221">
      <c r="B1221" t="inlineStr">
        <is>
          <t>使用量(kg)</t>
        </is>
      </c>
      <c r="C1221">
        <f>SUMIFS(M_BOM[RM_Qty_Per_Batch],M_BOM[Intermediate],$B1220,M_BOM[Part Name],$A1213)</f>
        <v/>
      </c>
      <c r="D1221">
        <f>$C1221*D1220</f>
        <v/>
      </c>
      <c r="E1221">
        <f>$C1221*E1220</f>
        <v/>
      </c>
      <c r="F1221">
        <f>$C1221*F1220</f>
        <v/>
      </c>
      <c r="G1221">
        <f>$C1221*G1220</f>
        <v/>
      </c>
      <c r="H1221">
        <f>$C1221*H1220</f>
        <v/>
      </c>
      <c r="I1221">
        <f>$C1221*I1220</f>
        <v/>
      </c>
      <c r="J1221">
        <f>$C1221*J1220</f>
        <v/>
      </c>
      <c r="K1221">
        <f>$C1221*K1220</f>
        <v/>
      </c>
      <c r="L1221">
        <f>$C1221*L1220</f>
        <v/>
      </c>
      <c r="M1221">
        <f>$C1221*M1220</f>
        <v/>
      </c>
      <c r="N1221">
        <f>$C1221*N1220</f>
        <v/>
      </c>
      <c r="O1221">
        <f>$C1221*O1220</f>
        <v/>
      </c>
      <c r="P1221">
        <f>$C1221*P1220</f>
        <v/>
      </c>
      <c r="Q1221">
        <f>$C1221*Q1220</f>
        <v/>
      </c>
      <c r="R1221">
        <f>$C1221*R1220</f>
        <v/>
      </c>
      <c r="S1221">
        <f>$C1221*S1220</f>
        <v/>
      </c>
      <c r="T1221">
        <f>$C1221*T1220</f>
        <v/>
      </c>
      <c r="U1221">
        <f>$C1221*U1220</f>
        <v/>
      </c>
      <c r="V1221">
        <f>$C1221*V1220</f>
        <v/>
      </c>
      <c r="W1221">
        <f>$C1221*W1220</f>
        <v/>
      </c>
      <c r="X1221">
        <f>$C1221*X1220</f>
        <v/>
      </c>
      <c r="Y1221">
        <f>$C1221*Y1220</f>
        <v/>
      </c>
      <c r="Z1221">
        <f>$C1221*Z1220</f>
        <v/>
      </c>
      <c r="AA1221">
        <f>$C1221*AA1220</f>
        <v/>
      </c>
      <c r="AB1221">
        <f>$C1221*AB1220</f>
        <v/>
      </c>
      <c r="AC1221">
        <f>$C1221*AC1220</f>
        <v/>
      </c>
      <c r="AD1221">
        <f>$C1221*AD1220</f>
        <v/>
      </c>
      <c r="AE1221">
        <f>$C1221*AE1220</f>
        <v/>
      </c>
      <c r="AF1221">
        <f>$C1221*AF1220</f>
        <v/>
      </c>
      <c r="AG1221">
        <f>$C1221*AG1220</f>
        <v/>
      </c>
      <c r="AH1221">
        <f>$C1221*AH1220</f>
        <v/>
      </c>
      <c r="AI1221">
        <f>$C1221*AI1220</f>
        <v/>
      </c>
      <c r="AJ1221">
        <f>$C1221*AJ1220</f>
        <v/>
      </c>
      <c r="AK1221">
        <f>$C1221*AK1220</f>
        <v/>
      </c>
      <c r="AL1221">
        <f>$C1221*AL1220</f>
        <v/>
      </c>
      <c r="AM1221">
        <f>$C1221*AM1220</f>
        <v/>
      </c>
      <c r="AN1221">
        <f>$C1221*AN1220</f>
        <v/>
      </c>
      <c r="AO1221">
        <f>$C1221*AO1220</f>
        <v/>
      </c>
      <c r="AP1221">
        <f>$C1221*AP1220</f>
        <v/>
      </c>
      <c r="AQ1221">
        <f>$C1221*AQ1220</f>
        <v/>
      </c>
      <c r="AR1221">
        <f>$C1221*AR1220</f>
        <v/>
      </c>
      <c r="AS1221">
        <f>$C1221*AS1220</f>
        <v/>
      </c>
      <c r="AT1221">
        <f>$C1221*AT1220</f>
        <v/>
      </c>
      <c r="AU1221">
        <f>$C1221*AU1220</f>
        <v/>
      </c>
      <c r="AV1221">
        <f>$C1221*AV1220</f>
        <v/>
      </c>
      <c r="AW1221">
        <f>$C1221*AW1220</f>
        <v/>
      </c>
      <c r="AX1221">
        <f>$C1221*AX1220</f>
        <v/>
      </c>
      <c r="AY1221">
        <f>$C1221*AY1220</f>
        <v/>
      </c>
      <c r="AZ1221">
        <f>$C1221*AZ1220</f>
        <v/>
      </c>
      <c r="BA1221">
        <f>$C1221*BA1220</f>
        <v/>
      </c>
      <c r="BB1221">
        <f>$C1221*BB1220</f>
        <v/>
      </c>
      <c r="BC1221">
        <f>$C1221*BC1220</f>
        <v/>
      </c>
      <c r="BD1221">
        <f>$C1221*BD1220</f>
        <v/>
      </c>
      <c r="BE1221">
        <f>$C1221*BE1220</f>
        <v/>
      </c>
      <c r="BF1221">
        <f>$C1221*BF1220</f>
        <v/>
      </c>
      <c r="BG1221">
        <f>$C1221*BG1220</f>
        <v/>
      </c>
      <c r="BH1221">
        <f>$C1221*BH1220</f>
        <v/>
      </c>
      <c r="BI1221">
        <f>$C1221*BI1220</f>
        <v/>
      </c>
      <c r="BJ1221">
        <f>$C1221*BJ1220</f>
        <v/>
      </c>
      <c r="BK1221">
        <f>$C1221*BK1220</f>
        <v/>
      </c>
      <c r="BL1221">
        <f>$C1221*BL1220</f>
        <v/>
      </c>
      <c r="BM1221">
        <f>$C1221*BM1220</f>
        <v/>
      </c>
      <c r="BN1221">
        <f>$C1221*BN1220</f>
        <v/>
      </c>
      <c r="BO1221">
        <f>$C1221*BO1220</f>
        <v/>
      </c>
      <c r="BP1221">
        <f>$C1221*BP1220</f>
        <v/>
      </c>
      <c r="BQ1221">
        <f>$C1221*BQ1220</f>
        <v/>
      </c>
      <c r="BR1221">
        <f>$C1221*BR1220</f>
        <v/>
      </c>
      <c r="BS1221">
        <f>$C1221*BS1220</f>
        <v/>
      </c>
      <c r="BT1221">
        <f>$C1221*BT1220</f>
        <v/>
      </c>
      <c r="BU1221">
        <f>$C1221*BU1220</f>
        <v/>
      </c>
      <c r="BV1221">
        <f>$C1221*BV1220</f>
        <v/>
      </c>
      <c r="BW1221">
        <f>$C1221*BW1220</f>
        <v/>
      </c>
      <c r="BX1221">
        <f>$C1221*BX1220</f>
        <v/>
      </c>
      <c r="BY1221">
        <f>$C1221*BY1220</f>
        <v/>
      </c>
      <c r="BZ1221">
        <f>$C1221*BZ1220</f>
        <v/>
      </c>
      <c r="CA1221">
        <f>$C1221*CA1220</f>
        <v/>
      </c>
      <c r="CB1221">
        <f>$C1221*CB1220</f>
        <v/>
      </c>
      <c r="CC1221">
        <f>$C1221*CC1220</f>
        <v/>
      </c>
      <c r="CD1221">
        <f>$C1221*CD1220</f>
        <v/>
      </c>
      <c r="CE1221">
        <f>$C1221*CE1220</f>
        <v/>
      </c>
      <c r="CF1221">
        <f>$C1221*CF1220</f>
        <v/>
      </c>
      <c r="CG1221">
        <f>$C1221*CG1220</f>
        <v/>
      </c>
      <c r="CH1221">
        <f>$C1221*CH1220</f>
        <v/>
      </c>
      <c r="CI1221">
        <f>$C1221*CI1220</f>
        <v/>
      </c>
      <c r="CJ1221">
        <f>$C1221*CJ1220</f>
        <v/>
      </c>
      <c r="CK1221">
        <f>$C1221*CK1220</f>
        <v/>
      </c>
      <c r="CL1221">
        <f>$C1221*CL1220</f>
        <v/>
      </c>
      <c r="CM1221">
        <f>$C1221*CM1220</f>
        <v/>
      </c>
      <c r="CN1221">
        <f>$C1221*CN1220</f>
        <v/>
      </c>
      <c r="CO1221">
        <f>$C1221*CO1220</f>
        <v/>
      </c>
      <c r="CP1221">
        <f>$C1221*CP1220</f>
        <v/>
      </c>
      <c r="CQ1221">
        <f>$C1221*CQ1220</f>
        <v/>
      </c>
      <c r="CR1221">
        <f>$C1221*CR1220</f>
        <v/>
      </c>
      <c r="CS1221">
        <f>$C1221*CS1220</f>
        <v/>
      </c>
      <c r="CT1221">
        <f>$C1221*CT1220</f>
        <v/>
      </c>
      <c r="CU1221">
        <f>$C1221*CU1220</f>
        <v/>
      </c>
      <c r="CV1221">
        <f>$C1221*CV1220</f>
        <v/>
      </c>
      <c r="CW1221">
        <f>$C1221*CW1220</f>
        <v/>
      </c>
      <c r="CX1221">
        <f>$C1221*CX1220</f>
        <v/>
      </c>
      <c r="CY1221">
        <f>$C1221*CY1220</f>
        <v/>
      </c>
      <c r="CZ1221">
        <f>$C1221*CZ1220</f>
        <v/>
      </c>
      <c r="DA1221">
        <f>$C1221*DA1220</f>
        <v/>
      </c>
      <c r="DB1221">
        <f>$C1221*DB1220</f>
        <v/>
      </c>
      <c r="DC1221">
        <f>$C1221*DC1220</f>
        <v/>
      </c>
    </row>
    <row r="1222">
      <c r="B1222" t="inlineStr">
        <is>
          <t>TSP-1449</t>
        </is>
      </c>
      <c r="C1222" t="inlineStr">
        <is>
          <t>No. of batches</t>
        </is>
      </c>
      <c r="D1222">
        <f>IFERROR(INDEX(PP_Grid[#Data],$DD1222,2),0)</f>
        <v/>
      </c>
      <c r="E1222">
        <f>IFERROR(INDEX(PP_Grid[#Data],$DD1222,3),0)</f>
        <v/>
      </c>
      <c r="F1222">
        <f>IFERROR(INDEX(PP_Grid[#Data],$DD1222,4),0)</f>
        <v/>
      </c>
      <c r="G1222">
        <f>IFERROR(INDEX(PP_Grid[#Data],$DD1222,5),0)</f>
        <v/>
      </c>
      <c r="H1222">
        <f>IFERROR(INDEX(PP_Grid[#Data],$DD1222,6),0)</f>
        <v/>
      </c>
      <c r="I1222">
        <f>IFERROR(INDEX(PP_Grid[#Data],$DD1222,7),0)</f>
        <v/>
      </c>
      <c r="J1222">
        <f>IFERROR(INDEX(PP_Grid[#Data],$DD1222,8),0)</f>
        <v/>
      </c>
      <c r="K1222">
        <f>IFERROR(INDEX(PP_Grid[#Data],$DD1222,9),0)</f>
        <v/>
      </c>
      <c r="L1222">
        <f>IFERROR(INDEX(PP_Grid[#Data],$DD1222,10),0)</f>
        <v/>
      </c>
      <c r="M1222">
        <f>IFERROR(INDEX(PP_Grid[#Data],$DD1222,11),0)</f>
        <v/>
      </c>
      <c r="N1222">
        <f>IFERROR(INDEX(PP_Grid[#Data],$DD1222,12),0)</f>
        <v/>
      </c>
      <c r="O1222">
        <f>IFERROR(INDEX(PP_Grid[#Data],$DD1222,13),0)</f>
        <v/>
      </c>
      <c r="P1222">
        <f>IFERROR(INDEX(PP_Grid[#Data],$DD1222,14),0)</f>
        <v/>
      </c>
      <c r="Q1222">
        <f>IFERROR(INDEX(PP_Grid[#Data],$DD1222,15),0)</f>
        <v/>
      </c>
      <c r="R1222">
        <f>IFERROR(INDEX(PP_Grid[#Data],$DD1222,16),0)</f>
        <v/>
      </c>
      <c r="S1222">
        <f>IFERROR(INDEX(PP_Grid[#Data],$DD1222,17),0)</f>
        <v/>
      </c>
      <c r="T1222">
        <f>IFERROR(INDEX(PP_Grid[#Data],$DD1222,18),0)</f>
        <v/>
      </c>
      <c r="U1222">
        <f>IFERROR(INDEX(PP_Grid[#Data],$DD1222,19),0)</f>
        <v/>
      </c>
      <c r="V1222">
        <f>IFERROR(INDEX(PP_Grid[#Data],$DD1222,20),0)</f>
        <v/>
      </c>
      <c r="W1222">
        <f>IFERROR(INDEX(PP_Grid[#Data],$DD1222,21),0)</f>
        <v/>
      </c>
      <c r="X1222">
        <f>IFERROR(INDEX(PP_Grid[#Data],$DD1222,22),0)</f>
        <v/>
      </c>
      <c r="Y1222">
        <f>IFERROR(INDEX(PP_Grid[#Data],$DD1222,23),0)</f>
        <v/>
      </c>
      <c r="Z1222">
        <f>IFERROR(INDEX(PP_Grid[#Data],$DD1222,24),0)</f>
        <v/>
      </c>
      <c r="AA1222">
        <f>IFERROR(INDEX(PP_Grid[#Data],$DD1222,25),0)</f>
        <v/>
      </c>
      <c r="AB1222">
        <f>IFERROR(INDEX(PP_Grid[#Data],$DD1222,26),0)</f>
        <v/>
      </c>
      <c r="AC1222">
        <f>IFERROR(INDEX(PP_Grid[#Data],$DD1222,27),0)</f>
        <v/>
      </c>
      <c r="AD1222">
        <f>IFERROR(INDEX(PP_Grid[#Data],$DD1222,28),0)</f>
        <v/>
      </c>
      <c r="AE1222">
        <f>IFERROR(INDEX(PP_Grid[#Data],$DD1222,29),0)</f>
        <v/>
      </c>
      <c r="AF1222">
        <f>IFERROR(INDEX(PP_Grid[#Data],$DD1222,30),0)</f>
        <v/>
      </c>
      <c r="AG1222">
        <f>IFERROR(INDEX(PP_Grid[#Data],$DD1222,31),0)</f>
        <v/>
      </c>
      <c r="AH1222">
        <f>IFERROR(INDEX(PP_Grid[#Data],$DD1222,32),0)</f>
        <v/>
      </c>
      <c r="AI1222">
        <f>IFERROR(INDEX(PP_Grid[#Data],$DD1222,33),0)</f>
        <v/>
      </c>
      <c r="AJ1222">
        <f>IFERROR(INDEX(PP_Grid[#Data],$DD1222,34),0)</f>
        <v/>
      </c>
      <c r="AK1222">
        <f>IFERROR(INDEX(PP_Grid[#Data],$DD1222,35),0)</f>
        <v/>
      </c>
      <c r="AL1222">
        <f>IFERROR(INDEX(PP_Grid[#Data],$DD1222,36),0)</f>
        <v/>
      </c>
      <c r="AM1222">
        <f>IFERROR(INDEX(PP_Grid[#Data],$DD1222,37),0)</f>
        <v/>
      </c>
      <c r="AN1222">
        <f>IFERROR(INDEX(PP_Grid[#Data],$DD1222,38),0)</f>
        <v/>
      </c>
      <c r="AO1222">
        <f>IFERROR(INDEX(PP_Grid[#Data],$DD1222,39),0)</f>
        <v/>
      </c>
      <c r="AP1222">
        <f>IFERROR(INDEX(PP_Grid[#Data],$DD1222,40),0)</f>
        <v/>
      </c>
      <c r="AQ1222">
        <f>IFERROR(INDEX(PP_Grid[#Data],$DD1222,41),0)</f>
        <v/>
      </c>
      <c r="AR1222">
        <f>IFERROR(INDEX(PP_Grid[#Data],$DD1222,42),0)</f>
        <v/>
      </c>
      <c r="AS1222">
        <f>IFERROR(INDEX(PP_Grid[#Data],$DD1222,43),0)</f>
        <v/>
      </c>
      <c r="AT1222">
        <f>IFERROR(INDEX(PP_Grid[#Data],$DD1222,44),0)</f>
        <v/>
      </c>
      <c r="AU1222">
        <f>IFERROR(INDEX(PP_Grid[#Data],$DD1222,45),0)</f>
        <v/>
      </c>
      <c r="AV1222">
        <f>IFERROR(INDEX(PP_Grid[#Data],$DD1222,46),0)</f>
        <v/>
      </c>
      <c r="AW1222">
        <f>IFERROR(INDEX(PP_Grid[#Data],$DD1222,47),0)</f>
        <v/>
      </c>
      <c r="AX1222">
        <f>IFERROR(INDEX(PP_Grid[#Data],$DD1222,48),0)</f>
        <v/>
      </c>
      <c r="AY1222">
        <f>IFERROR(INDEX(PP_Grid[#Data],$DD1222,49),0)</f>
        <v/>
      </c>
      <c r="AZ1222">
        <f>IFERROR(INDEX(PP_Grid[#Data],$DD1222,50),0)</f>
        <v/>
      </c>
      <c r="BA1222">
        <f>IFERROR(INDEX(PP_Grid[#Data],$DD1222,51),0)</f>
        <v/>
      </c>
      <c r="BB1222">
        <f>IFERROR(INDEX(PP_Grid[#Data],$DD1222,52),0)</f>
        <v/>
      </c>
      <c r="BC1222">
        <f>IFERROR(INDEX(PP_Grid[#Data],$DD1222,53),0)</f>
        <v/>
      </c>
      <c r="BD1222">
        <f>IFERROR(INDEX(PP_Grid[#Data],$DD1222,54),0)</f>
        <v/>
      </c>
      <c r="BE1222">
        <f>IFERROR(INDEX(PP_Grid[#Data],$DD1222,55),0)</f>
        <v/>
      </c>
      <c r="BF1222">
        <f>IFERROR(INDEX(PP_Grid[#Data],$DD1222,56),0)</f>
        <v/>
      </c>
      <c r="BG1222">
        <f>IFERROR(INDEX(PP_Grid[#Data],$DD1222,57),0)</f>
        <v/>
      </c>
      <c r="BH1222">
        <f>IFERROR(INDEX(PP_Grid[#Data],$DD1222,58),0)</f>
        <v/>
      </c>
      <c r="BI1222">
        <f>IFERROR(INDEX(PP_Grid[#Data],$DD1222,59),0)</f>
        <v/>
      </c>
      <c r="BJ1222">
        <f>IFERROR(INDEX(PP_Grid[#Data],$DD1222,60),0)</f>
        <v/>
      </c>
      <c r="BK1222">
        <f>IFERROR(INDEX(PP_Grid[#Data],$DD1222,61),0)</f>
        <v/>
      </c>
      <c r="BL1222">
        <f>IFERROR(INDEX(PP_Grid[#Data],$DD1222,62),0)</f>
        <v/>
      </c>
      <c r="BM1222">
        <f>IFERROR(INDEX(PP_Grid[#Data],$DD1222,63),0)</f>
        <v/>
      </c>
      <c r="BN1222">
        <f>IFERROR(INDEX(PP_Grid[#Data],$DD1222,64),0)</f>
        <v/>
      </c>
      <c r="BO1222">
        <f>IFERROR(INDEX(PP_Grid[#Data],$DD1222,65),0)</f>
        <v/>
      </c>
      <c r="BP1222">
        <f>IFERROR(INDEX(PP_Grid[#Data],$DD1222,66),0)</f>
        <v/>
      </c>
      <c r="BQ1222">
        <f>IFERROR(INDEX(PP_Grid[#Data],$DD1222,67),0)</f>
        <v/>
      </c>
      <c r="BR1222">
        <f>IFERROR(INDEX(PP_Grid[#Data],$DD1222,68),0)</f>
        <v/>
      </c>
      <c r="BS1222">
        <f>IFERROR(INDEX(PP_Grid[#Data],$DD1222,69),0)</f>
        <v/>
      </c>
      <c r="BT1222">
        <f>IFERROR(INDEX(PP_Grid[#Data],$DD1222,70),0)</f>
        <v/>
      </c>
      <c r="BU1222">
        <f>IFERROR(INDEX(PP_Grid[#Data],$DD1222,71),0)</f>
        <v/>
      </c>
      <c r="BV1222">
        <f>IFERROR(INDEX(PP_Grid[#Data],$DD1222,72),0)</f>
        <v/>
      </c>
      <c r="BW1222">
        <f>IFERROR(INDEX(PP_Grid[#Data],$DD1222,73),0)</f>
        <v/>
      </c>
      <c r="BX1222">
        <f>IFERROR(INDEX(PP_Grid[#Data],$DD1222,74),0)</f>
        <v/>
      </c>
      <c r="BY1222">
        <f>IFERROR(INDEX(PP_Grid[#Data],$DD1222,75),0)</f>
        <v/>
      </c>
      <c r="BZ1222">
        <f>IFERROR(INDEX(PP_Grid[#Data],$DD1222,76),0)</f>
        <v/>
      </c>
      <c r="CA1222">
        <f>IFERROR(INDEX(PP_Grid[#Data],$DD1222,77),0)</f>
        <v/>
      </c>
      <c r="CB1222">
        <f>IFERROR(INDEX(PP_Grid[#Data],$DD1222,78),0)</f>
        <v/>
      </c>
      <c r="CC1222">
        <f>IFERROR(INDEX(PP_Grid[#Data],$DD1222,79),0)</f>
        <v/>
      </c>
      <c r="CD1222">
        <f>IFERROR(INDEX(PP_Grid[#Data],$DD1222,80),0)</f>
        <v/>
      </c>
      <c r="CE1222">
        <f>IFERROR(INDEX(PP_Grid[#Data],$DD1222,81),0)</f>
        <v/>
      </c>
      <c r="CF1222">
        <f>IFERROR(INDEX(PP_Grid[#Data],$DD1222,82),0)</f>
        <v/>
      </c>
      <c r="CG1222">
        <f>IFERROR(INDEX(PP_Grid[#Data],$DD1222,83),0)</f>
        <v/>
      </c>
      <c r="CH1222">
        <f>IFERROR(INDEX(PP_Grid[#Data],$DD1222,84),0)</f>
        <v/>
      </c>
      <c r="CI1222">
        <f>IFERROR(INDEX(PP_Grid[#Data],$DD1222,85),0)</f>
        <v/>
      </c>
      <c r="CJ1222">
        <f>IFERROR(INDEX(PP_Grid[#Data],$DD1222,86),0)</f>
        <v/>
      </c>
      <c r="CK1222">
        <f>IFERROR(INDEX(PP_Grid[#Data],$DD1222,87),0)</f>
        <v/>
      </c>
      <c r="CL1222">
        <f>IFERROR(INDEX(PP_Grid[#Data],$DD1222,88),0)</f>
        <v/>
      </c>
      <c r="CM1222">
        <f>IFERROR(INDEX(PP_Grid[#Data],$DD1222,89),0)</f>
        <v/>
      </c>
      <c r="CN1222">
        <f>IFERROR(INDEX(PP_Grid[#Data],$DD1222,90),0)</f>
        <v/>
      </c>
      <c r="CO1222">
        <f>IFERROR(INDEX(PP_Grid[#Data],$DD1222,91),0)</f>
        <v/>
      </c>
      <c r="CP1222">
        <f>IFERROR(INDEX(PP_Grid[#Data],$DD1222,92),0)</f>
        <v/>
      </c>
      <c r="CQ1222">
        <f>IFERROR(INDEX(PP_Grid[#Data],$DD1222,93),0)</f>
        <v/>
      </c>
      <c r="CR1222">
        <f>IFERROR(INDEX(PP_Grid[#Data],$DD1222,94),0)</f>
        <v/>
      </c>
      <c r="CS1222">
        <f>IFERROR(INDEX(PP_Grid[#Data],$DD1222,95),0)</f>
        <v/>
      </c>
      <c r="CT1222">
        <f>IFERROR(INDEX(PP_Grid[#Data],$DD1222,96),0)</f>
        <v/>
      </c>
      <c r="CU1222">
        <f>IFERROR(INDEX(PP_Grid[#Data],$DD1222,97),0)</f>
        <v/>
      </c>
      <c r="CV1222">
        <f>IFERROR(INDEX(PP_Grid[#Data],$DD1222,98),0)</f>
        <v/>
      </c>
      <c r="CW1222">
        <f>IFERROR(INDEX(PP_Grid[#Data],$DD1222,99),0)</f>
        <v/>
      </c>
      <c r="CX1222">
        <f>IFERROR(INDEX(PP_Grid[#Data],$DD1222,100),0)</f>
        <v/>
      </c>
      <c r="CY1222">
        <f>IFERROR(INDEX(PP_Grid[#Data],$DD1222,101),0)</f>
        <v/>
      </c>
      <c r="CZ1222">
        <f>IFERROR(INDEX(PP_Grid[#Data],$DD1222,102),0)</f>
        <v/>
      </c>
      <c r="DA1222">
        <f>IFERROR(INDEX(PP_Grid[#Data],$DD1222,103),0)</f>
        <v/>
      </c>
      <c r="DB1222">
        <f>IFERROR(INDEX(PP_Grid[#Data],$DD1222,104),0)</f>
        <v/>
      </c>
      <c r="DC1222">
        <f>IFERROR(INDEX(PP_Grid[#Data],$DD1222,105),0)</f>
        <v/>
      </c>
      <c r="DD1222" s="12">
        <f>IFERROR(MATCH($B1222,PP_Grid[Intermediate],0),99999)</f>
        <v/>
      </c>
    </row>
    <row r="1223">
      <c r="B1223" t="inlineStr">
        <is>
          <t>使用量(kg)</t>
        </is>
      </c>
      <c r="C1223">
        <f>SUMIFS(M_BOM[RM_Qty_Per_Batch],M_BOM[Intermediate],$B1222,M_BOM[Part Name],$A1213)</f>
        <v/>
      </c>
      <c r="D1223">
        <f>$C1223*D1222</f>
        <v/>
      </c>
      <c r="E1223">
        <f>$C1223*E1222</f>
        <v/>
      </c>
      <c r="F1223">
        <f>$C1223*F1222</f>
        <v/>
      </c>
      <c r="G1223">
        <f>$C1223*G1222</f>
        <v/>
      </c>
      <c r="H1223">
        <f>$C1223*H1222</f>
        <v/>
      </c>
      <c r="I1223">
        <f>$C1223*I1222</f>
        <v/>
      </c>
      <c r="J1223">
        <f>$C1223*J1222</f>
        <v/>
      </c>
      <c r="K1223">
        <f>$C1223*K1222</f>
        <v/>
      </c>
      <c r="L1223">
        <f>$C1223*L1222</f>
        <v/>
      </c>
      <c r="M1223">
        <f>$C1223*M1222</f>
        <v/>
      </c>
      <c r="N1223">
        <f>$C1223*N1222</f>
        <v/>
      </c>
      <c r="O1223">
        <f>$C1223*O1222</f>
        <v/>
      </c>
      <c r="P1223">
        <f>$C1223*P1222</f>
        <v/>
      </c>
      <c r="Q1223">
        <f>$C1223*Q1222</f>
        <v/>
      </c>
      <c r="R1223">
        <f>$C1223*R1222</f>
        <v/>
      </c>
      <c r="S1223">
        <f>$C1223*S1222</f>
        <v/>
      </c>
      <c r="T1223">
        <f>$C1223*T1222</f>
        <v/>
      </c>
      <c r="U1223">
        <f>$C1223*U1222</f>
        <v/>
      </c>
      <c r="V1223">
        <f>$C1223*V1222</f>
        <v/>
      </c>
      <c r="W1223">
        <f>$C1223*W1222</f>
        <v/>
      </c>
      <c r="X1223">
        <f>$C1223*X1222</f>
        <v/>
      </c>
      <c r="Y1223">
        <f>$C1223*Y1222</f>
        <v/>
      </c>
      <c r="Z1223">
        <f>$C1223*Z1222</f>
        <v/>
      </c>
      <c r="AA1223">
        <f>$C1223*AA1222</f>
        <v/>
      </c>
      <c r="AB1223">
        <f>$C1223*AB1222</f>
        <v/>
      </c>
      <c r="AC1223">
        <f>$C1223*AC1222</f>
        <v/>
      </c>
      <c r="AD1223">
        <f>$C1223*AD1222</f>
        <v/>
      </c>
      <c r="AE1223">
        <f>$C1223*AE1222</f>
        <v/>
      </c>
      <c r="AF1223">
        <f>$C1223*AF1222</f>
        <v/>
      </c>
      <c r="AG1223">
        <f>$C1223*AG1222</f>
        <v/>
      </c>
      <c r="AH1223">
        <f>$C1223*AH1222</f>
        <v/>
      </c>
      <c r="AI1223">
        <f>$C1223*AI1222</f>
        <v/>
      </c>
      <c r="AJ1223">
        <f>$C1223*AJ1222</f>
        <v/>
      </c>
      <c r="AK1223">
        <f>$C1223*AK1222</f>
        <v/>
      </c>
      <c r="AL1223">
        <f>$C1223*AL1222</f>
        <v/>
      </c>
      <c r="AM1223">
        <f>$C1223*AM1222</f>
        <v/>
      </c>
      <c r="AN1223">
        <f>$C1223*AN1222</f>
        <v/>
      </c>
      <c r="AO1223">
        <f>$C1223*AO1222</f>
        <v/>
      </c>
      <c r="AP1223">
        <f>$C1223*AP1222</f>
        <v/>
      </c>
      <c r="AQ1223">
        <f>$C1223*AQ1222</f>
        <v/>
      </c>
      <c r="AR1223">
        <f>$C1223*AR1222</f>
        <v/>
      </c>
      <c r="AS1223">
        <f>$C1223*AS1222</f>
        <v/>
      </c>
      <c r="AT1223">
        <f>$C1223*AT1222</f>
        <v/>
      </c>
      <c r="AU1223">
        <f>$C1223*AU1222</f>
        <v/>
      </c>
      <c r="AV1223">
        <f>$C1223*AV1222</f>
        <v/>
      </c>
      <c r="AW1223">
        <f>$C1223*AW1222</f>
        <v/>
      </c>
      <c r="AX1223">
        <f>$C1223*AX1222</f>
        <v/>
      </c>
      <c r="AY1223">
        <f>$C1223*AY1222</f>
        <v/>
      </c>
      <c r="AZ1223">
        <f>$C1223*AZ1222</f>
        <v/>
      </c>
      <c r="BA1223">
        <f>$C1223*BA1222</f>
        <v/>
      </c>
      <c r="BB1223">
        <f>$C1223*BB1222</f>
        <v/>
      </c>
      <c r="BC1223">
        <f>$C1223*BC1222</f>
        <v/>
      </c>
      <c r="BD1223">
        <f>$C1223*BD1222</f>
        <v/>
      </c>
      <c r="BE1223">
        <f>$C1223*BE1222</f>
        <v/>
      </c>
      <c r="BF1223">
        <f>$C1223*BF1222</f>
        <v/>
      </c>
      <c r="BG1223">
        <f>$C1223*BG1222</f>
        <v/>
      </c>
      <c r="BH1223">
        <f>$C1223*BH1222</f>
        <v/>
      </c>
      <c r="BI1223">
        <f>$C1223*BI1222</f>
        <v/>
      </c>
      <c r="BJ1223">
        <f>$C1223*BJ1222</f>
        <v/>
      </c>
      <c r="BK1223">
        <f>$C1223*BK1222</f>
        <v/>
      </c>
      <c r="BL1223">
        <f>$C1223*BL1222</f>
        <v/>
      </c>
      <c r="BM1223">
        <f>$C1223*BM1222</f>
        <v/>
      </c>
      <c r="BN1223">
        <f>$C1223*BN1222</f>
        <v/>
      </c>
      <c r="BO1223">
        <f>$C1223*BO1222</f>
        <v/>
      </c>
      <c r="BP1223">
        <f>$C1223*BP1222</f>
        <v/>
      </c>
      <c r="BQ1223">
        <f>$C1223*BQ1222</f>
        <v/>
      </c>
      <c r="BR1223">
        <f>$C1223*BR1222</f>
        <v/>
      </c>
      <c r="BS1223">
        <f>$C1223*BS1222</f>
        <v/>
      </c>
      <c r="BT1223">
        <f>$C1223*BT1222</f>
        <v/>
      </c>
      <c r="BU1223">
        <f>$C1223*BU1222</f>
        <v/>
      </c>
      <c r="BV1223">
        <f>$C1223*BV1222</f>
        <v/>
      </c>
      <c r="BW1223">
        <f>$C1223*BW1222</f>
        <v/>
      </c>
      <c r="BX1223">
        <f>$C1223*BX1222</f>
        <v/>
      </c>
      <c r="BY1223">
        <f>$C1223*BY1222</f>
        <v/>
      </c>
      <c r="BZ1223">
        <f>$C1223*BZ1222</f>
        <v/>
      </c>
      <c r="CA1223">
        <f>$C1223*CA1222</f>
        <v/>
      </c>
      <c r="CB1223">
        <f>$C1223*CB1222</f>
        <v/>
      </c>
      <c r="CC1223">
        <f>$C1223*CC1222</f>
        <v/>
      </c>
      <c r="CD1223">
        <f>$C1223*CD1222</f>
        <v/>
      </c>
      <c r="CE1223">
        <f>$C1223*CE1222</f>
        <v/>
      </c>
      <c r="CF1223">
        <f>$C1223*CF1222</f>
        <v/>
      </c>
      <c r="CG1223">
        <f>$C1223*CG1222</f>
        <v/>
      </c>
      <c r="CH1223">
        <f>$C1223*CH1222</f>
        <v/>
      </c>
      <c r="CI1223">
        <f>$C1223*CI1222</f>
        <v/>
      </c>
      <c r="CJ1223">
        <f>$C1223*CJ1222</f>
        <v/>
      </c>
      <c r="CK1223">
        <f>$C1223*CK1222</f>
        <v/>
      </c>
      <c r="CL1223">
        <f>$C1223*CL1222</f>
        <v/>
      </c>
      <c r="CM1223">
        <f>$C1223*CM1222</f>
        <v/>
      </c>
      <c r="CN1223">
        <f>$C1223*CN1222</f>
        <v/>
      </c>
      <c r="CO1223">
        <f>$C1223*CO1222</f>
        <v/>
      </c>
      <c r="CP1223">
        <f>$C1223*CP1222</f>
        <v/>
      </c>
      <c r="CQ1223">
        <f>$C1223*CQ1222</f>
        <v/>
      </c>
      <c r="CR1223">
        <f>$C1223*CR1222</f>
        <v/>
      </c>
      <c r="CS1223">
        <f>$C1223*CS1222</f>
        <v/>
      </c>
      <c r="CT1223">
        <f>$C1223*CT1222</f>
        <v/>
      </c>
      <c r="CU1223">
        <f>$C1223*CU1222</f>
        <v/>
      </c>
      <c r="CV1223">
        <f>$C1223*CV1222</f>
        <v/>
      </c>
      <c r="CW1223">
        <f>$C1223*CW1222</f>
        <v/>
      </c>
      <c r="CX1223">
        <f>$C1223*CX1222</f>
        <v/>
      </c>
      <c r="CY1223">
        <f>$C1223*CY1222</f>
        <v/>
      </c>
      <c r="CZ1223">
        <f>$C1223*CZ1222</f>
        <v/>
      </c>
      <c r="DA1223">
        <f>$C1223*DA1222</f>
        <v/>
      </c>
      <c r="DB1223">
        <f>$C1223*DB1222</f>
        <v/>
      </c>
      <c r="DC1223">
        <f>$C1223*DC1222</f>
        <v/>
      </c>
    </row>
    <row r="1224">
      <c r="B1224" t="inlineStr">
        <is>
          <t>TSP-1499</t>
        </is>
      </c>
      <c r="C1224" t="inlineStr">
        <is>
          <t>No. of batches</t>
        </is>
      </c>
      <c r="D1224">
        <f>IFERROR(INDEX(PP_Grid[#Data],$DD1224,2),0)</f>
        <v/>
      </c>
      <c r="E1224">
        <f>IFERROR(INDEX(PP_Grid[#Data],$DD1224,3),0)</f>
        <v/>
      </c>
      <c r="F1224">
        <f>IFERROR(INDEX(PP_Grid[#Data],$DD1224,4),0)</f>
        <v/>
      </c>
      <c r="G1224">
        <f>IFERROR(INDEX(PP_Grid[#Data],$DD1224,5),0)</f>
        <v/>
      </c>
      <c r="H1224">
        <f>IFERROR(INDEX(PP_Grid[#Data],$DD1224,6),0)</f>
        <v/>
      </c>
      <c r="I1224">
        <f>IFERROR(INDEX(PP_Grid[#Data],$DD1224,7),0)</f>
        <v/>
      </c>
      <c r="J1224">
        <f>IFERROR(INDEX(PP_Grid[#Data],$DD1224,8),0)</f>
        <v/>
      </c>
      <c r="K1224">
        <f>IFERROR(INDEX(PP_Grid[#Data],$DD1224,9),0)</f>
        <v/>
      </c>
      <c r="L1224">
        <f>IFERROR(INDEX(PP_Grid[#Data],$DD1224,10),0)</f>
        <v/>
      </c>
      <c r="M1224">
        <f>IFERROR(INDEX(PP_Grid[#Data],$DD1224,11),0)</f>
        <v/>
      </c>
      <c r="N1224">
        <f>IFERROR(INDEX(PP_Grid[#Data],$DD1224,12),0)</f>
        <v/>
      </c>
      <c r="O1224">
        <f>IFERROR(INDEX(PP_Grid[#Data],$DD1224,13),0)</f>
        <v/>
      </c>
      <c r="P1224">
        <f>IFERROR(INDEX(PP_Grid[#Data],$DD1224,14),0)</f>
        <v/>
      </c>
      <c r="Q1224">
        <f>IFERROR(INDEX(PP_Grid[#Data],$DD1224,15),0)</f>
        <v/>
      </c>
      <c r="R1224">
        <f>IFERROR(INDEX(PP_Grid[#Data],$DD1224,16),0)</f>
        <v/>
      </c>
      <c r="S1224">
        <f>IFERROR(INDEX(PP_Grid[#Data],$DD1224,17),0)</f>
        <v/>
      </c>
      <c r="T1224">
        <f>IFERROR(INDEX(PP_Grid[#Data],$DD1224,18),0)</f>
        <v/>
      </c>
      <c r="U1224">
        <f>IFERROR(INDEX(PP_Grid[#Data],$DD1224,19),0)</f>
        <v/>
      </c>
      <c r="V1224">
        <f>IFERROR(INDEX(PP_Grid[#Data],$DD1224,20),0)</f>
        <v/>
      </c>
      <c r="W1224">
        <f>IFERROR(INDEX(PP_Grid[#Data],$DD1224,21),0)</f>
        <v/>
      </c>
      <c r="X1224">
        <f>IFERROR(INDEX(PP_Grid[#Data],$DD1224,22),0)</f>
        <v/>
      </c>
      <c r="Y1224">
        <f>IFERROR(INDEX(PP_Grid[#Data],$DD1224,23),0)</f>
        <v/>
      </c>
      <c r="Z1224">
        <f>IFERROR(INDEX(PP_Grid[#Data],$DD1224,24),0)</f>
        <v/>
      </c>
      <c r="AA1224">
        <f>IFERROR(INDEX(PP_Grid[#Data],$DD1224,25),0)</f>
        <v/>
      </c>
      <c r="AB1224">
        <f>IFERROR(INDEX(PP_Grid[#Data],$DD1224,26),0)</f>
        <v/>
      </c>
      <c r="AC1224">
        <f>IFERROR(INDEX(PP_Grid[#Data],$DD1224,27),0)</f>
        <v/>
      </c>
      <c r="AD1224">
        <f>IFERROR(INDEX(PP_Grid[#Data],$DD1224,28),0)</f>
        <v/>
      </c>
      <c r="AE1224">
        <f>IFERROR(INDEX(PP_Grid[#Data],$DD1224,29),0)</f>
        <v/>
      </c>
      <c r="AF1224">
        <f>IFERROR(INDEX(PP_Grid[#Data],$DD1224,30),0)</f>
        <v/>
      </c>
      <c r="AG1224">
        <f>IFERROR(INDEX(PP_Grid[#Data],$DD1224,31),0)</f>
        <v/>
      </c>
      <c r="AH1224">
        <f>IFERROR(INDEX(PP_Grid[#Data],$DD1224,32),0)</f>
        <v/>
      </c>
      <c r="AI1224">
        <f>IFERROR(INDEX(PP_Grid[#Data],$DD1224,33),0)</f>
        <v/>
      </c>
      <c r="AJ1224">
        <f>IFERROR(INDEX(PP_Grid[#Data],$DD1224,34),0)</f>
        <v/>
      </c>
      <c r="AK1224">
        <f>IFERROR(INDEX(PP_Grid[#Data],$DD1224,35),0)</f>
        <v/>
      </c>
      <c r="AL1224">
        <f>IFERROR(INDEX(PP_Grid[#Data],$DD1224,36),0)</f>
        <v/>
      </c>
      <c r="AM1224">
        <f>IFERROR(INDEX(PP_Grid[#Data],$DD1224,37),0)</f>
        <v/>
      </c>
      <c r="AN1224">
        <f>IFERROR(INDEX(PP_Grid[#Data],$DD1224,38),0)</f>
        <v/>
      </c>
      <c r="AO1224">
        <f>IFERROR(INDEX(PP_Grid[#Data],$DD1224,39),0)</f>
        <v/>
      </c>
      <c r="AP1224">
        <f>IFERROR(INDEX(PP_Grid[#Data],$DD1224,40),0)</f>
        <v/>
      </c>
      <c r="AQ1224">
        <f>IFERROR(INDEX(PP_Grid[#Data],$DD1224,41),0)</f>
        <v/>
      </c>
      <c r="AR1224">
        <f>IFERROR(INDEX(PP_Grid[#Data],$DD1224,42),0)</f>
        <v/>
      </c>
      <c r="AS1224">
        <f>IFERROR(INDEX(PP_Grid[#Data],$DD1224,43),0)</f>
        <v/>
      </c>
      <c r="AT1224">
        <f>IFERROR(INDEX(PP_Grid[#Data],$DD1224,44),0)</f>
        <v/>
      </c>
      <c r="AU1224">
        <f>IFERROR(INDEX(PP_Grid[#Data],$DD1224,45),0)</f>
        <v/>
      </c>
      <c r="AV1224">
        <f>IFERROR(INDEX(PP_Grid[#Data],$DD1224,46),0)</f>
        <v/>
      </c>
      <c r="AW1224">
        <f>IFERROR(INDEX(PP_Grid[#Data],$DD1224,47),0)</f>
        <v/>
      </c>
      <c r="AX1224">
        <f>IFERROR(INDEX(PP_Grid[#Data],$DD1224,48),0)</f>
        <v/>
      </c>
      <c r="AY1224">
        <f>IFERROR(INDEX(PP_Grid[#Data],$DD1224,49),0)</f>
        <v/>
      </c>
      <c r="AZ1224">
        <f>IFERROR(INDEX(PP_Grid[#Data],$DD1224,50),0)</f>
        <v/>
      </c>
      <c r="BA1224">
        <f>IFERROR(INDEX(PP_Grid[#Data],$DD1224,51),0)</f>
        <v/>
      </c>
      <c r="BB1224">
        <f>IFERROR(INDEX(PP_Grid[#Data],$DD1224,52),0)</f>
        <v/>
      </c>
      <c r="BC1224">
        <f>IFERROR(INDEX(PP_Grid[#Data],$DD1224,53),0)</f>
        <v/>
      </c>
      <c r="BD1224">
        <f>IFERROR(INDEX(PP_Grid[#Data],$DD1224,54),0)</f>
        <v/>
      </c>
      <c r="BE1224">
        <f>IFERROR(INDEX(PP_Grid[#Data],$DD1224,55),0)</f>
        <v/>
      </c>
      <c r="BF1224">
        <f>IFERROR(INDEX(PP_Grid[#Data],$DD1224,56),0)</f>
        <v/>
      </c>
      <c r="BG1224">
        <f>IFERROR(INDEX(PP_Grid[#Data],$DD1224,57),0)</f>
        <v/>
      </c>
      <c r="BH1224">
        <f>IFERROR(INDEX(PP_Grid[#Data],$DD1224,58),0)</f>
        <v/>
      </c>
      <c r="BI1224">
        <f>IFERROR(INDEX(PP_Grid[#Data],$DD1224,59),0)</f>
        <v/>
      </c>
      <c r="BJ1224">
        <f>IFERROR(INDEX(PP_Grid[#Data],$DD1224,60),0)</f>
        <v/>
      </c>
      <c r="BK1224">
        <f>IFERROR(INDEX(PP_Grid[#Data],$DD1224,61),0)</f>
        <v/>
      </c>
      <c r="BL1224">
        <f>IFERROR(INDEX(PP_Grid[#Data],$DD1224,62),0)</f>
        <v/>
      </c>
      <c r="BM1224">
        <f>IFERROR(INDEX(PP_Grid[#Data],$DD1224,63),0)</f>
        <v/>
      </c>
      <c r="BN1224">
        <f>IFERROR(INDEX(PP_Grid[#Data],$DD1224,64),0)</f>
        <v/>
      </c>
      <c r="BO1224">
        <f>IFERROR(INDEX(PP_Grid[#Data],$DD1224,65),0)</f>
        <v/>
      </c>
      <c r="BP1224">
        <f>IFERROR(INDEX(PP_Grid[#Data],$DD1224,66),0)</f>
        <v/>
      </c>
      <c r="BQ1224">
        <f>IFERROR(INDEX(PP_Grid[#Data],$DD1224,67),0)</f>
        <v/>
      </c>
      <c r="BR1224">
        <f>IFERROR(INDEX(PP_Grid[#Data],$DD1224,68),0)</f>
        <v/>
      </c>
      <c r="BS1224">
        <f>IFERROR(INDEX(PP_Grid[#Data],$DD1224,69),0)</f>
        <v/>
      </c>
      <c r="BT1224">
        <f>IFERROR(INDEX(PP_Grid[#Data],$DD1224,70),0)</f>
        <v/>
      </c>
      <c r="BU1224">
        <f>IFERROR(INDEX(PP_Grid[#Data],$DD1224,71),0)</f>
        <v/>
      </c>
      <c r="BV1224">
        <f>IFERROR(INDEX(PP_Grid[#Data],$DD1224,72),0)</f>
        <v/>
      </c>
      <c r="BW1224">
        <f>IFERROR(INDEX(PP_Grid[#Data],$DD1224,73),0)</f>
        <v/>
      </c>
      <c r="BX1224">
        <f>IFERROR(INDEX(PP_Grid[#Data],$DD1224,74),0)</f>
        <v/>
      </c>
      <c r="BY1224">
        <f>IFERROR(INDEX(PP_Grid[#Data],$DD1224,75),0)</f>
        <v/>
      </c>
      <c r="BZ1224">
        <f>IFERROR(INDEX(PP_Grid[#Data],$DD1224,76),0)</f>
        <v/>
      </c>
      <c r="CA1224">
        <f>IFERROR(INDEX(PP_Grid[#Data],$DD1224,77),0)</f>
        <v/>
      </c>
      <c r="CB1224">
        <f>IFERROR(INDEX(PP_Grid[#Data],$DD1224,78),0)</f>
        <v/>
      </c>
      <c r="CC1224">
        <f>IFERROR(INDEX(PP_Grid[#Data],$DD1224,79),0)</f>
        <v/>
      </c>
      <c r="CD1224">
        <f>IFERROR(INDEX(PP_Grid[#Data],$DD1224,80),0)</f>
        <v/>
      </c>
      <c r="CE1224">
        <f>IFERROR(INDEX(PP_Grid[#Data],$DD1224,81),0)</f>
        <v/>
      </c>
      <c r="CF1224">
        <f>IFERROR(INDEX(PP_Grid[#Data],$DD1224,82),0)</f>
        <v/>
      </c>
      <c r="CG1224">
        <f>IFERROR(INDEX(PP_Grid[#Data],$DD1224,83),0)</f>
        <v/>
      </c>
      <c r="CH1224">
        <f>IFERROR(INDEX(PP_Grid[#Data],$DD1224,84),0)</f>
        <v/>
      </c>
      <c r="CI1224">
        <f>IFERROR(INDEX(PP_Grid[#Data],$DD1224,85),0)</f>
        <v/>
      </c>
      <c r="CJ1224">
        <f>IFERROR(INDEX(PP_Grid[#Data],$DD1224,86),0)</f>
        <v/>
      </c>
      <c r="CK1224">
        <f>IFERROR(INDEX(PP_Grid[#Data],$DD1224,87),0)</f>
        <v/>
      </c>
      <c r="CL1224">
        <f>IFERROR(INDEX(PP_Grid[#Data],$DD1224,88),0)</f>
        <v/>
      </c>
      <c r="CM1224">
        <f>IFERROR(INDEX(PP_Grid[#Data],$DD1224,89),0)</f>
        <v/>
      </c>
      <c r="CN1224">
        <f>IFERROR(INDEX(PP_Grid[#Data],$DD1224,90),0)</f>
        <v/>
      </c>
      <c r="CO1224">
        <f>IFERROR(INDEX(PP_Grid[#Data],$DD1224,91),0)</f>
        <v/>
      </c>
      <c r="CP1224">
        <f>IFERROR(INDEX(PP_Grid[#Data],$DD1224,92),0)</f>
        <v/>
      </c>
      <c r="CQ1224">
        <f>IFERROR(INDEX(PP_Grid[#Data],$DD1224,93),0)</f>
        <v/>
      </c>
      <c r="CR1224">
        <f>IFERROR(INDEX(PP_Grid[#Data],$DD1224,94),0)</f>
        <v/>
      </c>
      <c r="CS1224">
        <f>IFERROR(INDEX(PP_Grid[#Data],$DD1224,95),0)</f>
        <v/>
      </c>
      <c r="CT1224">
        <f>IFERROR(INDEX(PP_Grid[#Data],$DD1224,96),0)</f>
        <v/>
      </c>
      <c r="CU1224">
        <f>IFERROR(INDEX(PP_Grid[#Data],$DD1224,97),0)</f>
        <v/>
      </c>
      <c r="CV1224">
        <f>IFERROR(INDEX(PP_Grid[#Data],$DD1224,98),0)</f>
        <v/>
      </c>
      <c r="CW1224">
        <f>IFERROR(INDEX(PP_Grid[#Data],$DD1224,99),0)</f>
        <v/>
      </c>
      <c r="CX1224">
        <f>IFERROR(INDEX(PP_Grid[#Data],$DD1224,100),0)</f>
        <v/>
      </c>
      <c r="CY1224">
        <f>IFERROR(INDEX(PP_Grid[#Data],$DD1224,101),0)</f>
        <v/>
      </c>
      <c r="CZ1224">
        <f>IFERROR(INDEX(PP_Grid[#Data],$DD1224,102),0)</f>
        <v/>
      </c>
      <c r="DA1224">
        <f>IFERROR(INDEX(PP_Grid[#Data],$DD1224,103),0)</f>
        <v/>
      </c>
      <c r="DB1224">
        <f>IFERROR(INDEX(PP_Grid[#Data],$DD1224,104),0)</f>
        <v/>
      </c>
      <c r="DC1224">
        <f>IFERROR(INDEX(PP_Grid[#Data],$DD1224,105),0)</f>
        <v/>
      </c>
      <c r="DD1224" s="12">
        <f>IFERROR(MATCH($B1224,PP_Grid[Intermediate],0),99999)</f>
        <v/>
      </c>
    </row>
    <row r="1225">
      <c r="B1225" t="inlineStr">
        <is>
          <t>使用量(kg)</t>
        </is>
      </c>
      <c r="C1225">
        <f>SUMIFS(M_BOM[RM_Qty_Per_Batch],M_BOM[Intermediate],$B1224,M_BOM[Part Name],$A1213)</f>
        <v/>
      </c>
      <c r="D1225">
        <f>$C1225*D1224</f>
        <v/>
      </c>
      <c r="E1225">
        <f>$C1225*E1224</f>
        <v/>
      </c>
      <c r="F1225">
        <f>$C1225*F1224</f>
        <v/>
      </c>
      <c r="G1225">
        <f>$C1225*G1224</f>
        <v/>
      </c>
      <c r="H1225">
        <f>$C1225*H1224</f>
        <v/>
      </c>
      <c r="I1225">
        <f>$C1225*I1224</f>
        <v/>
      </c>
      <c r="J1225">
        <f>$C1225*J1224</f>
        <v/>
      </c>
      <c r="K1225">
        <f>$C1225*K1224</f>
        <v/>
      </c>
      <c r="L1225">
        <f>$C1225*L1224</f>
        <v/>
      </c>
      <c r="M1225">
        <f>$C1225*M1224</f>
        <v/>
      </c>
      <c r="N1225">
        <f>$C1225*N1224</f>
        <v/>
      </c>
      <c r="O1225">
        <f>$C1225*O1224</f>
        <v/>
      </c>
      <c r="P1225">
        <f>$C1225*P1224</f>
        <v/>
      </c>
      <c r="Q1225">
        <f>$C1225*Q1224</f>
        <v/>
      </c>
      <c r="R1225">
        <f>$C1225*R1224</f>
        <v/>
      </c>
      <c r="S1225">
        <f>$C1225*S1224</f>
        <v/>
      </c>
      <c r="T1225">
        <f>$C1225*T1224</f>
        <v/>
      </c>
      <c r="U1225">
        <f>$C1225*U1224</f>
        <v/>
      </c>
      <c r="V1225">
        <f>$C1225*V1224</f>
        <v/>
      </c>
      <c r="W1225">
        <f>$C1225*W1224</f>
        <v/>
      </c>
      <c r="X1225">
        <f>$C1225*X1224</f>
        <v/>
      </c>
      <c r="Y1225">
        <f>$C1225*Y1224</f>
        <v/>
      </c>
      <c r="Z1225">
        <f>$C1225*Z1224</f>
        <v/>
      </c>
      <c r="AA1225">
        <f>$C1225*AA1224</f>
        <v/>
      </c>
      <c r="AB1225">
        <f>$C1225*AB1224</f>
        <v/>
      </c>
      <c r="AC1225">
        <f>$C1225*AC1224</f>
        <v/>
      </c>
      <c r="AD1225">
        <f>$C1225*AD1224</f>
        <v/>
      </c>
      <c r="AE1225">
        <f>$C1225*AE1224</f>
        <v/>
      </c>
      <c r="AF1225">
        <f>$C1225*AF1224</f>
        <v/>
      </c>
      <c r="AG1225">
        <f>$C1225*AG1224</f>
        <v/>
      </c>
      <c r="AH1225">
        <f>$C1225*AH1224</f>
        <v/>
      </c>
      <c r="AI1225">
        <f>$C1225*AI1224</f>
        <v/>
      </c>
      <c r="AJ1225">
        <f>$C1225*AJ1224</f>
        <v/>
      </c>
      <c r="AK1225">
        <f>$C1225*AK1224</f>
        <v/>
      </c>
      <c r="AL1225">
        <f>$C1225*AL1224</f>
        <v/>
      </c>
      <c r="AM1225">
        <f>$C1225*AM1224</f>
        <v/>
      </c>
      <c r="AN1225">
        <f>$C1225*AN1224</f>
        <v/>
      </c>
      <c r="AO1225">
        <f>$C1225*AO1224</f>
        <v/>
      </c>
      <c r="AP1225">
        <f>$C1225*AP1224</f>
        <v/>
      </c>
      <c r="AQ1225">
        <f>$C1225*AQ1224</f>
        <v/>
      </c>
      <c r="AR1225">
        <f>$C1225*AR1224</f>
        <v/>
      </c>
      <c r="AS1225">
        <f>$C1225*AS1224</f>
        <v/>
      </c>
      <c r="AT1225">
        <f>$C1225*AT1224</f>
        <v/>
      </c>
      <c r="AU1225">
        <f>$C1225*AU1224</f>
        <v/>
      </c>
      <c r="AV1225">
        <f>$C1225*AV1224</f>
        <v/>
      </c>
      <c r="AW1225">
        <f>$C1225*AW1224</f>
        <v/>
      </c>
      <c r="AX1225">
        <f>$C1225*AX1224</f>
        <v/>
      </c>
      <c r="AY1225">
        <f>$C1225*AY1224</f>
        <v/>
      </c>
      <c r="AZ1225">
        <f>$C1225*AZ1224</f>
        <v/>
      </c>
      <c r="BA1225">
        <f>$C1225*BA1224</f>
        <v/>
      </c>
      <c r="BB1225">
        <f>$C1225*BB1224</f>
        <v/>
      </c>
      <c r="BC1225">
        <f>$C1225*BC1224</f>
        <v/>
      </c>
      <c r="BD1225">
        <f>$C1225*BD1224</f>
        <v/>
      </c>
      <c r="BE1225">
        <f>$C1225*BE1224</f>
        <v/>
      </c>
      <c r="BF1225">
        <f>$C1225*BF1224</f>
        <v/>
      </c>
      <c r="BG1225">
        <f>$C1225*BG1224</f>
        <v/>
      </c>
      <c r="BH1225">
        <f>$C1225*BH1224</f>
        <v/>
      </c>
      <c r="BI1225">
        <f>$C1225*BI1224</f>
        <v/>
      </c>
      <c r="BJ1225">
        <f>$C1225*BJ1224</f>
        <v/>
      </c>
      <c r="BK1225">
        <f>$C1225*BK1224</f>
        <v/>
      </c>
      <c r="BL1225">
        <f>$C1225*BL1224</f>
        <v/>
      </c>
      <c r="BM1225">
        <f>$C1225*BM1224</f>
        <v/>
      </c>
      <c r="BN1225">
        <f>$C1225*BN1224</f>
        <v/>
      </c>
      <c r="BO1225">
        <f>$C1225*BO1224</f>
        <v/>
      </c>
      <c r="BP1225">
        <f>$C1225*BP1224</f>
        <v/>
      </c>
      <c r="BQ1225">
        <f>$C1225*BQ1224</f>
        <v/>
      </c>
      <c r="BR1225">
        <f>$C1225*BR1224</f>
        <v/>
      </c>
      <c r="BS1225">
        <f>$C1225*BS1224</f>
        <v/>
      </c>
      <c r="BT1225">
        <f>$C1225*BT1224</f>
        <v/>
      </c>
      <c r="BU1225">
        <f>$C1225*BU1224</f>
        <v/>
      </c>
      <c r="BV1225">
        <f>$C1225*BV1224</f>
        <v/>
      </c>
      <c r="BW1225">
        <f>$C1225*BW1224</f>
        <v/>
      </c>
      <c r="BX1225">
        <f>$C1225*BX1224</f>
        <v/>
      </c>
      <c r="BY1225">
        <f>$C1225*BY1224</f>
        <v/>
      </c>
      <c r="BZ1225">
        <f>$C1225*BZ1224</f>
        <v/>
      </c>
      <c r="CA1225">
        <f>$C1225*CA1224</f>
        <v/>
      </c>
      <c r="CB1225">
        <f>$C1225*CB1224</f>
        <v/>
      </c>
      <c r="CC1225">
        <f>$C1225*CC1224</f>
        <v/>
      </c>
      <c r="CD1225">
        <f>$C1225*CD1224</f>
        <v/>
      </c>
      <c r="CE1225">
        <f>$C1225*CE1224</f>
        <v/>
      </c>
      <c r="CF1225">
        <f>$C1225*CF1224</f>
        <v/>
      </c>
      <c r="CG1225">
        <f>$C1225*CG1224</f>
        <v/>
      </c>
      <c r="CH1225">
        <f>$C1225*CH1224</f>
        <v/>
      </c>
      <c r="CI1225">
        <f>$C1225*CI1224</f>
        <v/>
      </c>
      <c r="CJ1225">
        <f>$C1225*CJ1224</f>
        <v/>
      </c>
      <c r="CK1225">
        <f>$C1225*CK1224</f>
        <v/>
      </c>
      <c r="CL1225">
        <f>$C1225*CL1224</f>
        <v/>
      </c>
      <c r="CM1225">
        <f>$C1225*CM1224</f>
        <v/>
      </c>
      <c r="CN1225">
        <f>$C1225*CN1224</f>
        <v/>
      </c>
      <c r="CO1225">
        <f>$C1225*CO1224</f>
        <v/>
      </c>
      <c r="CP1225">
        <f>$C1225*CP1224</f>
        <v/>
      </c>
      <c r="CQ1225">
        <f>$C1225*CQ1224</f>
        <v/>
      </c>
      <c r="CR1225">
        <f>$C1225*CR1224</f>
        <v/>
      </c>
      <c r="CS1225">
        <f>$C1225*CS1224</f>
        <v/>
      </c>
      <c r="CT1225">
        <f>$C1225*CT1224</f>
        <v/>
      </c>
      <c r="CU1225">
        <f>$C1225*CU1224</f>
        <v/>
      </c>
      <c r="CV1225">
        <f>$C1225*CV1224</f>
        <v/>
      </c>
      <c r="CW1225">
        <f>$C1225*CW1224</f>
        <v/>
      </c>
      <c r="CX1225">
        <f>$C1225*CX1224</f>
        <v/>
      </c>
      <c r="CY1225">
        <f>$C1225*CY1224</f>
        <v/>
      </c>
      <c r="CZ1225">
        <f>$C1225*CZ1224</f>
        <v/>
      </c>
      <c r="DA1225">
        <f>$C1225*DA1224</f>
        <v/>
      </c>
      <c r="DB1225">
        <f>$C1225*DB1224</f>
        <v/>
      </c>
      <c r="DC1225">
        <f>$C1225*DC1224</f>
        <v/>
      </c>
    </row>
    <row r="1226">
      <c r="B1226" t="inlineStr">
        <is>
          <t>TSP-1555</t>
        </is>
      </c>
      <c r="C1226" t="inlineStr">
        <is>
          <t>No. of batches</t>
        </is>
      </c>
      <c r="D1226">
        <f>IFERROR(INDEX(PP_Grid[#Data],$DD1226,2),0)</f>
        <v/>
      </c>
      <c r="E1226">
        <f>IFERROR(INDEX(PP_Grid[#Data],$DD1226,3),0)</f>
        <v/>
      </c>
      <c r="F1226">
        <f>IFERROR(INDEX(PP_Grid[#Data],$DD1226,4),0)</f>
        <v/>
      </c>
      <c r="G1226">
        <f>IFERROR(INDEX(PP_Grid[#Data],$DD1226,5),0)</f>
        <v/>
      </c>
      <c r="H1226">
        <f>IFERROR(INDEX(PP_Grid[#Data],$DD1226,6),0)</f>
        <v/>
      </c>
      <c r="I1226">
        <f>IFERROR(INDEX(PP_Grid[#Data],$DD1226,7),0)</f>
        <v/>
      </c>
      <c r="J1226">
        <f>IFERROR(INDEX(PP_Grid[#Data],$DD1226,8),0)</f>
        <v/>
      </c>
      <c r="K1226">
        <f>IFERROR(INDEX(PP_Grid[#Data],$DD1226,9),0)</f>
        <v/>
      </c>
      <c r="L1226">
        <f>IFERROR(INDEX(PP_Grid[#Data],$DD1226,10),0)</f>
        <v/>
      </c>
      <c r="M1226">
        <f>IFERROR(INDEX(PP_Grid[#Data],$DD1226,11),0)</f>
        <v/>
      </c>
      <c r="N1226">
        <f>IFERROR(INDEX(PP_Grid[#Data],$DD1226,12),0)</f>
        <v/>
      </c>
      <c r="O1226">
        <f>IFERROR(INDEX(PP_Grid[#Data],$DD1226,13),0)</f>
        <v/>
      </c>
      <c r="P1226">
        <f>IFERROR(INDEX(PP_Grid[#Data],$DD1226,14),0)</f>
        <v/>
      </c>
      <c r="Q1226">
        <f>IFERROR(INDEX(PP_Grid[#Data],$DD1226,15),0)</f>
        <v/>
      </c>
      <c r="R1226">
        <f>IFERROR(INDEX(PP_Grid[#Data],$DD1226,16),0)</f>
        <v/>
      </c>
      <c r="S1226">
        <f>IFERROR(INDEX(PP_Grid[#Data],$DD1226,17),0)</f>
        <v/>
      </c>
      <c r="T1226">
        <f>IFERROR(INDEX(PP_Grid[#Data],$DD1226,18),0)</f>
        <v/>
      </c>
      <c r="U1226">
        <f>IFERROR(INDEX(PP_Grid[#Data],$DD1226,19),0)</f>
        <v/>
      </c>
      <c r="V1226">
        <f>IFERROR(INDEX(PP_Grid[#Data],$DD1226,20),0)</f>
        <v/>
      </c>
      <c r="W1226">
        <f>IFERROR(INDEX(PP_Grid[#Data],$DD1226,21),0)</f>
        <v/>
      </c>
      <c r="X1226">
        <f>IFERROR(INDEX(PP_Grid[#Data],$DD1226,22),0)</f>
        <v/>
      </c>
      <c r="Y1226">
        <f>IFERROR(INDEX(PP_Grid[#Data],$DD1226,23),0)</f>
        <v/>
      </c>
      <c r="Z1226">
        <f>IFERROR(INDEX(PP_Grid[#Data],$DD1226,24),0)</f>
        <v/>
      </c>
      <c r="AA1226">
        <f>IFERROR(INDEX(PP_Grid[#Data],$DD1226,25),0)</f>
        <v/>
      </c>
      <c r="AB1226">
        <f>IFERROR(INDEX(PP_Grid[#Data],$DD1226,26),0)</f>
        <v/>
      </c>
      <c r="AC1226">
        <f>IFERROR(INDEX(PP_Grid[#Data],$DD1226,27),0)</f>
        <v/>
      </c>
      <c r="AD1226">
        <f>IFERROR(INDEX(PP_Grid[#Data],$DD1226,28),0)</f>
        <v/>
      </c>
      <c r="AE1226">
        <f>IFERROR(INDEX(PP_Grid[#Data],$DD1226,29),0)</f>
        <v/>
      </c>
      <c r="AF1226">
        <f>IFERROR(INDEX(PP_Grid[#Data],$DD1226,30),0)</f>
        <v/>
      </c>
      <c r="AG1226">
        <f>IFERROR(INDEX(PP_Grid[#Data],$DD1226,31),0)</f>
        <v/>
      </c>
      <c r="AH1226">
        <f>IFERROR(INDEX(PP_Grid[#Data],$DD1226,32),0)</f>
        <v/>
      </c>
      <c r="AI1226">
        <f>IFERROR(INDEX(PP_Grid[#Data],$DD1226,33),0)</f>
        <v/>
      </c>
      <c r="AJ1226">
        <f>IFERROR(INDEX(PP_Grid[#Data],$DD1226,34),0)</f>
        <v/>
      </c>
      <c r="AK1226">
        <f>IFERROR(INDEX(PP_Grid[#Data],$DD1226,35),0)</f>
        <v/>
      </c>
      <c r="AL1226">
        <f>IFERROR(INDEX(PP_Grid[#Data],$DD1226,36),0)</f>
        <v/>
      </c>
      <c r="AM1226">
        <f>IFERROR(INDEX(PP_Grid[#Data],$DD1226,37),0)</f>
        <v/>
      </c>
      <c r="AN1226">
        <f>IFERROR(INDEX(PP_Grid[#Data],$DD1226,38),0)</f>
        <v/>
      </c>
      <c r="AO1226">
        <f>IFERROR(INDEX(PP_Grid[#Data],$DD1226,39),0)</f>
        <v/>
      </c>
      <c r="AP1226">
        <f>IFERROR(INDEX(PP_Grid[#Data],$DD1226,40),0)</f>
        <v/>
      </c>
      <c r="AQ1226">
        <f>IFERROR(INDEX(PP_Grid[#Data],$DD1226,41),0)</f>
        <v/>
      </c>
      <c r="AR1226">
        <f>IFERROR(INDEX(PP_Grid[#Data],$DD1226,42),0)</f>
        <v/>
      </c>
      <c r="AS1226">
        <f>IFERROR(INDEX(PP_Grid[#Data],$DD1226,43),0)</f>
        <v/>
      </c>
      <c r="AT1226">
        <f>IFERROR(INDEX(PP_Grid[#Data],$DD1226,44),0)</f>
        <v/>
      </c>
      <c r="AU1226">
        <f>IFERROR(INDEX(PP_Grid[#Data],$DD1226,45),0)</f>
        <v/>
      </c>
      <c r="AV1226">
        <f>IFERROR(INDEX(PP_Grid[#Data],$DD1226,46),0)</f>
        <v/>
      </c>
      <c r="AW1226">
        <f>IFERROR(INDEX(PP_Grid[#Data],$DD1226,47),0)</f>
        <v/>
      </c>
      <c r="AX1226">
        <f>IFERROR(INDEX(PP_Grid[#Data],$DD1226,48),0)</f>
        <v/>
      </c>
      <c r="AY1226">
        <f>IFERROR(INDEX(PP_Grid[#Data],$DD1226,49),0)</f>
        <v/>
      </c>
      <c r="AZ1226">
        <f>IFERROR(INDEX(PP_Grid[#Data],$DD1226,50),0)</f>
        <v/>
      </c>
      <c r="BA1226">
        <f>IFERROR(INDEX(PP_Grid[#Data],$DD1226,51),0)</f>
        <v/>
      </c>
      <c r="BB1226">
        <f>IFERROR(INDEX(PP_Grid[#Data],$DD1226,52),0)</f>
        <v/>
      </c>
      <c r="BC1226">
        <f>IFERROR(INDEX(PP_Grid[#Data],$DD1226,53),0)</f>
        <v/>
      </c>
      <c r="BD1226">
        <f>IFERROR(INDEX(PP_Grid[#Data],$DD1226,54),0)</f>
        <v/>
      </c>
      <c r="BE1226">
        <f>IFERROR(INDEX(PP_Grid[#Data],$DD1226,55),0)</f>
        <v/>
      </c>
      <c r="BF1226">
        <f>IFERROR(INDEX(PP_Grid[#Data],$DD1226,56),0)</f>
        <v/>
      </c>
      <c r="BG1226">
        <f>IFERROR(INDEX(PP_Grid[#Data],$DD1226,57),0)</f>
        <v/>
      </c>
      <c r="BH1226">
        <f>IFERROR(INDEX(PP_Grid[#Data],$DD1226,58),0)</f>
        <v/>
      </c>
      <c r="BI1226">
        <f>IFERROR(INDEX(PP_Grid[#Data],$DD1226,59),0)</f>
        <v/>
      </c>
      <c r="BJ1226">
        <f>IFERROR(INDEX(PP_Grid[#Data],$DD1226,60),0)</f>
        <v/>
      </c>
      <c r="BK1226">
        <f>IFERROR(INDEX(PP_Grid[#Data],$DD1226,61),0)</f>
        <v/>
      </c>
      <c r="BL1226">
        <f>IFERROR(INDEX(PP_Grid[#Data],$DD1226,62),0)</f>
        <v/>
      </c>
      <c r="BM1226">
        <f>IFERROR(INDEX(PP_Grid[#Data],$DD1226,63),0)</f>
        <v/>
      </c>
      <c r="BN1226">
        <f>IFERROR(INDEX(PP_Grid[#Data],$DD1226,64),0)</f>
        <v/>
      </c>
      <c r="BO1226">
        <f>IFERROR(INDEX(PP_Grid[#Data],$DD1226,65),0)</f>
        <v/>
      </c>
      <c r="BP1226">
        <f>IFERROR(INDEX(PP_Grid[#Data],$DD1226,66),0)</f>
        <v/>
      </c>
      <c r="BQ1226">
        <f>IFERROR(INDEX(PP_Grid[#Data],$DD1226,67),0)</f>
        <v/>
      </c>
      <c r="BR1226">
        <f>IFERROR(INDEX(PP_Grid[#Data],$DD1226,68),0)</f>
        <v/>
      </c>
      <c r="BS1226">
        <f>IFERROR(INDEX(PP_Grid[#Data],$DD1226,69),0)</f>
        <v/>
      </c>
      <c r="BT1226">
        <f>IFERROR(INDEX(PP_Grid[#Data],$DD1226,70),0)</f>
        <v/>
      </c>
      <c r="BU1226">
        <f>IFERROR(INDEX(PP_Grid[#Data],$DD1226,71),0)</f>
        <v/>
      </c>
      <c r="BV1226">
        <f>IFERROR(INDEX(PP_Grid[#Data],$DD1226,72),0)</f>
        <v/>
      </c>
      <c r="BW1226">
        <f>IFERROR(INDEX(PP_Grid[#Data],$DD1226,73),0)</f>
        <v/>
      </c>
      <c r="BX1226">
        <f>IFERROR(INDEX(PP_Grid[#Data],$DD1226,74),0)</f>
        <v/>
      </c>
      <c r="BY1226">
        <f>IFERROR(INDEX(PP_Grid[#Data],$DD1226,75),0)</f>
        <v/>
      </c>
      <c r="BZ1226">
        <f>IFERROR(INDEX(PP_Grid[#Data],$DD1226,76),0)</f>
        <v/>
      </c>
      <c r="CA1226">
        <f>IFERROR(INDEX(PP_Grid[#Data],$DD1226,77),0)</f>
        <v/>
      </c>
      <c r="CB1226">
        <f>IFERROR(INDEX(PP_Grid[#Data],$DD1226,78),0)</f>
        <v/>
      </c>
      <c r="CC1226">
        <f>IFERROR(INDEX(PP_Grid[#Data],$DD1226,79),0)</f>
        <v/>
      </c>
      <c r="CD1226">
        <f>IFERROR(INDEX(PP_Grid[#Data],$DD1226,80),0)</f>
        <v/>
      </c>
      <c r="CE1226">
        <f>IFERROR(INDEX(PP_Grid[#Data],$DD1226,81),0)</f>
        <v/>
      </c>
      <c r="CF1226">
        <f>IFERROR(INDEX(PP_Grid[#Data],$DD1226,82),0)</f>
        <v/>
      </c>
      <c r="CG1226">
        <f>IFERROR(INDEX(PP_Grid[#Data],$DD1226,83),0)</f>
        <v/>
      </c>
      <c r="CH1226">
        <f>IFERROR(INDEX(PP_Grid[#Data],$DD1226,84),0)</f>
        <v/>
      </c>
      <c r="CI1226">
        <f>IFERROR(INDEX(PP_Grid[#Data],$DD1226,85),0)</f>
        <v/>
      </c>
      <c r="CJ1226">
        <f>IFERROR(INDEX(PP_Grid[#Data],$DD1226,86),0)</f>
        <v/>
      </c>
      <c r="CK1226">
        <f>IFERROR(INDEX(PP_Grid[#Data],$DD1226,87),0)</f>
        <v/>
      </c>
      <c r="CL1226">
        <f>IFERROR(INDEX(PP_Grid[#Data],$DD1226,88),0)</f>
        <v/>
      </c>
      <c r="CM1226">
        <f>IFERROR(INDEX(PP_Grid[#Data],$DD1226,89),0)</f>
        <v/>
      </c>
      <c r="CN1226">
        <f>IFERROR(INDEX(PP_Grid[#Data],$DD1226,90),0)</f>
        <v/>
      </c>
      <c r="CO1226">
        <f>IFERROR(INDEX(PP_Grid[#Data],$DD1226,91),0)</f>
        <v/>
      </c>
      <c r="CP1226">
        <f>IFERROR(INDEX(PP_Grid[#Data],$DD1226,92),0)</f>
        <v/>
      </c>
      <c r="CQ1226">
        <f>IFERROR(INDEX(PP_Grid[#Data],$DD1226,93),0)</f>
        <v/>
      </c>
      <c r="CR1226">
        <f>IFERROR(INDEX(PP_Grid[#Data],$DD1226,94),0)</f>
        <v/>
      </c>
      <c r="CS1226">
        <f>IFERROR(INDEX(PP_Grid[#Data],$DD1226,95),0)</f>
        <v/>
      </c>
      <c r="CT1226">
        <f>IFERROR(INDEX(PP_Grid[#Data],$DD1226,96),0)</f>
        <v/>
      </c>
      <c r="CU1226">
        <f>IFERROR(INDEX(PP_Grid[#Data],$DD1226,97),0)</f>
        <v/>
      </c>
      <c r="CV1226">
        <f>IFERROR(INDEX(PP_Grid[#Data],$DD1226,98),0)</f>
        <v/>
      </c>
      <c r="CW1226">
        <f>IFERROR(INDEX(PP_Grid[#Data],$DD1226,99),0)</f>
        <v/>
      </c>
      <c r="CX1226">
        <f>IFERROR(INDEX(PP_Grid[#Data],$DD1226,100),0)</f>
        <v/>
      </c>
      <c r="CY1226">
        <f>IFERROR(INDEX(PP_Grid[#Data],$DD1226,101),0)</f>
        <v/>
      </c>
      <c r="CZ1226">
        <f>IFERROR(INDEX(PP_Grid[#Data],$DD1226,102),0)</f>
        <v/>
      </c>
      <c r="DA1226">
        <f>IFERROR(INDEX(PP_Grid[#Data],$DD1226,103),0)</f>
        <v/>
      </c>
      <c r="DB1226">
        <f>IFERROR(INDEX(PP_Grid[#Data],$DD1226,104),0)</f>
        <v/>
      </c>
      <c r="DC1226">
        <f>IFERROR(INDEX(PP_Grid[#Data],$DD1226,105),0)</f>
        <v/>
      </c>
      <c r="DD1226" s="12">
        <f>IFERROR(MATCH($B1226,PP_Grid[Intermediate],0),99999)</f>
        <v/>
      </c>
    </row>
    <row r="1227">
      <c r="B1227" t="inlineStr">
        <is>
          <t>使用量(kg)</t>
        </is>
      </c>
      <c r="C1227">
        <f>SUMIFS(M_BOM[RM_Qty_Per_Batch],M_BOM[Intermediate],$B1226,M_BOM[Part Name],$A1213)</f>
        <v/>
      </c>
      <c r="D1227">
        <f>$C1227*D1226</f>
        <v/>
      </c>
      <c r="E1227">
        <f>$C1227*E1226</f>
        <v/>
      </c>
      <c r="F1227">
        <f>$C1227*F1226</f>
        <v/>
      </c>
      <c r="G1227">
        <f>$C1227*G1226</f>
        <v/>
      </c>
      <c r="H1227">
        <f>$C1227*H1226</f>
        <v/>
      </c>
      <c r="I1227">
        <f>$C1227*I1226</f>
        <v/>
      </c>
      <c r="J1227">
        <f>$C1227*J1226</f>
        <v/>
      </c>
      <c r="K1227">
        <f>$C1227*K1226</f>
        <v/>
      </c>
      <c r="L1227">
        <f>$C1227*L1226</f>
        <v/>
      </c>
      <c r="M1227">
        <f>$C1227*M1226</f>
        <v/>
      </c>
      <c r="N1227">
        <f>$C1227*N1226</f>
        <v/>
      </c>
      <c r="O1227">
        <f>$C1227*O1226</f>
        <v/>
      </c>
      <c r="P1227">
        <f>$C1227*P1226</f>
        <v/>
      </c>
      <c r="Q1227">
        <f>$C1227*Q1226</f>
        <v/>
      </c>
      <c r="R1227">
        <f>$C1227*R1226</f>
        <v/>
      </c>
      <c r="S1227">
        <f>$C1227*S1226</f>
        <v/>
      </c>
      <c r="T1227">
        <f>$C1227*T1226</f>
        <v/>
      </c>
      <c r="U1227">
        <f>$C1227*U1226</f>
        <v/>
      </c>
      <c r="V1227">
        <f>$C1227*V1226</f>
        <v/>
      </c>
      <c r="W1227">
        <f>$C1227*W1226</f>
        <v/>
      </c>
      <c r="X1227">
        <f>$C1227*X1226</f>
        <v/>
      </c>
      <c r="Y1227">
        <f>$C1227*Y1226</f>
        <v/>
      </c>
      <c r="Z1227">
        <f>$C1227*Z1226</f>
        <v/>
      </c>
      <c r="AA1227">
        <f>$C1227*AA1226</f>
        <v/>
      </c>
      <c r="AB1227">
        <f>$C1227*AB1226</f>
        <v/>
      </c>
      <c r="AC1227">
        <f>$C1227*AC1226</f>
        <v/>
      </c>
      <c r="AD1227">
        <f>$C1227*AD1226</f>
        <v/>
      </c>
      <c r="AE1227">
        <f>$C1227*AE1226</f>
        <v/>
      </c>
      <c r="AF1227">
        <f>$C1227*AF1226</f>
        <v/>
      </c>
      <c r="AG1227">
        <f>$C1227*AG1226</f>
        <v/>
      </c>
      <c r="AH1227">
        <f>$C1227*AH1226</f>
        <v/>
      </c>
      <c r="AI1227">
        <f>$C1227*AI1226</f>
        <v/>
      </c>
      <c r="AJ1227">
        <f>$C1227*AJ1226</f>
        <v/>
      </c>
      <c r="AK1227">
        <f>$C1227*AK1226</f>
        <v/>
      </c>
      <c r="AL1227">
        <f>$C1227*AL1226</f>
        <v/>
      </c>
      <c r="AM1227">
        <f>$C1227*AM1226</f>
        <v/>
      </c>
      <c r="AN1227">
        <f>$C1227*AN1226</f>
        <v/>
      </c>
      <c r="AO1227">
        <f>$C1227*AO1226</f>
        <v/>
      </c>
      <c r="AP1227">
        <f>$C1227*AP1226</f>
        <v/>
      </c>
      <c r="AQ1227">
        <f>$C1227*AQ1226</f>
        <v/>
      </c>
      <c r="AR1227">
        <f>$C1227*AR1226</f>
        <v/>
      </c>
      <c r="AS1227">
        <f>$C1227*AS1226</f>
        <v/>
      </c>
      <c r="AT1227">
        <f>$C1227*AT1226</f>
        <v/>
      </c>
      <c r="AU1227">
        <f>$C1227*AU1226</f>
        <v/>
      </c>
      <c r="AV1227">
        <f>$C1227*AV1226</f>
        <v/>
      </c>
      <c r="AW1227">
        <f>$C1227*AW1226</f>
        <v/>
      </c>
      <c r="AX1227">
        <f>$C1227*AX1226</f>
        <v/>
      </c>
      <c r="AY1227">
        <f>$C1227*AY1226</f>
        <v/>
      </c>
      <c r="AZ1227">
        <f>$C1227*AZ1226</f>
        <v/>
      </c>
      <c r="BA1227">
        <f>$C1227*BA1226</f>
        <v/>
      </c>
      <c r="BB1227">
        <f>$C1227*BB1226</f>
        <v/>
      </c>
      <c r="BC1227">
        <f>$C1227*BC1226</f>
        <v/>
      </c>
      <c r="BD1227">
        <f>$C1227*BD1226</f>
        <v/>
      </c>
      <c r="BE1227">
        <f>$C1227*BE1226</f>
        <v/>
      </c>
      <c r="BF1227">
        <f>$C1227*BF1226</f>
        <v/>
      </c>
      <c r="BG1227">
        <f>$C1227*BG1226</f>
        <v/>
      </c>
      <c r="BH1227">
        <f>$C1227*BH1226</f>
        <v/>
      </c>
      <c r="BI1227">
        <f>$C1227*BI1226</f>
        <v/>
      </c>
      <c r="BJ1227">
        <f>$C1227*BJ1226</f>
        <v/>
      </c>
      <c r="BK1227">
        <f>$C1227*BK1226</f>
        <v/>
      </c>
      <c r="BL1227">
        <f>$C1227*BL1226</f>
        <v/>
      </c>
      <c r="BM1227">
        <f>$C1227*BM1226</f>
        <v/>
      </c>
      <c r="BN1227">
        <f>$C1227*BN1226</f>
        <v/>
      </c>
      <c r="BO1227">
        <f>$C1227*BO1226</f>
        <v/>
      </c>
      <c r="BP1227">
        <f>$C1227*BP1226</f>
        <v/>
      </c>
      <c r="BQ1227">
        <f>$C1227*BQ1226</f>
        <v/>
      </c>
      <c r="BR1227">
        <f>$C1227*BR1226</f>
        <v/>
      </c>
      <c r="BS1227">
        <f>$C1227*BS1226</f>
        <v/>
      </c>
      <c r="BT1227">
        <f>$C1227*BT1226</f>
        <v/>
      </c>
      <c r="BU1227">
        <f>$C1227*BU1226</f>
        <v/>
      </c>
      <c r="BV1227">
        <f>$C1227*BV1226</f>
        <v/>
      </c>
      <c r="BW1227">
        <f>$C1227*BW1226</f>
        <v/>
      </c>
      <c r="BX1227">
        <f>$C1227*BX1226</f>
        <v/>
      </c>
      <c r="BY1227">
        <f>$C1227*BY1226</f>
        <v/>
      </c>
      <c r="BZ1227">
        <f>$C1227*BZ1226</f>
        <v/>
      </c>
      <c r="CA1227">
        <f>$C1227*CA1226</f>
        <v/>
      </c>
      <c r="CB1227">
        <f>$C1227*CB1226</f>
        <v/>
      </c>
      <c r="CC1227">
        <f>$C1227*CC1226</f>
        <v/>
      </c>
      <c r="CD1227">
        <f>$C1227*CD1226</f>
        <v/>
      </c>
      <c r="CE1227">
        <f>$C1227*CE1226</f>
        <v/>
      </c>
      <c r="CF1227">
        <f>$C1227*CF1226</f>
        <v/>
      </c>
      <c r="CG1227">
        <f>$C1227*CG1226</f>
        <v/>
      </c>
      <c r="CH1227">
        <f>$C1227*CH1226</f>
        <v/>
      </c>
      <c r="CI1227">
        <f>$C1227*CI1226</f>
        <v/>
      </c>
      <c r="CJ1227">
        <f>$C1227*CJ1226</f>
        <v/>
      </c>
      <c r="CK1227">
        <f>$C1227*CK1226</f>
        <v/>
      </c>
      <c r="CL1227">
        <f>$C1227*CL1226</f>
        <v/>
      </c>
      <c r="CM1227">
        <f>$C1227*CM1226</f>
        <v/>
      </c>
      <c r="CN1227">
        <f>$C1227*CN1226</f>
        <v/>
      </c>
      <c r="CO1227">
        <f>$C1227*CO1226</f>
        <v/>
      </c>
      <c r="CP1227">
        <f>$C1227*CP1226</f>
        <v/>
      </c>
      <c r="CQ1227">
        <f>$C1227*CQ1226</f>
        <v/>
      </c>
      <c r="CR1227">
        <f>$C1227*CR1226</f>
        <v/>
      </c>
      <c r="CS1227">
        <f>$C1227*CS1226</f>
        <v/>
      </c>
      <c r="CT1227">
        <f>$C1227*CT1226</f>
        <v/>
      </c>
      <c r="CU1227">
        <f>$C1227*CU1226</f>
        <v/>
      </c>
      <c r="CV1227">
        <f>$C1227*CV1226</f>
        <v/>
      </c>
      <c r="CW1227">
        <f>$C1227*CW1226</f>
        <v/>
      </c>
      <c r="CX1227">
        <f>$C1227*CX1226</f>
        <v/>
      </c>
      <c r="CY1227">
        <f>$C1227*CY1226</f>
        <v/>
      </c>
      <c r="CZ1227">
        <f>$C1227*CZ1226</f>
        <v/>
      </c>
      <c r="DA1227">
        <f>$C1227*DA1226</f>
        <v/>
      </c>
      <c r="DB1227">
        <f>$C1227*DB1226</f>
        <v/>
      </c>
      <c r="DC1227">
        <f>$C1227*DC1226</f>
        <v/>
      </c>
    </row>
    <row r="1228">
      <c r="B1228" t="inlineStr">
        <is>
          <t>TSP-927</t>
        </is>
      </c>
      <c r="C1228" t="inlineStr">
        <is>
          <t>No. of batches</t>
        </is>
      </c>
      <c r="D1228">
        <f>IFERROR(INDEX(PP_Grid[#Data],$DD1228,2),0)</f>
        <v/>
      </c>
      <c r="E1228">
        <f>IFERROR(INDEX(PP_Grid[#Data],$DD1228,3),0)</f>
        <v/>
      </c>
      <c r="F1228">
        <f>IFERROR(INDEX(PP_Grid[#Data],$DD1228,4),0)</f>
        <v/>
      </c>
      <c r="G1228">
        <f>IFERROR(INDEX(PP_Grid[#Data],$DD1228,5),0)</f>
        <v/>
      </c>
      <c r="H1228">
        <f>IFERROR(INDEX(PP_Grid[#Data],$DD1228,6),0)</f>
        <v/>
      </c>
      <c r="I1228">
        <f>IFERROR(INDEX(PP_Grid[#Data],$DD1228,7),0)</f>
        <v/>
      </c>
      <c r="J1228">
        <f>IFERROR(INDEX(PP_Grid[#Data],$DD1228,8),0)</f>
        <v/>
      </c>
      <c r="K1228">
        <f>IFERROR(INDEX(PP_Grid[#Data],$DD1228,9),0)</f>
        <v/>
      </c>
      <c r="L1228">
        <f>IFERROR(INDEX(PP_Grid[#Data],$DD1228,10),0)</f>
        <v/>
      </c>
      <c r="M1228">
        <f>IFERROR(INDEX(PP_Grid[#Data],$DD1228,11),0)</f>
        <v/>
      </c>
      <c r="N1228">
        <f>IFERROR(INDEX(PP_Grid[#Data],$DD1228,12),0)</f>
        <v/>
      </c>
      <c r="O1228">
        <f>IFERROR(INDEX(PP_Grid[#Data],$DD1228,13),0)</f>
        <v/>
      </c>
      <c r="P1228">
        <f>IFERROR(INDEX(PP_Grid[#Data],$DD1228,14),0)</f>
        <v/>
      </c>
      <c r="Q1228">
        <f>IFERROR(INDEX(PP_Grid[#Data],$DD1228,15),0)</f>
        <v/>
      </c>
      <c r="R1228">
        <f>IFERROR(INDEX(PP_Grid[#Data],$DD1228,16),0)</f>
        <v/>
      </c>
      <c r="S1228">
        <f>IFERROR(INDEX(PP_Grid[#Data],$DD1228,17),0)</f>
        <v/>
      </c>
      <c r="T1228">
        <f>IFERROR(INDEX(PP_Grid[#Data],$DD1228,18),0)</f>
        <v/>
      </c>
      <c r="U1228">
        <f>IFERROR(INDEX(PP_Grid[#Data],$DD1228,19),0)</f>
        <v/>
      </c>
      <c r="V1228">
        <f>IFERROR(INDEX(PP_Grid[#Data],$DD1228,20),0)</f>
        <v/>
      </c>
      <c r="W1228">
        <f>IFERROR(INDEX(PP_Grid[#Data],$DD1228,21),0)</f>
        <v/>
      </c>
      <c r="X1228">
        <f>IFERROR(INDEX(PP_Grid[#Data],$DD1228,22),0)</f>
        <v/>
      </c>
      <c r="Y1228">
        <f>IFERROR(INDEX(PP_Grid[#Data],$DD1228,23),0)</f>
        <v/>
      </c>
      <c r="Z1228">
        <f>IFERROR(INDEX(PP_Grid[#Data],$DD1228,24),0)</f>
        <v/>
      </c>
      <c r="AA1228">
        <f>IFERROR(INDEX(PP_Grid[#Data],$DD1228,25),0)</f>
        <v/>
      </c>
      <c r="AB1228">
        <f>IFERROR(INDEX(PP_Grid[#Data],$DD1228,26),0)</f>
        <v/>
      </c>
      <c r="AC1228">
        <f>IFERROR(INDEX(PP_Grid[#Data],$DD1228,27),0)</f>
        <v/>
      </c>
      <c r="AD1228">
        <f>IFERROR(INDEX(PP_Grid[#Data],$DD1228,28),0)</f>
        <v/>
      </c>
      <c r="AE1228">
        <f>IFERROR(INDEX(PP_Grid[#Data],$DD1228,29),0)</f>
        <v/>
      </c>
      <c r="AF1228">
        <f>IFERROR(INDEX(PP_Grid[#Data],$DD1228,30),0)</f>
        <v/>
      </c>
      <c r="AG1228">
        <f>IFERROR(INDEX(PP_Grid[#Data],$DD1228,31),0)</f>
        <v/>
      </c>
      <c r="AH1228">
        <f>IFERROR(INDEX(PP_Grid[#Data],$DD1228,32),0)</f>
        <v/>
      </c>
      <c r="AI1228">
        <f>IFERROR(INDEX(PP_Grid[#Data],$DD1228,33),0)</f>
        <v/>
      </c>
      <c r="AJ1228">
        <f>IFERROR(INDEX(PP_Grid[#Data],$DD1228,34),0)</f>
        <v/>
      </c>
      <c r="AK1228">
        <f>IFERROR(INDEX(PP_Grid[#Data],$DD1228,35),0)</f>
        <v/>
      </c>
      <c r="AL1228">
        <f>IFERROR(INDEX(PP_Grid[#Data],$DD1228,36),0)</f>
        <v/>
      </c>
      <c r="AM1228">
        <f>IFERROR(INDEX(PP_Grid[#Data],$DD1228,37),0)</f>
        <v/>
      </c>
      <c r="AN1228">
        <f>IFERROR(INDEX(PP_Grid[#Data],$DD1228,38),0)</f>
        <v/>
      </c>
      <c r="AO1228">
        <f>IFERROR(INDEX(PP_Grid[#Data],$DD1228,39),0)</f>
        <v/>
      </c>
      <c r="AP1228">
        <f>IFERROR(INDEX(PP_Grid[#Data],$DD1228,40),0)</f>
        <v/>
      </c>
      <c r="AQ1228">
        <f>IFERROR(INDEX(PP_Grid[#Data],$DD1228,41),0)</f>
        <v/>
      </c>
      <c r="AR1228">
        <f>IFERROR(INDEX(PP_Grid[#Data],$DD1228,42),0)</f>
        <v/>
      </c>
      <c r="AS1228">
        <f>IFERROR(INDEX(PP_Grid[#Data],$DD1228,43),0)</f>
        <v/>
      </c>
      <c r="AT1228">
        <f>IFERROR(INDEX(PP_Grid[#Data],$DD1228,44),0)</f>
        <v/>
      </c>
      <c r="AU1228">
        <f>IFERROR(INDEX(PP_Grid[#Data],$DD1228,45),0)</f>
        <v/>
      </c>
      <c r="AV1228">
        <f>IFERROR(INDEX(PP_Grid[#Data],$DD1228,46),0)</f>
        <v/>
      </c>
      <c r="AW1228">
        <f>IFERROR(INDEX(PP_Grid[#Data],$DD1228,47),0)</f>
        <v/>
      </c>
      <c r="AX1228">
        <f>IFERROR(INDEX(PP_Grid[#Data],$DD1228,48),0)</f>
        <v/>
      </c>
      <c r="AY1228">
        <f>IFERROR(INDEX(PP_Grid[#Data],$DD1228,49),0)</f>
        <v/>
      </c>
      <c r="AZ1228">
        <f>IFERROR(INDEX(PP_Grid[#Data],$DD1228,50),0)</f>
        <v/>
      </c>
      <c r="BA1228">
        <f>IFERROR(INDEX(PP_Grid[#Data],$DD1228,51),0)</f>
        <v/>
      </c>
      <c r="BB1228">
        <f>IFERROR(INDEX(PP_Grid[#Data],$DD1228,52),0)</f>
        <v/>
      </c>
      <c r="BC1228">
        <f>IFERROR(INDEX(PP_Grid[#Data],$DD1228,53),0)</f>
        <v/>
      </c>
      <c r="BD1228">
        <f>IFERROR(INDEX(PP_Grid[#Data],$DD1228,54),0)</f>
        <v/>
      </c>
      <c r="BE1228">
        <f>IFERROR(INDEX(PP_Grid[#Data],$DD1228,55),0)</f>
        <v/>
      </c>
      <c r="BF1228">
        <f>IFERROR(INDEX(PP_Grid[#Data],$DD1228,56),0)</f>
        <v/>
      </c>
      <c r="BG1228">
        <f>IFERROR(INDEX(PP_Grid[#Data],$DD1228,57),0)</f>
        <v/>
      </c>
      <c r="BH1228">
        <f>IFERROR(INDEX(PP_Grid[#Data],$DD1228,58),0)</f>
        <v/>
      </c>
      <c r="BI1228">
        <f>IFERROR(INDEX(PP_Grid[#Data],$DD1228,59),0)</f>
        <v/>
      </c>
      <c r="BJ1228">
        <f>IFERROR(INDEX(PP_Grid[#Data],$DD1228,60),0)</f>
        <v/>
      </c>
      <c r="BK1228">
        <f>IFERROR(INDEX(PP_Grid[#Data],$DD1228,61),0)</f>
        <v/>
      </c>
      <c r="BL1228">
        <f>IFERROR(INDEX(PP_Grid[#Data],$DD1228,62),0)</f>
        <v/>
      </c>
      <c r="BM1228">
        <f>IFERROR(INDEX(PP_Grid[#Data],$DD1228,63),0)</f>
        <v/>
      </c>
      <c r="BN1228">
        <f>IFERROR(INDEX(PP_Grid[#Data],$DD1228,64),0)</f>
        <v/>
      </c>
      <c r="BO1228">
        <f>IFERROR(INDEX(PP_Grid[#Data],$DD1228,65),0)</f>
        <v/>
      </c>
      <c r="BP1228">
        <f>IFERROR(INDEX(PP_Grid[#Data],$DD1228,66),0)</f>
        <v/>
      </c>
      <c r="BQ1228">
        <f>IFERROR(INDEX(PP_Grid[#Data],$DD1228,67),0)</f>
        <v/>
      </c>
      <c r="BR1228">
        <f>IFERROR(INDEX(PP_Grid[#Data],$DD1228,68),0)</f>
        <v/>
      </c>
      <c r="BS1228">
        <f>IFERROR(INDEX(PP_Grid[#Data],$DD1228,69),0)</f>
        <v/>
      </c>
      <c r="BT1228">
        <f>IFERROR(INDEX(PP_Grid[#Data],$DD1228,70),0)</f>
        <v/>
      </c>
      <c r="BU1228">
        <f>IFERROR(INDEX(PP_Grid[#Data],$DD1228,71),0)</f>
        <v/>
      </c>
      <c r="BV1228">
        <f>IFERROR(INDEX(PP_Grid[#Data],$DD1228,72),0)</f>
        <v/>
      </c>
      <c r="BW1228">
        <f>IFERROR(INDEX(PP_Grid[#Data],$DD1228,73),0)</f>
        <v/>
      </c>
      <c r="BX1228">
        <f>IFERROR(INDEX(PP_Grid[#Data],$DD1228,74),0)</f>
        <v/>
      </c>
      <c r="BY1228">
        <f>IFERROR(INDEX(PP_Grid[#Data],$DD1228,75),0)</f>
        <v/>
      </c>
      <c r="BZ1228">
        <f>IFERROR(INDEX(PP_Grid[#Data],$DD1228,76),0)</f>
        <v/>
      </c>
      <c r="CA1228">
        <f>IFERROR(INDEX(PP_Grid[#Data],$DD1228,77),0)</f>
        <v/>
      </c>
      <c r="CB1228">
        <f>IFERROR(INDEX(PP_Grid[#Data],$DD1228,78),0)</f>
        <v/>
      </c>
      <c r="CC1228">
        <f>IFERROR(INDEX(PP_Grid[#Data],$DD1228,79),0)</f>
        <v/>
      </c>
      <c r="CD1228">
        <f>IFERROR(INDEX(PP_Grid[#Data],$DD1228,80),0)</f>
        <v/>
      </c>
      <c r="CE1228">
        <f>IFERROR(INDEX(PP_Grid[#Data],$DD1228,81),0)</f>
        <v/>
      </c>
      <c r="CF1228">
        <f>IFERROR(INDEX(PP_Grid[#Data],$DD1228,82),0)</f>
        <v/>
      </c>
      <c r="CG1228">
        <f>IFERROR(INDEX(PP_Grid[#Data],$DD1228,83),0)</f>
        <v/>
      </c>
      <c r="CH1228">
        <f>IFERROR(INDEX(PP_Grid[#Data],$DD1228,84),0)</f>
        <v/>
      </c>
      <c r="CI1228">
        <f>IFERROR(INDEX(PP_Grid[#Data],$DD1228,85),0)</f>
        <v/>
      </c>
      <c r="CJ1228">
        <f>IFERROR(INDEX(PP_Grid[#Data],$DD1228,86),0)</f>
        <v/>
      </c>
      <c r="CK1228">
        <f>IFERROR(INDEX(PP_Grid[#Data],$DD1228,87),0)</f>
        <v/>
      </c>
      <c r="CL1228">
        <f>IFERROR(INDEX(PP_Grid[#Data],$DD1228,88),0)</f>
        <v/>
      </c>
      <c r="CM1228">
        <f>IFERROR(INDEX(PP_Grid[#Data],$DD1228,89),0)</f>
        <v/>
      </c>
      <c r="CN1228">
        <f>IFERROR(INDEX(PP_Grid[#Data],$DD1228,90),0)</f>
        <v/>
      </c>
      <c r="CO1228">
        <f>IFERROR(INDEX(PP_Grid[#Data],$DD1228,91),0)</f>
        <v/>
      </c>
      <c r="CP1228">
        <f>IFERROR(INDEX(PP_Grid[#Data],$DD1228,92),0)</f>
        <v/>
      </c>
      <c r="CQ1228">
        <f>IFERROR(INDEX(PP_Grid[#Data],$DD1228,93),0)</f>
        <v/>
      </c>
      <c r="CR1228">
        <f>IFERROR(INDEX(PP_Grid[#Data],$DD1228,94),0)</f>
        <v/>
      </c>
      <c r="CS1228">
        <f>IFERROR(INDEX(PP_Grid[#Data],$DD1228,95),0)</f>
        <v/>
      </c>
      <c r="CT1228">
        <f>IFERROR(INDEX(PP_Grid[#Data],$DD1228,96),0)</f>
        <v/>
      </c>
      <c r="CU1228">
        <f>IFERROR(INDEX(PP_Grid[#Data],$DD1228,97),0)</f>
        <v/>
      </c>
      <c r="CV1228">
        <f>IFERROR(INDEX(PP_Grid[#Data],$DD1228,98),0)</f>
        <v/>
      </c>
      <c r="CW1228">
        <f>IFERROR(INDEX(PP_Grid[#Data],$DD1228,99),0)</f>
        <v/>
      </c>
      <c r="CX1228">
        <f>IFERROR(INDEX(PP_Grid[#Data],$DD1228,100),0)</f>
        <v/>
      </c>
      <c r="CY1228">
        <f>IFERROR(INDEX(PP_Grid[#Data],$DD1228,101),0)</f>
        <v/>
      </c>
      <c r="CZ1228">
        <f>IFERROR(INDEX(PP_Grid[#Data],$DD1228,102),0)</f>
        <v/>
      </c>
      <c r="DA1228">
        <f>IFERROR(INDEX(PP_Grid[#Data],$DD1228,103),0)</f>
        <v/>
      </c>
      <c r="DB1228">
        <f>IFERROR(INDEX(PP_Grid[#Data],$DD1228,104),0)</f>
        <v/>
      </c>
      <c r="DC1228">
        <f>IFERROR(INDEX(PP_Grid[#Data],$DD1228,105),0)</f>
        <v/>
      </c>
      <c r="DD1228" s="12">
        <f>IFERROR(MATCH($B1228,PP_Grid[Intermediate],0),99999)</f>
        <v/>
      </c>
    </row>
    <row r="1229">
      <c r="B1229" t="inlineStr">
        <is>
          <t>使用量(kg)</t>
        </is>
      </c>
      <c r="C1229">
        <f>SUMIFS(M_BOM[RM_Qty_Per_Batch],M_BOM[Intermediate],$B1228,M_BOM[Part Name],$A1213)</f>
        <v/>
      </c>
      <c r="D1229">
        <f>$C1229*D1228</f>
        <v/>
      </c>
      <c r="E1229">
        <f>$C1229*E1228</f>
        <v/>
      </c>
      <c r="F1229">
        <f>$C1229*F1228</f>
        <v/>
      </c>
      <c r="G1229">
        <f>$C1229*G1228</f>
        <v/>
      </c>
      <c r="H1229">
        <f>$C1229*H1228</f>
        <v/>
      </c>
      <c r="I1229">
        <f>$C1229*I1228</f>
        <v/>
      </c>
      <c r="J1229">
        <f>$C1229*J1228</f>
        <v/>
      </c>
      <c r="K1229">
        <f>$C1229*K1228</f>
        <v/>
      </c>
      <c r="L1229">
        <f>$C1229*L1228</f>
        <v/>
      </c>
      <c r="M1229">
        <f>$C1229*M1228</f>
        <v/>
      </c>
      <c r="N1229">
        <f>$C1229*N1228</f>
        <v/>
      </c>
      <c r="O1229">
        <f>$C1229*O1228</f>
        <v/>
      </c>
      <c r="P1229">
        <f>$C1229*P1228</f>
        <v/>
      </c>
      <c r="Q1229">
        <f>$C1229*Q1228</f>
        <v/>
      </c>
      <c r="R1229">
        <f>$C1229*R1228</f>
        <v/>
      </c>
      <c r="S1229">
        <f>$C1229*S1228</f>
        <v/>
      </c>
      <c r="T1229">
        <f>$C1229*T1228</f>
        <v/>
      </c>
      <c r="U1229">
        <f>$C1229*U1228</f>
        <v/>
      </c>
      <c r="V1229">
        <f>$C1229*V1228</f>
        <v/>
      </c>
      <c r="W1229">
        <f>$C1229*W1228</f>
        <v/>
      </c>
      <c r="X1229">
        <f>$C1229*X1228</f>
        <v/>
      </c>
      <c r="Y1229">
        <f>$C1229*Y1228</f>
        <v/>
      </c>
      <c r="Z1229">
        <f>$C1229*Z1228</f>
        <v/>
      </c>
      <c r="AA1229">
        <f>$C1229*AA1228</f>
        <v/>
      </c>
      <c r="AB1229">
        <f>$C1229*AB1228</f>
        <v/>
      </c>
      <c r="AC1229">
        <f>$C1229*AC1228</f>
        <v/>
      </c>
      <c r="AD1229">
        <f>$C1229*AD1228</f>
        <v/>
      </c>
      <c r="AE1229">
        <f>$C1229*AE1228</f>
        <v/>
      </c>
      <c r="AF1229">
        <f>$C1229*AF1228</f>
        <v/>
      </c>
      <c r="AG1229">
        <f>$C1229*AG1228</f>
        <v/>
      </c>
      <c r="AH1229">
        <f>$C1229*AH1228</f>
        <v/>
      </c>
      <c r="AI1229">
        <f>$C1229*AI1228</f>
        <v/>
      </c>
      <c r="AJ1229">
        <f>$C1229*AJ1228</f>
        <v/>
      </c>
      <c r="AK1229">
        <f>$C1229*AK1228</f>
        <v/>
      </c>
      <c r="AL1229">
        <f>$C1229*AL1228</f>
        <v/>
      </c>
      <c r="AM1229">
        <f>$C1229*AM1228</f>
        <v/>
      </c>
      <c r="AN1229">
        <f>$C1229*AN1228</f>
        <v/>
      </c>
      <c r="AO1229">
        <f>$C1229*AO1228</f>
        <v/>
      </c>
      <c r="AP1229">
        <f>$C1229*AP1228</f>
        <v/>
      </c>
      <c r="AQ1229">
        <f>$C1229*AQ1228</f>
        <v/>
      </c>
      <c r="AR1229">
        <f>$C1229*AR1228</f>
        <v/>
      </c>
      <c r="AS1229">
        <f>$C1229*AS1228</f>
        <v/>
      </c>
      <c r="AT1229">
        <f>$C1229*AT1228</f>
        <v/>
      </c>
      <c r="AU1229">
        <f>$C1229*AU1228</f>
        <v/>
      </c>
      <c r="AV1229">
        <f>$C1229*AV1228</f>
        <v/>
      </c>
      <c r="AW1229">
        <f>$C1229*AW1228</f>
        <v/>
      </c>
      <c r="AX1229">
        <f>$C1229*AX1228</f>
        <v/>
      </c>
      <c r="AY1229">
        <f>$C1229*AY1228</f>
        <v/>
      </c>
      <c r="AZ1229">
        <f>$C1229*AZ1228</f>
        <v/>
      </c>
      <c r="BA1229">
        <f>$C1229*BA1228</f>
        <v/>
      </c>
      <c r="BB1229">
        <f>$C1229*BB1228</f>
        <v/>
      </c>
      <c r="BC1229">
        <f>$C1229*BC1228</f>
        <v/>
      </c>
      <c r="BD1229">
        <f>$C1229*BD1228</f>
        <v/>
      </c>
      <c r="BE1229">
        <f>$C1229*BE1228</f>
        <v/>
      </c>
      <c r="BF1229">
        <f>$C1229*BF1228</f>
        <v/>
      </c>
      <c r="BG1229">
        <f>$C1229*BG1228</f>
        <v/>
      </c>
      <c r="BH1229">
        <f>$C1229*BH1228</f>
        <v/>
      </c>
      <c r="BI1229">
        <f>$C1229*BI1228</f>
        <v/>
      </c>
      <c r="BJ1229">
        <f>$C1229*BJ1228</f>
        <v/>
      </c>
      <c r="BK1229">
        <f>$C1229*BK1228</f>
        <v/>
      </c>
      <c r="BL1229">
        <f>$C1229*BL1228</f>
        <v/>
      </c>
      <c r="BM1229">
        <f>$C1229*BM1228</f>
        <v/>
      </c>
      <c r="BN1229">
        <f>$C1229*BN1228</f>
        <v/>
      </c>
      <c r="BO1229">
        <f>$C1229*BO1228</f>
        <v/>
      </c>
      <c r="BP1229">
        <f>$C1229*BP1228</f>
        <v/>
      </c>
      <c r="BQ1229">
        <f>$C1229*BQ1228</f>
        <v/>
      </c>
      <c r="BR1229">
        <f>$C1229*BR1228</f>
        <v/>
      </c>
      <c r="BS1229">
        <f>$C1229*BS1228</f>
        <v/>
      </c>
      <c r="BT1229">
        <f>$C1229*BT1228</f>
        <v/>
      </c>
      <c r="BU1229">
        <f>$C1229*BU1228</f>
        <v/>
      </c>
      <c r="BV1229">
        <f>$C1229*BV1228</f>
        <v/>
      </c>
      <c r="BW1229">
        <f>$C1229*BW1228</f>
        <v/>
      </c>
      <c r="BX1229">
        <f>$C1229*BX1228</f>
        <v/>
      </c>
      <c r="BY1229">
        <f>$C1229*BY1228</f>
        <v/>
      </c>
      <c r="BZ1229">
        <f>$C1229*BZ1228</f>
        <v/>
      </c>
      <c r="CA1229">
        <f>$C1229*CA1228</f>
        <v/>
      </c>
      <c r="CB1229">
        <f>$C1229*CB1228</f>
        <v/>
      </c>
      <c r="CC1229">
        <f>$C1229*CC1228</f>
        <v/>
      </c>
      <c r="CD1229">
        <f>$C1229*CD1228</f>
        <v/>
      </c>
      <c r="CE1229">
        <f>$C1229*CE1228</f>
        <v/>
      </c>
      <c r="CF1229">
        <f>$C1229*CF1228</f>
        <v/>
      </c>
      <c r="CG1229">
        <f>$C1229*CG1228</f>
        <v/>
      </c>
      <c r="CH1229">
        <f>$C1229*CH1228</f>
        <v/>
      </c>
      <c r="CI1229">
        <f>$C1229*CI1228</f>
        <v/>
      </c>
      <c r="CJ1229">
        <f>$C1229*CJ1228</f>
        <v/>
      </c>
      <c r="CK1229">
        <f>$C1229*CK1228</f>
        <v/>
      </c>
      <c r="CL1229">
        <f>$C1229*CL1228</f>
        <v/>
      </c>
      <c r="CM1229">
        <f>$C1229*CM1228</f>
        <v/>
      </c>
      <c r="CN1229">
        <f>$C1229*CN1228</f>
        <v/>
      </c>
      <c r="CO1229">
        <f>$C1229*CO1228</f>
        <v/>
      </c>
      <c r="CP1229">
        <f>$C1229*CP1228</f>
        <v/>
      </c>
      <c r="CQ1229">
        <f>$C1229*CQ1228</f>
        <v/>
      </c>
      <c r="CR1229">
        <f>$C1229*CR1228</f>
        <v/>
      </c>
      <c r="CS1229">
        <f>$C1229*CS1228</f>
        <v/>
      </c>
      <c r="CT1229">
        <f>$C1229*CT1228</f>
        <v/>
      </c>
      <c r="CU1229">
        <f>$C1229*CU1228</f>
        <v/>
      </c>
      <c r="CV1229">
        <f>$C1229*CV1228</f>
        <v/>
      </c>
      <c r="CW1229">
        <f>$C1229*CW1228</f>
        <v/>
      </c>
      <c r="CX1229">
        <f>$C1229*CX1228</f>
        <v/>
      </c>
      <c r="CY1229">
        <f>$C1229*CY1228</f>
        <v/>
      </c>
      <c r="CZ1229">
        <f>$C1229*CZ1228</f>
        <v/>
      </c>
      <c r="DA1229">
        <f>$C1229*DA1228</f>
        <v/>
      </c>
      <c r="DB1229">
        <f>$C1229*DB1228</f>
        <v/>
      </c>
      <c r="DC1229">
        <f>$C1229*DC1228</f>
        <v/>
      </c>
    </row>
    <row r="1230">
      <c r="B1230" t="inlineStr">
        <is>
          <t>TSP-928</t>
        </is>
      </c>
      <c r="C1230" t="inlineStr">
        <is>
          <t>No. of batches</t>
        </is>
      </c>
      <c r="D1230">
        <f>IFERROR(INDEX(PP_Grid[#Data],$DD1230,2),0)</f>
        <v/>
      </c>
      <c r="E1230">
        <f>IFERROR(INDEX(PP_Grid[#Data],$DD1230,3),0)</f>
        <v/>
      </c>
      <c r="F1230">
        <f>IFERROR(INDEX(PP_Grid[#Data],$DD1230,4),0)</f>
        <v/>
      </c>
      <c r="G1230">
        <f>IFERROR(INDEX(PP_Grid[#Data],$DD1230,5),0)</f>
        <v/>
      </c>
      <c r="H1230">
        <f>IFERROR(INDEX(PP_Grid[#Data],$DD1230,6),0)</f>
        <v/>
      </c>
      <c r="I1230">
        <f>IFERROR(INDEX(PP_Grid[#Data],$DD1230,7),0)</f>
        <v/>
      </c>
      <c r="J1230">
        <f>IFERROR(INDEX(PP_Grid[#Data],$DD1230,8),0)</f>
        <v/>
      </c>
      <c r="K1230">
        <f>IFERROR(INDEX(PP_Grid[#Data],$DD1230,9),0)</f>
        <v/>
      </c>
      <c r="L1230">
        <f>IFERROR(INDEX(PP_Grid[#Data],$DD1230,10),0)</f>
        <v/>
      </c>
      <c r="M1230">
        <f>IFERROR(INDEX(PP_Grid[#Data],$DD1230,11),0)</f>
        <v/>
      </c>
      <c r="N1230">
        <f>IFERROR(INDEX(PP_Grid[#Data],$DD1230,12),0)</f>
        <v/>
      </c>
      <c r="O1230">
        <f>IFERROR(INDEX(PP_Grid[#Data],$DD1230,13),0)</f>
        <v/>
      </c>
      <c r="P1230">
        <f>IFERROR(INDEX(PP_Grid[#Data],$DD1230,14),0)</f>
        <v/>
      </c>
      <c r="Q1230">
        <f>IFERROR(INDEX(PP_Grid[#Data],$DD1230,15),0)</f>
        <v/>
      </c>
      <c r="R1230">
        <f>IFERROR(INDEX(PP_Grid[#Data],$DD1230,16),0)</f>
        <v/>
      </c>
      <c r="S1230">
        <f>IFERROR(INDEX(PP_Grid[#Data],$DD1230,17),0)</f>
        <v/>
      </c>
      <c r="T1230">
        <f>IFERROR(INDEX(PP_Grid[#Data],$DD1230,18),0)</f>
        <v/>
      </c>
      <c r="U1230">
        <f>IFERROR(INDEX(PP_Grid[#Data],$DD1230,19),0)</f>
        <v/>
      </c>
      <c r="V1230">
        <f>IFERROR(INDEX(PP_Grid[#Data],$DD1230,20),0)</f>
        <v/>
      </c>
      <c r="W1230">
        <f>IFERROR(INDEX(PP_Grid[#Data],$DD1230,21),0)</f>
        <v/>
      </c>
      <c r="X1230">
        <f>IFERROR(INDEX(PP_Grid[#Data],$DD1230,22),0)</f>
        <v/>
      </c>
      <c r="Y1230">
        <f>IFERROR(INDEX(PP_Grid[#Data],$DD1230,23),0)</f>
        <v/>
      </c>
      <c r="Z1230">
        <f>IFERROR(INDEX(PP_Grid[#Data],$DD1230,24),0)</f>
        <v/>
      </c>
      <c r="AA1230">
        <f>IFERROR(INDEX(PP_Grid[#Data],$DD1230,25),0)</f>
        <v/>
      </c>
      <c r="AB1230">
        <f>IFERROR(INDEX(PP_Grid[#Data],$DD1230,26),0)</f>
        <v/>
      </c>
      <c r="AC1230">
        <f>IFERROR(INDEX(PP_Grid[#Data],$DD1230,27),0)</f>
        <v/>
      </c>
      <c r="AD1230">
        <f>IFERROR(INDEX(PP_Grid[#Data],$DD1230,28),0)</f>
        <v/>
      </c>
      <c r="AE1230">
        <f>IFERROR(INDEX(PP_Grid[#Data],$DD1230,29),0)</f>
        <v/>
      </c>
      <c r="AF1230">
        <f>IFERROR(INDEX(PP_Grid[#Data],$DD1230,30),0)</f>
        <v/>
      </c>
      <c r="AG1230">
        <f>IFERROR(INDEX(PP_Grid[#Data],$DD1230,31),0)</f>
        <v/>
      </c>
      <c r="AH1230">
        <f>IFERROR(INDEX(PP_Grid[#Data],$DD1230,32),0)</f>
        <v/>
      </c>
      <c r="AI1230">
        <f>IFERROR(INDEX(PP_Grid[#Data],$DD1230,33),0)</f>
        <v/>
      </c>
      <c r="AJ1230">
        <f>IFERROR(INDEX(PP_Grid[#Data],$DD1230,34),0)</f>
        <v/>
      </c>
      <c r="AK1230">
        <f>IFERROR(INDEX(PP_Grid[#Data],$DD1230,35),0)</f>
        <v/>
      </c>
      <c r="AL1230">
        <f>IFERROR(INDEX(PP_Grid[#Data],$DD1230,36),0)</f>
        <v/>
      </c>
      <c r="AM1230">
        <f>IFERROR(INDEX(PP_Grid[#Data],$DD1230,37),0)</f>
        <v/>
      </c>
      <c r="AN1230">
        <f>IFERROR(INDEX(PP_Grid[#Data],$DD1230,38),0)</f>
        <v/>
      </c>
      <c r="AO1230">
        <f>IFERROR(INDEX(PP_Grid[#Data],$DD1230,39),0)</f>
        <v/>
      </c>
      <c r="AP1230">
        <f>IFERROR(INDEX(PP_Grid[#Data],$DD1230,40),0)</f>
        <v/>
      </c>
      <c r="AQ1230">
        <f>IFERROR(INDEX(PP_Grid[#Data],$DD1230,41),0)</f>
        <v/>
      </c>
      <c r="AR1230">
        <f>IFERROR(INDEX(PP_Grid[#Data],$DD1230,42),0)</f>
        <v/>
      </c>
      <c r="AS1230">
        <f>IFERROR(INDEX(PP_Grid[#Data],$DD1230,43),0)</f>
        <v/>
      </c>
      <c r="AT1230">
        <f>IFERROR(INDEX(PP_Grid[#Data],$DD1230,44),0)</f>
        <v/>
      </c>
      <c r="AU1230">
        <f>IFERROR(INDEX(PP_Grid[#Data],$DD1230,45),0)</f>
        <v/>
      </c>
      <c r="AV1230">
        <f>IFERROR(INDEX(PP_Grid[#Data],$DD1230,46),0)</f>
        <v/>
      </c>
      <c r="AW1230">
        <f>IFERROR(INDEX(PP_Grid[#Data],$DD1230,47),0)</f>
        <v/>
      </c>
      <c r="AX1230">
        <f>IFERROR(INDEX(PP_Grid[#Data],$DD1230,48),0)</f>
        <v/>
      </c>
      <c r="AY1230">
        <f>IFERROR(INDEX(PP_Grid[#Data],$DD1230,49),0)</f>
        <v/>
      </c>
      <c r="AZ1230">
        <f>IFERROR(INDEX(PP_Grid[#Data],$DD1230,50),0)</f>
        <v/>
      </c>
      <c r="BA1230">
        <f>IFERROR(INDEX(PP_Grid[#Data],$DD1230,51),0)</f>
        <v/>
      </c>
      <c r="BB1230">
        <f>IFERROR(INDEX(PP_Grid[#Data],$DD1230,52),0)</f>
        <v/>
      </c>
      <c r="BC1230">
        <f>IFERROR(INDEX(PP_Grid[#Data],$DD1230,53),0)</f>
        <v/>
      </c>
      <c r="BD1230">
        <f>IFERROR(INDEX(PP_Grid[#Data],$DD1230,54),0)</f>
        <v/>
      </c>
      <c r="BE1230">
        <f>IFERROR(INDEX(PP_Grid[#Data],$DD1230,55),0)</f>
        <v/>
      </c>
      <c r="BF1230">
        <f>IFERROR(INDEX(PP_Grid[#Data],$DD1230,56),0)</f>
        <v/>
      </c>
      <c r="BG1230">
        <f>IFERROR(INDEX(PP_Grid[#Data],$DD1230,57),0)</f>
        <v/>
      </c>
      <c r="BH1230">
        <f>IFERROR(INDEX(PP_Grid[#Data],$DD1230,58),0)</f>
        <v/>
      </c>
      <c r="BI1230">
        <f>IFERROR(INDEX(PP_Grid[#Data],$DD1230,59),0)</f>
        <v/>
      </c>
      <c r="BJ1230">
        <f>IFERROR(INDEX(PP_Grid[#Data],$DD1230,60),0)</f>
        <v/>
      </c>
      <c r="BK1230">
        <f>IFERROR(INDEX(PP_Grid[#Data],$DD1230,61),0)</f>
        <v/>
      </c>
      <c r="BL1230">
        <f>IFERROR(INDEX(PP_Grid[#Data],$DD1230,62),0)</f>
        <v/>
      </c>
      <c r="BM1230">
        <f>IFERROR(INDEX(PP_Grid[#Data],$DD1230,63),0)</f>
        <v/>
      </c>
      <c r="BN1230">
        <f>IFERROR(INDEX(PP_Grid[#Data],$DD1230,64),0)</f>
        <v/>
      </c>
      <c r="BO1230">
        <f>IFERROR(INDEX(PP_Grid[#Data],$DD1230,65),0)</f>
        <v/>
      </c>
      <c r="BP1230">
        <f>IFERROR(INDEX(PP_Grid[#Data],$DD1230,66),0)</f>
        <v/>
      </c>
      <c r="BQ1230">
        <f>IFERROR(INDEX(PP_Grid[#Data],$DD1230,67),0)</f>
        <v/>
      </c>
      <c r="BR1230">
        <f>IFERROR(INDEX(PP_Grid[#Data],$DD1230,68),0)</f>
        <v/>
      </c>
      <c r="BS1230">
        <f>IFERROR(INDEX(PP_Grid[#Data],$DD1230,69),0)</f>
        <v/>
      </c>
      <c r="BT1230">
        <f>IFERROR(INDEX(PP_Grid[#Data],$DD1230,70),0)</f>
        <v/>
      </c>
      <c r="BU1230">
        <f>IFERROR(INDEX(PP_Grid[#Data],$DD1230,71),0)</f>
        <v/>
      </c>
      <c r="BV1230">
        <f>IFERROR(INDEX(PP_Grid[#Data],$DD1230,72),0)</f>
        <v/>
      </c>
      <c r="BW1230">
        <f>IFERROR(INDEX(PP_Grid[#Data],$DD1230,73),0)</f>
        <v/>
      </c>
      <c r="BX1230">
        <f>IFERROR(INDEX(PP_Grid[#Data],$DD1230,74),0)</f>
        <v/>
      </c>
      <c r="BY1230">
        <f>IFERROR(INDEX(PP_Grid[#Data],$DD1230,75),0)</f>
        <v/>
      </c>
      <c r="BZ1230">
        <f>IFERROR(INDEX(PP_Grid[#Data],$DD1230,76),0)</f>
        <v/>
      </c>
      <c r="CA1230">
        <f>IFERROR(INDEX(PP_Grid[#Data],$DD1230,77),0)</f>
        <v/>
      </c>
      <c r="CB1230">
        <f>IFERROR(INDEX(PP_Grid[#Data],$DD1230,78),0)</f>
        <v/>
      </c>
      <c r="CC1230">
        <f>IFERROR(INDEX(PP_Grid[#Data],$DD1230,79),0)</f>
        <v/>
      </c>
      <c r="CD1230">
        <f>IFERROR(INDEX(PP_Grid[#Data],$DD1230,80),0)</f>
        <v/>
      </c>
      <c r="CE1230">
        <f>IFERROR(INDEX(PP_Grid[#Data],$DD1230,81),0)</f>
        <v/>
      </c>
      <c r="CF1230">
        <f>IFERROR(INDEX(PP_Grid[#Data],$DD1230,82),0)</f>
        <v/>
      </c>
      <c r="CG1230">
        <f>IFERROR(INDEX(PP_Grid[#Data],$DD1230,83),0)</f>
        <v/>
      </c>
      <c r="CH1230">
        <f>IFERROR(INDEX(PP_Grid[#Data],$DD1230,84),0)</f>
        <v/>
      </c>
      <c r="CI1230">
        <f>IFERROR(INDEX(PP_Grid[#Data],$DD1230,85),0)</f>
        <v/>
      </c>
      <c r="CJ1230">
        <f>IFERROR(INDEX(PP_Grid[#Data],$DD1230,86),0)</f>
        <v/>
      </c>
      <c r="CK1230">
        <f>IFERROR(INDEX(PP_Grid[#Data],$DD1230,87),0)</f>
        <v/>
      </c>
      <c r="CL1230">
        <f>IFERROR(INDEX(PP_Grid[#Data],$DD1230,88),0)</f>
        <v/>
      </c>
      <c r="CM1230">
        <f>IFERROR(INDEX(PP_Grid[#Data],$DD1230,89),0)</f>
        <v/>
      </c>
      <c r="CN1230">
        <f>IFERROR(INDEX(PP_Grid[#Data],$DD1230,90),0)</f>
        <v/>
      </c>
      <c r="CO1230">
        <f>IFERROR(INDEX(PP_Grid[#Data],$DD1230,91),0)</f>
        <v/>
      </c>
      <c r="CP1230">
        <f>IFERROR(INDEX(PP_Grid[#Data],$DD1230,92),0)</f>
        <v/>
      </c>
      <c r="CQ1230">
        <f>IFERROR(INDEX(PP_Grid[#Data],$DD1230,93),0)</f>
        <v/>
      </c>
      <c r="CR1230">
        <f>IFERROR(INDEX(PP_Grid[#Data],$DD1230,94),0)</f>
        <v/>
      </c>
      <c r="CS1230">
        <f>IFERROR(INDEX(PP_Grid[#Data],$DD1230,95),0)</f>
        <v/>
      </c>
      <c r="CT1230">
        <f>IFERROR(INDEX(PP_Grid[#Data],$DD1230,96),0)</f>
        <v/>
      </c>
      <c r="CU1230">
        <f>IFERROR(INDEX(PP_Grid[#Data],$DD1230,97),0)</f>
        <v/>
      </c>
      <c r="CV1230">
        <f>IFERROR(INDEX(PP_Grid[#Data],$DD1230,98),0)</f>
        <v/>
      </c>
      <c r="CW1230">
        <f>IFERROR(INDEX(PP_Grid[#Data],$DD1230,99),0)</f>
        <v/>
      </c>
      <c r="CX1230">
        <f>IFERROR(INDEX(PP_Grid[#Data],$DD1230,100),0)</f>
        <v/>
      </c>
      <c r="CY1230">
        <f>IFERROR(INDEX(PP_Grid[#Data],$DD1230,101),0)</f>
        <v/>
      </c>
      <c r="CZ1230">
        <f>IFERROR(INDEX(PP_Grid[#Data],$DD1230,102),0)</f>
        <v/>
      </c>
      <c r="DA1230">
        <f>IFERROR(INDEX(PP_Grid[#Data],$DD1230,103),0)</f>
        <v/>
      </c>
      <c r="DB1230">
        <f>IFERROR(INDEX(PP_Grid[#Data],$DD1230,104),0)</f>
        <v/>
      </c>
      <c r="DC1230">
        <f>IFERROR(INDEX(PP_Grid[#Data],$DD1230,105),0)</f>
        <v/>
      </c>
      <c r="DD1230" s="12">
        <f>IFERROR(MATCH($B1230,PP_Grid[Intermediate],0),99999)</f>
        <v/>
      </c>
    </row>
    <row r="1231">
      <c r="B1231" t="inlineStr">
        <is>
          <t>使用量(kg)</t>
        </is>
      </c>
      <c r="C1231">
        <f>SUMIFS(M_BOM[RM_Qty_Per_Batch],M_BOM[Intermediate],$B1230,M_BOM[Part Name],$A1213)</f>
        <v/>
      </c>
      <c r="D1231">
        <f>$C1231*D1230</f>
        <v/>
      </c>
      <c r="E1231">
        <f>$C1231*E1230</f>
        <v/>
      </c>
      <c r="F1231">
        <f>$C1231*F1230</f>
        <v/>
      </c>
      <c r="G1231">
        <f>$C1231*G1230</f>
        <v/>
      </c>
      <c r="H1231">
        <f>$C1231*H1230</f>
        <v/>
      </c>
      <c r="I1231">
        <f>$C1231*I1230</f>
        <v/>
      </c>
      <c r="J1231">
        <f>$C1231*J1230</f>
        <v/>
      </c>
      <c r="K1231">
        <f>$C1231*K1230</f>
        <v/>
      </c>
      <c r="L1231">
        <f>$C1231*L1230</f>
        <v/>
      </c>
      <c r="M1231">
        <f>$C1231*M1230</f>
        <v/>
      </c>
      <c r="N1231">
        <f>$C1231*N1230</f>
        <v/>
      </c>
      <c r="O1231">
        <f>$C1231*O1230</f>
        <v/>
      </c>
      <c r="P1231">
        <f>$C1231*P1230</f>
        <v/>
      </c>
      <c r="Q1231">
        <f>$C1231*Q1230</f>
        <v/>
      </c>
      <c r="R1231">
        <f>$C1231*R1230</f>
        <v/>
      </c>
      <c r="S1231">
        <f>$C1231*S1230</f>
        <v/>
      </c>
      <c r="T1231">
        <f>$C1231*T1230</f>
        <v/>
      </c>
      <c r="U1231">
        <f>$C1231*U1230</f>
        <v/>
      </c>
      <c r="V1231">
        <f>$C1231*V1230</f>
        <v/>
      </c>
      <c r="W1231">
        <f>$C1231*W1230</f>
        <v/>
      </c>
      <c r="X1231">
        <f>$C1231*X1230</f>
        <v/>
      </c>
      <c r="Y1231">
        <f>$C1231*Y1230</f>
        <v/>
      </c>
      <c r="Z1231">
        <f>$C1231*Z1230</f>
        <v/>
      </c>
      <c r="AA1231">
        <f>$C1231*AA1230</f>
        <v/>
      </c>
      <c r="AB1231">
        <f>$C1231*AB1230</f>
        <v/>
      </c>
      <c r="AC1231">
        <f>$C1231*AC1230</f>
        <v/>
      </c>
      <c r="AD1231">
        <f>$C1231*AD1230</f>
        <v/>
      </c>
      <c r="AE1231">
        <f>$C1231*AE1230</f>
        <v/>
      </c>
      <c r="AF1231">
        <f>$C1231*AF1230</f>
        <v/>
      </c>
      <c r="AG1231">
        <f>$C1231*AG1230</f>
        <v/>
      </c>
      <c r="AH1231">
        <f>$C1231*AH1230</f>
        <v/>
      </c>
      <c r="AI1231">
        <f>$C1231*AI1230</f>
        <v/>
      </c>
      <c r="AJ1231">
        <f>$C1231*AJ1230</f>
        <v/>
      </c>
      <c r="AK1231">
        <f>$C1231*AK1230</f>
        <v/>
      </c>
      <c r="AL1231">
        <f>$C1231*AL1230</f>
        <v/>
      </c>
      <c r="AM1231">
        <f>$C1231*AM1230</f>
        <v/>
      </c>
      <c r="AN1231">
        <f>$C1231*AN1230</f>
        <v/>
      </c>
      <c r="AO1231">
        <f>$C1231*AO1230</f>
        <v/>
      </c>
      <c r="AP1231">
        <f>$C1231*AP1230</f>
        <v/>
      </c>
      <c r="AQ1231">
        <f>$C1231*AQ1230</f>
        <v/>
      </c>
      <c r="AR1231">
        <f>$C1231*AR1230</f>
        <v/>
      </c>
      <c r="AS1231">
        <f>$C1231*AS1230</f>
        <v/>
      </c>
      <c r="AT1231">
        <f>$C1231*AT1230</f>
        <v/>
      </c>
      <c r="AU1231">
        <f>$C1231*AU1230</f>
        <v/>
      </c>
      <c r="AV1231">
        <f>$C1231*AV1230</f>
        <v/>
      </c>
      <c r="AW1231">
        <f>$C1231*AW1230</f>
        <v/>
      </c>
      <c r="AX1231">
        <f>$C1231*AX1230</f>
        <v/>
      </c>
      <c r="AY1231">
        <f>$C1231*AY1230</f>
        <v/>
      </c>
      <c r="AZ1231">
        <f>$C1231*AZ1230</f>
        <v/>
      </c>
      <c r="BA1231">
        <f>$C1231*BA1230</f>
        <v/>
      </c>
      <c r="BB1231">
        <f>$C1231*BB1230</f>
        <v/>
      </c>
      <c r="BC1231">
        <f>$C1231*BC1230</f>
        <v/>
      </c>
      <c r="BD1231">
        <f>$C1231*BD1230</f>
        <v/>
      </c>
      <c r="BE1231">
        <f>$C1231*BE1230</f>
        <v/>
      </c>
      <c r="BF1231">
        <f>$C1231*BF1230</f>
        <v/>
      </c>
      <c r="BG1231">
        <f>$C1231*BG1230</f>
        <v/>
      </c>
      <c r="BH1231">
        <f>$C1231*BH1230</f>
        <v/>
      </c>
      <c r="BI1231">
        <f>$C1231*BI1230</f>
        <v/>
      </c>
      <c r="BJ1231">
        <f>$C1231*BJ1230</f>
        <v/>
      </c>
      <c r="BK1231">
        <f>$C1231*BK1230</f>
        <v/>
      </c>
      <c r="BL1231">
        <f>$C1231*BL1230</f>
        <v/>
      </c>
      <c r="BM1231">
        <f>$C1231*BM1230</f>
        <v/>
      </c>
      <c r="BN1231">
        <f>$C1231*BN1230</f>
        <v/>
      </c>
      <c r="BO1231">
        <f>$C1231*BO1230</f>
        <v/>
      </c>
      <c r="BP1231">
        <f>$C1231*BP1230</f>
        <v/>
      </c>
      <c r="BQ1231">
        <f>$C1231*BQ1230</f>
        <v/>
      </c>
      <c r="BR1231">
        <f>$C1231*BR1230</f>
        <v/>
      </c>
      <c r="BS1231">
        <f>$C1231*BS1230</f>
        <v/>
      </c>
      <c r="BT1231">
        <f>$C1231*BT1230</f>
        <v/>
      </c>
      <c r="BU1231">
        <f>$C1231*BU1230</f>
        <v/>
      </c>
      <c r="BV1231">
        <f>$C1231*BV1230</f>
        <v/>
      </c>
      <c r="BW1231">
        <f>$C1231*BW1230</f>
        <v/>
      </c>
      <c r="BX1231">
        <f>$C1231*BX1230</f>
        <v/>
      </c>
      <c r="BY1231">
        <f>$C1231*BY1230</f>
        <v/>
      </c>
      <c r="BZ1231">
        <f>$C1231*BZ1230</f>
        <v/>
      </c>
      <c r="CA1231">
        <f>$C1231*CA1230</f>
        <v/>
      </c>
      <c r="CB1231">
        <f>$C1231*CB1230</f>
        <v/>
      </c>
      <c r="CC1231">
        <f>$C1231*CC1230</f>
        <v/>
      </c>
      <c r="CD1231">
        <f>$C1231*CD1230</f>
        <v/>
      </c>
      <c r="CE1231">
        <f>$C1231*CE1230</f>
        <v/>
      </c>
      <c r="CF1231">
        <f>$C1231*CF1230</f>
        <v/>
      </c>
      <c r="CG1231">
        <f>$C1231*CG1230</f>
        <v/>
      </c>
      <c r="CH1231">
        <f>$C1231*CH1230</f>
        <v/>
      </c>
      <c r="CI1231">
        <f>$C1231*CI1230</f>
        <v/>
      </c>
      <c r="CJ1231">
        <f>$C1231*CJ1230</f>
        <v/>
      </c>
      <c r="CK1231">
        <f>$C1231*CK1230</f>
        <v/>
      </c>
      <c r="CL1231">
        <f>$C1231*CL1230</f>
        <v/>
      </c>
      <c r="CM1231">
        <f>$C1231*CM1230</f>
        <v/>
      </c>
      <c r="CN1231">
        <f>$C1231*CN1230</f>
        <v/>
      </c>
      <c r="CO1231">
        <f>$C1231*CO1230</f>
        <v/>
      </c>
      <c r="CP1231">
        <f>$C1231*CP1230</f>
        <v/>
      </c>
      <c r="CQ1231">
        <f>$C1231*CQ1230</f>
        <v/>
      </c>
      <c r="CR1231">
        <f>$C1231*CR1230</f>
        <v/>
      </c>
      <c r="CS1231">
        <f>$C1231*CS1230</f>
        <v/>
      </c>
      <c r="CT1231">
        <f>$C1231*CT1230</f>
        <v/>
      </c>
      <c r="CU1231">
        <f>$C1231*CU1230</f>
        <v/>
      </c>
      <c r="CV1231">
        <f>$C1231*CV1230</f>
        <v/>
      </c>
      <c r="CW1231">
        <f>$C1231*CW1230</f>
        <v/>
      </c>
      <c r="CX1231">
        <f>$C1231*CX1230</f>
        <v/>
      </c>
      <c r="CY1231">
        <f>$C1231*CY1230</f>
        <v/>
      </c>
      <c r="CZ1231">
        <f>$C1231*CZ1230</f>
        <v/>
      </c>
      <c r="DA1231">
        <f>$C1231*DA1230</f>
        <v/>
      </c>
      <c r="DB1231">
        <f>$C1231*DB1230</f>
        <v/>
      </c>
      <c r="DC1231">
        <f>$C1231*DC1230</f>
        <v/>
      </c>
    </row>
    <row r="1232">
      <c r="B1232" t="inlineStr">
        <is>
          <t>TSP-929</t>
        </is>
      </c>
      <c r="C1232" t="inlineStr">
        <is>
          <t>No. of batches</t>
        </is>
      </c>
      <c r="D1232">
        <f>IFERROR(INDEX(PP_Grid[#Data],$DD1232,2),0)</f>
        <v/>
      </c>
      <c r="E1232">
        <f>IFERROR(INDEX(PP_Grid[#Data],$DD1232,3),0)</f>
        <v/>
      </c>
      <c r="F1232">
        <f>IFERROR(INDEX(PP_Grid[#Data],$DD1232,4),0)</f>
        <v/>
      </c>
      <c r="G1232">
        <f>IFERROR(INDEX(PP_Grid[#Data],$DD1232,5),0)</f>
        <v/>
      </c>
      <c r="H1232">
        <f>IFERROR(INDEX(PP_Grid[#Data],$DD1232,6),0)</f>
        <v/>
      </c>
      <c r="I1232">
        <f>IFERROR(INDEX(PP_Grid[#Data],$DD1232,7),0)</f>
        <v/>
      </c>
      <c r="J1232">
        <f>IFERROR(INDEX(PP_Grid[#Data],$DD1232,8),0)</f>
        <v/>
      </c>
      <c r="K1232">
        <f>IFERROR(INDEX(PP_Grid[#Data],$DD1232,9),0)</f>
        <v/>
      </c>
      <c r="L1232">
        <f>IFERROR(INDEX(PP_Grid[#Data],$DD1232,10),0)</f>
        <v/>
      </c>
      <c r="M1232">
        <f>IFERROR(INDEX(PP_Grid[#Data],$DD1232,11),0)</f>
        <v/>
      </c>
      <c r="N1232">
        <f>IFERROR(INDEX(PP_Grid[#Data],$DD1232,12),0)</f>
        <v/>
      </c>
      <c r="O1232">
        <f>IFERROR(INDEX(PP_Grid[#Data],$DD1232,13),0)</f>
        <v/>
      </c>
      <c r="P1232">
        <f>IFERROR(INDEX(PP_Grid[#Data],$DD1232,14),0)</f>
        <v/>
      </c>
      <c r="Q1232">
        <f>IFERROR(INDEX(PP_Grid[#Data],$DD1232,15),0)</f>
        <v/>
      </c>
      <c r="R1232">
        <f>IFERROR(INDEX(PP_Grid[#Data],$DD1232,16),0)</f>
        <v/>
      </c>
      <c r="S1232">
        <f>IFERROR(INDEX(PP_Grid[#Data],$DD1232,17),0)</f>
        <v/>
      </c>
      <c r="T1232">
        <f>IFERROR(INDEX(PP_Grid[#Data],$DD1232,18),0)</f>
        <v/>
      </c>
      <c r="U1232">
        <f>IFERROR(INDEX(PP_Grid[#Data],$DD1232,19),0)</f>
        <v/>
      </c>
      <c r="V1232">
        <f>IFERROR(INDEX(PP_Grid[#Data],$DD1232,20),0)</f>
        <v/>
      </c>
      <c r="W1232">
        <f>IFERROR(INDEX(PP_Grid[#Data],$DD1232,21),0)</f>
        <v/>
      </c>
      <c r="X1232">
        <f>IFERROR(INDEX(PP_Grid[#Data],$DD1232,22),0)</f>
        <v/>
      </c>
      <c r="Y1232">
        <f>IFERROR(INDEX(PP_Grid[#Data],$DD1232,23),0)</f>
        <v/>
      </c>
      <c r="Z1232">
        <f>IFERROR(INDEX(PP_Grid[#Data],$DD1232,24),0)</f>
        <v/>
      </c>
      <c r="AA1232">
        <f>IFERROR(INDEX(PP_Grid[#Data],$DD1232,25),0)</f>
        <v/>
      </c>
      <c r="AB1232">
        <f>IFERROR(INDEX(PP_Grid[#Data],$DD1232,26),0)</f>
        <v/>
      </c>
      <c r="AC1232">
        <f>IFERROR(INDEX(PP_Grid[#Data],$DD1232,27),0)</f>
        <v/>
      </c>
      <c r="AD1232">
        <f>IFERROR(INDEX(PP_Grid[#Data],$DD1232,28),0)</f>
        <v/>
      </c>
      <c r="AE1232">
        <f>IFERROR(INDEX(PP_Grid[#Data],$DD1232,29),0)</f>
        <v/>
      </c>
      <c r="AF1232">
        <f>IFERROR(INDEX(PP_Grid[#Data],$DD1232,30),0)</f>
        <v/>
      </c>
      <c r="AG1232">
        <f>IFERROR(INDEX(PP_Grid[#Data],$DD1232,31),0)</f>
        <v/>
      </c>
      <c r="AH1232">
        <f>IFERROR(INDEX(PP_Grid[#Data],$DD1232,32),0)</f>
        <v/>
      </c>
      <c r="AI1232">
        <f>IFERROR(INDEX(PP_Grid[#Data],$DD1232,33),0)</f>
        <v/>
      </c>
      <c r="AJ1232">
        <f>IFERROR(INDEX(PP_Grid[#Data],$DD1232,34),0)</f>
        <v/>
      </c>
      <c r="AK1232">
        <f>IFERROR(INDEX(PP_Grid[#Data],$DD1232,35),0)</f>
        <v/>
      </c>
      <c r="AL1232">
        <f>IFERROR(INDEX(PP_Grid[#Data],$DD1232,36),0)</f>
        <v/>
      </c>
      <c r="AM1232">
        <f>IFERROR(INDEX(PP_Grid[#Data],$DD1232,37),0)</f>
        <v/>
      </c>
      <c r="AN1232">
        <f>IFERROR(INDEX(PP_Grid[#Data],$DD1232,38),0)</f>
        <v/>
      </c>
      <c r="AO1232">
        <f>IFERROR(INDEX(PP_Grid[#Data],$DD1232,39),0)</f>
        <v/>
      </c>
      <c r="AP1232">
        <f>IFERROR(INDEX(PP_Grid[#Data],$DD1232,40),0)</f>
        <v/>
      </c>
      <c r="AQ1232">
        <f>IFERROR(INDEX(PP_Grid[#Data],$DD1232,41),0)</f>
        <v/>
      </c>
      <c r="AR1232">
        <f>IFERROR(INDEX(PP_Grid[#Data],$DD1232,42),0)</f>
        <v/>
      </c>
      <c r="AS1232">
        <f>IFERROR(INDEX(PP_Grid[#Data],$DD1232,43),0)</f>
        <v/>
      </c>
      <c r="AT1232">
        <f>IFERROR(INDEX(PP_Grid[#Data],$DD1232,44),0)</f>
        <v/>
      </c>
      <c r="AU1232">
        <f>IFERROR(INDEX(PP_Grid[#Data],$DD1232,45),0)</f>
        <v/>
      </c>
      <c r="AV1232">
        <f>IFERROR(INDEX(PP_Grid[#Data],$DD1232,46),0)</f>
        <v/>
      </c>
      <c r="AW1232">
        <f>IFERROR(INDEX(PP_Grid[#Data],$DD1232,47),0)</f>
        <v/>
      </c>
      <c r="AX1232">
        <f>IFERROR(INDEX(PP_Grid[#Data],$DD1232,48),0)</f>
        <v/>
      </c>
      <c r="AY1232">
        <f>IFERROR(INDEX(PP_Grid[#Data],$DD1232,49),0)</f>
        <v/>
      </c>
      <c r="AZ1232">
        <f>IFERROR(INDEX(PP_Grid[#Data],$DD1232,50),0)</f>
        <v/>
      </c>
      <c r="BA1232">
        <f>IFERROR(INDEX(PP_Grid[#Data],$DD1232,51),0)</f>
        <v/>
      </c>
      <c r="BB1232">
        <f>IFERROR(INDEX(PP_Grid[#Data],$DD1232,52),0)</f>
        <v/>
      </c>
      <c r="BC1232">
        <f>IFERROR(INDEX(PP_Grid[#Data],$DD1232,53),0)</f>
        <v/>
      </c>
      <c r="BD1232">
        <f>IFERROR(INDEX(PP_Grid[#Data],$DD1232,54),0)</f>
        <v/>
      </c>
      <c r="BE1232">
        <f>IFERROR(INDEX(PP_Grid[#Data],$DD1232,55),0)</f>
        <v/>
      </c>
      <c r="BF1232">
        <f>IFERROR(INDEX(PP_Grid[#Data],$DD1232,56),0)</f>
        <v/>
      </c>
      <c r="BG1232">
        <f>IFERROR(INDEX(PP_Grid[#Data],$DD1232,57),0)</f>
        <v/>
      </c>
      <c r="BH1232">
        <f>IFERROR(INDEX(PP_Grid[#Data],$DD1232,58),0)</f>
        <v/>
      </c>
      <c r="BI1232">
        <f>IFERROR(INDEX(PP_Grid[#Data],$DD1232,59),0)</f>
        <v/>
      </c>
      <c r="BJ1232">
        <f>IFERROR(INDEX(PP_Grid[#Data],$DD1232,60),0)</f>
        <v/>
      </c>
      <c r="BK1232">
        <f>IFERROR(INDEX(PP_Grid[#Data],$DD1232,61),0)</f>
        <v/>
      </c>
      <c r="BL1232">
        <f>IFERROR(INDEX(PP_Grid[#Data],$DD1232,62),0)</f>
        <v/>
      </c>
      <c r="BM1232">
        <f>IFERROR(INDEX(PP_Grid[#Data],$DD1232,63),0)</f>
        <v/>
      </c>
      <c r="BN1232">
        <f>IFERROR(INDEX(PP_Grid[#Data],$DD1232,64),0)</f>
        <v/>
      </c>
      <c r="BO1232">
        <f>IFERROR(INDEX(PP_Grid[#Data],$DD1232,65),0)</f>
        <v/>
      </c>
      <c r="BP1232">
        <f>IFERROR(INDEX(PP_Grid[#Data],$DD1232,66),0)</f>
        <v/>
      </c>
      <c r="BQ1232">
        <f>IFERROR(INDEX(PP_Grid[#Data],$DD1232,67),0)</f>
        <v/>
      </c>
      <c r="BR1232">
        <f>IFERROR(INDEX(PP_Grid[#Data],$DD1232,68),0)</f>
        <v/>
      </c>
      <c r="BS1232">
        <f>IFERROR(INDEX(PP_Grid[#Data],$DD1232,69),0)</f>
        <v/>
      </c>
      <c r="BT1232">
        <f>IFERROR(INDEX(PP_Grid[#Data],$DD1232,70),0)</f>
        <v/>
      </c>
      <c r="BU1232">
        <f>IFERROR(INDEX(PP_Grid[#Data],$DD1232,71),0)</f>
        <v/>
      </c>
      <c r="BV1232">
        <f>IFERROR(INDEX(PP_Grid[#Data],$DD1232,72),0)</f>
        <v/>
      </c>
      <c r="BW1232">
        <f>IFERROR(INDEX(PP_Grid[#Data],$DD1232,73),0)</f>
        <v/>
      </c>
      <c r="BX1232">
        <f>IFERROR(INDEX(PP_Grid[#Data],$DD1232,74),0)</f>
        <v/>
      </c>
      <c r="BY1232">
        <f>IFERROR(INDEX(PP_Grid[#Data],$DD1232,75),0)</f>
        <v/>
      </c>
      <c r="BZ1232">
        <f>IFERROR(INDEX(PP_Grid[#Data],$DD1232,76),0)</f>
        <v/>
      </c>
      <c r="CA1232">
        <f>IFERROR(INDEX(PP_Grid[#Data],$DD1232,77),0)</f>
        <v/>
      </c>
      <c r="CB1232">
        <f>IFERROR(INDEX(PP_Grid[#Data],$DD1232,78),0)</f>
        <v/>
      </c>
      <c r="CC1232">
        <f>IFERROR(INDEX(PP_Grid[#Data],$DD1232,79),0)</f>
        <v/>
      </c>
      <c r="CD1232">
        <f>IFERROR(INDEX(PP_Grid[#Data],$DD1232,80),0)</f>
        <v/>
      </c>
      <c r="CE1232">
        <f>IFERROR(INDEX(PP_Grid[#Data],$DD1232,81),0)</f>
        <v/>
      </c>
      <c r="CF1232">
        <f>IFERROR(INDEX(PP_Grid[#Data],$DD1232,82),0)</f>
        <v/>
      </c>
      <c r="CG1232">
        <f>IFERROR(INDEX(PP_Grid[#Data],$DD1232,83),0)</f>
        <v/>
      </c>
      <c r="CH1232">
        <f>IFERROR(INDEX(PP_Grid[#Data],$DD1232,84),0)</f>
        <v/>
      </c>
      <c r="CI1232">
        <f>IFERROR(INDEX(PP_Grid[#Data],$DD1232,85),0)</f>
        <v/>
      </c>
      <c r="CJ1232">
        <f>IFERROR(INDEX(PP_Grid[#Data],$DD1232,86),0)</f>
        <v/>
      </c>
      <c r="CK1232">
        <f>IFERROR(INDEX(PP_Grid[#Data],$DD1232,87),0)</f>
        <v/>
      </c>
      <c r="CL1232">
        <f>IFERROR(INDEX(PP_Grid[#Data],$DD1232,88),0)</f>
        <v/>
      </c>
      <c r="CM1232">
        <f>IFERROR(INDEX(PP_Grid[#Data],$DD1232,89),0)</f>
        <v/>
      </c>
      <c r="CN1232">
        <f>IFERROR(INDEX(PP_Grid[#Data],$DD1232,90),0)</f>
        <v/>
      </c>
      <c r="CO1232">
        <f>IFERROR(INDEX(PP_Grid[#Data],$DD1232,91),0)</f>
        <v/>
      </c>
      <c r="CP1232">
        <f>IFERROR(INDEX(PP_Grid[#Data],$DD1232,92),0)</f>
        <v/>
      </c>
      <c r="CQ1232">
        <f>IFERROR(INDEX(PP_Grid[#Data],$DD1232,93),0)</f>
        <v/>
      </c>
      <c r="CR1232">
        <f>IFERROR(INDEX(PP_Grid[#Data],$DD1232,94),0)</f>
        <v/>
      </c>
      <c r="CS1232">
        <f>IFERROR(INDEX(PP_Grid[#Data],$DD1232,95),0)</f>
        <v/>
      </c>
      <c r="CT1232">
        <f>IFERROR(INDEX(PP_Grid[#Data],$DD1232,96),0)</f>
        <v/>
      </c>
      <c r="CU1232">
        <f>IFERROR(INDEX(PP_Grid[#Data],$DD1232,97),0)</f>
        <v/>
      </c>
      <c r="CV1232">
        <f>IFERROR(INDEX(PP_Grid[#Data],$DD1232,98),0)</f>
        <v/>
      </c>
      <c r="CW1232">
        <f>IFERROR(INDEX(PP_Grid[#Data],$DD1232,99),0)</f>
        <v/>
      </c>
      <c r="CX1232">
        <f>IFERROR(INDEX(PP_Grid[#Data],$DD1232,100),0)</f>
        <v/>
      </c>
      <c r="CY1232">
        <f>IFERROR(INDEX(PP_Grid[#Data],$DD1232,101),0)</f>
        <v/>
      </c>
      <c r="CZ1232">
        <f>IFERROR(INDEX(PP_Grid[#Data],$DD1232,102),0)</f>
        <v/>
      </c>
      <c r="DA1232">
        <f>IFERROR(INDEX(PP_Grid[#Data],$DD1232,103),0)</f>
        <v/>
      </c>
      <c r="DB1232">
        <f>IFERROR(INDEX(PP_Grid[#Data],$DD1232,104),0)</f>
        <v/>
      </c>
      <c r="DC1232">
        <f>IFERROR(INDEX(PP_Grid[#Data],$DD1232,105),0)</f>
        <v/>
      </c>
      <c r="DD1232" s="12">
        <f>IFERROR(MATCH($B1232,PP_Grid[Intermediate],0),99999)</f>
        <v/>
      </c>
    </row>
    <row r="1233">
      <c r="B1233" t="inlineStr">
        <is>
          <t>使用量(kg)</t>
        </is>
      </c>
      <c r="C1233">
        <f>SUMIFS(M_BOM[RM_Qty_Per_Batch],M_BOM[Intermediate],$B1232,M_BOM[Part Name],$A1213)</f>
        <v/>
      </c>
      <c r="D1233">
        <f>$C1233*D1232</f>
        <v/>
      </c>
      <c r="E1233">
        <f>$C1233*E1232</f>
        <v/>
      </c>
      <c r="F1233">
        <f>$C1233*F1232</f>
        <v/>
      </c>
      <c r="G1233">
        <f>$C1233*G1232</f>
        <v/>
      </c>
      <c r="H1233">
        <f>$C1233*H1232</f>
        <v/>
      </c>
      <c r="I1233">
        <f>$C1233*I1232</f>
        <v/>
      </c>
      <c r="J1233">
        <f>$C1233*J1232</f>
        <v/>
      </c>
      <c r="K1233">
        <f>$C1233*K1232</f>
        <v/>
      </c>
      <c r="L1233">
        <f>$C1233*L1232</f>
        <v/>
      </c>
      <c r="M1233">
        <f>$C1233*M1232</f>
        <v/>
      </c>
      <c r="N1233">
        <f>$C1233*N1232</f>
        <v/>
      </c>
      <c r="O1233">
        <f>$C1233*O1232</f>
        <v/>
      </c>
      <c r="P1233">
        <f>$C1233*P1232</f>
        <v/>
      </c>
      <c r="Q1233">
        <f>$C1233*Q1232</f>
        <v/>
      </c>
      <c r="R1233">
        <f>$C1233*R1232</f>
        <v/>
      </c>
      <c r="S1233">
        <f>$C1233*S1232</f>
        <v/>
      </c>
      <c r="T1233">
        <f>$C1233*T1232</f>
        <v/>
      </c>
      <c r="U1233">
        <f>$C1233*U1232</f>
        <v/>
      </c>
      <c r="V1233">
        <f>$C1233*V1232</f>
        <v/>
      </c>
      <c r="W1233">
        <f>$C1233*W1232</f>
        <v/>
      </c>
      <c r="X1233">
        <f>$C1233*X1232</f>
        <v/>
      </c>
      <c r="Y1233">
        <f>$C1233*Y1232</f>
        <v/>
      </c>
      <c r="Z1233">
        <f>$C1233*Z1232</f>
        <v/>
      </c>
      <c r="AA1233">
        <f>$C1233*AA1232</f>
        <v/>
      </c>
      <c r="AB1233">
        <f>$C1233*AB1232</f>
        <v/>
      </c>
      <c r="AC1233">
        <f>$C1233*AC1232</f>
        <v/>
      </c>
      <c r="AD1233">
        <f>$C1233*AD1232</f>
        <v/>
      </c>
      <c r="AE1233">
        <f>$C1233*AE1232</f>
        <v/>
      </c>
      <c r="AF1233">
        <f>$C1233*AF1232</f>
        <v/>
      </c>
      <c r="AG1233">
        <f>$C1233*AG1232</f>
        <v/>
      </c>
      <c r="AH1233">
        <f>$C1233*AH1232</f>
        <v/>
      </c>
      <c r="AI1233">
        <f>$C1233*AI1232</f>
        <v/>
      </c>
      <c r="AJ1233">
        <f>$C1233*AJ1232</f>
        <v/>
      </c>
      <c r="AK1233">
        <f>$C1233*AK1232</f>
        <v/>
      </c>
      <c r="AL1233">
        <f>$C1233*AL1232</f>
        <v/>
      </c>
      <c r="AM1233">
        <f>$C1233*AM1232</f>
        <v/>
      </c>
      <c r="AN1233">
        <f>$C1233*AN1232</f>
        <v/>
      </c>
      <c r="AO1233">
        <f>$C1233*AO1232</f>
        <v/>
      </c>
      <c r="AP1233">
        <f>$C1233*AP1232</f>
        <v/>
      </c>
      <c r="AQ1233">
        <f>$C1233*AQ1232</f>
        <v/>
      </c>
      <c r="AR1233">
        <f>$C1233*AR1232</f>
        <v/>
      </c>
      <c r="AS1233">
        <f>$C1233*AS1232</f>
        <v/>
      </c>
      <c r="AT1233">
        <f>$C1233*AT1232</f>
        <v/>
      </c>
      <c r="AU1233">
        <f>$C1233*AU1232</f>
        <v/>
      </c>
      <c r="AV1233">
        <f>$C1233*AV1232</f>
        <v/>
      </c>
      <c r="AW1233">
        <f>$C1233*AW1232</f>
        <v/>
      </c>
      <c r="AX1233">
        <f>$C1233*AX1232</f>
        <v/>
      </c>
      <c r="AY1233">
        <f>$C1233*AY1232</f>
        <v/>
      </c>
      <c r="AZ1233">
        <f>$C1233*AZ1232</f>
        <v/>
      </c>
      <c r="BA1233">
        <f>$C1233*BA1232</f>
        <v/>
      </c>
      <c r="BB1233">
        <f>$C1233*BB1232</f>
        <v/>
      </c>
      <c r="BC1233">
        <f>$C1233*BC1232</f>
        <v/>
      </c>
      <c r="BD1233">
        <f>$C1233*BD1232</f>
        <v/>
      </c>
      <c r="BE1233">
        <f>$C1233*BE1232</f>
        <v/>
      </c>
      <c r="BF1233">
        <f>$C1233*BF1232</f>
        <v/>
      </c>
      <c r="BG1233">
        <f>$C1233*BG1232</f>
        <v/>
      </c>
      <c r="BH1233">
        <f>$C1233*BH1232</f>
        <v/>
      </c>
      <c r="BI1233">
        <f>$C1233*BI1232</f>
        <v/>
      </c>
      <c r="BJ1233">
        <f>$C1233*BJ1232</f>
        <v/>
      </c>
      <c r="BK1233">
        <f>$C1233*BK1232</f>
        <v/>
      </c>
      <c r="BL1233">
        <f>$C1233*BL1232</f>
        <v/>
      </c>
      <c r="BM1233">
        <f>$C1233*BM1232</f>
        <v/>
      </c>
      <c r="BN1233">
        <f>$C1233*BN1232</f>
        <v/>
      </c>
      <c r="BO1233">
        <f>$C1233*BO1232</f>
        <v/>
      </c>
      <c r="BP1233">
        <f>$C1233*BP1232</f>
        <v/>
      </c>
      <c r="BQ1233">
        <f>$C1233*BQ1232</f>
        <v/>
      </c>
      <c r="BR1233">
        <f>$C1233*BR1232</f>
        <v/>
      </c>
      <c r="BS1233">
        <f>$C1233*BS1232</f>
        <v/>
      </c>
      <c r="BT1233">
        <f>$C1233*BT1232</f>
        <v/>
      </c>
      <c r="BU1233">
        <f>$C1233*BU1232</f>
        <v/>
      </c>
      <c r="BV1233">
        <f>$C1233*BV1232</f>
        <v/>
      </c>
      <c r="BW1233">
        <f>$C1233*BW1232</f>
        <v/>
      </c>
      <c r="BX1233">
        <f>$C1233*BX1232</f>
        <v/>
      </c>
      <c r="BY1233">
        <f>$C1233*BY1232</f>
        <v/>
      </c>
      <c r="BZ1233">
        <f>$C1233*BZ1232</f>
        <v/>
      </c>
      <c r="CA1233">
        <f>$C1233*CA1232</f>
        <v/>
      </c>
      <c r="CB1233">
        <f>$C1233*CB1232</f>
        <v/>
      </c>
      <c r="CC1233">
        <f>$C1233*CC1232</f>
        <v/>
      </c>
      <c r="CD1233">
        <f>$C1233*CD1232</f>
        <v/>
      </c>
      <c r="CE1233">
        <f>$C1233*CE1232</f>
        <v/>
      </c>
      <c r="CF1233">
        <f>$C1233*CF1232</f>
        <v/>
      </c>
      <c r="CG1233">
        <f>$C1233*CG1232</f>
        <v/>
      </c>
      <c r="CH1233">
        <f>$C1233*CH1232</f>
        <v/>
      </c>
      <c r="CI1233">
        <f>$C1233*CI1232</f>
        <v/>
      </c>
      <c r="CJ1233">
        <f>$C1233*CJ1232</f>
        <v/>
      </c>
      <c r="CK1233">
        <f>$C1233*CK1232</f>
        <v/>
      </c>
      <c r="CL1233">
        <f>$C1233*CL1232</f>
        <v/>
      </c>
      <c r="CM1233">
        <f>$C1233*CM1232</f>
        <v/>
      </c>
      <c r="CN1233">
        <f>$C1233*CN1232</f>
        <v/>
      </c>
      <c r="CO1233">
        <f>$C1233*CO1232</f>
        <v/>
      </c>
      <c r="CP1233">
        <f>$C1233*CP1232</f>
        <v/>
      </c>
      <c r="CQ1233">
        <f>$C1233*CQ1232</f>
        <v/>
      </c>
      <c r="CR1233">
        <f>$C1233*CR1232</f>
        <v/>
      </c>
      <c r="CS1233">
        <f>$C1233*CS1232</f>
        <v/>
      </c>
      <c r="CT1233">
        <f>$C1233*CT1232</f>
        <v/>
      </c>
      <c r="CU1233">
        <f>$C1233*CU1232</f>
        <v/>
      </c>
      <c r="CV1233">
        <f>$C1233*CV1232</f>
        <v/>
      </c>
      <c r="CW1233">
        <f>$C1233*CW1232</f>
        <v/>
      </c>
      <c r="CX1233">
        <f>$C1233*CX1232</f>
        <v/>
      </c>
      <c r="CY1233">
        <f>$C1233*CY1232</f>
        <v/>
      </c>
      <c r="CZ1233">
        <f>$C1233*CZ1232</f>
        <v/>
      </c>
      <c r="DA1233">
        <f>$C1233*DA1232</f>
        <v/>
      </c>
      <c r="DB1233">
        <f>$C1233*DB1232</f>
        <v/>
      </c>
      <c r="DC1233">
        <f>$C1233*DC1232</f>
        <v/>
      </c>
    </row>
    <row r="1234">
      <c r="B1234" t="inlineStr">
        <is>
          <t>TSP-930</t>
        </is>
      </c>
      <c r="C1234" t="inlineStr">
        <is>
          <t>No. of batches</t>
        </is>
      </c>
      <c r="D1234">
        <f>IFERROR(INDEX(PP_Grid[#Data],$DD1234,2),0)</f>
        <v/>
      </c>
      <c r="E1234">
        <f>IFERROR(INDEX(PP_Grid[#Data],$DD1234,3),0)</f>
        <v/>
      </c>
      <c r="F1234">
        <f>IFERROR(INDEX(PP_Grid[#Data],$DD1234,4),0)</f>
        <v/>
      </c>
      <c r="G1234">
        <f>IFERROR(INDEX(PP_Grid[#Data],$DD1234,5),0)</f>
        <v/>
      </c>
      <c r="H1234">
        <f>IFERROR(INDEX(PP_Grid[#Data],$DD1234,6),0)</f>
        <v/>
      </c>
      <c r="I1234">
        <f>IFERROR(INDEX(PP_Grid[#Data],$DD1234,7),0)</f>
        <v/>
      </c>
      <c r="J1234">
        <f>IFERROR(INDEX(PP_Grid[#Data],$DD1234,8),0)</f>
        <v/>
      </c>
      <c r="K1234">
        <f>IFERROR(INDEX(PP_Grid[#Data],$DD1234,9),0)</f>
        <v/>
      </c>
      <c r="L1234">
        <f>IFERROR(INDEX(PP_Grid[#Data],$DD1234,10),0)</f>
        <v/>
      </c>
      <c r="M1234">
        <f>IFERROR(INDEX(PP_Grid[#Data],$DD1234,11),0)</f>
        <v/>
      </c>
      <c r="N1234">
        <f>IFERROR(INDEX(PP_Grid[#Data],$DD1234,12),0)</f>
        <v/>
      </c>
      <c r="O1234">
        <f>IFERROR(INDEX(PP_Grid[#Data],$DD1234,13),0)</f>
        <v/>
      </c>
      <c r="P1234">
        <f>IFERROR(INDEX(PP_Grid[#Data],$DD1234,14),0)</f>
        <v/>
      </c>
      <c r="Q1234">
        <f>IFERROR(INDEX(PP_Grid[#Data],$DD1234,15),0)</f>
        <v/>
      </c>
      <c r="R1234">
        <f>IFERROR(INDEX(PP_Grid[#Data],$DD1234,16),0)</f>
        <v/>
      </c>
      <c r="S1234">
        <f>IFERROR(INDEX(PP_Grid[#Data],$DD1234,17),0)</f>
        <v/>
      </c>
      <c r="T1234">
        <f>IFERROR(INDEX(PP_Grid[#Data],$DD1234,18),0)</f>
        <v/>
      </c>
      <c r="U1234">
        <f>IFERROR(INDEX(PP_Grid[#Data],$DD1234,19),0)</f>
        <v/>
      </c>
      <c r="V1234">
        <f>IFERROR(INDEX(PP_Grid[#Data],$DD1234,20),0)</f>
        <v/>
      </c>
      <c r="W1234">
        <f>IFERROR(INDEX(PP_Grid[#Data],$DD1234,21),0)</f>
        <v/>
      </c>
      <c r="X1234">
        <f>IFERROR(INDEX(PP_Grid[#Data],$DD1234,22),0)</f>
        <v/>
      </c>
      <c r="Y1234">
        <f>IFERROR(INDEX(PP_Grid[#Data],$DD1234,23),0)</f>
        <v/>
      </c>
      <c r="Z1234">
        <f>IFERROR(INDEX(PP_Grid[#Data],$DD1234,24),0)</f>
        <v/>
      </c>
      <c r="AA1234">
        <f>IFERROR(INDEX(PP_Grid[#Data],$DD1234,25),0)</f>
        <v/>
      </c>
      <c r="AB1234">
        <f>IFERROR(INDEX(PP_Grid[#Data],$DD1234,26),0)</f>
        <v/>
      </c>
      <c r="AC1234">
        <f>IFERROR(INDEX(PP_Grid[#Data],$DD1234,27),0)</f>
        <v/>
      </c>
      <c r="AD1234">
        <f>IFERROR(INDEX(PP_Grid[#Data],$DD1234,28),0)</f>
        <v/>
      </c>
      <c r="AE1234">
        <f>IFERROR(INDEX(PP_Grid[#Data],$DD1234,29),0)</f>
        <v/>
      </c>
      <c r="AF1234">
        <f>IFERROR(INDEX(PP_Grid[#Data],$DD1234,30),0)</f>
        <v/>
      </c>
      <c r="AG1234">
        <f>IFERROR(INDEX(PP_Grid[#Data],$DD1234,31),0)</f>
        <v/>
      </c>
      <c r="AH1234">
        <f>IFERROR(INDEX(PP_Grid[#Data],$DD1234,32),0)</f>
        <v/>
      </c>
      <c r="AI1234">
        <f>IFERROR(INDEX(PP_Grid[#Data],$DD1234,33),0)</f>
        <v/>
      </c>
      <c r="AJ1234">
        <f>IFERROR(INDEX(PP_Grid[#Data],$DD1234,34),0)</f>
        <v/>
      </c>
      <c r="AK1234">
        <f>IFERROR(INDEX(PP_Grid[#Data],$DD1234,35),0)</f>
        <v/>
      </c>
      <c r="AL1234">
        <f>IFERROR(INDEX(PP_Grid[#Data],$DD1234,36),0)</f>
        <v/>
      </c>
      <c r="AM1234">
        <f>IFERROR(INDEX(PP_Grid[#Data],$DD1234,37),0)</f>
        <v/>
      </c>
      <c r="AN1234">
        <f>IFERROR(INDEX(PP_Grid[#Data],$DD1234,38),0)</f>
        <v/>
      </c>
      <c r="AO1234">
        <f>IFERROR(INDEX(PP_Grid[#Data],$DD1234,39),0)</f>
        <v/>
      </c>
      <c r="AP1234">
        <f>IFERROR(INDEX(PP_Grid[#Data],$DD1234,40),0)</f>
        <v/>
      </c>
      <c r="AQ1234">
        <f>IFERROR(INDEX(PP_Grid[#Data],$DD1234,41),0)</f>
        <v/>
      </c>
      <c r="AR1234">
        <f>IFERROR(INDEX(PP_Grid[#Data],$DD1234,42),0)</f>
        <v/>
      </c>
      <c r="AS1234">
        <f>IFERROR(INDEX(PP_Grid[#Data],$DD1234,43),0)</f>
        <v/>
      </c>
      <c r="AT1234">
        <f>IFERROR(INDEX(PP_Grid[#Data],$DD1234,44),0)</f>
        <v/>
      </c>
      <c r="AU1234">
        <f>IFERROR(INDEX(PP_Grid[#Data],$DD1234,45),0)</f>
        <v/>
      </c>
      <c r="AV1234">
        <f>IFERROR(INDEX(PP_Grid[#Data],$DD1234,46),0)</f>
        <v/>
      </c>
      <c r="AW1234">
        <f>IFERROR(INDEX(PP_Grid[#Data],$DD1234,47),0)</f>
        <v/>
      </c>
      <c r="AX1234">
        <f>IFERROR(INDEX(PP_Grid[#Data],$DD1234,48),0)</f>
        <v/>
      </c>
      <c r="AY1234">
        <f>IFERROR(INDEX(PP_Grid[#Data],$DD1234,49),0)</f>
        <v/>
      </c>
      <c r="AZ1234">
        <f>IFERROR(INDEX(PP_Grid[#Data],$DD1234,50),0)</f>
        <v/>
      </c>
      <c r="BA1234">
        <f>IFERROR(INDEX(PP_Grid[#Data],$DD1234,51),0)</f>
        <v/>
      </c>
      <c r="BB1234">
        <f>IFERROR(INDEX(PP_Grid[#Data],$DD1234,52),0)</f>
        <v/>
      </c>
      <c r="BC1234">
        <f>IFERROR(INDEX(PP_Grid[#Data],$DD1234,53),0)</f>
        <v/>
      </c>
      <c r="BD1234">
        <f>IFERROR(INDEX(PP_Grid[#Data],$DD1234,54),0)</f>
        <v/>
      </c>
      <c r="BE1234">
        <f>IFERROR(INDEX(PP_Grid[#Data],$DD1234,55),0)</f>
        <v/>
      </c>
      <c r="BF1234">
        <f>IFERROR(INDEX(PP_Grid[#Data],$DD1234,56),0)</f>
        <v/>
      </c>
      <c r="BG1234">
        <f>IFERROR(INDEX(PP_Grid[#Data],$DD1234,57),0)</f>
        <v/>
      </c>
      <c r="BH1234">
        <f>IFERROR(INDEX(PP_Grid[#Data],$DD1234,58),0)</f>
        <v/>
      </c>
      <c r="BI1234">
        <f>IFERROR(INDEX(PP_Grid[#Data],$DD1234,59),0)</f>
        <v/>
      </c>
      <c r="BJ1234">
        <f>IFERROR(INDEX(PP_Grid[#Data],$DD1234,60),0)</f>
        <v/>
      </c>
      <c r="BK1234">
        <f>IFERROR(INDEX(PP_Grid[#Data],$DD1234,61),0)</f>
        <v/>
      </c>
      <c r="BL1234">
        <f>IFERROR(INDEX(PP_Grid[#Data],$DD1234,62),0)</f>
        <v/>
      </c>
      <c r="BM1234">
        <f>IFERROR(INDEX(PP_Grid[#Data],$DD1234,63),0)</f>
        <v/>
      </c>
      <c r="BN1234">
        <f>IFERROR(INDEX(PP_Grid[#Data],$DD1234,64),0)</f>
        <v/>
      </c>
      <c r="BO1234">
        <f>IFERROR(INDEX(PP_Grid[#Data],$DD1234,65),0)</f>
        <v/>
      </c>
      <c r="BP1234">
        <f>IFERROR(INDEX(PP_Grid[#Data],$DD1234,66),0)</f>
        <v/>
      </c>
      <c r="BQ1234">
        <f>IFERROR(INDEX(PP_Grid[#Data],$DD1234,67),0)</f>
        <v/>
      </c>
      <c r="BR1234">
        <f>IFERROR(INDEX(PP_Grid[#Data],$DD1234,68),0)</f>
        <v/>
      </c>
      <c r="BS1234">
        <f>IFERROR(INDEX(PP_Grid[#Data],$DD1234,69),0)</f>
        <v/>
      </c>
      <c r="BT1234">
        <f>IFERROR(INDEX(PP_Grid[#Data],$DD1234,70),0)</f>
        <v/>
      </c>
      <c r="BU1234">
        <f>IFERROR(INDEX(PP_Grid[#Data],$DD1234,71),0)</f>
        <v/>
      </c>
      <c r="BV1234">
        <f>IFERROR(INDEX(PP_Grid[#Data],$DD1234,72),0)</f>
        <v/>
      </c>
      <c r="BW1234">
        <f>IFERROR(INDEX(PP_Grid[#Data],$DD1234,73),0)</f>
        <v/>
      </c>
      <c r="BX1234">
        <f>IFERROR(INDEX(PP_Grid[#Data],$DD1234,74),0)</f>
        <v/>
      </c>
      <c r="BY1234">
        <f>IFERROR(INDEX(PP_Grid[#Data],$DD1234,75),0)</f>
        <v/>
      </c>
      <c r="BZ1234">
        <f>IFERROR(INDEX(PP_Grid[#Data],$DD1234,76),0)</f>
        <v/>
      </c>
      <c r="CA1234">
        <f>IFERROR(INDEX(PP_Grid[#Data],$DD1234,77),0)</f>
        <v/>
      </c>
      <c r="CB1234">
        <f>IFERROR(INDEX(PP_Grid[#Data],$DD1234,78),0)</f>
        <v/>
      </c>
      <c r="CC1234">
        <f>IFERROR(INDEX(PP_Grid[#Data],$DD1234,79),0)</f>
        <v/>
      </c>
      <c r="CD1234">
        <f>IFERROR(INDEX(PP_Grid[#Data],$DD1234,80),0)</f>
        <v/>
      </c>
      <c r="CE1234">
        <f>IFERROR(INDEX(PP_Grid[#Data],$DD1234,81),0)</f>
        <v/>
      </c>
      <c r="CF1234">
        <f>IFERROR(INDEX(PP_Grid[#Data],$DD1234,82),0)</f>
        <v/>
      </c>
      <c r="CG1234">
        <f>IFERROR(INDEX(PP_Grid[#Data],$DD1234,83),0)</f>
        <v/>
      </c>
      <c r="CH1234">
        <f>IFERROR(INDEX(PP_Grid[#Data],$DD1234,84),0)</f>
        <v/>
      </c>
      <c r="CI1234">
        <f>IFERROR(INDEX(PP_Grid[#Data],$DD1234,85),0)</f>
        <v/>
      </c>
      <c r="CJ1234">
        <f>IFERROR(INDEX(PP_Grid[#Data],$DD1234,86),0)</f>
        <v/>
      </c>
      <c r="CK1234">
        <f>IFERROR(INDEX(PP_Grid[#Data],$DD1234,87),0)</f>
        <v/>
      </c>
      <c r="CL1234">
        <f>IFERROR(INDEX(PP_Grid[#Data],$DD1234,88),0)</f>
        <v/>
      </c>
      <c r="CM1234">
        <f>IFERROR(INDEX(PP_Grid[#Data],$DD1234,89),0)</f>
        <v/>
      </c>
      <c r="CN1234">
        <f>IFERROR(INDEX(PP_Grid[#Data],$DD1234,90),0)</f>
        <v/>
      </c>
      <c r="CO1234">
        <f>IFERROR(INDEX(PP_Grid[#Data],$DD1234,91),0)</f>
        <v/>
      </c>
      <c r="CP1234">
        <f>IFERROR(INDEX(PP_Grid[#Data],$DD1234,92),0)</f>
        <v/>
      </c>
      <c r="CQ1234">
        <f>IFERROR(INDEX(PP_Grid[#Data],$DD1234,93),0)</f>
        <v/>
      </c>
      <c r="CR1234">
        <f>IFERROR(INDEX(PP_Grid[#Data],$DD1234,94),0)</f>
        <v/>
      </c>
      <c r="CS1234">
        <f>IFERROR(INDEX(PP_Grid[#Data],$DD1234,95),0)</f>
        <v/>
      </c>
      <c r="CT1234">
        <f>IFERROR(INDEX(PP_Grid[#Data],$DD1234,96),0)</f>
        <v/>
      </c>
      <c r="CU1234">
        <f>IFERROR(INDEX(PP_Grid[#Data],$DD1234,97),0)</f>
        <v/>
      </c>
      <c r="CV1234">
        <f>IFERROR(INDEX(PP_Grid[#Data],$DD1234,98),0)</f>
        <v/>
      </c>
      <c r="CW1234">
        <f>IFERROR(INDEX(PP_Grid[#Data],$DD1234,99),0)</f>
        <v/>
      </c>
      <c r="CX1234">
        <f>IFERROR(INDEX(PP_Grid[#Data],$DD1234,100),0)</f>
        <v/>
      </c>
      <c r="CY1234">
        <f>IFERROR(INDEX(PP_Grid[#Data],$DD1234,101),0)</f>
        <v/>
      </c>
      <c r="CZ1234">
        <f>IFERROR(INDEX(PP_Grid[#Data],$DD1234,102),0)</f>
        <v/>
      </c>
      <c r="DA1234">
        <f>IFERROR(INDEX(PP_Grid[#Data],$DD1234,103),0)</f>
        <v/>
      </c>
      <c r="DB1234">
        <f>IFERROR(INDEX(PP_Grid[#Data],$DD1234,104),0)</f>
        <v/>
      </c>
      <c r="DC1234">
        <f>IFERROR(INDEX(PP_Grid[#Data],$DD1234,105),0)</f>
        <v/>
      </c>
      <c r="DD1234" s="12">
        <f>IFERROR(MATCH($B1234,PP_Grid[Intermediate],0),99999)</f>
        <v/>
      </c>
    </row>
    <row r="1235">
      <c r="B1235" t="inlineStr">
        <is>
          <t>使用量(kg)</t>
        </is>
      </c>
      <c r="C1235">
        <f>SUMIFS(M_BOM[RM_Qty_Per_Batch],M_BOM[Intermediate],$B1234,M_BOM[Part Name],$A1213)</f>
        <v/>
      </c>
      <c r="D1235">
        <f>$C1235*D1234</f>
        <v/>
      </c>
      <c r="E1235">
        <f>$C1235*E1234</f>
        <v/>
      </c>
      <c r="F1235">
        <f>$C1235*F1234</f>
        <v/>
      </c>
      <c r="G1235">
        <f>$C1235*G1234</f>
        <v/>
      </c>
      <c r="H1235">
        <f>$C1235*H1234</f>
        <v/>
      </c>
      <c r="I1235">
        <f>$C1235*I1234</f>
        <v/>
      </c>
      <c r="J1235">
        <f>$C1235*J1234</f>
        <v/>
      </c>
      <c r="K1235">
        <f>$C1235*K1234</f>
        <v/>
      </c>
      <c r="L1235">
        <f>$C1235*L1234</f>
        <v/>
      </c>
      <c r="M1235">
        <f>$C1235*M1234</f>
        <v/>
      </c>
      <c r="N1235">
        <f>$C1235*N1234</f>
        <v/>
      </c>
      <c r="O1235">
        <f>$C1235*O1234</f>
        <v/>
      </c>
      <c r="P1235">
        <f>$C1235*P1234</f>
        <v/>
      </c>
      <c r="Q1235">
        <f>$C1235*Q1234</f>
        <v/>
      </c>
      <c r="R1235">
        <f>$C1235*R1234</f>
        <v/>
      </c>
      <c r="S1235">
        <f>$C1235*S1234</f>
        <v/>
      </c>
      <c r="T1235">
        <f>$C1235*T1234</f>
        <v/>
      </c>
      <c r="U1235">
        <f>$C1235*U1234</f>
        <v/>
      </c>
      <c r="V1235">
        <f>$C1235*V1234</f>
        <v/>
      </c>
      <c r="W1235">
        <f>$C1235*W1234</f>
        <v/>
      </c>
      <c r="X1235">
        <f>$C1235*X1234</f>
        <v/>
      </c>
      <c r="Y1235">
        <f>$C1235*Y1234</f>
        <v/>
      </c>
      <c r="Z1235">
        <f>$C1235*Z1234</f>
        <v/>
      </c>
      <c r="AA1235">
        <f>$C1235*AA1234</f>
        <v/>
      </c>
      <c r="AB1235">
        <f>$C1235*AB1234</f>
        <v/>
      </c>
      <c r="AC1235">
        <f>$C1235*AC1234</f>
        <v/>
      </c>
      <c r="AD1235">
        <f>$C1235*AD1234</f>
        <v/>
      </c>
      <c r="AE1235">
        <f>$C1235*AE1234</f>
        <v/>
      </c>
      <c r="AF1235">
        <f>$C1235*AF1234</f>
        <v/>
      </c>
      <c r="AG1235">
        <f>$C1235*AG1234</f>
        <v/>
      </c>
      <c r="AH1235">
        <f>$C1235*AH1234</f>
        <v/>
      </c>
      <c r="AI1235">
        <f>$C1235*AI1234</f>
        <v/>
      </c>
      <c r="AJ1235">
        <f>$C1235*AJ1234</f>
        <v/>
      </c>
      <c r="AK1235">
        <f>$C1235*AK1234</f>
        <v/>
      </c>
      <c r="AL1235">
        <f>$C1235*AL1234</f>
        <v/>
      </c>
      <c r="AM1235">
        <f>$C1235*AM1234</f>
        <v/>
      </c>
      <c r="AN1235">
        <f>$C1235*AN1234</f>
        <v/>
      </c>
      <c r="AO1235">
        <f>$C1235*AO1234</f>
        <v/>
      </c>
      <c r="AP1235">
        <f>$C1235*AP1234</f>
        <v/>
      </c>
      <c r="AQ1235">
        <f>$C1235*AQ1234</f>
        <v/>
      </c>
      <c r="AR1235">
        <f>$C1235*AR1234</f>
        <v/>
      </c>
      <c r="AS1235">
        <f>$C1235*AS1234</f>
        <v/>
      </c>
      <c r="AT1235">
        <f>$C1235*AT1234</f>
        <v/>
      </c>
      <c r="AU1235">
        <f>$C1235*AU1234</f>
        <v/>
      </c>
      <c r="AV1235">
        <f>$C1235*AV1234</f>
        <v/>
      </c>
      <c r="AW1235">
        <f>$C1235*AW1234</f>
        <v/>
      </c>
      <c r="AX1235">
        <f>$C1235*AX1234</f>
        <v/>
      </c>
      <c r="AY1235">
        <f>$C1235*AY1234</f>
        <v/>
      </c>
      <c r="AZ1235">
        <f>$C1235*AZ1234</f>
        <v/>
      </c>
      <c r="BA1235">
        <f>$C1235*BA1234</f>
        <v/>
      </c>
      <c r="BB1235">
        <f>$C1235*BB1234</f>
        <v/>
      </c>
      <c r="BC1235">
        <f>$C1235*BC1234</f>
        <v/>
      </c>
      <c r="BD1235">
        <f>$C1235*BD1234</f>
        <v/>
      </c>
      <c r="BE1235">
        <f>$C1235*BE1234</f>
        <v/>
      </c>
      <c r="BF1235">
        <f>$C1235*BF1234</f>
        <v/>
      </c>
      <c r="BG1235">
        <f>$C1235*BG1234</f>
        <v/>
      </c>
      <c r="BH1235">
        <f>$C1235*BH1234</f>
        <v/>
      </c>
      <c r="BI1235">
        <f>$C1235*BI1234</f>
        <v/>
      </c>
      <c r="BJ1235">
        <f>$C1235*BJ1234</f>
        <v/>
      </c>
      <c r="BK1235">
        <f>$C1235*BK1234</f>
        <v/>
      </c>
      <c r="BL1235">
        <f>$C1235*BL1234</f>
        <v/>
      </c>
      <c r="BM1235">
        <f>$C1235*BM1234</f>
        <v/>
      </c>
      <c r="BN1235">
        <f>$C1235*BN1234</f>
        <v/>
      </c>
      <c r="BO1235">
        <f>$C1235*BO1234</f>
        <v/>
      </c>
      <c r="BP1235">
        <f>$C1235*BP1234</f>
        <v/>
      </c>
      <c r="BQ1235">
        <f>$C1235*BQ1234</f>
        <v/>
      </c>
      <c r="BR1235">
        <f>$C1235*BR1234</f>
        <v/>
      </c>
      <c r="BS1235">
        <f>$C1235*BS1234</f>
        <v/>
      </c>
      <c r="BT1235">
        <f>$C1235*BT1234</f>
        <v/>
      </c>
      <c r="BU1235">
        <f>$C1235*BU1234</f>
        <v/>
      </c>
      <c r="BV1235">
        <f>$C1235*BV1234</f>
        <v/>
      </c>
      <c r="BW1235">
        <f>$C1235*BW1234</f>
        <v/>
      </c>
      <c r="BX1235">
        <f>$C1235*BX1234</f>
        <v/>
      </c>
      <c r="BY1235">
        <f>$C1235*BY1234</f>
        <v/>
      </c>
      <c r="BZ1235">
        <f>$C1235*BZ1234</f>
        <v/>
      </c>
      <c r="CA1235">
        <f>$C1235*CA1234</f>
        <v/>
      </c>
      <c r="CB1235">
        <f>$C1235*CB1234</f>
        <v/>
      </c>
      <c r="CC1235">
        <f>$C1235*CC1234</f>
        <v/>
      </c>
      <c r="CD1235">
        <f>$C1235*CD1234</f>
        <v/>
      </c>
      <c r="CE1235">
        <f>$C1235*CE1234</f>
        <v/>
      </c>
      <c r="CF1235">
        <f>$C1235*CF1234</f>
        <v/>
      </c>
      <c r="CG1235">
        <f>$C1235*CG1234</f>
        <v/>
      </c>
      <c r="CH1235">
        <f>$C1235*CH1234</f>
        <v/>
      </c>
      <c r="CI1235">
        <f>$C1235*CI1234</f>
        <v/>
      </c>
      <c r="CJ1235">
        <f>$C1235*CJ1234</f>
        <v/>
      </c>
      <c r="CK1235">
        <f>$C1235*CK1234</f>
        <v/>
      </c>
      <c r="CL1235">
        <f>$C1235*CL1234</f>
        <v/>
      </c>
      <c r="CM1235">
        <f>$C1235*CM1234</f>
        <v/>
      </c>
      <c r="CN1235">
        <f>$C1235*CN1234</f>
        <v/>
      </c>
      <c r="CO1235">
        <f>$C1235*CO1234</f>
        <v/>
      </c>
      <c r="CP1235">
        <f>$C1235*CP1234</f>
        <v/>
      </c>
      <c r="CQ1235">
        <f>$C1235*CQ1234</f>
        <v/>
      </c>
      <c r="CR1235">
        <f>$C1235*CR1234</f>
        <v/>
      </c>
      <c r="CS1235">
        <f>$C1235*CS1234</f>
        <v/>
      </c>
      <c r="CT1235">
        <f>$C1235*CT1234</f>
        <v/>
      </c>
      <c r="CU1235">
        <f>$C1235*CU1234</f>
        <v/>
      </c>
      <c r="CV1235">
        <f>$C1235*CV1234</f>
        <v/>
      </c>
      <c r="CW1235">
        <f>$C1235*CW1234</f>
        <v/>
      </c>
      <c r="CX1235">
        <f>$C1235*CX1234</f>
        <v/>
      </c>
      <c r="CY1235">
        <f>$C1235*CY1234</f>
        <v/>
      </c>
      <c r="CZ1235">
        <f>$C1235*CZ1234</f>
        <v/>
      </c>
      <c r="DA1235">
        <f>$C1235*DA1234</f>
        <v/>
      </c>
      <c r="DB1235">
        <f>$C1235*DB1234</f>
        <v/>
      </c>
      <c r="DC1235">
        <f>$C1235*DC1234</f>
        <v/>
      </c>
    </row>
    <row r="1236">
      <c r="B1236" t="inlineStr">
        <is>
          <t>TSP-934</t>
        </is>
      </c>
      <c r="C1236" t="inlineStr">
        <is>
          <t>No. of batches</t>
        </is>
      </c>
      <c r="D1236">
        <f>IFERROR(INDEX(PP_Grid[#Data],$DD1236,2),0)</f>
        <v/>
      </c>
      <c r="E1236">
        <f>IFERROR(INDEX(PP_Grid[#Data],$DD1236,3),0)</f>
        <v/>
      </c>
      <c r="F1236">
        <f>IFERROR(INDEX(PP_Grid[#Data],$DD1236,4),0)</f>
        <v/>
      </c>
      <c r="G1236">
        <f>IFERROR(INDEX(PP_Grid[#Data],$DD1236,5),0)</f>
        <v/>
      </c>
      <c r="H1236">
        <f>IFERROR(INDEX(PP_Grid[#Data],$DD1236,6),0)</f>
        <v/>
      </c>
      <c r="I1236">
        <f>IFERROR(INDEX(PP_Grid[#Data],$DD1236,7),0)</f>
        <v/>
      </c>
      <c r="J1236">
        <f>IFERROR(INDEX(PP_Grid[#Data],$DD1236,8),0)</f>
        <v/>
      </c>
      <c r="K1236">
        <f>IFERROR(INDEX(PP_Grid[#Data],$DD1236,9),0)</f>
        <v/>
      </c>
      <c r="L1236">
        <f>IFERROR(INDEX(PP_Grid[#Data],$DD1236,10),0)</f>
        <v/>
      </c>
      <c r="M1236">
        <f>IFERROR(INDEX(PP_Grid[#Data],$DD1236,11),0)</f>
        <v/>
      </c>
      <c r="N1236">
        <f>IFERROR(INDEX(PP_Grid[#Data],$DD1236,12),0)</f>
        <v/>
      </c>
      <c r="O1236">
        <f>IFERROR(INDEX(PP_Grid[#Data],$DD1236,13),0)</f>
        <v/>
      </c>
      <c r="P1236">
        <f>IFERROR(INDEX(PP_Grid[#Data],$DD1236,14),0)</f>
        <v/>
      </c>
      <c r="Q1236">
        <f>IFERROR(INDEX(PP_Grid[#Data],$DD1236,15),0)</f>
        <v/>
      </c>
      <c r="R1236">
        <f>IFERROR(INDEX(PP_Grid[#Data],$DD1236,16),0)</f>
        <v/>
      </c>
      <c r="S1236">
        <f>IFERROR(INDEX(PP_Grid[#Data],$DD1236,17),0)</f>
        <v/>
      </c>
      <c r="T1236">
        <f>IFERROR(INDEX(PP_Grid[#Data],$DD1236,18),0)</f>
        <v/>
      </c>
      <c r="U1236">
        <f>IFERROR(INDEX(PP_Grid[#Data],$DD1236,19),0)</f>
        <v/>
      </c>
      <c r="V1236">
        <f>IFERROR(INDEX(PP_Grid[#Data],$DD1236,20),0)</f>
        <v/>
      </c>
      <c r="W1236">
        <f>IFERROR(INDEX(PP_Grid[#Data],$DD1236,21),0)</f>
        <v/>
      </c>
      <c r="X1236">
        <f>IFERROR(INDEX(PP_Grid[#Data],$DD1236,22),0)</f>
        <v/>
      </c>
      <c r="Y1236">
        <f>IFERROR(INDEX(PP_Grid[#Data],$DD1236,23),0)</f>
        <v/>
      </c>
      <c r="Z1236">
        <f>IFERROR(INDEX(PP_Grid[#Data],$DD1236,24),0)</f>
        <v/>
      </c>
      <c r="AA1236">
        <f>IFERROR(INDEX(PP_Grid[#Data],$DD1236,25),0)</f>
        <v/>
      </c>
      <c r="AB1236">
        <f>IFERROR(INDEX(PP_Grid[#Data],$DD1236,26),0)</f>
        <v/>
      </c>
      <c r="AC1236">
        <f>IFERROR(INDEX(PP_Grid[#Data],$DD1236,27),0)</f>
        <v/>
      </c>
      <c r="AD1236">
        <f>IFERROR(INDEX(PP_Grid[#Data],$DD1236,28),0)</f>
        <v/>
      </c>
      <c r="AE1236">
        <f>IFERROR(INDEX(PP_Grid[#Data],$DD1236,29),0)</f>
        <v/>
      </c>
      <c r="AF1236">
        <f>IFERROR(INDEX(PP_Grid[#Data],$DD1236,30),0)</f>
        <v/>
      </c>
      <c r="AG1236">
        <f>IFERROR(INDEX(PP_Grid[#Data],$DD1236,31),0)</f>
        <v/>
      </c>
      <c r="AH1236">
        <f>IFERROR(INDEX(PP_Grid[#Data],$DD1236,32),0)</f>
        <v/>
      </c>
      <c r="AI1236">
        <f>IFERROR(INDEX(PP_Grid[#Data],$DD1236,33),0)</f>
        <v/>
      </c>
      <c r="AJ1236">
        <f>IFERROR(INDEX(PP_Grid[#Data],$DD1236,34),0)</f>
        <v/>
      </c>
      <c r="AK1236">
        <f>IFERROR(INDEX(PP_Grid[#Data],$DD1236,35),0)</f>
        <v/>
      </c>
      <c r="AL1236">
        <f>IFERROR(INDEX(PP_Grid[#Data],$DD1236,36),0)</f>
        <v/>
      </c>
      <c r="AM1236">
        <f>IFERROR(INDEX(PP_Grid[#Data],$DD1236,37),0)</f>
        <v/>
      </c>
      <c r="AN1236">
        <f>IFERROR(INDEX(PP_Grid[#Data],$DD1236,38),0)</f>
        <v/>
      </c>
      <c r="AO1236">
        <f>IFERROR(INDEX(PP_Grid[#Data],$DD1236,39),0)</f>
        <v/>
      </c>
      <c r="AP1236">
        <f>IFERROR(INDEX(PP_Grid[#Data],$DD1236,40),0)</f>
        <v/>
      </c>
      <c r="AQ1236">
        <f>IFERROR(INDEX(PP_Grid[#Data],$DD1236,41),0)</f>
        <v/>
      </c>
      <c r="AR1236">
        <f>IFERROR(INDEX(PP_Grid[#Data],$DD1236,42),0)</f>
        <v/>
      </c>
      <c r="AS1236">
        <f>IFERROR(INDEX(PP_Grid[#Data],$DD1236,43),0)</f>
        <v/>
      </c>
      <c r="AT1236">
        <f>IFERROR(INDEX(PP_Grid[#Data],$DD1236,44),0)</f>
        <v/>
      </c>
      <c r="AU1236">
        <f>IFERROR(INDEX(PP_Grid[#Data],$DD1236,45),0)</f>
        <v/>
      </c>
      <c r="AV1236">
        <f>IFERROR(INDEX(PP_Grid[#Data],$DD1236,46),0)</f>
        <v/>
      </c>
      <c r="AW1236">
        <f>IFERROR(INDEX(PP_Grid[#Data],$DD1236,47),0)</f>
        <v/>
      </c>
      <c r="AX1236">
        <f>IFERROR(INDEX(PP_Grid[#Data],$DD1236,48),0)</f>
        <v/>
      </c>
      <c r="AY1236">
        <f>IFERROR(INDEX(PP_Grid[#Data],$DD1236,49),0)</f>
        <v/>
      </c>
      <c r="AZ1236">
        <f>IFERROR(INDEX(PP_Grid[#Data],$DD1236,50),0)</f>
        <v/>
      </c>
      <c r="BA1236">
        <f>IFERROR(INDEX(PP_Grid[#Data],$DD1236,51),0)</f>
        <v/>
      </c>
      <c r="BB1236">
        <f>IFERROR(INDEX(PP_Grid[#Data],$DD1236,52),0)</f>
        <v/>
      </c>
      <c r="BC1236">
        <f>IFERROR(INDEX(PP_Grid[#Data],$DD1236,53),0)</f>
        <v/>
      </c>
      <c r="BD1236">
        <f>IFERROR(INDEX(PP_Grid[#Data],$DD1236,54),0)</f>
        <v/>
      </c>
      <c r="BE1236">
        <f>IFERROR(INDEX(PP_Grid[#Data],$DD1236,55),0)</f>
        <v/>
      </c>
      <c r="BF1236">
        <f>IFERROR(INDEX(PP_Grid[#Data],$DD1236,56),0)</f>
        <v/>
      </c>
      <c r="BG1236">
        <f>IFERROR(INDEX(PP_Grid[#Data],$DD1236,57),0)</f>
        <v/>
      </c>
      <c r="BH1236">
        <f>IFERROR(INDEX(PP_Grid[#Data],$DD1236,58),0)</f>
        <v/>
      </c>
      <c r="BI1236">
        <f>IFERROR(INDEX(PP_Grid[#Data],$DD1236,59),0)</f>
        <v/>
      </c>
      <c r="BJ1236">
        <f>IFERROR(INDEX(PP_Grid[#Data],$DD1236,60),0)</f>
        <v/>
      </c>
      <c r="BK1236">
        <f>IFERROR(INDEX(PP_Grid[#Data],$DD1236,61),0)</f>
        <v/>
      </c>
      <c r="BL1236">
        <f>IFERROR(INDEX(PP_Grid[#Data],$DD1236,62),0)</f>
        <v/>
      </c>
      <c r="BM1236">
        <f>IFERROR(INDEX(PP_Grid[#Data],$DD1236,63),0)</f>
        <v/>
      </c>
      <c r="BN1236">
        <f>IFERROR(INDEX(PP_Grid[#Data],$DD1236,64),0)</f>
        <v/>
      </c>
      <c r="BO1236">
        <f>IFERROR(INDEX(PP_Grid[#Data],$DD1236,65),0)</f>
        <v/>
      </c>
      <c r="BP1236">
        <f>IFERROR(INDEX(PP_Grid[#Data],$DD1236,66),0)</f>
        <v/>
      </c>
      <c r="BQ1236">
        <f>IFERROR(INDEX(PP_Grid[#Data],$DD1236,67),0)</f>
        <v/>
      </c>
      <c r="BR1236">
        <f>IFERROR(INDEX(PP_Grid[#Data],$DD1236,68),0)</f>
        <v/>
      </c>
      <c r="BS1236">
        <f>IFERROR(INDEX(PP_Grid[#Data],$DD1236,69),0)</f>
        <v/>
      </c>
      <c r="BT1236">
        <f>IFERROR(INDEX(PP_Grid[#Data],$DD1236,70),0)</f>
        <v/>
      </c>
      <c r="BU1236">
        <f>IFERROR(INDEX(PP_Grid[#Data],$DD1236,71),0)</f>
        <v/>
      </c>
      <c r="BV1236">
        <f>IFERROR(INDEX(PP_Grid[#Data],$DD1236,72),0)</f>
        <v/>
      </c>
      <c r="BW1236">
        <f>IFERROR(INDEX(PP_Grid[#Data],$DD1236,73),0)</f>
        <v/>
      </c>
      <c r="BX1236">
        <f>IFERROR(INDEX(PP_Grid[#Data],$DD1236,74),0)</f>
        <v/>
      </c>
      <c r="BY1236">
        <f>IFERROR(INDEX(PP_Grid[#Data],$DD1236,75),0)</f>
        <v/>
      </c>
      <c r="BZ1236">
        <f>IFERROR(INDEX(PP_Grid[#Data],$DD1236,76),0)</f>
        <v/>
      </c>
      <c r="CA1236">
        <f>IFERROR(INDEX(PP_Grid[#Data],$DD1236,77),0)</f>
        <v/>
      </c>
      <c r="CB1236">
        <f>IFERROR(INDEX(PP_Grid[#Data],$DD1236,78),0)</f>
        <v/>
      </c>
      <c r="CC1236">
        <f>IFERROR(INDEX(PP_Grid[#Data],$DD1236,79),0)</f>
        <v/>
      </c>
      <c r="CD1236">
        <f>IFERROR(INDEX(PP_Grid[#Data],$DD1236,80),0)</f>
        <v/>
      </c>
      <c r="CE1236">
        <f>IFERROR(INDEX(PP_Grid[#Data],$DD1236,81),0)</f>
        <v/>
      </c>
      <c r="CF1236">
        <f>IFERROR(INDEX(PP_Grid[#Data],$DD1236,82),0)</f>
        <v/>
      </c>
      <c r="CG1236">
        <f>IFERROR(INDEX(PP_Grid[#Data],$DD1236,83),0)</f>
        <v/>
      </c>
      <c r="CH1236">
        <f>IFERROR(INDEX(PP_Grid[#Data],$DD1236,84),0)</f>
        <v/>
      </c>
      <c r="CI1236">
        <f>IFERROR(INDEX(PP_Grid[#Data],$DD1236,85),0)</f>
        <v/>
      </c>
      <c r="CJ1236">
        <f>IFERROR(INDEX(PP_Grid[#Data],$DD1236,86),0)</f>
        <v/>
      </c>
      <c r="CK1236">
        <f>IFERROR(INDEX(PP_Grid[#Data],$DD1236,87),0)</f>
        <v/>
      </c>
      <c r="CL1236">
        <f>IFERROR(INDEX(PP_Grid[#Data],$DD1236,88),0)</f>
        <v/>
      </c>
      <c r="CM1236">
        <f>IFERROR(INDEX(PP_Grid[#Data],$DD1236,89),0)</f>
        <v/>
      </c>
      <c r="CN1236">
        <f>IFERROR(INDEX(PP_Grid[#Data],$DD1236,90),0)</f>
        <v/>
      </c>
      <c r="CO1236">
        <f>IFERROR(INDEX(PP_Grid[#Data],$DD1236,91),0)</f>
        <v/>
      </c>
      <c r="CP1236">
        <f>IFERROR(INDEX(PP_Grid[#Data],$DD1236,92),0)</f>
        <v/>
      </c>
      <c r="CQ1236">
        <f>IFERROR(INDEX(PP_Grid[#Data],$DD1236,93),0)</f>
        <v/>
      </c>
      <c r="CR1236">
        <f>IFERROR(INDEX(PP_Grid[#Data],$DD1236,94),0)</f>
        <v/>
      </c>
      <c r="CS1236">
        <f>IFERROR(INDEX(PP_Grid[#Data],$DD1236,95),0)</f>
        <v/>
      </c>
      <c r="CT1236">
        <f>IFERROR(INDEX(PP_Grid[#Data],$DD1236,96),0)</f>
        <v/>
      </c>
      <c r="CU1236">
        <f>IFERROR(INDEX(PP_Grid[#Data],$DD1236,97),0)</f>
        <v/>
      </c>
      <c r="CV1236">
        <f>IFERROR(INDEX(PP_Grid[#Data],$DD1236,98),0)</f>
        <v/>
      </c>
      <c r="CW1236">
        <f>IFERROR(INDEX(PP_Grid[#Data],$DD1236,99),0)</f>
        <v/>
      </c>
      <c r="CX1236">
        <f>IFERROR(INDEX(PP_Grid[#Data],$DD1236,100),0)</f>
        <v/>
      </c>
      <c r="CY1236">
        <f>IFERROR(INDEX(PP_Grid[#Data],$DD1236,101),0)</f>
        <v/>
      </c>
      <c r="CZ1236">
        <f>IFERROR(INDEX(PP_Grid[#Data],$DD1236,102),0)</f>
        <v/>
      </c>
      <c r="DA1236">
        <f>IFERROR(INDEX(PP_Grid[#Data],$DD1236,103),0)</f>
        <v/>
      </c>
      <c r="DB1236">
        <f>IFERROR(INDEX(PP_Grid[#Data],$DD1236,104),0)</f>
        <v/>
      </c>
      <c r="DC1236">
        <f>IFERROR(INDEX(PP_Grid[#Data],$DD1236,105),0)</f>
        <v/>
      </c>
      <c r="DD1236" s="12">
        <f>IFERROR(MATCH($B1236,PP_Grid[Intermediate],0),99999)</f>
        <v/>
      </c>
    </row>
    <row r="1237">
      <c r="B1237" t="inlineStr">
        <is>
          <t>使用量(kg)</t>
        </is>
      </c>
      <c r="C1237">
        <f>SUMIFS(M_BOM[RM_Qty_Per_Batch],M_BOM[Intermediate],$B1236,M_BOM[Part Name],$A1213)</f>
        <v/>
      </c>
      <c r="D1237">
        <f>$C1237*D1236</f>
        <v/>
      </c>
      <c r="E1237">
        <f>$C1237*E1236</f>
        <v/>
      </c>
      <c r="F1237">
        <f>$C1237*F1236</f>
        <v/>
      </c>
      <c r="G1237">
        <f>$C1237*G1236</f>
        <v/>
      </c>
      <c r="H1237">
        <f>$C1237*H1236</f>
        <v/>
      </c>
      <c r="I1237">
        <f>$C1237*I1236</f>
        <v/>
      </c>
      <c r="J1237">
        <f>$C1237*J1236</f>
        <v/>
      </c>
      <c r="K1237">
        <f>$C1237*K1236</f>
        <v/>
      </c>
      <c r="L1237">
        <f>$C1237*L1236</f>
        <v/>
      </c>
      <c r="M1237">
        <f>$C1237*M1236</f>
        <v/>
      </c>
      <c r="N1237">
        <f>$C1237*N1236</f>
        <v/>
      </c>
      <c r="O1237">
        <f>$C1237*O1236</f>
        <v/>
      </c>
      <c r="P1237">
        <f>$C1237*P1236</f>
        <v/>
      </c>
      <c r="Q1237">
        <f>$C1237*Q1236</f>
        <v/>
      </c>
      <c r="R1237">
        <f>$C1237*R1236</f>
        <v/>
      </c>
      <c r="S1237">
        <f>$C1237*S1236</f>
        <v/>
      </c>
      <c r="T1237">
        <f>$C1237*T1236</f>
        <v/>
      </c>
      <c r="U1237">
        <f>$C1237*U1236</f>
        <v/>
      </c>
      <c r="V1237">
        <f>$C1237*V1236</f>
        <v/>
      </c>
      <c r="W1237">
        <f>$C1237*W1236</f>
        <v/>
      </c>
      <c r="X1237">
        <f>$C1237*X1236</f>
        <v/>
      </c>
      <c r="Y1237">
        <f>$C1237*Y1236</f>
        <v/>
      </c>
      <c r="Z1237">
        <f>$C1237*Z1236</f>
        <v/>
      </c>
      <c r="AA1237">
        <f>$C1237*AA1236</f>
        <v/>
      </c>
      <c r="AB1237">
        <f>$C1237*AB1236</f>
        <v/>
      </c>
      <c r="AC1237">
        <f>$C1237*AC1236</f>
        <v/>
      </c>
      <c r="AD1237">
        <f>$C1237*AD1236</f>
        <v/>
      </c>
      <c r="AE1237">
        <f>$C1237*AE1236</f>
        <v/>
      </c>
      <c r="AF1237">
        <f>$C1237*AF1236</f>
        <v/>
      </c>
      <c r="AG1237">
        <f>$C1237*AG1236</f>
        <v/>
      </c>
      <c r="AH1237">
        <f>$C1237*AH1236</f>
        <v/>
      </c>
      <c r="AI1237">
        <f>$C1237*AI1236</f>
        <v/>
      </c>
      <c r="AJ1237">
        <f>$C1237*AJ1236</f>
        <v/>
      </c>
      <c r="AK1237">
        <f>$C1237*AK1236</f>
        <v/>
      </c>
      <c r="AL1237">
        <f>$C1237*AL1236</f>
        <v/>
      </c>
      <c r="AM1237">
        <f>$C1237*AM1236</f>
        <v/>
      </c>
      <c r="AN1237">
        <f>$C1237*AN1236</f>
        <v/>
      </c>
      <c r="AO1237">
        <f>$C1237*AO1236</f>
        <v/>
      </c>
      <c r="AP1237">
        <f>$C1237*AP1236</f>
        <v/>
      </c>
      <c r="AQ1237">
        <f>$C1237*AQ1236</f>
        <v/>
      </c>
      <c r="AR1237">
        <f>$C1237*AR1236</f>
        <v/>
      </c>
      <c r="AS1237">
        <f>$C1237*AS1236</f>
        <v/>
      </c>
      <c r="AT1237">
        <f>$C1237*AT1236</f>
        <v/>
      </c>
      <c r="AU1237">
        <f>$C1237*AU1236</f>
        <v/>
      </c>
      <c r="AV1237">
        <f>$C1237*AV1236</f>
        <v/>
      </c>
      <c r="AW1237">
        <f>$C1237*AW1236</f>
        <v/>
      </c>
      <c r="AX1237">
        <f>$C1237*AX1236</f>
        <v/>
      </c>
      <c r="AY1237">
        <f>$C1237*AY1236</f>
        <v/>
      </c>
      <c r="AZ1237">
        <f>$C1237*AZ1236</f>
        <v/>
      </c>
      <c r="BA1237">
        <f>$C1237*BA1236</f>
        <v/>
      </c>
      <c r="BB1237">
        <f>$C1237*BB1236</f>
        <v/>
      </c>
      <c r="BC1237">
        <f>$C1237*BC1236</f>
        <v/>
      </c>
      <c r="BD1237">
        <f>$C1237*BD1236</f>
        <v/>
      </c>
      <c r="BE1237">
        <f>$C1237*BE1236</f>
        <v/>
      </c>
      <c r="BF1237">
        <f>$C1237*BF1236</f>
        <v/>
      </c>
      <c r="BG1237">
        <f>$C1237*BG1236</f>
        <v/>
      </c>
      <c r="BH1237">
        <f>$C1237*BH1236</f>
        <v/>
      </c>
      <c r="BI1237">
        <f>$C1237*BI1236</f>
        <v/>
      </c>
      <c r="BJ1237">
        <f>$C1237*BJ1236</f>
        <v/>
      </c>
      <c r="BK1237">
        <f>$C1237*BK1236</f>
        <v/>
      </c>
      <c r="BL1237">
        <f>$C1237*BL1236</f>
        <v/>
      </c>
      <c r="BM1237">
        <f>$C1237*BM1236</f>
        <v/>
      </c>
      <c r="BN1237">
        <f>$C1237*BN1236</f>
        <v/>
      </c>
      <c r="BO1237">
        <f>$C1237*BO1236</f>
        <v/>
      </c>
      <c r="BP1237">
        <f>$C1237*BP1236</f>
        <v/>
      </c>
      <c r="BQ1237">
        <f>$C1237*BQ1236</f>
        <v/>
      </c>
      <c r="BR1237">
        <f>$C1237*BR1236</f>
        <v/>
      </c>
      <c r="BS1237">
        <f>$C1237*BS1236</f>
        <v/>
      </c>
      <c r="BT1237">
        <f>$C1237*BT1236</f>
        <v/>
      </c>
      <c r="BU1237">
        <f>$C1237*BU1236</f>
        <v/>
      </c>
      <c r="BV1237">
        <f>$C1237*BV1236</f>
        <v/>
      </c>
      <c r="BW1237">
        <f>$C1237*BW1236</f>
        <v/>
      </c>
      <c r="BX1237">
        <f>$C1237*BX1236</f>
        <v/>
      </c>
      <c r="BY1237">
        <f>$C1237*BY1236</f>
        <v/>
      </c>
      <c r="BZ1237">
        <f>$C1237*BZ1236</f>
        <v/>
      </c>
      <c r="CA1237">
        <f>$C1237*CA1236</f>
        <v/>
      </c>
      <c r="CB1237">
        <f>$C1237*CB1236</f>
        <v/>
      </c>
      <c r="CC1237">
        <f>$C1237*CC1236</f>
        <v/>
      </c>
      <c r="CD1237">
        <f>$C1237*CD1236</f>
        <v/>
      </c>
      <c r="CE1237">
        <f>$C1237*CE1236</f>
        <v/>
      </c>
      <c r="CF1237">
        <f>$C1237*CF1236</f>
        <v/>
      </c>
      <c r="CG1237">
        <f>$C1237*CG1236</f>
        <v/>
      </c>
      <c r="CH1237">
        <f>$C1237*CH1236</f>
        <v/>
      </c>
      <c r="CI1237">
        <f>$C1237*CI1236</f>
        <v/>
      </c>
      <c r="CJ1237">
        <f>$C1237*CJ1236</f>
        <v/>
      </c>
      <c r="CK1237">
        <f>$C1237*CK1236</f>
        <v/>
      </c>
      <c r="CL1237">
        <f>$C1237*CL1236</f>
        <v/>
      </c>
      <c r="CM1237">
        <f>$C1237*CM1236</f>
        <v/>
      </c>
      <c r="CN1237">
        <f>$C1237*CN1236</f>
        <v/>
      </c>
      <c r="CO1237">
        <f>$C1237*CO1236</f>
        <v/>
      </c>
      <c r="CP1237">
        <f>$C1237*CP1236</f>
        <v/>
      </c>
      <c r="CQ1237">
        <f>$C1237*CQ1236</f>
        <v/>
      </c>
      <c r="CR1237">
        <f>$C1237*CR1236</f>
        <v/>
      </c>
      <c r="CS1237">
        <f>$C1237*CS1236</f>
        <v/>
      </c>
      <c r="CT1237">
        <f>$C1237*CT1236</f>
        <v/>
      </c>
      <c r="CU1237">
        <f>$C1237*CU1236</f>
        <v/>
      </c>
      <c r="CV1237">
        <f>$C1237*CV1236</f>
        <v/>
      </c>
      <c r="CW1237">
        <f>$C1237*CW1236</f>
        <v/>
      </c>
      <c r="CX1237">
        <f>$C1237*CX1236</f>
        <v/>
      </c>
      <c r="CY1237">
        <f>$C1237*CY1236</f>
        <v/>
      </c>
      <c r="CZ1237">
        <f>$C1237*CZ1236</f>
        <v/>
      </c>
      <c r="DA1237">
        <f>$C1237*DA1236</f>
        <v/>
      </c>
      <c r="DB1237">
        <f>$C1237*DB1236</f>
        <v/>
      </c>
      <c r="DC1237">
        <f>$C1237*DC1236</f>
        <v/>
      </c>
    </row>
    <row r="1238">
      <c r="B1238" t="inlineStr">
        <is>
          <t>TSP-935</t>
        </is>
      </c>
      <c r="C1238" t="inlineStr">
        <is>
          <t>No. of batches</t>
        </is>
      </c>
      <c r="D1238">
        <f>IFERROR(INDEX(PP_Grid[#Data],$DD1238,2),0)</f>
        <v/>
      </c>
      <c r="E1238">
        <f>IFERROR(INDEX(PP_Grid[#Data],$DD1238,3),0)</f>
        <v/>
      </c>
      <c r="F1238">
        <f>IFERROR(INDEX(PP_Grid[#Data],$DD1238,4),0)</f>
        <v/>
      </c>
      <c r="G1238">
        <f>IFERROR(INDEX(PP_Grid[#Data],$DD1238,5),0)</f>
        <v/>
      </c>
      <c r="H1238">
        <f>IFERROR(INDEX(PP_Grid[#Data],$DD1238,6),0)</f>
        <v/>
      </c>
      <c r="I1238">
        <f>IFERROR(INDEX(PP_Grid[#Data],$DD1238,7),0)</f>
        <v/>
      </c>
      <c r="J1238">
        <f>IFERROR(INDEX(PP_Grid[#Data],$DD1238,8),0)</f>
        <v/>
      </c>
      <c r="K1238">
        <f>IFERROR(INDEX(PP_Grid[#Data],$DD1238,9),0)</f>
        <v/>
      </c>
      <c r="L1238">
        <f>IFERROR(INDEX(PP_Grid[#Data],$DD1238,10),0)</f>
        <v/>
      </c>
      <c r="M1238">
        <f>IFERROR(INDEX(PP_Grid[#Data],$DD1238,11),0)</f>
        <v/>
      </c>
      <c r="N1238">
        <f>IFERROR(INDEX(PP_Grid[#Data],$DD1238,12),0)</f>
        <v/>
      </c>
      <c r="O1238">
        <f>IFERROR(INDEX(PP_Grid[#Data],$DD1238,13),0)</f>
        <v/>
      </c>
      <c r="P1238">
        <f>IFERROR(INDEX(PP_Grid[#Data],$DD1238,14),0)</f>
        <v/>
      </c>
      <c r="Q1238">
        <f>IFERROR(INDEX(PP_Grid[#Data],$DD1238,15),0)</f>
        <v/>
      </c>
      <c r="R1238">
        <f>IFERROR(INDEX(PP_Grid[#Data],$DD1238,16),0)</f>
        <v/>
      </c>
      <c r="S1238">
        <f>IFERROR(INDEX(PP_Grid[#Data],$DD1238,17),0)</f>
        <v/>
      </c>
      <c r="T1238">
        <f>IFERROR(INDEX(PP_Grid[#Data],$DD1238,18),0)</f>
        <v/>
      </c>
      <c r="U1238">
        <f>IFERROR(INDEX(PP_Grid[#Data],$DD1238,19),0)</f>
        <v/>
      </c>
      <c r="V1238">
        <f>IFERROR(INDEX(PP_Grid[#Data],$DD1238,20),0)</f>
        <v/>
      </c>
      <c r="W1238">
        <f>IFERROR(INDEX(PP_Grid[#Data],$DD1238,21),0)</f>
        <v/>
      </c>
      <c r="X1238">
        <f>IFERROR(INDEX(PP_Grid[#Data],$DD1238,22),0)</f>
        <v/>
      </c>
      <c r="Y1238">
        <f>IFERROR(INDEX(PP_Grid[#Data],$DD1238,23),0)</f>
        <v/>
      </c>
      <c r="Z1238">
        <f>IFERROR(INDEX(PP_Grid[#Data],$DD1238,24),0)</f>
        <v/>
      </c>
      <c r="AA1238">
        <f>IFERROR(INDEX(PP_Grid[#Data],$DD1238,25),0)</f>
        <v/>
      </c>
      <c r="AB1238">
        <f>IFERROR(INDEX(PP_Grid[#Data],$DD1238,26),0)</f>
        <v/>
      </c>
      <c r="AC1238">
        <f>IFERROR(INDEX(PP_Grid[#Data],$DD1238,27),0)</f>
        <v/>
      </c>
      <c r="AD1238">
        <f>IFERROR(INDEX(PP_Grid[#Data],$DD1238,28),0)</f>
        <v/>
      </c>
      <c r="AE1238">
        <f>IFERROR(INDEX(PP_Grid[#Data],$DD1238,29),0)</f>
        <v/>
      </c>
      <c r="AF1238">
        <f>IFERROR(INDEX(PP_Grid[#Data],$DD1238,30),0)</f>
        <v/>
      </c>
      <c r="AG1238">
        <f>IFERROR(INDEX(PP_Grid[#Data],$DD1238,31),0)</f>
        <v/>
      </c>
      <c r="AH1238">
        <f>IFERROR(INDEX(PP_Grid[#Data],$DD1238,32),0)</f>
        <v/>
      </c>
      <c r="AI1238">
        <f>IFERROR(INDEX(PP_Grid[#Data],$DD1238,33),0)</f>
        <v/>
      </c>
      <c r="AJ1238">
        <f>IFERROR(INDEX(PP_Grid[#Data],$DD1238,34),0)</f>
        <v/>
      </c>
      <c r="AK1238">
        <f>IFERROR(INDEX(PP_Grid[#Data],$DD1238,35),0)</f>
        <v/>
      </c>
      <c r="AL1238">
        <f>IFERROR(INDEX(PP_Grid[#Data],$DD1238,36),0)</f>
        <v/>
      </c>
      <c r="AM1238">
        <f>IFERROR(INDEX(PP_Grid[#Data],$DD1238,37),0)</f>
        <v/>
      </c>
      <c r="AN1238">
        <f>IFERROR(INDEX(PP_Grid[#Data],$DD1238,38),0)</f>
        <v/>
      </c>
      <c r="AO1238">
        <f>IFERROR(INDEX(PP_Grid[#Data],$DD1238,39),0)</f>
        <v/>
      </c>
      <c r="AP1238">
        <f>IFERROR(INDEX(PP_Grid[#Data],$DD1238,40),0)</f>
        <v/>
      </c>
      <c r="AQ1238">
        <f>IFERROR(INDEX(PP_Grid[#Data],$DD1238,41),0)</f>
        <v/>
      </c>
      <c r="AR1238">
        <f>IFERROR(INDEX(PP_Grid[#Data],$DD1238,42),0)</f>
        <v/>
      </c>
      <c r="AS1238">
        <f>IFERROR(INDEX(PP_Grid[#Data],$DD1238,43),0)</f>
        <v/>
      </c>
      <c r="AT1238">
        <f>IFERROR(INDEX(PP_Grid[#Data],$DD1238,44),0)</f>
        <v/>
      </c>
      <c r="AU1238">
        <f>IFERROR(INDEX(PP_Grid[#Data],$DD1238,45),0)</f>
        <v/>
      </c>
      <c r="AV1238">
        <f>IFERROR(INDEX(PP_Grid[#Data],$DD1238,46),0)</f>
        <v/>
      </c>
      <c r="AW1238">
        <f>IFERROR(INDEX(PP_Grid[#Data],$DD1238,47),0)</f>
        <v/>
      </c>
      <c r="AX1238">
        <f>IFERROR(INDEX(PP_Grid[#Data],$DD1238,48),0)</f>
        <v/>
      </c>
      <c r="AY1238">
        <f>IFERROR(INDEX(PP_Grid[#Data],$DD1238,49),0)</f>
        <v/>
      </c>
      <c r="AZ1238">
        <f>IFERROR(INDEX(PP_Grid[#Data],$DD1238,50),0)</f>
        <v/>
      </c>
      <c r="BA1238">
        <f>IFERROR(INDEX(PP_Grid[#Data],$DD1238,51),0)</f>
        <v/>
      </c>
      <c r="BB1238">
        <f>IFERROR(INDEX(PP_Grid[#Data],$DD1238,52),0)</f>
        <v/>
      </c>
      <c r="BC1238">
        <f>IFERROR(INDEX(PP_Grid[#Data],$DD1238,53),0)</f>
        <v/>
      </c>
      <c r="BD1238">
        <f>IFERROR(INDEX(PP_Grid[#Data],$DD1238,54),0)</f>
        <v/>
      </c>
      <c r="BE1238">
        <f>IFERROR(INDEX(PP_Grid[#Data],$DD1238,55),0)</f>
        <v/>
      </c>
      <c r="BF1238">
        <f>IFERROR(INDEX(PP_Grid[#Data],$DD1238,56),0)</f>
        <v/>
      </c>
      <c r="BG1238">
        <f>IFERROR(INDEX(PP_Grid[#Data],$DD1238,57),0)</f>
        <v/>
      </c>
      <c r="BH1238">
        <f>IFERROR(INDEX(PP_Grid[#Data],$DD1238,58),0)</f>
        <v/>
      </c>
      <c r="BI1238">
        <f>IFERROR(INDEX(PP_Grid[#Data],$DD1238,59),0)</f>
        <v/>
      </c>
      <c r="BJ1238">
        <f>IFERROR(INDEX(PP_Grid[#Data],$DD1238,60),0)</f>
        <v/>
      </c>
      <c r="BK1238">
        <f>IFERROR(INDEX(PP_Grid[#Data],$DD1238,61),0)</f>
        <v/>
      </c>
      <c r="BL1238">
        <f>IFERROR(INDEX(PP_Grid[#Data],$DD1238,62),0)</f>
        <v/>
      </c>
      <c r="BM1238">
        <f>IFERROR(INDEX(PP_Grid[#Data],$DD1238,63),0)</f>
        <v/>
      </c>
      <c r="BN1238">
        <f>IFERROR(INDEX(PP_Grid[#Data],$DD1238,64),0)</f>
        <v/>
      </c>
      <c r="BO1238">
        <f>IFERROR(INDEX(PP_Grid[#Data],$DD1238,65),0)</f>
        <v/>
      </c>
      <c r="BP1238">
        <f>IFERROR(INDEX(PP_Grid[#Data],$DD1238,66),0)</f>
        <v/>
      </c>
      <c r="BQ1238">
        <f>IFERROR(INDEX(PP_Grid[#Data],$DD1238,67),0)</f>
        <v/>
      </c>
      <c r="BR1238">
        <f>IFERROR(INDEX(PP_Grid[#Data],$DD1238,68),0)</f>
        <v/>
      </c>
      <c r="BS1238">
        <f>IFERROR(INDEX(PP_Grid[#Data],$DD1238,69),0)</f>
        <v/>
      </c>
      <c r="BT1238">
        <f>IFERROR(INDEX(PP_Grid[#Data],$DD1238,70),0)</f>
        <v/>
      </c>
      <c r="BU1238">
        <f>IFERROR(INDEX(PP_Grid[#Data],$DD1238,71),0)</f>
        <v/>
      </c>
      <c r="BV1238">
        <f>IFERROR(INDEX(PP_Grid[#Data],$DD1238,72),0)</f>
        <v/>
      </c>
      <c r="BW1238">
        <f>IFERROR(INDEX(PP_Grid[#Data],$DD1238,73),0)</f>
        <v/>
      </c>
      <c r="BX1238">
        <f>IFERROR(INDEX(PP_Grid[#Data],$DD1238,74),0)</f>
        <v/>
      </c>
      <c r="BY1238">
        <f>IFERROR(INDEX(PP_Grid[#Data],$DD1238,75),0)</f>
        <v/>
      </c>
      <c r="BZ1238">
        <f>IFERROR(INDEX(PP_Grid[#Data],$DD1238,76),0)</f>
        <v/>
      </c>
      <c r="CA1238">
        <f>IFERROR(INDEX(PP_Grid[#Data],$DD1238,77),0)</f>
        <v/>
      </c>
      <c r="CB1238">
        <f>IFERROR(INDEX(PP_Grid[#Data],$DD1238,78),0)</f>
        <v/>
      </c>
      <c r="CC1238">
        <f>IFERROR(INDEX(PP_Grid[#Data],$DD1238,79),0)</f>
        <v/>
      </c>
      <c r="CD1238">
        <f>IFERROR(INDEX(PP_Grid[#Data],$DD1238,80),0)</f>
        <v/>
      </c>
      <c r="CE1238">
        <f>IFERROR(INDEX(PP_Grid[#Data],$DD1238,81),0)</f>
        <v/>
      </c>
      <c r="CF1238">
        <f>IFERROR(INDEX(PP_Grid[#Data],$DD1238,82),0)</f>
        <v/>
      </c>
      <c r="CG1238">
        <f>IFERROR(INDEX(PP_Grid[#Data],$DD1238,83),0)</f>
        <v/>
      </c>
      <c r="CH1238">
        <f>IFERROR(INDEX(PP_Grid[#Data],$DD1238,84),0)</f>
        <v/>
      </c>
      <c r="CI1238">
        <f>IFERROR(INDEX(PP_Grid[#Data],$DD1238,85),0)</f>
        <v/>
      </c>
      <c r="CJ1238">
        <f>IFERROR(INDEX(PP_Grid[#Data],$DD1238,86),0)</f>
        <v/>
      </c>
      <c r="CK1238">
        <f>IFERROR(INDEX(PP_Grid[#Data],$DD1238,87),0)</f>
        <v/>
      </c>
      <c r="CL1238">
        <f>IFERROR(INDEX(PP_Grid[#Data],$DD1238,88),0)</f>
        <v/>
      </c>
      <c r="CM1238">
        <f>IFERROR(INDEX(PP_Grid[#Data],$DD1238,89),0)</f>
        <v/>
      </c>
      <c r="CN1238">
        <f>IFERROR(INDEX(PP_Grid[#Data],$DD1238,90),0)</f>
        <v/>
      </c>
      <c r="CO1238">
        <f>IFERROR(INDEX(PP_Grid[#Data],$DD1238,91),0)</f>
        <v/>
      </c>
      <c r="CP1238">
        <f>IFERROR(INDEX(PP_Grid[#Data],$DD1238,92),0)</f>
        <v/>
      </c>
      <c r="CQ1238">
        <f>IFERROR(INDEX(PP_Grid[#Data],$DD1238,93),0)</f>
        <v/>
      </c>
      <c r="CR1238">
        <f>IFERROR(INDEX(PP_Grid[#Data],$DD1238,94),0)</f>
        <v/>
      </c>
      <c r="CS1238">
        <f>IFERROR(INDEX(PP_Grid[#Data],$DD1238,95),0)</f>
        <v/>
      </c>
      <c r="CT1238">
        <f>IFERROR(INDEX(PP_Grid[#Data],$DD1238,96),0)</f>
        <v/>
      </c>
      <c r="CU1238">
        <f>IFERROR(INDEX(PP_Grid[#Data],$DD1238,97),0)</f>
        <v/>
      </c>
      <c r="CV1238">
        <f>IFERROR(INDEX(PP_Grid[#Data],$DD1238,98),0)</f>
        <v/>
      </c>
      <c r="CW1238">
        <f>IFERROR(INDEX(PP_Grid[#Data],$DD1238,99),0)</f>
        <v/>
      </c>
      <c r="CX1238">
        <f>IFERROR(INDEX(PP_Grid[#Data],$DD1238,100),0)</f>
        <v/>
      </c>
      <c r="CY1238">
        <f>IFERROR(INDEX(PP_Grid[#Data],$DD1238,101),0)</f>
        <v/>
      </c>
      <c r="CZ1238">
        <f>IFERROR(INDEX(PP_Grid[#Data],$DD1238,102),0)</f>
        <v/>
      </c>
      <c r="DA1238">
        <f>IFERROR(INDEX(PP_Grid[#Data],$DD1238,103),0)</f>
        <v/>
      </c>
      <c r="DB1238">
        <f>IFERROR(INDEX(PP_Grid[#Data],$DD1238,104),0)</f>
        <v/>
      </c>
      <c r="DC1238">
        <f>IFERROR(INDEX(PP_Grid[#Data],$DD1238,105),0)</f>
        <v/>
      </c>
      <c r="DD1238" s="12">
        <f>IFERROR(MATCH($B1238,PP_Grid[Intermediate],0),99999)</f>
        <v/>
      </c>
    </row>
    <row r="1239">
      <c r="B1239" t="inlineStr">
        <is>
          <t>使用量(kg)</t>
        </is>
      </c>
      <c r="C1239">
        <f>SUMIFS(M_BOM[RM_Qty_Per_Batch],M_BOM[Intermediate],$B1238,M_BOM[Part Name],$A1213)</f>
        <v/>
      </c>
      <c r="D1239">
        <f>$C1239*D1238</f>
        <v/>
      </c>
      <c r="E1239">
        <f>$C1239*E1238</f>
        <v/>
      </c>
      <c r="F1239">
        <f>$C1239*F1238</f>
        <v/>
      </c>
      <c r="G1239">
        <f>$C1239*G1238</f>
        <v/>
      </c>
      <c r="H1239">
        <f>$C1239*H1238</f>
        <v/>
      </c>
      <c r="I1239">
        <f>$C1239*I1238</f>
        <v/>
      </c>
      <c r="J1239">
        <f>$C1239*J1238</f>
        <v/>
      </c>
      <c r="K1239">
        <f>$C1239*K1238</f>
        <v/>
      </c>
      <c r="L1239">
        <f>$C1239*L1238</f>
        <v/>
      </c>
      <c r="M1239">
        <f>$C1239*M1238</f>
        <v/>
      </c>
      <c r="N1239">
        <f>$C1239*N1238</f>
        <v/>
      </c>
      <c r="O1239">
        <f>$C1239*O1238</f>
        <v/>
      </c>
      <c r="P1239">
        <f>$C1239*P1238</f>
        <v/>
      </c>
      <c r="Q1239">
        <f>$C1239*Q1238</f>
        <v/>
      </c>
      <c r="R1239">
        <f>$C1239*R1238</f>
        <v/>
      </c>
      <c r="S1239">
        <f>$C1239*S1238</f>
        <v/>
      </c>
      <c r="T1239">
        <f>$C1239*T1238</f>
        <v/>
      </c>
      <c r="U1239">
        <f>$C1239*U1238</f>
        <v/>
      </c>
      <c r="V1239">
        <f>$C1239*V1238</f>
        <v/>
      </c>
      <c r="W1239">
        <f>$C1239*W1238</f>
        <v/>
      </c>
      <c r="X1239">
        <f>$C1239*X1238</f>
        <v/>
      </c>
      <c r="Y1239">
        <f>$C1239*Y1238</f>
        <v/>
      </c>
      <c r="Z1239">
        <f>$C1239*Z1238</f>
        <v/>
      </c>
      <c r="AA1239">
        <f>$C1239*AA1238</f>
        <v/>
      </c>
      <c r="AB1239">
        <f>$C1239*AB1238</f>
        <v/>
      </c>
      <c r="AC1239">
        <f>$C1239*AC1238</f>
        <v/>
      </c>
      <c r="AD1239">
        <f>$C1239*AD1238</f>
        <v/>
      </c>
      <c r="AE1239">
        <f>$C1239*AE1238</f>
        <v/>
      </c>
      <c r="AF1239">
        <f>$C1239*AF1238</f>
        <v/>
      </c>
      <c r="AG1239">
        <f>$C1239*AG1238</f>
        <v/>
      </c>
      <c r="AH1239">
        <f>$C1239*AH1238</f>
        <v/>
      </c>
      <c r="AI1239">
        <f>$C1239*AI1238</f>
        <v/>
      </c>
      <c r="AJ1239">
        <f>$C1239*AJ1238</f>
        <v/>
      </c>
      <c r="AK1239">
        <f>$C1239*AK1238</f>
        <v/>
      </c>
      <c r="AL1239">
        <f>$C1239*AL1238</f>
        <v/>
      </c>
      <c r="AM1239">
        <f>$C1239*AM1238</f>
        <v/>
      </c>
      <c r="AN1239">
        <f>$C1239*AN1238</f>
        <v/>
      </c>
      <c r="AO1239">
        <f>$C1239*AO1238</f>
        <v/>
      </c>
      <c r="AP1239">
        <f>$C1239*AP1238</f>
        <v/>
      </c>
      <c r="AQ1239">
        <f>$C1239*AQ1238</f>
        <v/>
      </c>
      <c r="AR1239">
        <f>$C1239*AR1238</f>
        <v/>
      </c>
      <c r="AS1239">
        <f>$C1239*AS1238</f>
        <v/>
      </c>
      <c r="AT1239">
        <f>$C1239*AT1238</f>
        <v/>
      </c>
      <c r="AU1239">
        <f>$C1239*AU1238</f>
        <v/>
      </c>
      <c r="AV1239">
        <f>$C1239*AV1238</f>
        <v/>
      </c>
      <c r="AW1239">
        <f>$C1239*AW1238</f>
        <v/>
      </c>
      <c r="AX1239">
        <f>$C1239*AX1238</f>
        <v/>
      </c>
      <c r="AY1239">
        <f>$C1239*AY1238</f>
        <v/>
      </c>
      <c r="AZ1239">
        <f>$C1239*AZ1238</f>
        <v/>
      </c>
      <c r="BA1239">
        <f>$C1239*BA1238</f>
        <v/>
      </c>
      <c r="BB1239">
        <f>$C1239*BB1238</f>
        <v/>
      </c>
      <c r="BC1239">
        <f>$C1239*BC1238</f>
        <v/>
      </c>
      <c r="BD1239">
        <f>$C1239*BD1238</f>
        <v/>
      </c>
      <c r="BE1239">
        <f>$C1239*BE1238</f>
        <v/>
      </c>
      <c r="BF1239">
        <f>$C1239*BF1238</f>
        <v/>
      </c>
      <c r="BG1239">
        <f>$C1239*BG1238</f>
        <v/>
      </c>
      <c r="BH1239">
        <f>$C1239*BH1238</f>
        <v/>
      </c>
      <c r="BI1239">
        <f>$C1239*BI1238</f>
        <v/>
      </c>
      <c r="BJ1239">
        <f>$C1239*BJ1238</f>
        <v/>
      </c>
      <c r="BK1239">
        <f>$C1239*BK1238</f>
        <v/>
      </c>
      <c r="BL1239">
        <f>$C1239*BL1238</f>
        <v/>
      </c>
      <c r="BM1239">
        <f>$C1239*BM1238</f>
        <v/>
      </c>
      <c r="BN1239">
        <f>$C1239*BN1238</f>
        <v/>
      </c>
      <c r="BO1239">
        <f>$C1239*BO1238</f>
        <v/>
      </c>
      <c r="BP1239">
        <f>$C1239*BP1238</f>
        <v/>
      </c>
      <c r="BQ1239">
        <f>$C1239*BQ1238</f>
        <v/>
      </c>
      <c r="BR1239">
        <f>$C1239*BR1238</f>
        <v/>
      </c>
      <c r="BS1239">
        <f>$C1239*BS1238</f>
        <v/>
      </c>
      <c r="BT1239">
        <f>$C1239*BT1238</f>
        <v/>
      </c>
      <c r="BU1239">
        <f>$C1239*BU1238</f>
        <v/>
      </c>
      <c r="BV1239">
        <f>$C1239*BV1238</f>
        <v/>
      </c>
      <c r="BW1239">
        <f>$C1239*BW1238</f>
        <v/>
      </c>
      <c r="BX1239">
        <f>$C1239*BX1238</f>
        <v/>
      </c>
      <c r="BY1239">
        <f>$C1239*BY1238</f>
        <v/>
      </c>
      <c r="BZ1239">
        <f>$C1239*BZ1238</f>
        <v/>
      </c>
      <c r="CA1239">
        <f>$C1239*CA1238</f>
        <v/>
      </c>
      <c r="CB1239">
        <f>$C1239*CB1238</f>
        <v/>
      </c>
      <c r="CC1239">
        <f>$C1239*CC1238</f>
        <v/>
      </c>
      <c r="CD1239">
        <f>$C1239*CD1238</f>
        <v/>
      </c>
      <c r="CE1239">
        <f>$C1239*CE1238</f>
        <v/>
      </c>
      <c r="CF1239">
        <f>$C1239*CF1238</f>
        <v/>
      </c>
      <c r="CG1239">
        <f>$C1239*CG1238</f>
        <v/>
      </c>
      <c r="CH1239">
        <f>$C1239*CH1238</f>
        <v/>
      </c>
      <c r="CI1239">
        <f>$C1239*CI1238</f>
        <v/>
      </c>
      <c r="CJ1239">
        <f>$C1239*CJ1238</f>
        <v/>
      </c>
      <c r="CK1239">
        <f>$C1239*CK1238</f>
        <v/>
      </c>
      <c r="CL1239">
        <f>$C1239*CL1238</f>
        <v/>
      </c>
      <c r="CM1239">
        <f>$C1239*CM1238</f>
        <v/>
      </c>
      <c r="CN1239">
        <f>$C1239*CN1238</f>
        <v/>
      </c>
      <c r="CO1239">
        <f>$C1239*CO1238</f>
        <v/>
      </c>
      <c r="CP1239">
        <f>$C1239*CP1238</f>
        <v/>
      </c>
      <c r="CQ1239">
        <f>$C1239*CQ1238</f>
        <v/>
      </c>
      <c r="CR1239">
        <f>$C1239*CR1238</f>
        <v/>
      </c>
      <c r="CS1239">
        <f>$C1239*CS1238</f>
        <v/>
      </c>
      <c r="CT1239">
        <f>$C1239*CT1238</f>
        <v/>
      </c>
      <c r="CU1239">
        <f>$C1239*CU1238</f>
        <v/>
      </c>
      <c r="CV1239">
        <f>$C1239*CV1238</f>
        <v/>
      </c>
      <c r="CW1239">
        <f>$C1239*CW1238</f>
        <v/>
      </c>
      <c r="CX1239">
        <f>$C1239*CX1238</f>
        <v/>
      </c>
      <c r="CY1239">
        <f>$C1239*CY1238</f>
        <v/>
      </c>
      <c r="CZ1239">
        <f>$C1239*CZ1238</f>
        <v/>
      </c>
      <c r="DA1239">
        <f>$C1239*DA1238</f>
        <v/>
      </c>
      <c r="DB1239">
        <f>$C1239*DB1238</f>
        <v/>
      </c>
      <c r="DC1239">
        <f>$C1239*DC1238</f>
        <v/>
      </c>
    </row>
    <row r="1240">
      <c r="B1240" t="inlineStr">
        <is>
          <t>TSP-936</t>
        </is>
      </c>
      <c r="C1240" t="inlineStr">
        <is>
          <t>No. of batches</t>
        </is>
      </c>
      <c r="D1240">
        <f>IFERROR(INDEX(PP_Grid[#Data],$DD1240,2),0)</f>
        <v/>
      </c>
      <c r="E1240">
        <f>IFERROR(INDEX(PP_Grid[#Data],$DD1240,3),0)</f>
        <v/>
      </c>
      <c r="F1240">
        <f>IFERROR(INDEX(PP_Grid[#Data],$DD1240,4),0)</f>
        <v/>
      </c>
      <c r="G1240">
        <f>IFERROR(INDEX(PP_Grid[#Data],$DD1240,5),0)</f>
        <v/>
      </c>
      <c r="H1240">
        <f>IFERROR(INDEX(PP_Grid[#Data],$DD1240,6),0)</f>
        <v/>
      </c>
      <c r="I1240">
        <f>IFERROR(INDEX(PP_Grid[#Data],$DD1240,7),0)</f>
        <v/>
      </c>
      <c r="J1240">
        <f>IFERROR(INDEX(PP_Grid[#Data],$DD1240,8),0)</f>
        <v/>
      </c>
      <c r="K1240">
        <f>IFERROR(INDEX(PP_Grid[#Data],$DD1240,9),0)</f>
        <v/>
      </c>
      <c r="L1240">
        <f>IFERROR(INDEX(PP_Grid[#Data],$DD1240,10),0)</f>
        <v/>
      </c>
      <c r="M1240">
        <f>IFERROR(INDEX(PP_Grid[#Data],$DD1240,11),0)</f>
        <v/>
      </c>
      <c r="N1240">
        <f>IFERROR(INDEX(PP_Grid[#Data],$DD1240,12),0)</f>
        <v/>
      </c>
      <c r="O1240">
        <f>IFERROR(INDEX(PP_Grid[#Data],$DD1240,13),0)</f>
        <v/>
      </c>
      <c r="P1240">
        <f>IFERROR(INDEX(PP_Grid[#Data],$DD1240,14),0)</f>
        <v/>
      </c>
      <c r="Q1240">
        <f>IFERROR(INDEX(PP_Grid[#Data],$DD1240,15),0)</f>
        <v/>
      </c>
      <c r="R1240">
        <f>IFERROR(INDEX(PP_Grid[#Data],$DD1240,16),0)</f>
        <v/>
      </c>
      <c r="S1240">
        <f>IFERROR(INDEX(PP_Grid[#Data],$DD1240,17),0)</f>
        <v/>
      </c>
      <c r="T1240">
        <f>IFERROR(INDEX(PP_Grid[#Data],$DD1240,18),0)</f>
        <v/>
      </c>
      <c r="U1240">
        <f>IFERROR(INDEX(PP_Grid[#Data],$DD1240,19),0)</f>
        <v/>
      </c>
      <c r="V1240">
        <f>IFERROR(INDEX(PP_Grid[#Data],$DD1240,20),0)</f>
        <v/>
      </c>
      <c r="W1240">
        <f>IFERROR(INDEX(PP_Grid[#Data],$DD1240,21),0)</f>
        <v/>
      </c>
      <c r="X1240">
        <f>IFERROR(INDEX(PP_Grid[#Data],$DD1240,22),0)</f>
        <v/>
      </c>
      <c r="Y1240">
        <f>IFERROR(INDEX(PP_Grid[#Data],$DD1240,23),0)</f>
        <v/>
      </c>
      <c r="Z1240">
        <f>IFERROR(INDEX(PP_Grid[#Data],$DD1240,24),0)</f>
        <v/>
      </c>
      <c r="AA1240">
        <f>IFERROR(INDEX(PP_Grid[#Data],$DD1240,25),0)</f>
        <v/>
      </c>
      <c r="AB1240">
        <f>IFERROR(INDEX(PP_Grid[#Data],$DD1240,26),0)</f>
        <v/>
      </c>
      <c r="AC1240">
        <f>IFERROR(INDEX(PP_Grid[#Data],$DD1240,27),0)</f>
        <v/>
      </c>
      <c r="AD1240">
        <f>IFERROR(INDEX(PP_Grid[#Data],$DD1240,28),0)</f>
        <v/>
      </c>
      <c r="AE1240">
        <f>IFERROR(INDEX(PP_Grid[#Data],$DD1240,29),0)</f>
        <v/>
      </c>
      <c r="AF1240">
        <f>IFERROR(INDEX(PP_Grid[#Data],$DD1240,30),0)</f>
        <v/>
      </c>
      <c r="AG1240">
        <f>IFERROR(INDEX(PP_Grid[#Data],$DD1240,31),0)</f>
        <v/>
      </c>
      <c r="AH1240">
        <f>IFERROR(INDEX(PP_Grid[#Data],$DD1240,32),0)</f>
        <v/>
      </c>
      <c r="AI1240">
        <f>IFERROR(INDEX(PP_Grid[#Data],$DD1240,33),0)</f>
        <v/>
      </c>
      <c r="AJ1240">
        <f>IFERROR(INDEX(PP_Grid[#Data],$DD1240,34),0)</f>
        <v/>
      </c>
      <c r="AK1240">
        <f>IFERROR(INDEX(PP_Grid[#Data],$DD1240,35),0)</f>
        <v/>
      </c>
      <c r="AL1240">
        <f>IFERROR(INDEX(PP_Grid[#Data],$DD1240,36),0)</f>
        <v/>
      </c>
      <c r="AM1240">
        <f>IFERROR(INDEX(PP_Grid[#Data],$DD1240,37),0)</f>
        <v/>
      </c>
      <c r="AN1240">
        <f>IFERROR(INDEX(PP_Grid[#Data],$DD1240,38),0)</f>
        <v/>
      </c>
      <c r="AO1240">
        <f>IFERROR(INDEX(PP_Grid[#Data],$DD1240,39),0)</f>
        <v/>
      </c>
      <c r="AP1240">
        <f>IFERROR(INDEX(PP_Grid[#Data],$DD1240,40),0)</f>
        <v/>
      </c>
      <c r="AQ1240">
        <f>IFERROR(INDEX(PP_Grid[#Data],$DD1240,41),0)</f>
        <v/>
      </c>
      <c r="AR1240">
        <f>IFERROR(INDEX(PP_Grid[#Data],$DD1240,42),0)</f>
        <v/>
      </c>
      <c r="AS1240">
        <f>IFERROR(INDEX(PP_Grid[#Data],$DD1240,43),0)</f>
        <v/>
      </c>
      <c r="AT1240">
        <f>IFERROR(INDEX(PP_Grid[#Data],$DD1240,44),0)</f>
        <v/>
      </c>
      <c r="AU1240">
        <f>IFERROR(INDEX(PP_Grid[#Data],$DD1240,45),0)</f>
        <v/>
      </c>
      <c r="AV1240">
        <f>IFERROR(INDEX(PP_Grid[#Data],$DD1240,46),0)</f>
        <v/>
      </c>
      <c r="AW1240">
        <f>IFERROR(INDEX(PP_Grid[#Data],$DD1240,47),0)</f>
        <v/>
      </c>
      <c r="AX1240">
        <f>IFERROR(INDEX(PP_Grid[#Data],$DD1240,48),0)</f>
        <v/>
      </c>
      <c r="AY1240">
        <f>IFERROR(INDEX(PP_Grid[#Data],$DD1240,49),0)</f>
        <v/>
      </c>
      <c r="AZ1240">
        <f>IFERROR(INDEX(PP_Grid[#Data],$DD1240,50),0)</f>
        <v/>
      </c>
      <c r="BA1240">
        <f>IFERROR(INDEX(PP_Grid[#Data],$DD1240,51),0)</f>
        <v/>
      </c>
      <c r="BB1240">
        <f>IFERROR(INDEX(PP_Grid[#Data],$DD1240,52),0)</f>
        <v/>
      </c>
      <c r="BC1240">
        <f>IFERROR(INDEX(PP_Grid[#Data],$DD1240,53),0)</f>
        <v/>
      </c>
      <c r="BD1240">
        <f>IFERROR(INDEX(PP_Grid[#Data],$DD1240,54),0)</f>
        <v/>
      </c>
      <c r="BE1240">
        <f>IFERROR(INDEX(PP_Grid[#Data],$DD1240,55),0)</f>
        <v/>
      </c>
      <c r="BF1240">
        <f>IFERROR(INDEX(PP_Grid[#Data],$DD1240,56),0)</f>
        <v/>
      </c>
      <c r="BG1240">
        <f>IFERROR(INDEX(PP_Grid[#Data],$DD1240,57),0)</f>
        <v/>
      </c>
      <c r="BH1240">
        <f>IFERROR(INDEX(PP_Grid[#Data],$DD1240,58),0)</f>
        <v/>
      </c>
      <c r="BI1240">
        <f>IFERROR(INDEX(PP_Grid[#Data],$DD1240,59),0)</f>
        <v/>
      </c>
      <c r="BJ1240">
        <f>IFERROR(INDEX(PP_Grid[#Data],$DD1240,60),0)</f>
        <v/>
      </c>
      <c r="BK1240">
        <f>IFERROR(INDEX(PP_Grid[#Data],$DD1240,61),0)</f>
        <v/>
      </c>
      <c r="BL1240">
        <f>IFERROR(INDEX(PP_Grid[#Data],$DD1240,62),0)</f>
        <v/>
      </c>
      <c r="BM1240">
        <f>IFERROR(INDEX(PP_Grid[#Data],$DD1240,63),0)</f>
        <v/>
      </c>
      <c r="BN1240">
        <f>IFERROR(INDEX(PP_Grid[#Data],$DD1240,64),0)</f>
        <v/>
      </c>
      <c r="BO1240">
        <f>IFERROR(INDEX(PP_Grid[#Data],$DD1240,65),0)</f>
        <v/>
      </c>
      <c r="BP1240">
        <f>IFERROR(INDEX(PP_Grid[#Data],$DD1240,66),0)</f>
        <v/>
      </c>
      <c r="BQ1240">
        <f>IFERROR(INDEX(PP_Grid[#Data],$DD1240,67),0)</f>
        <v/>
      </c>
      <c r="BR1240">
        <f>IFERROR(INDEX(PP_Grid[#Data],$DD1240,68),0)</f>
        <v/>
      </c>
      <c r="BS1240">
        <f>IFERROR(INDEX(PP_Grid[#Data],$DD1240,69),0)</f>
        <v/>
      </c>
      <c r="BT1240">
        <f>IFERROR(INDEX(PP_Grid[#Data],$DD1240,70),0)</f>
        <v/>
      </c>
      <c r="BU1240">
        <f>IFERROR(INDEX(PP_Grid[#Data],$DD1240,71),0)</f>
        <v/>
      </c>
      <c r="BV1240">
        <f>IFERROR(INDEX(PP_Grid[#Data],$DD1240,72),0)</f>
        <v/>
      </c>
      <c r="BW1240">
        <f>IFERROR(INDEX(PP_Grid[#Data],$DD1240,73),0)</f>
        <v/>
      </c>
      <c r="BX1240">
        <f>IFERROR(INDEX(PP_Grid[#Data],$DD1240,74),0)</f>
        <v/>
      </c>
      <c r="BY1240">
        <f>IFERROR(INDEX(PP_Grid[#Data],$DD1240,75),0)</f>
        <v/>
      </c>
      <c r="BZ1240">
        <f>IFERROR(INDEX(PP_Grid[#Data],$DD1240,76),0)</f>
        <v/>
      </c>
      <c r="CA1240">
        <f>IFERROR(INDEX(PP_Grid[#Data],$DD1240,77),0)</f>
        <v/>
      </c>
      <c r="CB1240">
        <f>IFERROR(INDEX(PP_Grid[#Data],$DD1240,78),0)</f>
        <v/>
      </c>
      <c r="CC1240">
        <f>IFERROR(INDEX(PP_Grid[#Data],$DD1240,79),0)</f>
        <v/>
      </c>
      <c r="CD1240">
        <f>IFERROR(INDEX(PP_Grid[#Data],$DD1240,80),0)</f>
        <v/>
      </c>
      <c r="CE1240">
        <f>IFERROR(INDEX(PP_Grid[#Data],$DD1240,81),0)</f>
        <v/>
      </c>
      <c r="CF1240">
        <f>IFERROR(INDEX(PP_Grid[#Data],$DD1240,82),0)</f>
        <v/>
      </c>
      <c r="CG1240">
        <f>IFERROR(INDEX(PP_Grid[#Data],$DD1240,83),0)</f>
        <v/>
      </c>
      <c r="CH1240">
        <f>IFERROR(INDEX(PP_Grid[#Data],$DD1240,84),0)</f>
        <v/>
      </c>
      <c r="CI1240">
        <f>IFERROR(INDEX(PP_Grid[#Data],$DD1240,85),0)</f>
        <v/>
      </c>
      <c r="CJ1240">
        <f>IFERROR(INDEX(PP_Grid[#Data],$DD1240,86),0)</f>
        <v/>
      </c>
      <c r="CK1240">
        <f>IFERROR(INDEX(PP_Grid[#Data],$DD1240,87),0)</f>
        <v/>
      </c>
      <c r="CL1240">
        <f>IFERROR(INDEX(PP_Grid[#Data],$DD1240,88),0)</f>
        <v/>
      </c>
      <c r="CM1240">
        <f>IFERROR(INDEX(PP_Grid[#Data],$DD1240,89),0)</f>
        <v/>
      </c>
      <c r="CN1240">
        <f>IFERROR(INDEX(PP_Grid[#Data],$DD1240,90),0)</f>
        <v/>
      </c>
      <c r="CO1240">
        <f>IFERROR(INDEX(PP_Grid[#Data],$DD1240,91),0)</f>
        <v/>
      </c>
      <c r="CP1240">
        <f>IFERROR(INDEX(PP_Grid[#Data],$DD1240,92),0)</f>
        <v/>
      </c>
      <c r="CQ1240">
        <f>IFERROR(INDEX(PP_Grid[#Data],$DD1240,93),0)</f>
        <v/>
      </c>
      <c r="CR1240">
        <f>IFERROR(INDEX(PP_Grid[#Data],$DD1240,94),0)</f>
        <v/>
      </c>
      <c r="CS1240">
        <f>IFERROR(INDEX(PP_Grid[#Data],$DD1240,95),0)</f>
        <v/>
      </c>
      <c r="CT1240">
        <f>IFERROR(INDEX(PP_Grid[#Data],$DD1240,96),0)</f>
        <v/>
      </c>
      <c r="CU1240">
        <f>IFERROR(INDEX(PP_Grid[#Data],$DD1240,97),0)</f>
        <v/>
      </c>
      <c r="CV1240">
        <f>IFERROR(INDEX(PP_Grid[#Data],$DD1240,98),0)</f>
        <v/>
      </c>
      <c r="CW1240">
        <f>IFERROR(INDEX(PP_Grid[#Data],$DD1240,99),0)</f>
        <v/>
      </c>
      <c r="CX1240">
        <f>IFERROR(INDEX(PP_Grid[#Data],$DD1240,100),0)</f>
        <v/>
      </c>
      <c r="CY1240">
        <f>IFERROR(INDEX(PP_Grid[#Data],$DD1240,101),0)</f>
        <v/>
      </c>
      <c r="CZ1240">
        <f>IFERROR(INDEX(PP_Grid[#Data],$DD1240,102),0)</f>
        <v/>
      </c>
      <c r="DA1240">
        <f>IFERROR(INDEX(PP_Grid[#Data],$DD1240,103),0)</f>
        <v/>
      </c>
      <c r="DB1240">
        <f>IFERROR(INDEX(PP_Grid[#Data],$DD1240,104),0)</f>
        <v/>
      </c>
      <c r="DC1240">
        <f>IFERROR(INDEX(PP_Grid[#Data],$DD1240,105),0)</f>
        <v/>
      </c>
      <c r="DD1240" s="12">
        <f>IFERROR(MATCH($B1240,PP_Grid[Intermediate],0),99999)</f>
        <v/>
      </c>
    </row>
    <row r="1241">
      <c r="B1241" t="inlineStr">
        <is>
          <t>使用量(kg)</t>
        </is>
      </c>
      <c r="C1241">
        <f>SUMIFS(M_BOM[RM_Qty_Per_Batch],M_BOM[Intermediate],$B1240,M_BOM[Part Name],$A1213)</f>
        <v/>
      </c>
      <c r="D1241">
        <f>$C1241*D1240</f>
        <v/>
      </c>
      <c r="E1241">
        <f>$C1241*E1240</f>
        <v/>
      </c>
      <c r="F1241">
        <f>$C1241*F1240</f>
        <v/>
      </c>
      <c r="G1241">
        <f>$C1241*G1240</f>
        <v/>
      </c>
      <c r="H1241">
        <f>$C1241*H1240</f>
        <v/>
      </c>
      <c r="I1241">
        <f>$C1241*I1240</f>
        <v/>
      </c>
      <c r="J1241">
        <f>$C1241*J1240</f>
        <v/>
      </c>
      <c r="K1241">
        <f>$C1241*K1240</f>
        <v/>
      </c>
      <c r="L1241">
        <f>$C1241*L1240</f>
        <v/>
      </c>
      <c r="M1241">
        <f>$C1241*M1240</f>
        <v/>
      </c>
      <c r="N1241">
        <f>$C1241*N1240</f>
        <v/>
      </c>
      <c r="O1241">
        <f>$C1241*O1240</f>
        <v/>
      </c>
      <c r="P1241">
        <f>$C1241*P1240</f>
        <v/>
      </c>
      <c r="Q1241">
        <f>$C1241*Q1240</f>
        <v/>
      </c>
      <c r="R1241">
        <f>$C1241*R1240</f>
        <v/>
      </c>
      <c r="S1241">
        <f>$C1241*S1240</f>
        <v/>
      </c>
      <c r="T1241">
        <f>$C1241*T1240</f>
        <v/>
      </c>
      <c r="U1241">
        <f>$C1241*U1240</f>
        <v/>
      </c>
      <c r="V1241">
        <f>$C1241*V1240</f>
        <v/>
      </c>
      <c r="W1241">
        <f>$C1241*W1240</f>
        <v/>
      </c>
      <c r="X1241">
        <f>$C1241*X1240</f>
        <v/>
      </c>
      <c r="Y1241">
        <f>$C1241*Y1240</f>
        <v/>
      </c>
      <c r="Z1241">
        <f>$C1241*Z1240</f>
        <v/>
      </c>
      <c r="AA1241">
        <f>$C1241*AA1240</f>
        <v/>
      </c>
      <c r="AB1241">
        <f>$C1241*AB1240</f>
        <v/>
      </c>
      <c r="AC1241">
        <f>$C1241*AC1240</f>
        <v/>
      </c>
      <c r="AD1241">
        <f>$C1241*AD1240</f>
        <v/>
      </c>
      <c r="AE1241">
        <f>$C1241*AE1240</f>
        <v/>
      </c>
      <c r="AF1241">
        <f>$C1241*AF1240</f>
        <v/>
      </c>
      <c r="AG1241">
        <f>$C1241*AG1240</f>
        <v/>
      </c>
      <c r="AH1241">
        <f>$C1241*AH1240</f>
        <v/>
      </c>
      <c r="AI1241">
        <f>$C1241*AI1240</f>
        <v/>
      </c>
      <c r="AJ1241">
        <f>$C1241*AJ1240</f>
        <v/>
      </c>
      <c r="AK1241">
        <f>$C1241*AK1240</f>
        <v/>
      </c>
      <c r="AL1241">
        <f>$C1241*AL1240</f>
        <v/>
      </c>
      <c r="AM1241">
        <f>$C1241*AM1240</f>
        <v/>
      </c>
      <c r="AN1241">
        <f>$C1241*AN1240</f>
        <v/>
      </c>
      <c r="AO1241">
        <f>$C1241*AO1240</f>
        <v/>
      </c>
      <c r="AP1241">
        <f>$C1241*AP1240</f>
        <v/>
      </c>
      <c r="AQ1241">
        <f>$C1241*AQ1240</f>
        <v/>
      </c>
      <c r="AR1241">
        <f>$C1241*AR1240</f>
        <v/>
      </c>
      <c r="AS1241">
        <f>$C1241*AS1240</f>
        <v/>
      </c>
      <c r="AT1241">
        <f>$C1241*AT1240</f>
        <v/>
      </c>
      <c r="AU1241">
        <f>$C1241*AU1240</f>
        <v/>
      </c>
      <c r="AV1241">
        <f>$C1241*AV1240</f>
        <v/>
      </c>
      <c r="AW1241">
        <f>$C1241*AW1240</f>
        <v/>
      </c>
      <c r="AX1241">
        <f>$C1241*AX1240</f>
        <v/>
      </c>
      <c r="AY1241">
        <f>$C1241*AY1240</f>
        <v/>
      </c>
      <c r="AZ1241">
        <f>$C1241*AZ1240</f>
        <v/>
      </c>
      <c r="BA1241">
        <f>$C1241*BA1240</f>
        <v/>
      </c>
      <c r="BB1241">
        <f>$C1241*BB1240</f>
        <v/>
      </c>
      <c r="BC1241">
        <f>$C1241*BC1240</f>
        <v/>
      </c>
      <c r="BD1241">
        <f>$C1241*BD1240</f>
        <v/>
      </c>
      <c r="BE1241">
        <f>$C1241*BE1240</f>
        <v/>
      </c>
      <c r="BF1241">
        <f>$C1241*BF1240</f>
        <v/>
      </c>
      <c r="BG1241">
        <f>$C1241*BG1240</f>
        <v/>
      </c>
      <c r="BH1241">
        <f>$C1241*BH1240</f>
        <v/>
      </c>
      <c r="BI1241">
        <f>$C1241*BI1240</f>
        <v/>
      </c>
      <c r="BJ1241">
        <f>$C1241*BJ1240</f>
        <v/>
      </c>
      <c r="BK1241">
        <f>$C1241*BK1240</f>
        <v/>
      </c>
      <c r="BL1241">
        <f>$C1241*BL1240</f>
        <v/>
      </c>
      <c r="BM1241">
        <f>$C1241*BM1240</f>
        <v/>
      </c>
      <c r="BN1241">
        <f>$C1241*BN1240</f>
        <v/>
      </c>
      <c r="BO1241">
        <f>$C1241*BO1240</f>
        <v/>
      </c>
      <c r="BP1241">
        <f>$C1241*BP1240</f>
        <v/>
      </c>
      <c r="BQ1241">
        <f>$C1241*BQ1240</f>
        <v/>
      </c>
      <c r="BR1241">
        <f>$C1241*BR1240</f>
        <v/>
      </c>
      <c r="BS1241">
        <f>$C1241*BS1240</f>
        <v/>
      </c>
      <c r="BT1241">
        <f>$C1241*BT1240</f>
        <v/>
      </c>
      <c r="BU1241">
        <f>$C1241*BU1240</f>
        <v/>
      </c>
      <c r="BV1241">
        <f>$C1241*BV1240</f>
        <v/>
      </c>
      <c r="BW1241">
        <f>$C1241*BW1240</f>
        <v/>
      </c>
      <c r="BX1241">
        <f>$C1241*BX1240</f>
        <v/>
      </c>
      <c r="BY1241">
        <f>$C1241*BY1240</f>
        <v/>
      </c>
      <c r="BZ1241">
        <f>$C1241*BZ1240</f>
        <v/>
      </c>
      <c r="CA1241">
        <f>$C1241*CA1240</f>
        <v/>
      </c>
      <c r="CB1241">
        <f>$C1241*CB1240</f>
        <v/>
      </c>
      <c r="CC1241">
        <f>$C1241*CC1240</f>
        <v/>
      </c>
      <c r="CD1241">
        <f>$C1241*CD1240</f>
        <v/>
      </c>
      <c r="CE1241">
        <f>$C1241*CE1240</f>
        <v/>
      </c>
      <c r="CF1241">
        <f>$C1241*CF1240</f>
        <v/>
      </c>
      <c r="CG1241">
        <f>$C1241*CG1240</f>
        <v/>
      </c>
      <c r="CH1241">
        <f>$C1241*CH1240</f>
        <v/>
      </c>
      <c r="CI1241">
        <f>$C1241*CI1240</f>
        <v/>
      </c>
      <c r="CJ1241">
        <f>$C1241*CJ1240</f>
        <v/>
      </c>
      <c r="CK1241">
        <f>$C1241*CK1240</f>
        <v/>
      </c>
      <c r="CL1241">
        <f>$C1241*CL1240</f>
        <v/>
      </c>
      <c r="CM1241">
        <f>$C1241*CM1240</f>
        <v/>
      </c>
      <c r="CN1241">
        <f>$C1241*CN1240</f>
        <v/>
      </c>
      <c r="CO1241">
        <f>$C1241*CO1240</f>
        <v/>
      </c>
      <c r="CP1241">
        <f>$C1241*CP1240</f>
        <v/>
      </c>
      <c r="CQ1241">
        <f>$C1241*CQ1240</f>
        <v/>
      </c>
      <c r="CR1241">
        <f>$C1241*CR1240</f>
        <v/>
      </c>
      <c r="CS1241">
        <f>$C1241*CS1240</f>
        <v/>
      </c>
      <c r="CT1241">
        <f>$C1241*CT1240</f>
        <v/>
      </c>
      <c r="CU1241">
        <f>$C1241*CU1240</f>
        <v/>
      </c>
      <c r="CV1241">
        <f>$C1241*CV1240</f>
        <v/>
      </c>
      <c r="CW1241">
        <f>$C1241*CW1240</f>
        <v/>
      </c>
      <c r="CX1241">
        <f>$C1241*CX1240</f>
        <v/>
      </c>
      <c r="CY1241">
        <f>$C1241*CY1240</f>
        <v/>
      </c>
      <c r="CZ1241">
        <f>$C1241*CZ1240</f>
        <v/>
      </c>
      <c r="DA1241">
        <f>$C1241*DA1240</f>
        <v/>
      </c>
      <c r="DB1241">
        <f>$C1241*DB1240</f>
        <v/>
      </c>
      <c r="DC1241">
        <f>$C1241*DC1240</f>
        <v/>
      </c>
    </row>
    <row r="1242">
      <c r="B1242" t="inlineStr">
        <is>
          <t>TSP-937</t>
        </is>
      </c>
      <c r="C1242" t="inlineStr">
        <is>
          <t>No. of batches</t>
        </is>
      </c>
      <c r="D1242">
        <f>IFERROR(INDEX(PP_Grid[#Data],$DD1242,2),0)</f>
        <v/>
      </c>
      <c r="E1242">
        <f>IFERROR(INDEX(PP_Grid[#Data],$DD1242,3),0)</f>
        <v/>
      </c>
      <c r="F1242">
        <f>IFERROR(INDEX(PP_Grid[#Data],$DD1242,4),0)</f>
        <v/>
      </c>
      <c r="G1242">
        <f>IFERROR(INDEX(PP_Grid[#Data],$DD1242,5),0)</f>
        <v/>
      </c>
      <c r="H1242">
        <f>IFERROR(INDEX(PP_Grid[#Data],$DD1242,6),0)</f>
        <v/>
      </c>
      <c r="I1242">
        <f>IFERROR(INDEX(PP_Grid[#Data],$DD1242,7),0)</f>
        <v/>
      </c>
      <c r="J1242">
        <f>IFERROR(INDEX(PP_Grid[#Data],$DD1242,8),0)</f>
        <v/>
      </c>
      <c r="K1242">
        <f>IFERROR(INDEX(PP_Grid[#Data],$DD1242,9),0)</f>
        <v/>
      </c>
      <c r="L1242">
        <f>IFERROR(INDEX(PP_Grid[#Data],$DD1242,10),0)</f>
        <v/>
      </c>
      <c r="M1242">
        <f>IFERROR(INDEX(PP_Grid[#Data],$DD1242,11),0)</f>
        <v/>
      </c>
      <c r="N1242">
        <f>IFERROR(INDEX(PP_Grid[#Data],$DD1242,12),0)</f>
        <v/>
      </c>
      <c r="O1242">
        <f>IFERROR(INDEX(PP_Grid[#Data],$DD1242,13),0)</f>
        <v/>
      </c>
      <c r="P1242">
        <f>IFERROR(INDEX(PP_Grid[#Data],$DD1242,14),0)</f>
        <v/>
      </c>
      <c r="Q1242">
        <f>IFERROR(INDEX(PP_Grid[#Data],$DD1242,15),0)</f>
        <v/>
      </c>
      <c r="R1242">
        <f>IFERROR(INDEX(PP_Grid[#Data],$DD1242,16),0)</f>
        <v/>
      </c>
      <c r="S1242">
        <f>IFERROR(INDEX(PP_Grid[#Data],$DD1242,17),0)</f>
        <v/>
      </c>
      <c r="T1242">
        <f>IFERROR(INDEX(PP_Grid[#Data],$DD1242,18),0)</f>
        <v/>
      </c>
      <c r="U1242">
        <f>IFERROR(INDEX(PP_Grid[#Data],$DD1242,19),0)</f>
        <v/>
      </c>
      <c r="V1242">
        <f>IFERROR(INDEX(PP_Grid[#Data],$DD1242,20),0)</f>
        <v/>
      </c>
      <c r="W1242">
        <f>IFERROR(INDEX(PP_Grid[#Data],$DD1242,21),0)</f>
        <v/>
      </c>
      <c r="X1242">
        <f>IFERROR(INDEX(PP_Grid[#Data],$DD1242,22),0)</f>
        <v/>
      </c>
      <c r="Y1242">
        <f>IFERROR(INDEX(PP_Grid[#Data],$DD1242,23),0)</f>
        <v/>
      </c>
      <c r="Z1242">
        <f>IFERROR(INDEX(PP_Grid[#Data],$DD1242,24),0)</f>
        <v/>
      </c>
      <c r="AA1242">
        <f>IFERROR(INDEX(PP_Grid[#Data],$DD1242,25),0)</f>
        <v/>
      </c>
      <c r="AB1242">
        <f>IFERROR(INDEX(PP_Grid[#Data],$DD1242,26),0)</f>
        <v/>
      </c>
      <c r="AC1242">
        <f>IFERROR(INDEX(PP_Grid[#Data],$DD1242,27),0)</f>
        <v/>
      </c>
      <c r="AD1242">
        <f>IFERROR(INDEX(PP_Grid[#Data],$DD1242,28),0)</f>
        <v/>
      </c>
      <c r="AE1242">
        <f>IFERROR(INDEX(PP_Grid[#Data],$DD1242,29),0)</f>
        <v/>
      </c>
      <c r="AF1242">
        <f>IFERROR(INDEX(PP_Grid[#Data],$DD1242,30),0)</f>
        <v/>
      </c>
      <c r="AG1242">
        <f>IFERROR(INDEX(PP_Grid[#Data],$DD1242,31),0)</f>
        <v/>
      </c>
      <c r="AH1242">
        <f>IFERROR(INDEX(PP_Grid[#Data],$DD1242,32),0)</f>
        <v/>
      </c>
      <c r="AI1242">
        <f>IFERROR(INDEX(PP_Grid[#Data],$DD1242,33),0)</f>
        <v/>
      </c>
      <c r="AJ1242">
        <f>IFERROR(INDEX(PP_Grid[#Data],$DD1242,34),0)</f>
        <v/>
      </c>
      <c r="AK1242">
        <f>IFERROR(INDEX(PP_Grid[#Data],$DD1242,35),0)</f>
        <v/>
      </c>
      <c r="AL1242">
        <f>IFERROR(INDEX(PP_Grid[#Data],$DD1242,36),0)</f>
        <v/>
      </c>
      <c r="AM1242">
        <f>IFERROR(INDEX(PP_Grid[#Data],$DD1242,37),0)</f>
        <v/>
      </c>
      <c r="AN1242">
        <f>IFERROR(INDEX(PP_Grid[#Data],$DD1242,38),0)</f>
        <v/>
      </c>
      <c r="AO1242">
        <f>IFERROR(INDEX(PP_Grid[#Data],$DD1242,39),0)</f>
        <v/>
      </c>
      <c r="AP1242">
        <f>IFERROR(INDEX(PP_Grid[#Data],$DD1242,40),0)</f>
        <v/>
      </c>
      <c r="AQ1242">
        <f>IFERROR(INDEX(PP_Grid[#Data],$DD1242,41),0)</f>
        <v/>
      </c>
      <c r="AR1242">
        <f>IFERROR(INDEX(PP_Grid[#Data],$DD1242,42),0)</f>
        <v/>
      </c>
      <c r="AS1242">
        <f>IFERROR(INDEX(PP_Grid[#Data],$DD1242,43),0)</f>
        <v/>
      </c>
      <c r="AT1242">
        <f>IFERROR(INDEX(PP_Grid[#Data],$DD1242,44),0)</f>
        <v/>
      </c>
      <c r="AU1242">
        <f>IFERROR(INDEX(PP_Grid[#Data],$DD1242,45),0)</f>
        <v/>
      </c>
      <c r="AV1242">
        <f>IFERROR(INDEX(PP_Grid[#Data],$DD1242,46),0)</f>
        <v/>
      </c>
      <c r="AW1242">
        <f>IFERROR(INDEX(PP_Grid[#Data],$DD1242,47),0)</f>
        <v/>
      </c>
      <c r="AX1242">
        <f>IFERROR(INDEX(PP_Grid[#Data],$DD1242,48),0)</f>
        <v/>
      </c>
      <c r="AY1242">
        <f>IFERROR(INDEX(PP_Grid[#Data],$DD1242,49),0)</f>
        <v/>
      </c>
      <c r="AZ1242">
        <f>IFERROR(INDEX(PP_Grid[#Data],$DD1242,50),0)</f>
        <v/>
      </c>
      <c r="BA1242">
        <f>IFERROR(INDEX(PP_Grid[#Data],$DD1242,51),0)</f>
        <v/>
      </c>
      <c r="BB1242">
        <f>IFERROR(INDEX(PP_Grid[#Data],$DD1242,52),0)</f>
        <v/>
      </c>
      <c r="BC1242">
        <f>IFERROR(INDEX(PP_Grid[#Data],$DD1242,53),0)</f>
        <v/>
      </c>
      <c r="BD1242">
        <f>IFERROR(INDEX(PP_Grid[#Data],$DD1242,54),0)</f>
        <v/>
      </c>
      <c r="BE1242">
        <f>IFERROR(INDEX(PP_Grid[#Data],$DD1242,55),0)</f>
        <v/>
      </c>
      <c r="BF1242">
        <f>IFERROR(INDEX(PP_Grid[#Data],$DD1242,56),0)</f>
        <v/>
      </c>
      <c r="BG1242">
        <f>IFERROR(INDEX(PP_Grid[#Data],$DD1242,57),0)</f>
        <v/>
      </c>
      <c r="BH1242">
        <f>IFERROR(INDEX(PP_Grid[#Data],$DD1242,58),0)</f>
        <v/>
      </c>
      <c r="BI1242">
        <f>IFERROR(INDEX(PP_Grid[#Data],$DD1242,59),0)</f>
        <v/>
      </c>
      <c r="BJ1242">
        <f>IFERROR(INDEX(PP_Grid[#Data],$DD1242,60),0)</f>
        <v/>
      </c>
      <c r="BK1242">
        <f>IFERROR(INDEX(PP_Grid[#Data],$DD1242,61),0)</f>
        <v/>
      </c>
      <c r="BL1242">
        <f>IFERROR(INDEX(PP_Grid[#Data],$DD1242,62),0)</f>
        <v/>
      </c>
      <c r="BM1242">
        <f>IFERROR(INDEX(PP_Grid[#Data],$DD1242,63),0)</f>
        <v/>
      </c>
      <c r="BN1242">
        <f>IFERROR(INDEX(PP_Grid[#Data],$DD1242,64),0)</f>
        <v/>
      </c>
      <c r="BO1242">
        <f>IFERROR(INDEX(PP_Grid[#Data],$DD1242,65),0)</f>
        <v/>
      </c>
      <c r="BP1242">
        <f>IFERROR(INDEX(PP_Grid[#Data],$DD1242,66),0)</f>
        <v/>
      </c>
      <c r="BQ1242">
        <f>IFERROR(INDEX(PP_Grid[#Data],$DD1242,67),0)</f>
        <v/>
      </c>
      <c r="BR1242">
        <f>IFERROR(INDEX(PP_Grid[#Data],$DD1242,68),0)</f>
        <v/>
      </c>
      <c r="BS1242">
        <f>IFERROR(INDEX(PP_Grid[#Data],$DD1242,69),0)</f>
        <v/>
      </c>
      <c r="BT1242">
        <f>IFERROR(INDEX(PP_Grid[#Data],$DD1242,70),0)</f>
        <v/>
      </c>
      <c r="BU1242">
        <f>IFERROR(INDEX(PP_Grid[#Data],$DD1242,71),0)</f>
        <v/>
      </c>
      <c r="BV1242">
        <f>IFERROR(INDEX(PP_Grid[#Data],$DD1242,72),0)</f>
        <v/>
      </c>
      <c r="BW1242">
        <f>IFERROR(INDEX(PP_Grid[#Data],$DD1242,73),0)</f>
        <v/>
      </c>
      <c r="BX1242">
        <f>IFERROR(INDEX(PP_Grid[#Data],$DD1242,74),0)</f>
        <v/>
      </c>
      <c r="BY1242">
        <f>IFERROR(INDEX(PP_Grid[#Data],$DD1242,75),0)</f>
        <v/>
      </c>
      <c r="BZ1242">
        <f>IFERROR(INDEX(PP_Grid[#Data],$DD1242,76),0)</f>
        <v/>
      </c>
      <c r="CA1242">
        <f>IFERROR(INDEX(PP_Grid[#Data],$DD1242,77),0)</f>
        <v/>
      </c>
      <c r="CB1242">
        <f>IFERROR(INDEX(PP_Grid[#Data],$DD1242,78),0)</f>
        <v/>
      </c>
      <c r="CC1242">
        <f>IFERROR(INDEX(PP_Grid[#Data],$DD1242,79),0)</f>
        <v/>
      </c>
      <c r="CD1242">
        <f>IFERROR(INDEX(PP_Grid[#Data],$DD1242,80),0)</f>
        <v/>
      </c>
      <c r="CE1242">
        <f>IFERROR(INDEX(PP_Grid[#Data],$DD1242,81),0)</f>
        <v/>
      </c>
      <c r="CF1242">
        <f>IFERROR(INDEX(PP_Grid[#Data],$DD1242,82),0)</f>
        <v/>
      </c>
      <c r="CG1242">
        <f>IFERROR(INDEX(PP_Grid[#Data],$DD1242,83),0)</f>
        <v/>
      </c>
      <c r="CH1242">
        <f>IFERROR(INDEX(PP_Grid[#Data],$DD1242,84),0)</f>
        <v/>
      </c>
      <c r="CI1242">
        <f>IFERROR(INDEX(PP_Grid[#Data],$DD1242,85),0)</f>
        <v/>
      </c>
      <c r="CJ1242">
        <f>IFERROR(INDEX(PP_Grid[#Data],$DD1242,86),0)</f>
        <v/>
      </c>
      <c r="CK1242">
        <f>IFERROR(INDEX(PP_Grid[#Data],$DD1242,87),0)</f>
        <v/>
      </c>
      <c r="CL1242">
        <f>IFERROR(INDEX(PP_Grid[#Data],$DD1242,88),0)</f>
        <v/>
      </c>
      <c r="CM1242">
        <f>IFERROR(INDEX(PP_Grid[#Data],$DD1242,89),0)</f>
        <v/>
      </c>
      <c r="CN1242">
        <f>IFERROR(INDEX(PP_Grid[#Data],$DD1242,90),0)</f>
        <v/>
      </c>
      <c r="CO1242">
        <f>IFERROR(INDEX(PP_Grid[#Data],$DD1242,91),0)</f>
        <v/>
      </c>
      <c r="CP1242">
        <f>IFERROR(INDEX(PP_Grid[#Data],$DD1242,92),0)</f>
        <v/>
      </c>
      <c r="CQ1242">
        <f>IFERROR(INDEX(PP_Grid[#Data],$DD1242,93),0)</f>
        <v/>
      </c>
      <c r="CR1242">
        <f>IFERROR(INDEX(PP_Grid[#Data],$DD1242,94),0)</f>
        <v/>
      </c>
      <c r="CS1242">
        <f>IFERROR(INDEX(PP_Grid[#Data],$DD1242,95),0)</f>
        <v/>
      </c>
      <c r="CT1242">
        <f>IFERROR(INDEX(PP_Grid[#Data],$DD1242,96),0)</f>
        <v/>
      </c>
      <c r="CU1242">
        <f>IFERROR(INDEX(PP_Grid[#Data],$DD1242,97),0)</f>
        <v/>
      </c>
      <c r="CV1242">
        <f>IFERROR(INDEX(PP_Grid[#Data],$DD1242,98),0)</f>
        <v/>
      </c>
      <c r="CW1242">
        <f>IFERROR(INDEX(PP_Grid[#Data],$DD1242,99),0)</f>
        <v/>
      </c>
      <c r="CX1242">
        <f>IFERROR(INDEX(PP_Grid[#Data],$DD1242,100),0)</f>
        <v/>
      </c>
      <c r="CY1242">
        <f>IFERROR(INDEX(PP_Grid[#Data],$DD1242,101),0)</f>
        <v/>
      </c>
      <c r="CZ1242">
        <f>IFERROR(INDEX(PP_Grid[#Data],$DD1242,102),0)</f>
        <v/>
      </c>
      <c r="DA1242">
        <f>IFERROR(INDEX(PP_Grid[#Data],$DD1242,103),0)</f>
        <v/>
      </c>
      <c r="DB1242">
        <f>IFERROR(INDEX(PP_Grid[#Data],$DD1242,104),0)</f>
        <v/>
      </c>
      <c r="DC1242">
        <f>IFERROR(INDEX(PP_Grid[#Data],$DD1242,105),0)</f>
        <v/>
      </c>
      <c r="DD1242" s="12">
        <f>IFERROR(MATCH($B1242,PP_Grid[Intermediate],0),99999)</f>
        <v/>
      </c>
    </row>
    <row r="1243">
      <c r="B1243" t="inlineStr">
        <is>
          <t>使用量(kg)</t>
        </is>
      </c>
      <c r="C1243">
        <f>SUMIFS(M_BOM[RM_Qty_Per_Batch],M_BOM[Intermediate],$B1242,M_BOM[Part Name],$A1213)</f>
        <v/>
      </c>
      <c r="D1243">
        <f>$C1243*D1242</f>
        <v/>
      </c>
      <c r="E1243">
        <f>$C1243*E1242</f>
        <v/>
      </c>
      <c r="F1243">
        <f>$C1243*F1242</f>
        <v/>
      </c>
      <c r="G1243">
        <f>$C1243*G1242</f>
        <v/>
      </c>
      <c r="H1243">
        <f>$C1243*H1242</f>
        <v/>
      </c>
      <c r="I1243">
        <f>$C1243*I1242</f>
        <v/>
      </c>
      <c r="J1243">
        <f>$C1243*J1242</f>
        <v/>
      </c>
      <c r="K1243">
        <f>$C1243*K1242</f>
        <v/>
      </c>
      <c r="L1243">
        <f>$C1243*L1242</f>
        <v/>
      </c>
      <c r="M1243">
        <f>$C1243*M1242</f>
        <v/>
      </c>
      <c r="N1243">
        <f>$C1243*N1242</f>
        <v/>
      </c>
      <c r="O1243">
        <f>$C1243*O1242</f>
        <v/>
      </c>
      <c r="P1243">
        <f>$C1243*P1242</f>
        <v/>
      </c>
      <c r="Q1243">
        <f>$C1243*Q1242</f>
        <v/>
      </c>
      <c r="R1243">
        <f>$C1243*R1242</f>
        <v/>
      </c>
      <c r="S1243">
        <f>$C1243*S1242</f>
        <v/>
      </c>
      <c r="T1243">
        <f>$C1243*T1242</f>
        <v/>
      </c>
      <c r="U1243">
        <f>$C1243*U1242</f>
        <v/>
      </c>
      <c r="V1243">
        <f>$C1243*V1242</f>
        <v/>
      </c>
      <c r="W1243">
        <f>$C1243*W1242</f>
        <v/>
      </c>
      <c r="X1243">
        <f>$C1243*X1242</f>
        <v/>
      </c>
      <c r="Y1243">
        <f>$C1243*Y1242</f>
        <v/>
      </c>
      <c r="Z1243">
        <f>$C1243*Z1242</f>
        <v/>
      </c>
      <c r="AA1243">
        <f>$C1243*AA1242</f>
        <v/>
      </c>
      <c r="AB1243">
        <f>$C1243*AB1242</f>
        <v/>
      </c>
      <c r="AC1243">
        <f>$C1243*AC1242</f>
        <v/>
      </c>
      <c r="AD1243">
        <f>$C1243*AD1242</f>
        <v/>
      </c>
      <c r="AE1243">
        <f>$C1243*AE1242</f>
        <v/>
      </c>
      <c r="AF1243">
        <f>$C1243*AF1242</f>
        <v/>
      </c>
      <c r="AG1243">
        <f>$C1243*AG1242</f>
        <v/>
      </c>
      <c r="AH1243">
        <f>$C1243*AH1242</f>
        <v/>
      </c>
      <c r="AI1243">
        <f>$C1243*AI1242</f>
        <v/>
      </c>
      <c r="AJ1243">
        <f>$C1243*AJ1242</f>
        <v/>
      </c>
      <c r="AK1243">
        <f>$C1243*AK1242</f>
        <v/>
      </c>
      <c r="AL1243">
        <f>$C1243*AL1242</f>
        <v/>
      </c>
      <c r="AM1243">
        <f>$C1243*AM1242</f>
        <v/>
      </c>
      <c r="AN1243">
        <f>$C1243*AN1242</f>
        <v/>
      </c>
      <c r="AO1243">
        <f>$C1243*AO1242</f>
        <v/>
      </c>
      <c r="AP1243">
        <f>$C1243*AP1242</f>
        <v/>
      </c>
      <c r="AQ1243">
        <f>$C1243*AQ1242</f>
        <v/>
      </c>
      <c r="AR1243">
        <f>$C1243*AR1242</f>
        <v/>
      </c>
      <c r="AS1243">
        <f>$C1243*AS1242</f>
        <v/>
      </c>
      <c r="AT1243">
        <f>$C1243*AT1242</f>
        <v/>
      </c>
      <c r="AU1243">
        <f>$C1243*AU1242</f>
        <v/>
      </c>
      <c r="AV1243">
        <f>$C1243*AV1242</f>
        <v/>
      </c>
      <c r="AW1243">
        <f>$C1243*AW1242</f>
        <v/>
      </c>
      <c r="AX1243">
        <f>$C1243*AX1242</f>
        <v/>
      </c>
      <c r="AY1243">
        <f>$C1243*AY1242</f>
        <v/>
      </c>
      <c r="AZ1243">
        <f>$C1243*AZ1242</f>
        <v/>
      </c>
      <c r="BA1243">
        <f>$C1243*BA1242</f>
        <v/>
      </c>
      <c r="BB1243">
        <f>$C1243*BB1242</f>
        <v/>
      </c>
      <c r="BC1243">
        <f>$C1243*BC1242</f>
        <v/>
      </c>
      <c r="BD1243">
        <f>$C1243*BD1242</f>
        <v/>
      </c>
      <c r="BE1243">
        <f>$C1243*BE1242</f>
        <v/>
      </c>
      <c r="BF1243">
        <f>$C1243*BF1242</f>
        <v/>
      </c>
      <c r="BG1243">
        <f>$C1243*BG1242</f>
        <v/>
      </c>
      <c r="BH1243">
        <f>$C1243*BH1242</f>
        <v/>
      </c>
      <c r="BI1243">
        <f>$C1243*BI1242</f>
        <v/>
      </c>
      <c r="BJ1243">
        <f>$C1243*BJ1242</f>
        <v/>
      </c>
      <c r="BK1243">
        <f>$C1243*BK1242</f>
        <v/>
      </c>
      <c r="BL1243">
        <f>$C1243*BL1242</f>
        <v/>
      </c>
      <c r="BM1243">
        <f>$C1243*BM1242</f>
        <v/>
      </c>
      <c r="BN1243">
        <f>$C1243*BN1242</f>
        <v/>
      </c>
      <c r="BO1243">
        <f>$C1243*BO1242</f>
        <v/>
      </c>
      <c r="BP1243">
        <f>$C1243*BP1242</f>
        <v/>
      </c>
      <c r="BQ1243">
        <f>$C1243*BQ1242</f>
        <v/>
      </c>
      <c r="BR1243">
        <f>$C1243*BR1242</f>
        <v/>
      </c>
      <c r="BS1243">
        <f>$C1243*BS1242</f>
        <v/>
      </c>
      <c r="BT1243">
        <f>$C1243*BT1242</f>
        <v/>
      </c>
      <c r="BU1243">
        <f>$C1243*BU1242</f>
        <v/>
      </c>
      <c r="BV1243">
        <f>$C1243*BV1242</f>
        <v/>
      </c>
      <c r="BW1243">
        <f>$C1243*BW1242</f>
        <v/>
      </c>
      <c r="BX1243">
        <f>$C1243*BX1242</f>
        <v/>
      </c>
      <c r="BY1243">
        <f>$C1243*BY1242</f>
        <v/>
      </c>
      <c r="BZ1243">
        <f>$C1243*BZ1242</f>
        <v/>
      </c>
      <c r="CA1243">
        <f>$C1243*CA1242</f>
        <v/>
      </c>
      <c r="CB1243">
        <f>$C1243*CB1242</f>
        <v/>
      </c>
      <c r="CC1243">
        <f>$C1243*CC1242</f>
        <v/>
      </c>
      <c r="CD1243">
        <f>$C1243*CD1242</f>
        <v/>
      </c>
      <c r="CE1243">
        <f>$C1243*CE1242</f>
        <v/>
      </c>
      <c r="CF1243">
        <f>$C1243*CF1242</f>
        <v/>
      </c>
      <c r="CG1243">
        <f>$C1243*CG1242</f>
        <v/>
      </c>
      <c r="CH1243">
        <f>$C1243*CH1242</f>
        <v/>
      </c>
      <c r="CI1243">
        <f>$C1243*CI1242</f>
        <v/>
      </c>
      <c r="CJ1243">
        <f>$C1243*CJ1242</f>
        <v/>
      </c>
      <c r="CK1243">
        <f>$C1243*CK1242</f>
        <v/>
      </c>
      <c r="CL1243">
        <f>$C1243*CL1242</f>
        <v/>
      </c>
      <c r="CM1243">
        <f>$C1243*CM1242</f>
        <v/>
      </c>
      <c r="CN1243">
        <f>$C1243*CN1242</f>
        <v/>
      </c>
      <c r="CO1243">
        <f>$C1243*CO1242</f>
        <v/>
      </c>
      <c r="CP1243">
        <f>$C1243*CP1242</f>
        <v/>
      </c>
      <c r="CQ1243">
        <f>$C1243*CQ1242</f>
        <v/>
      </c>
      <c r="CR1243">
        <f>$C1243*CR1242</f>
        <v/>
      </c>
      <c r="CS1243">
        <f>$C1243*CS1242</f>
        <v/>
      </c>
      <c r="CT1243">
        <f>$C1243*CT1242</f>
        <v/>
      </c>
      <c r="CU1243">
        <f>$C1243*CU1242</f>
        <v/>
      </c>
      <c r="CV1243">
        <f>$C1243*CV1242</f>
        <v/>
      </c>
      <c r="CW1243">
        <f>$C1243*CW1242</f>
        <v/>
      </c>
      <c r="CX1243">
        <f>$C1243*CX1242</f>
        <v/>
      </c>
      <c r="CY1243">
        <f>$C1243*CY1242</f>
        <v/>
      </c>
      <c r="CZ1243">
        <f>$C1243*CZ1242</f>
        <v/>
      </c>
      <c r="DA1243">
        <f>$C1243*DA1242</f>
        <v/>
      </c>
      <c r="DB1243">
        <f>$C1243*DB1242</f>
        <v/>
      </c>
      <c r="DC1243">
        <f>$C1243*DC1242</f>
        <v/>
      </c>
    </row>
    <row r="1244">
      <c r="B1244" s="5" t="inlineStr">
        <is>
          <t>合計使用量(kg)/週</t>
        </is>
      </c>
      <c r="D1244">
        <f>'Grid_Requirement'!B57</f>
        <v/>
      </c>
      <c r="E1244">
        <f>'Grid_Requirement'!C57</f>
        <v/>
      </c>
      <c r="F1244">
        <f>'Grid_Requirement'!D57</f>
        <v/>
      </c>
      <c r="G1244">
        <f>'Grid_Requirement'!E57</f>
        <v/>
      </c>
      <c r="H1244">
        <f>'Grid_Requirement'!F57</f>
        <v/>
      </c>
      <c r="I1244">
        <f>'Grid_Requirement'!G57</f>
        <v/>
      </c>
      <c r="J1244">
        <f>'Grid_Requirement'!H57</f>
        <v/>
      </c>
      <c r="K1244">
        <f>'Grid_Requirement'!I57</f>
        <v/>
      </c>
      <c r="L1244">
        <f>'Grid_Requirement'!J57</f>
        <v/>
      </c>
      <c r="M1244">
        <f>'Grid_Requirement'!K57</f>
        <v/>
      </c>
      <c r="N1244">
        <f>'Grid_Requirement'!L57</f>
        <v/>
      </c>
      <c r="O1244">
        <f>'Grid_Requirement'!M57</f>
        <v/>
      </c>
      <c r="P1244">
        <f>'Grid_Requirement'!N57</f>
        <v/>
      </c>
      <c r="Q1244">
        <f>'Grid_Requirement'!O57</f>
        <v/>
      </c>
      <c r="R1244">
        <f>'Grid_Requirement'!P57</f>
        <v/>
      </c>
      <c r="S1244">
        <f>'Grid_Requirement'!Q57</f>
        <v/>
      </c>
      <c r="T1244">
        <f>'Grid_Requirement'!R57</f>
        <v/>
      </c>
      <c r="U1244">
        <f>'Grid_Requirement'!S57</f>
        <v/>
      </c>
      <c r="V1244">
        <f>'Grid_Requirement'!T57</f>
        <v/>
      </c>
      <c r="W1244">
        <f>'Grid_Requirement'!U57</f>
        <v/>
      </c>
      <c r="X1244">
        <f>'Grid_Requirement'!V57</f>
        <v/>
      </c>
      <c r="Y1244">
        <f>'Grid_Requirement'!W57</f>
        <v/>
      </c>
      <c r="Z1244">
        <f>'Grid_Requirement'!X57</f>
        <v/>
      </c>
      <c r="AA1244">
        <f>'Grid_Requirement'!Y57</f>
        <v/>
      </c>
      <c r="AB1244">
        <f>'Grid_Requirement'!Z57</f>
        <v/>
      </c>
      <c r="AC1244">
        <f>'Grid_Requirement'!AA57</f>
        <v/>
      </c>
      <c r="AD1244">
        <f>'Grid_Requirement'!AB57</f>
        <v/>
      </c>
      <c r="AE1244">
        <f>'Grid_Requirement'!AC57</f>
        <v/>
      </c>
      <c r="AF1244">
        <f>'Grid_Requirement'!AD57</f>
        <v/>
      </c>
      <c r="AG1244">
        <f>'Grid_Requirement'!AE57</f>
        <v/>
      </c>
      <c r="AH1244">
        <f>'Grid_Requirement'!AF57</f>
        <v/>
      </c>
      <c r="AI1244">
        <f>'Grid_Requirement'!AG57</f>
        <v/>
      </c>
      <c r="AJ1244">
        <f>'Grid_Requirement'!AH57</f>
        <v/>
      </c>
      <c r="AK1244">
        <f>'Grid_Requirement'!AI57</f>
        <v/>
      </c>
      <c r="AL1244">
        <f>'Grid_Requirement'!AJ57</f>
        <v/>
      </c>
      <c r="AM1244">
        <f>'Grid_Requirement'!AK57</f>
        <v/>
      </c>
      <c r="AN1244">
        <f>'Grid_Requirement'!AL57</f>
        <v/>
      </c>
      <c r="AO1244">
        <f>'Grid_Requirement'!AM57</f>
        <v/>
      </c>
      <c r="AP1244">
        <f>'Grid_Requirement'!AN57</f>
        <v/>
      </c>
      <c r="AQ1244">
        <f>'Grid_Requirement'!AO57</f>
        <v/>
      </c>
      <c r="AR1244">
        <f>'Grid_Requirement'!AP57</f>
        <v/>
      </c>
      <c r="AS1244">
        <f>'Grid_Requirement'!AQ57</f>
        <v/>
      </c>
      <c r="AT1244">
        <f>'Grid_Requirement'!AR57</f>
        <v/>
      </c>
      <c r="AU1244">
        <f>'Grid_Requirement'!AS57</f>
        <v/>
      </c>
      <c r="AV1244">
        <f>'Grid_Requirement'!AT57</f>
        <v/>
      </c>
      <c r="AW1244">
        <f>'Grid_Requirement'!AU57</f>
        <v/>
      </c>
      <c r="AX1244">
        <f>'Grid_Requirement'!AV57</f>
        <v/>
      </c>
      <c r="AY1244">
        <f>'Grid_Requirement'!AW57</f>
        <v/>
      </c>
      <c r="AZ1244">
        <f>'Grid_Requirement'!AX57</f>
        <v/>
      </c>
      <c r="BA1244">
        <f>'Grid_Requirement'!AY57</f>
        <v/>
      </c>
      <c r="BB1244">
        <f>'Grid_Requirement'!AZ57</f>
        <v/>
      </c>
      <c r="BC1244">
        <f>'Grid_Requirement'!BA57</f>
        <v/>
      </c>
      <c r="BD1244">
        <f>'Grid_Requirement'!BB57</f>
        <v/>
      </c>
      <c r="BE1244">
        <f>'Grid_Requirement'!BC57</f>
        <v/>
      </c>
      <c r="BF1244">
        <f>'Grid_Requirement'!BD57</f>
        <v/>
      </c>
      <c r="BG1244">
        <f>'Grid_Requirement'!BE57</f>
        <v/>
      </c>
      <c r="BH1244">
        <f>'Grid_Requirement'!BF57</f>
        <v/>
      </c>
      <c r="BI1244">
        <f>'Grid_Requirement'!BG57</f>
        <v/>
      </c>
      <c r="BJ1244">
        <f>'Grid_Requirement'!BH57</f>
        <v/>
      </c>
      <c r="BK1244">
        <f>'Grid_Requirement'!BI57</f>
        <v/>
      </c>
      <c r="BL1244">
        <f>'Grid_Requirement'!BJ57</f>
        <v/>
      </c>
      <c r="BM1244">
        <f>'Grid_Requirement'!BK57</f>
        <v/>
      </c>
      <c r="BN1244">
        <f>'Grid_Requirement'!BL57</f>
        <v/>
      </c>
      <c r="BO1244">
        <f>'Grid_Requirement'!BM57</f>
        <v/>
      </c>
      <c r="BP1244">
        <f>'Grid_Requirement'!BN57</f>
        <v/>
      </c>
      <c r="BQ1244">
        <f>'Grid_Requirement'!BO57</f>
        <v/>
      </c>
      <c r="BR1244">
        <f>'Grid_Requirement'!BP57</f>
        <v/>
      </c>
      <c r="BS1244">
        <f>'Grid_Requirement'!BQ57</f>
        <v/>
      </c>
      <c r="BT1244">
        <f>'Grid_Requirement'!BR57</f>
        <v/>
      </c>
      <c r="BU1244">
        <f>'Grid_Requirement'!BS57</f>
        <v/>
      </c>
      <c r="BV1244">
        <f>'Grid_Requirement'!BT57</f>
        <v/>
      </c>
      <c r="BW1244">
        <f>'Grid_Requirement'!BU57</f>
        <v/>
      </c>
      <c r="BX1244">
        <f>'Grid_Requirement'!BV57</f>
        <v/>
      </c>
      <c r="BY1244">
        <f>'Grid_Requirement'!BW57</f>
        <v/>
      </c>
      <c r="BZ1244">
        <f>'Grid_Requirement'!BX57</f>
        <v/>
      </c>
      <c r="CA1244">
        <f>'Grid_Requirement'!BY57</f>
        <v/>
      </c>
      <c r="CB1244">
        <f>'Grid_Requirement'!BZ57</f>
        <v/>
      </c>
      <c r="CC1244">
        <f>'Grid_Requirement'!CA57</f>
        <v/>
      </c>
      <c r="CD1244">
        <f>'Grid_Requirement'!CB57</f>
        <v/>
      </c>
      <c r="CE1244">
        <f>'Grid_Requirement'!CC57</f>
        <v/>
      </c>
      <c r="CF1244">
        <f>'Grid_Requirement'!CD57</f>
        <v/>
      </c>
      <c r="CG1244">
        <f>'Grid_Requirement'!CE57</f>
        <v/>
      </c>
      <c r="CH1244">
        <f>'Grid_Requirement'!CF57</f>
        <v/>
      </c>
      <c r="CI1244">
        <f>'Grid_Requirement'!CG57</f>
        <v/>
      </c>
      <c r="CJ1244">
        <f>'Grid_Requirement'!CH57</f>
        <v/>
      </c>
      <c r="CK1244">
        <f>'Grid_Requirement'!CI57</f>
        <v/>
      </c>
      <c r="CL1244">
        <f>'Grid_Requirement'!CJ57</f>
        <v/>
      </c>
      <c r="CM1244">
        <f>'Grid_Requirement'!CK57</f>
        <v/>
      </c>
      <c r="CN1244">
        <f>'Grid_Requirement'!CL57</f>
        <v/>
      </c>
      <c r="CO1244">
        <f>'Grid_Requirement'!CM57</f>
        <v/>
      </c>
      <c r="CP1244">
        <f>'Grid_Requirement'!CN57</f>
        <v/>
      </c>
      <c r="CQ1244">
        <f>'Grid_Requirement'!CO57</f>
        <v/>
      </c>
      <c r="CR1244">
        <f>'Grid_Requirement'!CP57</f>
        <v/>
      </c>
      <c r="CS1244">
        <f>'Grid_Requirement'!CQ57</f>
        <v/>
      </c>
      <c r="CT1244">
        <f>'Grid_Requirement'!CR57</f>
        <v/>
      </c>
      <c r="CU1244">
        <f>'Grid_Requirement'!CS57</f>
        <v/>
      </c>
      <c r="CV1244">
        <f>'Grid_Requirement'!CT57</f>
        <v/>
      </c>
      <c r="CW1244">
        <f>'Grid_Requirement'!CU57</f>
        <v/>
      </c>
      <c r="CX1244">
        <f>'Grid_Requirement'!CV57</f>
        <v/>
      </c>
      <c r="CY1244">
        <f>'Grid_Requirement'!CW57</f>
        <v/>
      </c>
      <c r="CZ1244">
        <f>'Grid_Requirement'!CX57</f>
        <v/>
      </c>
      <c r="DA1244">
        <f>'Grid_Requirement'!CY57</f>
        <v/>
      </c>
      <c r="DB1244">
        <f>'Grid_Requirement'!CZ57</f>
        <v/>
      </c>
      <c r="DC1244">
        <f>'Grid_Requirement'!DA57</f>
        <v/>
      </c>
    </row>
    <row r="1245">
      <c r="B1245" t="inlineStr">
        <is>
          <t>TTAF在庫(実績,kg)</t>
        </is>
      </c>
      <c r="D1245">
        <f>'T_TTAFStock'!B61</f>
        <v/>
      </c>
      <c r="E1245">
        <f>'T_TTAFStock'!C61</f>
        <v/>
      </c>
      <c r="F1245">
        <f>'T_TTAFStock'!D61</f>
        <v/>
      </c>
      <c r="G1245">
        <f>'T_TTAFStock'!E61</f>
        <v/>
      </c>
      <c r="H1245">
        <f>'T_TTAFStock'!F61</f>
        <v/>
      </c>
      <c r="I1245">
        <f>'T_TTAFStock'!G61</f>
        <v/>
      </c>
      <c r="J1245">
        <f>'T_TTAFStock'!H61</f>
        <v/>
      </c>
      <c r="K1245">
        <f>'T_TTAFStock'!I61</f>
        <v/>
      </c>
      <c r="L1245">
        <f>'T_TTAFStock'!J61</f>
        <v/>
      </c>
      <c r="M1245">
        <f>'T_TTAFStock'!K61</f>
        <v/>
      </c>
      <c r="N1245">
        <f>'T_TTAFStock'!L61</f>
        <v/>
      </c>
      <c r="O1245">
        <f>'T_TTAFStock'!M61</f>
        <v/>
      </c>
      <c r="P1245">
        <f>'T_TTAFStock'!N61</f>
        <v/>
      </c>
      <c r="Q1245">
        <f>'T_TTAFStock'!O61</f>
        <v/>
      </c>
      <c r="R1245">
        <f>'T_TTAFStock'!P61</f>
        <v/>
      </c>
      <c r="S1245">
        <f>'T_TTAFStock'!Q61</f>
        <v/>
      </c>
      <c r="T1245">
        <f>'T_TTAFStock'!R61</f>
        <v/>
      </c>
      <c r="U1245">
        <f>'T_TTAFStock'!S61</f>
        <v/>
      </c>
      <c r="V1245">
        <f>'T_TTAFStock'!T61</f>
        <v/>
      </c>
      <c r="W1245">
        <f>'T_TTAFStock'!U61</f>
        <v/>
      </c>
      <c r="X1245">
        <f>'T_TTAFStock'!V61</f>
        <v/>
      </c>
      <c r="Y1245">
        <f>'T_TTAFStock'!W61</f>
        <v/>
      </c>
      <c r="Z1245">
        <f>'T_TTAFStock'!X61</f>
        <v/>
      </c>
      <c r="AA1245">
        <f>'T_TTAFStock'!Y61</f>
        <v/>
      </c>
      <c r="AB1245">
        <f>'T_TTAFStock'!Z61</f>
        <v/>
      </c>
      <c r="AC1245">
        <f>'T_TTAFStock'!AA61</f>
        <v/>
      </c>
      <c r="AD1245">
        <f>'T_TTAFStock'!AB61</f>
        <v/>
      </c>
      <c r="AE1245">
        <f>'T_TTAFStock'!AC61</f>
        <v/>
      </c>
      <c r="AF1245">
        <f>'T_TTAFStock'!AD61</f>
        <v/>
      </c>
      <c r="AG1245">
        <f>'T_TTAFStock'!AE61</f>
        <v/>
      </c>
      <c r="AH1245">
        <f>'T_TTAFStock'!AF61</f>
        <v/>
      </c>
      <c r="AI1245">
        <f>'T_TTAFStock'!AG61</f>
        <v/>
      </c>
      <c r="AJ1245">
        <f>'T_TTAFStock'!AH61</f>
        <v/>
      </c>
      <c r="AK1245">
        <f>'T_TTAFStock'!AI61</f>
        <v/>
      </c>
      <c r="AL1245">
        <f>'T_TTAFStock'!AJ61</f>
        <v/>
      </c>
      <c r="AM1245">
        <f>'T_TTAFStock'!AK61</f>
        <v/>
      </c>
      <c r="AN1245">
        <f>'T_TTAFStock'!AL61</f>
        <v/>
      </c>
      <c r="AO1245">
        <f>'T_TTAFStock'!AM61</f>
        <v/>
      </c>
      <c r="AP1245">
        <f>'T_TTAFStock'!AN61</f>
        <v/>
      </c>
      <c r="AQ1245">
        <f>'T_TTAFStock'!AO61</f>
        <v/>
      </c>
      <c r="AR1245">
        <f>'T_TTAFStock'!AP61</f>
        <v/>
      </c>
      <c r="AS1245">
        <f>'T_TTAFStock'!AQ61</f>
        <v/>
      </c>
      <c r="AT1245">
        <f>'T_TTAFStock'!AR61</f>
        <v/>
      </c>
      <c r="AU1245">
        <f>'T_TTAFStock'!AS61</f>
        <v/>
      </c>
      <c r="AV1245">
        <f>'T_TTAFStock'!AT61</f>
        <v/>
      </c>
      <c r="AW1245">
        <f>'T_TTAFStock'!AU61</f>
        <v/>
      </c>
      <c r="AX1245">
        <f>'T_TTAFStock'!AV61</f>
        <v/>
      </c>
      <c r="AY1245">
        <f>'T_TTAFStock'!AW61</f>
        <v/>
      </c>
      <c r="AZ1245">
        <f>'T_TTAFStock'!AX61</f>
        <v/>
      </c>
      <c r="BA1245">
        <f>'T_TTAFStock'!AY61</f>
        <v/>
      </c>
      <c r="BB1245">
        <f>'T_TTAFStock'!AZ61</f>
        <v/>
      </c>
      <c r="BC1245">
        <f>'T_TTAFStock'!BA61</f>
        <v/>
      </c>
      <c r="BD1245">
        <f>'T_TTAFStock'!BB61</f>
        <v/>
      </c>
      <c r="BE1245">
        <f>'T_TTAFStock'!BC61</f>
        <v/>
      </c>
      <c r="BF1245">
        <f>'T_TTAFStock'!BD61</f>
        <v/>
      </c>
      <c r="BG1245">
        <f>'T_TTAFStock'!BE61</f>
        <v/>
      </c>
      <c r="BH1245">
        <f>'T_TTAFStock'!BF61</f>
        <v/>
      </c>
      <c r="BI1245">
        <f>'T_TTAFStock'!BG61</f>
        <v/>
      </c>
      <c r="BJ1245">
        <f>'T_TTAFStock'!BH61</f>
        <v/>
      </c>
      <c r="BK1245">
        <f>'T_TTAFStock'!BI61</f>
        <v/>
      </c>
      <c r="BL1245">
        <f>'T_TTAFStock'!BJ61</f>
        <v/>
      </c>
      <c r="BM1245">
        <f>'T_TTAFStock'!BK61</f>
        <v/>
      </c>
      <c r="BN1245">
        <f>'T_TTAFStock'!BL61</f>
        <v/>
      </c>
      <c r="BO1245">
        <f>'T_TTAFStock'!BM61</f>
        <v/>
      </c>
      <c r="BP1245">
        <f>'T_TTAFStock'!BN61</f>
        <v/>
      </c>
      <c r="BQ1245">
        <f>'T_TTAFStock'!BO61</f>
        <v/>
      </c>
      <c r="BR1245">
        <f>'T_TTAFStock'!BP61</f>
        <v/>
      </c>
      <c r="BS1245">
        <f>'T_TTAFStock'!BQ61</f>
        <v/>
      </c>
      <c r="BT1245">
        <f>'T_TTAFStock'!BR61</f>
        <v/>
      </c>
      <c r="BU1245">
        <f>'T_TTAFStock'!BS61</f>
        <v/>
      </c>
      <c r="BV1245">
        <f>'T_TTAFStock'!BT61</f>
        <v/>
      </c>
      <c r="BW1245">
        <f>'T_TTAFStock'!BU61</f>
        <v/>
      </c>
      <c r="BX1245">
        <f>'T_TTAFStock'!BV61</f>
        <v/>
      </c>
      <c r="BY1245">
        <f>'T_TTAFStock'!BW61</f>
        <v/>
      </c>
      <c r="BZ1245">
        <f>'T_TTAFStock'!BX61</f>
        <v/>
      </c>
      <c r="CA1245">
        <f>'T_TTAFStock'!BY61</f>
        <v/>
      </c>
      <c r="CB1245">
        <f>'T_TTAFStock'!BZ61</f>
        <v/>
      </c>
      <c r="CC1245">
        <f>'T_TTAFStock'!CA61</f>
        <v/>
      </c>
      <c r="CD1245">
        <f>'T_TTAFStock'!CB61</f>
        <v/>
      </c>
      <c r="CE1245">
        <f>'T_TTAFStock'!CC61</f>
        <v/>
      </c>
      <c r="CF1245">
        <f>'T_TTAFStock'!CD61</f>
        <v/>
      </c>
      <c r="CG1245">
        <f>'T_TTAFStock'!CE61</f>
        <v/>
      </c>
      <c r="CH1245">
        <f>'T_TTAFStock'!CF61</f>
        <v/>
      </c>
      <c r="CI1245">
        <f>'T_TTAFStock'!CG61</f>
        <v/>
      </c>
      <c r="CJ1245">
        <f>'T_TTAFStock'!CH61</f>
        <v/>
      </c>
      <c r="CK1245">
        <f>'T_TTAFStock'!CI61</f>
        <v/>
      </c>
      <c r="CL1245">
        <f>'T_TTAFStock'!CJ61</f>
        <v/>
      </c>
      <c r="CM1245">
        <f>'T_TTAFStock'!CK61</f>
        <v/>
      </c>
      <c r="CN1245">
        <f>'T_TTAFStock'!CL61</f>
        <v/>
      </c>
      <c r="CO1245">
        <f>'T_TTAFStock'!CM61</f>
        <v/>
      </c>
      <c r="CP1245">
        <f>'T_TTAFStock'!CN61</f>
        <v/>
      </c>
      <c r="CQ1245">
        <f>'T_TTAFStock'!CO61</f>
        <v/>
      </c>
      <c r="CR1245">
        <f>'T_TTAFStock'!CP61</f>
        <v/>
      </c>
      <c r="CS1245">
        <f>'T_TTAFStock'!CQ61</f>
        <v/>
      </c>
      <c r="CT1245">
        <f>'T_TTAFStock'!CR61</f>
        <v/>
      </c>
      <c r="CU1245">
        <f>'T_TTAFStock'!CS61</f>
        <v/>
      </c>
      <c r="CV1245">
        <f>'T_TTAFStock'!CT61</f>
        <v/>
      </c>
      <c r="CW1245">
        <f>'T_TTAFStock'!CU61</f>
        <v/>
      </c>
      <c r="CX1245">
        <f>'T_TTAFStock'!CV61</f>
        <v/>
      </c>
      <c r="CY1245">
        <f>'T_TTAFStock'!CW61</f>
        <v/>
      </c>
      <c r="CZ1245">
        <f>'T_TTAFStock'!CX61</f>
        <v/>
      </c>
      <c r="DA1245">
        <f>'T_TTAFStock'!CY61</f>
        <v/>
      </c>
      <c r="DB1245">
        <f>'T_TTAFStock'!CZ61</f>
        <v/>
      </c>
      <c r="DC1245">
        <f>'T_TTAFStock'!DA61</f>
        <v/>
      </c>
    </row>
    <row r="1246">
      <c r="B1246" t="inlineStr">
        <is>
          <t>自社在庫(実績,kg)</t>
        </is>
      </c>
      <c r="D1246">
        <f>'T_SelfStock'!B61</f>
        <v/>
      </c>
      <c r="E1246">
        <f>'T_SelfStock'!C61</f>
        <v/>
      </c>
      <c r="F1246">
        <f>'T_SelfStock'!D61</f>
        <v/>
      </c>
      <c r="G1246">
        <f>'T_SelfStock'!E61</f>
        <v/>
      </c>
      <c r="H1246">
        <f>'T_SelfStock'!F61</f>
        <v/>
      </c>
      <c r="I1246">
        <f>'T_SelfStock'!G61</f>
        <v/>
      </c>
      <c r="J1246">
        <f>'T_SelfStock'!H61</f>
        <v/>
      </c>
      <c r="K1246">
        <f>'T_SelfStock'!I61</f>
        <v/>
      </c>
      <c r="L1246">
        <f>'T_SelfStock'!J61</f>
        <v/>
      </c>
      <c r="M1246">
        <f>'T_SelfStock'!K61</f>
        <v/>
      </c>
      <c r="N1246">
        <f>'T_SelfStock'!L61</f>
        <v/>
      </c>
      <c r="O1246">
        <f>'T_SelfStock'!M61</f>
        <v/>
      </c>
      <c r="P1246">
        <f>'T_SelfStock'!N61</f>
        <v/>
      </c>
      <c r="Q1246">
        <f>'T_SelfStock'!O61</f>
        <v/>
      </c>
      <c r="R1246">
        <f>'T_SelfStock'!P61</f>
        <v/>
      </c>
      <c r="S1246">
        <f>'T_SelfStock'!Q61</f>
        <v/>
      </c>
      <c r="T1246">
        <f>'T_SelfStock'!R61</f>
        <v/>
      </c>
      <c r="U1246">
        <f>'T_SelfStock'!S61</f>
        <v/>
      </c>
      <c r="V1246">
        <f>'T_SelfStock'!T61</f>
        <v/>
      </c>
      <c r="W1246">
        <f>'T_SelfStock'!U61</f>
        <v/>
      </c>
      <c r="X1246">
        <f>'T_SelfStock'!V61</f>
        <v/>
      </c>
      <c r="Y1246">
        <f>'T_SelfStock'!W61</f>
        <v/>
      </c>
      <c r="Z1246">
        <f>'T_SelfStock'!X61</f>
        <v/>
      </c>
      <c r="AA1246">
        <f>'T_SelfStock'!Y61</f>
        <v/>
      </c>
      <c r="AB1246">
        <f>'T_SelfStock'!Z61</f>
        <v/>
      </c>
      <c r="AC1246">
        <f>'T_SelfStock'!AA61</f>
        <v/>
      </c>
      <c r="AD1246">
        <f>'T_SelfStock'!AB61</f>
        <v/>
      </c>
      <c r="AE1246">
        <f>'T_SelfStock'!AC61</f>
        <v/>
      </c>
      <c r="AF1246">
        <f>'T_SelfStock'!AD61</f>
        <v/>
      </c>
      <c r="AG1246">
        <f>'T_SelfStock'!AE61</f>
        <v/>
      </c>
      <c r="AH1246">
        <f>'T_SelfStock'!AF61</f>
        <v/>
      </c>
      <c r="AI1246">
        <f>'T_SelfStock'!AG61</f>
        <v/>
      </c>
      <c r="AJ1246">
        <f>'T_SelfStock'!AH61</f>
        <v/>
      </c>
      <c r="AK1246">
        <f>'T_SelfStock'!AI61</f>
        <v/>
      </c>
      <c r="AL1246">
        <f>'T_SelfStock'!AJ61</f>
        <v/>
      </c>
      <c r="AM1246">
        <f>'T_SelfStock'!AK61</f>
        <v/>
      </c>
      <c r="AN1246">
        <f>'T_SelfStock'!AL61</f>
        <v/>
      </c>
      <c r="AO1246">
        <f>'T_SelfStock'!AM61</f>
        <v/>
      </c>
      <c r="AP1246">
        <f>'T_SelfStock'!AN61</f>
        <v/>
      </c>
      <c r="AQ1246">
        <f>'T_SelfStock'!AO61</f>
        <v/>
      </c>
      <c r="AR1246">
        <f>'T_SelfStock'!AP61</f>
        <v/>
      </c>
      <c r="AS1246">
        <f>'T_SelfStock'!AQ61</f>
        <v/>
      </c>
      <c r="AT1246">
        <f>'T_SelfStock'!AR61</f>
        <v/>
      </c>
      <c r="AU1246">
        <f>'T_SelfStock'!AS61</f>
        <v/>
      </c>
      <c r="AV1246">
        <f>'T_SelfStock'!AT61</f>
        <v/>
      </c>
      <c r="AW1246">
        <f>'T_SelfStock'!AU61</f>
        <v/>
      </c>
      <c r="AX1246">
        <f>'T_SelfStock'!AV61</f>
        <v/>
      </c>
      <c r="AY1246">
        <f>'T_SelfStock'!AW61</f>
        <v/>
      </c>
      <c r="AZ1246">
        <f>'T_SelfStock'!AX61</f>
        <v/>
      </c>
      <c r="BA1246">
        <f>'T_SelfStock'!AY61</f>
        <v/>
      </c>
      <c r="BB1246">
        <f>'T_SelfStock'!AZ61</f>
        <v/>
      </c>
      <c r="BC1246">
        <f>'T_SelfStock'!BA61</f>
        <v/>
      </c>
      <c r="BD1246">
        <f>'T_SelfStock'!BB61</f>
        <v/>
      </c>
      <c r="BE1246">
        <f>'T_SelfStock'!BC61</f>
        <v/>
      </c>
      <c r="BF1246">
        <f>'T_SelfStock'!BD61</f>
        <v/>
      </c>
      <c r="BG1246">
        <f>'T_SelfStock'!BE61</f>
        <v/>
      </c>
      <c r="BH1246">
        <f>'T_SelfStock'!BF61</f>
        <v/>
      </c>
      <c r="BI1246">
        <f>'T_SelfStock'!BG61</f>
        <v/>
      </c>
      <c r="BJ1246">
        <f>'T_SelfStock'!BH61</f>
        <v/>
      </c>
      <c r="BK1246">
        <f>'T_SelfStock'!BI61</f>
        <v/>
      </c>
      <c r="BL1246">
        <f>'T_SelfStock'!BJ61</f>
        <v/>
      </c>
      <c r="BM1246">
        <f>'T_SelfStock'!BK61</f>
        <v/>
      </c>
      <c r="BN1246">
        <f>'T_SelfStock'!BL61</f>
        <v/>
      </c>
      <c r="BO1246">
        <f>'T_SelfStock'!BM61</f>
        <v/>
      </c>
      <c r="BP1246">
        <f>'T_SelfStock'!BN61</f>
        <v/>
      </c>
      <c r="BQ1246">
        <f>'T_SelfStock'!BO61</f>
        <v/>
      </c>
      <c r="BR1246">
        <f>'T_SelfStock'!BP61</f>
        <v/>
      </c>
      <c r="BS1246">
        <f>'T_SelfStock'!BQ61</f>
        <v/>
      </c>
      <c r="BT1246">
        <f>'T_SelfStock'!BR61</f>
        <v/>
      </c>
      <c r="BU1246">
        <f>'T_SelfStock'!BS61</f>
        <v/>
      </c>
      <c r="BV1246">
        <f>'T_SelfStock'!BT61</f>
        <v/>
      </c>
      <c r="BW1246">
        <f>'T_SelfStock'!BU61</f>
        <v/>
      </c>
      <c r="BX1246">
        <f>'T_SelfStock'!BV61</f>
        <v/>
      </c>
      <c r="BY1246">
        <f>'T_SelfStock'!BW61</f>
        <v/>
      </c>
      <c r="BZ1246">
        <f>'T_SelfStock'!BX61</f>
        <v/>
      </c>
      <c r="CA1246">
        <f>'T_SelfStock'!BY61</f>
        <v/>
      </c>
      <c r="CB1246">
        <f>'T_SelfStock'!BZ61</f>
        <v/>
      </c>
      <c r="CC1246">
        <f>'T_SelfStock'!CA61</f>
        <v/>
      </c>
      <c r="CD1246">
        <f>'T_SelfStock'!CB61</f>
        <v/>
      </c>
      <c r="CE1246">
        <f>'T_SelfStock'!CC61</f>
        <v/>
      </c>
      <c r="CF1246">
        <f>'T_SelfStock'!CD61</f>
        <v/>
      </c>
      <c r="CG1246">
        <f>'T_SelfStock'!CE61</f>
        <v/>
      </c>
      <c r="CH1246">
        <f>'T_SelfStock'!CF61</f>
        <v/>
      </c>
      <c r="CI1246">
        <f>'T_SelfStock'!CG61</f>
        <v/>
      </c>
      <c r="CJ1246">
        <f>'T_SelfStock'!CH61</f>
        <v/>
      </c>
      <c r="CK1246">
        <f>'T_SelfStock'!CI61</f>
        <v/>
      </c>
      <c r="CL1246">
        <f>'T_SelfStock'!CJ61</f>
        <v/>
      </c>
      <c r="CM1246">
        <f>'T_SelfStock'!CK61</f>
        <v/>
      </c>
      <c r="CN1246">
        <f>'T_SelfStock'!CL61</f>
        <v/>
      </c>
      <c r="CO1246">
        <f>'T_SelfStock'!CM61</f>
        <v/>
      </c>
      <c r="CP1246">
        <f>'T_SelfStock'!CN61</f>
        <v/>
      </c>
      <c r="CQ1246">
        <f>'T_SelfStock'!CO61</f>
        <v/>
      </c>
      <c r="CR1246">
        <f>'T_SelfStock'!CP61</f>
        <v/>
      </c>
      <c r="CS1246">
        <f>'T_SelfStock'!CQ61</f>
        <v/>
      </c>
      <c r="CT1246">
        <f>'T_SelfStock'!CR61</f>
        <v/>
      </c>
      <c r="CU1246">
        <f>'T_SelfStock'!CS61</f>
        <v/>
      </c>
      <c r="CV1246">
        <f>'T_SelfStock'!CT61</f>
        <v/>
      </c>
      <c r="CW1246">
        <f>'T_SelfStock'!CU61</f>
        <v/>
      </c>
      <c r="CX1246">
        <f>'T_SelfStock'!CV61</f>
        <v/>
      </c>
      <c r="CY1246">
        <f>'T_SelfStock'!CW61</f>
        <v/>
      </c>
      <c r="CZ1246">
        <f>'T_SelfStock'!CX61</f>
        <v/>
      </c>
      <c r="DA1246">
        <f>'T_SelfStock'!CY61</f>
        <v/>
      </c>
      <c r="DB1246">
        <f>'T_SelfStock'!CZ61</f>
        <v/>
      </c>
      <c r="DC1246">
        <f>'T_SelfStock'!DA61</f>
        <v/>
      </c>
    </row>
    <row r="1247">
      <c r="B1247" t="inlineStr">
        <is>
          <t>Order(発注予定,kg)</t>
        </is>
      </c>
      <c r="D1247">
        <f>IF(SUMIFS(T_PlannedOrders[EffectiveQty],T_PlannedOrders[Part Name],$A1213,T_PlannedOrders[WeekIndex],1)=0,"",SUMIFS(T_PlannedOrders[EffectiveQty],T_PlannedOrders[Part Name],$A1213,T_PlannedOrders[WeekIndex],1)&amp;" ("&amp;TEXT(SUMPRODUCT(MAX((T_PlannedOrders[Part Name]=$A1213)*(T_PlannedOrders[WeekIndex]=1)*(T_PlannedOrders[EffectiveQty]&gt;0)*T_PlannedOrders[Order_Month])),"m月")&amp;"発注)")</f>
        <v/>
      </c>
      <c r="E1247">
        <f>IF(SUMIFS(T_PlannedOrders[EffectiveQty],T_PlannedOrders[Part Name],$A1213,T_PlannedOrders[WeekIndex],2)=0,"",SUMIFS(T_PlannedOrders[EffectiveQty],T_PlannedOrders[Part Name],$A1213,T_PlannedOrders[WeekIndex],2)&amp;" ("&amp;TEXT(SUMPRODUCT(MAX((T_PlannedOrders[Part Name]=$A1213)*(T_PlannedOrders[WeekIndex]=2)*(T_PlannedOrders[EffectiveQty]&gt;0)*T_PlannedOrders[Order_Month])),"m月")&amp;"発注)")</f>
        <v/>
      </c>
      <c r="F1247">
        <f>IF(SUMIFS(T_PlannedOrders[EffectiveQty],T_PlannedOrders[Part Name],$A1213,T_PlannedOrders[WeekIndex],3)=0,"",SUMIFS(T_PlannedOrders[EffectiveQty],T_PlannedOrders[Part Name],$A1213,T_PlannedOrders[WeekIndex],3)&amp;" ("&amp;TEXT(SUMPRODUCT(MAX((T_PlannedOrders[Part Name]=$A1213)*(T_PlannedOrders[WeekIndex]=3)*(T_PlannedOrders[EffectiveQty]&gt;0)*T_PlannedOrders[Order_Month])),"m月")&amp;"発注)")</f>
        <v/>
      </c>
      <c r="G1247">
        <f>IF(SUMIFS(T_PlannedOrders[EffectiveQty],T_PlannedOrders[Part Name],$A1213,T_PlannedOrders[WeekIndex],4)=0,"",SUMIFS(T_PlannedOrders[EffectiveQty],T_PlannedOrders[Part Name],$A1213,T_PlannedOrders[WeekIndex],4)&amp;" ("&amp;TEXT(SUMPRODUCT(MAX((T_PlannedOrders[Part Name]=$A1213)*(T_PlannedOrders[WeekIndex]=4)*(T_PlannedOrders[EffectiveQty]&gt;0)*T_PlannedOrders[Order_Month])),"m月")&amp;"発注)")</f>
        <v/>
      </c>
      <c r="H1247">
        <f>IF(SUMIFS(T_PlannedOrders[EffectiveQty],T_PlannedOrders[Part Name],$A1213,T_PlannedOrders[WeekIndex],5)=0,"",SUMIFS(T_PlannedOrders[EffectiveQty],T_PlannedOrders[Part Name],$A1213,T_PlannedOrders[WeekIndex],5)&amp;" ("&amp;TEXT(SUMPRODUCT(MAX((T_PlannedOrders[Part Name]=$A1213)*(T_PlannedOrders[WeekIndex]=5)*(T_PlannedOrders[EffectiveQty]&gt;0)*T_PlannedOrders[Order_Month])),"m月")&amp;"発注)")</f>
        <v/>
      </c>
      <c r="I1247">
        <f>IF(SUMIFS(T_PlannedOrders[EffectiveQty],T_PlannedOrders[Part Name],$A1213,T_PlannedOrders[WeekIndex],6)=0,"",SUMIFS(T_PlannedOrders[EffectiveQty],T_PlannedOrders[Part Name],$A1213,T_PlannedOrders[WeekIndex],6)&amp;" ("&amp;TEXT(SUMPRODUCT(MAX((T_PlannedOrders[Part Name]=$A1213)*(T_PlannedOrders[WeekIndex]=6)*(T_PlannedOrders[EffectiveQty]&gt;0)*T_PlannedOrders[Order_Month])),"m月")&amp;"発注)")</f>
        <v/>
      </c>
      <c r="J1247">
        <f>IF(SUMIFS(T_PlannedOrders[EffectiveQty],T_PlannedOrders[Part Name],$A1213,T_PlannedOrders[WeekIndex],7)=0,"",SUMIFS(T_PlannedOrders[EffectiveQty],T_PlannedOrders[Part Name],$A1213,T_PlannedOrders[WeekIndex],7)&amp;" ("&amp;TEXT(SUMPRODUCT(MAX((T_PlannedOrders[Part Name]=$A1213)*(T_PlannedOrders[WeekIndex]=7)*(T_PlannedOrders[EffectiveQty]&gt;0)*T_PlannedOrders[Order_Month])),"m月")&amp;"発注)")</f>
        <v/>
      </c>
      <c r="K1247">
        <f>IF(SUMIFS(T_PlannedOrders[EffectiveQty],T_PlannedOrders[Part Name],$A1213,T_PlannedOrders[WeekIndex],8)=0,"",SUMIFS(T_PlannedOrders[EffectiveQty],T_PlannedOrders[Part Name],$A1213,T_PlannedOrders[WeekIndex],8)&amp;" ("&amp;TEXT(SUMPRODUCT(MAX((T_PlannedOrders[Part Name]=$A1213)*(T_PlannedOrders[WeekIndex]=8)*(T_PlannedOrders[EffectiveQty]&gt;0)*T_PlannedOrders[Order_Month])),"m月")&amp;"発注)")</f>
        <v/>
      </c>
      <c r="L1247">
        <f>IF(SUMIFS(T_PlannedOrders[EffectiveQty],T_PlannedOrders[Part Name],$A1213,T_PlannedOrders[WeekIndex],9)=0,"",SUMIFS(T_PlannedOrders[EffectiveQty],T_PlannedOrders[Part Name],$A1213,T_PlannedOrders[WeekIndex],9)&amp;" ("&amp;TEXT(SUMPRODUCT(MAX((T_PlannedOrders[Part Name]=$A1213)*(T_PlannedOrders[WeekIndex]=9)*(T_PlannedOrders[EffectiveQty]&gt;0)*T_PlannedOrders[Order_Month])),"m月")&amp;"発注)")</f>
        <v/>
      </c>
      <c r="M1247">
        <f>IF(SUMIFS(T_PlannedOrders[EffectiveQty],T_PlannedOrders[Part Name],$A1213,T_PlannedOrders[WeekIndex],10)=0,"",SUMIFS(T_PlannedOrders[EffectiveQty],T_PlannedOrders[Part Name],$A1213,T_PlannedOrders[WeekIndex],10)&amp;" ("&amp;TEXT(SUMPRODUCT(MAX((T_PlannedOrders[Part Name]=$A1213)*(T_PlannedOrders[WeekIndex]=10)*(T_PlannedOrders[EffectiveQty]&gt;0)*T_PlannedOrders[Order_Month])),"m月")&amp;"発注)")</f>
        <v/>
      </c>
      <c r="N1247">
        <f>IF(SUMIFS(T_PlannedOrders[EffectiveQty],T_PlannedOrders[Part Name],$A1213,T_PlannedOrders[WeekIndex],11)=0,"",SUMIFS(T_PlannedOrders[EffectiveQty],T_PlannedOrders[Part Name],$A1213,T_PlannedOrders[WeekIndex],11)&amp;" ("&amp;TEXT(SUMPRODUCT(MAX((T_PlannedOrders[Part Name]=$A1213)*(T_PlannedOrders[WeekIndex]=11)*(T_PlannedOrders[EffectiveQty]&gt;0)*T_PlannedOrders[Order_Month])),"m月")&amp;"発注)")</f>
        <v/>
      </c>
      <c r="O1247">
        <f>IF(SUMIFS(T_PlannedOrders[EffectiveQty],T_PlannedOrders[Part Name],$A1213,T_PlannedOrders[WeekIndex],12)=0,"",SUMIFS(T_PlannedOrders[EffectiveQty],T_PlannedOrders[Part Name],$A1213,T_PlannedOrders[WeekIndex],12)&amp;" ("&amp;TEXT(SUMPRODUCT(MAX((T_PlannedOrders[Part Name]=$A1213)*(T_PlannedOrders[WeekIndex]=12)*(T_PlannedOrders[EffectiveQty]&gt;0)*T_PlannedOrders[Order_Month])),"m月")&amp;"発注)")</f>
        <v/>
      </c>
      <c r="P1247">
        <f>IF(SUMIFS(T_PlannedOrders[EffectiveQty],T_PlannedOrders[Part Name],$A1213,T_PlannedOrders[WeekIndex],13)=0,"",SUMIFS(T_PlannedOrders[EffectiveQty],T_PlannedOrders[Part Name],$A1213,T_PlannedOrders[WeekIndex],13)&amp;" ("&amp;TEXT(SUMPRODUCT(MAX((T_PlannedOrders[Part Name]=$A1213)*(T_PlannedOrders[WeekIndex]=13)*(T_PlannedOrders[EffectiveQty]&gt;0)*T_PlannedOrders[Order_Month])),"m月")&amp;"発注)")</f>
        <v/>
      </c>
      <c r="Q1247">
        <f>IF(SUMIFS(T_PlannedOrders[EffectiveQty],T_PlannedOrders[Part Name],$A1213,T_PlannedOrders[WeekIndex],14)=0,"",SUMIFS(T_PlannedOrders[EffectiveQty],T_PlannedOrders[Part Name],$A1213,T_PlannedOrders[WeekIndex],14)&amp;" ("&amp;TEXT(SUMPRODUCT(MAX((T_PlannedOrders[Part Name]=$A1213)*(T_PlannedOrders[WeekIndex]=14)*(T_PlannedOrders[EffectiveQty]&gt;0)*T_PlannedOrders[Order_Month])),"m月")&amp;"発注)")</f>
        <v/>
      </c>
      <c r="R1247">
        <f>IF(SUMIFS(T_PlannedOrders[EffectiveQty],T_PlannedOrders[Part Name],$A1213,T_PlannedOrders[WeekIndex],15)=0,"",SUMIFS(T_PlannedOrders[EffectiveQty],T_PlannedOrders[Part Name],$A1213,T_PlannedOrders[WeekIndex],15)&amp;" ("&amp;TEXT(SUMPRODUCT(MAX((T_PlannedOrders[Part Name]=$A1213)*(T_PlannedOrders[WeekIndex]=15)*(T_PlannedOrders[EffectiveQty]&gt;0)*T_PlannedOrders[Order_Month])),"m月")&amp;"発注)")</f>
        <v/>
      </c>
      <c r="S1247">
        <f>IF(SUMIFS(T_PlannedOrders[EffectiveQty],T_PlannedOrders[Part Name],$A1213,T_PlannedOrders[WeekIndex],16)=0,"",SUMIFS(T_PlannedOrders[EffectiveQty],T_PlannedOrders[Part Name],$A1213,T_PlannedOrders[WeekIndex],16)&amp;" ("&amp;TEXT(SUMPRODUCT(MAX((T_PlannedOrders[Part Name]=$A1213)*(T_PlannedOrders[WeekIndex]=16)*(T_PlannedOrders[EffectiveQty]&gt;0)*T_PlannedOrders[Order_Month])),"m月")&amp;"発注)")</f>
        <v/>
      </c>
      <c r="T1247">
        <f>IF(SUMIFS(T_PlannedOrders[EffectiveQty],T_PlannedOrders[Part Name],$A1213,T_PlannedOrders[WeekIndex],17)=0,"",SUMIFS(T_PlannedOrders[EffectiveQty],T_PlannedOrders[Part Name],$A1213,T_PlannedOrders[WeekIndex],17)&amp;" ("&amp;TEXT(SUMPRODUCT(MAX((T_PlannedOrders[Part Name]=$A1213)*(T_PlannedOrders[WeekIndex]=17)*(T_PlannedOrders[EffectiveQty]&gt;0)*T_PlannedOrders[Order_Month])),"m月")&amp;"発注)")</f>
        <v/>
      </c>
      <c r="U1247">
        <f>IF(SUMIFS(T_PlannedOrders[EffectiveQty],T_PlannedOrders[Part Name],$A1213,T_PlannedOrders[WeekIndex],18)=0,"",SUMIFS(T_PlannedOrders[EffectiveQty],T_PlannedOrders[Part Name],$A1213,T_PlannedOrders[WeekIndex],18)&amp;" ("&amp;TEXT(SUMPRODUCT(MAX((T_PlannedOrders[Part Name]=$A1213)*(T_PlannedOrders[WeekIndex]=18)*(T_PlannedOrders[EffectiveQty]&gt;0)*T_PlannedOrders[Order_Month])),"m月")&amp;"発注)")</f>
        <v/>
      </c>
      <c r="V1247">
        <f>IF(SUMIFS(T_PlannedOrders[EffectiveQty],T_PlannedOrders[Part Name],$A1213,T_PlannedOrders[WeekIndex],19)=0,"",SUMIFS(T_PlannedOrders[EffectiveQty],T_PlannedOrders[Part Name],$A1213,T_PlannedOrders[WeekIndex],19)&amp;" ("&amp;TEXT(SUMPRODUCT(MAX((T_PlannedOrders[Part Name]=$A1213)*(T_PlannedOrders[WeekIndex]=19)*(T_PlannedOrders[EffectiveQty]&gt;0)*T_PlannedOrders[Order_Month])),"m月")&amp;"発注)")</f>
        <v/>
      </c>
      <c r="W1247">
        <f>IF(SUMIFS(T_PlannedOrders[EffectiveQty],T_PlannedOrders[Part Name],$A1213,T_PlannedOrders[WeekIndex],20)=0,"",SUMIFS(T_PlannedOrders[EffectiveQty],T_PlannedOrders[Part Name],$A1213,T_PlannedOrders[WeekIndex],20)&amp;" ("&amp;TEXT(SUMPRODUCT(MAX((T_PlannedOrders[Part Name]=$A1213)*(T_PlannedOrders[WeekIndex]=20)*(T_PlannedOrders[EffectiveQty]&gt;0)*T_PlannedOrders[Order_Month])),"m月")&amp;"発注)")</f>
        <v/>
      </c>
      <c r="X1247">
        <f>IF(SUMIFS(T_PlannedOrders[EffectiveQty],T_PlannedOrders[Part Name],$A1213,T_PlannedOrders[WeekIndex],21)=0,"",SUMIFS(T_PlannedOrders[EffectiveQty],T_PlannedOrders[Part Name],$A1213,T_PlannedOrders[WeekIndex],21)&amp;" ("&amp;TEXT(SUMPRODUCT(MAX((T_PlannedOrders[Part Name]=$A1213)*(T_PlannedOrders[WeekIndex]=21)*(T_PlannedOrders[EffectiveQty]&gt;0)*T_PlannedOrders[Order_Month])),"m月")&amp;"発注)")</f>
        <v/>
      </c>
      <c r="Y1247">
        <f>IF(SUMIFS(T_PlannedOrders[EffectiveQty],T_PlannedOrders[Part Name],$A1213,T_PlannedOrders[WeekIndex],22)=0,"",SUMIFS(T_PlannedOrders[EffectiveQty],T_PlannedOrders[Part Name],$A1213,T_PlannedOrders[WeekIndex],22)&amp;" ("&amp;TEXT(SUMPRODUCT(MAX((T_PlannedOrders[Part Name]=$A1213)*(T_PlannedOrders[WeekIndex]=22)*(T_PlannedOrders[EffectiveQty]&gt;0)*T_PlannedOrders[Order_Month])),"m月")&amp;"発注)")</f>
        <v/>
      </c>
      <c r="Z1247">
        <f>IF(SUMIFS(T_PlannedOrders[EffectiveQty],T_PlannedOrders[Part Name],$A1213,T_PlannedOrders[WeekIndex],23)=0,"",SUMIFS(T_PlannedOrders[EffectiveQty],T_PlannedOrders[Part Name],$A1213,T_PlannedOrders[WeekIndex],23)&amp;" ("&amp;TEXT(SUMPRODUCT(MAX((T_PlannedOrders[Part Name]=$A1213)*(T_PlannedOrders[WeekIndex]=23)*(T_PlannedOrders[EffectiveQty]&gt;0)*T_PlannedOrders[Order_Month])),"m月")&amp;"発注)")</f>
        <v/>
      </c>
      <c r="AA1247">
        <f>IF(SUMIFS(T_PlannedOrders[EffectiveQty],T_PlannedOrders[Part Name],$A1213,T_PlannedOrders[WeekIndex],24)=0,"",SUMIFS(T_PlannedOrders[EffectiveQty],T_PlannedOrders[Part Name],$A1213,T_PlannedOrders[WeekIndex],24)&amp;" ("&amp;TEXT(SUMPRODUCT(MAX((T_PlannedOrders[Part Name]=$A1213)*(T_PlannedOrders[WeekIndex]=24)*(T_PlannedOrders[EffectiveQty]&gt;0)*T_PlannedOrders[Order_Month])),"m月")&amp;"発注)")</f>
        <v/>
      </c>
      <c r="AB1247">
        <f>IF(SUMIFS(T_PlannedOrders[EffectiveQty],T_PlannedOrders[Part Name],$A1213,T_PlannedOrders[WeekIndex],25)=0,"",SUMIFS(T_PlannedOrders[EffectiveQty],T_PlannedOrders[Part Name],$A1213,T_PlannedOrders[WeekIndex],25)&amp;" ("&amp;TEXT(SUMPRODUCT(MAX((T_PlannedOrders[Part Name]=$A1213)*(T_PlannedOrders[WeekIndex]=25)*(T_PlannedOrders[EffectiveQty]&gt;0)*T_PlannedOrders[Order_Month])),"m月")&amp;"発注)")</f>
        <v/>
      </c>
      <c r="AC1247">
        <f>IF(SUMIFS(T_PlannedOrders[EffectiveQty],T_PlannedOrders[Part Name],$A1213,T_PlannedOrders[WeekIndex],26)=0,"",SUMIFS(T_PlannedOrders[EffectiveQty],T_PlannedOrders[Part Name],$A1213,T_PlannedOrders[WeekIndex],26)&amp;" ("&amp;TEXT(SUMPRODUCT(MAX((T_PlannedOrders[Part Name]=$A1213)*(T_PlannedOrders[WeekIndex]=26)*(T_PlannedOrders[EffectiveQty]&gt;0)*T_PlannedOrders[Order_Month])),"m月")&amp;"発注)")</f>
        <v/>
      </c>
      <c r="AD1247">
        <f>IF(SUMIFS(T_PlannedOrders[EffectiveQty],T_PlannedOrders[Part Name],$A1213,T_PlannedOrders[WeekIndex],27)=0,"",SUMIFS(T_PlannedOrders[EffectiveQty],T_PlannedOrders[Part Name],$A1213,T_PlannedOrders[WeekIndex],27)&amp;" ("&amp;TEXT(SUMPRODUCT(MAX((T_PlannedOrders[Part Name]=$A1213)*(T_PlannedOrders[WeekIndex]=27)*(T_PlannedOrders[EffectiveQty]&gt;0)*T_PlannedOrders[Order_Month])),"m月")&amp;"発注)")</f>
        <v/>
      </c>
      <c r="AE1247">
        <f>IF(SUMIFS(T_PlannedOrders[EffectiveQty],T_PlannedOrders[Part Name],$A1213,T_PlannedOrders[WeekIndex],28)=0,"",SUMIFS(T_PlannedOrders[EffectiveQty],T_PlannedOrders[Part Name],$A1213,T_PlannedOrders[WeekIndex],28)&amp;" ("&amp;TEXT(SUMPRODUCT(MAX((T_PlannedOrders[Part Name]=$A1213)*(T_PlannedOrders[WeekIndex]=28)*(T_PlannedOrders[EffectiveQty]&gt;0)*T_PlannedOrders[Order_Month])),"m月")&amp;"発注)")</f>
        <v/>
      </c>
      <c r="AF1247">
        <f>IF(SUMIFS(T_PlannedOrders[EffectiveQty],T_PlannedOrders[Part Name],$A1213,T_PlannedOrders[WeekIndex],29)=0,"",SUMIFS(T_PlannedOrders[EffectiveQty],T_PlannedOrders[Part Name],$A1213,T_PlannedOrders[WeekIndex],29)&amp;" ("&amp;TEXT(SUMPRODUCT(MAX((T_PlannedOrders[Part Name]=$A1213)*(T_PlannedOrders[WeekIndex]=29)*(T_PlannedOrders[EffectiveQty]&gt;0)*T_PlannedOrders[Order_Month])),"m月")&amp;"発注)")</f>
        <v/>
      </c>
      <c r="AG1247">
        <f>IF(SUMIFS(T_PlannedOrders[EffectiveQty],T_PlannedOrders[Part Name],$A1213,T_PlannedOrders[WeekIndex],30)=0,"",SUMIFS(T_PlannedOrders[EffectiveQty],T_PlannedOrders[Part Name],$A1213,T_PlannedOrders[WeekIndex],30)&amp;" ("&amp;TEXT(SUMPRODUCT(MAX((T_PlannedOrders[Part Name]=$A1213)*(T_PlannedOrders[WeekIndex]=30)*(T_PlannedOrders[EffectiveQty]&gt;0)*T_PlannedOrders[Order_Month])),"m月")&amp;"発注)")</f>
        <v/>
      </c>
      <c r="AH1247">
        <f>IF(SUMIFS(T_PlannedOrders[EffectiveQty],T_PlannedOrders[Part Name],$A1213,T_PlannedOrders[WeekIndex],31)=0,"",SUMIFS(T_PlannedOrders[EffectiveQty],T_PlannedOrders[Part Name],$A1213,T_PlannedOrders[WeekIndex],31)&amp;" ("&amp;TEXT(SUMPRODUCT(MAX((T_PlannedOrders[Part Name]=$A1213)*(T_PlannedOrders[WeekIndex]=31)*(T_PlannedOrders[EffectiveQty]&gt;0)*T_PlannedOrders[Order_Month])),"m月")&amp;"発注)")</f>
        <v/>
      </c>
      <c r="AI1247">
        <f>IF(SUMIFS(T_PlannedOrders[EffectiveQty],T_PlannedOrders[Part Name],$A1213,T_PlannedOrders[WeekIndex],32)=0,"",SUMIFS(T_PlannedOrders[EffectiveQty],T_PlannedOrders[Part Name],$A1213,T_PlannedOrders[WeekIndex],32)&amp;" ("&amp;TEXT(SUMPRODUCT(MAX((T_PlannedOrders[Part Name]=$A1213)*(T_PlannedOrders[WeekIndex]=32)*(T_PlannedOrders[EffectiveQty]&gt;0)*T_PlannedOrders[Order_Month])),"m月")&amp;"発注)")</f>
        <v/>
      </c>
      <c r="AJ1247">
        <f>IF(SUMIFS(T_PlannedOrders[EffectiveQty],T_PlannedOrders[Part Name],$A1213,T_PlannedOrders[WeekIndex],33)=0,"",SUMIFS(T_PlannedOrders[EffectiveQty],T_PlannedOrders[Part Name],$A1213,T_PlannedOrders[WeekIndex],33)&amp;" ("&amp;TEXT(SUMPRODUCT(MAX((T_PlannedOrders[Part Name]=$A1213)*(T_PlannedOrders[WeekIndex]=33)*(T_PlannedOrders[EffectiveQty]&gt;0)*T_PlannedOrders[Order_Month])),"m月")&amp;"発注)")</f>
        <v/>
      </c>
      <c r="AK1247">
        <f>IF(SUMIFS(T_PlannedOrders[EffectiveQty],T_PlannedOrders[Part Name],$A1213,T_PlannedOrders[WeekIndex],34)=0,"",SUMIFS(T_PlannedOrders[EffectiveQty],T_PlannedOrders[Part Name],$A1213,T_PlannedOrders[WeekIndex],34)&amp;" ("&amp;TEXT(SUMPRODUCT(MAX((T_PlannedOrders[Part Name]=$A1213)*(T_PlannedOrders[WeekIndex]=34)*(T_PlannedOrders[EffectiveQty]&gt;0)*T_PlannedOrders[Order_Month])),"m月")&amp;"発注)")</f>
        <v/>
      </c>
      <c r="AL1247">
        <f>IF(SUMIFS(T_PlannedOrders[EffectiveQty],T_PlannedOrders[Part Name],$A1213,T_PlannedOrders[WeekIndex],35)=0,"",SUMIFS(T_PlannedOrders[EffectiveQty],T_PlannedOrders[Part Name],$A1213,T_PlannedOrders[WeekIndex],35)&amp;" ("&amp;TEXT(SUMPRODUCT(MAX((T_PlannedOrders[Part Name]=$A1213)*(T_PlannedOrders[WeekIndex]=35)*(T_PlannedOrders[EffectiveQty]&gt;0)*T_PlannedOrders[Order_Month])),"m月")&amp;"発注)")</f>
        <v/>
      </c>
      <c r="AM1247">
        <f>IF(SUMIFS(T_PlannedOrders[EffectiveQty],T_PlannedOrders[Part Name],$A1213,T_PlannedOrders[WeekIndex],36)=0,"",SUMIFS(T_PlannedOrders[EffectiveQty],T_PlannedOrders[Part Name],$A1213,T_PlannedOrders[WeekIndex],36)&amp;" ("&amp;TEXT(SUMPRODUCT(MAX((T_PlannedOrders[Part Name]=$A1213)*(T_PlannedOrders[WeekIndex]=36)*(T_PlannedOrders[EffectiveQty]&gt;0)*T_PlannedOrders[Order_Month])),"m月")&amp;"発注)")</f>
        <v/>
      </c>
      <c r="AN1247">
        <f>IF(SUMIFS(T_PlannedOrders[EffectiveQty],T_PlannedOrders[Part Name],$A1213,T_PlannedOrders[WeekIndex],37)=0,"",SUMIFS(T_PlannedOrders[EffectiveQty],T_PlannedOrders[Part Name],$A1213,T_PlannedOrders[WeekIndex],37)&amp;" ("&amp;TEXT(SUMPRODUCT(MAX((T_PlannedOrders[Part Name]=$A1213)*(T_PlannedOrders[WeekIndex]=37)*(T_PlannedOrders[EffectiveQty]&gt;0)*T_PlannedOrders[Order_Month])),"m月")&amp;"発注)")</f>
        <v/>
      </c>
      <c r="AO1247">
        <f>IF(SUMIFS(T_PlannedOrders[EffectiveQty],T_PlannedOrders[Part Name],$A1213,T_PlannedOrders[WeekIndex],38)=0,"",SUMIFS(T_PlannedOrders[EffectiveQty],T_PlannedOrders[Part Name],$A1213,T_PlannedOrders[WeekIndex],38)&amp;" ("&amp;TEXT(SUMPRODUCT(MAX((T_PlannedOrders[Part Name]=$A1213)*(T_PlannedOrders[WeekIndex]=38)*(T_PlannedOrders[EffectiveQty]&gt;0)*T_PlannedOrders[Order_Month])),"m月")&amp;"発注)")</f>
        <v/>
      </c>
      <c r="AP1247">
        <f>IF(SUMIFS(T_PlannedOrders[EffectiveQty],T_PlannedOrders[Part Name],$A1213,T_PlannedOrders[WeekIndex],39)=0,"",SUMIFS(T_PlannedOrders[EffectiveQty],T_PlannedOrders[Part Name],$A1213,T_PlannedOrders[WeekIndex],39)&amp;" ("&amp;TEXT(SUMPRODUCT(MAX((T_PlannedOrders[Part Name]=$A1213)*(T_PlannedOrders[WeekIndex]=39)*(T_PlannedOrders[EffectiveQty]&gt;0)*T_PlannedOrders[Order_Month])),"m月")&amp;"発注)")</f>
        <v/>
      </c>
      <c r="AQ1247">
        <f>IF(SUMIFS(T_PlannedOrders[EffectiveQty],T_PlannedOrders[Part Name],$A1213,T_PlannedOrders[WeekIndex],40)=0,"",SUMIFS(T_PlannedOrders[EffectiveQty],T_PlannedOrders[Part Name],$A1213,T_PlannedOrders[WeekIndex],40)&amp;" ("&amp;TEXT(SUMPRODUCT(MAX((T_PlannedOrders[Part Name]=$A1213)*(T_PlannedOrders[WeekIndex]=40)*(T_PlannedOrders[EffectiveQty]&gt;0)*T_PlannedOrders[Order_Month])),"m月")&amp;"発注)")</f>
        <v/>
      </c>
      <c r="AR1247">
        <f>IF(SUMIFS(T_PlannedOrders[EffectiveQty],T_PlannedOrders[Part Name],$A1213,T_PlannedOrders[WeekIndex],41)=0,"",SUMIFS(T_PlannedOrders[EffectiveQty],T_PlannedOrders[Part Name],$A1213,T_PlannedOrders[WeekIndex],41)&amp;" ("&amp;TEXT(SUMPRODUCT(MAX((T_PlannedOrders[Part Name]=$A1213)*(T_PlannedOrders[WeekIndex]=41)*(T_PlannedOrders[EffectiveQty]&gt;0)*T_PlannedOrders[Order_Month])),"m月")&amp;"発注)")</f>
        <v/>
      </c>
      <c r="AS1247">
        <f>IF(SUMIFS(T_PlannedOrders[EffectiveQty],T_PlannedOrders[Part Name],$A1213,T_PlannedOrders[WeekIndex],42)=0,"",SUMIFS(T_PlannedOrders[EffectiveQty],T_PlannedOrders[Part Name],$A1213,T_PlannedOrders[WeekIndex],42)&amp;" ("&amp;TEXT(SUMPRODUCT(MAX((T_PlannedOrders[Part Name]=$A1213)*(T_PlannedOrders[WeekIndex]=42)*(T_PlannedOrders[EffectiveQty]&gt;0)*T_PlannedOrders[Order_Month])),"m月")&amp;"発注)")</f>
        <v/>
      </c>
      <c r="AT1247">
        <f>IF(SUMIFS(T_PlannedOrders[EffectiveQty],T_PlannedOrders[Part Name],$A1213,T_PlannedOrders[WeekIndex],43)=0,"",SUMIFS(T_PlannedOrders[EffectiveQty],T_PlannedOrders[Part Name],$A1213,T_PlannedOrders[WeekIndex],43)&amp;" ("&amp;TEXT(SUMPRODUCT(MAX((T_PlannedOrders[Part Name]=$A1213)*(T_PlannedOrders[WeekIndex]=43)*(T_PlannedOrders[EffectiveQty]&gt;0)*T_PlannedOrders[Order_Month])),"m月")&amp;"発注)")</f>
        <v/>
      </c>
      <c r="AU1247">
        <f>IF(SUMIFS(T_PlannedOrders[EffectiveQty],T_PlannedOrders[Part Name],$A1213,T_PlannedOrders[WeekIndex],44)=0,"",SUMIFS(T_PlannedOrders[EffectiveQty],T_PlannedOrders[Part Name],$A1213,T_PlannedOrders[WeekIndex],44)&amp;" ("&amp;TEXT(SUMPRODUCT(MAX((T_PlannedOrders[Part Name]=$A1213)*(T_PlannedOrders[WeekIndex]=44)*(T_PlannedOrders[EffectiveQty]&gt;0)*T_PlannedOrders[Order_Month])),"m月")&amp;"発注)")</f>
        <v/>
      </c>
      <c r="AV1247">
        <f>IF(SUMIFS(T_PlannedOrders[EffectiveQty],T_PlannedOrders[Part Name],$A1213,T_PlannedOrders[WeekIndex],45)=0,"",SUMIFS(T_PlannedOrders[EffectiveQty],T_PlannedOrders[Part Name],$A1213,T_PlannedOrders[WeekIndex],45)&amp;" ("&amp;TEXT(SUMPRODUCT(MAX((T_PlannedOrders[Part Name]=$A1213)*(T_PlannedOrders[WeekIndex]=45)*(T_PlannedOrders[EffectiveQty]&gt;0)*T_PlannedOrders[Order_Month])),"m月")&amp;"発注)")</f>
        <v/>
      </c>
      <c r="AW1247">
        <f>IF(SUMIFS(T_PlannedOrders[EffectiveQty],T_PlannedOrders[Part Name],$A1213,T_PlannedOrders[WeekIndex],46)=0,"",SUMIFS(T_PlannedOrders[EffectiveQty],T_PlannedOrders[Part Name],$A1213,T_PlannedOrders[WeekIndex],46)&amp;" ("&amp;TEXT(SUMPRODUCT(MAX((T_PlannedOrders[Part Name]=$A1213)*(T_PlannedOrders[WeekIndex]=46)*(T_PlannedOrders[EffectiveQty]&gt;0)*T_PlannedOrders[Order_Month])),"m月")&amp;"発注)")</f>
        <v/>
      </c>
      <c r="AX1247">
        <f>IF(SUMIFS(T_PlannedOrders[EffectiveQty],T_PlannedOrders[Part Name],$A1213,T_PlannedOrders[WeekIndex],47)=0,"",SUMIFS(T_PlannedOrders[EffectiveQty],T_PlannedOrders[Part Name],$A1213,T_PlannedOrders[WeekIndex],47)&amp;" ("&amp;TEXT(SUMPRODUCT(MAX((T_PlannedOrders[Part Name]=$A1213)*(T_PlannedOrders[WeekIndex]=47)*(T_PlannedOrders[EffectiveQty]&gt;0)*T_PlannedOrders[Order_Month])),"m月")&amp;"発注)")</f>
        <v/>
      </c>
      <c r="AY1247">
        <f>IF(SUMIFS(T_PlannedOrders[EffectiveQty],T_PlannedOrders[Part Name],$A1213,T_PlannedOrders[WeekIndex],48)=0,"",SUMIFS(T_PlannedOrders[EffectiveQty],T_PlannedOrders[Part Name],$A1213,T_PlannedOrders[WeekIndex],48)&amp;" ("&amp;TEXT(SUMPRODUCT(MAX((T_PlannedOrders[Part Name]=$A1213)*(T_PlannedOrders[WeekIndex]=48)*(T_PlannedOrders[EffectiveQty]&gt;0)*T_PlannedOrders[Order_Month])),"m月")&amp;"発注)")</f>
        <v/>
      </c>
      <c r="AZ1247">
        <f>IF(SUMIFS(T_PlannedOrders[EffectiveQty],T_PlannedOrders[Part Name],$A1213,T_PlannedOrders[WeekIndex],49)=0,"",SUMIFS(T_PlannedOrders[EffectiveQty],T_PlannedOrders[Part Name],$A1213,T_PlannedOrders[WeekIndex],49)&amp;" ("&amp;TEXT(SUMPRODUCT(MAX((T_PlannedOrders[Part Name]=$A1213)*(T_PlannedOrders[WeekIndex]=49)*(T_PlannedOrders[EffectiveQty]&gt;0)*T_PlannedOrders[Order_Month])),"m月")&amp;"発注)")</f>
        <v/>
      </c>
      <c r="BA1247">
        <f>IF(SUMIFS(T_PlannedOrders[EffectiveQty],T_PlannedOrders[Part Name],$A1213,T_PlannedOrders[WeekIndex],50)=0,"",SUMIFS(T_PlannedOrders[EffectiveQty],T_PlannedOrders[Part Name],$A1213,T_PlannedOrders[WeekIndex],50)&amp;" ("&amp;TEXT(SUMPRODUCT(MAX((T_PlannedOrders[Part Name]=$A1213)*(T_PlannedOrders[WeekIndex]=50)*(T_PlannedOrders[EffectiveQty]&gt;0)*T_PlannedOrders[Order_Month])),"m月")&amp;"発注)")</f>
        <v/>
      </c>
      <c r="BB1247">
        <f>IF(SUMIFS(T_PlannedOrders[EffectiveQty],T_PlannedOrders[Part Name],$A1213,T_PlannedOrders[WeekIndex],51)=0,"",SUMIFS(T_PlannedOrders[EffectiveQty],T_PlannedOrders[Part Name],$A1213,T_PlannedOrders[WeekIndex],51)&amp;" ("&amp;TEXT(SUMPRODUCT(MAX((T_PlannedOrders[Part Name]=$A1213)*(T_PlannedOrders[WeekIndex]=51)*(T_PlannedOrders[EffectiveQty]&gt;0)*T_PlannedOrders[Order_Month])),"m月")&amp;"発注)")</f>
        <v/>
      </c>
      <c r="BC1247">
        <f>IF(SUMIFS(T_PlannedOrders[EffectiveQty],T_PlannedOrders[Part Name],$A1213,T_PlannedOrders[WeekIndex],52)=0,"",SUMIFS(T_PlannedOrders[EffectiveQty],T_PlannedOrders[Part Name],$A1213,T_PlannedOrders[WeekIndex],52)&amp;" ("&amp;TEXT(SUMPRODUCT(MAX((T_PlannedOrders[Part Name]=$A1213)*(T_PlannedOrders[WeekIndex]=52)*(T_PlannedOrders[EffectiveQty]&gt;0)*T_PlannedOrders[Order_Month])),"m月")&amp;"発注)")</f>
        <v/>
      </c>
      <c r="BD1247">
        <f>IF(SUMIFS(T_PlannedOrders[EffectiveQty],T_PlannedOrders[Part Name],$A1213,T_PlannedOrders[WeekIndex],53)=0,"",SUMIFS(T_PlannedOrders[EffectiveQty],T_PlannedOrders[Part Name],$A1213,T_PlannedOrders[WeekIndex],53)&amp;" ("&amp;TEXT(SUMPRODUCT(MAX((T_PlannedOrders[Part Name]=$A1213)*(T_PlannedOrders[WeekIndex]=53)*(T_PlannedOrders[EffectiveQty]&gt;0)*T_PlannedOrders[Order_Month])),"m月")&amp;"発注)")</f>
        <v/>
      </c>
      <c r="BE1247">
        <f>IF(SUMIFS(T_PlannedOrders[EffectiveQty],T_PlannedOrders[Part Name],$A1213,T_PlannedOrders[WeekIndex],54)=0,"",SUMIFS(T_PlannedOrders[EffectiveQty],T_PlannedOrders[Part Name],$A1213,T_PlannedOrders[WeekIndex],54)&amp;" ("&amp;TEXT(SUMPRODUCT(MAX((T_PlannedOrders[Part Name]=$A1213)*(T_PlannedOrders[WeekIndex]=54)*(T_PlannedOrders[EffectiveQty]&gt;0)*T_PlannedOrders[Order_Month])),"m月")&amp;"発注)")</f>
        <v/>
      </c>
      <c r="BF1247">
        <f>IF(SUMIFS(T_PlannedOrders[EffectiveQty],T_PlannedOrders[Part Name],$A1213,T_PlannedOrders[WeekIndex],55)=0,"",SUMIFS(T_PlannedOrders[EffectiveQty],T_PlannedOrders[Part Name],$A1213,T_PlannedOrders[WeekIndex],55)&amp;" ("&amp;TEXT(SUMPRODUCT(MAX((T_PlannedOrders[Part Name]=$A1213)*(T_PlannedOrders[WeekIndex]=55)*(T_PlannedOrders[EffectiveQty]&gt;0)*T_PlannedOrders[Order_Month])),"m月")&amp;"発注)")</f>
        <v/>
      </c>
      <c r="BG1247">
        <f>IF(SUMIFS(T_PlannedOrders[EffectiveQty],T_PlannedOrders[Part Name],$A1213,T_PlannedOrders[WeekIndex],56)=0,"",SUMIFS(T_PlannedOrders[EffectiveQty],T_PlannedOrders[Part Name],$A1213,T_PlannedOrders[WeekIndex],56)&amp;" ("&amp;TEXT(SUMPRODUCT(MAX((T_PlannedOrders[Part Name]=$A1213)*(T_PlannedOrders[WeekIndex]=56)*(T_PlannedOrders[EffectiveQty]&gt;0)*T_PlannedOrders[Order_Month])),"m月")&amp;"発注)")</f>
        <v/>
      </c>
      <c r="BH1247">
        <f>IF(SUMIFS(T_PlannedOrders[EffectiveQty],T_PlannedOrders[Part Name],$A1213,T_PlannedOrders[WeekIndex],57)=0,"",SUMIFS(T_PlannedOrders[EffectiveQty],T_PlannedOrders[Part Name],$A1213,T_PlannedOrders[WeekIndex],57)&amp;" ("&amp;TEXT(SUMPRODUCT(MAX((T_PlannedOrders[Part Name]=$A1213)*(T_PlannedOrders[WeekIndex]=57)*(T_PlannedOrders[EffectiveQty]&gt;0)*T_PlannedOrders[Order_Month])),"m月")&amp;"発注)")</f>
        <v/>
      </c>
      <c r="BI1247">
        <f>IF(SUMIFS(T_PlannedOrders[EffectiveQty],T_PlannedOrders[Part Name],$A1213,T_PlannedOrders[WeekIndex],58)=0,"",SUMIFS(T_PlannedOrders[EffectiveQty],T_PlannedOrders[Part Name],$A1213,T_PlannedOrders[WeekIndex],58)&amp;" ("&amp;TEXT(SUMPRODUCT(MAX((T_PlannedOrders[Part Name]=$A1213)*(T_PlannedOrders[WeekIndex]=58)*(T_PlannedOrders[EffectiveQty]&gt;0)*T_PlannedOrders[Order_Month])),"m月")&amp;"発注)")</f>
        <v/>
      </c>
      <c r="BJ1247">
        <f>IF(SUMIFS(T_PlannedOrders[EffectiveQty],T_PlannedOrders[Part Name],$A1213,T_PlannedOrders[WeekIndex],59)=0,"",SUMIFS(T_PlannedOrders[EffectiveQty],T_PlannedOrders[Part Name],$A1213,T_PlannedOrders[WeekIndex],59)&amp;" ("&amp;TEXT(SUMPRODUCT(MAX((T_PlannedOrders[Part Name]=$A1213)*(T_PlannedOrders[WeekIndex]=59)*(T_PlannedOrders[EffectiveQty]&gt;0)*T_PlannedOrders[Order_Month])),"m月")&amp;"発注)")</f>
        <v/>
      </c>
      <c r="BK1247">
        <f>IF(SUMIFS(T_PlannedOrders[EffectiveQty],T_PlannedOrders[Part Name],$A1213,T_PlannedOrders[WeekIndex],60)=0,"",SUMIFS(T_PlannedOrders[EffectiveQty],T_PlannedOrders[Part Name],$A1213,T_PlannedOrders[WeekIndex],60)&amp;" ("&amp;TEXT(SUMPRODUCT(MAX((T_PlannedOrders[Part Name]=$A1213)*(T_PlannedOrders[WeekIndex]=60)*(T_PlannedOrders[EffectiveQty]&gt;0)*T_PlannedOrders[Order_Month])),"m月")&amp;"発注)")</f>
        <v/>
      </c>
      <c r="BL1247">
        <f>IF(SUMIFS(T_PlannedOrders[EffectiveQty],T_PlannedOrders[Part Name],$A1213,T_PlannedOrders[WeekIndex],61)=0,"",SUMIFS(T_PlannedOrders[EffectiveQty],T_PlannedOrders[Part Name],$A1213,T_PlannedOrders[WeekIndex],61)&amp;" ("&amp;TEXT(SUMPRODUCT(MAX((T_PlannedOrders[Part Name]=$A1213)*(T_PlannedOrders[WeekIndex]=61)*(T_PlannedOrders[EffectiveQty]&gt;0)*T_PlannedOrders[Order_Month])),"m月")&amp;"発注)")</f>
        <v/>
      </c>
      <c r="BM1247">
        <f>IF(SUMIFS(T_PlannedOrders[EffectiveQty],T_PlannedOrders[Part Name],$A1213,T_PlannedOrders[WeekIndex],62)=0,"",SUMIFS(T_PlannedOrders[EffectiveQty],T_PlannedOrders[Part Name],$A1213,T_PlannedOrders[WeekIndex],62)&amp;" ("&amp;TEXT(SUMPRODUCT(MAX((T_PlannedOrders[Part Name]=$A1213)*(T_PlannedOrders[WeekIndex]=62)*(T_PlannedOrders[EffectiveQty]&gt;0)*T_PlannedOrders[Order_Month])),"m月")&amp;"発注)")</f>
        <v/>
      </c>
      <c r="BN1247">
        <f>IF(SUMIFS(T_PlannedOrders[EffectiveQty],T_PlannedOrders[Part Name],$A1213,T_PlannedOrders[WeekIndex],63)=0,"",SUMIFS(T_PlannedOrders[EffectiveQty],T_PlannedOrders[Part Name],$A1213,T_PlannedOrders[WeekIndex],63)&amp;" ("&amp;TEXT(SUMPRODUCT(MAX((T_PlannedOrders[Part Name]=$A1213)*(T_PlannedOrders[WeekIndex]=63)*(T_PlannedOrders[EffectiveQty]&gt;0)*T_PlannedOrders[Order_Month])),"m月")&amp;"発注)")</f>
        <v/>
      </c>
      <c r="BO1247">
        <f>IF(SUMIFS(T_PlannedOrders[EffectiveQty],T_PlannedOrders[Part Name],$A1213,T_PlannedOrders[WeekIndex],64)=0,"",SUMIFS(T_PlannedOrders[EffectiveQty],T_PlannedOrders[Part Name],$A1213,T_PlannedOrders[WeekIndex],64)&amp;" ("&amp;TEXT(SUMPRODUCT(MAX((T_PlannedOrders[Part Name]=$A1213)*(T_PlannedOrders[WeekIndex]=64)*(T_PlannedOrders[EffectiveQty]&gt;0)*T_PlannedOrders[Order_Month])),"m月")&amp;"発注)")</f>
        <v/>
      </c>
      <c r="BP1247">
        <f>IF(SUMIFS(T_PlannedOrders[EffectiveQty],T_PlannedOrders[Part Name],$A1213,T_PlannedOrders[WeekIndex],65)=0,"",SUMIFS(T_PlannedOrders[EffectiveQty],T_PlannedOrders[Part Name],$A1213,T_PlannedOrders[WeekIndex],65)&amp;" ("&amp;TEXT(SUMPRODUCT(MAX((T_PlannedOrders[Part Name]=$A1213)*(T_PlannedOrders[WeekIndex]=65)*(T_PlannedOrders[EffectiveQty]&gt;0)*T_PlannedOrders[Order_Month])),"m月")&amp;"発注)")</f>
        <v/>
      </c>
      <c r="BQ1247">
        <f>IF(SUMIFS(T_PlannedOrders[EffectiveQty],T_PlannedOrders[Part Name],$A1213,T_PlannedOrders[WeekIndex],66)=0,"",SUMIFS(T_PlannedOrders[EffectiveQty],T_PlannedOrders[Part Name],$A1213,T_PlannedOrders[WeekIndex],66)&amp;" ("&amp;TEXT(SUMPRODUCT(MAX((T_PlannedOrders[Part Name]=$A1213)*(T_PlannedOrders[WeekIndex]=66)*(T_PlannedOrders[EffectiveQty]&gt;0)*T_PlannedOrders[Order_Month])),"m月")&amp;"発注)")</f>
        <v/>
      </c>
      <c r="BR1247">
        <f>IF(SUMIFS(T_PlannedOrders[EffectiveQty],T_PlannedOrders[Part Name],$A1213,T_PlannedOrders[WeekIndex],67)=0,"",SUMIFS(T_PlannedOrders[EffectiveQty],T_PlannedOrders[Part Name],$A1213,T_PlannedOrders[WeekIndex],67)&amp;" ("&amp;TEXT(SUMPRODUCT(MAX((T_PlannedOrders[Part Name]=$A1213)*(T_PlannedOrders[WeekIndex]=67)*(T_PlannedOrders[EffectiveQty]&gt;0)*T_PlannedOrders[Order_Month])),"m月")&amp;"発注)")</f>
        <v/>
      </c>
      <c r="BS1247">
        <f>IF(SUMIFS(T_PlannedOrders[EffectiveQty],T_PlannedOrders[Part Name],$A1213,T_PlannedOrders[WeekIndex],68)=0,"",SUMIFS(T_PlannedOrders[EffectiveQty],T_PlannedOrders[Part Name],$A1213,T_PlannedOrders[WeekIndex],68)&amp;" ("&amp;TEXT(SUMPRODUCT(MAX((T_PlannedOrders[Part Name]=$A1213)*(T_PlannedOrders[WeekIndex]=68)*(T_PlannedOrders[EffectiveQty]&gt;0)*T_PlannedOrders[Order_Month])),"m月")&amp;"発注)")</f>
        <v/>
      </c>
      <c r="BT1247">
        <f>IF(SUMIFS(T_PlannedOrders[EffectiveQty],T_PlannedOrders[Part Name],$A1213,T_PlannedOrders[WeekIndex],69)=0,"",SUMIFS(T_PlannedOrders[EffectiveQty],T_PlannedOrders[Part Name],$A1213,T_PlannedOrders[WeekIndex],69)&amp;" ("&amp;TEXT(SUMPRODUCT(MAX((T_PlannedOrders[Part Name]=$A1213)*(T_PlannedOrders[WeekIndex]=69)*(T_PlannedOrders[EffectiveQty]&gt;0)*T_PlannedOrders[Order_Month])),"m月")&amp;"発注)")</f>
        <v/>
      </c>
      <c r="BU1247">
        <f>IF(SUMIFS(T_PlannedOrders[EffectiveQty],T_PlannedOrders[Part Name],$A1213,T_PlannedOrders[WeekIndex],70)=0,"",SUMIFS(T_PlannedOrders[EffectiveQty],T_PlannedOrders[Part Name],$A1213,T_PlannedOrders[WeekIndex],70)&amp;" ("&amp;TEXT(SUMPRODUCT(MAX((T_PlannedOrders[Part Name]=$A1213)*(T_PlannedOrders[WeekIndex]=70)*(T_PlannedOrders[EffectiveQty]&gt;0)*T_PlannedOrders[Order_Month])),"m月")&amp;"発注)")</f>
        <v/>
      </c>
      <c r="BV1247">
        <f>IF(SUMIFS(T_PlannedOrders[EffectiveQty],T_PlannedOrders[Part Name],$A1213,T_PlannedOrders[WeekIndex],71)=0,"",SUMIFS(T_PlannedOrders[EffectiveQty],T_PlannedOrders[Part Name],$A1213,T_PlannedOrders[WeekIndex],71)&amp;" ("&amp;TEXT(SUMPRODUCT(MAX((T_PlannedOrders[Part Name]=$A1213)*(T_PlannedOrders[WeekIndex]=71)*(T_PlannedOrders[EffectiveQty]&gt;0)*T_PlannedOrders[Order_Month])),"m月")&amp;"発注)")</f>
        <v/>
      </c>
      <c r="BW1247">
        <f>IF(SUMIFS(T_PlannedOrders[EffectiveQty],T_PlannedOrders[Part Name],$A1213,T_PlannedOrders[WeekIndex],72)=0,"",SUMIFS(T_PlannedOrders[EffectiveQty],T_PlannedOrders[Part Name],$A1213,T_PlannedOrders[WeekIndex],72)&amp;" ("&amp;TEXT(SUMPRODUCT(MAX((T_PlannedOrders[Part Name]=$A1213)*(T_PlannedOrders[WeekIndex]=72)*(T_PlannedOrders[EffectiveQty]&gt;0)*T_PlannedOrders[Order_Month])),"m月")&amp;"発注)")</f>
        <v/>
      </c>
      <c r="BX1247">
        <f>IF(SUMIFS(T_PlannedOrders[EffectiveQty],T_PlannedOrders[Part Name],$A1213,T_PlannedOrders[WeekIndex],73)=0,"",SUMIFS(T_PlannedOrders[EffectiveQty],T_PlannedOrders[Part Name],$A1213,T_PlannedOrders[WeekIndex],73)&amp;" ("&amp;TEXT(SUMPRODUCT(MAX((T_PlannedOrders[Part Name]=$A1213)*(T_PlannedOrders[WeekIndex]=73)*(T_PlannedOrders[EffectiveQty]&gt;0)*T_PlannedOrders[Order_Month])),"m月")&amp;"発注)")</f>
        <v/>
      </c>
      <c r="BY1247">
        <f>IF(SUMIFS(T_PlannedOrders[EffectiveQty],T_PlannedOrders[Part Name],$A1213,T_PlannedOrders[WeekIndex],74)=0,"",SUMIFS(T_PlannedOrders[EffectiveQty],T_PlannedOrders[Part Name],$A1213,T_PlannedOrders[WeekIndex],74)&amp;" ("&amp;TEXT(SUMPRODUCT(MAX((T_PlannedOrders[Part Name]=$A1213)*(T_PlannedOrders[WeekIndex]=74)*(T_PlannedOrders[EffectiveQty]&gt;0)*T_PlannedOrders[Order_Month])),"m月")&amp;"発注)")</f>
        <v/>
      </c>
      <c r="BZ1247">
        <f>IF(SUMIFS(T_PlannedOrders[EffectiveQty],T_PlannedOrders[Part Name],$A1213,T_PlannedOrders[WeekIndex],75)=0,"",SUMIFS(T_PlannedOrders[EffectiveQty],T_PlannedOrders[Part Name],$A1213,T_PlannedOrders[WeekIndex],75)&amp;" ("&amp;TEXT(SUMPRODUCT(MAX((T_PlannedOrders[Part Name]=$A1213)*(T_PlannedOrders[WeekIndex]=75)*(T_PlannedOrders[EffectiveQty]&gt;0)*T_PlannedOrders[Order_Month])),"m月")&amp;"発注)")</f>
        <v/>
      </c>
      <c r="CA1247">
        <f>IF(SUMIFS(T_PlannedOrders[EffectiveQty],T_PlannedOrders[Part Name],$A1213,T_PlannedOrders[WeekIndex],76)=0,"",SUMIFS(T_PlannedOrders[EffectiveQty],T_PlannedOrders[Part Name],$A1213,T_PlannedOrders[WeekIndex],76)&amp;" ("&amp;TEXT(SUMPRODUCT(MAX((T_PlannedOrders[Part Name]=$A1213)*(T_PlannedOrders[WeekIndex]=76)*(T_PlannedOrders[EffectiveQty]&gt;0)*T_PlannedOrders[Order_Month])),"m月")&amp;"発注)")</f>
        <v/>
      </c>
      <c r="CB1247">
        <f>IF(SUMIFS(T_PlannedOrders[EffectiveQty],T_PlannedOrders[Part Name],$A1213,T_PlannedOrders[WeekIndex],77)=0,"",SUMIFS(T_PlannedOrders[EffectiveQty],T_PlannedOrders[Part Name],$A1213,T_PlannedOrders[WeekIndex],77)&amp;" ("&amp;TEXT(SUMPRODUCT(MAX((T_PlannedOrders[Part Name]=$A1213)*(T_PlannedOrders[WeekIndex]=77)*(T_PlannedOrders[EffectiveQty]&gt;0)*T_PlannedOrders[Order_Month])),"m月")&amp;"発注)")</f>
        <v/>
      </c>
      <c r="CC1247">
        <f>IF(SUMIFS(T_PlannedOrders[EffectiveQty],T_PlannedOrders[Part Name],$A1213,T_PlannedOrders[WeekIndex],78)=0,"",SUMIFS(T_PlannedOrders[EffectiveQty],T_PlannedOrders[Part Name],$A1213,T_PlannedOrders[WeekIndex],78)&amp;" ("&amp;TEXT(SUMPRODUCT(MAX((T_PlannedOrders[Part Name]=$A1213)*(T_PlannedOrders[WeekIndex]=78)*(T_PlannedOrders[EffectiveQty]&gt;0)*T_PlannedOrders[Order_Month])),"m月")&amp;"発注)")</f>
        <v/>
      </c>
      <c r="CD1247">
        <f>IF(SUMIFS(T_PlannedOrders[EffectiveQty],T_PlannedOrders[Part Name],$A1213,T_PlannedOrders[WeekIndex],79)=0,"",SUMIFS(T_PlannedOrders[EffectiveQty],T_PlannedOrders[Part Name],$A1213,T_PlannedOrders[WeekIndex],79)&amp;" ("&amp;TEXT(SUMPRODUCT(MAX((T_PlannedOrders[Part Name]=$A1213)*(T_PlannedOrders[WeekIndex]=79)*(T_PlannedOrders[EffectiveQty]&gt;0)*T_PlannedOrders[Order_Month])),"m月")&amp;"発注)")</f>
        <v/>
      </c>
      <c r="CE1247">
        <f>IF(SUMIFS(T_PlannedOrders[EffectiveQty],T_PlannedOrders[Part Name],$A1213,T_PlannedOrders[WeekIndex],80)=0,"",SUMIFS(T_PlannedOrders[EffectiveQty],T_PlannedOrders[Part Name],$A1213,T_PlannedOrders[WeekIndex],80)&amp;" ("&amp;TEXT(SUMPRODUCT(MAX((T_PlannedOrders[Part Name]=$A1213)*(T_PlannedOrders[WeekIndex]=80)*(T_PlannedOrders[EffectiveQty]&gt;0)*T_PlannedOrders[Order_Month])),"m月")&amp;"発注)")</f>
        <v/>
      </c>
      <c r="CF1247">
        <f>IF(SUMIFS(T_PlannedOrders[EffectiveQty],T_PlannedOrders[Part Name],$A1213,T_PlannedOrders[WeekIndex],81)=0,"",SUMIFS(T_PlannedOrders[EffectiveQty],T_PlannedOrders[Part Name],$A1213,T_PlannedOrders[WeekIndex],81)&amp;" ("&amp;TEXT(SUMPRODUCT(MAX((T_PlannedOrders[Part Name]=$A1213)*(T_PlannedOrders[WeekIndex]=81)*(T_PlannedOrders[EffectiveQty]&gt;0)*T_PlannedOrders[Order_Month])),"m月")&amp;"発注)")</f>
        <v/>
      </c>
      <c r="CG1247">
        <f>IF(SUMIFS(T_PlannedOrders[EffectiveQty],T_PlannedOrders[Part Name],$A1213,T_PlannedOrders[WeekIndex],82)=0,"",SUMIFS(T_PlannedOrders[EffectiveQty],T_PlannedOrders[Part Name],$A1213,T_PlannedOrders[WeekIndex],82)&amp;" ("&amp;TEXT(SUMPRODUCT(MAX((T_PlannedOrders[Part Name]=$A1213)*(T_PlannedOrders[WeekIndex]=82)*(T_PlannedOrders[EffectiveQty]&gt;0)*T_PlannedOrders[Order_Month])),"m月")&amp;"発注)")</f>
        <v/>
      </c>
      <c r="CH1247">
        <f>IF(SUMIFS(T_PlannedOrders[EffectiveQty],T_PlannedOrders[Part Name],$A1213,T_PlannedOrders[WeekIndex],83)=0,"",SUMIFS(T_PlannedOrders[EffectiveQty],T_PlannedOrders[Part Name],$A1213,T_PlannedOrders[WeekIndex],83)&amp;" ("&amp;TEXT(SUMPRODUCT(MAX((T_PlannedOrders[Part Name]=$A1213)*(T_PlannedOrders[WeekIndex]=83)*(T_PlannedOrders[EffectiveQty]&gt;0)*T_PlannedOrders[Order_Month])),"m月")&amp;"発注)")</f>
        <v/>
      </c>
      <c r="CI1247">
        <f>IF(SUMIFS(T_PlannedOrders[EffectiveQty],T_PlannedOrders[Part Name],$A1213,T_PlannedOrders[WeekIndex],84)=0,"",SUMIFS(T_PlannedOrders[EffectiveQty],T_PlannedOrders[Part Name],$A1213,T_PlannedOrders[WeekIndex],84)&amp;" ("&amp;TEXT(SUMPRODUCT(MAX((T_PlannedOrders[Part Name]=$A1213)*(T_PlannedOrders[WeekIndex]=84)*(T_PlannedOrders[EffectiveQty]&gt;0)*T_PlannedOrders[Order_Month])),"m月")&amp;"発注)")</f>
        <v/>
      </c>
      <c r="CJ1247">
        <f>IF(SUMIFS(T_PlannedOrders[EffectiveQty],T_PlannedOrders[Part Name],$A1213,T_PlannedOrders[WeekIndex],85)=0,"",SUMIFS(T_PlannedOrders[EffectiveQty],T_PlannedOrders[Part Name],$A1213,T_PlannedOrders[WeekIndex],85)&amp;" ("&amp;TEXT(SUMPRODUCT(MAX((T_PlannedOrders[Part Name]=$A1213)*(T_PlannedOrders[WeekIndex]=85)*(T_PlannedOrders[EffectiveQty]&gt;0)*T_PlannedOrders[Order_Month])),"m月")&amp;"発注)")</f>
        <v/>
      </c>
      <c r="CK1247">
        <f>IF(SUMIFS(T_PlannedOrders[EffectiveQty],T_PlannedOrders[Part Name],$A1213,T_PlannedOrders[WeekIndex],86)=0,"",SUMIFS(T_PlannedOrders[EffectiveQty],T_PlannedOrders[Part Name],$A1213,T_PlannedOrders[WeekIndex],86)&amp;" ("&amp;TEXT(SUMPRODUCT(MAX((T_PlannedOrders[Part Name]=$A1213)*(T_PlannedOrders[WeekIndex]=86)*(T_PlannedOrders[EffectiveQty]&gt;0)*T_PlannedOrders[Order_Month])),"m月")&amp;"発注)")</f>
        <v/>
      </c>
      <c r="CL1247">
        <f>IF(SUMIFS(T_PlannedOrders[EffectiveQty],T_PlannedOrders[Part Name],$A1213,T_PlannedOrders[WeekIndex],87)=0,"",SUMIFS(T_PlannedOrders[EffectiveQty],T_PlannedOrders[Part Name],$A1213,T_PlannedOrders[WeekIndex],87)&amp;" ("&amp;TEXT(SUMPRODUCT(MAX((T_PlannedOrders[Part Name]=$A1213)*(T_PlannedOrders[WeekIndex]=87)*(T_PlannedOrders[EffectiveQty]&gt;0)*T_PlannedOrders[Order_Month])),"m月")&amp;"発注)")</f>
        <v/>
      </c>
      <c r="CM1247">
        <f>IF(SUMIFS(T_PlannedOrders[EffectiveQty],T_PlannedOrders[Part Name],$A1213,T_PlannedOrders[WeekIndex],88)=0,"",SUMIFS(T_PlannedOrders[EffectiveQty],T_PlannedOrders[Part Name],$A1213,T_PlannedOrders[WeekIndex],88)&amp;" ("&amp;TEXT(SUMPRODUCT(MAX((T_PlannedOrders[Part Name]=$A1213)*(T_PlannedOrders[WeekIndex]=88)*(T_PlannedOrders[EffectiveQty]&gt;0)*T_PlannedOrders[Order_Month])),"m月")&amp;"発注)")</f>
        <v/>
      </c>
      <c r="CN1247">
        <f>IF(SUMIFS(T_PlannedOrders[EffectiveQty],T_PlannedOrders[Part Name],$A1213,T_PlannedOrders[WeekIndex],89)=0,"",SUMIFS(T_PlannedOrders[EffectiveQty],T_PlannedOrders[Part Name],$A1213,T_PlannedOrders[WeekIndex],89)&amp;" ("&amp;TEXT(SUMPRODUCT(MAX((T_PlannedOrders[Part Name]=$A1213)*(T_PlannedOrders[WeekIndex]=89)*(T_PlannedOrders[EffectiveQty]&gt;0)*T_PlannedOrders[Order_Month])),"m月")&amp;"発注)")</f>
        <v/>
      </c>
      <c r="CO1247">
        <f>IF(SUMIFS(T_PlannedOrders[EffectiveQty],T_PlannedOrders[Part Name],$A1213,T_PlannedOrders[WeekIndex],90)=0,"",SUMIFS(T_PlannedOrders[EffectiveQty],T_PlannedOrders[Part Name],$A1213,T_PlannedOrders[WeekIndex],90)&amp;" ("&amp;TEXT(SUMPRODUCT(MAX((T_PlannedOrders[Part Name]=$A1213)*(T_PlannedOrders[WeekIndex]=90)*(T_PlannedOrders[EffectiveQty]&gt;0)*T_PlannedOrders[Order_Month])),"m月")&amp;"発注)")</f>
        <v/>
      </c>
      <c r="CP1247">
        <f>IF(SUMIFS(T_PlannedOrders[EffectiveQty],T_PlannedOrders[Part Name],$A1213,T_PlannedOrders[WeekIndex],91)=0,"",SUMIFS(T_PlannedOrders[EffectiveQty],T_PlannedOrders[Part Name],$A1213,T_PlannedOrders[WeekIndex],91)&amp;" ("&amp;TEXT(SUMPRODUCT(MAX((T_PlannedOrders[Part Name]=$A1213)*(T_PlannedOrders[WeekIndex]=91)*(T_PlannedOrders[EffectiveQty]&gt;0)*T_PlannedOrders[Order_Month])),"m月")&amp;"発注)")</f>
        <v/>
      </c>
      <c r="CQ1247">
        <f>IF(SUMIFS(T_PlannedOrders[EffectiveQty],T_PlannedOrders[Part Name],$A1213,T_PlannedOrders[WeekIndex],92)=0,"",SUMIFS(T_PlannedOrders[EffectiveQty],T_PlannedOrders[Part Name],$A1213,T_PlannedOrders[WeekIndex],92)&amp;" ("&amp;TEXT(SUMPRODUCT(MAX((T_PlannedOrders[Part Name]=$A1213)*(T_PlannedOrders[WeekIndex]=92)*(T_PlannedOrders[EffectiveQty]&gt;0)*T_PlannedOrders[Order_Month])),"m月")&amp;"発注)")</f>
        <v/>
      </c>
      <c r="CR1247">
        <f>IF(SUMIFS(T_PlannedOrders[EffectiveQty],T_PlannedOrders[Part Name],$A1213,T_PlannedOrders[WeekIndex],93)=0,"",SUMIFS(T_PlannedOrders[EffectiveQty],T_PlannedOrders[Part Name],$A1213,T_PlannedOrders[WeekIndex],93)&amp;" ("&amp;TEXT(SUMPRODUCT(MAX((T_PlannedOrders[Part Name]=$A1213)*(T_PlannedOrders[WeekIndex]=93)*(T_PlannedOrders[EffectiveQty]&gt;0)*T_PlannedOrders[Order_Month])),"m月")&amp;"発注)")</f>
        <v/>
      </c>
      <c r="CS1247">
        <f>IF(SUMIFS(T_PlannedOrders[EffectiveQty],T_PlannedOrders[Part Name],$A1213,T_PlannedOrders[WeekIndex],94)=0,"",SUMIFS(T_PlannedOrders[EffectiveQty],T_PlannedOrders[Part Name],$A1213,T_PlannedOrders[WeekIndex],94)&amp;" ("&amp;TEXT(SUMPRODUCT(MAX((T_PlannedOrders[Part Name]=$A1213)*(T_PlannedOrders[WeekIndex]=94)*(T_PlannedOrders[EffectiveQty]&gt;0)*T_PlannedOrders[Order_Month])),"m月")&amp;"発注)")</f>
        <v/>
      </c>
      <c r="CT1247">
        <f>IF(SUMIFS(T_PlannedOrders[EffectiveQty],T_PlannedOrders[Part Name],$A1213,T_PlannedOrders[WeekIndex],95)=0,"",SUMIFS(T_PlannedOrders[EffectiveQty],T_PlannedOrders[Part Name],$A1213,T_PlannedOrders[WeekIndex],95)&amp;" ("&amp;TEXT(SUMPRODUCT(MAX((T_PlannedOrders[Part Name]=$A1213)*(T_PlannedOrders[WeekIndex]=95)*(T_PlannedOrders[EffectiveQty]&gt;0)*T_PlannedOrders[Order_Month])),"m月")&amp;"発注)")</f>
        <v/>
      </c>
      <c r="CU1247">
        <f>IF(SUMIFS(T_PlannedOrders[EffectiveQty],T_PlannedOrders[Part Name],$A1213,T_PlannedOrders[WeekIndex],96)=0,"",SUMIFS(T_PlannedOrders[EffectiveQty],T_PlannedOrders[Part Name],$A1213,T_PlannedOrders[WeekIndex],96)&amp;" ("&amp;TEXT(SUMPRODUCT(MAX((T_PlannedOrders[Part Name]=$A1213)*(T_PlannedOrders[WeekIndex]=96)*(T_PlannedOrders[EffectiveQty]&gt;0)*T_PlannedOrders[Order_Month])),"m月")&amp;"発注)")</f>
        <v/>
      </c>
      <c r="CV1247">
        <f>IF(SUMIFS(T_PlannedOrders[EffectiveQty],T_PlannedOrders[Part Name],$A1213,T_PlannedOrders[WeekIndex],97)=0,"",SUMIFS(T_PlannedOrders[EffectiveQty],T_PlannedOrders[Part Name],$A1213,T_PlannedOrders[WeekIndex],97)&amp;" ("&amp;TEXT(SUMPRODUCT(MAX((T_PlannedOrders[Part Name]=$A1213)*(T_PlannedOrders[WeekIndex]=97)*(T_PlannedOrders[EffectiveQty]&gt;0)*T_PlannedOrders[Order_Month])),"m月")&amp;"発注)")</f>
        <v/>
      </c>
      <c r="CW1247">
        <f>IF(SUMIFS(T_PlannedOrders[EffectiveQty],T_PlannedOrders[Part Name],$A1213,T_PlannedOrders[WeekIndex],98)=0,"",SUMIFS(T_PlannedOrders[EffectiveQty],T_PlannedOrders[Part Name],$A1213,T_PlannedOrders[WeekIndex],98)&amp;" ("&amp;TEXT(SUMPRODUCT(MAX((T_PlannedOrders[Part Name]=$A1213)*(T_PlannedOrders[WeekIndex]=98)*(T_PlannedOrders[EffectiveQty]&gt;0)*T_PlannedOrders[Order_Month])),"m月")&amp;"発注)")</f>
        <v/>
      </c>
      <c r="CX1247">
        <f>IF(SUMIFS(T_PlannedOrders[EffectiveQty],T_PlannedOrders[Part Name],$A1213,T_PlannedOrders[WeekIndex],99)=0,"",SUMIFS(T_PlannedOrders[EffectiveQty],T_PlannedOrders[Part Name],$A1213,T_PlannedOrders[WeekIndex],99)&amp;" ("&amp;TEXT(SUMPRODUCT(MAX((T_PlannedOrders[Part Name]=$A1213)*(T_PlannedOrders[WeekIndex]=99)*(T_PlannedOrders[EffectiveQty]&gt;0)*T_PlannedOrders[Order_Month])),"m月")&amp;"発注)")</f>
        <v/>
      </c>
      <c r="CY1247">
        <f>IF(SUMIFS(T_PlannedOrders[EffectiveQty],T_PlannedOrders[Part Name],$A1213,T_PlannedOrders[WeekIndex],100)=0,"",SUMIFS(T_PlannedOrders[EffectiveQty],T_PlannedOrders[Part Name],$A1213,T_PlannedOrders[WeekIndex],100)&amp;" ("&amp;TEXT(SUMPRODUCT(MAX((T_PlannedOrders[Part Name]=$A1213)*(T_PlannedOrders[WeekIndex]=100)*(T_PlannedOrders[EffectiveQty]&gt;0)*T_PlannedOrders[Order_Month])),"m月")&amp;"発注)")</f>
        <v/>
      </c>
      <c r="CZ1247">
        <f>IF(SUMIFS(T_PlannedOrders[EffectiveQty],T_PlannedOrders[Part Name],$A1213,T_PlannedOrders[WeekIndex],101)=0,"",SUMIFS(T_PlannedOrders[EffectiveQty],T_PlannedOrders[Part Name],$A1213,T_PlannedOrders[WeekIndex],101)&amp;" ("&amp;TEXT(SUMPRODUCT(MAX((T_PlannedOrders[Part Name]=$A1213)*(T_PlannedOrders[WeekIndex]=101)*(T_PlannedOrders[EffectiveQty]&gt;0)*T_PlannedOrders[Order_Month])),"m月")&amp;"発注)")</f>
        <v/>
      </c>
      <c r="DA1247">
        <f>IF(SUMIFS(T_PlannedOrders[EffectiveQty],T_PlannedOrders[Part Name],$A1213,T_PlannedOrders[WeekIndex],102)=0,"",SUMIFS(T_PlannedOrders[EffectiveQty],T_PlannedOrders[Part Name],$A1213,T_PlannedOrders[WeekIndex],102)&amp;" ("&amp;TEXT(SUMPRODUCT(MAX((T_PlannedOrders[Part Name]=$A1213)*(T_PlannedOrders[WeekIndex]=102)*(T_PlannedOrders[EffectiveQty]&gt;0)*T_PlannedOrders[Order_Month])),"m月")&amp;"発注)")</f>
        <v/>
      </c>
      <c r="DB1247">
        <f>IF(SUMIFS(T_PlannedOrders[EffectiveQty],T_PlannedOrders[Part Name],$A1213,T_PlannedOrders[WeekIndex],103)=0,"",SUMIFS(T_PlannedOrders[EffectiveQty],T_PlannedOrders[Part Name],$A1213,T_PlannedOrders[WeekIndex],103)&amp;" ("&amp;TEXT(SUMPRODUCT(MAX((T_PlannedOrders[Part Name]=$A1213)*(T_PlannedOrders[WeekIndex]=103)*(T_PlannedOrders[EffectiveQty]&gt;0)*T_PlannedOrders[Order_Month])),"m月")&amp;"発注)")</f>
        <v/>
      </c>
      <c r="DC1247">
        <f>IF(SUMIFS(T_PlannedOrders[EffectiveQty],T_PlannedOrders[Part Name],$A1213,T_PlannedOrders[WeekIndex],104)=0,"",SUMIFS(T_PlannedOrders[EffectiveQty],T_PlannedOrders[Part Name],$A1213,T_PlannedOrders[WeekIndex],104)&amp;" ("&amp;TEXT(SUMPRODUCT(MAX((T_PlannedOrders[Part Name]=$A1213)*(T_PlannedOrders[WeekIndex]=104)*(T_PlannedOrders[EffectiveQty]&gt;0)*T_PlannedOrders[Order_Month])),"m月")&amp;"発注)")</f>
        <v/>
      </c>
    </row>
    <row r="1248">
      <c r="B1248" s="5" t="inlineStr">
        <is>
          <t>合計在庫(週末時点,kg)</t>
        </is>
      </c>
      <c r="D1248">
        <f>'Grid_Stock'!B57</f>
        <v/>
      </c>
      <c r="E1248">
        <f>'Grid_Stock'!C57</f>
        <v/>
      </c>
      <c r="F1248">
        <f>'Grid_Stock'!D57</f>
        <v/>
      </c>
      <c r="G1248">
        <f>'Grid_Stock'!E57</f>
        <v/>
      </c>
      <c r="H1248">
        <f>'Grid_Stock'!F57</f>
        <v/>
      </c>
      <c r="I1248">
        <f>'Grid_Stock'!G57</f>
        <v/>
      </c>
      <c r="J1248">
        <f>'Grid_Stock'!H57</f>
        <v/>
      </c>
      <c r="K1248">
        <f>'Grid_Stock'!I57</f>
        <v/>
      </c>
      <c r="L1248">
        <f>'Grid_Stock'!J57</f>
        <v/>
      </c>
      <c r="M1248">
        <f>'Grid_Stock'!K57</f>
        <v/>
      </c>
      <c r="N1248">
        <f>'Grid_Stock'!L57</f>
        <v/>
      </c>
      <c r="O1248">
        <f>'Grid_Stock'!M57</f>
        <v/>
      </c>
      <c r="P1248">
        <f>'Grid_Stock'!N57</f>
        <v/>
      </c>
      <c r="Q1248">
        <f>'Grid_Stock'!O57</f>
        <v/>
      </c>
      <c r="R1248">
        <f>'Grid_Stock'!P57</f>
        <v/>
      </c>
      <c r="S1248">
        <f>'Grid_Stock'!Q57</f>
        <v/>
      </c>
      <c r="T1248">
        <f>'Grid_Stock'!R57</f>
        <v/>
      </c>
      <c r="U1248">
        <f>'Grid_Stock'!S57</f>
        <v/>
      </c>
      <c r="V1248">
        <f>'Grid_Stock'!T57</f>
        <v/>
      </c>
      <c r="W1248">
        <f>'Grid_Stock'!U57</f>
        <v/>
      </c>
      <c r="X1248">
        <f>'Grid_Stock'!V57</f>
        <v/>
      </c>
      <c r="Y1248">
        <f>'Grid_Stock'!W57</f>
        <v/>
      </c>
      <c r="Z1248">
        <f>'Grid_Stock'!X57</f>
        <v/>
      </c>
      <c r="AA1248">
        <f>'Grid_Stock'!Y57</f>
        <v/>
      </c>
      <c r="AB1248">
        <f>'Grid_Stock'!Z57</f>
        <v/>
      </c>
      <c r="AC1248">
        <f>'Grid_Stock'!AA57</f>
        <v/>
      </c>
      <c r="AD1248">
        <f>'Grid_Stock'!AB57</f>
        <v/>
      </c>
      <c r="AE1248">
        <f>'Grid_Stock'!AC57</f>
        <v/>
      </c>
      <c r="AF1248">
        <f>'Grid_Stock'!AD57</f>
        <v/>
      </c>
      <c r="AG1248">
        <f>'Grid_Stock'!AE57</f>
        <v/>
      </c>
      <c r="AH1248">
        <f>'Grid_Stock'!AF57</f>
        <v/>
      </c>
      <c r="AI1248">
        <f>'Grid_Stock'!AG57</f>
        <v/>
      </c>
      <c r="AJ1248">
        <f>'Grid_Stock'!AH57</f>
        <v/>
      </c>
      <c r="AK1248">
        <f>'Grid_Stock'!AI57</f>
        <v/>
      </c>
      <c r="AL1248">
        <f>'Grid_Stock'!AJ57</f>
        <v/>
      </c>
      <c r="AM1248">
        <f>'Grid_Stock'!AK57</f>
        <v/>
      </c>
      <c r="AN1248">
        <f>'Grid_Stock'!AL57</f>
        <v/>
      </c>
      <c r="AO1248">
        <f>'Grid_Stock'!AM57</f>
        <v/>
      </c>
      <c r="AP1248">
        <f>'Grid_Stock'!AN57</f>
        <v/>
      </c>
      <c r="AQ1248">
        <f>'Grid_Stock'!AO57</f>
        <v/>
      </c>
      <c r="AR1248">
        <f>'Grid_Stock'!AP57</f>
        <v/>
      </c>
      <c r="AS1248">
        <f>'Grid_Stock'!AQ57</f>
        <v/>
      </c>
      <c r="AT1248">
        <f>'Grid_Stock'!AR57</f>
        <v/>
      </c>
      <c r="AU1248">
        <f>'Grid_Stock'!AS57</f>
        <v/>
      </c>
      <c r="AV1248">
        <f>'Grid_Stock'!AT57</f>
        <v/>
      </c>
      <c r="AW1248">
        <f>'Grid_Stock'!AU57</f>
        <v/>
      </c>
      <c r="AX1248">
        <f>'Grid_Stock'!AV57</f>
        <v/>
      </c>
      <c r="AY1248">
        <f>'Grid_Stock'!AW57</f>
        <v/>
      </c>
      <c r="AZ1248">
        <f>'Grid_Stock'!AX57</f>
        <v/>
      </c>
      <c r="BA1248">
        <f>'Grid_Stock'!AY57</f>
        <v/>
      </c>
      <c r="BB1248">
        <f>'Grid_Stock'!AZ57</f>
        <v/>
      </c>
      <c r="BC1248">
        <f>'Grid_Stock'!BA57</f>
        <v/>
      </c>
      <c r="BD1248">
        <f>'Grid_Stock'!BB57</f>
        <v/>
      </c>
      <c r="BE1248">
        <f>'Grid_Stock'!BC57</f>
        <v/>
      </c>
      <c r="BF1248">
        <f>'Grid_Stock'!BD57</f>
        <v/>
      </c>
      <c r="BG1248">
        <f>'Grid_Stock'!BE57</f>
        <v/>
      </c>
      <c r="BH1248">
        <f>'Grid_Stock'!BF57</f>
        <v/>
      </c>
      <c r="BI1248">
        <f>'Grid_Stock'!BG57</f>
        <v/>
      </c>
      <c r="BJ1248">
        <f>'Grid_Stock'!BH57</f>
        <v/>
      </c>
      <c r="BK1248">
        <f>'Grid_Stock'!BI57</f>
        <v/>
      </c>
      <c r="BL1248">
        <f>'Grid_Stock'!BJ57</f>
        <v/>
      </c>
      <c r="BM1248">
        <f>'Grid_Stock'!BK57</f>
        <v/>
      </c>
      <c r="BN1248">
        <f>'Grid_Stock'!BL57</f>
        <v/>
      </c>
      <c r="BO1248">
        <f>'Grid_Stock'!BM57</f>
        <v/>
      </c>
      <c r="BP1248">
        <f>'Grid_Stock'!BN57</f>
        <v/>
      </c>
      <c r="BQ1248">
        <f>'Grid_Stock'!BO57</f>
        <v/>
      </c>
      <c r="BR1248">
        <f>'Grid_Stock'!BP57</f>
        <v/>
      </c>
      <c r="BS1248">
        <f>'Grid_Stock'!BQ57</f>
        <v/>
      </c>
      <c r="BT1248">
        <f>'Grid_Stock'!BR57</f>
        <v/>
      </c>
      <c r="BU1248">
        <f>'Grid_Stock'!BS57</f>
        <v/>
      </c>
      <c r="BV1248">
        <f>'Grid_Stock'!BT57</f>
        <v/>
      </c>
      <c r="BW1248">
        <f>'Grid_Stock'!BU57</f>
        <v/>
      </c>
      <c r="BX1248">
        <f>'Grid_Stock'!BV57</f>
        <v/>
      </c>
      <c r="BY1248">
        <f>'Grid_Stock'!BW57</f>
        <v/>
      </c>
      <c r="BZ1248">
        <f>'Grid_Stock'!BX57</f>
        <v/>
      </c>
      <c r="CA1248">
        <f>'Grid_Stock'!BY57</f>
        <v/>
      </c>
      <c r="CB1248">
        <f>'Grid_Stock'!BZ57</f>
        <v/>
      </c>
      <c r="CC1248">
        <f>'Grid_Stock'!CA57</f>
        <v/>
      </c>
      <c r="CD1248">
        <f>'Grid_Stock'!CB57</f>
        <v/>
      </c>
      <c r="CE1248">
        <f>'Grid_Stock'!CC57</f>
        <v/>
      </c>
      <c r="CF1248">
        <f>'Grid_Stock'!CD57</f>
        <v/>
      </c>
      <c r="CG1248">
        <f>'Grid_Stock'!CE57</f>
        <v/>
      </c>
      <c r="CH1248">
        <f>'Grid_Stock'!CF57</f>
        <v/>
      </c>
      <c r="CI1248">
        <f>'Grid_Stock'!CG57</f>
        <v/>
      </c>
      <c r="CJ1248">
        <f>'Grid_Stock'!CH57</f>
        <v/>
      </c>
      <c r="CK1248">
        <f>'Grid_Stock'!CI57</f>
        <v/>
      </c>
      <c r="CL1248">
        <f>'Grid_Stock'!CJ57</f>
        <v/>
      </c>
      <c r="CM1248">
        <f>'Grid_Stock'!CK57</f>
        <v/>
      </c>
      <c r="CN1248">
        <f>'Grid_Stock'!CL57</f>
        <v/>
      </c>
      <c r="CO1248">
        <f>'Grid_Stock'!CM57</f>
        <v/>
      </c>
      <c r="CP1248">
        <f>'Grid_Stock'!CN57</f>
        <v/>
      </c>
      <c r="CQ1248">
        <f>'Grid_Stock'!CO57</f>
        <v/>
      </c>
      <c r="CR1248">
        <f>'Grid_Stock'!CP57</f>
        <v/>
      </c>
      <c r="CS1248">
        <f>'Grid_Stock'!CQ57</f>
        <v/>
      </c>
      <c r="CT1248">
        <f>'Grid_Stock'!CR57</f>
        <v/>
      </c>
      <c r="CU1248">
        <f>'Grid_Stock'!CS57</f>
        <v/>
      </c>
      <c r="CV1248">
        <f>'Grid_Stock'!CT57</f>
        <v/>
      </c>
      <c r="CW1248">
        <f>'Grid_Stock'!CU57</f>
        <v/>
      </c>
      <c r="CX1248">
        <f>'Grid_Stock'!CV57</f>
        <v/>
      </c>
      <c r="CY1248">
        <f>'Grid_Stock'!CW57</f>
        <v/>
      </c>
      <c r="CZ1248">
        <f>'Grid_Stock'!CX57</f>
        <v/>
      </c>
      <c r="DA1248">
        <f>'Grid_Stock'!CY57</f>
        <v/>
      </c>
      <c r="DB1248">
        <f>'Grid_Stock'!CZ57</f>
        <v/>
      </c>
      <c r="DC1248">
        <f>'Grid_Stock'!DA57</f>
        <v/>
      </c>
    </row>
    <row r="1249">
      <c r="B1249" s="23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48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46239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36</v>
      </c>
    </row>
    <row r="8">
      <c r="B8" s="2" t="inlineStr">
        <is>
          <t>Chemicals : TTAF Supply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7">
        <f>IFERROR(INDEX(M_RawMaterials[Description],MATCH("CHEM-1670",M_RawMaterials[Part Name],0)),"")</f>
        <v/>
      </c>
      <c r="C15" s="17" t="inlineStr">
        <is>
          <t>712886265</t>
        </is>
      </c>
      <c r="D15" s="17" t="inlineStr">
        <is>
          <t>CHEM-1670</t>
        </is>
      </c>
      <c r="E15" s="17" t="inlineStr">
        <is>
          <t>kg</t>
        </is>
      </c>
      <c r="F15" s="17">
        <f>IFERROR(INDEX(M_RawMaterials[基準在庫下限_要入力],MATCH("CHEM-1670",M_RawMaterials[Part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9">
        <f>IFERROR(INDEX(M_RawMaterials[Description],MATCH("CHEM-1110",M_RawMaterials[Part Name],0)),"")</f>
        <v/>
      </c>
      <c r="C16" s="19" t="inlineStr">
        <is>
          <t>Alumina Powder</t>
        </is>
      </c>
      <c r="D16" s="19" t="inlineStr">
        <is>
          <t>CHEM-1110</t>
        </is>
      </c>
      <c r="E16" s="19" t="inlineStr">
        <is>
          <t>kg</t>
        </is>
      </c>
      <c r="F16" s="19">
        <f>IFERROR(INDEX(M_RawMaterials[基準在庫下限_要入力],MATCH("CHEM-1110",M_RawMaterials[Part Name],0)),0)</f>
        <v/>
      </c>
      <c r="G16" s="19">
        <f>INDEX(Grid_Stock[#Data],MATCH($D16,Grid_Stock[Part Name],0),$P$7)</f>
        <v/>
      </c>
      <c r="H16" s="19">
        <f>MAX(0,$F16-INDEX(Grid_Stock[#Data],MATCH($D16,Grid_Stock[Part Name],0),$P$7+0))</f>
        <v/>
      </c>
      <c r="I16" s="19">
        <f>MAX(0,$F16-INDEX(Grid_Stock[#Data],MATCH($D16,Grid_Stock[Part Name],0),$P$7+1))</f>
        <v/>
      </c>
      <c r="J16" s="19">
        <f>MAX(0,$F16-INDEX(Grid_Stock[#Data],MATCH($D16,Grid_Stock[Part Name],0),$P$7+2))</f>
        <v/>
      </c>
      <c r="K16" s="19">
        <f>MAX(0,$F16-INDEX(Grid_Stock[#Data],MATCH($D16,Grid_Stock[Part Name],0),$P$7+3))</f>
        <v/>
      </c>
      <c r="L16" s="19">
        <f>MAX(0,$F16-INDEX(Grid_Stock[#Data],MATCH($D16,Grid_Stock[Part Name],0),$P$7+4))</f>
        <v/>
      </c>
      <c r="M16" s="19">
        <f>MAX(0,$F16-INDEX(Grid_Stock[#Data],MATCH($D16,Grid_Stock[Part Name],0),$P$7+5))</f>
        <v/>
      </c>
      <c r="N16" s="19">
        <f>MAX(0,$F16-INDEX(Grid_Stock[#Data],MATCH($D16,Grid_Stock[Part Name],0),$P$7+6))</f>
        <v/>
      </c>
      <c r="O16" s="19">
        <f>MAX(0,$F16-INDEX(Grid_Stock[#Data],MATCH($D16,Grid_Stock[Part Name],0),$P$7+7))</f>
        <v/>
      </c>
      <c r="P16" s="19">
        <f>MAX(0,$F16-INDEX(Grid_Stock[#Data],MATCH($D16,Grid_Stock[Part Name],0),$P$7+8))</f>
        <v/>
      </c>
      <c r="Q16" s="19">
        <f>MAX(0,$F16-INDEX(Grid_Stock[#Data],MATCH($D16,Grid_Stock[Part Name],0),$P$7+9))</f>
        <v/>
      </c>
      <c r="R16" s="19">
        <f>MAX(0,$F16-INDEX(Grid_Stock[#Data],MATCH($D16,Grid_Stock[Part Name],0),$P$7+10))</f>
        <v/>
      </c>
      <c r="S16" s="19">
        <f>MAX(0,$F16-INDEX(Grid_Stock[#Data],MATCH($D16,Grid_Stock[Part Name],0),$P$7+11))</f>
        <v/>
      </c>
      <c r="T16" s="19">
        <f>MAX(0,$F16-INDEX(Grid_Stock[#Data],MATCH($D16,Grid_Stock[Part Name],0),$P$7+12))</f>
        <v/>
      </c>
      <c r="U16" s="19">
        <f>SUM(H16:T16)</f>
        <v/>
      </c>
    </row>
    <row r="17">
      <c r="B17" s="17">
        <f>IFERROR(INDEX(M_RawMaterials[Description],MATCH("CHEM-1240",M_RawMaterials[Part Name],0)),"")</f>
        <v/>
      </c>
      <c r="C17" s="17" t="inlineStr">
        <is>
          <t>83988008101</t>
        </is>
      </c>
      <c r="D17" s="17" t="inlineStr">
        <is>
          <t>CHEM-1240</t>
        </is>
      </c>
      <c r="E17" s="17" t="inlineStr">
        <is>
          <t>kg</t>
        </is>
      </c>
      <c r="F17" s="17">
        <f>IFERROR(INDEX(M_RawMaterials[基準在庫下限_要入力],MATCH("CHEM-1240",M_RawMaterials[Part Name],0)),0)</f>
        <v/>
      </c>
      <c r="G17" s="17">
        <f>INDEX(Grid_Stock[#Data],MATCH($D17,Grid_Stock[Part Name],0),$P$7)</f>
        <v/>
      </c>
      <c r="H17" s="17">
        <f>MAX(0,$F17-INDEX(Grid_Stock[#Data],MATCH($D17,Grid_Stock[Part Name],0),$P$7+0))</f>
        <v/>
      </c>
      <c r="I17" s="17">
        <f>MAX(0,$F17-INDEX(Grid_Stock[#Data],MATCH($D17,Grid_Stock[Part Name],0),$P$7+1))</f>
        <v/>
      </c>
      <c r="J17" s="17">
        <f>MAX(0,$F17-INDEX(Grid_Stock[#Data],MATCH($D17,Grid_Stock[Part Name],0),$P$7+2))</f>
        <v/>
      </c>
      <c r="K17" s="17">
        <f>MAX(0,$F17-INDEX(Grid_Stock[#Data],MATCH($D17,Grid_Stock[Part Name],0),$P$7+3))</f>
        <v/>
      </c>
      <c r="L17" s="17">
        <f>MAX(0,$F17-INDEX(Grid_Stock[#Data],MATCH($D17,Grid_Stock[Part Name],0),$P$7+4))</f>
        <v/>
      </c>
      <c r="M17" s="17">
        <f>MAX(0,$F17-INDEX(Grid_Stock[#Data],MATCH($D17,Grid_Stock[Part Name],0),$P$7+5))</f>
        <v/>
      </c>
      <c r="N17" s="17">
        <f>MAX(0,$F17-INDEX(Grid_Stock[#Data],MATCH($D17,Grid_Stock[Part Name],0),$P$7+6))</f>
        <v/>
      </c>
      <c r="O17" s="17">
        <f>MAX(0,$F17-INDEX(Grid_Stock[#Data],MATCH($D17,Grid_Stock[Part Name],0),$P$7+7))</f>
        <v/>
      </c>
      <c r="P17" s="17">
        <f>MAX(0,$F17-INDEX(Grid_Stock[#Data],MATCH($D17,Grid_Stock[Part Name],0),$P$7+8))</f>
        <v/>
      </c>
      <c r="Q17" s="17">
        <f>MAX(0,$F17-INDEX(Grid_Stock[#Data],MATCH($D17,Grid_Stock[Part Name],0),$P$7+9))</f>
        <v/>
      </c>
      <c r="R17" s="17">
        <f>MAX(0,$F17-INDEX(Grid_Stock[#Data],MATCH($D17,Grid_Stock[Part Name],0),$P$7+10))</f>
        <v/>
      </c>
      <c r="S17" s="17">
        <f>MAX(0,$F17-INDEX(Grid_Stock[#Data],MATCH($D17,Grid_Stock[Part Name],0),$P$7+11))</f>
        <v/>
      </c>
      <c r="T17" s="17">
        <f>MAX(0,$F17-INDEX(Grid_Stock[#Data],MATCH($D17,Grid_Stock[Part Name],0),$P$7+12))</f>
        <v/>
      </c>
      <c r="U17" s="17">
        <f>SUM(H17:T17)</f>
        <v/>
      </c>
    </row>
    <row r="18">
      <c r="B18" s="19">
        <f>IFERROR(INDEX(M_RawMaterials[Description],MATCH("CHEM-1510",M_RawMaterials[Part Name],0)),"")</f>
        <v/>
      </c>
      <c r="C18" s="19" t="inlineStr">
        <is>
          <t>71288625001</t>
        </is>
      </c>
      <c r="D18" s="19" t="inlineStr">
        <is>
          <t>CHEM-1510</t>
        </is>
      </c>
      <c r="E18" s="19" t="inlineStr">
        <is>
          <t>kg</t>
        </is>
      </c>
      <c r="F18" s="19">
        <f>IFERROR(INDEX(M_RawMaterials[基準在庫下限_要入力],MATCH("CHEM-1510",M_RawMaterials[Part Name],0)),0)</f>
        <v/>
      </c>
      <c r="G18" s="19">
        <f>INDEX(Grid_Stock[#Data],MATCH($D18,Grid_Stock[Part Name],0),$P$7)</f>
        <v/>
      </c>
      <c r="H18" s="19">
        <f>MAX(0,$F18-INDEX(Grid_Stock[#Data],MATCH($D18,Grid_Stock[Part Name],0),$P$7+0))</f>
        <v/>
      </c>
      <c r="I18" s="19">
        <f>MAX(0,$F18-INDEX(Grid_Stock[#Data],MATCH($D18,Grid_Stock[Part Name],0),$P$7+1))</f>
        <v/>
      </c>
      <c r="J18" s="19">
        <f>MAX(0,$F18-INDEX(Grid_Stock[#Data],MATCH($D18,Grid_Stock[Part Name],0),$P$7+2))</f>
        <v/>
      </c>
      <c r="K18" s="19">
        <f>MAX(0,$F18-INDEX(Grid_Stock[#Data],MATCH($D18,Grid_Stock[Part Name],0),$P$7+3))</f>
        <v/>
      </c>
      <c r="L18" s="19">
        <f>MAX(0,$F18-INDEX(Grid_Stock[#Data],MATCH($D18,Grid_Stock[Part Name],0),$P$7+4))</f>
        <v/>
      </c>
      <c r="M18" s="19">
        <f>MAX(0,$F18-INDEX(Grid_Stock[#Data],MATCH($D18,Grid_Stock[Part Name],0),$P$7+5))</f>
        <v/>
      </c>
      <c r="N18" s="19">
        <f>MAX(0,$F18-INDEX(Grid_Stock[#Data],MATCH($D18,Grid_Stock[Part Name],0),$P$7+6))</f>
        <v/>
      </c>
      <c r="O18" s="19">
        <f>MAX(0,$F18-INDEX(Grid_Stock[#Data],MATCH($D18,Grid_Stock[Part Name],0),$P$7+7))</f>
        <v/>
      </c>
      <c r="P18" s="19">
        <f>MAX(0,$F18-INDEX(Grid_Stock[#Data],MATCH($D18,Grid_Stock[Part Name],0),$P$7+8))</f>
        <v/>
      </c>
      <c r="Q18" s="19">
        <f>MAX(0,$F18-INDEX(Grid_Stock[#Data],MATCH($D18,Grid_Stock[Part Name],0),$P$7+9))</f>
        <v/>
      </c>
      <c r="R18" s="19">
        <f>MAX(0,$F18-INDEX(Grid_Stock[#Data],MATCH($D18,Grid_Stock[Part Name],0),$P$7+10))</f>
        <v/>
      </c>
      <c r="S18" s="19">
        <f>MAX(0,$F18-INDEX(Grid_Stock[#Data],MATCH($D18,Grid_Stock[Part Name],0),$P$7+11))</f>
        <v/>
      </c>
      <c r="T18" s="19">
        <f>MAX(0,$F18-INDEX(Grid_Stock[#Data],MATCH($D18,Grid_Stock[Part Name],0),$P$7+12))</f>
        <v/>
      </c>
      <c r="U18" s="19">
        <f>SUM(H18:T18)</f>
        <v/>
      </c>
    </row>
    <row r="19">
      <c r="B19" s="17">
        <f>IFERROR(INDEX(M_RawMaterials[Description],MATCH("CHEM-1580",M_RawMaterials[Part Name],0)),"")</f>
        <v/>
      </c>
      <c r="C19" s="17" t="inlineStr">
        <is>
          <t>71288614301</t>
        </is>
      </c>
      <c r="D19" s="17" t="inlineStr">
        <is>
          <t>CHEM-1580</t>
        </is>
      </c>
      <c r="E19" s="17" t="inlineStr">
        <is>
          <t>kg</t>
        </is>
      </c>
      <c r="F19" s="17">
        <f>IFERROR(INDEX(M_RawMaterials[基準在庫下限_要入力],MATCH("CHEM-1580",M_RawMaterials[Part Name],0)),0)</f>
        <v/>
      </c>
      <c r="G19" s="17">
        <f>INDEX(Grid_Stock[#Data],MATCH($D19,Grid_Stock[Part Name],0),$P$7)</f>
        <v/>
      </c>
      <c r="H19" s="17">
        <f>MAX(0,$F19-INDEX(Grid_Stock[#Data],MATCH($D19,Grid_Stock[Part Name],0),$P$7+0))</f>
        <v/>
      </c>
      <c r="I19" s="17">
        <f>MAX(0,$F19-INDEX(Grid_Stock[#Data],MATCH($D19,Grid_Stock[Part Name],0),$P$7+1))</f>
        <v/>
      </c>
      <c r="J19" s="17">
        <f>MAX(0,$F19-INDEX(Grid_Stock[#Data],MATCH($D19,Grid_Stock[Part Name],0),$P$7+2))</f>
        <v/>
      </c>
      <c r="K19" s="17">
        <f>MAX(0,$F19-INDEX(Grid_Stock[#Data],MATCH($D19,Grid_Stock[Part Name],0),$P$7+3))</f>
        <v/>
      </c>
      <c r="L19" s="17">
        <f>MAX(0,$F19-INDEX(Grid_Stock[#Data],MATCH($D19,Grid_Stock[Part Name],0),$P$7+4))</f>
        <v/>
      </c>
      <c r="M19" s="17">
        <f>MAX(0,$F19-INDEX(Grid_Stock[#Data],MATCH($D19,Grid_Stock[Part Name],0),$P$7+5))</f>
        <v/>
      </c>
      <c r="N19" s="17">
        <f>MAX(0,$F19-INDEX(Grid_Stock[#Data],MATCH($D19,Grid_Stock[Part Name],0),$P$7+6))</f>
        <v/>
      </c>
      <c r="O19" s="17">
        <f>MAX(0,$F19-INDEX(Grid_Stock[#Data],MATCH($D19,Grid_Stock[Part Name],0),$P$7+7))</f>
        <v/>
      </c>
      <c r="P19" s="17">
        <f>MAX(0,$F19-INDEX(Grid_Stock[#Data],MATCH($D19,Grid_Stock[Part Name],0),$P$7+8))</f>
        <v/>
      </c>
      <c r="Q19" s="17">
        <f>MAX(0,$F19-INDEX(Grid_Stock[#Data],MATCH($D19,Grid_Stock[Part Name],0),$P$7+9))</f>
        <v/>
      </c>
      <c r="R19" s="17">
        <f>MAX(0,$F19-INDEX(Grid_Stock[#Data],MATCH($D19,Grid_Stock[Part Name],0),$P$7+10))</f>
        <v/>
      </c>
      <c r="S19" s="17">
        <f>MAX(0,$F19-INDEX(Grid_Stock[#Data],MATCH($D19,Grid_Stock[Part Name],0),$P$7+11))</f>
        <v/>
      </c>
      <c r="T19" s="17">
        <f>MAX(0,$F19-INDEX(Grid_Stock[#Data],MATCH($D19,Grid_Stock[Part Name],0),$P$7+12))</f>
        <v/>
      </c>
      <c r="U19" s="17">
        <f>SUM(H19:T19)</f>
        <v/>
      </c>
    </row>
    <row r="20">
      <c r="B20" s="19">
        <f>IFERROR(INDEX(M_RawMaterials[Description],MATCH("CHEM-1250",M_RawMaterials[Part Name],0)),"")</f>
        <v/>
      </c>
      <c r="C20" s="19" t="inlineStr">
        <is>
          <t>71288614901</t>
        </is>
      </c>
      <c r="D20" s="19" t="inlineStr">
        <is>
          <t>CHEM-1250</t>
        </is>
      </c>
      <c r="E20" s="19" t="inlineStr">
        <is>
          <t>kg</t>
        </is>
      </c>
      <c r="F20" s="19">
        <f>IFERROR(INDEX(M_RawMaterials[基準在庫下限_要入力],MATCH("CHEM-1250",M_RawMaterials[Part Name],0)),0)</f>
        <v/>
      </c>
      <c r="G20" s="19">
        <f>INDEX(Grid_Stock[#Data],MATCH($D20,Grid_Stock[Part Name],0),$P$7)</f>
        <v/>
      </c>
      <c r="H20" s="19">
        <f>MAX(0,$F20-INDEX(Grid_Stock[#Data],MATCH($D20,Grid_Stock[Part Name],0),$P$7+0))</f>
        <v/>
      </c>
      <c r="I20" s="19">
        <f>MAX(0,$F20-INDEX(Grid_Stock[#Data],MATCH($D20,Grid_Stock[Part Name],0),$P$7+1))</f>
        <v/>
      </c>
      <c r="J20" s="19">
        <f>MAX(0,$F20-INDEX(Grid_Stock[#Data],MATCH($D20,Grid_Stock[Part Name],0),$P$7+2))</f>
        <v/>
      </c>
      <c r="K20" s="19">
        <f>MAX(0,$F20-INDEX(Grid_Stock[#Data],MATCH($D20,Grid_Stock[Part Name],0),$P$7+3))</f>
        <v/>
      </c>
      <c r="L20" s="19">
        <f>MAX(0,$F20-INDEX(Grid_Stock[#Data],MATCH($D20,Grid_Stock[Part Name],0),$P$7+4))</f>
        <v/>
      </c>
      <c r="M20" s="19">
        <f>MAX(0,$F20-INDEX(Grid_Stock[#Data],MATCH($D20,Grid_Stock[Part Name],0),$P$7+5))</f>
        <v/>
      </c>
      <c r="N20" s="19">
        <f>MAX(0,$F20-INDEX(Grid_Stock[#Data],MATCH($D20,Grid_Stock[Part Name],0),$P$7+6))</f>
        <v/>
      </c>
      <c r="O20" s="19">
        <f>MAX(0,$F20-INDEX(Grid_Stock[#Data],MATCH($D20,Grid_Stock[Part Name],0),$P$7+7))</f>
        <v/>
      </c>
      <c r="P20" s="19">
        <f>MAX(0,$F20-INDEX(Grid_Stock[#Data],MATCH($D20,Grid_Stock[Part Name],0),$P$7+8))</f>
        <v/>
      </c>
      <c r="Q20" s="19">
        <f>MAX(0,$F20-INDEX(Grid_Stock[#Data],MATCH($D20,Grid_Stock[Part Name],0),$P$7+9))</f>
        <v/>
      </c>
      <c r="R20" s="19">
        <f>MAX(0,$F20-INDEX(Grid_Stock[#Data],MATCH($D20,Grid_Stock[Part Name],0),$P$7+10))</f>
        <v/>
      </c>
      <c r="S20" s="19">
        <f>MAX(0,$F20-INDEX(Grid_Stock[#Data],MATCH($D20,Grid_Stock[Part Name],0),$P$7+11))</f>
        <v/>
      </c>
      <c r="T20" s="19">
        <f>MAX(0,$F20-INDEX(Grid_Stock[#Data],MATCH($D20,Grid_Stock[Part Name],0),$P$7+12))</f>
        <v/>
      </c>
      <c r="U20" s="19">
        <f>SUM(H20:T20)</f>
        <v/>
      </c>
    </row>
    <row r="21">
      <c r="B21" s="17">
        <f>IFERROR(INDEX(M_RawMaterials[Description],MATCH("CHEM-1600",M_RawMaterials[Part Name],0)),"")</f>
        <v/>
      </c>
      <c r="C21" s="17" t="inlineStr">
        <is>
          <t>71388005101</t>
        </is>
      </c>
      <c r="D21" s="17" t="inlineStr">
        <is>
          <t>CHEM-1600</t>
        </is>
      </c>
      <c r="E21" s="17" t="inlineStr">
        <is>
          <t>kg</t>
        </is>
      </c>
      <c r="F21" s="17">
        <f>IFERROR(INDEX(M_RawMaterials[基準在庫下限_要入力],MATCH("CHEM-1600",M_RawMaterials[Part Name],0)),0)</f>
        <v/>
      </c>
      <c r="G21" s="17">
        <f>INDEX(Grid_Stock[#Data],MATCH($D21,Grid_Stock[Part Name],0),$P$7)</f>
        <v/>
      </c>
      <c r="H21" s="17">
        <f>MAX(0,$F21-INDEX(Grid_Stock[#Data],MATCH($D21,Grid_Stock[Part Name],0),$P$7+0))</f>
        <v/>
      </c>
      <c r="I21" s="17">
        <f>MAX(0,$F21-INDEX(Grid_Stock[#Data],MATCH($D21,Grid_Stock[Part Name],0),$P$7+1))</f>
        <v/>
      </c>
      <c r="J21" s="17">
        <f>MAX(0,$F21-INDEX(Grid_Stock[#Data],MATCH($D21,Grid_Stock[Part Name],0),$P$7+2))</f>
        <v/>
      </c>
      <c r="K21" s="17">
        <f>MAX(0,$F21-INDEX(Grid_Stock[#Data],MATCH($D21,Grid_Stock[Part Name],0),$P$7+3))</f>
        <v/>
      </c>
      <c r="L21" s="17">
        <f>MAX(0,$F21-INDEX(Grid_Stock[#Data],MATCH($D21,Grid_Stock[Part Name],0),$P$7+4))</f>
        <v/>
      </c>
      <c r="M21" s="17">
        <f>MAX(0,$F21-INDEX(Grid_Stock[#Data],MATCH($D21,Grid_Stock[Part Name],0),$P$7+5))</f>
        <v/>
      </c>
      <c r="N21" s="17">
        <f>MAX(0,$F21-INDEX(Grid_Stock[#Data],MATCH($D21,Grid_Stock[Part Name],0),$P$7+6))</f>
        <v/>
      </c>
      <c r="O21" s="17">
        <f>MAX(0,$F21-INDEX(Grid_Stock[#Data],MATCH($D21,Grid_Stock[Part Name],0),$P$7+7))</f>
        <v/>
      </c>
      <c r="P21" s="17">
        <f>MAX(0,$F21-INDEX(Grid_Stock[#Data],MATCH($D21,Grid_Stock[Part Name],0),$P$7+8))</f>
        <v/>
      </c>
      <c r="Q21" s="17">
        <f>MAX(0,$F21-INDEX(Grid_Stock[#Data],MATCH($D21,Grid_Stock[Part Name],0),$P$7+9))</f>
        <v/>
      </c>
      <c r="R21" s="17">
        <f>MAX(0,$F21-INDEX(Grid_Stock[#Data],MATCH($D21,Grid_Stock[Part Name],0),$P$7+10))</f>
        <v/>
      </c>
      <c r="S21" s="17">
        <f>MAX(0,$F21-INDEX(Grid_Stock[#Data],MATCH($D21,Grid_Stock[Part Name],0),$P$7+11))</f>
        <v/>
      </c>
      <c r="T21" s="17">
        <f>MAX(0,$F21-INDEX(Grid_Stock[#Data],MATCH($D21,Grid_Stock[Part Name],0),$P$7+12))</f>
        <v/>
      </c>
      <c r="U21" s="17">
        <f>SUM(H21:T21)</f>
        <v/>
      </c>
    </row>
    <row r="22">
      <c r="B22" s="19">
        <f>IFERROR(INDEX(M_RawMaterials[Description],MATCH("CHEM-1120",M_RawMaterials[Part Name],0)),"")</f>
        <v/>
      </c>
      <c r="C22" s="19" t="inlineStr">
        <is>
          <t>712886120</t>
        </is>
      </c>
      <c r="D22" s="19" t="inlineStr">
        <is>
          <t>CHEM-1120</t>
        </is>
      </c>
      <c r="E22" s="19" t="inlineStr">
        <is>
          <t>kg</t>
        </is>
      </c>
      <c r="F22" s="19">
        <f>IFERROR(INDEX(M_RawMaterials[基準在庫下限_要入力],MATCH("CHEM-1120",M_RawMaterials[Part Name],0)),0)</f>
        <v/>
      </c>
      <c r="G22" s="19">
        <f>INDEX(Grid_Stock[#Data],MATCH($D22,Grid_Stock[Part Name],0),$P$7)</f>
        <v/>
      </c>
      <c r="H22" s="19">
        <f>MAX(0,$F22-INDEX(Grid_Stock[#Data],MATCH($D22,Grid_Stock[Part Name],0),$P$7+0))</f>
        <v/>
      </c>
      <c r="I22" s="19">
        <f>MAX(0,$F22-INDEX(Grid_Stock[#Data],MATCH($D22,Grid_Stock[Part Name],0),$P$7+1))</f>
        <v/>
      </c>
      <c r="J22" s="19">
        <f>MAX(0,$F22-INDEX(Grid_Stock[#Data],MATCH($D22,Grid_Stock[Part Name],0),$P$7+2))</f>
        <v/>
      </c>
      <c r="K22" s="19">
        <f>MAX(0,$F22-INDEX(Grid_Stock[#Data],MATCH($D22,Grid_Stock[Part Name],0),$P$7+3))</f>
        <v/>
      </c>
      <c r="L22" s="19">
        <f>MAX(0,$F22-INDEX(Grid_Stock[#Data],MATCH($D22,Grid_Stock[Part Name],0),$P$7+4))</f>
        <v/>
      </c>
      <c r="M22" s="19">
        <f>MAX(0,$F22-INDEX(Grid_Stock[#Data],MATCH($D22,Grid_Stock[Part Name],0),$P$7+5))</f>
        <v/>
      </c>
      <c r="N22" s="19">
        <f>MAX(0,$F22-INDEX(Grid_Stock[#Data],MATCH($D22,Grid_Stock[Part Name],0),$P$7+6))</f>
        <v/>
      </c>
      <c r="O22" s="19">
        <f>MAX(0,$F22-INDEX(Grid_Stock[#Data],MATCH($D22,Grid_Stock[Part Name],0),$P$7+7))</f>
        <v/>
      </c>
      <c r="P22" s="19">
        <f>MAX(0,$F22-INDEX(Grid_Stock[#Data],MATCH($D22,Grid_Stock[Part Name],0),$P$7+8))</f>
        <v/>
      </c>
      <c r="Q22" s="19">
        <f>MAX(0,$F22-INDEX(Grid_Stock[#Data],MATCH($D22,Grid_Stock[Part Name],0),$P$7+9))</f>
        <v/>
      </c>
      <c r="R22" s="19">
        <f>MAX(0,$F22-INDEX(Grid_Stock[#Data],MATCH($D22,Grid_Stock[Part Name],0),$P$7+10))</f>
        <v/>
      </c>
      <c r="S22" s="19">
        <f>MAX(0,$F22-INDEX(Grid_Stock[#Data],MATCH($D22,Grid_Stock[Part Name],0),$P$7+11))</f>
        <v/>
      </c>
      <c r="T22" s="19">
        <f>MAX(0,$F22-INDEX(Grid_Stock[#Data],MATCH($D22,Grid_Stock[Part Name],0),$P$7+12))</f>
        <v/>
      </c>
      <c r="U22" s="19">
        <f>SUM(H22:T22)</f>
        <v/>
      </c>
    </row>
    <row r="23">
      <c r="B23" s="17">
        <f>IFERROR(INDEX(M_RawMaterials[Description],MATCH("CHEM-1550",M_RawMaterials[Part Name],0)),"")</f>
        <v/>
      </c>
      <c r="C23" s="17" t="inlineStr">
        <is>
          <t>71288624901</t>
        </is>
      </c>
      <c r="D23" s="17" t="inlineStr">
        <is>
          <t>CHEM-1550</t>
        </is>
      </c>
      <c r="E23" s="17" t="inlineStr">
        <is>
          <t>kg</t>
        </is>
      </c>
      <c r="F23" s="17">
        <f>IFERROR(INDEX(M_RawMaterials[基準在庫下限_要入力],MATCH("CHEM-1550",M_RawMaterials[Part Name],0)),0)</f>
        <v/>
      </c>
      <c r="G23" s="17">
        <f>INDEX(Grid_Stock[#Data],MATCH($D23,Grid_Stock[Part Name],0),$P$7)</f>
        <v/>
      </c>
      <c r="H23" s="17">
        <f>MAX(0,$F23-INDEX(Grid_Stock[#Data],MATCH($D23,Grid_Stock[Part Name],0),$P$7+0))</f>
        <v/>
      </c>
      <c r="I23" s="17">
        <f>MAX(0,$F23-INDEX(Grid_Stock[#Data],MATCH($D23,Grid_Stock[Part Name],0),$P$7+1))</f>
        <v/>
      </c>
      <c r="J23" s="17">
        <f>MAX(0,$F23-INDEX(Grid_Stock[#Data],MATCH($D23,Grid_Stock[Part Name],0),$P$7+2))</f>
        <v/>
      </c>
      <c r="K23" s="17">
        <f>MAX(0,$F23-INDEX(Grid_Stock[#Data],MATCH($D23,Grid_Stock[Part Name],0),$P$7+3))</f>
        <v/>
      </c>
      <c r="L23" s="17">
        <f>MAX(0,$F23-INDEX(Grid_Stock[#Data],MATCH($D23,Grid_Stock[Part Name],0),$P$7+4))</f>
        <v/>
      </c>
      <c r="M23" s="17">
        <f>MAX(0,$F23-INDEX(Grid_Stock[#Data],MATCH($D23,Grid_Stock[Part Name],0),$P$7+5))</f>
        <v/>
      </c>
      <c r="N23" s="17">
        <f>MAX(0,$F23-INDEX(Grid_Stock[#Data],MATCH($D23,Grid_Stock[Part Name],0),$P$7+6))</f>
        <v/>
      </c>
      <c r="O23" s="17">
        <f>MAX(0,$F23-INDEX(Grid_Stock[#Data],MATCH($D23,Grid_Stock[Part Name],0),$P$7+7))</f>
        <v/>
      </c>
      <c r="P23" s="17">
        <f>MAX(0,$F23-INDEX(Grid_Stock[#Data],MATCH($D23,Grid_Stock[Part Name],0),$P$7+8))</f>
        <v/>
      </c>
      <c r="Q23" s="17">
        <f>MAX(0,$F23-INDEX(Grid_Stock[#Data],MATCH($D23,Grid_Stock[Part Name],0),$P$7+9))</f>
        <v/>
      </c>
      <c r="R23" s="17">
        <f>MAX(0,$F23-INDEX(Grid_Stock[#Data],MATCH($D23,Grid_Stock[Part Name],0),$P$7+10))</f>
        <v/>
      </c>
      <c r="S23" s="17">
        <f>MAX(0,$F23-INDEX(Grid_Stock[#Data],MATCH($D23,Grid_Stock[Part Name],0),$P$7+11))</f>
        <v/>
      </c>
      <c r="T23" s="17">
        <f>MAX(0,$F23-INDEX(Grid_Stock[#Data],MATCH($D23,Grid_Stock[Part Name],0),$P$7+12))</f>
        <v/>
      </c>
      <c r="U23" s="17">
        <f>SUM(H23:T23)</f>
        <v/>
      </c>
    </row>
    <row r="24">
      <c r="B24" s="19">
        <f>IFERROR(INDEX(M_RawMaterials[Description],MATCH("CHEM-1440",M_RawMaterials[Part Name],0)),"")</f>
        <v/>
      </c>
      <c r="C24" s="19" t="inlineStr">
        <is>
          <t>83988005701</t>
        </is>
      </c>
      <c r="D24" s="19" t="inlineStr">
        <is>
          <t>CHEM-1440</t>
        </is>
      </c>
      <c r="E24" s="19" t="inlineStr">
        <is>
          <t>kg</t>
        </is>
      </c>
      <c r="F24" s="19">
        <f>IFERROR(INDEX(M_RawMaterials[基準在庫下限_要入力],MATCH("CHEM-1440",M_RawMaterials[Part Name],0)),0)</f>
        <v/>
      </c>
      <c r="G24" s="19">
        <f>INDEX(Grid_Stock[#Data],MATCH($D24,Grid_Stock[Part Name],0),$P$7)</f>
        <v/>
      </c>
      <c r="H24" s="19">
        <f>MAX(0,$F24-INDEX(Grid_Stock[#Data],MATCH($D24,Grid_Stock[Part Name],0),$P$7+0))</f>
        <v/>
      </c>
      <c r="I24" s="19">
        <f>MAX(0,$F24-INDEX(Grid_Stock[#Data],MATCH($D24,Grid_Stock[Part Name],0),$P$7+1))</f>
        <v/>
      </c>
      <c r="J24" s="19">
        <f>MAX(0,$F24-INDEX(Grid_Stock[#Data],MATCH($D24,Grid_Stock[Part Name],0),$P$7+2))</f>
        <v/>
      </c>
      <c r="K24" s="19">
        <f>MAX(0,$F24-INDEX(Grid_Stock[#Data],MATCH($D24,Grid_Stock[Part Name],0),$P$7+3))</f>
        <v/>
      </c>
      <c r="L24" s="19">
        <f>MAX(0,$F24-INDEX(Grid_Stock[#Data],MATCH($D24,Grid_Stock[Part Name],0),$P$7+4))</f>
        <v/>
      </c>
      <c r="M24" s="19">
        <f>MAX(0,$F24-INDEX(Grid_Stock[#Data],MATCH($D24,Grid_Stock[Part Name],0),$P$7+5))</f>
        <v/>
      </c>
      <c r="N24" s="19">
        <f>MAX(0,$F24-INDEX(Grid_Stock[#Data],MATCH($D24,Grid_Stock[Part Name],0),$P$7+6))</f>
        <v/>
      </c>
      <c r="O24" s="19">
        <f>MAX(0,$F24-INDEX(Grid_Stock[#Data],MATCH($D24,Grid_Stock[Part Name],0),$P$7+7))</f>
        <v/>
      </c>
      <c r="P24" s="19">
        <f>MAX(0,$F24-INDEX(Grid_Stock[#Data],MATCH($D24,Grid_Stock[Part Name],0),$P$7+8))</f>
        <v/>
      </c>
      <c r="Q24" s="19">
        <f>MAX(0,$F24-INDEX(Grid_Stock[#Data],MATCH($D24,Grid_Stock[Part Name],0),$P$7+9))</f>
        <v/>
      </c>
      <c r="R24" s="19">
        <f>MAX(0,$F24-INDEX(Grid_Stock[#Data],MATCH($D24,Grid_Stock[Part Name],0),$P$7+10))</f>
        <v/>
      </c>
      <c r="S24" s="19">
        <f>MAX(0,$F24-INDEX(Grid_Stock[#Data],MATCH($D24,Grid_Stock[Part Name],0),$P$7+11))</f>
        <v/>
      </c>
      <c r="T24" s="19">
        <f>MAX(0,$F24-INDEX(Grid_Stock[#Data],MATCH($D24,Grid_Stock[Part Name],0),$P$7+12))</f>
        <v/>
      </c>
      <c r="U24" s="19">
        <f>SUM(H24:T24)</f>
        <v/>
      </c>
    </row>
    <row r="25">
      <c r="B25" s="17">
        <f>IFERROR(INDEX(M_RawMaterials[Description],MATCH("CHEM-1780",M_RawMaterials[Part Name],0)),"")</f>
        <v/>
      </c>
      <c r="C25" s="17" t="inlineStr">
        <is>
          <t>New</t>
        </is>
      </c>
      <c r="D25" s="17" t="inlineStr">
        <is>
          <t>CHEM-1780</t>
        </is>
      </c>
      <c r="E25" s="17" t="inlineStr">
        <is>
          <t>kg</t>
        </is>
      </c>
      <c r="F25" s="17">
        <f>IFERROR(INDEX(M_RawMaterials[基準在庫下限_要入力],MATCH("CHEM-1780",M_RawMaterials[Part Name],0)),0)</f>
        <v/>
      </c>
      <c r="G25" s="17">
        <f>INDEX(Grid_Stock[#Data],MATCH($D25,Grid_Stock[Part Name],0),$P$7)</f>
        <v/>
      </c>
      <c r="H25" s="17">
        <f>MAX(0,$F25-INDEX(Grid_Stock[#Data],MATCH($D25,Grid_Stock[Part Name],0),$P$7+0))</f>
        <v/>
      </c>
      <c r="I25" s="17">
        <f>MAX(0,$F25-INDEX(Grid_Stock[#Data],MATCH($D25,Grid_Stock[Part Name],0),$P$7+1))</f>
        <v/>
      </c>
      <c r="J25" s="17">
        <f>MAX(0,$F25-INDEX(Grid_Stock[#Data],MATCH($D25,Grid_Stock[Part Name],0),$P$7+2))</f>
        <v/>
      </c>
      <c r="K25" s="17">
        <f>MAX(0,$F25-INDEX(Grid_Stock[#Data],MATCH($D25,Grid_Stock[Part Name],0),$P$7+3))</f>
        <v/>
      </c>
      <c r="L25" s="17">
        <f>MAX(0,$F25-INDEX(Grid_Stock[#Data],MATCH($D25,Grid_Stock[Part Name],0),$P$7+4))</f>
        <v/>
      </c>
      <c r="M25" s="17">
        <f>MAX(0,$F25-INDEX(Grid_Stock[#Data],MATCH($D25,Grid_Stock[Part Name],0),$P$7+5))</f>
        <v/>
      </c>
      <c r="N25" s="17">
        <f>MAX(0,$F25-INDEX(Grid_Stock[#Data],MATCH($D25,Grid_Stock[Part Name],0),$P$7+6))</f>
        <v/>
      </c>
      <c r="O25" s="17">
        <f>MAX(0,$F25-INDEX(Grid_Stock[#Data],MATCH($D25,Grid_Stock[Part Name],0),$P$7+7))</f>
        <v/>
      </c>
      <c r="P25" s="17">
        <f>MAX(0,$F25-INDEX(Grid_Stock[#Data],MATCH($D25,Grid_Stock[Part Name],0),$P$7+8))</f>
        <v/>
      </c>
      <c r="Q25" s="17">
        <f>MAX(0,$F25-INDEX(Grid_Stock[#Data],MATCH($D25,Grid_Stock[Part Name],0),$P$7+9))</f>
        <v/>
      </c>
      <c r="R25" s="17">
        <f>MAX(0,$F25-INDEX(Grid_Stock[#Data],MATCH($D25,Grid_Stock[Part Name],0),$P$7+10))</f>
        <v/>
      </c>
      <c r="S25" s="17">
        <f>MAX(0,$F25-INDEX(Grid_Stock[#Data],MATCH($D25,Grid_Stock[Part Name],0),$P$7+11))</f>
        <v/>
      </c>
      <c r="T25" s="17">
        <f>MAX(0,$F25-INDEX(Grid_Stock[#Data],MATCH($D25,Grid_Stock[Part Name],0),$P$7+12))</f>
        <v/>
      </c>
      <c r="U25" s="17">
        <f>SUM(H25:T25)</f>
        <v/>
      </c>
    </row>
    <row r="26">
      <c r="B26" s="19">
        <f>IFERROR(INDEX(M_RawMaterials[Description],MATCH("CHEM-1400",M_RawMaterials[Part Name],0)),"")</f>
        <v/>
      </c>
      <c r="C26" s="19" t="inlineStr">
        <is>
          <t>71288617001</t>
        </is>
      </c>
      <c r="D26" s="19" t="inlineStr">
        <is>
          <t>CHEM-1400</t>
        </is>
      </c>
      <c r="E26" s="19" t="inlineStr">
        <is>
          <t>kg</t>
        </is>
      </c>
      <c r="F26" s="19">
        <f>IFERROR(INDEX(M_RawMaterials[基準在庫下限_要入力],MATCH("CHEM-1400",M_RawMaterials[Part Name],0)),0)</f>
        <v/>
      </c>
      <c r="G26" s="19">
        <f>INDEX(Grid_Stock[#Data],MATCH($D26,Grid_Stock[Part Name],0),$P$7)</f>
        <v/>
      </c>
      <c r="H26" s="19">
        <f>MAX(0,$F26-INDEX(Grid_Stock[#Data],MATCH($D26,Grid_Stock[Part Name],0),$P$7+0))</f>
        <v/>
      </c>
      <c r="I26" s="19">
        <f>MAX(0,$F26-INDEX(Grid_Stock[#Data],MATCH($D26,Grid_Stock[Part Name],0),$P$7+1))</f>
        <v/>
      </c>
      <c r="J26" s="19">
        <f>MAX(0,$F26-INDEX(Grid_Stock[#Data],MATCH($D26,Grid_Stock[Part Name],0),$P$7+2))</f>
        <v/>
      </c>
      <c r="K26" s="19">
        <f>MAX(0,$F26-INDEX(Grid_Stock[#Data],MATCH($D26,Grid_Stock[Part Name],0),$P$7+3))</f>
        <v/>
      </c>
      <c r="L26" s="19">
        <f>MAX(0,$F26-INDEX(Grid_Stock[#Data],MATCH($D26,Grid_Stock[Part Name],0),$P$7+4))</f>
        <v/>
      </c>
      <c r="M26" s="19">
        <f>MAX(0,$F26-INDEX(Grid_Stock[#Data],MATCH($D26,Grid_Stock[Part Name],0),$P$7+5))</f>
        <v/>
      </c>
      <c r="N26" s="19">
        <f>MAX(0,$F26-INDEX(Grid_Stock[#Data],MATCH($D26,Grid_Stock[Part Name],0),$P$7+6))</f>
        <v/>
      </c>
      <c r="O26" s="19">
        <f>MAX(0,$F26-INDEX(Grid_Stock[#Data],MATCH($D26,Grid_Stock[Part Name],0),$P$7+7))</f>
        <v/>
      </c>
      <c r="P26" s="19">
        <f>MAX(0,$F26-INDEX(Grid_Stock[#Data],MATCH($D26,Grid_Stock[Part Name],0),$P$7+8))</f>
        <v/>
      </c>
      <c r="Q26" s="19">
        <f>MAX(0,$F26-INDEX(Grid_Stock[#Data],MATCH($D26,Grid_Stock[Part Name],0),$P$7+9))</f>
        <v/>
      </c>
      <c r="R26" s="19">
        <f>MAX(0,$F26-INDEX(Grid_Stock[#Data],MATCH($D26,Grid_Stock[Part Name],0),$P$7+10))</f>
        <v/>
      </c>
      <c r="S26" s="19">
        <f>MAX(0,$F26-INDEX(Grid_Stock[#Data],MATCH($D26,Grid_Stock[Part Name],0),$P$7+11))</f>
        <v/>
      </c>
      <c r="T26" s="19">
        <f>MAX(0,$F26-INDEX(Grid_Stock[#Data],MATCH($D26,Grid_Stock[Part Name],0),$P$7+12))</f>
        <v/>
      </c>
      <c r="U26" s="19">
        <f>SUM(H26:T26)</f>
        <v/>
      </c>
    </row>
    <row r="27">
      <c r="B27" s="17">
        <f>IFERROR(INDEX(M_RawMaterials[Description],MATCH("CHEM-1650",M_RawMaterials[Part Name],0)),"")</f>
        <v/>
      </c>
      <c r="C27" s="17" t="inlineStr">
        <is>
          <t>712886256</t>
        </is>
      </c>
      <c r="D27" s="17" t="inlineStr">
        <is>
          <t>CHEM-1650</t>
        </is>
      </c>
      <c r="E27" s="17" t="inlineStr">
        <is>
          <t>kg</t>
        </is>
      </c>
      <c r="F27" s="17">
        <f>IFERROR(INDEX(M_RawMaterials[基準在庫下限_要入力],MATCH("CHEM-1650",M_RawMaterials[Part Name],0)),0)</f>
        <v/>
      </c>
      <c r="G27" s="17">
        <f>INDEX(Grid_Stock[#Data],MATCH($D27,Grid_Stock[Part Name],0),$P$7)</f>
        <v/>
      </c>
      <c r="H27" s="17">
        <f>MAX(0,$F27-INDEX(Grid_Stock[#Data],MATCH($D27,Grid_Stock[Part Name],0),$P$7+0))</f>
        <v/>
      </c>
      <c r="I27" s="17">
        <f>MAX(0,$F27-INDEX(Grid_Stock[#Data],MATCH($D27,Grid_Stock[Part Name],0),$P$7+1))</f>
        <v/>
      </c>
      <c r="J27" s="17">
        <f>MAX(0,$F27-INDEX(Grid_Stock[#Data],MATCH($D27,Grid_Stock[Part Name],0),$P$7+2))</f>
        <v/>
      </c>
      <c r="K27" s="17">
        <f>MAX(0,$F27-INDEX(Grid_Stock[#Data],MATCH($D27,Grid_Stock[Part Name],0),$P$7+3))</f>
        <v/>
      </c>
      <c r="L27" s="17">
        <f>MAX(0,$F27-INDEX(Grid_Stock[#Data],MATCH($D27,Grid_Stock[Part Name],0),$P$7+4))</f>
        <v/>
      </c>
      <c r="M27" s="17">
        <f>MAX(0,$F27-INDEX(Grid_Stock[#Data],MATCH($D27,Grid_Stock[Part Name],0),$P$7+5))</f>
        <v/>
      </c>
      <c r="N27" s="17">
        <f>MAX(0,$F27-INDEX(Grid_Stock[#Data],MATCH($D27,Grid_Stock[Part Name],0),$P$7+6))</f>
        <v/>
      </c>
      <c r="O27" s="17">
        <f>MAX(0,$F27-INDEX(Grid_Stock[#Data],MATCH($D27,Grid_Stock[Part Name],0),$P$7+7))</f>
        <v/>
      </c>
      <c r="P27" s="17">
        <f>MAX(0,$F27-INDEX(Grid_Stock[#Data],MATCH($D27,Grid_Stock[Part Name],0),$P$7+8))</f>
        <v/>
      </c>
      <c r="Q27" s="17">
        <f>MAX(0,$F27-INDEX(Grid_Stock[#Data],MATCH($D27,Grid_Stock[Part Name],0),$P$7+9))</f>
        <v/>
      </c>
      <c r="R27" s="17">
        <f>MAX(0,$F27-INDEX(Grid_Stock[#Data],MATCH($D27,Grid_Stock[Part Name],0),$P$7+10))</f>
        <v/>
      </c>
      <c r="S27" s="17">
        <f>MAX(0,$F27-INDEX(Grid_Stock[#Data],MATCH($D27,Grid_Stock[Part Name],0),$P$7+11))</f>
        <v/>
      </c>
      <c r="T27" s="17">
        <f>MAX(0,$F27-INDEX(Grid_Stock[#Data],MATCH($D27,Grid_Stock[Part Name],0),$P$7+12))</f>
        <v/>
      </c>
      <c r="U27" s="17">
        <f>SUM(H27:T27)</f>
        <v/>
      </c>
    </row>
    <row r="28">
      <c r="B28" s="19">
        <f>IFERROR(INDEX(M_RawMaterials[Description],MATCH("CHEM-1420",M_RawMaterials[Part Name],0)),"")</f>
        <v/>
      </c>
      <c r="C28" s="19" t="inlineStr">
        <is>
          <t>71288629601</t>
        </is>
      </c>
      <c r="D28" s="19" t="inlineStr">
        <is>
          <t>CHEM-1420</t>
        </is>
      </c>
      <c r="E28" s="19" t="inlineStr">
        <is>
          <t>kg</t>
        </is>
      </c>
      <c r="F28" s="19">
        <f>IFERROR(INDEX(M_RawMaterials[基準在庫下限_要入力],MATCH("CHEM-1420",M_RawMaterials[Part Name],0)),0)</f>
        <v/>
      </c>
      <c r="G28" s="19">
        <f>INDEX(Grid_Stock[#Data],MATCH($D28,Grid_Stock[Part Name],0),$P$7)</f>
        <v/>
      </c>
      <c r="H28" s="19">
        <f>MAX(0,$F28-INDEX(Grid_Stock[#Data],MATCH($D28,Grid_Stock[Part Name],0),$P$7+0))</f>
        <v/>
      </c>
      <c r="I28" s="19">
        <f>MAX(0,$F28-INDEX(Grid_Stock[#Data],MATCH($D28,Grid_Stock[Part Name],0),$P$7+1))</f>
        <v/>
      </c>
      <c r="J28" s="19">
        <f>MAX(0,$F28-INDEX(Grid_Stock[#Data],MATCH($D28,Grid_Stock[Part Name],0),$P$7+2))</f>
        <v/>
      </c>
      <c r="K28" s="19">
        <f>MAX(0,$F28-INDEX(Grid_Stock[#Data],MATCH($D28,Grid_Stock[Part Name],0),$P$7+3))</f>
        <v/>
      </c>
      <c r="L28" s="19">
        <f>MAX(0,$F28-INDEX(Grid_Stock[#Data],MATCH($D28,Grid_Stock[Part Name],0),$P$7+4))</f>
        <v/>
      </c>
      <c r="M28" s="19">
        <f>MAX(0,$F28-INDEX(Grid_Stock[#Data],MATCH($D28,Grid_Stock[Part Name],0),$P$7+5))</f>
        <v/>
      </c>
      <c r="N28" s="19">
        <f>MAX(0,$F28-INDEX(Grid_Stock[#Data],MATCH($D28,Grid_Stock[Part Name],0),$P$7+6))</f>
        <v/>
      </c>
      <c r="O28" s="19">
        <f>MAX(0,$F28-INDEX(Grid_Stock[#Data],MATCH($D28,Grid_Stock[Part Name],0),$P$7+7))</f>
        <v/>
      </c>
      <c r="P28" s="19">
        <f>MAX(0,$F28-INDEX(Grid_Stock[#Data],MATCH($D28,Grid_Stock[Part Name],0),$P$7+8))</f>
        <v/>
      </c>
      <c r="Q28" s="19">
        <f>MAX(0,$F28-INDEX(Grid_Stock[#Data],MATCH($D28,Grid_Stock[Part Name],0),$P$7+9))</f>
        <v/>
      </c>
      <c r="R28" s="19">
        <f>MAX(0,$F28-INDEX(Grid_Stock[#Data],MATCH($D28,Grid_Stock[Part Name],0),$P$7+10))</f>
        <v/>
      </c>
      <c r="S28" s="19">
        <f>MAX(0,$F28-INDEX(Grid_Stock[#Data],MATCH($D28,Grid_Stock[Part Name],0),$P$7+11))</f>
        <v/>
      </c>
      <c r="T28" s="19">
        <f>MAX(0,$F28-INDEX(Grid_Stock[#Data],MATCH($D28,Grid_Stock[Part Name],0),$P$7+12))</f>
        <v/>
      </c>
      <c r="U28" s="19">
        <f>SUM(H28:T28)</f>
        <v/>
      </c>
    </row>
    <row r="29">
      <c r="B29" s="17">
        <f>IFERROR(INDEX(M_RawMaterials[Description],MATCH("CHEM-1530",M_RawMaterials[Part Name],0)),"")</f>
        <v/>
      </c>
      <c r="C29" s="17" t="inlineStr">
        <is>
          <t>71388003501</t>
        </is>
      </c>
      <c r="D29" s="17" t="inlineStr">
        <is>
          <t>CHEM-1530</t>
        </is>
      </c>
      <c r="E29" s="17" t="inlineStr">
        <is>
          <t>kg</t>
        </is>
      </c>
      <c r="F29" s="17">
        <f>IFERROR(INDEX(M_RawMaterials[基準在庫下限_要入力],MATCH("CHEM-1530",M_RawMaterials[Part Name],0)),0)</f>
        <v/>
      </c>
      <c r="G29" s="17">
        <f>INDEX(Grid_Stock[#Data],MATCH($D29,Grid_Stock[Part Name],0),$P$7)</f>
        <v/>
      </c>
      <c r="H29" s="17">
        <f>MAX(0,$F29-INDEX(Grid_Stock[#Data],MATCH($D29,Grid_Stock[Part Name],0),$P$7+0))</f>
        <v/>
      </c>
      <c r="I29" s="17">
        <f>MAX(0,$F29-INDEX(Grid_Stock[#Data],MATCH($D29,Grid_Stock[Part Name],0),$P$7+1))</f>
        <v/>
      </c>
      <c r="J29" s="17">
        <f>MAX(0,$F29-INDEX(Grid_Stock[#Data],MATCH($D29,Grid_Stock[Part Name],0),$P$7+2))</f>
        <v/>
      </c>
      <c r="K29" s="17">
        <f>MAX(0,$F29-INDEX(Grid_Stock[#Data],MATCH($D29,Grid_Stock[Part Name],0),$P$7+3))</f>
        <v/>
      </c>
      <c r="L29" s="17">
        <f>MAX(0,$F29-INDEX(Grid_Stock[#Data],MATCH($D29,Grid_Stock[Part Name],0),$P$7+4))</f>
        <v/>
      </c>
      <c r="M29" s="17">
        <f>MAX(0,$F29-INDEX(Grid_Stock[#Data],MATCH($D29,Grid_Stock[Part Name],0),$P$7+5))</f>
        <v/>
      </c>
      <c r="N29" s="17">
        <f>MAX(0,$F29-INDEX(Grid_Stock[#Data],MATCH($D29,Grid_Stock[Part Name],0),$P$7+6))</f>
        <v/>
      </c>
      <c r="O29" s="17">
        <f>MAX(0,$F29-INDEX(Grid_Stock[#Data],MATCH($D29,Grid_Stock[Part Name],0),$P$7+7))</f>
        <v/>
      </c>
      <c r="P29" s="17">
        <f>MAX(0,$F29-INDEX(Grid_Stock[#Data],MATCH($D29,Grid_Stock[Part Name],0),$P$7+8))</f>
        <v/>
      </c>
      <c r="Q29" s="17">
        <f>MAX(0,$F29-INDEX(Grid_Stock[#Data],MATCH($D29,Grid_Stock[Part Name],0),$P$7+9))</f>
        <v/>
      </c>
      <c r="R29" s="17">
        <f>MAX(0,$F29-INDEX(Grid_Stock[#Data],MATCH($D29,Grid_Stock[Part Name],0),$P$7+10))</f>
        <v/>
      </c>
      <c r="S29" s="17">
        <f>MAX(0,$F29-INDEX(Grid_Stock[#Data],MATCH($D29,Grid_Stock[Part Name],0),$P$7+11))</f>
        <v/>
      </c>
      <c r="T29" s="17">
        <f>MAX(0,$F29-INDEX(Grid_Stock[#Data],MATCH($D29,Grid_Stock[Part Name],0),$P$7+12))</f>
        <v/>
      </c>
      <c r="U29" s="17">
        <f>SUM(H29:T29)</f>
        <v/>
      </c>
    </row>
    <row r="30">
      <c r="B30" s="19">
        <f>IFERROR(INDEX(M_RawMaterials[Description],MATCH("CHEM-1480",M_RawMaterials[Part Name],0)),"")</f>
        <v/>
      </c>
      <c r="C30" s="19" t="inlineStr">
        <is>
          <t>NAT30</t>
        </is>
      </c>
      <c r="D30" s="19" t="inlineStr">
        <is>
          <t>CHEM-1480</t>
        </is>
      </c>
      <c r="E30" s="19" t="inlineStr">
        <is>
          <t>kg</t>
        </is>
      </c>
      <c r="F30" s="19">
        <f>IFERROR(INDEX(M_RawMaterials[基準在庫下限_要入力],MATCH("CHEM-1480",M_RawMaterials[Part Name],0)),0)</f>
        <v/>
      </c>
      <c r="G30" s="19">
        <f>INDEX(Grid_Stock[#Data],MATCH($D30,Grid_Stock[Part Name],0),$P$7)</f>
        <v/>
      </c>
      <c r="H30" s="19">
        <f>MAX(0,$F30-INDEX(Grid_Stock[#Data],MATCH($D30,Grid_Stock[Part Name],0),$P$7+0))</f>
        <v/>
      </c>
      <c r="I30" s="19">
        <f>MAX(0,$F30-INDEX(Grid_Stock[#Data],MATCH($D30,Grid_Stock[Part Name],0),$P$7+1))</f>
        <v/>
      </c>
      <c r="J30" s="19">
        <f>MAX(0,$F30-INDEX(Grid_Stock[#Data],MATCH($D30,Grid_Stock[Part Name],0),$P$7+2))</f>
        <v/>
      </c>
      <c r="K30" s="19">
        <f>MAX(0,$F30-INDEX(Grid_Stock[#Data],MATCH($D30,Grid_Stock[Part Name],0),$P$7+3))</f>
        <v/>
      </c>
      <c r="L30" s="19">
        <f>MAX(0,$F30-INDEX(Grid_Stock[#Data],MATCH($D30,Grid_Stock[Part Name],0),$P$7+4))</f>
        <v/>
      </c>
      <c r="M30" s="19">
        <f>MAX(0,$F30-INDEX(Grid_Stock[#Data],MATCH($D30,Grid_Stock[Part Name],0),$P$7+5))</f>
        <v/>
      </c>
      <c r="N30" s="19">
        <f>MAX(0,$F30-INDEX(Grid_Stock[#Data],MATCH($D30,Grid_Stock[Part Name],0),$P$7+6))</f>
        <v/>
      </c>
      <c r="O30" s="19">
        <f>MAX(0,$F30-INDEX(Grid_Stock[#Data],MATCH($D30,Grid_Stock[Part Name],0),$P$7+7))</f>
        <v/>
      </c>
      <c r="P30" s="19">
        <f>MAX(0,$F30-INDEX(Grid_Stock[#Data],MATCH($D30,Grid_Stock[Part Name],0),$P$7+8))</f>
        <v/>
      </c>
      <c r="Q30" s="19">
        <f>MAX(0,$F30-INDEX(Grid_Stock[#Data],MATCH($D30,Grid_Stock[Part Name],0),$P$7+9))</f>
        <v/>
      </c>
      <c r="R30" s="19">
        <f>MAX(0,$F30-INDEX(Grid_Stock[#Data],MATCH($D30,Grid_Stock[Part Name],0),$P$7+10))</f>
        <v/>
      </c>
      <c r="S30" s="19">
        <f>MAX(0,$F30-INDEX(Grid_Stock[#Data],MATCH($D30,Grid_Stock[Part Name],0),$P$7+11))</f>
        <v/>
      </c>
      <c r="T30" s="19">
        <f>MAX(0,$F30-INDEX(Grid_Stock[#Data],MATCH($D30,Grid_Stock[Part Name],0),$P$7+12))</f>
        <v/>
      </c>
      <c r="U30" s="19">
        <f>SUM(H30:T30)</f>
        <v/>
      </c>
    </row>
    <row r="31">
      <c r="B31" s="17">
        <f>IFERROR(INDEX(M_RawMaterials[Description],MATCH("CHEM-1540",M_RawMaterials[Part Name],0)),"")</f>
        <v/>
      </c>
      <c r="C31" s="17" t="inlineStr">
        <is>
          <t>71388005801</t>
        </is>
      </c>
      <c r="D31" s="17" t="inlineStr">
        <is>
          <t>CHEM-1540</t>
        </is>
      </c>
      <c r="E31" s="17" t="inlineStr">
        <is>
          <t>kg</t>
        </is>
      </c>
      <c r="F31" s="17">
        <f>IFERROR(INDEX(M_RawMaterials[基準在庫下限_要入力],MATCH("CHEM-1540",M_RawMaterials[Part Name],0)),0)</f>
        <v/>
      </c>
      <c r="G31" s="17">
        <f>INDEX(Grid_Stock[#Data],MATCH($D31,Grid_Stock[Part Name],0),$P$7)</f>
        <v/>
      </c>
      <c r="H31" s="17">
        <f>MAX(0,$F31-INDEX(Grid_Stock[#Data],MATCH($D31,Grid_Stock[Part Name],0),$P$7+0))</f>
        <v/>
      </c>
      <c r="I31" s="17">
        <f>MAX(0,$F31-INDEX(Grid_Stock[#Data],MATCH($D31,Grid_Stock[Part Name],0),$P$7+1))</f>
        <v/>
      </c>
      <c r="J31" s="17">
        <f>MAX(0,$F31-INDEX(Grid_Stock[#Data],MATCH($D31,Grid_Stock[Part Name],0),$P$7+2))</f>
        <v/>
      </c>
      <c r="K31" s="17">
        <f>MAX(0,$F31-INDEX(Grid_Stock[#Data],MATCH($D31,Grid_Stock[Part Name],0),$P$7+3))</f>
        <v/>
      </c>
      <c r="L31" s="17">
        <f>MAX(0,$F31-INDEX(Grid_Stock[#Data],MATCH($D31,Grid_Stock[Part Name],0),$P$7+4))</f>
        <v/>
      </c>
      <c r="M31" s="17">
        <f>MAX(0,$F31-INDEX(Grid_Stock[#Data],MATCH($D31,Grid_Stock[Part Name],0),$P$7+5))</f>
        <v/>
      </c>
      <c r="N31" s="17">
        <f>MAX(0,$F31-INDEX(Grid_Stock[#Data],MATCH($D31,Grid_Stock[Part Name],0),$P$7+6))</f>
        <v/>
      </c>
      <c r="O31" s="17">
        <f>MAX(0,$F31-INDEX(Grid_Stock[#Data],MATCH($D31,Grid_Stock[Part Name],0),$P$7+7))</f>
        <v/>
      </c>
      <c r="P31" s="17">
        <f>MAX(0,$F31-INDEX(Grid_Stock[#Data],MATCH($D31,Grid_Stock[Part Name],0),$P$7+8))</f>
        <v/>
      </c>
      <c r="Q31" s="17">
        <f>MAX(0,$F31-INDEX(Grid_Stock[#Data],MATCH($D31,Grid_Stock[Part Name],0),$P$7+9))</f>
        <v/>
      </c>
      <c r="R31" s="17">
        <f>MAX(0,$F31-INDEX(Grid_Stock[#Data],MATCH($D31,Grid_Stock[Part Name],0),$P$7+10))</f>
        <v/>
      </c>
      <c r="S31" s="17">
        <f>MAX(0,$F31-INDEX(Grid_Stock[#Data],MATCH($D31,Grid_Stock[Part Name],0),$P$7+11))</f>
        <v/>
      </c>
      <c r="T31" s="17">
        <f>MAX(0,$F31-INDEX(Grid_Stock[#Data],MATCH($D31,Grid_Stock[Part Name],0),$P$7+12))</f>
        <v/>
      </c>
      <c r="U31" s="17">
        <f>SUM(H31:T31)</f>
        <v/>
      </c>
    </row>
    <row r="32">
      <c r="B32" s="19">
        <f>IFERROR(INDEX(M_RawMaterials[Description],MATCH("CHEM-1680",M_RawMaterials[Part Name],0)),"")</f>
        <v/>
      </c>
      <c r="C32" s="19" t="inlineStr">
        <is>
          <t>713880069</t>
        </is>
      </c>
      <c r="D32" s="19" t="inlineStr">
        <is>
          <t>CHEM-1680</t>
        </is>
      </c>
      <c r="E32" s="19" t="inlineStr">
        <is>
          <t>kg</t>
        </is>
      </c>
      <c r="F32" s="19">
        <f>IFERROR(INDEX(M_RawMaterials[基準在庫下限_要入力],MATCH("CHEM-1680",M_RawMaterials[Part Name],0)),0)</f>
        <v/>
      </c>
      <c r="G32" s="19">
        <f>INDEX(Grid_Stock[#Data],MATCH($D32,Grid_Stock[Part Name],0),$P$7)</f>
        <v/>
      </c>
      <c r="H32" s="19">
        <f>MAX(0,$F32-INDEX(Grid_Stock[#Data],MATCH($D32,Grid_Stock[Part Name],0),$P$7+0))</f>
        <v/>
      </c>
      <c r="I32" s="19">
        <f>MAX(0,$F32-INDEX(Grid_Stock[#Data],MATCH($D32,Grid_Stock[Part Name],0),$P$7+1))</f>
        <v/>
      </c>
      <c r="J32" s="19">
        <f>MAX(0,$F32-INDEX(Grid_Stock[#Data],MATCH($D32,Grid_Stock[Part Name],0),$P$7+2))</f>
        <v/>
      </c>
      <c r="K32" s="19">
        <f>MAX(0,$F32-INDEX(Grid_Stock[#Data],MATCH($D32,Grid_Stock[Part Name],0),$P$7+3))</f>
        <v/>
      </c>
      <c r="L32" s="19">
        <f>MAX(0,$F32-INDEX(Grid_Stock[#Data],MATCH($D32,Grid_Stock[Part Name],0),$P$7+4))</f>
        <v/>
      </c>
      <c r="M32" s="19">
        <f>MAX(0,$F32-INDEX(Grid_Stock[#Data],MATCH($D32,Grid_Stock[Part Name],0),$P$7+5))</f>
        <v/>
      </c>
      <c r="N32" s="19">
        <f>MAX(0,$F32-INDEX(Grid_Stock[#Data],MATCH($D32,Grid_Stock[Part Name],0),$P$7+6))</f>
        <v/>
      </c>
      <c r="O32" s="19">
        <f>MAX(0,$F32-INDEX(Grid_Stock[#Data],MATCH($D32,Grid_Stock[Part Name],0),$P$7+7))</f>
        <v/>
      </c>
      <c r="P32" s="19">
        <f>MAX(0,$F32-INDEX(Grid_Stock[#Data],MATCH($D32,Grid_Stock[Part Name],0),$P$7+8))</f>
        <v/>
      </c>
      <c r="Q32" s="19">
        <f>MAX(0,$F32-INDEX(Grid_Stock[#Data],MATCH($D32,Grid_Stock[Part Name],0),$P$7+9))</f>
        <v/>
      </c>
      <c r="R32" s="19">
        <f>MAX(0,$F32-INDEX(Grid_Stock[#Data],MATCH($D32,Grid_Stock[Part Name],0),$P$7+10))</f>
        <v/>
      </c>
      <c r="S32" s="19">
        <f>MAX(0,$F32-INDEX(Grid_Stock[#Data],MATCH($D32,Grid_Stock[Part Name],0),$P$7+11))</f>
        <v/>
      </c>
      <c r="T32" s="19">
        <f>MAX(0,$F32-INDEX(Grid_Stock[#Data],MATCH($D32,Grid_Stock[Part Name],0),$P$7+12))</f>
        <v/>
      </c>
      <c r="U32" s="19">
        <f>SUM(H32:T32)</f>
        <v/>
      </c>
    </row>
    <row r="33">
      <c r="B33" s="17">
        <f>IFERROR(INDEX(M_RawMaterials[Description],MATCH("CHEM-1730",M_RawMaterials[Part Name],0)),"")</f>
        <v/>
      </c>
      <c r="C33" s="17" t="inlineStr">
        <is>
          <t>71388007701</t>
        </is>
      </c>
      <c r="D33" s="17" t="inlineStr">
        <is>
          <t>CHEM-1730</t>
        </is>
      </c>
      <c r="E33" s="17" t="inlineStr">
        <is>
          <t>kg</t>
        </is>
      </c>
      <c r="F33" s="17">
        <f>IFERROR(INDEX(M_RawMaterials[基準在庫下限_要入力],MATCH("CHEM-1730",M_RawMaterials[Part Name],0)),0)</f>
        <v/>
      </c>
      <c r="G33" s="17">
        <f>INDEX(Grid_Stock[#Data],MATCH($D33,Grid_Stock[Part Name],0),$P$7)</f>
        <v/>
      </c>
      <c r="H33" s="17">
        <f>MAX(0,$F33-INDEX(Grid_Stock[#Data],MATCH($D33,Grid_Stock[Part Name],0),$P$7+0))</f>
        <v/>
      </c>
      <c r="I33" s="17">
        <f>MAX(0,$F33-INDEX(Grid_Stock[#Data],MATCH($D33,Grid_Stock[Part Name],0),$P$7+1))</f>
        <v/>
      </c>
      <c r="J33" s="17">
        <f>MAX(0,$F33-INDEX(Grid_Stock[#Data],MATCH($D33,Grid_Stock[Part Name],0),$P$7+2))</f>
        <v/>
      </c>
      <c r="K33" s="17">
        <f>MAX(0,$F33-INDEX(Grid_Stock[#Data],MATCH($D33,Grid_Stock[Part Name],0),$P$7+3))</f>
        <v/>
      </c>
      <c r="L33" s="17">
        <f>MAX(0,$F33-INDEX(Grid_Stock[#Data],MATCH($D33,Grid_Stock[Part Name],0),$P$7+4))</f>
        <v/>
      </c>
      <c r="M33" s="17">
        <f>MAX(0,$F33-INDEX(Grid_Stock[#Data],MATCH($D33,Grid_Stock[Part Name],0),$P$7+5))</f>
        <v/>
      </c>
      <c r="N33" s="17">
        <f>MAX(0,$F33-INDEX(Grid_Stock[#Data],MATCH($D33,Grid_Stock[Part Name],0),$P$7+6))</f>
        <v/>
      </c>
      <c r="O33" s="17">
        <f>MAX(0,$F33-INDEX(Grid_Stock[#Data],MATCH($D33,Grid_Stock[Part Name],0),$P$7+7))</f>
        <v/>
      </c>
      <c r="P33" s="17">
        <f>MAX(0,$F33-INDEX(Grid_Stock[#Data],MATCH($D33,Grid_Stock[Part Name],0),$P$7+8))</f>
        <v/>
      </c>
      <c r="Q33" s="17">
        <f>MAX(0,$F33-INDEX(Grid_Stock[#Data],MATCH($D33,Grid_Stock[Part Name],0),$P$7+9))</f>
        <v/>
      </c>
      <c r="R33" s="17">
        <f>MAX(0,$F33-INDEX(Grid_Stock[#Data],MATCH($D33,Grid_Stock[Part Name],0),$P$7+10))</f>
        <v/>
      </c>
      <c r="S33" s="17">
        <f>MAX(0,$F33-INDEX(Grid_Stock[#Data],MATCH($D33,Grid_Stock[Part Name],0),$P$7+11))</f>
        <v/>
      </c>
      <c r="T33" s="17">
        <f>MAX(0,$F33-INDEX(Grid_Stock[#Data],MATCH($D33,Grid_Stock[Part Name],0),$P$7+12))</f>
        <v/>
      </c>
      <c r="U33" s="17">
        <f>SUM(H33:T33)</f>
        <v/>
      </c>
    </row>
    <row r="34">
      <c r="B34" s="19">
        <f>IFERROR(INDEX(M_RawMaterials[Description],MATCH("CHEM-1570",M_RawMaterials[Part Name],0)),"")</f>
        <v/>
      </c>
      <c r="C34" s="19" t="inlineStr">
        <is>
          <t>71288624802</t>
        </is>
      </c>
      <c r="D34" s="19" t="inlineStr">
        <is>
          <t>CHEM-1570</t>
        </is>
      </c>
      <c r="E34" s="19" t="inlineStr">
        <is>
          <t>kg</t>
        </is>
      </c>
      <c r="F34" s="19">
        <f>IFERROR(INDEX(M_RawMaterials[基準在庫下限_要入力],MATCH("CHEM-1570",M_RawMaterials[Part Name],0)),0)</f>
        <v/>
      </c>
      <c r="G34" s="19">
        <f>INDEX(Grid_Stock[#Data],MATCH($D34,Grid_Stock[Part Name],0),$P$7)</f>
        <v/>
      </c>
      <c r="H34" s="19">
        <f>MAX(0,$F34-INDEX(Grid_Stock[#Data],MATCH($D34,Grid_Stock[Part Name],0),$P$7+0))</f>
        <v/>
      </c>
      <c r="I34" s="19">
        <f>MAX(0,$F34-INDEX(Grid_Stock[#Data],MATCH($D34,Grid_Stock[Part Name],0),$P$7+1))</f>
        <v/>
      </c>
      <c r="J34" s="19">
        <f>MAX(0,$F34-INDEX(Grid_Stock[#Data],MATCH($D34,Grid_Stock[Part Name],0),$P$7+2))</f>
        <v/>
      </c>
      <c r="K34" s="19">
        <f>MAX(0,$F34-INDEX(Grid_Stock[#Data],MATCH($D34,Grid_Stock[Part Name],0),$P$7+3))</f>
        <v/>
      </c>
      <c r="L34" s="19">
        <f>MAX(0,$F34-INDEX(Grid_Stock[#Data],MATCH($D34,Grid_Stock[Part Name],0),$P$7+4))</f>
        <v/>
      </c>
      <c r="M34" s="19">
        <f>MAX(0,$F34-INDEX(Grid_Stock[#Data],MATCH($D34,Grid_Stock[Part Name],0),$P$7+5))</f>
        <v/>
      </c>
      <c r="N34" s="19">
        <f>MAX(0,$F34-INDEX(Grid_Stock[#Data],MATCH($D34,Grid_Stock[Part Name],0),$P$7+6))</f>
        <v/>
      </c>
      <c r="O34" s="19">
        <f>MAX(0,$F34-INDEX(Grid_Stock[#Data],MATCH($D34,Grid_Stock[Part Name],0),$P$7+7))</f>
        <v/>
      </c>
      <c r="P34" s="19">
        <f>MAX(0,$F34-INDEX(Grid_Stock[#Data],MATCH($D34,Grid_Stock[Part Name],0),$P$7+8))</f>
        <v/>
      </c>
      <c r="Q34" s="19">
        <f>MAX(0,$F34-INDEX(Grid_Stock[#Data],MATCH($D34,Grid_Stock[Part Name],0),$P$7+9))</f>
        <v/>
      </c>
      <c r="R34" s="19">
        <f>MAX(0,$F34-INDEX(Grid_Stock[#Data],MATCH($D34,Grid_Stock[Part Name],0),$P$7+10))</f>
        <v/>
      </c>
      <c r="S34" s="19">
        <f>MAX(0,$F34-INDEX(Grid_Stock[#Data],MATCH($D34,Grid_Stock[Part Name],0),$P$7+11))</f>
        <v/>
      </c>
      <c r="T34" s="19">
        <f>MAX(0,$F34-INDEX(Grid_Stock[#Data],MATCH($D34,Grid_Stock[Part Name],0),$P$7+12))</f>
        <v/>
      </c>
      <c r="U34" s="19">
        <f>SUM(H34:T34)</f>
        <v/>
      </c>
    </row>
    <row r="35">
      <c r="B35" s="17">
        <f>IFERROR(INDEX(M_RawMaterials[Description],MATCH("CHEM-1450",M_RawMaterials[Part Name],0)),"")</f>
        <v/>
      </c>
      <c r="C35" s="17" t="inlineStr">
        <is>
          <t>Noptechs</t>
        </is>
      </c>
      <c r="D35" s="17" t="inlineStr">
        <is>
          <t>CHEM-1450</t>
        </is>
      </c>
      <c r="E35" s="17" t="inlineStr">
        <is>
          <t>kg</t>
        </is>
      </c>
      <c r="F35" s="17">
        <f>IFERROR(INDEX(M_RawMaterials[基準在庫下限_要入力],MATCH("CHEM-1450",M_RawMaterials[Part Name],0)),0)</f>
        <v/>
      </c>
      <c r="G35" s="17">
        <f>INDEX(Grid_Stock[#Data],MATCH($D35,Grid_Stock[Part Name],0),$P$7)</f>
        <v/>
      </c>
      <c r="H35" s="17">
        <f>MAX(0,$F35-INDEX(Grid_Stock[#Data],MATCH($D35,Grid_Stock[Part Name],0),$P$7+0))</f>
        <v/>
      </c>
      <c r="I35" s="17">
        <f>MAX(0,$F35-INDEX(Grid_Stock[#Data],MATCH($D35,Grid_Stock[Part Name],0),$P$7+1))</f>
        <v/>
      </c>
      <c r="J35" s="17">
        <f>MAX(0,$F35-INDEX(Grid_Stock[#Data],MATCH($D35,Grid_Stock[Part Name],0),$P$7+2))</f>
        <v/>
      </c>
      <c r="K35" s="17">
        <f>MAX(0,$F35-INDEX(Grid_Stock[#Data],MATCH($D35,Grid_Stock[Part Name],0),$P$7+3))</f>
        <v/>
      </c>
      <c r="L35" s="17">
        <f>MAX(0,$F35-INDEX(Grid_Stock[#Data],MATCH($D35,Grid_Stock[Part Name],0),$P$7+4))</f>
        <v/>
      </c>
      <c r="M35" s="17">
        <f>MAX(0,$F35-INDEX(Grid_Stock[#Data],MATCH($D35,Grid_Stock[Part Name],0),$P$7+5))</f>
        <v/>
      </c>
      <c r="N35" s="17">
        <f>MAX(0,$F35-INDEX(Grid_Stock[#Data],MATCH($D35,Grid_Stock[Part Name],0),$P$7+6))</f>
        <v/>
      </c>
      <c r="O35" s="17">
        <f>MAX(0,$F35-INDEX(Grid_Stock[#Data],MATCH($D35,Grid_Stock[Part Name],0),$P$7+7))</f>
        <v/>
      </c>
      <c r="P35" s="17">
        <f>MAX(0,$F35-INDEX(Grid_Stock[#Data],MATCH($D35,Grid_Stock[Part Name],0),$P$7+8))</f>
        <v/>
      </c>
      <c r="Q35" s="17">
        <f>MAX(0,$F35-INDEX(Grid_Stock[#Data],MATCH($D35,Grid_Stock[Part Name],0),$P$7+9))</f>
        <v/>
      </c>
      <c r="R35" s="17">
        <f>MAX(0,$F35-INDEX(Grid_Stock[#Data],MATCH($D35,Grid_Stock[Part Name],0),$P$7+10))</f>
        <v/>
      </c>
      <c r="S35" s="17">
        <f>MAX(0,$F35-INDEX(Grid_Stock[#Data],MATCH($D35,Grid_Stock[Part Name],0),$P$7+11))</f>
        <v/>
      </c>
      <c r="T35" s="17">
        <f>MAX(0,$F35-INDEX(Grid_Stock[#Data],MATCH($D35,Grid_Stock[Part Name],0),$P$7+12))</f>
        <v/>
      </c>
      <c r="U35" s="17">
        <f>SUM(H35:T35)</f>
        <v/>
      </c>
    </row>
    <row r="36">
      <c r="B36" s="19">
        <f>IFERROR(INDEX(M_RawMaterials[Description],MATCH("CHEM-1770",M_RawMaterials[Part Name],0)),"")</f>
        <v/>
      </c>
      <c r="C36" s="19" t="inlineStr">
        <is>
          <t>New</t>
        </is>
      </c>
      <c r="D36" s="19" t="inlineStr">
        <is>
          <t>CHEM-1770</t>
        </is>
      </c>
      <c r="E36" s="19" t="inlineStr">
        <is>
          <t>kg</t>
        </is>
      </c>
      <c r="F36" s="19">
        <f>IFERROR(INDEX(M_RawMaterials[基準在庫下限_要入力],MATCH("CHEM-1770",M_RawMaterials[Part Name],0)),0)</f>
        <v/>
      </c>
      <c r="G36" s="19">
        <f>INDEX(Grid_Stock[#Data],MATCH($D36,Grid_Stock[Part Name],0),$P$7)</f>
        <v/>
      </c>
      <c r="H36" s="19">
        <f>MAX(0,$F36-INDEX(Grid_Stock[#Data],MATCH($D36,Grid_Stock[Part Name],0),$P$7+0))</f>
        <v/>
      </c>
      <c r="I36" s="19">
        <f>MAX(0,$F36-INDEX(Grid_Stock[#Data],MATCH($D36,Grid_Stock[Part Name],0),$P$7+1))</f>
        <v/>
      </c>
      <c r="J36" s="19">
        <f>MAX(0,$F36-INDEX(Grid_Stock[#Data],MATCH($D36,Grid_Stock[Part Name],0),$P$7+2))</f>
        <v/>
      </c>
      <c r="K36" s="19">
        <f>MAX(0,$F36-INDEX(Grid_Stock[#Data],MATCH($D36,Grid_Stock[Part Name],0),$P$7+3))</f>
        <v/>
      </c>
      <c r="L36" s="19">
        <f>MAX(0,$F36-INDEX(Grid_Stock[#Data],MATCH($D36,Grid_Stock[Part Name],0),$P$7+4))</f>
        <v/>
      </c>
      <c r="M36" s="19">
        <f>MAX(0,$F36-INDEX(Grid_Stock[#Data],MATCH($D36,Grid_Stock[Part Name],0),$P$7+5))</f>
        <v/>
      </c>
      <c r="N36" s="19">
        <f>MAX(0,$F36-INDEX(Grid_Stock[#Data],MATCH($D36,Grid_Stock[Part Name],0),$P$7+6))</f>
        <v/>
      </c>
      <c r="O36" s="19">
        <f>MAX(0,$F36-INDEX(Grid_Stock[#Data],MATCH($D36,Grid_Stock[Part Name],0),$P$7+7))</f>
        <v/>
      </c>
      <c r="P36" s="19">
        <f>MAX(0,$F36-INDEX(Grid_Stock[#Data],MATCH($D36,Grid_Stock[Part Name],0),$P$7+8))</f>
        <v/>
      </c>
      <c r="Q36" s="19">
        <f>MAX(0,$F36-INDEX(Grid_Stock[#Data],MATCH($D36,Grid_Stock[Part Name],0),$P$7+9))</f>
        <v/>
      </c>
      <c r="R36" s="19">
        <f>MAX(0,$F36-INDEX(Grid_Stock[#Data],MATCH($D36,Grid_Stock[Part Name],0),$P$7+10))</f>
        <v/>
      </c>
      <c r="S36" s="19">
        <f>MAX(0,$F36-INDEX(Grid_Stock[#Data],MATCH($D36,Grid_Stock[Part Name],0),$P$7+11))</f>
        <v/>
      </c>
      <c r="T36" s="19">
        <f>MAX(0,$F36-INDEX(Grid_Stock[#Data],MATCH($D36,Grid_Stock[Part Name],0),$P$7+12))</f>
        <v/>
      </c>
      <c r="U36" s="19">
        <f>SUM(H36:T36)</f>
        <v/>
      </c>
    </row>
    <row r="37">
      <c r="B37" s="17">
        <f>IFERROR(INDEX(M_RawMaterials[Description],MATCH("CHEM-1430",M_RawMaterials[Part Name],0)),"")</f>
        <v/>
      </c>
      <c r="C37" s="17" t="inlineStr">
        <is>
          <t>71388004301</t>
        </is>
      </c>
      <c r="D37" s="17" t="inlineStr">
        <is>
          <t>CHEM-1430</t>
        </is>
      </c>
      <c r="E37" s="17" t="inlineStr">
        <is>
          <t>kg</t>
        </is>
      </c>
      <c r="F37" s="17">
        <f>IFERROR(INDEX(M_RawMaterials[基準在庫下限_要入力],MATCH("CHEM-1430",M_RawMaterials[Part Name],0)),0)</f>
        <v/>
      </c>
      <c r="G37" s="17">
        <f>INDEX(Grid_Stock[#Data],MATCH($D37,Grid_Stock[Part Name],0),$P$7)</f>
        <v/>
      </c>
      <c r="H37" s="17">
        <f>MAX(0,$F37-INDEX(Grid_Stock[#Data],MATCH($D37,Grid_Stock[Part Name],0),$P$7+0))</f>
        <v/>
      </c>
      <c r="I37" s="17">
        <f>MAX(0,$F37-INDEX(Grid_Stock[#Data],MATCH($D37,Grid_Stock[Part Name],0),$P$7+1))</f>
        <v/>
      </c>
      <c r="J37" s="17">
        <f>MAX(0,$F37-INDEX(Grid_Stock[#Data],MATCH($D37,Grid_Stock[Part Name],0),$P$7+2))</f>
        <v/>
      </c>
      <c r="K37" s="17">
        <f>MAX(0,$F37-INDEX(Grid_Stock[#Data],MATCH($D37,Grid_Stock[Part Name],0),$P$7+3))</f>
        <v/>
      </c>
      <c r="L37" s="17">
        <f>MAX(0,$F37-INDEX(Grid_Stock[#Data],MATCH($D37,Grid_Stock[Part Name],0),$P$7+4))</f>
        <v/>
      </c>
      <c r="M37" s="17">
        <f>MAX(0,$F37-INDEX(Grid_Stock[#Data],MATCH($D37,Grid_Stock[Part Name],0),$P$7+5))</f>
        <v/>
      </c>
      <c r="N37" s="17">
        <f>MAX(0,$F37-INDEX(Grid_Stock[#Data],MATCH($D37,Grid_Stock[Part Name],0),$P$7+6))</f>
        <v/>
      </c>
      <c r="O37" s="17">
        <f>MAX(0,$F37-INDEX(Grid_Stock[#Data],MATCH($D37,Grid_Stock[Part Name],0),$P$7+7))</f>
        <v/>
      </c>
      <c r="P37" s="17">
        <f>MAX(0,$F37-INDEX(Grid_Stock[#Data],MATCH($D37,Grid_Stock[Part Name],0),$P$7+8))</f>
        <v/>
      </c>
      <c r="Q37" s="17">
        <f>MAX(0,$F37-INDEX(Grid_Stock[#Data],MATCH($D37,Grid_Stock[Part Name],0),$P$7+9))</f>
        <v/>
      </c>
      <c r="R37" s="17">
        <f>MAX(0,$F37-INDEX(Grid_Stock[#Data],MATCH($D37,Grid_Stock[Part Name],0),$P$7+10))</f>
        <v/>
      </c>
      <c r="S37" s="17">
        <f>MAX(0,$F37-INDEX(Grid_Stock[#Data],MATCH($D37,Grid_Stock[Part Name],0),$P$7+11))</f>
        <v/>
      </c>
      <c r="T37" s="17">
        <f>MAX(0,$F37-INDEX(Grid_Stock[#Data],MATCH($D37,Grid_Stock[Part Name],0),$P$7+12))</f>
        <v/>
      </c>
      <c r="U37" s="17">
        <f>SUM(H37:T37)</f>
        <v/>
      </c>
    </row>
    <row r="38">
      <c r="B38" s="19">
        <f>IFERROR(INDEX(M_RawMaterials[Description],MATCH("CHEM-1470",M_RawMaterials[Part Name],0)),"")</f>
        <v/>
      </c>
      <c r="C38" s="19" t="inlineStr">
        <is>
          <t>SCFA100</t>
        </is>
      </c>
      <c r="D38" s="19" t="inlineStr">
        <is>
          <t>CHEM-1470</t>
        </is>
      </c>
      <c r="E38" s="19" t="inlineStr">
        <is>
          <t>kg</t>
        </is>
      </c>
      <c r="F38" s="19">
        <f>IFERROR(INDEX(M_RawMaterials[基準在庫下限_要入力],MATCH("CHEM-1470",M_RawMaterials[Part Name],0)),0)</f>
        <v/>
      </c>
      <c r="G38" s="19">
        <f>INDEX(Grid_Stock[#Data],MATCH($D38,Grid_Stock[Part Name],0),$P$7)</f>
        <v/>
      </c>
      <c r="H38" s="19">
        <f>MAX(0,$F38-INDEX(Grid_Stock[#Data],MATCH($D38,Grid_Stock[Part Name],0),$P$7+0))</f>
        <v/>
      </c>
      <c r="I38" s="19">
        <f>MAX(0,$F38-INDEX(Grid_Stock[#Data],MATCH($D38,Grid_Stock[Part Name],0),$P$7+1))</f>
        <v/>
      </c>
      <c r="J38" s="19">
        <f>MAX(0,$F38-INDEX(Grid_Stock[#Data],MATCH($D38,Grid_Stock[Part Name],0),$P$7+2))</f>
        <v/>
      </c>
      <c r="K38" s="19">
        <f>MAX(0,$F38-INDEX(Grid_Stock[#Data],MATCH($D38,Grid_Stock[Part Name],0),$P$7+3))</f>
        <v/>
      </c>
      <c r="L38" s="19">
        <f>MAX(0,$F38-INDEX(Grid_Stock[#Data],MATCH($D38,Grid_Stock[Part Name],0),$P$7+4))</f>
        <v/>
      </c>
      <c r="M38" s="19">
        <f>MAX(0,$F38-INDEX(Grid_Stock[#Data],MATCH($D38,Grid_Stock[Part Name],0),$P$7+5))</f>
        <v/>
      </c>
      <c r="N38" s="19">
        <f>MAX(0,$F38-INDEX(Grid_Stock[#Data],MATCH($D38,Grid_Stock[Part Name],0),$P$7+6))</f>
        <v/>
      </c>
      <c r="O38" s="19">
        <f>MAX(0,$F38-INDEX(Grid_Stock[#Data],MATCH($D38,Grid_Stock[Part Name],0),$P$7+7))</f>
        <v/>
      </c>
      <c r="P38" s="19">
        <f>MAX(0,$F38-INDEX(Grid_Stock[#Data],MATCH($D38,Grid_Stock[Part Name],0),$P$7+8))</f>
        <v/>
      </c>
      <c r="Q38" s="19">
        <f>MAX(0,$F38-INDEX(Grid_Stock[#Data],MATCH($D38,Grid_Stock[Part Name],0),$P$7+9))</f>
        <v/>
      </c>
      <c r="R38" s="19">
        <f>MAX(0,$F38-INDEX(Grid_Stock[#Data],MATCH($D38,Grid_Stock[Part Name],0),$P$7+10))</f>
        <v/>
      </c>
      <c r="S38" s="19">
        <f>MAX(0,$F38-INDEX(Grid_Stock[#Data],MATCH($D38,Grid_Stock[Part Name],0),$P$7+11))</f>
        <v/>
      </c>
      <c r="T38" s="19">
        <f>MAX(0,$F38-INDEX(Grid_Stock[#Data],MATCH($D38,Grid_Stock[Part Name],0),$P$7+12))</f>
        <v/>
      </c>
      <c r="U38" s="19">
        <f>SUM(H38:T38)</f>
        <v/>
      </c>
    </row>
    <row r="39">
      <c r="B39" s="17">
        <f>IFERROR(INDEX(M_RawMaterials[Description],MATCH("CHEM-1010",M_RawMaterials[Part Name],0)),"")</f>
        <v/>
      </c>
      <c r="C39" s="17" t="inlineStr">
        <is>
          <t>Sodium Carbonate</t>
        </is>
      </c>
      <c r="D39" s="17" t="inlineStr">
        <is>
          <t>CHEM-1010</t>
        </is>
      </c>
      <c r="E39" s="17" t="inlineStr">
        <is>
          <t>kg</t>
        </is>
      </c>
      <c r="F39" s="17">
        <f>IFERROR(INDEX(M_RawMaterials[基準在庫下限_要入力],MATCH("CHEM-1010",M_RawMaterials[Part Name],0)),0)</f>
        <v/>
      </c>
      <c r="G39" s="17">
        <f>INDEX(Grid_Stock[#Data],MATCH($D39,Grid_Stock[Part Name],0),$P$7)</f>
        <v/>
      </c>
      <c r="H39" s="17">
        <f>MAX(0,$F39-INDEX(Grid_Stock[#Data],MATCH($D39,Grid_Stock[Part Name],0),$P$7+0))</f>
        <v/>
      </c>
      <c r="I39" s="17">
        <f>MAX(0,$F39-INDEX(Grid_Stock[#Data],MATCH($D39,Grid_Stock[Part Name],0),$P$7+1))</f>
        <v/>
      </c>
      <c r="J39" s="17">
        <f>MAX(0,$F39-INDEX(Grid_Stock[#Data],MATCH($D39,Grid_Stock[Part Name],0),$P$7+2))</f>
        <v/>
      </c>
      <c r="K39" s="17">
        <f>MAX(0,$F39-INDEX(Grid_Stock[#Data],MATCH($D39,Grid_Stock[Part Name],0),$P$7+3))</f>
        <v/>
      </c>
      <c r="L39" s="17">
        <f>MAX(0,$F39-INDEX(Grid_Stock[#Data],MATCH($D39,Grid_Stock[Part Name],0),$P$7+4))</f>
        <v/>
      </c>
      <c r="M39" s="17">
        <f>MAX(0,$F39-INDEX(Grid_Stock[#Data],MATCH($D39,Grid_Stock[Part Name],0),$P$7+5))</f>
        <v/>
      </c>
      <c r="N39" s="17">
        <f>MAX(0,$F39-INDEX(Grid_Stock[#Data],MATCH($D39,Grid_Stock[Part Name],0),$P$7+6))</f>
        <v/>
      </c>
      <c r="O39" s="17">
        <f>MAX(0,$F39-INDEX(Grid_Stock[#Data],MATCH($D39,Grid_Stock[Part Name],0),$P$7+7))</f>
        <v/>
      </c>
      <c r="P39" s="17">
        <f>MAX(0,$F39-INDEX(Grid_Stock[#Data],MATCH($D39,Grid_Stock[Part Name],0),$P$7+8))</f>
        <v/>
      </c>
      <c r="Q39" s="17">
        <f>MAX(0,$F39-INDEX(Grid_Stock[#Data],MATCH($D39,Grid_Stock[Part Name],0),$P$7+9))</f>
        <v/>
      </c>
      <c r="R39" s="17">
        <f>MAX(0,$F39-INDEX(Grid_Stock[#Data],MATCH($D39,Grid_Stock[Part Name],0),$P$7+10))</f>
        <v/>
      </c>
      <c r="S39" s="17">
        <f>MAX(0,$F39-INDEX(Grid_Stock[#Data],MATCH($D39,Grid_Stock[Part Name],0),$P$7+11))</f>
        <v/>
      </c>
      <c r="T39" s="17">
        <f>MAX(0,$F39-INDEX(Grid_Stock[#Data],MATCH($D39,Grid_Stock[Part Name],0),$P$7+12))</f>
        <v/>
      </c>
      <c r="U39" s="17">
        <f>SUM(H39:T39)</f>
        <v/>
      </c>
    </row>
    <row r="40">
      <c r="B40" s="19">
        <f>IFERROR(INDEX(M_RawMaterials[Description],MATCH("CHEM-1760",M_RawMaterials[Part Name],0)),"")</f>
        <v/>
      </c>
      <c r="C40" s="19" t="inlineStr">
        <is>
          <t>713880079</t>
        </is>
      </c>
      <c r="D40" s="19" t="inlineStr">
        <is>
          <t>CHEM-1760</t>
        </is>
      </c>
      <c r="E40" s="19" t="inlineStr">
        <is>
          <t>kg</t>
        </is>
      </c>
      <c r="F40" s="19">
        <f>IFERROR(INDEX(M_RawMaterials[基準在庫下限_要入力],MATCH("CHEM-1760",M_RawMaterials[Part Name],0)),0)</f>
        <v/>
      </c>
      <c r="G40" s="19">
        <f>INDEX(Grid_Stock[#Data],MATCH($D40,Grid_Stock[Part Name],0),$P$7)</f>
        <v/>
      </c>
      <c r="H40" s="19">
        <f>MAX(0,$F40-INDEX(Grid_Stock[#Data],MATCH($D40,Grid_Stock[Part Name],0),$P$7+0))</f>
        <v/>
      </c>
      <c r="I40" s="19">
        <f>MAX(0,$F40-INDEX(Grid_Stock[#Data],MATCH($D40,Grid_Stock[Part Name],0),$P$7+1))</f>
        <v/>
      </c>
      <c r="J40" s="19">
        <f>MAX(0,$F40-INDEX(Grid_Stock[#Data],MATCH($D40,Grid_Stock[Part Name],0),$P$7+2))</f>
        <v/>
      </c>
      <c r="K40" s="19">
        <f>MAX(0,$F40-INDEX(Grid_Stock[#Data],MATCH($D40,Grid_Stock[Part Name],0),$P$7+3))</f>
        <v/>
      </c>
      <c r="L40" s="19">
        <f>MAX(0,$F40-INDEX(Grid_Stock[#Data],MATCH($D40,Grid_Stock[Part Name],0),$P$7+4))</f>
        <v/>
      </c>
      <c r="M40" s="19">
        <f>MAX(0,$F40-INDEX(Grid_Stock[#Data],MATCH($D40,Grid_Stock[Part Name],0),$P$7+5))</f>
        <v/>
      </c>
      <c r="N40" s="19">
        <f>MAX(0,$F40-INDEX(Grid_Stock[#Data],MATCH($D40,Grid_Stock[Part Name],0),$P$7+6))</f>
        <v/>
      </c>
      <c r="O40" s="19">
        <f>MAX(0,$F40-INDEX(Grid_Stock[#Data],MATCH($D40,Grid_Stock[Part Name],0),$P$7+7))</f>
        <v/>
      </c>
      <c r="P40" s="19">
        <f>MAX(0,$F40-INDEX(Grid_Stock[#Data],MATCH($D40,Grid_Stock[Part Name],0),$P$7+8))</f>
        <v/>
      </c>
      <c r="Q40" s="19">
        <f>MAX(0,$F40-INDEX(Grid_Stock[#Data],MATCH($D40,Grid_Stock[Part Name],0),$P$7+9))</f>
        <v/>
      </c>
      <c r="R40" s="19">
        <f>MAX(0,$F40-INDEX(Grid_Stock[#Data],MATCH($D40,Grid_Stock[Part Name],0),$P$7+10))</f>
        <v/>
      </c>
      <c r="S40" s="19">
        <f>MAX(0,$F40-INDEX(Grid_Stock[#Data],MATCH($D40,Grid_Stock[Part Name],0),$P$7+11))</f>
        <v/>
      </c>
      <c r="T40" s="19">
        <f>MAX(0,$F40-INDEX(Grid_Stock[#Data],MATCH($D40,Grid_Stock[Part Name],0),$P$7+12))</f>
        <v/>
      </c>
      <c r="U40" s="19">
        <f>SUM(H40:T40)</f>
        <v/>
      </c>
    </row>
    <row r="41">
      <c r="B41" s="17">
        <f>IFERROR(INDEX(M_RawMaterials[Description],MATCH("CHEM-1700",M_RawMaterials[Part Name],0)),"")</f>
        <v/>
      </c>
      <c r="C41" s="17" t="inlineStr">
        <is>
          <t>712886270</t>
        </is>
      </c>
      <c r="D41" s="17" t="inlineStr">
        <is>
          <t>CHEM-1700</t>
        </is>
      </c>
      <c r="E41" s="17" t="inlineStr">
        <is>
          <t>kg</t>
        </is>
      </c>
      <c r="F41" s="17">
        <f>IFERROR(INDEX(M_RawMaterials[基準在庫下限_要入力],MATCH("CHEM-1700",M_RawMaterials[Part Name],0)),0)</f>
        <v/>
      </c>
      <c r="G41" s="17">
        <f>INDEX(Grid_Stock[#Data],MATCH($D41,Grid_Stock[Part Name],0),$P$7)</f>
        <v/>
      </c>
      <c r="H41" s="17">
        <f>MAX(0,$F41-INDEX(Grid_Stock[#Data],MATCH($D41,Grid_Stock[Part Name],0),$P$7+0))</f>
        <v/>
      </c>
      <c r="I41" s="17">
        <f>MAX(0,$F41-INDEX(Grid_Stock[#Data],MATCH($D41,Grid_Stock[Part Name],0),$P$7+1))</f>
        <v/>
      </c>
      <c r="J41" s="17">
        <f>MAX(0,$F41-INDEX(Grid_Stock[#Data],MATCH($D41,Grid_Stock[Part Name],0),$P$7+2))</f>
        <v/>
      </c>
      <c r="K41" s="17">
        <f>MAX(0,$F41-INDEX(Grid_Stock[#Data],MATCH($D41,Grid_Stock[Part Name],0),$P$7+3))</f>
        <v/>
      </c>
      <c r="L41" s="17">
        <f>MAX(0,$F41-INDEX(Grid_Stock[#Data],MATCH($D41,Grid_Stock[Part Name],0),$P$7+4))</f>
        <v/>
      </c>
      <c r="M41" s="17">
        <f>MAX(0,$F41-INDEX(Grid_Stock[#Data],MATCH($D41,Grid_Stock[Part Name],0),$P$7+5))</f>
        <v/>
      </c>
      <c r="N41" s="17">
        <f>MAX(0,$F41-INDEX(Grid_Stock[#Data],MATCH($D41,Grid_Stock[Part Name],0),$P$7+6))</f>
        <v/>
      </c>
      <c r="O41" s="17">
        <f>MAX(0,$F41-INDEX(Grid_Stock[#Data],MATCH($D41,Grid_Stock[Part Name],0),$P$7+7))</f>
        <v/>
      </c>
      <c r="P41" s="17">
        <f>MAX(0,$F41-INDEX(Grid_Stock[#Data],MATCH($D41,Grid_Stock[Part Name],0),$P$7+8))</f>
        <v/>
      </c>
      <c r="Q41" s="17">
        <f>MAX(0,$F41-INDEX(Grid_Stock[#Data],MATCH($D41,Grid_Stock[Part Name],0),$P$7+9))</f>
        <v/>
      </c>
      <c r="R41" s="17">
        <f>MAX(0,$F41-INDEX(Grid_Stock[#Data],MATCH($D41,Grid_Stock[Part Name],0),$P$7+10))</f>
        <v/>
      </c>
      <c r="S41" s="17">
        <f>MAX(0,$F41-INDEX(Grid_Stock[#Data],MATCH($D41,Grid_Stock[Part Name],0),$P$7+11))</f>
        <v/>
      </c>
      <c r="T41" s="17">
        <f>MAX(0,$F41-INDEX(Grid_Stock[#Data],MATCH($D41,Grid_Stock[Part Name],0),$P$7+12))</f>
        <v/>
      </c>
      <c r="U41" s="17">
        <f>SUM(H41:T41)</f>
        <v/>
      </c>
    </row>
    <row r="42">
      <c r="B42" s="19">
        <f>IFERROR(INDEX(M_RawMaterials[Description],MATCH("CHEM-1850",M_RawMaterials[Part Name],0)),"")</f>
        <v/>
      </c>
      <c r="C42" s="19" t="inlineStr">
        <is>
          <t>kg</t>
        </is>
      </c>
      <c r="D42" s="19" t="inlineStr">
        <is>
          <t>CHEM-1850</t>
        </is>
      </c>
      <c r="E42" s="19" t="inlineStr">
        <is>
          <t>kg</t>
        </is>
      </c>
      <c r="F42" s="19">
        <f>IFERROR(INDEX(M_RawMaterials[基準在庫下限_要入力],MATCH("CHEM-1850",M_RawMaterials[Part Name],0)),0)</f>
        <v/>
      </c>
      <c r="G42" s="19">
        <f>INDEX(Grid_Stock[#Data],MATCH($D42,Grid_Stock[Part Name],0),$P$7)</f>
        <v/>
      </c>
      <c r="H42" s="19">
        <f>MAX(0,$F42-INDEX(Grid_Stock[#Data],MATCH($D42,Grid_Stock[Part Name],0),$P$7+0))</f>
        <v/>
      </c>
      <c r="I42" s="19">
        <f>MAX(0,$F42-INDEX(Grid_Stock[#Data],MATCH($D42,Grid_Stock[Part Name],0),$P$7+1))</f>
        <v/>
      </c>
      <c r="J42" s="19">
        <f>MAX(0,$F42-INDEX(Grid_Stock[#Data],MATCH($D42,Grid_Stock[Part Name],0),$P$7+2))</f>
        <v/>
      </c>
      <c r="K42" s="19">
        <f>MAX(0,$F42-INDEX(Grid_Stock[#Data],MATCH($D42,Grid_Stock[Part Name],0),$P$7+3))</f>
        <v/>
      </c>
      <c r="L42" s="19">
        <f>MAX(0,$F42-INDEX(Grid_Stock[#Data],MATCH($D42,Grid_Stock[Part Name],0),$P$7+4))</f>
        <v/>
      </c>
      <c r="M42" s="19">
        <f>MAX(0,$F42-INDEX(Grid_Stock[#Data],MATCH($D42,Grid_Stock[Part Name],0),$P$7+5))</f>
        <v/>
      </c>
      <c r="N42" s="19">
        <f>MAX(0,$F42-INDEX(Grid_Stock[#Data],MATCH($D42,Grid_Stock[Part Name],0),$P$7+6))</f>
        <v/>
      </c>
      <c r="O42" s="19">
        <f>MAX(0,$F42-INDEX(Grid_Stock[#Data],MATCH($D42,Grid_Stock[Part Name],0),$P$7+7))</f>
        <v/>
      </c>
      <c r="P42" s="19">
        <f>MAX(0,$F42-INDEX(Grid_Stock[#Data],MATCH($D42,Grid_Stock[Part Name],0),$P$7+8))</f>
        <v/>
      </c>
      <c r="Q42" s="19">
        <f>MAX(0,$F42-INDEX(Grid_Stock[#Data],MATCH($D42,Grid_Stock[Part Name],0),$P$7+9))</f>
        <v/>
      </c>
      <c r="R42" s="19">
        <f>MAX(0,$F42-INDEX(Grid_Stock[#Data],MATCH($D42,Grid_Stock[Part Name],0),$P$7+10))</f>
        <v/>
      </c>
      <c r="S42" s="19">
        <f>MAX(0,$F42-INDEX(Grid_Stock[#Data],MATCH($D42,Grid_Stock[Part Name],0),$P$7+11))</f>
        <v/>
      </c>
      <c r="T42" s="19">
        <f>MAX(0,$F42-INDEX(Grid_Stock[#Data],MATCH($D42,Grid_Stock[Part Name],0),$P$7+12))</f>
        <v/>
      </c>
      <c r="U42" s="19">
        <f>SUM(H42:T42)</f>
        <v/>
      </c>
    </row>
    <row r="43">
      <c r="B43" s="17">
        <f>IFERROR(INDEX(M_RawMaterials[Description],MATCH("Original Towel",M_RawMaterials[Part Name],0)),"")</f>
        <v/>
      </c>
      <c r="C43" s="17" t="inlineStr">
        <is>
          <t>859882220</t>
        </is>
      </c>
      <c r="D43" s="17" t="inlineStr">
        <is>
          <t>Original Towel</t>
        </is>
      </c>
      <c r="E43" s="17" t="inlineStr">
        <is>
          <t>kg</t>
        </is>
      </c>
      <c r="F43" s="17">
        <f>IFERROR(INDEX(M_RawMaterials[基準在庫下限_要入力],MATCH("Original Towel",M_RawMaterials[Part Name],0)),0)</f>
        <v/>
      </c>
      <c r="G43" s="17">
        <f>INDEX(Grid_Stock[#Data],MATCH($D43,Grid_Stock[Part Name],0),$P$7)</f>
        <v/>
      </c>
      <c r="H43" s="17">
        <f>MAX(0,$F43-INDEX(Grid_Stock[#Data],MATCH($D43,Grid_Stock[Part Name],0),$P$7+0))</f>
        <v/>
      </c>
      <c r="I43" s="17">
        <f>MAX(0,$F43-INDEX(Grid_Stock[#Data],MATCH($D43,Grid_Stock[Part Name],0),$P$7+1))</f>
        <v/>
      </c>
      <c r="J43" s="17">
        <f>MAX(0,$F43-INDEX(Grid_Stock[#Data],MATCH($D43,Grid_Stock[Part Name],0),$P$7+2))</f>
        <v/>
      </c>
      <c r="K43" s="17">
        <f>MAX(0,$F43-INDEX(Grid_Stock[#Data],MATCH($D43,Grid_Stock[Part Name],0),$P$7+3))</f>
        <v/>
      </c>
      <c r="L43" s="17">
        <f>MAX(0,$F43-INDEX(Grid_Stock[#Data],MATCH($D43,Grid_Stock[Part Name],0),$P$7+4))</f>
        <v/>
      </c>
      <c r="M43" s="17">
        <f>MAX(0,$F43-INDEX(Grid_Stock[#Data],MATCH($D43,Grid_Stock[Part Name],0),$P$7+5))</f>
        <v/>
      </c>
      <c r="N43" s="17">
        <f>MAX(0,$F43-INDEX(Grid_Stock[#Data],MATCH($D43,Grid_Stock[Part Name],0),$P$7+6))</f>
        <v/>
      </c>
      <c r="O43" s="17">
        <f>MAX(0,$F43-INDEX(Grid_Stock[#Data],MATCH($D43,Grid_Stock[Part Name],0),$P$7+7))</f>
        <v/>
      </c>
      <c r="P43" s="17">
        <f>MAX(0,$F43-INDEX(Grid_Stock[#Data],MATCH($D43,Grid_Stock[Part Name],0),$P$7+8))</f>
        <v/>
      </c>
      <c r="Q43" s="17">
        <f>MAX(0,$F43-INDEX(Grid_Stock[#Data],MATCH($D43,Grid_Stock[Part Name],0),$P$7+9))</f>
        <v/>
      </c>
      <c r="R43" s="17">
        <f>MAX(0,$F43-INDEX(Grid_Stock[#Data],MATCH($D43,Grid_Stock[Part Name],0),$P$7+10))</f>
        <v/>
      </c>
      <c r="S43" s="17">
        <f>MAX(0,$F43-INDEX(Grid_Stock[#Data],MATCH($D43,Grid_Stock[Part Name],0),$P$7+11))</f>
        <v/>
      </c>
      <c r="T43" s="17">
        <f>MAX(0,$F43-INDEX(Grid_Stock[#Data],MATCH($D43,Grid_Stock[Part Name],0),$P$7+12))</f>
        <v/>
      </c>
      <c r="U43" s="17">
        <f>SUM(H43:T43)</f>
        <v/>
      </c>
    </row>
    <row r="44">
      <c r="B44" s="19">
        <f>IFERROR(INDEX(M_RawMaterials[Description],MATCH("Ester Film",M_RawMaterials[Part Name],0)),"")</f>
        <v/>
      </c>
      <c r="C44" s="19" t="inlineStr"/>
      <c r="D44" s="19" t="inlineStr">
        <is>
          <t>Ester Film</t>
        </is>
      </c>
      <c r="E44" s="19" t="inlineStr">
        <is>
          <t>kg</t>
        </is>
      </c>
      <c r="F44" s="19">
        <f>IFERROR(INDEX(M_RawMaterials[基準在庫下限_要入力],MATCH("Ester Film",M_RawMaterials[Part Name],0)),0)</f>
        <v/>
      </c>
      <c r="G44" s="19">
        <f>INDEX(Grid_Stock[#Data],MATCH($D44,Grid_Stock[Part Name],0),$P$7)</f>
        <v/>
      </c>
      <c r="H44" s="19">
        <f>MAX(0,$F44-INDEX(Grid_Stock[#Data],MATCH($D44,Grid_Stock[Part Name],0),$P$7+0))</f>
        <v/>
      </c>
      <c r="I44" s="19">
        <f>MAX(0,$F44-INDEX(Grid_Stock[#Data],MATCH($D44,Grid_Stock[Part Name],0),$P$7+1))</f>
        <v/>
      </c>
      <c r="J44" s="19">
        <f>MAX(0,$F44-INDEX(Grid_Stock[#Data],MATCH($D44,Grid_Stock[Part Name],0),$P$7+2))</f>
        <v/>
      </c>
      <c r="K44" s="19">
        <f>MAX(0,$F44-INDEX(Grid_Stock[#Data],MATCH($D44,Grid_Stock[Part Name],0),$P$7+3))</f>
        <v/>
      </c>
      <c r="L44" s="19">
        <f>MAX(0,$F44-INDEX(Grid_Stock[#Data],MATCH($D44,Grid_Stock[Part Name],0),$P$7+4))</f>
        <v/>
      </c>
      <c r="M44" s="19">
        <f>MAX(0,$F44-INDEX(Grid_Stock[#Data],MATCH($D44,Grid_Stock[Part Name],0),$P$7+5))</f>
        <v/>
      </c>
      <c r="N44" s="19">
        <f>MAX(0,$F44-INDEX(Grid_Stock[#Data],MATCH($D44,Grid_Stock[Part Name],0),$P$7+6))</f>
        <v/>
      </c>
      <c r="O44" s="19">
        <f>MAX(0,$F44-INDEX(Grid_Stock[#Data],MATCH($D44,Grid_Stock[Part Name],0),$P$7+7))</f>
        <v/>
      </c>
      <c r="P44" s="19">
        <f>MAX(0,$F44-INDEX(Grid_Stock[#Data],MATCH($D44,Grid_Stock[Part Name],0),$P$7+8))</f>
        <v/>
      </c>
      <c r="Q44" s="19">
        <f>MAX(0,$F44-INDEX(Grid_Stock[#Data],MATCH($D44,Grid_Stock[Part Name],0),$P$7+9))</f>
        <v/>
      </c>
      <c r="R44" s="19">
        <f>MAX(0,$F44-INDEX(Grid_Stock[#Data],MATCH($D44,Grid_Stock[Part Name],0),$P$7+10))</f>
        <v/>
      </c>
      <c r="S44" s="19">
        <f>MAX(0,$F44-INDEX(Grid_Stock[#Data],MATCH($D44,Grid_Stock[Part Name],0),$P$7+11))</f>
        <v/>
      </c>
      <c r="T44" s="19">
        <f>MAX(0,$F44-INDEX(Grid_Stock[#Data],MATCH($D44,Grid_Stock[Part Name],0),$P$7+12))</f>
        <v/>
      </c>
      <c r="U44" s="19">
        <f>SUM(H44:T44)</f>
        <v/>
      </c>
    </row>
    <row r="45">
      <c r="B45" s="17">
        <f>IFERROR(INDEX(M_RawMaterials[Description],MATCH("PP Film",M_RawMaterials[Part Name],0)),"")</f>
        <v/>
      </c>
      <c r="C45" s="17" t="inlineStr">
        <is>
          <t>83988405701</t>
        </is>
      </c>
      <c r="D45" s="17" t="inlineStr">
        <is>
          <t>PP Film</t>
        </is>
      </c>
      <c r="E45" s="17" t="inlineStr">
        <is>
          <t>kg</t>
        </is>
      </c>
      <c r="F45" s="17">
        <f>IFERROR(INDEX(M_RawMaterials[基準在庫下限_要入力],MATCH("PP Film",M_RawMaterials[Part Name],0)),0)</f>
        <v/>
      </c>
      <c r="G45" s="17">
        <f>INDEX(Grid_Stock[#Data],MATCH($D45,Grid_Stock[Part Name],0),$P$7)</f>
        <v/>
      </c>
      <c r="H45" s="17">
        <f>MAX(0,$F45-INDEX(Grid_Stock[#Data],MATCH($D45,Grid_Stock[Part Name],0),$P$7+0))</f>
        <v/>
      </c>
      <c r="I45" s="17">
        <f>MAX(0,$F45-INDEX(Grid_Stock[#Data],MATCH($D45,Grid_Stock[Part Name],0),$P$7+1))</f>
        <v/>
      </c>
      <c r="J45" s="17">
        <f>MAX(0,$F45-INDEX(Grid_Stock[#Data],MATCH($D45,Grid_Stock[Part Name],0),$P$7+2))</f>
        <v/>
      </c>
      <c r="K45" s="17">
        <f>MAX(0,$F45-INDEX(Grid_Stock[#Data],MATCH($D45,Grid_Stock[Part Name],0),$P$7+3))</f>
        <v/>
      </c>
      <c r="L45" s="17">
        <f>MAX(0,$F45-INDEX(Grid_Stock[#Data],MATCH($D45,Grid_Stock[Part Name],0),$P$7+4))</f>
        <v/>
      </c>
      <c r="M45" s="17">
        <f>MAX(0,$F45-INDEX(Grid_Stock[#Data],MATCH($D45,Grid_Stock[Part Name],0),$P$7+5))</f>
        <v/>
      </c>
      <c r="N45" s="17">
        <f>MAX(0,$F45-INDEX(Grid_Stock[#Data],MATCH($D45,Grid_Stock[Part Name],0),$P$7+6))</f>
        <v/>
      </c>
      <c r="O45" s="17">
        <f>MAX(0,$F45-INDEX(Grid_Stock[#Data],MATCH($D45,Grid_Stock[Part Name],0),$P$7+7))</f>
        <v/>
      </c>
      <c r="P45" s="17">
        <f>MAX(0,$F45-INDEX(Grid_Stock[#Data],MATCH($D45,Grid_Stock[Part Name],0),$P$7+8))</f>
        <v/>
      </c>
      <c r="Q45" s="17">
        <f>MAX(0,$F45-INDEX(Grid_Stock[#Data],MATCH($D45,Grid_Stock[Part Name],0),$P$7+9))</f>
        <v/>
      </c>
      <c r="R45" s="17">
        <f>MAX(0,$F45-INDEX(Grid_Stock[#Data],MATCH($D45,Grid_Stock[Part Name],0),$P$7+10))</f>
        <v/>
      </c>
      <c r="S45" s="17">
        <f>MAX(0,$F45-INDEX(Grid_Stock[#Data],MATCH($D45,Grid_Stock[Part Name],0),$P$7+11))</f>
        <v/>
      </c>
      <c r="T45" s="17">
        <f>MAX(0,$F45-INDEX(Grid_Stock[#Data],MATCH($D45,Grid_Stock[Part Name],0),$P$7+12))</f>
        <v/>
      </c>
      <c r="U45" s="17">
        <f>SUM(H45:T45)</f>
        <v/>
      </c>
    </row>
    <row r="46">
      <c r="B46" s="19">
        <f>IFERROR(INDEX(M_RawMaterials[Description],MATCH("CHEM-1560",M_RawMaterials[Part Name],0)),"")</f>
        <v/>
      </c>
      <c r="C46" s="19" t="inlineStr">
        <is>
          <t>734831030</t>
        </is>
      </c>
      <c r="D46" s="19" t="inlineStr">
        <is>
          <t>CHEM-1560</t>
        </is>
      </c>
      <c r="E46" s="19" t="inlineStr">
        <is>
          <t>kg</t>
        </is>
      </c>
      <c r="F46" s="19">
        <f>IFERROR(INDEX(M_RawMaterials[基準在庫下限_要入力],MATCH("CHEM-1560",M_RawMaterials[Part Name],0)),0)</f>
        <v/>
      </c>
      <c r="G46" s="19">
        <f>INDEX(Grid_Stock[#Data],MATCH($D46,Grid_Stock[Part Name],0),$P$7)</f>
        <v/>
      </c>
      <c r="H46" s="19">
        <f>MAX(0,$F46-INDEX(Grid_Stock[#Data],MATCH($D46,Grid_Stock[Part Name],0),$P$7+0))</f>
        <v/>
      </c>
      <c r="I46" s="19">
        <f>MAX(0,$F46-INDEX(Grid_Stock[#Data],MATCH($D46,Grid_Stock[Part Name],0),$P$7+1))</f>
        <v/>
      </c>
      <c r="J46" s="19">
        <f>MAX(0,$F46-INDEX(Grid_Stock[#Data],MATCH($D46,Grid_Stock[Part Name],0),$P$7+2))</f>
        <v/>
      </c>
      <c r="K46" s="19">
        <f>MAX(0,$F46-INDEX(Grid_Stock[#Data],MATCH($D46,Grid_Stock[Part Name],0),$P$7+3))</f>
        <v/>
      </c>
      <c r="L46" s="19">
        <f>MAX(0,$F46-INDEX(Grid_Stock[#Data],MATCH($D46,Grid_Stock[Part Name],0),$P$7+4))</f>
        <v/>
      </c>
      <c r="M46" s="19">
        <f>MAX(0,$F46-INDEX(Grid_Stock[#Data],MATCH($D46,Grid_Stock[Part Name],0),$P$7+5))</f>
        <v/>
      </c>
      <c r="N46" s="19">
        <f>MAX(0,$F46-INDEX(Grid_Stock[#Data],MATCH($D46,Grid_Stock[Part Name],0),$P$7+6))</f>
        <v/>
      </c>
      <c r="O46" s="19">
        <f>MAX(0,$F46-INDEX(Grid_Stock[#Data],MATCH($D46,Grid_Stock[Part Name],0),$P$7+7))</f>
        <v/>
      </c>
      <c r="P46" s="19">
        <f>MAX(0,$F46-INDEX(Grid_Stock[#Data],MATCH($D46,Grid_Stock[Part Name],0),$P$7+8))</f>
        <v/>
      </c>
      <c r="Q46" s="19">
        <f>MAX(0,$F46-INDEX(Grid_Stock[#Data],MATCH($D46,Grid_Stock[Part Name],0),$P$7+9))</f>
        <v/>
      </c>
      <c r="R46" s="19">
        <f>MAX(0,$F46-INDEX(Grid_Stock[#Data],MATCH($D46,Grid_Stock[Part Name],0),$P$7+10))</f>
        <v/>
      </c>
      <c r="S46" s="19">
        <f>MAX(0,$F46-INDEX(Grid_Stock[#Data],MATCH($D46,Grid_Stock[Part Name],0),$P$7+11))</f>
        <v/>
      </c>
      <c r="T46" s="19">
        <f>MAX(0,$F46-INDEX(Grid_Stock[#Data],MATCH($D46,Grid_Stock[Part Name],0),$P$7+12))</f>
        <v/>
      </c>
      <c r="U46" s="19">
        <f>SUM(H46:T46)</f>
        <v/>
      </c>
    </row>
    <row r="47">
      <c r="B47" s="17">
        <f>IFERROR(INDEX(M_RawMaterials[Description],MATCH("CHEM-1690",M_RawMaterials[Part Name],0)),"")</f>
        <v/>
      </c>
      <c r="C47" s="17" t="inlineStr">
        <is>
          <t>734831040</t>
        </is>
      </c>
      <c r="D47" s="17" t="inlineStr">
        <is>
          <t>CHEM-1690</t>
        </is>
      </c>
      <c r="E47" s="17" t="inlineStr">
        <is>
          <t>kg</t>
        </is>
      </c>
      <c r="F47" s="17">
        <f>IFERROR(INDEX(M_RawMaterials[基準在庫下限_要入力],MATCH("CHEM-1690",M_RawMaterials[Part Name],0)),0)</f>
        <v/>
      </c>
      <c r="G47" s="17">
        <f>INDEX(Grid_Stock[#Data],MATCH($D47,Grid_Stock[Part Name],0),$P$7)</f>
        <v/>
      </c>
      <c r="H47" s="17">
        <f>MAX(0,$F47-INDEX(Grid_Stock[#Data],MATCH($D47,Grid_Stock[Part Name],0),$P$7+0))</f>
        <v/>
      </c>
      <c r="I47" s="17">
        <f>MAX(0,$F47-INDEX(Grid_Stock[#Data],MATCH($D47,Grid_Stock[Part Name],0),$P$7+1))</f>
        <v/>
      </c>
      <c r="J47" s="17">
        <f>MAX(0,$F47-INDEX(Grid_Stock[#Data],MATCH($D47,Grid_Stock[Part Name],0),$P$7+2))</f>
        <v/>
      </c>
      <c r="K47" s="17">
        <f>MAX(0,$F47-INDEX(Grid_Stock[#Data],MATCH($D47,Grid_Stock[Part Name],0),$P$7+3))</f>
        <v/>
      </c>
      <c r="L47" s="17">
        <f>MAX(0,$F47-INDEX(Grid_Stock[#Data],MATCH($D47,Grid_Stock[Part Name],0),$P$7+4))</f>
        <v/>
      </c>
      <c r="M47" s="17">
        <f>MAX(0,$F47-INDEX(Grid_Stock[#Data],MATCH($D47,Grid_Stock[Part Name],0),$P$7+5))</f>
        <v/>
      </c>
      <c r="N47" s="17">
        <f>MAX(0,$F47-INDEX(Grid_Stock[#Data],MATCH($D47,Grid_Stock[Part Name],0),$P$7+6))</f>
        <v/>
      </c>
      <c r="O47" s="17">
        <f>MAX(0,$F47-INDEX(Grid_Stock[#Data],MATCH($D47,Grid_Stock[Part Name],0),$P$7+7))</f>
        <v/>
      </c>
      <c r="P47" s="17">
        <f>MAX(0,$F47-INDEX(Grid_Stock[#Data],MATCH($D47,Grid_Stock[Part Name],0),$P$7+8))</f>
        <v/>
      </c>
      <c r="Q47" s="17">
        <f>MAX(0,$F47-INDEX(Grid_Stock[#Data],MATCH($D47,Grid_Stock[Part Name],0),$P$7+9))</f>
        <v/>
      </c>
      <c r="R47" s="17">
        <f>MAX(0,$F47-INDEX(Grid_Stock[#Data],MATCH($D47,Grid_Stock[Part Name],0),$P$7+10))</f>
        <v/>
      </c>
      <c r="S47" s="17">
        <f>MAX(0,$F47-INDEX(Grid_Stock[#Data],MATCH($D47,Grid_Stock[Part Name],0),$P$7+11))</f>
        <v/>
      </c>
      <c r="T47" s="17">
        <f>MAX(0,$F47-INDEX(Grid_Stock[#Data],MATCH($D47,Grid_Stock[Part Name],0),$P$7+12))</f>
        <v/>
      </c>
      <c r="U47" s="17">
        <f>SUM(H47:T47)</f>
        <v/>
      </c>
    </row>
    <row r="48">
      <c r="B48" s="19">
        <f>IFERROR(INDEX(M_RawMaterials[Description],MATCH("CHEM-1720",M_RawMaterials[Part Name],0)),"")</f>
        <v/>
      </c>
      <c r="C48" s="19" t="inlineStr">
        <is>
          <t>734831050</t>
        </is>
      </c>
      <c r="D48" s="19" t="inlineStr">
        <is>
          <t>CHEM-1720</t>
        </is>
      </c>
      <c r="E48" s="19" t="inlineStr">
        <is>
          <t>kg</t>
        </is>
      </c>
      <c r="F48" s="19">
        <f>IFERROR(INDEX(M_RawMaterials[基準在庫下限_要入力],MATCH("CHEM-1720",M_RawMaterials[Part Name],0)),0)</f>
        <v/>
      </c>
      <c r="G48" s="19">
        <f>INDEX(Grid_Stock[#Data],MATCH($D48,Grid_Stock[Part Name],0),$P$7)</f>
        <v/>
      </c>
      <c r="H48" s="19">
        <f>MAX(0,$F48-INDEX(Grid_Stock[#Data],MATCH($D48,Grid_Stock[Part Name],0),$P$7+0))</f>
        <v/>
      </c>
      <c r="I48" s="19">
        <f>MAX(0,$F48-INDEX(Grid_Stock[#Data],MATCH($D48,Grid_Stock[Part Name],0),$P$7+1))</f>
        <v/>
      </c>
      <c r="J48" s="19">
        <f>MAX(0,$F48-INDEX(Grid_Stock[#Data],MATCH($D48,Grid_Stock[Part Name],0),$P$7+2))</f>
        <v/>
      </c>
      <c r="K48" s="19">
        <f>MAX(0,$F48-INDEX(Grid_Stock[#Data],MATCH($D48,Grid_Stock[Part Name],0),$P$7+3))</f>
        <v/>
      </c>
      <c r="L48" s="19">
        <f>MAX(0,$F48-INDEX(Grid_Stock[#Data],MATCH($D48,Grid_Stock[Part Name],0),$P$7+4))</f>
        <v/>
      </c>
      <c r="M48" s="19">
        <f>MAX(0,$F48-INDEX(Grid_Stock[#Data],MATCH($D48,Grid_Stock[Part Name],0),$P$7+5))</f>
        <v/>
      </c>
      <c r="N48" s="19">
        <f>MAX(0,$F48-INDEX(Grid_Stock[#Data],MATCH($D48,Grid_Stock[Part Name],0),$P$7+6))</f>
        <v/>
      </c>
      <c r="O48" s="19">
        <f>MAX(0,$F48-INDEX(Grid_Stock[#Data],MATCH($D48,Grid_Stock[Part Name],0),$P$7+7))</f>
        <v/>
      </c>
      <c r="P48" s="19">
        <f>MAX(0,$F48-INDEX(Grid_Stock[#Data],MATCH($D48,Grid_Stock[Part Name],0),$P$7+8))</f>
        <v/>
      </c>
      <c r="Q48" s="19">
        <f>MAX(0,$F48-INDEX(Grid_Stock[#Data],MATCH($D48,Grid_Stock[Part Name],0),$P$7+9))</f>
        <v/>
      </c>
      <c r="R48" s="19">
        <f>MAX(0,$F48-INDEX(Grid_Stock[#Data],MATCH($D48,Grid_Stock[Part Name],0),$P$7+10))</f>
        <v/>
      </c>
      <c r="S48" s="19">
        <f>MAX(0,$F48-INDEX(Grid_Stock[#Data],MATCH($D48,Grid_Stock[Part Name],0),$P$7+11))</f>
        <v/>
      </c>
      <c r="T48" s="19">
        <f>MAX(0,$F48-INDEX(Grid_Stock[#Data],MATCH($D48,Grid_Stock[Part Name],0),$P$7+12))</f>
        <v/>
      </c>
      <c r="U48" s="19">
        <f>SUM(H48:T48)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46239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36</v>
      </c>
    </row>
    <row r="8">
      <c r="B8" s="2" t="inlineStr">
        <is>
          <t>Hazardous Chemicals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7">
        <f>IFERROR(INDEX(M_RawMaterials[Description],MATCH("CHEM-1660",M_RawMaterials[Part Name],0)),"")</f>
        <v/>
      </c>
      <c r="C15" s="17" t="inlineStr">
        <is>
          <t>71288627101</t>
        </is>
      </c>
      <c r="D15" s="17" t="inlineStr">
        <is>
          <t>CHEM-1660</t>
        </is>
      </c>
      <c r="E15" s="17" t="inlineStr">
        <is>
          <t>kg</t>
        </is>
      </c>
      <c r="F15" s="17">
        <f>IFERROR(INDEX(M_RawMaterials[基準在庫下限_要入力],MATCH("CHEM-1660",M_RawMaterials[Part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9">
        <f>IFERROR(INDEX(M_RawMaterials[Description],MATCH("CHEM-1280",M_RawMaterials[Part Name],0)),"")</f>
        <v/>
      </c>
      <c r="C16" s="19" t="inlineStr">
        <is>
          <t>83988002202</t>
        </is>
      </c>
      <c r="D16" s="19" t="inlineStr">
        <is>
          <t>CHEM-1280</t>
        </is>
      </c>
      <c r="E16" s="19" t="inlineStr">
        <is>
          <t>kg</t>
        </is>
      </c>
      <c r="F16" s="19">
        <f>IFERROR(INDEX(M_RawMaterials[基準在庫下限_要入力],MATCH("CHEM-1280",M_RawMaterials[Part Name],0)),0)</f>
        <v/>
      </c>
      <c r="G16" s="19">
        <f>INDEX(Grid_Stock[#Data],MATCH($D16,Grid_Stock[Part Name],0),$P$7)</f>
        <v/>
      </c>
      <c r="H16" s="19">
        <f>MAX(0,$F16-INDEX(Grid_Stock[#Data],MATCH($D16,Grid_Stock[Part Name],0),$P$7+0))</f>
        <v/>
      </c>
      <c r="I16" s="19">
        <f>MAX(0,$F16-INDEX(Grid_Stock[#Data],MATCH($D16,Grid_Stock[Part Name],0),$P$7+1))</f>
        <v/>
      </c>
      <c r="J16" s="19">
        <f>MAX(0,$F16-INDEX(Grid_Stock[#Data],MATCH($D16,Grid_Stock[Part Name],0),$P$7+2))</f>
        <v/>
      </c>
      <c r="K16" s="19">
        <f>MAX(0,$F16-INDEX(Grid_Stock[#Data],MATCH($D16,Grid_Stock[Part Name],0),$P$7+3))</f>
        <v/>
      </c>
      <c r="L16" s="19">
        <f>MAX(0,$F16-INDEX(Grid_Stock[#Data],MATCH($D16,Grid_Stock[Part Name],0),$P$7+4))</f>
        <v/>
      </c>
      <c r="M16" s="19">
        <f>MAX(0,$F16-INDEX(Grid_Stock[#Data],MATCH($D16,Grid_Stock[Part Name],0),$P$7+5))</f>
        <v/>
      </c>
      <c r="N16" s="19">
        <f>MAX(0,$F16-INDEX(Grid_Stock[#Data],MATCH($D16,Grid_Stock[Part Name],0),$P$7+6))</f>
        <v/>
      </c>
      <c r="O16" s="19">
        <f>MAX(0,$F16-INDEX(Grid_Stock[#Data],MATCH($D16,Grid_Stock[Part Name],0),$P$7+7))</f>
        <v/>
      </c>
      <c r="P16" s="19">
        <f>MAX(0,$F16-INDEX(Grid_Stock[#Data],MATCH($D16,Grid_Stock[Part Name],0),$P$7+8))</f>
        <v/>
      </c>
      <c r="Q16" s="19">
        <f>MAX(0,$F16-INDEX(Grid_Stock[#Data],MATCH($D16,Grid_Stock[Part Name],0),$P$7+9))</f>
        <v/>
      </c>
      <c r="R16" s="19">
        <f>MAX(0,$F16-INDEX(Grid_Stock[#Data],MATCH($D16,Grid_Stock[Part Name],0),$P$7+10))</f>
        <v/>
      </c>
      <c r="S16" s="19">
        <f>MAX(0,$F16-INDEX(Grid_Stock[#Data],MATCH($D16,Grid_Stock[Part Name],0),$P$7+11))</f>
        <v/>
      </c>
      <c r="T16" s="19">
        <f>MAX(0,$F16-INDEX(Grid_Stock[#Data],MATCH($D16,Grid_Stock[Part Name],0),$P$7+12))</f>
        <v/>
      </c>
      <c r="U16" s="19">
        <f>SUM(H16:T16)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U34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24" t="n">
        <v>46239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25" t="n">
        <v>36</v>
      </c>
    </row>
    <row r="8">
      <c r="B8" s="2" t="inlineStr">
        <is>
          <t>Substrates</t>
        </is>
      </c>
    </row>
    <row r="10">
      <c r="B10" s="13" t="n"/>
      <c r="C10" s="13" t="n"/>
      <c r="D10" s="13" t="n"/>
      <c r="E10" s="13" t="n"/>
      <c r="F10" s="13" t="n"/>
      <c r="G10" s="13" t="n"/>
      <c r="H10" s="13">
        <f>INDEX(Cal_Weeks[MonthYearLabel],$P$7)</f>
        <v/>
      </c>
      <c r="I10" s="13">
        <f>IF(INDEX(Cal_Weeks[MonthYearLabel],$P$7+1)&lt;&gt;INDEX(Cal_Weeks[MonthYearLabel],$P$7+0),INDEX(Cal_Weeks[MonthYearLabel],$P$7+1),"")</f>
        <v/>
      </c>
      <c r="J10" s="13">
        <f>IF(INDEX(Cal_Weeks[MonthYearLabel],$P$7+2)&lt;&gt;INDEX(Cal_Weeks[MonthYearLabel],$P$7+1),INDEX(Cal_Weeks[MonthYearLabel],$P$7+2),"")</f>
        <v/>
      </c>
      <c r="K10" s="13">
        <f>IF(INDEX(Cal_Weeks[MonthYearLabel],$P$7+3)&lt;&gt;INDEX(Cal_Weeks[MonthYearLabel],$P$7+2),INDEX(Cal_Weeks[MonthYearLabel],$P$7+3),"")</f>
        <v/>
      </c>
      <c r="L10" s="13">
        <f>IF(INDEX(Cal_Weeks[MonthYearLabel],$P$7+4)&lt;&gt;INDEX(Cal_Weeks[MonthYearLabel],$P$7+3),INDEX(Cal_Weeks[MonthYearLabel],$P$7+4),"")</f>
        <v/>
      </c>
      <c r="M10" s="13">
        <f>IF(INDEX(Cal_Weeks[MonthYearLabel],$P$7+5)&lt;&gt;INDEX(Cal_Weeks[MonthYearLabel],$P$7+4),INDEX(Cal_Weeks[MonthYearLabel],$P$7+5),"")</f>
        <v/>
      </c>
      <c r="N10" s="13">
        <f>IF(INDEX(Cal_Weeks[MonthYearLabel],$P$7+6)&lt;&gt;INDEX(Cal_Weeks[MonthYearLabel],$P$7+5),INDEX(Cal_Weeks[MonthYearLabel],$P$7+6),"")</f>
        <v/>
      </c>
      <c r="O10" s="13">
        <f>IF(INDEX(Cal_Weeks[MonthYearLabel],$P$7+7)&lt;&gt;INDEX(Cal_Weeks[MonthYearLabel],$P$7+6),INDEX(Cal_Weeks[MonthYearLabel],$P$7+7),"")</f>
        <v/>
      </c>
      <c r="P10" s="13">
        <f>IF(INDEX(Cal_Weeks[MonthYearLabel],$P$7+8)&lt;&gt;INDEX(Cal_Weeks[MonthYearLabel],$P$7+7),INDEX(Cal_Weeks[MonthYearLabel],$P$7+8),"")</f>
        <v/>
      </c>
      <c r="Q10" s="13">
        <f>IF(INDEX(Cal_Weeks[MonthYearLabel],$P$7+9)&lt;&gt;INDEX(Cal_Weeks[MonthYearLabel],$P$7+8),INDEX(Cal_Weeks[MonthYearLabel],$P$7+9),"")</f>
        <v/>
      </c>
      <c r="R10" s="13">
        <f>IF(INDEX(Cal_Weeks[MonthYearLabel],$P$7+10)&lt;&gt;INDEX(Cal_Weeks[MonthYearLabel],$P$7+9),INDEX(Cal_Weeks[MonthYearLabel],$P$7+10),"")</f>
        <v/>
      </c>
      <c r="S10" s="13">
        <f>IF(INDEX(Cal_Weeks[MonthYearLabel],$P$7+11)&lt;&gt;INDEX(Cal_Weeks[MonthYearLabel],$P$7+10),INDEX(Cal_Weeks[MonthYearLabel],$P$7+11),"")</f>
        <v/>
      </c>
      <c r="T10" s="13">
        <f>IF(INDEX(Cal_Weeks[MonthYearLabel],$P$7+12)&lt;&gt;INDEX(Cal_Weeks[MonthYearLabel],$P$7+11),INDEX(Cal_Weeks[MonthYearLabel],$P$7+12),"")</f>
        <v/>
      </c>
      <c r="U10" s="13" t="n"/>
    </row>
    <row r="11">
      <c r="B11" s="14" t="n"/>
      <c r="C11" s="14" t="n"/>
      <c r="D11" s="14" t="n"/>
      <c r="E11" s="14" t="n"/>
      <c r="F11" s="14" t="n"/>
      <c r="G11" s="14" t="n"/>
      <c r="H11" s="15">
        <f>INDEX(Cal_Weeks[WeekStart],$P$7+0)</f>
        <v/>
      </c>
      <c r="I11" s="15">
        <f>INDEX(Cal_Weeks[WeekStart],$P$7+1)</f>
        <v/>
      </c>
      <c r="J11" s="15">
        <f>INDEX(Cal_Weeks[WeekStart],$P$7+2)</f>
        <v/>
      </c>
      <c r="K11" s="15">
        <f>INDEX(Cal_Weeks[WeekStart],$P$7+3)</f>
        <v/>
      </c>
      <c r="L11" s="15">
        <f>INDEX(Cal_Weeks[WeekStart],$P$7+4)</f>
        <v/>
      </c>
      <c r="M11" s="15">
        <f>INDEX(Cal_Weeks[WeekStart],$P$7+5)</f>
        <v/>
      </c>
      <c r="N11" s="15">
        <f>INDEX(Cal_Weeks[WeekStart],$P$7+6)</f>
        <v/>
      </c>
      <c r="O11" s="15">
        <f>INDEX(Cal_Weeks[WeekStart],$P$7+7)</f>
        <v/>
      </c>
      <c r="P11" s="15">
        <f>INDEX(Cal_Weeks[WeekStart],$P$7+8)</f>
        <v/>
      </c>
      <c r="Q11" s="15">
        <f>INDEX(Cal_Weeks[WeekStart],$P$7+9)</f>
        <v/>
      </c>
      <c r="R11" s="15">
        <f>INDEX(Cal_Weeks[WeekStart],$P$7+10)</f>
        <v/>
      </c>
      <c r="S11" s="15">
        <f>INDEX(Cal_Weeks[WeekStart],$P$7+11)</f>
        <v/>
      </c>
      <c r="T11" s="15">
        <f>INDEX(Cal_Weeks[WeekStart],$P$7+12)</f>
        <v/>
      </c>
      <c r="U11" s="14" t="n"/>
    </row>
    <row r="12">
      <c r="B12" s="14" t="n"/>
      <c r="C12" s="14" t="n"/>
      <c r="D12" s="14" t="n"/>
      <c r="E12" s="14" t="n"/>
      <c r="F12" s="14" t="n"/>
      <c r="G12" s="14" t="n"/>
      <c r="H12" s="14">
        <f>INDEX(Cal_Weeks[WeekOfYear],$P$7+0)</f>
        <v/>
      </c>
      <c r="I12" s="14">
        <f>INDEX(Cal_Weeks[WeekOfYear],$P$7+1)</f>
        <v/>
      </c>
      <c r="J12" s="14">
        <f>INDEX(Cal_Weeks[WeekOfYear],$P$7+2)</f>
        <v/>
      </c>
      <c r="K12" s="14">
        <f>INDEX(Cal_Weeks[WeekOfYear],$P$7+3)</f>
        <v/>
      </c>
      <c r="L12" s="14">
        <f>INDEX(Cal_Weeks[WeekOfYear],$P$7+4)</f>
        <v/>
      </c>
      <c r="M12" s="14">
        <f>INDEX(Cal_Weeks[WeekOfYear],$P$7+5)</f>
        <v/>
      </c>
      <c r="N12" s="14">
        <f>INDEX(Cal_Weeks[WeekOfYear],$P$7+6)</f>
        <v/>
      </c>
      <c r="O12" s="14">
        <f>INDEX(Cal_Weeks[WeekOfYear],$P$7+7)</f>
        <v/>
      </c>
      <c r="P12" s="14">
        <f>INDEX(Cal_Weeks[WeekOfYear],$P$7+8)</f>
        <v/>
      </c>
      <c r="Q12" s="14">
        <f>INDEX(Cal_Weeks[WeekOfYear],$P$7+9)</f>
        <v/>
      </c>
      <c r="R12" s="14">
        <f>INDEX(Cal_Weeks[WeekOfYear],$P$7+10)</f>
        <v/>
      </c>
      <c r="S12" s="14">
        <f>INDEX(Cal_Weeks[WeekOfYear],$P$7+11)</f>
        <v/>
      </c>
      <c r="T12" s="14">
        <f>INDEX(Cal_Weeks[WeekOfYear],$P$7+12)</f>
        <v/>
      </c>
      <c r="U12" s="14" t="n"/>
    </row>
    <row r="13">
      <c r="B13" s="14" t="n"/>
      <c r="C13" s="14" t="n"/>
      <c r="D13" s="14" t="n"/>
      <c r="E13" s="14" t="n"/>
      <c r="F13" s="14" t="n"/>
      <c r="G13" s="14" t="n"/>
      <c r="H13" s="14">
        <f>IF(INDEX(Cal_Weeks[MonthYearLabel],$P$7+0)=INDEX(Cal_Weeks[MonthYearLabel],$P$7),"Firm","Forecast")</f>
        <v/>
      </c>
      <c r="I13" s="14">
        <f>IF(INDEX(Cal_Weeks[MonthYearLabel],$P$7+1)=INDEX(Cal_Weeks[MonthYearLabel],$P$7),"Firm","Forecast")</f>
        <v/>
      </c>
      <c r="J13" s="14">
        <f>IF(INDEX(Cal_Weeks[MonthYearLabel],$P$7+2)=INDEX(Cal_Weeks[MonthYearLabel],$P$7),"Firm","Forecast")</f>
        <v/>
      </c>
      <c r="K13" s="14">
        <f>IF(INDEX(Cal_Weeks[MonthYearLabel],$P$7+3)=INDEX(Cal_Weeks[MonthYearLabel],$P$7),"Firm","Forecast")</f>
        <v/>
      </c>
      <c r="L13" s="14">
        <f>IF(INDEX(Cal_Weeks[MonthYearLabel],$P$7+4)=INDEX(Cal_Weeks[MonthYearLabel],$P$7),"Firm","Forecast")</f>
        <v/>
      </c>
      <c r="M13" s="14">
        <f>IF(INDEX(Cal_Weeks[MonthYearLabel],$P$7+5)=INDEX(Cal_Weeks[MonthYearLabel],$P$7),"Firm","Forecast")</f>
        <v/>
      </c>
      <c r="N13" s="14">
        <f>IF(INDEX(Cal_Weeks[MonthYearLabel],$P$7+6)=INDEX(Cal_Weeks[MonthYearLabel],$P$7),"Firm","Forecast")</f>
        <v/>
      </c>
      <c r="O13" s="14">
        <f>IF(INDEX(Cal_Weeks[MonthYearLabel],$P$7+7)=INDEX(Cal_Weeks[MonthYearLabel],$P$7),"Firm","Forecast")</f>
        <v/>
      </c>
      <c r="P13" s="14">
        <f>IF(INDEX(Cal_Weeks[MonthYearLabel],$P$7+8)=INDEX(Cal_Weeks[MonthYearLabel],$P$7),"Firm","Forecast")</f>
        <v/>
      </c>
      <c r="Q13" s="14">
        <f>IF(INDEX(Cal_Weeks[MonthYearLabel],$P$7+9)=INDEX(Cal_Weeks[MonthYearLabel],$P$7),"Firm","Forecast")</f>
        <v/>
      </c>
      <c r="R13" s="14">
        <f>IF(INDEX(Cal_Weeks[MonthYearLabel],$P$7+10)=INDEX(Cal_Weeks[MonthYearLabel],$P$7),"Firm","Forecast")</f>
        <v/>
      </c>
      <c r="S13" s="14">
        <f>IF(INDEX(Cal_Weeks[MonthYearLabel],$P$7+11)=INDEX(Cal_Weeks[MonthYearLabel],$P$7),"Firm","Forecast")</f>
        <v/>
      </c>
      <c r="T13" s="14">
        <f>IF(INDEX(Cal_Weeks[MonthYearLabel],$P$7+12)=INDEX(Cal_Weeks[MonthYearLabel],$P$7),"Firm","Forecast")</f>
        <v/>
      </c>
      <c r="U13" s="14" t="n"/>
    </row>
    <row r="14">
      <c r="B14" s="26" t="inlineStr">
        <is>
          <t>Part Name</t>
        </is>
      </c>
      <c r="C14" s="26" t="inlineStr">
        <is>
          <t>TTAF Code</t>
        </is>
      </c>
      <c r="D14" s="26" t="inlineStr">
        <is>
          <t>CSA Code</t>
        </is>
      </c>
      <c r="E14" s="26" t="inlineStr">
        <is>
          <t>UOM</t>
        </is>
      </c>
      <c r="F14" s="26" t="inlineStr">
        <is>
          <t>SafetyStock</t>
        </is>
      </c>
      <c r="G14" s="26" t="inlineStr">
        <is>
          <t>CurrentStock</t>
        </is>
      </c>
      <c r="H14" s="26">
        <f>INDEX(Cal_Weeks[Label],$P$7+0)</f>
        <v/>
      </c>
      <c r="I14" s="26">
        <f>INDEX(Cal_Weeks[Label],$P$7+1)</f>
        <v/>
      </c>
      <c r="J14" s="26">
        <f>INDEX(Cal_Weeks[Label],$P$7+2)</f>
        <v/>
      </c>
      <c r="K14" s="26">
        <f>INDEX(Cal_Weeks[Label],$P$7+3)</f>
        <v/>
      </c>
      <c r="L14" s="26">
        <f>INDEX(Cal_Weeks[Label],$P$7+4)</f>
        <v/>
      </c>
      <c r="M14" s="26">
        <f>INDEX(Cal_Weeks[Label],$P$7+5)</f>
        <v/>
      </c>
      <c r="N14" s="26">
        <f>INDEX(Cal_Weeks[Label],$P$7+6)</f>
        <v/>
      </c>
      <c r="O14" s="26">
        <f>INDEX(Cal_Weeks[Label],$P$7+7)</f>
        <v/>
      </c>
      <c r="P14" s="26">
        <f>INDEX(Cal_Weeks[Label],$P$7+8)</f>
        <v/>
      </c>
      <c r="Q14" s="26">
        <f>INDEX(Cal_Weeks[Label],$P$7+9)</f>
        <v/>
      </c>
      <c r="R14" s="26">
        <f>INDEX(Cal_Weeks[Label],$P$7+10)</f>
        <v/>
      </c>
      <c r="S14" s="26">
        <f>INDEX(Cal_Weeks[Label],$P$7+11)</f>
        <v/>
      </c>
      <c r="T14" s="26">
        <f>INDEX(Cal_Weeks[Label],$P$7+12)</f>
        <v/>
      </c>
      <c r="U14" s="26" t="inlineStr">
        <is>
          <t>Total</t>
        </is>
      </c>
    </row>
    <row r="15">
      <c r="B15" s="17">
        <f>IFERROR(INDEX(M_RawMaterials[Description],MATCH("7EP",M_RawMaterials[Part Name],0)),"")</f>
        <v/>
      </c>
      <c r="C15" s="17" t="inlineStr">
        <is>
          <t>1846540040 ( 4FK13093100Z)</t>
        </is>
      </c>
      <c r="D15" s="17" t="inlineStr">
        <is>
          <t>7EP</t>
        </is>
      </c>
      <c r="E15" s="17" t="inlineStr">
        <is>
          <t>kg</t>
        </is>
      </c>
      <c r="F15" s="17">
        <f>IFERROR(INDEX(M_RawMaterials[基準在庫下限_要入力],MATCH("7EP",M_RawMaterials[Part Name],0)),0)</f>
        <v/>
      </c>
      <c r="G15" s="17">
        <f>INDEX(Grid_Stock[#Data],MATCH($D15,Grid_Stock[Part Name],0),$P$7)</f>
        <v/>
      </c>
      <c r="H15" s="17">
        <f>MAX(0,$F15-INDEX(Grid_Stock[#Data],MATCH($D15,Grid_Stock[Part Name],0),$P$7+0))</f>
        <v/>
      </c>
      <c r="I15" s="17">
        <f>MAX(0,$F15-INDEX(Grid_Stock[#Data],MATCH($D15,Grid_Stock[Part Name],0),$P$7+1))</f>
        <v/>
      </c>
      <c r="J15" s="17">
        <f>MAX(0,$F15-INDEX(Grid_Stock[#Data],MATCH($D15,Grid_Stock[Part Name],0),$P$7+2))</f>
        <v/>
      </c>
      <c r="K15" s="17">
        <f>MAX(0,$F15-INDEX(Grid_Stock[#Data],MATCH($D15,Grid_Stock[Part Name],0),$P$7+3))</f>
        <v/>
      </c>
      <c r="L15" s="17">
        <f>MAX(0,$F15-INDEX(Grid_Stock[#Data],MATCH($D15,Grid_Stock[Part Name],0),$P$7+4))</f>
        <v/>
      </c>
      <c r="M15" s="17">
        <f>MAX(0,$F15-INDEX(Grid_Stock[#Data],MATCH($D15,Grid_Stock[Part Name],0),$P$7+5))</f>
        <v/>
      </c>
      <c r="N15" s="17">
        <f>MAX(0,$F15-INDEX(Grid_Stock[#Data],MATCH($D15,Grid_Stock[Part Name],0),$P$7+6))</f>
        <v/>
      </c>
      <c r="O15" s="17">
        <f>MAX(0,$F15-INDEX(Grid_Stock[#Data],MATCH($D15,Grid_Stock[Part Name],0),$P$7+7))</f>
        <v/>
      </c>
      <c r="P15" s="17">
        <f>MAX(0,$F15-INDEX(Grid_Stock[#Data],MATCH($D15,Grid_Stock[Part Name],0),$P$7+8))</f>
        <v/>
      </c>
      <c r="Q15" s="17">
        <f>MAX(0,$F15-INDEX(Grid_Stock[#Data],MATCH($D15,Grid_Stock[Part Name],0),$P$7+9))</f>
        <v/>
      </c>
      <c r="R15" s="17">
        <f>MAX(0,$F15-INDEX(Grid_Stock[#Data],MATCH($D15,Grid_Stock[Part Name],0),$P$7+10))</f>
        <v/>
      </c>
      <c r="S15" s="17">
        <f>MAX(0,$F15-INDEX(Grid_Stock[#Data],MATCH($D15,Grid_Stock[Part Name],0),$P$7+11))</f>
        <v/>
      </c>
      <c r="T15" s="17">
        <f>MAX(0,$F15-INDEX(Grid_Stock[#Data],MATCH($D15,Grid_Stock[Part Name],0),$P$7+12))</f>
        <v/>
      </c>
      <c r="U15" s="17">
        <f>SUM(H15:T15)</f>
        <v/>
      </c>
    </row>
    <row r="16">
      <c r="B16" s="19">
        <f>IFERROR(INDEX(M_RawMaterials[Description],MATCH("1EK",M_RawMaterials[Part Name],0)),"")</f>
        <v/>
      </c>
      <c r="C16" s="19" t="inlineStr">
        <is>
          <t>N60H29R08-JP</t>
        </is>
      </c>
      <c r="D16" s="19" t="inlineStr">
        <is>
          <t>1EK</t>
        </is>
      </c>
      <c r="E16" s="19" t="inlineStr">
        <is>
          <t>kg</t>
        </is>
      </c>
      <c r="F16" s="19">
        <f>IFERROR(INDEX(M_RawMaterials[基準在庫下限_要入力],MATCH("1EK",M_RawMaterials[Part Name],0)),0)</f>
        <v/>
      </c>
      <c r="G16" s="19">
        <f>INDEX(Grid_Stock[#Data],MATCH($D16,Grid_Stock[Part Name],0),$P$7)</f>
        <v/>
      </c>
      <c r="H16" s="19">
        <f>MAX(0,$F16-INDEX(Grid_Stock[#Data],MATCH($D16,Grid_Stock[Part Name],0),$P$7+0))</f>
        <v/>
      </c>
      <c r="I16" s="19">
        <f>MAX(0,$F16-INDEX(Grid_Stock[#Data],MATCH($D16,Grid_Stock[Part Name],0),$P$7+1))</f>
        <v/>
      </c>
      <c r="J16" s="19">
        <f>MAX(0,$F16-INDEX(Grid_Stock[#Data],MATCH($D16,Grid_Stock[Part Name],0),$P$7+2))</f>
        <v/>
      </c>
      <c r="K16" s="19">
        <f>MAX(0,$F16-INDEX(Grid_Stock[#Data],MATCH($D16,Grid_Stock[Part Name],0),$P$7+3))</f>
        <v/>
      </c>
      <c r="L16" s="19">
        <f>MAX(0,$F16-INDEX(Grid_Stock[#Data],MATCH($D16,Grid_Stock[Part Name],0),$P$7+4))</f>
        <v/>
      </c>
      <c r="M16" s="19">
        <f>MAX(0,$F16-INDEX(Grid_Stock[#Data],MATCH($D16,Grid_Stock[Part Name],0),$P$7+5))</f>
        <v/>
      </c>
      <c r="N16" s="19">
        <f>MAX(0,$F16-INDEX(Grid_Stock[#Data],MATCH($D16,Grid_Stock[Part Name],0),$P$7+6))</f>
        <v/>
      </c>
      <c r="O16" s="19">
        <f>MAX(0,$F16-INDEX(Grid_Stock[#Data],MATCH($D16,Grid_Stock[Part Name],0),$P$7+7))</f>
        <v/>
      </c>
      <c r="P16" s="19">
        <f>MAX(0,$F16-INDEX(Grid_Stock[#Data],MATCH($D16,Grid_Stock[Part Name],0),$P$7+8))</f>
        <v/>
      </c>
      <c r="Q16" s="19">
        <f>MAX(0,$F16-INDEX(Grid_Stock[#Data],MATCH($D16,Grid_Stock[Part Name],0),$P$7+9))</f>
        <v/>
      </c>
      <c r="R16" s="19">
        <f>MAX(0,$F16-INDEX(Grid_Stock[#Data],MATCH($D16,Grid_Stock[Part Name],0),$P$7+10))</f>
        <v/>
      </c>
      <c r="S16" s="19">
        <f>MAX(0,$F16-INDEX(Grid_Stock[#Data],MATCH($D16,Grid_Stock[Part Name],0),$P$7+11))</f>
        <v/>
      </c>
      <c r="T16" s="19">
        <f>MAX(0,$F16-INDEX(Grid_Stock[#Data],MATCH($D16,Grid_Stock[Part Name],0),$P$7+12))</f>
        <v/>
      </c>
      <c r="U16" s="19">
        <f>SUM(H16:T16)</f>
        <v/>
      </c>
    </row>
    <row r="17">
      <c r="B17" s="17">
        <f>IFERROR(INDEX(M_RawMaterials[Description],MATCH("4HL",M_RawMaterials[Part Name],0)),"")</f>
        <v/>
      </c>
      <c r="C17" s="17" t="inlineStr">
        <is>
          <t>N60H27R08-JP</t>
        </is>
      </c>
      <c r="D17" s="17" t="inlineStr">
        <is>
          <t>4HL</t>
        </is>
      </c>
      <c r="E17" s="17" t="inlineStr">
        <is>
          <t>kg</t>
        </is>
      </c>
      <c r="F17" s="17">
        <f>IFERROR(INDEX(M_RawMaterials[基準在庫下限_要入力],MATCH("4HL",M_RawMaterials[Part Name],0)),0)</f>
        <v/>
      </c>
      <c r="G17" s="17">
        <f>INDEX(Grid_Stock[#Data],MATCH($D17,Grid_Stock[Part Name],0),$P$7)</f>
        <v/>
      </c>
      <c r="H17" s="17">
        <f>MAX(0,$F17-INDEX(Grid_Stock[#Data],MATCH($D17,Grid_Stock[Part Name],0),$P$7+0))</f>
        <v/>
      </c>
      <c r="I17" s="17">
        <f>MAX(0,$F17-INDEX(Grid_Stock[#Data],MATCH($D17,Grid_Stock[Part Name],0),$P$7+1))</f>
        <v/>
      </c>
      <c r="J17" s="17">
        <f>MAX(0,$F17-INDEX(Grid_Stock[#Data],MATCH($D17,Grid_Stock[Part Name],0),$P$7+2))</f>
        <v/>
      </c>
      <c r="K17" s="17">
        <f>MAX(0,$F17-INDEX(Grid_Stock[#Data],MATCH($D17,Grid_Stock[Part Name],0),$P$7+3))</f>
        <v/>
      </c>
      <c r="L17" s="17">
        <f>MAX(0,$F17-INDEX(Grid_Stock[#Data],MATCH($D17,Grid_Stock[Part Name],0),$P$7+4))</f>
        <v/>
      </c>
      <c r="M17" s="17">
        <f>MAX(0,$F17-INDEX(Grid_Stock[#Data],MATCH($D17,Grid_Stock[Part Name],0),$P$7+5))</f>
        <v/>
      </c>
      <c r="N17" s="17">
        <f>MAX(0,$F17-INDEX(Grid_Stock[#Data],MATCH($D17,Grid_Stock[Part Name],0),$P$7+6))</f>
        <v/>
      </c>
      <c r="O17" s="17">
        <f>MAX(0,$F17-INDEX(Grid_Stock[#Data],MATCH($D17,Grid_Stock[Part Name],0),$P$7+7))</f>
        <v/>
      </c>
      <c r="P17" s="17">
        <f>MAX(0,$F17-INDEX(Grid_Stock[#Data],MATCH($D17,Grid_Stock[Part Name],0),$P$7+8))</f>
        <v/>
      </c>
      <c r="Q17" s="17">
        <f>MAX(0,$F17-INDEX(Grid_Stock[#Data],MATCH($D17,Grid_Stock[Part Name],0),$P$7+9))</f>
        <v/>
      </c>
      <c r="R17" s="17">
        <f>MAX(0,$F17-INDEX(Grid_Stock[#Data],MATCH($D17,Grid_Stock[Part Name],0),$P$7+10))</f>
        <v/>
      </c>
      <c r="S17" s="17">
        <f>MAX(0,$F17-INDEX(Grid_Stock[#Data],MATCH($D17,Grid_Stock[Part Name],0),$P$7+11))</f>
        <v/>
      </c>
      <c r="T17" s="17">
        <f>MAX(0,$F17-INDEX(Grid_Stock[#Data],MATCH($D17,Grid_Stock[Part Name],0),$P$7+12))</f>
        <v/>
      </c>
      <c r="U17" s="17">
        <f>SUM(H17:T17)</f>
        <v/>
      </c>
    </row>
    <row r="18">
      <c r="B18" s="19">
        <f>IFERROR(INDEX(M_RawMaterials[Description],MATCH("9RN",M_RawMaterials[Part Name],0)),"")</f>
        <v/>
      </c>
      <c r="C18" s="19" t="inlineStr">
        <is>
          <t>1846515030 ( 4FK13117080Z)</t>
        </is>
      </c>
      <c r="D18" s="19" t="inlineStr">
        <is>
          <t>9RN</t>
        </is>
      </c>
      <c r="E18" s="19" t="inlineStr">
        <is>
          <t>kg</t>
        </is>
      </c>
      <c r="F18" s="19">
        <f>IFERROR(INDEX(M_RawMaterials[基準在庫下限_要入力],MATCH("9RN",M_RawMaterials[Part Name],0)),0)</f>
        <v/>
      </c>
      <c r="G18" s="19">
        <f>INDEX(Grid_Stock[#Data],MATCH($D18,Grid_Stock[Part Name],0),$P$7)</f>
        <v/>
      </c>
      <c r="H18" s="19">
        <f>MAX(0,$F18-INDEX(Grid_Stock[#Data],MATCH($D18,Grid_Stock[Part Name],0),$P$7+0))</f>
        <v/>
      </c>
      <c r="I18" s="19">
        <f>MAX(0,$F18-INDEX(Grid_Stock[#Data],MATCH($D18,Grid_Stock[Part Name],0),$P$7+1))</f>
        <v/>
      </c>
      <c r="J18" s="19">
        <f>MAX(0,$F18-INDEX(Grid_Stock[#Data],MATCH($D18,Grid_Stock[Part Name],0),$P$7+2))</f>
        <v/>
      </c>
      <c r="K18" s="19">
        <f>MAX(0,$F18-INDEX(Grid_Stock[#Data],MATCH($D18,Grid_Stock[Part Name],0),$P$7+3))</f>
        <v/>
      </c>
      <c r="L18" s="19">
        <f>MAX(0,$F18-INDEX(Grid_Stock[#Data],MATCH($D18,Grid_Stock[Part Name],0),$P$7+4))</f>
        <v/>
      </c>
      <c r="M18" s="19">
        <f>MAX(0,$F18-INDEX(Grid_Stock[#Data],MATCH($D18,Grid_Stock[Part Name],0),$P$7+5))</f>
        <v/>
      </c>
      <c r="N18" s="19">
        <f>MAX(0,$F18-INDEX(Grid_Stock[#Data],MATCH($D18,Grid_Stock[Part Name],0),$P$7+6))</f>
        <v/>
      </c>
      <c r="O18" s="19">
        <f>MAX(0,$F18-INDEX(Grid_Stock[#Data],MATCH($D18,Grid_Stock[Part Name],0),$P$7+7))</f>
        <v/>
      </c>
      <c r="P18" s="19">
        <f>MAX(0,$F18-INDEX(Grid_Stock[#Data],MATCH($D18,Grid_Stock[Part Name],0),$P$7+8))</f>
        <v/>
      </c>
      <c r="Q18" s="19">
        <f>MAX(0,$F18-INDEX(Grid_Stock[#Data],MATCH($D18,Grid_Stock[Part Name],0),$P$7+9))</f>
        <v/>
      </c>
      <c r="R18" s="19">
        <f>MAX(0,$F18-INDEX(Grid_Stock[#Data],MATCH($D18,Grid_Stock[Part Name],0),$P$7+10))</f>
        <v/>
      </c>
      <c r="S18" s="19">
        <f>MAX(0,$F18-INDEX(Grid_Stock[#Data],MATCH($D18,Grid_Stock[Part Name],0),$P$7+11))</f>
        <v/>
      </c>
      <c r="T18" s="19">
        <f>MAX(0,$F18-INDEX(Grid_Stock[#Data],MATCH($D18,Grid_Stock[Part Name],0),$P$7+12))</f>
        <v/>
      </c>
      <c r="U18" s="19">
        <f>SUM(H18:T18)</f>
        <v/>
      </c>
    </row>
    <row r="19">
      <c r="B19" s="17">
        <f>IFERROR(INDEX(M_RawMaterials[Description],MATCH("7CL",M_RawMaterials[Part Name],0)),"")</f>
        <v/>
      </c>
      <c r="C19" s="17" t="inlineStr">
        <is>
          <t>N75H28R08-JP</t>
        </is>
      </c>
      <c r="D19" s="17" t="inlineStr">
        <is>
          <t>7CL</t>
        </is>
      </c>
      <c r="E19" s="17" t="inlineStr">
        <is>
          <t>kg</t>
        </is>
      </c>
      <c r="F19" s="17">
        <f>IFERROR(INDEX(M_RawMaterials[基準在庫下限_要入力],MATCH("7CL",M_RawMaterials[Part Name],0)),0)</f>
        <v/>
      </c>
      <c r="G19" s="17">
        <f>INDEX(Grid_Stock[#Data],MATCH($D19,Grid_Stock[Part Name],0),$P$7)</f>
        <v/>
      </c>
      <c r="H19" s="17">
        <f>MAX(0,$F19-INDEX(Grid_Stock[#Data],MATCH($D19,Grid_Stock[Part Name],0),$P$7+0))</f>
        <v/>
      </c>
      <c r="I19" s="17">
        <f>MAX(0,$F19-INDEX(Grid_Stock[#Data],MATCH($D19,Grid_Stock[Part Name],0),$P$7+1))</f>
        <v/>
      </c>
      <c r="J19" s="17">
        <f>MAX(0,$F19-INDEX(Grid_Stock[#Data],MATCH($D19,Grid_Stock[Part Name],0),$P$7+2))</f>
        <v/>
      </c>
      <c r="K19" s="17">
        <f>MAX(0,$F19-INDEX(Grid_Stock[#Data],MATCH($D19,Grid_Stock[Part Name],0),$P$7+3))</f>
        <v/>
      </c>
      <c r="L19" s="17">
        <f>MAX(0,$F19-INDEX(Grid_Stock[#Data],MATCH($D19,Grid_Stock[Part Name],0),$P$7+4))</f>
        <v/>
      </c>
      <c r="M19" s="17">
        <f>MAX(0,$F19-INDEX(Grid_Stock[#Data],MATCH($D19,Grid_Stock[Part Name],0),$P$7+5))</f>
        <v/>
      </c>
      <c r="N19" s="17">
        <f>MAX(0,$F19-INDEX(Grid_Stock[#Data],MATCH($D19,Grid_Stock[Part Name],0),$P$7+6))</f>
        <v/>
      </c>
      <c r="O19" s="17">
        <f>MAX(0,$F19-INDEX(Grid_Stock[#Data],MATCH($D19,Grid_Stock[Part Name],0),$P$7+7))</f>
        <v/>
      </c>
      <c r="P19" s="17">
        <f>MAX(0,$F19-INDEX(Grid_Stock[#Data],MATCH($D19,Grid_Stock[Part Name],0),$P$7+8))</f>
        <v/>
      </c>
      <c r="Q19" s="17">
        <f>MAX(0,$F19-INDEX(Grid_Stock[#Data],MATCH($D19,Grid_Stock[Part Name],0),$P$7+9))</f>
        <v/>
      </c>
      <c r="R19" s="17">
        <f>MAX(0,$F19-INDEX(Grid_Stock[#Data],MATCH($D19,Grid_Stock[Part Name],0),$P$7+10))</f>
        <v/>
      </c>
      <c r="S19" s="17">
        <f>MAX(0,$F19-INDEX(Grid_Stock[#Data],MATCH($D19,Grid_Stock[Part Name],0),$P$7+11))</f>
        <v/>
      </c>
      <c r="T19" s="17">
        <f>MAX(0,$F19-INDEX(Grid_Stock[#Data],MATCH($D19,Grid_Stock[Part Name],0),$P$7+12))</f>
        <v/>
      </c>
      <c r="U19" s="17">
        <f>SUM(H19:T19)</f>
        <v/>
      </c>
    </row>
    <row r="20">
      <c r="B20" s="19">
        <f>IFERROR(INDEX(M_RawMaterials[Description],MATCH("OJN",M_RawMaterials[Part Name],0)),"")</f>
        <v/>
      </c>
      <c r="C20" s="19" t="inlineStr"/>
      <c r="D20" s="19" t="inlineStr">
        <is>
          <t>OJN</t>
        </is>
      </c>
      <c r="E20" s="19" t="inlineStr">
        <is>
          <t>kg</t>
        </is>
      </c>
      <c r="F20" s="19">
        <f>IFERROR(INDEX(M_RawMaterials[基準在庫下限_要入力],MATCH("OJN",M_RawMaterials[Part Name],0)),0)</f>
        <v/>
      </c>
      <c r="G20" s="19">
        <f>INDEX(Grid_Stock[#Data],MATCH($D20,Grid_Stock[Part Name],0),$P$7)</f>
        <v/>
      </c>
      <c r="H20" s="19">
        <f>MAX(0,$F20-INDEX(Grid_Stock[#Data],MATCH($D20,Grid_Stock[Part Name],0),$P$7+0))</f>
        <v/>
      </c>
      <c r="I20" s="19">
        <f>MAX(0,$F20-INDEX(Grid_Stock[#Data],MATCH($D20,Grid_Stock[Part Name],0),$P$7+1))</f>
        <v/>
      </c>
      <c r="J20" s="19">
        <f>MAX(0,$F20-INDEX(Grid_Stock[#Data],MATCH($D20,Grid_Stock[Part Name],0),$P$7+2))</f>
        <v/>
      </c>
      <c r="K20" s="19">
        <f>MAX(0,$F20-INDEX(Grid_Stock[#Data],MATCH($D20,Grid_Stock[Part Name],0),$P$7+3))</f>
        <v/>
      </c>
      <c r="L20" s="19">
        <f>MAX(0,$F20-INDEX(Grid_Stock[#Data],MATCH($D20,Grid_Stock[Part Name],0),$P$7+4))</f>
        <v/>
      </c>
      <c r="M20" s="19">
        <f>MAX(0,$F20-INDEX(Grid_Stock[#Data],MATCH($D20,Grid_Stock[Part Name],0),$P$7+5))</f>
        <v/>
      </c>
      <c r="N20" s="19">
        <f>MAX(0,$F20-INDEX(Grid_Stock[#Data],MATCH($D20,Grid_Stock[Part Name],0),$P$7+6))</f>
        <v/>
      </c>
      <c r="O20" s="19">
        <f>MAX(0,$F20-INDEX(Grid_Stock[#Data],MATCH($D20,Grid_Stock[Part Name],0),$P$7+7))</f>
        <v/>
      </c>
      <c r="P20" s="19">
        <f>MAX(0,$F20-INDEX(Grid_Stock[#Data],MATCH($D20,Grid_Stock[Part Name],0),$P$7+8))</f>
        <v/>
      </c>
      <c r="Q20" s="19">
        <f>MAX(0,$F20-INDEX(Grid_Stock[#Data],MATCH($D20,Grid_Stock[Part Name],0),$P$7+9))</f>
        <v/>
      </c>
      <c r="R20" s="19">
        <f>MAX(0,$F20-INDEX(Grid_Stock[#Data],MATCH($D20,Grid_Stock[Part Name],0),$P$7+10))</f>
        <v/>
      </c>
      <c r="S20" s="19">
        <f>MAX(0,$F20-INDEX(Grid_Stock[#Data],MATCH($D20,Grid_Stock[Part Name],0),$P$7+11))</f>
        <v/>
      </c>
      <c r="T20" s="19">
        <f>MAX(0,$F20-INDEX(Grid_Stock[#Data],MATCH($D20,Grid_Stock[Part Name],0),$P$7+12))</f>
        <v/>
      </c>
      <c r="U20" s="19">
        <f>SUM(H20:T20)</f>
        <v/>
      </c>
    </row>
    <row r="21">
      <c r="B21" s="17">
        <f>IFERROR(INDEX(M_RawMaterials[Description],MATCH("TDJ",M_RawMaterials[Part Name],0)),"")</f>
        <v/>
      </c>
      <c r="C21" s="17" t="inlineStr">
        <is>
          <t>1846537010</t>
        </is>
      </c>
      <c r="D21" s="17" t="inlineStr">
        <is>
          <t>TDJ</t>
        </is>
      </c>
      <c r="E21" s="17" t="inlineStr">
        <is>
          <t>kg</t>
        </is>
      </c>
      <c r="F21" s="17">
        <f>IFERROR(INDEX(M_RawMaterials[基準在庫下限_要入力],MATCH("TDJ",M_RawMaterials[Part Name],0)),0)</f>
        <v/>
      </c>
      <c r="G21" s="17">
        <f>INDEX(Grid_Stock[#Data],MATCH($D21,Grid_Stock[Part Name],0),$P$7)</f>
        <v/>
      </c>
      <c r="H21" s="17">
        <f>MAX(0,$F21-INDEX(Grid_Stock[#Data],MATCH($D21,Grid_Stock[Part Name],0),$P$7+0))</f>
        <v/>
      </c>
      <c r="I21" s="17">
        <f>MAX(0,$F21-INDEX(Grid_Stock[#Data],MATCH($D21,Grid_Stock[Part Name],0),$P$7+1))</f>
        <v/>
      </c>
      <c r="J21" s="17">
        <f>MAX(0,$F21-INDEX(Grid_Stock[#Data],MATCH($D21,Grid_Stock[Part Name],0),$P$7+2))</f>
        <v/>
      </c>
      <c r="K21" s="17">
        <f>MAX(0,$F21-INDEX(Grid_Stock[#Data],MATCH($D21,Grid_Stock[Part Name],0),$P$7+3))</f>
        <v/>
      </c>
      <c r="L21" s="17">
        <f>MAX(0,$F21-INDEX(Grid_Stock[#Data],MATCH($D21,Grid_Stock[Part Name],0),$P$7+4))</f>
        <v/>
      </c>
      <c r="M21" s="17">
        <f>MAX(0,$F21-INDEX(Grid_Stock[#Data],MATCH($D21,Grid_Stock[Part Name],0),$P$7+5))</f>
        <v/>
      </c>
      <c r="N21" s="17">
        <f>MAX(0,$F21-INDEX(Grid_Stock[#Data],MATCH($D21,Grid_Stock[Part Name],0),$P$7+6))</f>
        <v/>
      </c>
      <c r="O21" s="17">
        <f>MAX(0,$F21-INDEX(Grid_Stock[#Data],MATCH($D21,Grid_Stock[Part Name],0),$P$7+7))</f>
        <v/>
      </c>
      <c r="P21" s="17">
        <f>MAX(0,$F21-INDEX(Grid_Stock[#Data],MATCH($D21,Grid_Stock[Part Name],0),$P$7+8))</f>
        <v/>
      </c>
      <c r="Q21" s="17">
        <f>MAX(0,$F21-INDEX(Grid_Stock[#Data],MATCH($D21,Grid_Stock[Part Name],0),$P$7+9))</f>
        <v/>
      </c>
      <c r="R21" s="17">
        <f>MAX(0,$F21-INDEX(Grid_Stock[#Data],MATCH($D21,Grid_Stock[Part Name],0),$P$7+10))</f>
        <v/>
      </c>
      <c r="S21" s="17">
        <f>MAX(0,$F21-INDEX(Grid_Stock[#Data],MATCH($D21,Grid_Stock[Part Name],0),$P$7+11))</f>
        <v/>
      </c>
      <c r="T21" s="17">
        <f>MAX(0,$F21-INDEX(Grid_Stock[#Data],MATCH($D21,Grid_Stock[Part Name],0),$P$7+12))</f>
        <v/>
      </c>
      <c r="U21" s="17">
        <f>SUM(H21:T21)</f>
        <v/>
      </c>
    </row>
    <row r="22">
      <c r="B22" s="19">
        <f>IFERROR(INDEX(M_RawMaterials[Description],MATCH("3TP",M_RawMaterials[Part Name],0)),"")</f>
        <v/>
      </c>
      <c r="C22" s="19" t="inlineStr"/>
      <c r="D22" s="19" t="inlineStr">
        <is>
          <t>3TP</t>
        </is>
      </c>
      <c r="E22" s="19" t="inlineStr">
        <is>
          <t>kg</t>
        </is>
      </c>
      <c r="F22" s="19">
        <f>IFERROR(INDEX(M_RawMaterials[基準在庫下限_要入力],MATCH("3TP",M_RawMaterials[Part Name],0)),0)</f>
        <v/>
      </c>
      <c r="G22" s="19">
        <f>INDEX(Grid_Stock[#Data],MATCH($D22,Grid_Stock[Part Name],0),$P$7)</f>
        <v/>
      </c>
      <c r="H22" s="19">
        <f>MAX(0,$F22-INDEX(Grid_Stock[#Data],MATCH($D22,Grid_Stock[Part Name],0),$P$7+0))</f>
        <v/>
      </c>
      <c r="I22" s="19">
        <f>MAX(0,$F22-INDEX(Grid_Stock[#Data],MATCH($D22,Grid_Stock[Part Name],0),$P$7+1))</f>
        <v/>
      </c>
      <c r="J22" s="19">
        <f>MAX(0,$F22-INDEX(Grid_Stock[#Data],MATCH($D22,Grid_Stock[Part Name],0),$P$7+2))</f>
        <v/>
      </c>
      <c r="K22" s="19">
        <f>MAX(0,$F22-INDEX(Grid_Stock[#Data],MATCH($D22,Grid_Stock[Part Name],0),$P$7+3))</f>
        <v/>
      </c>
      <c r="L22" s="19">
        <f>MAX(0,$F22-INDEX(Grid_Stock[#Data],MATCH($D22,Grid_Stock[Part Name],0),$P$7+4))</f>
        <v/>
      </c>
      <c r="M22" s="19">
        <f>MAX(0,$F22-INDEX(Grid_Stock[#Data],MATCH($D22,Grid_Stock[Part Name],0),$P$7+5))</f>
        <v/>
      </c>
      <c r="N22" s="19">
        <f>MAX(0,$F22-INDEX(Grid_Stock[#Data],MATCH($D22,Grid_Stock[Part Name],0),$P$7+6))</f>
        <v/>
      </c>
      <c r="O22" s="19">
        <f>MAX(0,$F22-INDEX(Grid_Stock[#Data],MATCH($D22,Grid_Stock[Part Name],0),$P$7+7))</f>
        <v/>
      </c>
      <c r="P22" s="19">
        <f>MAX(0,$F22-INDEX(Grid_Stock[#Data],MATCH($D22,Grid_Stock[Part Name],0),$P$7+8))</f>
        <v/>
      </c>
      <c r="Q22" s="19">
        <f>MAX(0,$F22-INDEX(Grid_Stock[#Data],MATCH($D22,Grid_Stock[Part Name],0),$P$7+9))</f>
        <v/>
      </c>
      <c r="R22" s="19">
        <f>MAX(0,$F22-INDEX(Grid_Stock[#Data],MATCH($D22,Grid_Stock[Part Name],0),$P$7+10))</f>
        <v/>
      </c>
      <c r="S22" s="19">
        <f>MAX(0,$F22-INDEX(Grid_Stock[#Data],MATCH($D22,Grid_Stock[Part Name],0),$P$7+11))</f>
        <v/>
      </c>
      <c r="T22" s="19">
        <f>MAX(0,$F22-INDEX(Grid_Stock[#Data],MATCH($D22,Grid_Stock[Part Name],0),$P$7+12))</f>
        <v/>
      </c>
      <c r="U22" s="19">
        <f>SUM(H22:T22)</f>
        <v/>
      </c>
    </row>
    <row r="23">
      <c r="B23" s="17">
        <f>IFERROR(INDEX(M_RawMaterials[Description],MATCH("KEJ",M_RawMaterials[Part Name],0)),"")</f>
        <v/>
      </c>
      <c r="C23" s="17" t="inlineStr">
        <is>
          <t>N90S27R08</t>
        </is>
      </c>
      <c r="D23" s="17" t="inlineStr">
        <is>
          <t>KEJ</t>
        </is>
      </c>
      <c r="E23" s="17" t="inlineStr">
        <is>
          <t>kg</t>
        </is>
      </c>
      <c r="F23" s="17">
        <f>IFERROR(INDEX(M_RawMaterials[基準在庫下限_要入力],MATCH("KEJ",M_RawMaterials[Part Name],0)),0)</f>
        <v/>
      </c>
      <c r="G23" s="17">
        <f>INDEX(Grid_Stock[#Data],MATCH($D23,Grid_Stock[Part Name],0),$P$7)</f>
        <v/>
      </c>
      <c r="H23" s="17">
        <f>MAX(0,$F23-INDEX(Grid_Stock[#Data],MATCH($D23,Grid_Stock[Part Name],0),$P$7+0))</f>
        <v/>
      </c>
      <c r="I23" s="17">
        <f>MAX(0,$F23-INDEX(Grid_Stock[#Data],MATCH($D23,Grid_Stock[Part Name],0),$P$7+1))</f>
        <v/>
      </c>
      <c r="J23" s="17">
        <f>MAX(0,$F23-INDEX(Grid_Stock[#Data],MATCH($D23,Grid_Stock[Part Name],0),$P$7+2))</f>
        <v/>
      </c>
      <c r="K23" s="17">
        <f>MAX(0,$F23-INDEX(Grid_Stock[#Data],MATCH($D23,Grid_Stock[Part Name],0),$P$7+3))</f>
        <v/>
      </c>
      <c r="L23" s="17">
        <f>MAX(0,$F23-INDEX(Grid_Stock[#Data],MATCH($D23,Grid_Stock[Part Name],0),$P$7+4))</f>
        <v/>
      </c>
      <c r="M23" s="17">
        <f>MAX(0,$F23-INDEX(Grid_Stock[#Data],MATCH($D23,Grid_Stock[Part Name],0),$P$7+5))</f>
        <v/>
      </c>
      <c r="N23" s="17">
        <f>MAX(0,$F23-INDEX(Grid_Stock[#Data],MATCH($D23,Grid_Stock[Part Name],0),$P$7+6))</f>
        <v/>
      </c>
      <c r="O23" s="17">
        <f>MAX(0,$F23-INDEX(Grid_Stock[#Data],MATCH($D23,Grid_Stock[Part Name],0),$P$7+7))</f>
        <v/>
      </c>
      <c r="P23" s="17">
        <f>MAX(0,$F23-INDEX(Grid_Stock[#Data],MATCH($D23,Grid_Stock[Part Name],0),$P$7+8))</f>
        <v/>
      </c>
      <c r="Q23" s="17">
        <f>MAX(0,$F23-INDEX(Grid_Stock[#Data],MATCH($D23,Grid_Stock[Part Name],0),$P$7+9))</f>
        <v/>
      </c>
      <c r="R23" s="17">
        <f>MAX(0,$F23-INDEX(Grid_Stock[#Data],MATCH($D23,Grid_Stock[Part Name],0),$P$7+10))</f>
        <v/>
      </c>
      <c r="S23" s="17">
        <f>MAX(0,$F23-INDEX(Grid_Stock[#Data],MATCH($D23,Grid_Stock[Part Name],0),$P$7+11))</f>
        <v/>
      </c>
      <c r="T23" s="17">
        <f>MAX(0,$F23-INDEX(Grid_Stock[#Data],MATCH($D23,Grid_Stock[Part Name],0),$P$7+12))</f>
        <v/>
      </c>
      <c r="U23" s="17">
        <f>SUM(H23:T23)</f>
        <v/>
      </c>
    </row>
    <row r="24">
      <c r="B24" s="19">
        <f>IFERROR(INDEX(M_RawMaterials[Description],MATCH("JEJ",M_RawMaterials[Part Name],0)),"")</f>
        <v/>
      </c>
      <c r="C24" s="19" t="inlineStr">
        <is>
          <t>N90S29R08</t>
        </is>
      </c>
      <c r="D24" s="19" t="inlineStr">
        <is>
          <t>JEJ</t>
        </is>
      </c>
      <c r="E24" s="19" t="inlineStr">
        <is>
          <t>kg</t>
        </is>
      </c>
      <c r="F24" s="19">
        <f>IFERROR(INDEX(M_RawMaterials[基準在庫下限_要入力],MATCH("JEJ",M_RawMaterials[Part Name],0)),0)</f>
        <v/>
      </c>
      <c r="G24" s="19">
        <f>INDEX(Grid_Stock[#Data],MATCH($D24,Grid_Stock[Part Name],0),$P$7)</f>
        <v/>
      </c>
      <c r="H24" s="19">
        <f>MAX(0,$F24-INDEX(Grid_Stock[#Data],MATCH($D24,Grid_Stock[Part Name],0),$P$7+0))</f>
        <v/>
      </c>
      <c r="I24" s="19">
        <f>MAX(0,$F24-INDEX(Grid_Stock[#Data],MATCH($D24,Grid_Stock[Part Name],0),$P$7+1))</f>
        <v/>
      </c>
      <c r="J24" s="19">
        <f>MAX(0,$F24-INDEX(Grid_Stock[#Data],MATCH($D24,Grid_Stock[Part Name],0),$P$7+2))</f>
        <v/>
      </c>
      <c r="K24" s="19">
        <f>MAX(0,$F24-INDEX(Grid_Stock[#Data],MATCH($D24,Grid_Stock[Part Name],0),$P$7+3))</f>
        <v/>
      </c>
      <c r="L24" s="19">
        <f>MAX(0,$F24-INDEX(Grid_Stock[#Data],MATCH($D24,Grid_Stock[Part Name],0),$P$7+4))</f>
        <v/>
      </c>
      <c r="M24" s="19">
        <f>MAX(0,$F24-INDEX(Grid_Stock[#Data],MATCH($D24,Grid_Stock[Part Name],0),$P$7+5))</f>
        <v/>
      </c>
      <c r="N24" s="19">
        <f>MAX(0,$F24-INDEX(Grid_Stock[#Data],MATCH($D24,Grid_Stock[Part Name],0),$P$7+6))</f>
        <v/>
      </c>
      <c r="O24" s="19">
        <f>MAX(0,$F24-INDEX(Grid_Stock[#Data],MATCH($D24,Grid_Stock[Part Name],0),$P$7+7))</f>
        <v/>
      </c>
      <c r="P24" s="19">
        <f>MAX(0,$F24-INDEX(Grid_Stock[#Data],MATCH($D24,Grid_Stock[Part Name],0),$P$7+8))</f>
        <v/>
      </c>
      <c r="Q24" s="19">
        <f>MAX(0,$F24-INDEX(Grid_Stock[#Data],MATCH($D24,Grid_Stock[Part Name],0),$P$7+9))</f>
        <v/>
      </c>
      <c r="R24" s="19">
        <f>MAX(0,$F24-INDEX(Grid_Stock[#Data],MATCH($D24,Grid_Stock[Part Name],0),$P$7+10))</f>
        <v/>
      </c>
      <c r="S24" s="19">
        <f>MAX(0,$F24-INDEX(Grid_Stock[#Data],MATCH($D24,Grid_Stock[Part Name],0),$P$7+11))</f>
        <v/>
      </c>
      <c r="T24" s="19">
        <f>MAX(0,$F24-INDEX(Grid_Stock[#Data],MATCH($D24,Grid_Stock[Part Name],0),$P$7+12))</f>
        <v/>
      </c>
      <c r="U24" s="19">
        <f>SUM(H24:T24)</f>
        <v/>
      </c>
    </row>
    <row r="25">
      <c r="B25" s="17">
        <f>IFERROR(INDEX(M_RawMaterials[Description],MATCH("YAN",M_RawMaterials[Part Name],0)),"")</f>
        <v/>
      </c>
      <c r="C25" s="17" t="inlineStr">
        <is>
          <t>18465F2100Z</t>
        </is>
      </c>
      <c r="D25" s="17" t="inlineStr">
        <is>
          <t>YAN</t>
        </is>
      </c>
      <c r="E25" s="17" t="inlineStr">
        <is>
          <t>kg</t>
        </is>
      </c>
      <c r="F25" s="17">
        <f>IFERROR(INDEX(M_RawMaterials[基準在庫下限_要入力],MATCH("YAN",M_RawMaterials[Part Name],0)),0)</f>
        <v/>
      </c>
      <c r="G25" s="17">
        <f>INDEX(Grid_Stock[#Data],MATCH($D25,Grid_Stock[Part Name],0),$P$7)</f>
        <v/>
      </c>
      <c r="H25" s="17">
        <f>MAX(0,$F25-INDEX(Grid_Stock[#Data],MATCH($D25,Grid_Stock[Part Name],0),$P$7+0))</f>
        <v/>
      </c>
      <c r="I25" s="17">
        <f>MAX(0,$F25-INDEX(Grid_Stock[#Data],MATCH($D25,Grid_Stock[Part Name],0),$P$7+1))</f>
        <v/>
      </c>
      <c r="J25" s="17">
        <f>MAX(0,$F25-INDEX(Grid_Stock[#Data],MATCH($D25,Grid_Stock[Part Name],0),$P$7+2))</f>
        <v/>
      </c>
      <c r="K25" s="17">
        <f>MAX(0,$F25-INDEX(Grid_Stock[#Data],MATCH($D25,Grid_Stock[Part Name],0),$P$7+3))</f>
        <v/>
      </c>
      <c r="L25" s="17">
        <f>MAX(0,$F25-INDEX(Grid_Stock[#Data],MATCH($D25,Grid_Stock[Part Name],0),$P$7+4))</f>
        <v/>
      </c>
      <c r="M25" s="17">
        <f>MAX(0,$F25-INDEX(Grid_Stock[#Data],MATCH($D25,Grid_Stock[Part Name],0),$P$7+5))</f>
        <v/>
      </c>
      <c r="N25" s="17">
        <f>MAX(0,$F25-INDEX(Grid_Stock[#Data],MATCH($D25,Grid_Stock[Part Name],0),$P$7+6))</f>
        <v/>
      </c>
      <c r="O25" s="17">
        <f>MAX(0,$F25-INDEX(Grid_Stock[#Data],MATCH($D25,Grid_Stock[Part Name],0),$P$7+7))</f>
        <v/>
      </c>
      <c r="P25" s="17">
        <f>MAX(0,$F25-INDEX(Grid_Stock[#Data],MATCH($D25,Grid_Stock[Part Name],0),$P$7+8))</f>
        <v/>
      </c>
      <c r="Q25" s="17">
        <f>MAX(0,$F25-INDEX(Grid_Stock[#Data],MATCH($D25,Grid_Stock[Part Name],0),$P$7+9))</f>
        <v/>
      </c>
      <c r="R25" s="17">
        <f>MAX(0,$F25-INDEX(Grid_Stock[#Data],MATCH($D25,Grid_Stock[Part Name],0),$P$7+10))</f>
        <v/>
      </c>
      <c r="S25" s="17">
        <f>MAX(0,$F25-INDEX(Grid_Stock[#Data],MATCH($D25,Grid_Stock[Part Name],0),$P$7+11))</f>
        <v/>
      </c>
      <c r="T25" s="17">
        <f>MAX(0,$F25-INDEX(Grid_Stock[#Data],MATCH($D25,Grid_Stock[Part Name],0),$P$7+12))</f>
        <v/>
      </c>
      <c r="U25" s="17">
        <f>SUM(H25:T25)</f>
        <v/>
      </c>
    </row>
    <row r="26">
      <c r="B26" s="19">
        <f>IFERROR(INDEX(M_RawMaterials[Description],MATCH("ABN",M_RawMaterials[Part Name],0)),"")</f>
        <v/>
      </c>
      <c r="C26" s="19" t="inlineStr">
        <is>
          <t>18465F3050Z</t>
        </is>
      </c>
      <c r="D26" s="19" t="inlineStr">
        <is>
          <t>ABN</t>
        </is>
      </c>
      <c r="E26" s="19" t="inlineStr">
        <is>
          <t>kg</t>
        </is>
      </c>
      <c r="F26" s="19">
        <f>IFERROR(INDEX(M_RawMaterials[基準在庫下限_要入力],MATCH("ABN",M_RawMaterials[Part Name],0)),0)</f>
        <v/>
      </c>
      <c r="G26" s="19">
        <f>INDEX(Grid_Stock[#Data],MATCH($D26,Grid_Stock[Part Name],0),$P$7)</f>
        <v/>
      </c>
      <c r="H26" s="19">
        <f>MAX(0,$F26-INDEX(Grid_Stock[#Data],MATCH($D26,Grid_Stock[Part Name],0),$P$7+0))</f>
        <v/>
      </c>
      <c r="I26" s="19">
        <f>MAX(0,$F26-INDEX(Grid_Stock[#Data],MATCH($D26,Grid_Stock[Part Name],0),$P$7+1))</f>
        <v/>
      </c>
      <c r="J26" s="19">
        <f>MAX(0,$F26-INDEX(Grid_Stock[#Data],MATCH($D26,Grid_Stock[Part Name],0),$P$7+2))</f>
        <v/>
      </c>
      <c r="K26" s="19">
        <f>MAX(0,$F26-INDEX(Grid_Stock[#Data],MATCH($D26,Grid_Stock[Part Name],0),$P$7+3))</f>
        <v/>
      </c>
      <c r="L26" s="19">
        <f>MAX(0,$F26-INDEX(Grid_Stock[#Data],MATCH($D26,Grid_Stock[Part Name],0),$P$7+4))</f>
        <v/>
      </c>
      <c r="M26" s="19">
        <f>MAX(0,$F26-INDEX(Grid_Stock[#Data],MATCH($D26,Grid_Stock[Part Name],0),$P$7+5))</f>
        <v/>
      </c>
      <c r="N26" s="19">
        <f>MAX(0,$F26-INDEX(Grid_Stock[#Data],MATCH($D26,Grid_Stock[Part Name],0),$P$7+6))</f>
        <v/>
      </c>
      <c r="O26" s="19">
        <f>MAX(0,$F26-INDEX(Grid_Stock[#Data],MATCH($D26,Grid_Stock[Part Name],0),$P$7+7))</f>
        <v/>
      </c>
      <c r="P26" s="19">
        <f>MAX(0,$F26-INDEX(Grid_Stock[#Data],MATCH($D26,Grid_Stock[Part Name],0),$P$7+8))</f>
        <v/>
      </c>
      <c r="Q26" s="19">
        <f>MAX(0,$F26-INDEX(Grid_Stock[#Data],MATCH($D26,Grid_Stock[Part Name],0),$P$7+9))</f>
        <v/>
      </c>
      <c r="R26" s="19">
        <f>MAX(0,$F26-INDEX(Grid_Stock[#Data],MATCH($D26,Grid_Stock[Part Name],0),$P$7+10))</f>
        <v/>
      </c>
      <c r="S26" s="19">
        <f>MAX(0,$F26-INDEX(Grid_Stock[#Data],MATCH($D26,Grid_Stock[Part Name],0),$P$7+11))</f>
        <v/>
      </c>
      <c r="T26" s="19">
        <f>MAX(0,$F26-INDEX(Grid_Stock[#Data],MATCH($D26,Grid_Stock[Part Name],0),$P$7+12))</f>
        <v/>
      </c>
      <c r="U26" s="19">
        <f>SUM(H26:T26)</f>
        <v/>
      </c>
    </row>
    <row r="27">
      <c r="B27" s="17">
        <f>IFERROR(INDEX(M_RawMaterials[Description],MATCH("OLJ",M_RawMaterials[Part Name],0)),"")</f>
        <v/>
      </c>
      <c r="C27" s="17" t="inlineStr"/>
      <c r="D27" s="17" t="inlineStr">
        <is>
          <t>OLJ</t>
        </is>
      </c>
      <c r="E27" s="17" t="inlineStr">
        <is>
          <t>kg</t>
        </is>
      </c>
      <c r="F27" s="17">
        <f>IFERROR(INDEX(M_RawMaterials[基準在庫下限_要入力],MATCH("OLJ",M_RawMaterials[Part Name],0)),0)</f>
        <v/>
      </c>
      <c r="G27" s="17">
        <f>INDEX(Grid_Stock[#Data],MATCH($D27,Grid_Stock[Part Name],0),$P$7)</f>
        <v/>
      </c>
      <c r="H27" s="17">
        <f>MAX(0,$F27-INDEX(Grid_Stock[#Data],MATCH($D27,Grid_Stock[Part Name],0),$P$7+0))</f>
        <v/>
      </c>
      <c r="I27" s="17">
        <f>MAX(0,$F27-INDEX(Grid_Stock[#Data],MATCH($D27,Grid_Stock[Part Name],0),$P$7+1))</f>
        <v/>
      </c>
      <c r="J27" s="17">
        <f>MAX(0,$F27-INDEX(Grid_Stock[#Data],MATCH($D27,Grid_Stock[Part Name],0),$P$7+2))</f>
        <v/>
      </c>
      <c r="K27" s="17">
        <f>MAX(0,$F27-INDEX(Grid_Stock[#Data],MATCH($D27,Grid_Stock[Part Name],0),$P$7+3))</f>
        <v/>
      </c>
      <c r="L27" s="17">
        <f>MAX(0,$F27-INDEX(Grid_Stock[#Data],MATCH($D27,Grid_Stock[Part Name],0),$P$7+4))</f>
        <v/>
      </c>
      <c r="M27" s="17">
        <f>MAX(0,$F27-INDEX(Grid_Stock[#Data],MATCH($D27,Grid_Stock[Part Name],0),$P$7+5))</f>
        <v/>
      </c>
      <c r="N27" s="17">
        <f>MAX(0,$F27-INDEX(Grid_Stock[#Data],MATCH($D27,Grid_Stock[Part Name],0),$P$7+6))</f>
        <v/>
      </c>
      <c r="O27" s="17">
        <f>MAX(0,$F27-INDEX(Grid_Stock[#Data],MATCH($D27,Grid_Stock[Part Name],0),$P$7+7))</f>
        <v/>
      </c>
      <c r="P27" s="17">
        <f>MAX(0,$F27-INDEX(Grid_Stock[#Data],MATCH($D27,Grid_Stock[Part Name],0),$P$7+8))</f>
        <v/>
      </c>
      <c r="Q27" s="17">
        <f>MAX(0,$F27-INDEX(Grid_Stock[#Data],MATCH($D27,Grid_Stock[Part Name],0),$P$7+9))</f>
        <v/>
      </c>
      <c r="R27" s="17">
        <f>MAX(0,$F27-INDEX(Grid_Stock[#Data],MATCH($D27,Grid_Stock[Part Name],0),$P$7+10))</f>
        <v/>
      </c>
      <c r="S27" s="17">
        <f>MAX(0,$F27-INDEX(Grid_Stock[#Data],MATCH($D27,Grid_Stock[Part Name],0),$P$7+11))</f>
        <v/>
      </c>
      <c r="T27" s="17">
        <f>MAX(0,$F27-INDEX(Grid_Stock[#Data],MATCH($D27,Grid_Stock[Part Name],0),$P$7+12))</f>
        <v/>
      </c>
      <c r="U27" s="17">
        <f>SUM(H27:T27)</f>
        <v/>
      </c>
    </row>
    <row r="28">
      <c r="B28" s="19">
        <f>IFERROR(INDEX(M_RawMaterials[Description],MATCH("5SN",M_RawMaterials[Part Name],0)),"")</f>
        <v/>
      </c>
      <c r="C28" s="19" t="inlineStr"/>
      <c r="D28" s="19" t="inlineStr">
        <is>
          <t>5SN</t>
        </is>
      </c>
      <c r="E28" s="19" t="inlineStr">
        <is>
          <t>kg</t>
        </is>
      </c>
      <c r="F28" s="19">
        <f>IFERROR(INDEX(M_RawMaterials[基準在庫下限_要入力],MATCH("5SN",M_RawMaterials[Part Name],0)),0)</f>
        <v/>
      </c>
      <c r="G28" s="19">
        <f>INDEX(Grid_Stock[#Data],MATCH($D28,Grid_Stock[Part Name],0),$P$7)</f>
        <v/>
      </c>
      <c r="H28" s="19">
        <f>MAX(0,$F28-INDEX(Grid_Stock[#Data],MATCH($D28,Grid_Stock[Part Name],0),$P$7+0))</f>
        <v/>
      </c>
      <c r="I28" s="19">
        <f>MAX(0,$F28-INDEX(Grid_Stock[#Data],MATCH($D28,Grid_Stock[Part Name],0),$P$7+1))</f>
        <v/>
      </c>
      <c r="J28" s="19">
        <f>MAX(0,$F28-INDEX(Grid_Stock[#Data],MATCH($D28,Grid_Stock[Part Name],0),$P$7+2))</f>
        <v/>
      </c>
      <c r="K28" s="19">
        <f>MAX(0,$F28-INDEX(Grid_Stock[#Data],MATCH($D28,Grid_Stock[Part Name],0),$P$7+3))</f>
        <v/>
      </c>
      <c r="L28" s="19">
        <f>MAX(0,$F28-INDEX(Grid_Stock[#Data],MATCH($D28,Grid_Stock[Part Name],0),$P$7+4))</f>
        <v/>
      </c>
      <c r="M28" s="19">
        <f>MAX(0,$F28-INDEX(Grid_Stock[#Data],MATCH($D28,Grid_Stock[Part Name],0),$P$7+5))</f>
        <v/>
      </c>
      <c r="N28" s="19">
        <f>MAX(0,$F28-INDEX(Grid_Stock[#Data],MATCH($D28,Grid_Stock[Part Name],0),$P$7+6))</f>
        <v/>
      </c>
      <c r="O28" s="19">
        <f>MAX(0,$F28-INDEX(Grid_Stock[#Data],MATCH($D28,Grid_Stock[Part Name],0),$P$7+7))</f>
        <v/>
      </c>
      <c r="P28" s="19">
        <f>MAX(0,$F28-INDEX(Grid_Stock[#Data],MATCH($D28,Grid_Stock[Part Name],0),$P$7+8))</f>
        <v/>
      </c>
      <c r="Q28" s="19">
        <f>MAX(0,$F28-INDEX(Grid_Stock[#Data],MATCH($D28,Grid_Stock[Part Name],0),$P$7+9))</f>
        <v/>
      </c>
      <c r="R28" s="19">
        <f>MAX(0,$F28-INDEX(Grid_Stock[#Data],MATCH($D28,Grid_Stock[Part Name],0),$P$7+10))</f>
        <v/>
      </c>
      <c r="S28" s="19">
        <f>MAX(0,$F28-INDEX(Grid_Stock[#Data],MATCH($D28,Grid_Stock[Part Name],0),$P$7+11))</f>
        <v/>
      </c>
      <c r="T28" s="19">
        <f>MAX(0,$F28-INDEX(Grid_Stock[#Data],MATCH($D28,Grid_Stock[Part Name],0),$P$7+12))</f>
        <v/>
      </c>
      <c r="U28" s="19">
        <f>SUM(H28:T28)</f>
        <v/>
      </c>
    </row>
    <row r="29">
      <c r="B29" s="17">
        <f>IFERROR(INDEX(M_RawMaterials[Description],MATCH("8EN",M_RawMaterials[Part Name],0)),"")</f>
        <v/>
      </c>
      <c r="C29" s="17" t="inlineStr"/>
      <c r="D29" s="17" t="inlineStr">
        <is>
          <t>8EN</t>
        </is>
      </c>
      <c r="E29" s="17" t="inlineStr">
        <is>
          <t>kg</t>
        </is>
      </c>
      <c r="F29" s="17">
        <f>IFERROR(INDEX(M_RawMaterials[基準在庫下限_要入力],MATCH("8EN",M_RawMaterials[Part Name],0)),0)</f>
        <v/>
      </c>
      <c r="G29" s="17">
        <f>INDEX(Grid_Stock[#Data],MATCH($D29,Grid_Stock[Part Name],0),$P$7)</f>
        <v/>
      </c>
      <c r="H29" s="17">
        <f>MAX(0,$F29-INDEX(Grid_Stock[#Data],MATCH($D29,Grid_Stock[Part Name],0),$P$7+0))</f>
        <v/>
      </c>
      <c r="I29" s="17">
        <f>MAX(0,$F29-INDEX(Grid_Stock[#Data],MATCH($D29,Grid_Stock[Part Name],0),$P$7+1))</f>
        <v/>
      </c>
      <c r="J29" s="17">
        <f>MAX(0,$F29-INDEX(Grid_Stock[#Data],MATCH($D29,Grid_Stock[Part Name],0),$P$7+2))</f>
        <v/>
      </c>
      <c r="K29" s="17">
        <f>MAX(0,$F29-INDEX(Grid_Stock[#Data],MATCH($D29,Grid_Stock[Part Name],0),$P$7+3))</f>
        <v/>
      </c>
      <c r="L29" s="17">
        <f>MAX(0,$F29-INDEX(Grid_Stock[#Data],MATCH($D29,Grid_Stock[Part Name],0),$P$7+4))</f>
        <v/>
      </c>
      <c r="M29" s="17">
        <f>MAX(0,$F29-INDEX(Grid_Stock[#Data],MATCH($D29,Grid_Stock[Part Name],0),$P$7+5))</f>
        <v/>
      </c>
      <c r="N29" s="17">
        <f>MAX(0,$F29-INDEX(Grid_Stock[#Data],MATCH($D29,Grid_Stock[Part Name],0),$P$7+6))</f>
        <v/>
      </c>
      <c r="O29" s="17">
        <f>MAX(0,$F29-INDEX(Grid_Stock[#Data],MATCH($D29,Grid_Stock[Part Name],0),$P$7+7))</f>
        <v/>
      </c>
      <c r="P29" s="17">
        <f>MAX(0,$F29-INDEX(Grid_Stock[#Data],MATCH($D29,Grid_Stock[Part Name],0),$P$7+8))</f>
        <v/>
      </c>
      <c r="Q29" s="17">
        <f>MAX(0,$F29-INDEX(Grid_Stock[#Data],MATCH($D29,Grid_Stock[Part Name],0),$P$7+9))</f>
        <v/>
      </c>
      <c r="R29" s="17">
        <f>MAX(0,$F29-INDEX(Grid_Stock[#Data],MATCH($D29,Grid_Stock[Part Name],0),$P$7+10))</f>
        <v/>
      </c>
      <c r="S29" s="17">
        <f>MAX(0,$F29-INDEX(Grid_Stock[#Data],MATCH($D29,Grid_Stock[Part Name],0),$P$7+11))</f>
        <v/>
      </c>
      <c r="T29" s="17">
        <f>MAX(0,$F29-INDEX(Grid_Stock[#Data],MATCH($D29,Grid_Stock[Part Name],0),$P$7+12))</f>
        <v/>
      </c>
      <c r="U29" s="17">
        <f>SUM(H29:T29)</f>
        <v/>
      </c>
    </row>
    <row r="30">
      <c r="B30" s="19">
        <f>IFERROR(INDEX(M_RawMaterials[Description],MATCH("9RJ",M_RawMaterials[Part Name],0)),"")</f>
        <v/>
      </c>
      <c r="C30" s="19" t="inlineStr"/>
      <c r="D30" s="19" t="inlineStr">
        <is>
          <t>9RJ</t>
        </is>
      </c>
      <c r="E30" s="19" t="inlineStr">
        <is>
          <t>kg</t>
        </is>
      </c>
      <c r="F30" s="19">
        <f>IFERROR(INDEX(M_RawMaterials[基準在庫下限_要入力],MATCH("9RJ",M_RawMaterials[Part Name],0)),0)</f>
        <v/>
      </c>
      <c r="G30" s="19">
        <f>INDEX(Grid_Stock[#Data],MATCH($D30,Grid_Stock[Part Name],0),$P$7)</f>
        <v/>
      </c>
      <c r="H30" s="19">
        <f>MAX(0,$F30-INDEX(Grid_Stock[#Data],MATCH($D30,Grid_Stock[Part Name],0),$P$7+0))</f>
        <v/>
      </c>
      <c r="I30" s="19">
        <f>MAX(0,$F30-INDEX(Grid_Stock[#Data],MATCH($D30,Grid_Stock[Part Name],0),$P$7+1))</f>
        <v/>
      </c>
      <c r="J30" s="19">
        <f>MAX(0,$F30-INDEX(Grid_Stock[#Data],MATCH($D30,Grid_Stock[Part Name],0),$P$7+2))</f>
        <v/>
      </c>
      <c r="K30" s="19">
        <f>MAX(0,$F30-INDEX(Grid_Stock[#Data],MATCH($D30,Grid_Stock[Part Name],0),$P$7+3))</f>
        <v/>
      </c>
      <c r="L30" s="19">
        <f>MAX(0,$F30-INDEX(Grid_Stock[#Data],MATCH($D30,Grid_Stock[Part Name],0),$P$7+4))</f>
        <v/>
      </c>
      <c r="M30" s="19">
        <f>MAX(0,$F30-INDEX(Grid_Stock[#Data],MATCH($D30,Grid_Stock[Part Name],0),$P$7+5))</f>
        <v/>
      </c>
      <c r="N30" s="19">
        <f>MAX(0,$F30-INDEX(Grid_Stock[#Data],MATCH($D30,Grid_Stock[Part Name],0),$P$7+6))</f>
        <v/>
      </c>
      <c r="O30" s="19">
        <f>MAX(0,$F30-INDEX(Grid_Stock[#Data],MATCH($D30,Grid_Stock[Part Name],0),$P$7+7))</f>
        <v/>
      </c>
      <c r="P30" s="19">
        <f>MAX(0,$F30-INDEX(Grid_Stock[#Data],MATCH($D30,Grid_Stock[Part Name],0),$P$7+8))</f>
        <v/>
      </c>
      <c r="Q30" s="19">
        <f>MAX(0,$F30-INDEX(Grid_Stock[#Data],MATCH($D30,Grid_Stock[Part Name],0),$P$7+9))</f>
        <v/>
      </c>
      <c r="R30" s="19">
        <f>MAX(0,$F30-INDEX(Grid_Stock[#Data],MATCH($D30,Grid_Stock[Part Name],0),$P$7+10))</f>
        <v/>
      </c>
      <c r="S30" s="19">
        <f>MAX(0,$F30-INDEX(Grid_Stock[#Data],MATCH($D30,Grid_Stock[Part Name],0),$P$7+11))</f>
        <v/>
      </c>
      <c r="T30" s="19">
        <f>MAX(0,$F30-INDEX(Grid_Stock[#Data],MATCH($D30,Grid_Stock[Part Name],0),$P$7+12))</f>
        <v/>
      </c>
      <c r="U30" s="19">
        <f>SUM(H30:T30)</f>
        <v/>
      </c>
    </row>
    <row r="31">
      <c r="B31" s="17">
        <f>IFERROR(INDEX(M_RawMaterials[Description],MATCH("5JK",M_RawMaterials[Part Name],0)),"")</f>
        <v/>
      </c>
      <c r="C31" s="17" t="inlineStr"/>
      <c r="D31" s="17" t="inlineStr">
        <is>
          <t>5JK</t>
        </is>
      </c>
      <c r="E31" s="17" t="inlineStr">
        <is>
          <t>kg</t>
        </is>
      </c>
      <c r="F31" s="17">
        <f>IFERROR(INDEX(M_RawMaterials[基準在庫下限_要入力],MATCH("5JK",M_RawMaterials[Part Name],0)),0)</f>
        <v/>
      </c>
      <c r="G31" s="17">
        <f>INDEX(Grid_Stock[#Data],MATCH($D31,Grid_Stock[Part Name],0),$P$7)</f>
        <v/>
      </c>
      <c r="H31" s="17">
        <f>MAX(0,$F31-INDEX(Grid_Stock[#Data],MATCH($D31,Grid_Stock[Part Name],0),$P$7+0))</f>
        <v/>
      </c>
      <c r="I31" s="17">
        <f>MAX(0,$F31-INDEX(Grid_Stock[#Data],MATCH($D31,Grid_Stock[Part Name],0),$P$7+1))</f>
        <v/>
      </c>
      <c r="J31" s="17">
        <f>MAX(0,$F31-INDEX(Grid_Stock[#Data],MATCH($D31,Grid_Stock[Part Name],0),$P$7+2))</f>
        <v/>
      </c>
      <c r="K31" s="17">
        <f>MAX(0,$F31-INDEX(Grid_Stock[#Data],MATCH($D31,Grid_Stock[Part Name],0),$P$7+3))</f>
        <v/>
      </c>
      <c r="L31" s="17">
        <f>MAX(0,$F31-INDEX(Grid_Stock[#Data],MATCH($D31,Grid_Stock[Part Name],0),$P$7+4))</f>
        <v/>
      </c>
      <c r="M31" s="17">
        <f>MAX(0,$F31-INDEX(Grid_Stock[#Data],MATCH($D31,Grid_Stock[Part Name],0),$P$7+5))</f>
        <v/>
      </c>
      <c r="N31" s="17">
        <f>MAX(0,$F31-INDEX(Grid_Stock[#Data],MATCH($D31,Grid_Stock[Part Name],0),$P$7+6))</f>
        <v/>
      </c>
      <c r="O31" s="17">
        <f>MAX(0,$F31-INDEX(Grid_Stock[#Data],MATCH($D31,Grid_Stock[Part Name],0),$P$7+7))</f>
        <v/>
      </c>
      <c r="P31" s="17">
        <f>MAX(0,$F31-INDEX(Grid_Stock[#Data],MATCH($D31,Grid_Stock[Part Name],0),$P$7+8))</f>
        <v/>
      </c>
      <c r="Q31" s="17">
        <f>MAX(0,$F31-INDEX(Grid_Stock[#Data],MATCH($D31,Grid_Stock[Part Name],0),$P$7+9))</f>
        <v/>
      </c>
      <c r="R31" s="17">
        <f>MAX(0,$F31-INDEX(Grid_Stock[#Data],MATCH($D31,Grid_Stock[Part Name],0),$P$7+10))</f>
        <v/>
      </c>
      <c r="S31" s="17">
        <f>MAX(0,$F31-INDEX(Grid_Stock[#Data],MATCH($D31,Grid_Stock[Part Name],0),$P$7+11))</f>
        <v/>
      </c>
      <c r="T31" s="17">
        <f>MAX(0,$F31-INDEX(Grid_Stock[#Data],MATCH($D31,Grid_Stock[Part Name],0),$P$7+12))</f>
        <v/>
      </c>
      <c r="U31" s="17">
        <f>SUM(H31:T31)</f>
        <v/>
      </c>
    </row>
    <row r="32">
      <c r="B32" s="19">
        <f>IFERROR(INDEX(M_RawMaterials[Description],MATCH("26F",M_RawMaterials[Part Name],0)),"")</f>
        <v/>
      </c>
      <c r="C32" s="19" t="inlineStr"/>
      <c r="D32" s="19" t="inlineStr">
        <is>
          <t>26F</t>
        </is>
      </c>
      <c r="E32" s="19" t="inlineStr">
        <is>
          <t>kg</t>
        </is>
      </c>
      <c r="F32" s="19">
        <f>IFERROR(INDEX(M_RawMaterials[基準在庫下限_要入力],MATCH("26F",M_RawMaterials[Part Name],0)),0)</f>
        <v/>
      </c>
      <c r="G32" s="19">
        <f>INDEX(Grid_Stock[#Data],MATCH($D32,Grid_Stock[Part Name],0),$P$7)</f>
        <v/>
      </c>
      <c r="H32" s="19">
        <f>MAX(0,$F32-INDEX(Grid_Stock[#Data],MATCH($D32,Grid_Stock[Part Name],0),$P$7+0))</f>
        <v/>
      </c>
      <c r="I32" s="19">
        <f>MAX(0,$F32-INDEX(Grid_Stock[#Data],MATCH($D32,Grid_Stock[Part Name],0),$P$7+1))</f>
        <v/>
      </c>
      <c r="J32" s="19">
        <f>MAX(0,$F32-INDEX(Grid_Stock[#Data],MATCH($D32,Grid_Stock[Part Name],0),$P$7+2))</f>
        <v/>
      </c>
      <c r="K32" s="19">
        <f>MAX(0,$F32-INDEX(Grid_Stock[#Data],MATCH($D32,Grid_Stock[Part Name],0),$P$7+3))</f>
        <v/>
      </c>
      <c r="L32" s="19">
        <f>MAX(0,$F32-INDEX(Grid_Stock[#Data],MATCH($D32,Grid_Stock[Part Name],0),$P$7+4))</f>
        <v/>
      </c>
      <c r="M32" s="19">
        <f>MAX(0,$F32-INDEX(Grid_Stock[#Data],MATCH($D32,Grid_Stock[Part Name],0),$P$7+5))</f>
        <v/>
      </c>
      <c r="N32" s="19">
        <f>MAX(0,$F32-INDEX(Grid_Stock[#Data],MATCH($D32,Grid_Stock[Part Name],0),$P$7+6))</f>
        <v/>
      </c>
      <c r="O32" s="19">
        <f>MAX(0,$F32-INDEX(Grid_Stock[#Data],MATCH($D32,Grid_Stock[Part Name],0),$P$7+7))</f>
        <v/>
      </c>
      <c r="P32" s="19">
        <f>MAX(0,$F32-INDEX(Grid_Stock[#Data],MATCH($D32,Grid_Stock[Part Name],0),$P$7+8))</f>
        <v/>
      </c>
      <c r="Q32" s="19">
        <f>MAX(0,$F32-INDEX(Grid_Stock[#Data],MATCH($D32,Grid_Stock[Part Name],0),$P$7+9))</f>
        <v/>
      </c>
      <c r="R32" s="19">
        <f>MAX(0,$F32-INDEX(Grid_Stock[#Data],MATCH($D32,Grid_Stock[Part Name],0),$P$7+10))</f>
        <v/>
      </c>
      <c r="S32" s="19">
        <f>MAX(0,$F32-INDEX(Grid_Stock[#Data],MATCH($D32,Grid_Stock[Part Name],0),$P$7+11))</f>
        <v/>
      </c>
      <c r="T32" s="19">
        <f>MAX(0,$F32-INDEX(Grid_Stock[#Data],MATCH($D32,Grid_Stock[Part Name],0),$P$7+12))</f>
        <v/>
      </c>
      <c r="U32" s="19">
        <f>SUM(H32:T32)</f>
        <v/>
      </c>
    </row>
    <row r="33">
      <c r="B33" s="17">
        <f>IFERROR(INDEX(M_RawMaterials[Description],MATCH("73K",M_RawMaterials[Part Name],0)),"")</f>
        <v/>
      </c>
      <c r="C33" s="17" t="inlineStr"/>
      <c r="D33" s="17" t="inlineStr">
        <is>
          <t>73K</t>
        </is>
      </c>
      <c r="E33" s="17" t="inlineStr">
        <is>
          <t>kg</t>
        </is>
      </c>
      <c r="F33" s="17">
        <f>IFERROR(INDEX(M_RawMaterials[基準在庫下限_要入力],MATCH("73K",M_RawMaterials[Part Name],0)),0)</f>
        <v/>
      </c>
      <c r="G33" s="17">
        <f>INDEX(Grid_Stock[#Data],MATCH($D33,Grid_Stock[Part Name],0),$P$7)</f>
        <v/>
      </c>
      <c r="H33" s="17">
        <f>MAX(0,$F33-INDEX(Grid_Stock[#Data],MATCH($D33,Grid_Stock[Part Name],0),$P$7+0))</f>
        <v/>
      </c>
      <c r="I33" s="17">
        <f>MAX(0,$F33-INDEX(Grid_Stock[#Data],MATCH($D33,Grid_Stock[Part Name],0),$P$7+1))</f>
        <v/>
      </c>
      <c r="J33" s="17">
        <f>MAX(0,$F33-INDEX(Grid_Stock[#Data],MATCH($D33,Grid_Stock[Part Name],0),$P$7+2))</f>
        <v/>
      </c>
      <c r="K33" s="17">
        <f>MAX(0,$F33-INDEX(Grid_Stock[#Data],MATCH($D33,Grid_Stock[Part Name],0),$P$7+3))</f>
        <v/>
      </c>
      <c r="L33" s="17">
        <f>MAX(0,$F33-INDEX(Grid_Stock[#Data],MATCH($D33,Grid_Stock[Part Name],0),$P$7+4))</f>
        <v/>
      </c>
      <c r="M33" s="17">
        <f>MAX(0,$F33-INDEX(Grid_Stock[#Data],MATCH($D33,Grid_Stock[Part Name],0),$P$7+5))</f>
        <v/>
      </c>
      <c r="N33" s="17">
        <f>MAX(0,$F33-INDEX(Grid_Stock[#Data],MATCH($D33,Grid_Stock[Part Name],0),$P$7+6))</f>
        <v/>
      </c>
      <c r="O33" s="17">
        <f>MAX(0,$F33-INDEX(Grid_Stock[#Data],MATCH($D33,Grid_Stock[Part Name],0),$P$7+7))</f>
        <v/>
      </c>
      <c r="P33" s="17">
        <f>MAX(0,$F33-INDEX(Grid_Stock[#Data],MATCH($D33,Grid_Stock[Part Name],0),$P$7+8))</f>
        <v/>
      </c>
      <c r="Q33" s="17">
        <f>MAX(0,$F33-INDEX(Grid_Stock[#Data],MATCH($D33,Grid_Stock[Part Name],0),$P$7+9))</f>
        <v/>
      </c>
      <c r="R33" s="17">
        <f>MAX(0,$F33-INDEX(Grid_Stock[#Data],MATCH($D33,Grid_Stock[Part Name],0),$P$7+10))</f>
        <v/>
      </c>
      <c r="S33" s="17">
        <f>MAX(0,$F33-INDEX(Grid_Stock[#Data],MATCH($D33,Grid_Stock[Part Name],0),$P$7+11))</f>
        <v/>
      </c>
      <c r="T33" s="17">
        <f>MAX(0,$F33-INDEX(Grid_Stock[#Data],MATCH($D33,Grid_Stock[Part Name],0),$P$7+12))</f>
        <v/>
      </c>
      <c r="U33" s="17">
        <f>SUM(H33:T33)</f>
        <v/>
      </c>
    </row>
    <row r="34">
      <c r="B34" s="19">
        <f>IFERROR(INDEX(M_RawMaterials[Description],MATCH("1JN",M_RawMaterials[Part Name],0)),"")</f>
        <v/>
      </c>
      <c r="C34" s="19" t="inlineStr"/>
      <c r="D34" s="19" t="inlineStr">
        <is>
          <t>1JN</t>
        </is>
      </c>
      <c r="E34" s="19" t="inlineStr">
        <is>
          <t>kg</t>
        </is>
      </c>
      <c r="F34" s="19">
        <f>IFERROR(INDEX(M_RawMaterials[基準在庫下限_要入力],MATCH("1JN",M_RawMaterials[Part Name],0)),0)</f>
        <v/>
      </c>
      <c r="G34" s="19">
        <f>INDEX(Grid_Stock[#Data],MATCH($D34,Grid_Stock[Part Name],0),$P$7)</f>
        <v/>
      </c>
      <c r="H34" s="19">
        <f>MAX(0,$F34-INDEX(Grid_Stock[#Data],MATCH($D34,Grid_Stock[Part Name],0),$P$7+0))</f>
        <v/>
      </c>
      <c r="I34" s="19">
        <f>MAX(0,$F34-INDEX(Grid_Stock[#Data],MATCH($D34,Grid_Stock[Part Name],0),$P$7+1))</f>
        <v/>
      </c>
      <c r="J34" s="19">
        <f>MAX(0,$F34-INDEX(Grid_Stock[#Data],MATCH($D34,Grid_Stock[Part Name],0),$P$7+2))</f>
        <v/>
      </c>
      <c r="K34" s="19">
        <f>MAX(0,$F34-INDEX(Grid_Stock[#Data],MATCH($D34,Grid_Stock[Part Name],0),$P$7+3))</f>
        <v/>
      </c>
      <c r="L34" s="19">
        <f>MAX(0,$F34-INDEX(Grid_Stock[#Data],MATCH($D34,Grid_Stock[Part Name],0),$P$7+4))</f>
        <v/>
      </c>
      <c r="M34" s="19">
        <f>MAX(0,$F34-INDEX(Grid_Stock[#Data],MATCH($D34,Grid_Stock[Part Name],0),$P$7+5))</f>
        <v/>
      </c>
      <c r="N34" s="19">
        <f>MAX(0,$F34-INDEX(Grid_Stock[#Data],MATCH($D34,Grid_Stock[Part Name],0),$P$7+6))</f>
        <v/>
      </c>
      <c r="O34" s="19">
        <f>MAX(0,$F34-INDEX(Grid_Stock[#Data],MATCH($D34,Grid_Stock[Part Name],0),$P$7+7))</f>
        <v/>
      </c>
      <c r="P34" s="19">
        <f>MAX(0,$F34-INDEX(Grid_Stock[#Data],MATCH($D34,Grid_Stock[Part Name],0),$P$7+8))</f>
        <v/>
      </c>
      <c r="Q34" s="19">
        <f>MAX(0,$F34-INDEX(Grid_Stock[#Data],MATCH($D34,Grid_Stock[Part Name],0),$P$7+9))</f>
        <v/>
      </c>
      <c r="R34" s="19">
        <f>MAX(0,$F34-INDEX(Grid_Stock[#Data],MATCH($D34,Grid_Stock[Part Name],0),$P$7+10))</f>
        <v/>
      </c>
      <c r="S34" s="19">
        <f>MAX(0,$F34-INDEX(Grid_Stock[#Data],MATCH($D34,Grid_Stock[Part Name],0),$P$7+11))</f>
        <v/>
      </c>
      <c r="T34" s="19">
        <f>MAX(0,$F34-INDEX(Grid_Stock[#Data],MATCH($D34,Grid_Stock[Part Name],0),$P$7+12))</f>
        <v/>
      </c>
      <c r="U34" s="19">
        <f>SUM(H34:T34)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6" t="inlineStr">
        <is>
          <t>Part Name</t>
        </is>
      </c>
      <c r="B1" s="6" t="inlineStr">
        <is>
          <t>PO_No</t>
        </is>
      </c>
      <c r="C1" s="6" t="inlineStr">
        <is>
          <t>Order_Date_発注日</t>
        </is>
      </c>
      <c r="D1" s="6" t="inlineStr">
        <is>
          <t>Confirmed_Qty</t>
        </is>
      </c>
      <c r="E1" s="6" t="inlineStr">
        <is>
          <t>Latest_ETA</t>
        </is>
      </c>
      <c r="F1" s="6" t="inlineStr">
        <is>
          <t>Received_Date</t>
        </is>
      </c>
      <c r="G1" s="6" t="inlineStr">
        <is>
          <t>Status</t>
        </is>
      </c>
      <c r="H1" s="6" t="inlineStr">
        <is>
          <t>Effective_Week</t>
        </is>
      </c>
      <c r="I1" s="6" t="inlineStr">
        <is>
          <t>Order_Month</t>
        </is>
      </c>
    </row>
    <row r="2">
      <c r="A2" t="inlineStr">
        <is>
          <t>(例) CHEM-1010</t>
        </is>
      </c>
      <c r="B2" t="inlineStr"/>
      <c r="C2" s="27" t="n"/>
      <c r="D2" t="n">
        <v>0</v>
      </c>
      <c r="E2" s="24" t="n">
        <v>46020</v>
      </c>
      <c r="G2" t="inlineStr"/>
      <c r="H2">
        <f>IFERROR(MAX(1,MIN(104,INT((IF(F2="",E2,F2)-(DATE(Cal_Weeks!$B$1,1,1)-WEEKDAY(DATE(Cal_Weeks!$B$1,1,1),3)))/7)+1)),"")</f>
        <v/>
      </c>
      <c r="I2" s="28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0" customWidth="1" min="4" max="4"/>
    <col width="12" customWidth="1" min="5" max="5"/>
    <col width="12" customWidth="1" min="6" max="6"/>
    <col width="12" customWidth="1" min="7" max="7"/>
  </cols>
  <sheetData>
    <row r="1">
      <c r="A1" s="6" t="inlineStr">
        <is>
          <t>Part Name</t>
        </is>
      </c>
      <c r="B1" s="6" t="inlineStr">
        <is>
          <t>Qty</t>
        </is>
      </c>
      <c r="C1" s="6" t="inlineStr">
        <is>
          <t>Target_Delivery_Date</t>
        </is>
      </c>
      <c r="D1" s="6" t="inlineStr">
        <is>
          <t>WeekIndex</t>
        </is>
      </c>
      <c r="E1" s="6" t="inlineStr">
        <is>
          <t>Order_Month</t>
        </is>
      </c>
      <c r="F1" s="6" t="inlineStr">
        <is>
          <t>IsReconciled</t>
        </is>
      </c>
      <c r="G1" s="6" t="inlineStr">
        <is>
          <t>EffectiveQty</t>
        </is>
      </c>
    </row>
    <row r="2">
      <c r="A2" s="27" t="inlineStr">
        <is>
          <t>(例) CHEM-1010</t>
        </is>
      </c>
      <c r="B2" s="27" t="n">
        <v>0</v>
      </c>
      <c r="C2" s="29" t="n">
        <v>46020</v>
      </c>
      <c r="D2">
        <f>IFERROR(MAX(1,MIN(104,INT(($C2-(DATE(Cal_Weeks!$B$1,1,1)-WEEKDAY(DATE(Cal_Weeks!$B$1,1,1),3)))/7)+1)),"")</f>
        <v/>
      </c>
      <c r="E2" s="30" t="n">
        <v>45992</v>
      </c>
      <c r="F2">
        <f>SUMPRODUCT((T_PlannedOrders[Part Name]=$A2)*(T_PlannedOrders[Order_Month]&lt;&gt;"")*(TEXT(T_PlannedOrders[Order_Month],"yyyy-mm")=TEXT($E2,"yyyy-mm"))*(T_PlannedOrders[Target_Delivery_Date]&lt;=$C2)*T_PlannedOrders[Qty])&lt;=SUMPRODUCT((T_Shipments[Part Name]=$A2)*(T_Shipments[Order_Month]&lt;&gt;"")*(TEXT(T_Shipments[Order_Month],"yyyy-mm")=TEXT($E2,"yyyy-mm"))*T_Shipments[Confirmed_Qty])</f>
        <v/>
      </c>
      <c r="G2">
        <f>IF($F2,0,$B2)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6" t="inlineStr">
        <is>
          <t>Part Name</t>
        </is>
      </c>
      <c r="B1" s="6" t="inlineStr">
        <is>
          <t>Opening_Qty_要入力</t>
        </is>
      </c>
      <c r="C1" s="6" t="inlineStr">
        <is>
          <t>AsOf</t>
        </is>
      </c>
    </row>
    <row r="2">
      <c r="A2" t="inlineStr">
        <is>
          <t>7EP</t>
        </is>
      </c>
      <c r="B2" s="27" t="n">
        <v>0</v>
      </c>
      <c r="C2" s="29" t="n">
        <v>46020</v>
      </c>
    </row>
    <row r="3">
      <c r="A3" t="inlineStr">
        <is>
          <t>1EK</t>
        </is>
      </c>
      <c r="B3" s="27" t="n">
        <v>0</v>
      </c>
      <c r="C3" s="29" t="n">
        <v>46020</v>
      </c>
    </row>
    <row r="4">
      <c r="A4" t="inlineStr">
        <is>
          <t>4HL</t>
        </is>
      </c>
      <c r="B4" s="27" t="n">
        <v>0</v>
      </c>
      <c r="C4" s="29" t="n">
        <v>46020</v>
      </c>
    </row>
    <row r="5">
      <c r="A5" t="inlineStr">
        <is>
          <t>9RN</t>
        </is>
      </c>
      <c r="B5" s="27" t="n">
        <v>0</v>
      </c>
      <c r="C5" s="29" t="n">
        <v>46020</v>
      </c>
    </row>
    <row r="6">
      <c r="A6" t="inlineStr">
        <is>
          <t>7CL</t>
        </is>
      </c>
      <c r="B6" s="27" t="n">
        <v>0</v>
      </c>
      <c r="C6" s="29" t="n">
        <v>46020</v>
      </c>
    </row>
    <row r="7">
      <c r="A7" t="inlineStr">
        <is>
          <t>OJN</t>
        </is>
      </c>
      <c r="B7" s="27" t="n">
        <v>0</v>
      </c>
      <c r="C7" s="29" t="n">
        <v>46020</v>
      </c>
    </row>
    <row r="8">
      <c r="A8" t="inlineStr">
        <is>
          <t>TDJ</t>
        </is>
      </c>
      <c r="B8" s="27" t="n">
        <v>0</v>
      </c>
      <c r="C8" s="29" t="n">
        <v>46020</v>
      </c>
    </row>
    <row r="9">
      <c r="A9" t="inlineStr">
        <is>
          <t>3TP</t>
        </is>
      </c>
      <c r="B9" s="27" t="n">
        <v>0</v>
      </c>
      <c r="C9" s="29" t="n">
        <v>46020</v>
      </c>
    </row>
    <row r="10">
      <c r="A10" t="inlineStr">
        <is>
          <t>KEJ</t>
        </is>
      </c>
      <c r="B10" s="27" t="n">
        <v>0</v>
      </c>
      <c r="C10" s="29" t="n">
        <v>46020</v>
      </c>
    </row>
    <row r="11">
      <c r="A11" t="inlineStr">
        <is>
          <t>JEJ</t>
        </is>
      </c>
      <c r="B11" s="27" t="n">
        <v>0</v>
      </c>
      <c r="C11" s="29" t="n">
        <v>46020</v>
      </c>
    </row>
    <row r="12">
      <c r="A12" t="inlineStr">
        <is>
          <t>YAN</t>
        </is>
      </c>
      <c r="B12" s="27" t="n">
        <v>0</v>
      </c>
      <c r="C12" s="29" t="n">
        <v>46020</v>
      </c>
    </row>
    <row r="13">
      <c r="A13" t="inlineStr">
        <is>
          <t>ABN</t>
        </is>
      </c>
      <c r="B13" s="27" t="n">
        <v>0</v>
      </c>
      <c r="C13" s="29" t="n">
        <v>46020</v>
      </c>
    </row>
    <row r="14">
      <c r="A14" t="inlineStr">
        <is>
          <t>OLJ</t>
        </is>
      </c>
      <c r="B14" s="27" t="n">
        <v>0</v>
      </c>
      <c r="C14" s="29" t="n">
        <v>46020</v>
      </c>
    </row>
    <row r="15">
      <c r="A15" t="inlineStr">
        <is>
          <t>5SN</t>
        </is>
      </c>
      <c r="B15" s="27" t="n">
        <v>0</v>
      </c>
      <c r="C15" s="29" t="n">
        <v>46020</v>
      </c>
    </row>
    <row r="16">
      <c r="A16" t="inlineStr">
        <is>
          <t>8EN</t>
        </is>
      </c>
      <c r="B16" s="27" t="n">
        <v>0</v>
      </c>
      <c r="C16" s="29" t="n">
        <v>46020</v>
      </c>
    </row>
    <row r="17">
      <c r="A17" t="inlineStr">
        <is>
          <t>9RJ</t>
        </is>
      </c>
      <c r="B17" s="27" t="n">
        <v>0</v>
      </c>
      <c r="C17" s="29" t="n">
        <v>46020</v>
      </c>
    </row>
    <row r="18">
      <c r="A18" t="inlineStr">
        <is>
          <t>5JK</t>
        </is>
      </c>
      <c r="B18" s="27" t="n">
        <v>0</v>
      </c>
      <c r="C18" s="29" t="n">
        <v>46020</v>
      </c>
    </row>
    <row r="19">
      <c r="A19" t="inlineStr">
        <is>
          <t>26F</t>
        </is>
      </c>
      <c r="B19" s="27" t="n">
        <v>0</v>
      </c>
      <c r="C19" s="29" t="n">
        <v>46020</v>
      </c>
    </row>
    <row r="20">
      <c r="A20" t="inlineStr">
        <is>
          <t>73K</t>
        </is>
      </c>
      <c r="B20" s="27" t="n">
        <v>0</v>
      </c>
      <c r="C20" s="29" t="n">
        <v>46020</v>
      </c>
    </row>
    <row r="21">
      <c r="A21" t="inlineStr">
        <is>
          <t>1JN</t>
        </is>
      </c>
      <c r="B21" s="27" t="n">
        <v>0</v>
      </c>
      <c r="C21" s="29" t="n">
        <v>46020</v>
      </c>
    </row>
    <row r="22">
      <c r="A22" t="inlineStr">
        <is>
          <t>CHEM-1670</t>
        </is>
      </c>
      <c r="B22" s="27" t="n">
        <v>0</v>
      </c>
      <c r="C22" s="29" t="n">
        <v>46020</v>
      </c>
    </row>
    <row r="23">
      <c r="A23" t="inlineStr">
        <is>
          <t>CHEM-1110</t>
        </is>
      </c>
      <c r="B23" s="27" t="n">
        <v>0</v>
      </c>
      <c r="C23" s="29" t="n">
        <v>46020</v>
      </c>
    </row>
    <row r="24">
      <c r="A24" t="inlineStr">
        <is>
          <t>CHEM-1240</t>
        </is>
      </c>
      <c r="B24" s="27" t="n">
        <v>0</v>
      </c>
      <c r="C24" s="29" t="n">
        <v>46020</v>
      </c>
    </row>
    <row r="25">
      <c r="A25" t="inlineStr">
        <is>
          <t>CHEM-1510</t>
        </is>
      </c>
      <c r="B25" s="27" t="n">
        <v>0</v>
      </c>
      <c r="C25" s="29" t="n">
        <v>46020</v>
      </c>
    </row>
    <row r="26">
      <c r="A26" t="inlineStr">
        <is>
          <t>CHEM-1580</t>
        </is>
      </c>
      <c r="B26" s="27" t="n">
        <v>0</v>
      </c>
      <c r="C26" s="29" t="n">
        <v>46020</v>
      </c>
    </row>
    <row r="27">
      <c r="A27" t="inlineStr">
        <is>
          <t>CHEM-1250</t>
        </is>
      </c>
      <c r="B27" s="27" t="n">
        <v>0</v>
      </c>
      <c r="C27" s="29" t="n">
        <v>46020</v>
      </c>
    </row>
    <row r="28">
      <c r="A28" t="inlineStr">
        <is>
          <t>CHEM-1600</t>
        </is>
      </c>
      <c r="B28" s="27" t="n">
        <v>0</v>
      </c>
      <c r="C28" s="29" t="n">
        <v>46020</v>
      </c>
    </row>
    <row r="29">
      <c r="A29" t="inlineStr">
        <is>
          <t>CHEM-1120</t>
        </is>
      </c>
      <c r="B29" s="27" t="n">
        <v>0</v>
      </c>
      <c r="C29" s="29" t="n">
        <v>46020</v>
      </c>
    </row>
    <row r="30">
      <c r="A30" t="inlineStr">
        <is>
          <t>CHEM-1550</t>
        </is>
      </c>
      <c r="B30" s="27" t="n">
        <v>0</v>
      </c>
      <c r="C30" s="29" t="n">
        <v>46020</v>
      </c>
    </row>
    <row r="31">
      <c r="A31" t="inlineStr">
        <is>
          <t>CHEM-1440</t>
        </is>
      </c>
      <c r="B31" s="27" t="n">
        <v>0</v>
      </c>
      <c r="C31" s="29" t="n">
        <v>46020</v>
      </c>
    </row>
    <row r="32">
      <c r="A32" t="inlineStr">
        <is>
          <t>CHEM-1780</t>
        </is>
      </c>
      <c r="B32" s="27" t="n">
        <v>0</v>
      </c>
      <c r="C32" s="29" t="n">
        <v>46020</v>
      </c>
    </row>
    <row r="33">
      <c r="A33" t="inlineStr">
        <is>
          <t>CHEM-1400</t>
        </is>
      </c>
      <c r="B33" s="27" t="n">
        <v>0</v>
      </c>
      <c r="C33" s="29" t="n">
        <v>46020</v>
      </c>
    </row>
    <row r="34">
      <c r="A34" t="inlineStr">
        <is>
          <t>CHEM-1650</t>
        </is>
      </c>
      <c r="B34" s="27" t="n">
        <v>0</v>
      </c>
      <c r="C34" s="29" t="n">
        <v>46020</v>
      </c>
    </row>
    <row r="35">
      <c r="A35" t="inlineStr">
        <is>
          <t>CHEM-1660</t>
        </is>
      </c>
      <c r="B35" s="27" t="n">
        <v>0</v>
      </c>
      <c r="C35" s="29" t="n">
        <v>46020</v>
      </c>
    </row>
    <row r="36">
      <c r="A36" t="inlineStr">
        <is>
          <t>CHEM-1420</t>
        </is>
      </c>
      <c r="B36" s="27" t="n">
        <v>0</v>
      </c>
      <c r="C36" s="29" t="n">
        <v>46020</v>
      </c>
    </row>
    <row r="37">
      <c r="A37" t="inlineStr">
        <is>
          <t>CHEM-1530</t>
        </is>
      </c>
      <c r="B37" s="27" t="n">
        <v>0</v>
      </c>
      <c r="C37" s="29" t="n">
        <v>46020</v>
      </c>
    </row>
    <row r="38">
      <c r="A38" t="inlineStr">
        <is>
          <t>CHEM-1480</t>
        </is>
      </c>
      <c r="B38" s="27" t="n">
        <v>0</v>
      </c>
      <c r="C38" s="29" t="n">
        <v>46020</v>
      </c>
    </row>
    <row r="39">
      <c r="A39" t="inlineStr">
        <is>
          <t>CHEM-1540</t>
        </is>
      </c>
      <c r="B39" s="27" t="n">
        <v>0</v>
      </c>
      <c r="C39" s="29" t="n">
        <v>46020</v>
      </c>
    </row>
    <row r="40">
      <c r="A40" t="inlineStr">
        <is>
          <t>CHEM-1680</t>
        </is>
      </c>
      <c r="B40" s="27" t="n">
        <v>0</v>
      </c>
      <c r="C40" s="29" t="n">
        <v>46020</v>
      </c>
    </row>
    <row r="41">
      <c r="A41" t="inlineStr">
        <is>
          <t>CHEM-1730</t>
        </is>
      </c>
      <c r="B41" s="27" t="n">
        <v>0</v>
      </c>
      <c r="C41" s="29" t="n">
        <v>46020</v>
      </c>
    </row>
    <row r="42">
      <c r="A42" t="inlineStr">
        <is>
          <t>CHEM-1280</t>
        </is>
      </c>
      <c r="B42" s="27" t="n">
        <v>0</v>
      </c>
      <c r="C42" s="29" t="n">
        <v>46020</v>
      </c>
    </row>
    <row r="43">
      <c r="A43" t="inlineStr">
        <is>
          <t>CHEM-1570</t>
        </is>
      </c>
      <c r="B43" s="27" t="n">
        <v>0</v>
      </c>
      <c r="C43" s="29" t="n">
        <v>46020</v>
      </c>
    </row>
    <row r="44">
      <c r="A44" t="inlineStr">
        <is>
          <t>CHEM-1450</t>
        </is>
      </c>
      <c r="B44" s="27" t="n">
        <v>0</v>
      </c>
      <c r="C44" s="29" t="n">
        <v>46020</v>
      </c>
    </row>
    <row r="45">
      <c r="A45" t="inlineStr">
        <is>
          <t>CHEM-1770</t>
        </is>
      </c>
      <c r="B45" s="27" t="n">
        <v>0</v>
      </c>
      <c r="C45" s="29" t="n">
        <v>46020</v>
      </c>
    </row>
    <row r="46">
      <c r="A46" t="inlineStr">
        <is>
          <t>CHEM-1430</t>
        </is>
      </c>
      <c r="B46" s="27" t="n">
        <v>0</v>
      </c>
      <c r="C46" s="29" t="n">
        <v>46020</v>
      </c>
    </row>
    <row r="47">
      <c r="A47" t="inlineStr">
        <is>
          <t>CHEM-1470</t>
        </is>
      </c>
      <c r="B47" s="27" t="n">
        <v>0</v>
      </c>
      <c r="C47" s="29" t="n">
        <v>46020</v>
      </c>
    </row>
    <row r="48">
      <c r="A48" t="inlineStr">
        <is>
          <t>CHEM-1010</t>
        </is>
      </c>
      <c r="B48" s="27" t="n">
        <v>0</v>
      </c>
      <c r="C48" s="29" t="n">
        <v>46020</v>
      </c>
    </row>
    <row r="49">
      <c r="A49" t="inlineStr">
        <is>
          <t>CHEM-1760</t>
        </is>
      </c>
      <c r="B49" s="27" t="n">
        <v>0</v>
      </c>
      <c r="C49" s="29" t="n">
        <v>46020</v>
      </c>
    </row>
    <row r="50">
      <c r="A50" t="inlineStr">
        <is>
          <t>CHEM-1700</t>
        </is>
      </c>
      <c r="B50" s="27" t="n">
        <v>0</v>
      </c>
      <c r="C50" s="29" t="n">
        <v>46020</v>
      </c>
    </row>
    <row r="51">
      <c r="A51" t="inlineStr">
        <is>
          <t>CHEM-1850</t>
        </is>
      </c>
      <c r="B51" s="27" t="n">
        <v>0</v>
      </c>
      <c r="C51" s="29" t="n">
        <v>46020</v>
      </c>
    </row>
    <row r="52">
      <c r="A52" t="inlineStr">
        <is>
          <t>Original Towel</t>
        </is>
      </c>
      <c r="B52" s="27" t="n">
        <v>0</v>
      </c>
      <c r="C52" s="29" t="n">
        <v>46020</v>
      </c>
    </row>
    <row r="53">
      <c r="A53" t="inlineStr">
        <is>
          <t>Ester Film</t>
        </is>
      </c>
      <c r="B53" s="27" t="n">
        <v>0</v>
      </c>
      <c r="C53" s="29" t="n">
        <v>46020</v>
      </c>
    </row>
    <row r="54">
      <c r="A54" t="inlineStr">
        <is>
          <t>PP Film</t>
        </is>
      </c>
      <c r="B54" s="27" t="n">
        <v>0</v>
      </c>
      <c r="C54" s="29" t="n">
        <v>46020</v>
      </c>
    </row>
    <row r="55">
      <c r="A55" t="inlineStr">
        <is>
          <t>CHEM-1560</t>
        </is>
      </c>
      <c r="B55" s="27" t="n">
        <v>0</v>
      </c>
      <c r="C55" s="29" t="n">
        <v>46020</v>
      </c>
    </row>
    <row r="56">
      <c r="A56" t="inlineStr">
        <is>
          <t>CHEM-1690</t>
        </is>
      </c>
      <c r="B56" s="27" t="n">
        <v>0</v>
      </c>
      <c r="C56" s="29" t="n">
        <v>46020</v>
      </c>
    </row>
    <row r="57">
      <c r="A57" t="inlineStr">
        <is>
          <t>CHEM-1720</t>
        </is>
      </c>
      <c r="B57" s="27" t="n">
        <v>0</v>
      </c>
      <c r="C57" s="29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6" t="inlineStr">
        <is>
          <t>Part Name</t>
        </is>
      </c>
      <c r="B1" s="6" t="inlineStr">
        <is>
          <t>Date_棚卸実施日</t>
        </is>
      </c>
      <c r="C1" s="6" t="inlineStr">
        <is>
          <t>WeekIndex</t>
        </is>
      </c>
      <c r="D1" s="6" t="inlineStr">
        <is>
          <t>CountedQty</t>
        </is>
      </c>
      <c r="E1" s="6" t="inlineStr">
        <is>
          <t>Notes</t>
        </is>
      </c>
    </row>
    <row r="2">
      <c r="A2" t="inlineStr">
        <is>
          <t>(例) CHEM-1010</t>
        </is>
      </c>
      <c r="B2" s="24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IF(COUNTIFS(T_SelfStock_Log[Part Name],$A6,T_SelfStock_Log[WeekIndex],1)=0,"",SUMIFS(T_SelfStock_Log[Self_Qty],T_SelfStock_Log[Part Name],$A6,T_SelfStock_Log[WeekIndex],1))</f>
        <v/>
      </c>
      <c r="C6" s="17">
        <f>IF(COUNTIFS(T_SelfStock_Log[Part Name],$A6,T_SelfStock_Log[WeekIndex],2)=0,"",SUMIFS(T_SelfStock_Log[Self_Qty],T_SelfStock_Log[Part Name],$A6,T_SelfStock_Log[WeekIndex],2))</f>
        <v/>
      </c>
      <c r="D6" s="17">
        <f>IF(COUNTIFS(T_SelfStock_Log[Part Name],$A6,T_SelfStock_Log[WeekIndex],3)=0,"",SUMIFS(T_SelfStock_Log[Self_Qty],T_SelfStock_Log[Part Name],$A6,T_SelfStock_Log[WeekIndex],3))</f>
        <v/>
      </c>
      <c r="E6" s="17">
        <f>IF(COUNTIFS(T_SelfStock_Log[Part Name],$A6,T_SelfStock_Log[WeekIndex],4)=0,"",SUMIFS(T_SelfStock_Log[Self_Qty],T_SelfStock_Log[Part Name],$A6,T_SelfStock_Log[WeekIndex],4))</f>
        <v/>
      </c>
      <c r="F6" s="17">
        <f>IF(COUNTIFS(T_SelfStock_Log[Part Name],$A6,T_SelfStock_Log[WeekIndex],5)=0,"",SUMIFS(T_SelfStock_Log[Self_Qty],T_SelfStock_Log[Part Name],$A6,T_SelfStock_Log[WeekIndex],5))</f>
        <v/>
      </c>
      <c r="G6" s="17">
        <f>IF(COUNTIFS(T_SelfStock_Log[Part Name],$A6,T_SelfStock_Log[WeekIndex],6)=0,"",SUMIFS(T_SelfStock_Log[Self_Qty],T_SelfStock_Log[Part Name],$A6,T_SelfStock_Log[WeekIndex],6))</f>
        <v/>
      </c>
      <c r="H6" s="17">
        <f>IF(COUNTIFS(T_SelfStock_Log[Part Name],$A6,T_SelfStock_Log[WeekIndex],7)=0,"",SUMIFS(T_SelfStock_Log[Self_Qty],T_SelfStock_Log[Part Name],$A6,T_SelfStock_Log[WeekIndex],7))</f>
        <v/>
      </c>
      <c r="I6" s="17">
        <f>IF(COUNTIFS(T_SelfStock_Log[Part Name],$A6,T_SelfStock_Log[WeekIndex],8)=0,"",SUMIFS(T_SelfStock_Log[Self_Qty],T_SelfStock_Log[Part Name],$A6,T_SelfStock_Log[WeekIndex],8))</f>
        <v/>
      </c>
      <c r="J6" s="17">
        <f>IF(COUNTIFS(T_SelfStock_Log[Part Name],$A6,T_SelfStock_Log[WeekIndex],9)=0,"",SUMIFS(T_SelfStock_Log[Self_Qty],T_SelfStock_Log[Part Name],$A6,T_SelfStock_Log[WeekIndex],9))</f>
        <v/>
      </c>
      <c r="K6" s="17">
        <f>IF(COUNTIFS(T_SelfStock_Log[Part Name],$A6,T_SelfStock_Log[WeekIndex],10)=0,"",SUMIFS(T_SelfStock_Log[Self_Qty],T_SelfStock_Log[Part Name],$A6,T_SelfStock_Log[WeekIndex],10))</f>
        <v/>
      </c>
      <c r="L6" s="17">
        <f>IF(COUNTIFS(T_SelfStock_Log[Part Name],$A6,T_SelfStock_Log[WeekIndex],11)=0,"",SUMIFS(T_SelfStock_Log[Self_Qty],T_SelfStock_Log[Part Name],$A6,T_SelfStock_Log[WeekIndex],11))</f>
        <v/>
      </c>
      <c r="M6" s="17">
        <f>IF(COUNTIFS(T_SelfStock_Log[Part Name],$A6,T_SelfStock_Log[WeekIndex],12)=0,"",SUMIFS(T_SelfStock_Log[Self_Qty],T_SelfStock_Log[Part Name],$A6,T_SelfStock_Log[WeekIndex],12))</f>
        <v/>
      </c>
      <c r="N6" s="17">
        <f>IF(COUNTIFS(T_SelfStock_Log[Part Name],$A6,T_SelfStock_Log[WeekIndex],13)=0,"",SUMIFS(T_SelfStock_Log[Self_Qty],T_SelfStock_Log[Part Name],$A6,T_SelfStock_Log[WeekIndex],13))</f>
        <v/>
      </c>
      <c r="O6" s="17">
        <f>IF(COUNTIFS(T_SelfStock_Log[Part Name],$A6,T_SelfStock_Log[WeekIndex],14)=0,"",SUMIFS(T_SelfStock_Log[Self_Qty],T_SelfStock_Log[Part Name],$A6,T_SelfStock_Log[WeekIndex],14))</f>
        <v/>
      </c>
      <c r="P6" s="17">
        <f>IF(COUNTIFS(T_SelfStock_Log[Part Name],$A6,T_SelfStock_Log[WeekIndex],15)=0,"",SUMIFS(T_SelfStock_Log[Self_Qty],T_SelfStock_Log[Part Name],$A6,T_SelfStock_Log[WeekIndex],15))</f>
        <v/>
      </c>
      <c r="Q6" s="17">
        <f>IF(COUNTIFS(T_SelfStock_Log[Part Name],$A6,T_SelfStock_Log[WeekIndex],16)=0,"",SUMIFS(T_SelfStock_Log[Self_Qty],T_SelfStock_Log[Part Name],$A6,T_SelfStock_Log[WeekIndex],16))</f>
        <v/>
      </c>
      <c r="R6" s="17">
        <f>IF(COUNTIFS(T_SelfStock_Log[Part Name],$A6,T_SelfStock_Log[WeekIndex],17)=0,"",SUMIFS(T_SelfStock_Log[Self_Qty],T_SelfStock_Log[Part Name],$A6,T_SelfStock_Log[WeekIndex],17))</f>
        <v/>
      </c>
      <c r="S6" s="17">
        <f>IF(COUNTIFS(T_SelfStock_Log[Part Name],$A6,T_SelfStock_Log[WeekIndex],18)=0,"",SUMIFS(T_SelfStock_Log[Self_Qty],T_SelfStock_Log[Part Name],$A6,T_SelfStock_Log[WeekIndex],18))</f>
        <v/>
      </c>
      <c r="T6" s="17">
        <f>IF(COUNTIFS(T_SelfStock_Log[Part Name],$A6,T_SelfStock_Log[WeekIndex],19)=0,"",SUMIFS(T_SelfStock_Log[Self_Qty],T_SelfStock_Log[Part Name],$A6,T_SelfStock_Log[WeekIndex],19))</f>
        <v/>
      </c>
      <c r="U6" s="17">
        <f>IF(COUNTIFS(T_SelfStock_Log[Part Name],$A6,T_SelfStock_Log[WeekIndex],20)=0,"",SUMIFS(T_SelfStock_Log[Self_Qty],T_SelfStock_Log[Part Name],$A6,T_SelfStock_Log[WeekIndex],20))</f>
        <v/>
      </c>
      <c r="V6" s="17">
        <f>IF(COUNTIFS(T_SelfStock_Log[Part Name],$A6,T_SelfStock_Log[WeekIndex],21)=0,"",SUMIFS(T_SelfStock_Log[Self_Qty],T_SelfStock_Log[Part Name],$A6,T_SelfStock_Log[WeekIndex],21))</f>
        <v/>
      </c>
      <c r="W6" s="17">
        <f>IF(COUNTIFS(T_SelfStock_Log[Part Name],$A6,T_SelfStock_Log[WeekIndex],22)=0,"",SUMIFS(T_SelfStock_Log[Self_Qty],T_SelfStock_Log[Part Name],$A6,T_SelfStock_Log[WeekIndex],22))</f>
        <v/>
      </c>
      <c r="X6" s="17">
        <f>IF(COUNTIFS(T_SelfStock_Log[Part Name],$A6,T_SelfStock_Log[WeekIndex],23)=0,"",SUMIFS(T_SelfStock_Log[Self_Qty],T_SelfStock_Log[Part Name],$A6,T_SelfStock_Log[WeekIndex],23))</f>
        <v/>
      </c>
      <c r="Y6" s="17">
        <f>IF(COUNTIFS(T_SelfStock_Log[Part Name],$A6,T_SelfStock_Log[WeekIndex],24)=0,"",SUMIFS(T_SelfStock_Log[Self_Qty],T_SelfStock_Log[Part Name],$A6,T_SelfStock_Log[WeekIndex],24))</f>
        <v/>
      </c>
      <c r="Z6" s="17">
        <f>IF(COUNTIFS(T_SelfStock_Log[Part Name],$A6,T_SelfStock_Log[WeekIndex],25)=0,"",SUMIFS(T_SelfStock_Log[Self_Qty],T_SelfStock_Log[Part Name],$A6,T_SelfStock_Log[WeekIndex],25))</f>
        <v/>
      </c>
      <c r="AA6" s="17">
        <f>IF(COUNTIFS(T_SelfStock_Log[Part Name],$A6,T_SelfStock_Log[WeekIndex],26)=0,"",SUMIFS(T_SelfStock_Log[Self_Qty],T_SelfStock_Log[Part Name],$A6,T_SelfStock_Log[WeekIndex],26))</f>
        <v/>
      </c>
      <c r="AB6" s="17">
        <f>IF(COUNTIFS(T_SelfStock_Log[Part Name],$A6,T_SelfStock_Log[WeekIndex],27)=0,"",SUMIFS(T_SelfStock_Log[Self_Qty],T_SelfStock_Log[Part Name],$A6,T_SelfStock_Log[WeekIndex],27))</f>
        <v/>
      </c>
      <c r="AC6" s="17">
        <f>IF(COUNTIFS(T_SelfStock_Log[Part Name],$A6,T_SelfStock_Log[WeekIndex],28)=0,"",SUMIFS(T_SelfStock_Log[Self_Qty],T_SelfStock_Log[Part Name],$A6,T_SelfStock_Log[WeekIndex],28))</f>
        <v/>
      </c>
      <c r="AD6" s="17">
        <f>IF(COUNTIFS(T_SelfStock_Log[Part Name],$A6,T_SelfStock_Log[WeekIndex],29)=0,"",SUMIFS(T_SelfStock_Log[Self_Qty],T_SelfStock_Log[Part Name],$A6,T_SelfStock_Log[WeekIndex],29))</f>
        <v/>
      </c>
      <c r="AE6" s="17">
        <f>IF(COUNTIFS(T_SelfStock_Log[Part Name],$A6,T_SelfStock_Log[WeekIndex],30)=0,"",SUMIFS(T_SelfStock_Log[Self_Qty],T_SelfStock_Log[Part Name],$A6,T_SelfStock_Log[WeekIndex],30))</f>
        <v/>
      </c>
      <c r="AF6" s="17">
        <f>IF(COUNTIFS(T_SelfStock_Log[Part Name],$A6,T_SelfStock_Log[WeekIndex],31)=0,"",SUMIFS(T_SelfStock_Log[Self_Qty],T_SelfStock_Log[Part Name],$A6,T_SelfStock_Log[WeekIndex],31))</f>
        <v/>
      </c>
      <c r="AG6" s="17">
        <f>IF(COUNTIFS(T_SelfStock_Log[Part Name],$A6,T_SelfStock_Log[WeekIndex],32)=0,"",SUMIFS(T_SelfStock_Log[Self_Qty],T_SelfStock_Log[Part Name],$A6,T_SelfStock_Log[WeekIndex],32))</f>
        <v/>
      </c>
      <c r="AH6" s="17">
        <f>IF(COUNTIFS(T_SelfStock_Log[Part Name],$A6,T_SelfStock_Log[WeekIndex],33)=0,"",SUMIFS(T_SelfStock_Log[Self_Qty],T_SelfStock_Log[Part Name],$A6,T_SelfStock_Log[WeekIndex],33))</f>
        <v/>
      </c>
      <c r="AI6" s="17">
        <f>IF(COUNTIFS(T_SelfStock_Log[Part Name],$A6,T_SelfStock_Log[WeekIndex],34)=0,"",SUMIFS(T_SelfStock_Log[Self_Qty],T_SelfStock_Log[Part Name],$A6,T_SelfStock_Log[WeekIndex],34))</f>
        <v/>
      </c>
      <c r="AJ6" s="17">
        <f>IF(COUNTIFS(T_SelfStock_Log[Part Name],$A6,T_SelfStock_Log[WeekIndex],35)=0,"",SUMIFS(T_SelfStock_Log[Self_Qty],T_SelfStock_Log[Part Name],$A6,T_SelfStock_Log[WeekIndex],35))</f>
        <v/>
      </c>
      <c r="AK6" s="17">
        <f>IF(COUNTIFS(T_SelfStock_Log[Part Name],$A6,T_SelfStock_Log[WeekIndex],36)=0,"",SUMIFS(T_SelfStock_Log[Self_Qty],T_SelfStock_Log[Part Name],$A6,T_SelfStock_Log[WeekIndex],36))</f>
        <v/>
      </c>
      <c r="AL6" s="17">
        <f>IF(COUNTIFS(T_SelfStock_Log[Part Name],$A6,T_SelfStock_Log[WeekIndex],37)=0,"",SUMIFS(T_SelfStock_Log[Self_Qty],T_SelfStock_Log[Part Name],$A6,T_SelfStock_Log[WeekIndex],37))</f>
        <v/>
      </c>
      <c r="AM6" s="17">
        <f>IF(COUNTIFS(T_SelfStock_Log[Part Name],$A6,T_SelfStock_Log[WeekIndex],38)=0,"",SUMIFS(T_SelfStock_Log[Self_Qty],T_SelfStock_Log[Part Name],$A6,T_SelfStock_Log[WeekIndex],38))</f>
        <v/>
      </c>
      <c r="AN6" s="17">
        <f>IF(COUNTIFS(T_SelfStock_Log[Part Name],$A6,T_SelfStock_Log[WeekIndex],39)=0,"",SUMIFS(T_SelfStock_Log[Self_Qty],T_SelfStock_Log[Part Name],$A6,T_SelfStock_Log[WeekIndex],39))</f>
        <v/>
      </c>
      <c r="AO6" s="17">
        <f>IF(COUNTIFS(T_SelfStock_Log[Part Name],$A6,T_SelfStock_Log[WeekIndex],40)=0,"",SUMIFS(T_SelfStock_Log[Self_Qty],T_SelfStock_Log[Part Name],$A6,T_SelfStock_Log[WeekIndex],40))</f>
        <v/>
      </c>
      <c r="AP6" s="17">
        <f>IF(COUNTIFS(T_SelfStock_Log[Part Name],$A6,T_SelfStock_Log[WeekIndex],41)=0,"",SUMIFS(T_SelfStock_Log[Self_Qty],T_SelfStock_Log[Part Name],$A6,T_SelfStock_Log[WeekIndex],41))</f>
        <v/>
      </c>
      <c r="AQ6" s="17">
        <f>IF(COUNTIFS(T_SelfStock_Log[Part Name],$A6,T_SelfStock_Log[WeekIndex],42)=0,"",SUMIFS(T_SelfStock_Log[Self_Qty],T_SelfStock_Log[Part Name],$A6,T_SelfStock_Log[WeekIndex],42))</f>
        <v/>
      </c>
      <c r="AR6" s="17">
        <f>IF(COUNTIFS(T_SelfStock_Log[Part Name],$A6,T_SelfStock_Log[WeekIndex],43)=0,"",SUMIFS(T_SelfStock_Log[Self_Qty],T_SelfStock_Log[Part Name],$A6,T_SelfStock_Log[WeekIndex],43))</f>
        <v/>
      </c>
      <c r="AS6" s="17">
        <f>IF(COUNTIFS(T_SelfStock_Log[Part Name],$A6,T_SelfStock_Log[WeekIndex],44)=0,"",SUMIFS(T_SelfStock_Log[Self_Qty],T_SelfStock_Log[Part Name],$A6,T_SelfStock_Log[WeekIndex],44))</f>
        <v/>
      </c>
      <c r="AT6" s="17">
        <f>IF(COUNTIFS(T_SelfStock_Log[Part Name],$A6,T_SelfStock_Log[WeekIndex],45)=0,"",SUMIFS(T_SelfStock_Log[Self_Qty],T_SelfStock_Log[Part Name],$A6,T_SelfStock_Log[WeekIndex],45))</f>
        <v/>
      </c>
      <c r="AU6" s="17">
        <f>IF(COUNTIFS(T_SelfStock_Log[Part Name],$A6,T_SelfStock_Log[WeekIndex],46)=0,"",SUMIFS(T_SelfStock_Log[Self_Qty],T_SelfStock_Log[Part Name],$A6,T_SelfStock_Log[WeekIndex],46))</f>
        <v/>
      </c>
      <c r="AV6" s="17">
        <f>IF(COUNTIFS(T_SelfStock_Log[Part Name],$A6,T_SelfStock_Log[WeekIndex],47)=0,"",SUMIFS(T_SelfStock_Log[Self_Qty],T_SelfStock_Log[Part Name],$A6,T_SelfStock_Log[WeekIndex],47))</f>
        <v/>
      </c>
      <c r="AW6" s="17">
        <f>IF(COUNTIFS(T_SelfStock_Log[Part Name],$A6,T_SelfStock_Log[WeekIndex],48)=0,"",SUMIFS(T_SelfStock_Log[Self_Qty],T_SelfStock_Log[Part Name],$A6,T_SelfStock_Log[WeekIndex],48))</f>
        <v/>
      </c>
      <c r="AX6" s="17">
        <f>IF(COUNTIFS(T_SelfStock_Log[Part Name],$A6,T_SelfStock_Log[WeekIndex],49)=0,"",SUMIFS(T_SelfStock_Log[Self_Qty],T_SelfStock_Log[Part Name],$A6,T_SelfStock_Log[WeekIndex],49))</f>
        <v/>
      </c>
      <c r="AY6" s="17">
        <f>IF(COUNTIFS(T_SelfStock_Log[Part Name],$A6,T_SelfStock_Log[WeekIndex],50)=0,"",SUMIFS(T_SelfStock_Log[Self_Qty],T_SelfStock_Log[Part Name],$A6,T_SelfStock_Log[WeekIndex],50))</f>
        <v/>
      </c>
      <c r="AZ6" s="17">
        <f>IF(COUNTIFS(T_SelfStock_Log[Part Name],$A6,T_SelfStock_Log[WeekIndex],51)=0,"",SUMIFS(T_SelfStock_Log[Self_Qty],T_SelfStock_Log[Part Name],$A6,T_SelfStock_Log[WeekIndex],51))</f>
        <v/>
      </c>
      <c r="BA6" s="17">
        <f>IF(COUNTIFS(T_SelfStock_Log[Part Name],$A6,T_SelfStock_Log[WeekIndex],52)=0,"",SUMIFS(T_SelfStock_Log[Self_Qty],T_SelfStock_Log[Part Name],$A6,T_SelfStock_Log[WeekIndex],52))</f>
        <v/>
      </c>
      <c r="BB6" s="17">
        <f>IF(COUNTIFS(T_SelfStock_Log[Part Name],$A6,T_SelfStock_Log[WeekIndex],53)=0,"",SUMIFS(T_SelfStock_Log[Self_Qty],T_SelfStock_Log[Part Name],$A6,T_SelfStock_Log[WeekIndex],53))</f>
        <v/>
      </c>
      <c r="BC6" s="17">
        <f>IF(COUNTIFS(T_SelfStock_Log[Part Name],$A6,T_SelfStock_Log[WeekIndex],54)=0,"",SUMIFS(T_SelfStock_Log[Self_Qty],T_SelfStock_Log[Part Name],$A6,T_SelfStock_Log[WeekIndex],54))</f>
        <v/>
      </c>
      <c r="BD6" s="17">
        <f>IF(COUNTIFS(T_SelfStock_Log[Part Name],$A6,T_SelfStock_Log[WeekIndex],55)=0,"",SUMIFS(T_SelfStock_Log[Self_Qty],T_SelfStock_Log[Part Name],$A6,T_SelfStock_Log[WeekIndex],55))</f>
        <v/>
      </c>
      <c r="BE6" s="17">
        <f>IF(COUNTIFS(T_SelfStock_Log[Part Name],$A6,T_SelfStock_Log[WeekIndex],56)=0,"",SUMIFS(T_SelfStock_Log[Self_Qty],T_SelfStock_Log[Part Name],$A6,T_SelfStock_Log[WeekIndex],56))</f>
        <v/>
      </c>
      <c r="BF6" s="17">
        <f>IF(COUNTIFS(T_SelfStock_Log[Part Name],$A6,T_SelfStock_Log[WeekIndex],57)=0,"",SUMIFS(T_SelfStock_Log[Self_Qty],T_SelfStock_Log[Part Name],$A6,T_SelfStock_Log[WeekIndex],57))</f>
        <v/>
      </c>
      <c r="BG6" s="17">
        <f>IF(COUNTIFS(T_SelfStock_Log[Part Name],$A6,T_SelfStock_Log[WeekIndex],58)=0,"",SUMIFS(T_SelfStock_Log[Self_Qty],T_SelfStock_Log[Part Name],$A6,T_SelfStock_Log[WeekIndex],58))</f>
        <v/>
      </c>
      <c r="BH6" s="17">
        <f>IF(COUNTIFS(T_SelfStock_Log[Part Name],$A6,T_SelfStock_Log[WeekIndex],59)=0,"",SUMIFS(T_SelfStock_Log[Self_Qty],T_SelfStock_Log[Part Name],$A6,T_SelfStock_Log[WeekIndex],59))</f>
        <v/>
      </c>
      <c r="BI6" s="17">
        <f>IF(COUNTIFS(T_SelfStock_Log[Part Name],$A6,T_SelfStock_Log[WeekIndex],60)=0,"",SUMIFS(T_SelfStock_Log[Self_Qty],T_SelfStock_Log[Part Name],$A6,T_SelfStock_Log[WeekIndex],60))</f>
        <v/>
      </c>
      <c r="BJ6" s="17">
        <f>IF(COUNTIFS(T_SelfStock_Log[Part Name],$A6,T_SelfStock_Log[WeekIndex],61)=0,"",SUMIFS(T_SelfStock_Log[Self_Qty],T_SelfStock_Log[Part Name],$A6,T_SelfStock_Log[WeekIndex],61))</f>
        <v/>
      </c>
      <c r="BK6" s="17">
        <f>IF(COUNTIFS(T_SelfStock_Log[Part Name],$A6,T_SelfStock_Log[WeekIndex],62)=0,"",SUMIFS(T_SelfStock_Log[Self_Qty],T_SelfStock_Log[Part Name],$A6,T_SelfStock_Log[WeekIndex],62))</f>
        <v/>
      </c>
      <c r="BL6" s="17">
        <f>IF(COUNTIFS(T_SelfStock_Log[Part Name],$A6,T_SelfStock_Log[WeekIndex],63)=0,"",SUMIFS(T_SelfStock_Log[Self_Qty],T_SelfStock_Log[Part Name],$A6,T_SelfStock_Log[WeekIndex],63))</f>
        <v/>
      </c>
      <c r="BM6" s="17">
        <f>IF(COUNTIFS(T_SelfStock_Log[Part Name],$A6,T_SelfStock_Log[WeekIndex],64)=0,"",SUMIFS(T_SelfStock_Log[Self_Qty],T_SelfStock_Log[Part Name],$A6,T_SelfStock_Log[WeekIndex],64))</f>
        <v/>
      </c>
      <c r="BN6" s="17">
        <f>IF(COUNTIFS(T_SelfStock_Log[Part Name],$A6,T_SelfStock_Log[WeekIndex],65)=0,"",SUMIFS(T_SelfStock_Log[Self_Qty],T_SelfStock_Log[Part Name],$A6,T_SelfStock_Log[WeekIndex],65))</f>
        <v/>
      </c>
      <c r="BO6" s="17">
        <f>IF(COUNTIFS(T_SelfStock_Log[Part Name],$A6,T_SelfStock_Log[WeekIndex],66)=0,"",SUMIFS(T_SelfStock_Log[Self_Qty],T_SelfStock_Log[Part Name],$A6,T_SelfStock_Log[WeekIndex],66))</f>
        <v/>
      </c>
      <c r="BP6" s="17">
        <f>IF(COUNTIFS(T_SelfStock_Log[Part Name],$A6,T_SelfStock_Log[WeekIndex],67)=0,"",SUMIFS(T_SelfStock_Log[Self_Qty],T_SelfStock_Log[Part Name],$A6,T_SelfStock_Log[WeekIndex],67))</f>
        <v/>
      </c>
      <c r="BQ6" s="17">
        <f>IF(COUNTIFS(T_SelfStock_Log[Part Name],$A6,T_SelfStock_Log[WeekIndex],68)=0,"",SUMIFS(T_SelfStock_Log[Self_Qty],T_SelfStock_Log[Part Name],$A6,T_SelfStock_Log[WeekIndex],68))</f>
        <v/>
      </c>
      <c r="BR6" s="17">
        <f>IF(COUNTIFS(T_SelfStock_Log[Part Name],$A6,T_SelfStock_Log[WeekIndex],69)=0,"",SUMIFS(T_SelfStock_Log[Self_Qty],T_SelfStock_Log[Part Name],$A6,T_SelfStock_Log[WeekIndex],69))</f>
        <v/>
      </c>
      <c r="BS6" s="17">
        <f>IF(COUNTIFS(T_SelfStock_Log[Part Name],$A6,T_SelfStock_Log[WeekIndex],70)=0,"",SUMIFS(T_SelfStock_Log[Self_Qty],T_SelfStock_Log[Part Name],$A6,T_SelfStock_Log[WeekIndex],70))</f>
        <v/>
      </c>
      <c r="BT6" s="17">
        <f>IF(COUNTIFS(T_SelfStock_Log[Part Name],$A6,T_SelfStock_Log[WeekIndex],71)=0,"",SUMIFS(T_SelfStock_Log[Self_Qty],T_SelfStock_Log[Part Name],$A6,T_SelfStock_Log[WeekIndex],71))</f>
        <v/>
      </c>
      <c r="BU6" s="17">
        <f>IF(COUNTIFS(T_SelfStock_Log[Part Name],$A6,T_SelfStock_Log[WeekIndex],72)=0,"",SUMIFS(T_SelfStock_Log[Self_Qty],T_SelfStock_Log[Part Name],$A6,T_SelfStock_Log[WeekIndex],72))</f>
        <v/>
      </c>
      <c r="BV6" s="17">
        <f>IF(COUNTIFS(T_SelfStock_Log[Part Name],$A6,T_SelfStock_Log[WeekIndex],73)=0,"",SUMIFS(T_SelfStock_Log[Self_Qty],T_SelfStock_Log[Part Name],$A6,T_SelfStock_Log[WeekIndex],73))</f>
        <v/>
      </c>
      <c r="BW6" s="17">
        <f>IF(COUNTIFS(T_SelfStock_Log[Part Name],$A6,T_SelfStock_Log[WeekIndex],74)=0,"",SUMIFS(T_SelfStock_Log[Self_Qty],T_SelfStock_Log[Part Name],$A6,T_SelfStock_Log[WeekIndex],74))</f>
        <v/>
      </c>
      <c r="BX6" s="17">
        <f>IF(COUNTIFS(T_SelfStock_Log[Part Name],$A6,T_SelfStock_Log[WeekIndex],75)=0,"",SUMIFS(T_SelfStock_Log[Self_Qty],T_SelfStock_Log[Part Name],$A6,T_SelfStock_Log[WeekIndex],75))</f>
        <v/>
      </c>
      <c r="BY6" s="17">
        <f>IF(COUNTIFS(T_SelfStock_Log[Part Name],$A6,T_SelfStock_Log[WeekIndex],76)=0,"",SUMIFS(T_SelfStock_Log[Self_Qty],T_SelfStock_Log[Part Name],$A6,T_SelfStock_Log[WeekIndex],76))</f>
        <v/>
      </c>
      <c r="BZ6" s="17">
        <f>IF(COUNTIFS(T_SelfStock_Log[Part Name],$A6,T_SelfStock_Log[WeekIndex],77)=0,"",SUMIFS(T_SelfStock_Log[Self_Qty],T_SelfStock_Log[Part Name],$A6,T_SelfStock_Log[WeekIndex],77))</f>
        <v/>
      </c>
      <c r="CA6" s="17">
        <f>IF(COUNTIFS(T_SelfStock_Log[Part Name],$A6,T_SelfStock_Log[WeekIndex],78)=0,"",SUMIFS(T_SelfStock_Log[Self_Qty],T_SelfStock_Log[Part Name],$A6,T_SelfStock_Log[WeekIndex],78))</f>
        <v/>
      </c>
      <c r="CB6" s="17">
        <f>IF(COUNTIFS(T_SelfStock_Log[Part Name],$A6,T_SelfStock_Log[WeekIndex],79)=0,"",SUMIFS(T_SelfStock_Log[Self_Qty],T_SelfStock_Log[Part Name],$A6,T_SelfStock_Log[WeekIndex],79))</f>
        <v/>
      </c>
      <c r="CC6" s="17">
        <f>IF(COUNTIFS(T_SelfStock_Log[Part Name],$A6,T_SelfStock_Log[WeekIndex],80)=0,"",SUMIFS(T_SelfStock_Log[Self_Qty],T_SelfStock_Log[Part Name],$A6,T_SelfStock_Log[WeekIndex],80))</f>
        <v/>
      </c>
      <c r="CD6" s="17">
        <f>IF(COUNTIFS(T_SelfStock_Log[Part Name],$A6,T_SelfStock_Log[WeekIndex],81)=0,"",SUMIFS(T_SelfStock_Log[Self_Qty],T_SelfStock_Log[Part Name],$A6,T_SelfStock_Log[WeekIndex],81))</f>
        <v/>
      </c>
      <c r="CE6" s="17">
        <f>IF(COUNTIFS(T_SelfStock_Log[Part Name],$A6,T_SelfStock_Log[WeekIndex],82)=0,"",SUMIFS(T_SelfStock_Log[Self_Qty],T_SelfStock_Log[Part Name],$A6,T_SelfStock_Log[WeekIndex],82))</f>
        <v/>
      </c>
      <c r="CF6" s="17">
        <f>IF(COUNTIFS(T_SelfStock_Log[Part Name],$A6,T_SelfStock_Log[WeekIndex],83)=0,"",SUMIFS(T_SelfStock_Log[Self_Qty],T_SelfStock_Log[Part Name],$A6,T_SelfStock_Log[WeekIndex],83))</f>
        <v/>
      </c>
      <c r="CG6" s="17">
        <f>IF(COUNTIFS(T_SelfStock_Log[Part Name],$A6,T_SelfStock_Log[WeekIndex],84)=0,"",SUMIFS(T_SelfStock_Log[Self_Qty],T_SelfStock_Log[Part Name],$A6,T_SelfStock_Log[WeekIndex],84))</f>
        <v/>
      </c>
      <c r="CH6" s="17">
        <f>IF(COUNTIFS(T_SelfStock_Log[Part Name],$A6,T_SelfStock_Log[WeekIndex],85)=0,"",SUMIFS(T_SelfStock_Log[Self_Qty],T_SelfStock_Log[Part Name],$A6,T_SelfStock_Log[WeekIndex],85))</f>
        <v/>
      </c>
      <c r="CI6" s="17">
        <f>IF(COUNTIFS(T_SelfStock_Log[Part Name],$A6,T_SelfStock_Log[WeekIndex],86)=0,"",SUMIFS(T_SelfStock_Log[Self_Qty],T_SelfStock_Log[Part Name],$A6,T_SelfStock_Log[WeekIndex],86))</f>
        <v/>
      </c>
      <c r="CJ6" s="17">
        <f>IF(COUNTIFS(T_SelfStock_Log[Part Name],$A6,T_SelfStock_Log[WeekIndex],87)=0,"",SUMIFS(T_SelfStock_Log[Self_Qty],T_SelfStock_Log[Part Name],$A6,T_SelfStock_Log[WeekIndex],87))</f>
        <v/>
      </c>
      <c r="CK6" s="17">
        <f>IF(COUNTIFS(T_SelfStock_Log[Part Name],$A6,T_SelfStock_Log[WeekIndex],88)=0,"",SUMIFS(T_SelfStock_Log[Self_Qty],T_SelfStock_Log[Part Name],$A6,T_SelfStock_Log[WeekIndex],88))</f>
        <v/>
      </c>
      <c r="CL6" s="17">
        <f>IF(COUNTIFS(T_SelfStock_Log[Part Name],$A6,T_SelfStock_Log[WeekIndex],89)=0,"",SUMIFS(T_SelfStock_Log[Self_Qty],T_SelfStock_Log[Part Name],$A6,T_SelfStock_Log[WeekIndex],89))</f>
        <v/>
      </c>
      <c r="CM6" s="17">
        <f>IF(COUNTIFS(T_SelfStock_Log[Part Name],$A6,T_SelfStock_Log[WeekIndex],90)=0,"",SUMIFS(T_SelfStock_Log[Self_Qty],T_SelfStock_Log[Part Name],$A6,T_SelfStock_Log[WeekIndex],90))</f>
        <v/>
      </c>
      <c r="CN6" s="17">
        <f>IF(COUNTIFS(T_SelfStock_Log[Part Name],$A6,T_SelfStock_Log[WeekIndex],91)=0,"",SUMIFS(T_SelfStock_Log[Self_Qty],T_SelfStock_Log[Part Name],$A6,T_SelfStock_Log[WeekIndex],91))</f>
        <v/>
      </c>
      <c r="CO6" s="17">
        <f>IF(COUNTIFS(T_SelfStock_Log[Part Name],$A6,T_SelfStock_Log[WeekIndex],92)=0,"",SUMIFS(T_SelfStock_Log[Self_Qty],T_SelfStock_Log[Part Name],$A6,T_SelfStock_Log[WeekIndex],92))</f>
        <v/>
      </c>
      <c r="CP6" s="17">
        <f>IF(COUNTIFS(T_SelfStock_Log[Part Name],$A6,T_SelfStock_Log[WeekIndex],93)=0,"",SUMIFS(T_SelfStock_Log[Self_Qty],T_SelfStock_Log[Part Name],$A6,T_SelfStock_Log[WeekIndex],93))</f>
        <v/>
      </c>
      <c r="CQ6" s="17">
        <f>IF(COUNTIFS(T_SelfStock_Log[Part Name],$A6,T_SelfStock_Log[WeekIndex],94)=0,"",SUMIFS(T_SelfStock_Log[Self_Qty],T_SelfStock_Log[Part Name],$A6,T_SelfStock_Log[WeekIndex],94))</f>
        <v/>
      </c>
      <c r="CR6" s="17">
        <f>IF(COUNTIFS(T_SelfStock_Log[Part Name],$A6,T_SelfStock_Log[WeekIndex],95)=0,"",SUMIFS(T_SelfStock_Log[Self_Qty],T_SelfStock_Log[Part Name],$A6,T_SelfStock_Log[WeekIndex],95))</f>
        <v/>
      </c>
      <c r="CS6" s="17">
        <f>IF(COUNTIFS(T_SelfStock_Log[Part Name],$A6,T_SelfStock_Log[WeekIndex],96)=0,"",SUMIFS(T_SelfStock_Log[Self_Qty],T_SelfStock_Log[Part Name],$A6,T_SelfStock_Log[WeekIndex],96))</f>
        <v/>
      </c>
      <c r="CT6" s="17">
        <f>IF(COUNTIFS(T_SelfStock_Log[Part Name],$A6,T_SelfStock_Log[WeekIndex],97)=0,"",SUMIFS(T_SelfStock_Log[Self_Qty],T_SelfStock_Log[Part Name],$A6,T_SelfStock_Log[WeekIndex],97))</f>
        <v/>
      </c>
      <c r="CU6" s="17">
        <f>IF(COUNTIFS(T_SelfStock_Log[Part Name],$A6,T_SelfStock_Log[WeekIndex],98)=0,"",SUMIFS(T_SelfStock_Log[Self_Qty],T_SelfStock_Log[Part Name],$A6,T_SelfStock_Log[WeekIndex],98))</f>
        <v/>
      </c>
      <c r="CV6" s="17">
        <f>IF(COUNTIFS(T_SelfStock_Log[Part Name],$A6,T_SelfStock_Log[WeekIndex],99)=0,"",SUMIFS(T_SelfStock_Log[Self_Qty],T_SelfStock_Log[Part Name],$A6,T_SelfStock_Log[WeekIndex],99))</f>
        <v/>
      </c>
      <c r="CW6" s="17">
        <f>IF(COUNTIFS(T_SelfStock_Log[Part Name],$A6,T_SelfStock_Log[WeekIndex],100)=0,"",SUMIFS(T_SelfStock_Log[Self_Qty],T_SelfStock_Log[Part Name],$A6,T_SelfStock_Log[WeekIndex],100))</f>
        <v/>
      </c>
      <c r="CX6" s="17">
        <f>IF(COUNTIFS(T_SelfStock_Log[Part Name],$A6,T_SelfStock_Log[WeekIndex],101)=0,"",SUMIFS(T_SelfStock_Log[Self_Qty],T_SelfStock_Log[Part Name],$A6,T_SelfStock_Log[WeekIndex],101))</f>
        <v/>
      </c>
      <c r="CY6" s="17">
        <f>IF(COUNTIFS(T_SelfStock_Log[Part Name],$A6,T_SelfStock_Log[WeekIndex],102)=0,"",SUMIFS(T_SelfStock_Log[Self_Qty],T_SelfStock_Log[Part Name],$A6,T_SelfStock_Log[WeekIndex],102))</f>
        <v/>
      </c>
      <c r="CZ6" s="17">
        <f>IF(COUNTIFS(T_SelfStock_Log[Part Name],$A6,T_SelfStock_Log[WeekIndex],103)=0,"",SUMIFS(T_SelfStock_Log[Self_Qty],T_SelfStock_Log[Part Name],$A6,T_SelfStock_Log[WeekIndex],103))</f>
        <v/>
      </c>
      <c r="DA6" s="17">
        <f>IF(COUNTIFS(T_SelfStock_Log[Part Name],$A6,T_SelfStock_Log[WeekIndex],104)=0,"",SUMIFS(T_SelfStock_Log[Self_Qty],T_SelfStock_Log[Part Name],$A6,T_SelfStock_Log[WeekIndex],104))</f>
        <v/>
      </c>
    </row>
    <row r="7">
      <c r="A7" s="19" t="inlineStr">
        <is>
          <t>1EK</t>
        </is>
      </c>
      <c r="B7" s="19">
        <f>IF(COUNTIFS(T_SelfStock_Log[Part Name],$A7,T_SelfStock_Log[WeekIndex],1)=0,"",SUMIFS(T_SelfStock_Log[Self_Qty],T_SelfStock_Log[Part Name],$A7,T_SelfStock_Log[WeekIndex],1))</f>
        <v/>
      </c>
      <c r="C7" s="19">
        <f>IF(COUNTIFS(T_SelfStock_Log[Part Name],$A7,T_SelfStock_Log[WeekIndex],2)=0,"",SUMIFS(T_SelfStock_Log[Self_Qty],T_SelfStock_Log[Part Name],$A7,T_SelfStock_Log[WeekIndex],2))</f>
        <v/>
      </c>
      <c r="D7" s="19">
        <f>IF(COUNTIFS(T_SelfStock_Log[Part Name],$A7,T_SelfStock_Log[WeekIndex],3)=0,"",SUMIFS(T_SelfStock_Log[Self_Qty],T_SelfStock_Log[Part Name],$A7,T_SelfStock_Log[WeekIndex],3))</f>
        <v/>
      </c>
      <c r="E7" s="19">
        <f>IF(COUNTIFS(T_SelfStock_Log[Part Name],$A7,T_SelfStock_Log[WeekIndex],4)=0,"",SUMIFS(T_SelfStock_Log[Self_Qty],T_SelfStock_Log[Part Name],$A7,T_SelfStock_Log[WeekIndex],4))</f>
        <v/>
      </c>
      <c r="F7" s="19">
        <f>IF(COUNTIFS(T_SelfStock_Log[Part Name],$A7,T_SelfStock_Log[WeekIndex],5)=0,"",SUMIFS(T_SelfStock_Log[Self_Qty],T_SelfStock_Log[Part Name],$A7,T_SelfStock_Log[WeekIndex],5))</f>
        <v/>
      </c>
      <c r="G7" s="19">
        <f>IF(COUNTIFS(T_SelfStock_Log[Part Name],$A7,T_SelfStock_Log[WeekIndex],6)=0,"",SUMIFS(T_SelfStock_Log[Self_Qty],T_SelfStock_Log[Part Name],$A7,T_SelfStock_Log[WeekIndex],6))</f>
        <v/>
      </c>
      <c r="H7" s="19">
        <f>IF(COUNTIFS(T_SelfStock_Log[Part Name],$A7,T_SelfStock_Log[WeekIndex],7)=0,"",SUMIFS(T_SelfStock_Log[Self_Qty],T_SelfStock_Log[Part Name],$A7,T_SelfStock_Log[WeekIndex],7))</f>
        <v/>
      </c>
      <c r="I7" s="19">
        <f>IF(COUNTIFS(T_SelfStock_Log[Part Name],$A7,T_SelfStock_Log[WeekIndex],8)=0,"",SUMIFS(T_SelfStock_Log[Self_Qty],T_SelfStock_Log[Part Name],$A7,T_SelfStock_Log[WeekIndex],8))</f>
        <v/>
      </c>
      <c r="J7" s="19">
        <f>IF(COUNTIFS(T_SelfStock_Log[Part Name],$A7,T_SelfStock_Log[WeekIndex],9)=0,"",SUMIFS(T_SelfStock_Log[Self_Qty],T_SelfStock_Log[Part Name],$A7,T_SelfStock_Log[WeekIndex],9))</f>
        <v/>
      </c>
      <c r="K7" s="19">
        <f>IF(COUNTIFS(T_SelfStock_Log[Part Name],$A7,T_SelfStock_Log[WeekIndex],10)=0,"",SUMIFS(T_SelfStock_Log[Self_Qty],T_SelfStock_Log[Part Name],$A7,T_SelfStock_Log[WeekIndex],10))</f>
        <v/>
      </c>
      <c r="L7" s="19">
        <f>IF(COUNTIFS(T_SelfStock_Log[Part Name],$A7,T_SelfStock_Log[WeekIndex],11)=0,"",SUMIFS(T_SelfStock_Log[Self_Qty],T_SelfStock_Log[Part Name],$A7,T_SelfStock_Log[WeekIndex],11))</f>
        <v/>
      </c>
      <c r="M7" s="19">
        <f>IF(COUNTIFS(T_SelfStock_Log[Part Name],$A7,T_SelfStock_Log[WeekIndex],12)=0,"",SUMIFS(T_SelfStock_Log[Self_Qty],T_SelfStock_Log[Part Name],$A7,T_SelfStock_Log[WeekIndex],12))</f>
        <v/>
      </c>
      <c r="N7" s="19">
        <f>IF(COUNTIFS(T_SelfStock_Log[Part Name],$A7,T_SelfStock_Log[WeekIndex],13)=0,"",SUMIFS(T_SelfStock_Log[Self_Qty],T_SelfStock_Log[Part Name],$A7,T_SelfStock_Log[WeekIndex],13))</f>
        <v/>
      </c>
      <c r="O7" s="19">
        <f>IF(COUNTIFS(T_SelfStock_Log[Part Name],$A7,T_SelfStock_Log[WeekIndex],14)=0,"",SUMIFS(T_SelfStock_Log[Self_Qty],T_SelfStock_Log[Part Name],$A7,T_SelfStock_Log[WeekIndex],14))</f>
        <v/>
      </c>
      <c r="P7" s="19">
        <f>IF(COUNTIFS(T_SelfStock_Log[Part Name],$A7,T_SelfStock_Log[WeekIndex],15)=0,"",SUMIFS(T_SelfStock_Log[Self_Qty],T_SelfStock_Log[Part Name],$A7,T_SelfStock_Log[WeekIndex],15))</f>
        <v/>
      </c>
      <c r="Q7" s="19">
        <f>IF(COUNTIFS(T_SelfStock_Log[Part Name],$A7,T_SelfStock_Log[WeekIndex],16)=0,"",SUMIFS(T_SelfStock_Log[Self_Qty],T_SelfStock_Log[Part Name],$A7,T_SelfStock_Log[WeekIndex],16))</f>
        <v/>
      </c>
      <c r="R7" s="19">
        <f>IF(COUNTIFS(T_SelfStock_Log[Part Name],$A7,T_SelfStock_Log[WeekIndex],17)=0,"",SUMIFS(T_SelfStock_Log[Self_Qty],T_SelfStock_Log[Part Name],$A7,T_SelfStock_Log[WeekIndex],17))</f>
        <v/>
      </c>
      <c r="S7" s="19">
        <f>IF(COUNTIFS(T_SelfStock_Log[Part Name],$A7,T_SelfStock_Log[WeekIndex],18)=0,"",SUMIFS(T_SelfStock_Log[Self_Qty],T_SelfStock_Log[Part Name],$A7,T_SelfStock_Log[WeekIndex],18))</f>
        <v/>
      </c>
      <c r="T7" s="19">
        <f>IF(COUNTIFS(T_SelfStock_Log[Part Name],$A7,T_SelfStock_Log[WeekIndex],19)=0,"",SUMIFS(T_SelfStock_Log[Self_Qty],T_SelfStock_Log[Part Name],$A7,T_SelfStock_Log[WeekIndex],19))</f>
        <v/>
      </c>
      <c r="U7" s="19">
        <f>IF(COUNTIFS(T_SelfStock_Log[Part Name],$A7,T_SelfStock_Log[WeekIndex],20)=0,"",SUMIFS(T_SelfStock_Log[Self_Qty],T_SelfStock_Log[Part Name],$A7,T_SelfStock_Log[WeekIndex],20))</f>
        <v/>
      </c>
      <c r="V7" s="19">
        <f>IF(COUNTIFS(T_SelfStock_Log[Part Name],$A7,T_SelfStock_Log[WeekIndex],21)=0,"",SUMIFS(T_SelfStock_Log[Self_Qty],T_SelfStock_Log[Part Name],$A7,T_SelfStock_Log[WeekIndex],21))</f>
        <v/>
      </c>
      <c r="W7" s="19">
        <f>IF(COUNTIFS(T_SelfStock_Log[Part Name],$A7,T_SelfStock_Log[WeekIndex],22)=0,"",SUMIFS(T_SelfStock_Log[Self_Qty],T_SelfStock_Log[Part Name],$A7,T_SelfStock_Log[WeekIndex],22))</f>
        <v/>
      </c>
      <c r="X7" s="19">
        <f>IF(COUNTIFS(T_SelfStock_Log[Part Name],$A7,T_SelfStock_Log[WeekIndex],23)=0,"",SUMIFS(T_SelfStock_Log[Self_Qty],T_SelfStock_Log[Part Name],$A7,T_SelfStock_Log[WeekIndex],23))</f>
        <v/>
      </c>
      <c r="Y7" s="19">
        <f>IF(COUNTIFS(T_SelfStock_Log[Part Name],$A7,T_SelfStock_Log[WeekIndex],24)=0,"",SUMIFS(T_SelfStock_Log[Self_Qty],T_SelfStock_Log[Part Name],$A7,T_SelfStock_Log[WeekIndex],24))</f>
        <v/>
      </c>
      <c r="Z7" s="19">
        <f>IF(COUNTIFS(T_SelfStock_Log[Part Name],$A7,T_SelfStock_Log[WeekIndex],25)=0,"",SUMIFS(T_SelfStock_Log[Self_Qty],T_SelfStock_Log[Part Name],$A7,T_SelfStock_Log[WeekIndex],25))</f>
        <v/>
      </c>
      <c r="AA7" s="19">
        <f>IF(COUNTIFS(T_SelfStock_Log[Part Name],$A7,T_SelfStock_Log[WeekIndex],26)=0,"",SUMIFS(T_SelfStock_Log[Self_Qty],T_SelfStock_Log[Part Name],$A7,T_SelfStock_Log[WeekIndex],26))</f>
        <v/>
      </c>
      <c r="AB7" s="19">
        <f>IF(COUNTIFS(T_SelfStock_Log[Part Name],$A7,T_SelfStock_Log[WeekIndex],27)=0,"",SUMIFS(T_SelfStock_Log[Self_Qty],T_SelfStock_Log[Part Name],$A7,T_SelfStock_Log[WeekIndex],27))</f>
        <v/>
      </c>
      <c r="AC7" s="19">
        <f>IF(COUNTIFS(T_SelfStock_Log[Part Name],$A7,T_SelfStock_Log[WeekIndex],28)=0,"",SUMIFS(T_SelfStock_Log[Self_Qty],T_SelfStock_Log[Part Name],$A7,T_SelfStock_Log[WeekIndex],28))</f>
        <v/>
      </c>
      <c r="AD7" s="19">
        <f>IF(COUNTIFS(T_SelfStock_Log[Part Name],$A7,T_SelfStock_Log[WeekIndex],29)=0,"",SUMIFS(T_SelfStock_Log[Self_Qty],T_SelfStock_Log[Part Name],$A7,T_SelfStock_Log[WeekIndex],29))</f>
        <v/>
      </c>
      <c r="AE7" s="19">
        <f>IF(COUNTIFS(T_SelfStock_Log[Part Name],$A7,T_SelfStock_Log[WeekIndex],30)=0,"",SUMIFS(T_SelfStock_Log[Self_Qty],T_SelfStock_Log[Part Name],$A7,T_SelfStock_Log[WeekIndex],30))</f>
        <v/>
      </c>
      <c r="AF7" s="19">
        <f>IF(COUNTIFS(T_SelfStock_Log[Part Name],$A7,T_SelfStock_Log[WeekIndex],31)=0,"",SUMIFS(T_SelfStock_Log[Self_Qty],T_SelfStock_Log[Part Name],$A7,T_SelfStock_Log[WeekIndex],31))</f>
        <v/>
      </c>
      <c r="AG7" s="19">
        <f>IF(COUNTIFS(T_SelfStock_Log[Part Name],$A7,T_SelfStock_Log[WeekIndex],32)=0,"",SUMIFS(T_SelfStock_Log[Self_Qty],T_SelfStock_Log[Part Name],$A7,T_SelfStock_Log[WeekIndex],32))</f>
        <v/>
      </c>
      <c r="AH7" s="19">
        <f>IF(COUNTIFS(T_SelfStock_Log[Part Name],$A7,T_SelfStock_Log[WeekIndex],33)=0,"",SUMIFS(T_SelfStock_Log[Self_Qty],T_SelfStock_Log[Part Name],$A7,T_SelfStock_Log[WeekIndex],33))</f>
        <v/>
      </c>
      <c r="AI7" s="19">
        <f>IF(COUNTIFS(T_SelfStock_Log[Part Name],$A7,T_SelfStock_Log[WeekIndex],34)=0,"",SUMIFS(T_SelfStock_Log[Self_Qty],T_SelfStock_Log[Part Name],$A7,T_SelfStock_Log[WeekIndex],34))</f>
        <v/>
      </c>
      <c r="AJ7" s="19">
        <f>IF(COUNTIFS(T_SelfStock_Log[Part Name],$A7,T_SelfStock_Log[WeekIndex],35)=0,"",SUMIFS(T_SelfStock_Log[Self_Qty],T_SelfStock_Log[Part Name],$A7,T_SelfStock_Log[WeekIndex],35))</f>
        <v/>
      </c>
      <c r="AK7" s="19">
        <f>IF(COUNTIFS(T_SelfStock_Log[Part Name],$A7,T_SelfStock_Log[WeekIndex],36)=0,"",SUMIFS(T_SelfStock_Log[Self_Qty],T_SelfStock_Log[Part Name],$A7,T_SelfStock_Log[WeekIndex],36))</f>
        <v/>
      </c>
      <c r="AL7" s="19">
        <f>IF(COUNTIFS(T_SelfStock_Log[Part Name],$A7,T_SelfStock_Log[WeekIndex],37)=0,"",SUMIFS(T_SelfStock_Log[Self_Qty],T_SelfStock_Log[Part Name],$A7,T_SelfStock_Log[WeekIndex],37))</f>
        <v/>
      </c>
      <c r="AM7" s="19">
        <f>IF(COUNTIFS(T_SelfStock_Log[Part Name],$A7,T_SelfStock_Log[WeekIndex],38)=0,"",SUMIFS(T_SelfStock_Log[Self_Qty],T_SelfStock_Log[Part Name],$A7,T_SelfStock_Log[WeekIndex],38))</f>
        <v/>
      </c>
      <c r="AN7" s="19">
        <f>IF(COUNTIFS(T_SelfStock_Log[Part Name],$A7,T_SelfStock_Log[WeekIndex],39)=0,"",SUMIFS(T_SelfStock_Log[Self_Qty],T_SelfStock_Log[Part Name],$A7,T_SelfStock_Log[WeekIndex],39))</f>
        <v/>
      </c>
      <c r="AO7" s="19">
        <f>IF(COUNTIFS(T_SelfStock_Log[Part Name],$A7,T_SelfStock_Log[WeekIndex],40)=0,"",SUMIFS(T_SelfStock_Log[Self_Qty],T_SelfStock_Log[Part Name],$A7,T_SelfStock_Log[WeekIndex],40))</f>
        <v/>
      </c>
      <c r="AP7" s="19">
        <f>IF(COUNTIFS(T_SelfStock_Log[Part Name],$A7,T_SelfStock_Log[WeekIndex],41)=0,"",SUMIFS(T_SelfStock_Log[Self_Qty],T_SelfStock_Log[Part Name],$A7,T_SelfStock_Log[WeekIndex],41))</f>
        <v/>
      </c>
      <c r="AQ7" s="19">
        <f>IF(COUNTIFS(T_SelfStock_Log[Part Name],$A7,T_SelfStock_Log[WeekIndex],42)=0,"",SUMIFS(T_SelfStock_Log[Self_Qty],T_SelfStock_Log[Part Name],$A7,T_SelfStock_Log[WeekIndex],42))</f>
        <v/>
      </c>
      <c r="AR7" s="19">
        <f>IF(COUNTIFS(T_SelfStock_Log[Part Name],$A7,T_SelfStock_Log[WeekIndex],43)=0,"",SUMIFS(T_SelfStock_Log[Self_Qty],T_SelfStock_Log[Part Name],$A7,T_SelfStock_Log[WeekIndex],43))</f>
        <v/>
      </c>
      <c r="AS7" s="19">
        <f>IF(COUNTIFS(T_SelfStock_Log[Part Name],$A7,T_SelfStock_Log[WeekIndex],44)=0,"",SUMIFS(T_SelfStock_Log[Self_Qty],T_SelfStock_Log[Part Name],$A7,T_SelfStock_Log[WeekIndex],44))</f>
        <v/>
      </c>
      <c r="AT7" s="19">
        <f>IF(COUNTIFS(T_SelfStock_Log[Part Name],$A7,T_SelfStock_Log[WeekIndex],45)=0,"",SUMIFS(T_SelfStock_Log[Self_Qty],T_SelfStock_Log[Part Name],$A7,T_SelfStock_Log[WeekIndex],45))</f>
        <v/>
      </c>
      <c r="AU7" s="19">
        <f>IF(COUNTIFS(T_SelfStock_Log[Part Name],$A7,T_SelfStock_Log[WeekIndex],46)=0,"",SUMIFS(T_SelfStock_Log[Self_Qty],T_SelfStock_Log[Part Name],$A7,T_SelfStock_Log[WeekIndex],46))</f>
        <v/>
      </c>
      <c r="AV7" s="19">
        <f>IF(COUNTIFS(T_SelfStock_Log[Part Name],$A7,T_SelfStock_Log[WeekIndex],47)=0,"",SUMIFS(T_SelfStock_Log[Self_Qty],T_SelfStock_Log[Part Name],$A7,T_SelfStock_Log[WeekIndex],47))</f>
        <v/>
      </c>
      <c r="AW7" s="19">
        <f>IF(COUNTIFS(T_SelfStock_Log[Part Name],$A7,T_SelfStock_Log[WeekIndex],48)=0,"",SUMIFS(T_SelfStock_Log[Self_Qty],T_SelfStock_Log[Part Name],$A7,T_SelfStock_Log[WeekIndex],48))</f>
        <v/>
      </c>
      <c r="AX7" s="19">
        <f>IF(COUNTIFS(T_SelfStock_Log[Part Name],$A7,T_SelfStock_Log[WeekIndex],49)=0,"",SUMIFS(T_SelfStock_Log[Self_Qty],T_SelfStock_Log[Part Name],$A7,T_SelfStock_Log[WeekIndex],49))</f>
        <v/>
      </c>
      <c r="AY7" s="19">
        <f>IF(COUNTIFS(T_SelfStock_Log[Part Name],$A7,T_SelfStock_Log[WeekIndex],50)=0,"",SUMIFS(T_SelfStock_Log[Self_Qty],T_SelfStock_Log[Part Name],$A7,T_SelfStock_Log[WeekIndex],50))</f>
        <v/>
      </c>
      <c r="AZ7" s="19">
        <f>IF(COUNTIFS(T_SelfStock_Log[Part Name],$A7,T_SelfStock_Log[WeekIndex],51)=0,"",SUMIFS(T_SelfStock_Log[Self_Qty],T_SelfStock_Log[Part Name],$A7,T_SelfStock_Log[WeekIndex],51))</f>
        <v/>
      </c>
      <c r="BA7" s="19">
        <f>IF(COUNTIFS(T_SelfStock_Log[Part Name],$A7,T_SelfStock_Log[WeekIndex],52)=0,"",SUMIFS(T_SelfStock_Log[Self_Qty],T_SelfStock_Log[Part Name],$A7,T_SelfStock_Log[WeekIndex],52))</f>
        <v/>
      </c>
      <c r="BB7" s="19">
        <f>IF(COUNTIFS(T_SelfStock_Log[Part Name],$A7,T_SelfStock_Log[WeekIndex],53)=0,"",SUMIFS(T_SelfStock_Log[Self_Qty],T_SelfStock_Log[Part Name],$A7,T_SelfStock_Log[WeekIndex],53))</f>
        <v/>
      </c>
      <c r="BC7" s="19">
        <f>IF(COUNTIFS(T_SelfStock_Log[Part Name],$A7,T_SelfStock_Log[WeekIndex],54)=0,"",SUMIFS(T_SelfStock_Log[Self_Qty],T_SelfStock_Log[Part Name],$A7,T_SelfStock_Log[WeekIndex],54))</f>
        <v/>
      </c>
      <c r="BD7" s="19">
        <f>IF(COUNTIFS(T_SelfStock_Log[Part Name],$A7,T_SelfStock_Log[WeekIndex],55)=0,"",SUMIFS(T_SelfStock_Log[Self_Qty],T_SelfStock_Log[Part Name],$A7,T_SelfStock_Log[WeekIndex],55))</f>
        <v/>
      </c>
      <c r="BE7" s="19">
        <f>IF(COUNTIFS(T_SelfStock_Log[Part Name],$A7,T_SelfStock_Log[WeekIndex],56)=0,"",SUMIFS(T_SelfStock_Log[Self_Qty],T_SelfStock_Log[Part Name],$A7,T_SelfStock_Log[WeekIndex],56))</f>
        <v/>
      </c>
      <c r="BF7" s="19">
        <f>IF(COUNTIFS(T_SelfStock_Log[Part Name],$A7,T_SelfStock_Log[WeekIndex],57)=0,"",SUMIFS(T_SelfStock_Log[Self_Qty],T_SelfStock_Log[Part Name],$A7,T_SelfStock_Log[WeekIndex],57))</f>
        <v/>
      </c>
      <c r="BG7" s="19">
        <f>IF(COUNTIFS(T_SelfStock_Log[Part Name],$A7,T_SelfStock_Log[WeekIndex],58)=0,"",SUMIFS(T_SelfStock_Log[Self_Qty],T_SelfStock_Log[Part Name],$A7,T_SelfStock_Log[WeekIndex],58))</f>
        <v/>
      </c>
      <c r="BH7" s="19">
        <f>IF(COUNTIFS(T_SelfStock_Log[Part Name],$A7,T_SelfStock_Log[WeekIndex],59)=0,"",SUMIFS(T_SelfStock_Log[Self_Qty],T_SelfStock_Log[Part Name],$A7,T_SelfStock_Log[WeekIndex],59))</f>
        <v/>
      </c>
      <c r="BI7" s="19">
        <f>IF(COUNTIFS(T_SelfStock_Log[Part Name],$A7,T_SelfStock_Log[WeekIndex],60)=0,"",SUMIFS(T_SelfStock_Log[Self_Qty],T_SelfStock_Log[Part Name],$A7,T_SelfStock_Log[WeekIndex],60))</f>
        <v/>
      </c>
      <c r="BJ7" s="19">
        <f>IF(COUNTIFS(T_SelfStock_Log[Part Name],$A7,T_SelfStock_Log[WeekIndex],61)=0,"",SUMIFS(T_SelfStock_Log[Self_Qty],T_SelfStock_Log[Part Name],$A7,T_SelfStock_Log[WeekIndex],61))</f>
        <v/>
      </c>
      <c r="BK7" s="19">
        <f>IF(COUNTIFS(T_SelfStock_Log[Part Name],$A7,T_SelfStock_Log[WeekIndex],62)=0,"",SUMIFS(T_SelfStock_Log[Self_Qty],T_SelfStock_Log[Part Name],$A7,T_SelfStock_Log[WeekIndex],62))</f>
        <v/>
      </c>
      <c r="BL7" s="19">
        <f>IF(COUNTIFS(T_SelfStock_Log[Part Name],$A7,T_SelfStock_Log[WeekIndex],63)=0,"",SUMIFS(T_SelfStock_Log[Self_Qty],T_SelfStock_Log[Part Name],$A7,T_SelfStock_Log[WeekIndex],63))</f>
        <v/>
      </c>
      <c r="BM7" s="19">
        <f>IF(COUNTIFS(T_SelfStock_Log[Part Name],$A7,T_SelfStock_Log[WeekIndex],64)=0,"",SUMIFS(T_SelfStock_Log[Self_Qty],T_SelfStock_Log[Part Name],$A7,T_SelfStock_Log[WeekIndex],64))</f>
        <v/>
      </c>
      <c r="BN7" s="19">
        <f>IF(COUNTIFS(T_SelfStock_Log[Part Name],$A7,T_SelfStock_Log[WeekIndex],65)=0,"",SUMIFS(T_SelfStock_Log[Self_Qty],T_SelfStock_Log[Part Name],$A7,T_SelfStock_Log[WeekIndex],65))</f>
        <v/>
      </c>
      <c r="BO7" s="19">
        <f>IF(COUNTIFS(T_SelfStock_Log[Part Name],$A7,T_SelfStock_Log[WeekIndex],66)=0,"",SUMIFS(T_SelfStock_Log[Self_Qty],T_SelfStock_Log[Part Name],$A7,T_SelfStock_Log[WeekIndex],66))</f>
        <v/>
      </c>
      <c r="BP7" s="19">
        <f>IF(COUNTIFS(T_SelfStock_Log[Part Name],$A7,T_SelfStock_Log[WeekIndex],67)=0,"",SUMIFS(T_SelfStock_Log[Self_Qty],T_SelfStock_Log[Part Name],$A7,T_SelfStock_Log[WeekIndex],67))</f>
        <v/>
      </c>
      <c r="BQ7" s="19">
        <f>IF(COUNTIFS(T_SelfStock_Log[Part Name],$A7,T_SelfStock_Log[WeekIndex],68)=0,"",SUMIFS(T_SelfStock_Log[Self_Qty],T_SelfStock_Log[Part Name],$A7,T_SelfStock_Log[WeekIndex],68))</f>
        <v/>
      </c>
      <c r="BR7" s="19">
        <f>IF(COUNTIFS(T_SelfStock_Log[Part Name],$A7,T_SelfStock_Log[WeekIndex],69)=0,"",SUMIFS(T_SelfStock_Log[Self_Qty],T_SelfStock_Log[Part Name],$A7,T_SelfStock_Log[WeekIndex],69))</f>
        <v/>
      </c>
      <c r="BS7" s="19">
        <f>IF(COUNTIFS(T_SelfStock_Log[Part Name],$A7,T_SelfStock_Log[WeekIndex],70)=0,"",SUMIFS(T_SelfStock_Log[Self_Qty],T_SelfStock_Log[Part Name],$A7,T_SelfStock_Log[WeekIndex],70))</f>
        <v/>
      </c>
      <c r="BT7" s="19">
        <f>IF(COUNTIFS(T_SelfStock_Log[Part Name],$A7,T_SelfStock_Log[WeekIndex],71)=0,"",SUMIFS(T_SelfStock_Log[Self_Qty],T_SelfStock_Log[Part Name],$A7,T_SelfStock_Log[WeekIndex],71))</f>
        <v/>
      </c>
      <c r="BU7" s="19">
        <f>IF(COUNTIFS(T_SelfStock_Log[Part Name],$A7,T_SelfStock_Log[WeekIndex],72)=0,"",SUMIFS(T_SelfStock_Log[Self_Qty],T_SelfStock_Log[Part Name],$A7,T_SelfStock_Log[WeekIndex],72))</f>
        <v/>
      </c>
      <c r="BV7" s="19">
        <f>IF(COUNTIFS(T_SelfStock_Log[Part Name],$A7,T_SelfStock_Log[WeekIndex],73)=0,"",SUMIFS(T_SelfStock_Log[Self_Qty],T_SelfStock_Log[Part Name],$A7,T_SelfStock_Log[WeekIndex],73))</f>
        <v/>
      </c>
      <c r="BW7" s="19">
        <f>IF(COUNTIFS(T_SelfStock_Log[Part Name],$A7,T_SelfStock_Log[WeekIndex],74)=0,"",SUMIFS(T_SelfStock_Log[Self_Qty],T_SelfStock_Log[Part Name],$A7,T_SelfStock_Log[WeekIndex],74))</f>
        <v/>
      </c>
      <c r="BX7" s="19">
        <f>IF(COUNTIFS(T_SelfStock_Log[Part Name],$A7,T_SelfStock_Log[WeekIndex],75)=0,"",SUMIFS(T_SelfStock_Log[Self_Qty],T_SelfStock_Log[Part Name],$A7,T_SelfStock_Log[WeekIndex],75))</f>
        <v/>
      </c>
      <c r="BY7" s="19">
        <f>IF(COUNTIFS(T_SelfStock_Log[Part Name],$A7,T_SelfStock_Log[WeekIndex],76)=0,"",SUMIFS(T_SelfStock_Log[Self_Qty],T_SelfStock_Log[Part Name],$A7,T_SelfStock_Log[WeekIndex],76))</f>
        <v/>
      </c>
      <c r="BZ7" s="19">
        <f>IF(COUNTIFS(T_SelfStock_Log[Part Name],$A7,T_SelfStock_Log[WeekIndex],77)=0,"",SUMIFS(T_SelfStock_Log[Self_Qty],T_SelfStock_Log[Part Name],$A7,T_SelfStock_Log[WeekIndex],77))</f>
        <v/>
      </c>
      <c r="CA7" s="19">
        <f>IF(COUNTIFS(T_SelfStock_Log[Part Name],$A7,T_SelfStock_Log[WeekIndex],78)=0,"",SUMIFS(T_SelfStock_Log[Self_Qty],T_SelfStock_Log[Part Name],$A7,T_SelfStock_Log[WeekIndex],78))</f>
        <v/>
      </c>
      <c r="CB7" s="19">
        <f>IF(COUNTIFS(T_SelfStock_Log[Part Name],$A7,T_SelfStock_Log[WeekIndex],79)=0,"",SUMIFS(T_SelfStock_Log[Self_Qty],T_SelfStock_Log[Part Name],$A7,T_SelfStock_Log[WeekIndex],79))</f>
        <v/>
      </c>
      <c r="CC7" s="19">
        <f>IF(COUNTIFS(T_SelfStock_Log[Part Name],$A7,T_SelfStock_Log[WeekIndex],80)=0,"",SUMIFS(T_SelfStock_Log[Self_Qty],T_SelfStock_Log[Part Name],$A7,T_SelfStock_Log[WeekIndex],80))</f>
        <v/>
      </c>
      <c r="CD7" s="19">
        <f>IF(COUNTIFS(T_SelfStock_Log[Part Name],$A7,T_SelfStock_Log[WeekIndex],81)=0,"",SUMIFS(T_SelfStock_Log[Self_Qty],T_SelfStock_Log[Part Name],$A7,T_SelfStock_Log[WeekIndex],81))</f>
        <v/>
      </c>
      <c r="CE7" s="19">
        <f>IF(COUNTIFS(T_SelfStock_Log[Part Name],$A7,T_SelfStock_Log[WeekIndex],82)=0,"",SUMIFS(T_SelfStock_Log[Self_Qty],T_SelfStock_Log[Part Name],$A7,T_SelfStock_Log[WeekIndex],82))</f>
        <v/>
      </c>
      <c r="CF7" s="19">
        <f>IF(COUNTIFS(T_SelfStock_Log[Part Name],$A7,T_SelfStock_Log[WeekIndex],83)=0,"",SUMIFS(T_SelfStock_Log[Self_Qty],T_SelfStock_Log[Part Name],$A7,T_SelfStock_Log[WeekIndex],83))</f>
        <v/>
      </c>
      <c r="CG7" s="19">
        <f>IF(COUNTIFS(T_SelfStock_Log[Part Name],$A7,T_SelfStock_Log[WeekIndex],84)=0,"",SUMIFS(T_SelfStock_Log[Self_Qty],T_SelfStock_Log[Part Name],$A7,T_SelfStock_Log[WeekIndex],84))</f>
        <v/>
      </c>
      <c r="CH7" s="19">
        <f>IF(COUNTIFS(T_SelfStock_Log[Part Name],$A7,T_SelfStock_Log[WeekIndex],85)=0,"",SUMIFS(T_SelfStock_Log[Self_Qty],T_SelfStock_Log[Part Name],$A7,T_SelfStock_Log[WeekIndex],85))</f>
        <v/>
      </c>
      <c r="CI7" s="19">
        <f>IF(COUNTIFS(T_SelfStock_Log[Part Name],$A7,T_SelfStock_Log[WeekIndex],86)=0,"",SUMIFS(T_SelfStock_Log[Self_Qty],T_SelfStock_Log[Part Name],$A7,T_SelfStock_Log[WeekIndex],86))</f>
        <v/>
      </c>
      <c r="CJ7" s="19">
        <f>IF(COUNTIFS(T_SelfStock_Log[Part Name],$A7,T_SelfStock_Log[WeekIndex],87)=0,"",SUMIFS(T_SelfStock_Log[Self_Qty],T_SelfStock_Log[Part Name],$A7,T_SelfStock_Log[WeekIndex],87))</f>
        <v/>
      </c>
      <c r="CK7" s="19">
        <f>IF(COUNTIFS(T_SelfStock_Log[Part Name],$A7,T_SelfStock_Log[WeekIndex],88)=0,"",SUMIFS(T_SelfStock_Log[Self_Qty],T_SelfStock_Log[Part Name],$A7,T_SelfStock_Log[WeekIndex],88))</f>
        <v/>
      </c>
      <c r="CL7" s="19">
        <f>IF(COUNTIFS(T_SelfStock_Log[Part Name],$A7,T_SelfStock_Log[WeekIndex],89)=0,"",SUMIFS(T_SelfStock_Log[Self_Qty],T_SelfStock_Log[Part Name],$A7,T_SelfStock_Log[WeekIndex],89))</f>
        <v/>
      </c>
      <c r="CM7" s="19">
        <f>IF(COUNTIFS(T_SelfStock_Log[Part Name],$A7,T_SelfStock_Log[WeekIndex],90)=0,"",SUMIFS(T_SelfStock_Log[Self_Qty],T_SelfStock_Log[Part Name],$A7,T_SelfStock_Log[WeekIndex],90))</f>
        <v/>
      </c>
      <c r="CN7" s="19">
        <f>IF(COUNTIFS(T_SelfStock_Log[Part Name],$A7,T_SelfStock_Log[WeekIndex],91)=0,"",SUMIFS(T_SelfStock_Log[Self_Qty],T_SelfStock_Log[Part Name],$A7,T_SelfStock_Log[WeekIndex],91))</f>
        <v/>
      </c>
      <c r="CO7" s="19">
        <f>IF(COUNTIFS(T_SelfStock_Log[Part Name],$A7,T_SelfStock_Log[WeekIndex],92)=0,"",SUMIFS(T_SelfStock_Log[Self_Qty],T_SelfStock_Log[Part Name],$A7,T_SelfStock_Log[WeekIndex],92))</f>
        <v/>
      </c>
      <c r="CP7" s="19">
        <f>IF(COUNTIFS(T_SelfStock_Log[Part Name],$A7,T_SelfStock_Log[WeekIndex],93)=0,"",SUMIFS(T_SelfStock_Log[Self_Qty],T_SelfStock_Log[Part Name],$A7,T_SelfStock_Log[WeekIndex],93))</f>
        <v/>
      </c>
      <c r="CQ7" s="19">
        <f>IF(COUNTIFS(T_SelfStock_Log[Part Name],$A7,T_SelfStock_Log[WeekIndex],94)=0,"",SUMIFS(T_SelfStock_Log[Self_Qty],T_SelfStock_Log[Part Name],$A7,T_SelfStock_Log[WeekIndex],94))</f>
        <v/>
      </c>
      <c r="CR7" s="19">
        <f>IF(COUNTIFS(T_SelfStock_Log[Part Name],$A7,T_SelfStock_Log[WeekIndex],95)=0,"",SUMIFS(T_SelfStock_Log[Self_Qty],T_SelfStock_Log[Part Name],$A7,T_SelfStock_Log[WeekIndex],95))</f>
        <v/>
      </c>
      <c r="CS7" s="19">
        <f>IF(COUNTIFS(T_SelfStock_Log[Part Name],$A7,T_SelfStock_Log[WeekIndex],96)=0,"",SUMIFS(T_SelfStock_Log[Self_Qty],T_SelfStock_Log[Part Name],$A7,T_SelfStock_Log[WeekIndex],96))</f>
        <v/>
      </c>
      <c r="CT7" s="19">
        <f>IF(COUNTIFS(T_SelfStock_Log[Part Name],$A7,T_SelfStock_Log[WeekIndex],97)=0,"",SUMIFS(T_SelfStock_Log[Self_Qty],T_SelfStock_Log[Part Name],$A7,T_SelfStock_Log[WeekIndex],97))</f>
        <v/>
      </c>
      <c r="CU7" s="19">
        <f>IF(COUNTIFS(T_SelfStock_Log[Part Name],$A7,T_SelfStock_Log[WeekIndex],98)=0,"",SUMIFS(T_SelfStock_Log[Self_Qty],T_SelfStock_Log[Part Name],$A7,T_SelfStock_Log[WeekIndex],98))</f>
        <v/>
      </c>
      <c r="CV7" s="19">
        <f>IF(COUNTIFS(T_SelfStock_Log[Part Name],$A7,T_SelfStock_Log[WeekIndex],99)=0,"",SUMIFS(T_SelfStock_Log[Self_Qty],T_SelfStock_Log[Part Name],$A7,T_SelfStock_Log[WeekIndex],99))</f>
        <v/>
      </c>
      <c r="CW7" s="19">
        <f>IF(COUNTIFS(T_SelfStock_Log[Part Name],$A7,T_SelfStock_Log[WeekIndex],100)=0,"",SUMIFS(T_SelfStock_Log[Self_Qty],T_SelfStock_Log[Part Name],$A7,T_SelfStock_Log[WeekIndex],100))</f>
        <v/>
      </c>
      <c r="CX7" s="19">
        <f>IF(COUNTIFS(T_SelfStock_Log[Part Name],$A7,T_SelfStock_Log[WeekIndex],101)=0,"",SUMIFS(T_SelfStock_Log[Self_Qty],T_SelfStock_Log[Part Name],$A7,T_SelfStock_Log[WeekIndex],101))</f>
        <v/>
      </c>
      <c r="CY7" s="19">
        <f>IF(COUNTIFS(T_SelfStock_Log[Part Name],$A7,T_SelfStock_Log[WeekIndex],102)=0,"",SUMIFS(T_SelfStock_Log[Self_Qty],T_SelfStock_Log[Part Name],$A7,T_SelfStock_Log[WeekIndex],102))</f>
        <v/>
      </c>
      <c r="CZ7" s="19">
        <f>IF(COUNTIFS(T_SelfStock_Log[Part Name],$A7,T_SelfStock_Log[WeekIndex],103)=0,"",SUMIFS(T_SelfStock_Log[Self_Qty],T_SelfStock_Log[Part Name],$A7,T_SelfStock_Log[WeekIndex],103))</f>
        <v/>
      </c>
      <c r="DA7" s="19">
        <f>IF(COUNTIFS(T_SelfStock_Log[Part Name],$A7,T_SelfStock_Log[WeekIndex],104)=0,"",SUMIFS(T_SelfStock_Log[Self_Qty],T_SelfStock_Log[Part Name],$A7,T_SelfStock_Log[WeekIndex],104))</f>
        <v/>
      </c>
    </row>
    <row r="8">
      <c r="A8" s="17" t="inlineStr">
        <is>
          <t>4HL</t>
        </is>
      </c>
      <c r="B8" s="17">
        <f>IF(COUNTIFS(T_SelfStock_Log[Part Name],$A8,T_SelfStock_Log[WeekIndex],1)=0,"",SUMIFS(T_SelfStock_Log[Self_Qty],T_SelfStock_Log[Part Name],$A8,T_SelfStock_Log[WeekIndex],1))</f>
        <v/>
      </c>
      <c r="C8" s="17">
        <f>IF(COUNTIFS(T_SelfStock_Log[Part Name],$A8,T_SelfStock_Log[WeekIndex],2)=0,"",SUMIFS(T_SelfStock_Log[Self_Qty],T_SelfStock_Log[Part Name],$A8,T_SelfStock_Log[WeekIndex],2))</f>
        <v/>
      </c>
      <c r="D8" s="17">
        <f>IF(COUNTIFS(T_SelfStock_Log[Part Name],$A8,T_SelfStock_Log[WeekIndex],3)=0,"",SUMIFS(T_SelfStock_Log[Self_Qty],T_SelfStock_Log[Part Name],$A8,T_SelfStock_Log[WeekIndex],3))</f>
        <v/>
      </c>
      <c r="E8" s="17">
        <f>IF(COUNTIFS(T_SelfStock_Log[Part Name],$A8,T_SelfStock_Log[WeekIndex],4)=0,"",SUMIFS(T_SelfStock_Log[Self_Qty],T_SelfStock_Log[Part Name],$A8,T_SelfStock_Log[WeekIndex],4))</f>
        <v/>
      </c>
      <c r="F8" s="17">
        <f>IF(COUNTIFS(T_SelfStock_Log[Part Name],$A8,T_SelfStock_Log[WeekIndex],5)=0,"",SUMIFS(T_SelfStock_Log[Self_Qty],T_SelfStock_Log[Part Name],$A8,T_SelfStock_Log[WeekIndex],5))</f>
        <v/>
      </c>
      <c r="G8" s="17">
        <f>IF(COUNTIFS(T_SelfStock_Log[Part Name],$A8,T_SelfStock_Log[WeekIndex],6)=0,"",SUMIFS(T_SelfStock_Log[Self_Qty],T_SelfStock_Log[Part Name],$A8,T_SelfStock_Log[WeekIndex],6))</f>
        <v/>
      </c>
      <c r="H8" s="17">
        <f>IF(COUNTIFS(T_SelfStock_Log[Part Name],$A8,T_SelfStock_Log[WeekIndex],7)=0,"",SUMIFS(T_SelfStock_Log[Self_Qty],T_SelfStock_Log[Part Name],$A8,T_SelfStock_Log[WeekIndex],7))</f>
        <v/>
      </c>
      <c r="I8" s="17">
        <f>IF(COUNTIFS(T_SelfStock_Log[Part Name],$A8,T_SelfStock_Log[WeekIndex],8)=0,"",SUMIFS(T_SelfStock_Log[Self_Qty],T_SelfStock_Log[Part Name],$A8,T_SelfStock_Log[WeekIndex],8))</f>
        <v/>
      </c>
      <c r="J8" s="17">
        <f>IF(COUNTIFS(T_SelfStock_Log[Part Name],$A8,T_SelfStock_Log[WeekIndex],9)=0,"",SUMIFS(T_SelfStock_Log[Self_Qty],T_SelfStock_Log[Part Name],$A8,T_SelfStock_Log[WeekIndex],9))</f>
        <v/>
      </c>
      <c r="K8" s="17">
        <f>IF(COUNTIFS(T_SelfStock_Log[Part Name],$A8,T_SelfStock_Log[WeekIndex],10)=0,"",SUMIFS(T_SelfStock_Log[Self_Qty],T_SelfStock_Log[Part Name],$A8,T_SelfStock_Log[WeekIndex],10))</f>
        <v/>
      </c>
      <c r="L8" s="17">
        <f>IF(COUNTIFS(T_SelfStock_Log[Part Name],$A8,T_SelfStock_Log[WeekIndex],11)=0,"",SUMIFS(T_SelfStock_Log[Self_Qty],T_SelfStock_Log[Part Name],$A8,T_SelfStock_Log[WeekIndex],11))</f>
        <v/>
      </c>
      <c r="M8" s="17">
        <f>IF(COUNTIFS(T_SelfStock_Log[Part Name],$A8,T_SelfStock_Log[WeekIndex],12)=0,"",SUMIFS(T_SelfStock_Log[Self_Qty],T_SelfStock_Log[Part Name],$A8,T_SelfStock_Log[WeekIndex],12))</f>
        <v/>
      </c>
      <c r="N8" s="17">
        <f>IF(COUNTIFS(T_SelfStock_Log[Part Name],$A8,T_SelfStock_Log[WeekIndex],13)=0,"",SUMIFS(T_SelfStock_Log[Self_Qty],T_SelfStock_Log[Part Name],$A8,T_SelfStock_Log[WeekIndex],13))</f>
        <v/>
      </c>
      <c r="O8" s="17">
        <f>IF(COUNTIFS(T_SelfStock_Log[Part Name],$A8,T_SelfStock_Log[WeekIndex],14)=0,"",SUMIFS(T_SelfStock_Log[Self_Qty],T_SelfStock_Log[Part Name],$A8,T_SelfStock_Log[WeekIndex],14))</f>
        <v/>
      </c>
      <c r="P8" s="17">
        <f>IF(COUNTIFS(T_SelfStock_Log[Part Name],$A8,T_SelfStock_Log[WeekIndex],15)=0,"",SUMIFS(T_SelfStock_Log[Self_Qty],T_SelfStock_Log[Part Name],$A8,T_SelfStock_Log[WeekIndex],15))</f>
        <v/>
      </c>
      <c r="Q8" s="17">
        <f>IF(COUNTIFS(T_SelfStock_Log[Part Name],$A8,T_SelfStock_Log[WeekIndex],16)=0,"",SUMIFS(T_SelfStock_Log[Self_Qty],T_SelfStock_Log[Part Name],$A8,T_SelfStock_Log[WeekIndex],16))</f>
        <v/>
      </c>
      <c r="R8" s="17">
        <f>IF(COUNTIFS(T_SelfStock_Log[Part Name],$A8,T_SelfStock_Log[WeekIndex],17)=0,"",SUMIFS(T_SelfStock_Log[Self_Qty],T_SelfStock_Log[Part Name],$A8,T_SelfStock_Log[WeekIndex],17))</f>
        <v/>
      </c>
      <c r="S8" s="17">
        <f>IF(COUNTIFS(T_SelfStock_Log[Part Name],$A8,T_SelfStock_Log[WeekIndex],18)=0,"",SUMIFS(T_SelfStock_Log[Self_Qty],T_SelfStock_Log[Part Name],$A8,T_SelfStock_Log[WeekIndex],18))</f>
        <v/>
      </c>
      <c r="T8" s="17">
        <f>IF(COUNTIFS(T_SelfStock_Log[Part Name],$A8,T_SelfStock_Log[WeekIndex],19)=0,"",SUMIFS(T_SelfStock_Log[Self_Qty],T_SelfStock_Log[Part Name],$A8,T_SelfStock_Log[WeekIndex],19))</f>
        <v/>
      </c>
      <c r="U8" s="17">
        <f>IF(COUNTIFS(T_SelfStock_Log[Part Name],$A8,T_SelfStock_Log[WeekIndex],20)=0,"",SUMIFS(T_SelfStock_Log[Self_Qty],T_SelfStock_Log[Part Name],$A8,T_SelfStock_Log[WeekIndex],20))</f>
        <v/>
      </c>
      <c r="V8" s="17">
        <f>IF(COUNTIFS(T_SelfStock_Log[Part Name],$A8,T_SelfStock_Log[WeekIndex],21)=0,"",SUMIFS(T_SelfStock_Log[Self_Qty],T_SelfStock_Log[Part Name],$A8,T_SelfStock_Log[WeekIndex],21))</f>
        <v/>
      </c>
      <c r="W8" s="17">
        <f>IF(COUNTIFS(T_SelfStock_Log[Part Name],$A8,T_SelfStock_Log[WeekIndex],22)=0,"",SUMIFS(T_SelfStock_Log[Self_Qty],T_SelfStock_Log[Part Name],$A8,T_SelfStock_Log[WeekIndex],22))</f>
        <v/>
      </c>
      <c r="X8" s="17">
        <f>IF(COUNTIFS(T_SelfStock_Log[Part Name],$A8,T_SelfStock_Log[WeekIndex],23)=0,"",SUMIFS(T_SelfStock_Log[Self_Qty],T_SelfStock_Log[Part Name],$A8,T_SelfStock_Log[WeekIndex],23))</f>
        <v/>
      </c>
      <c r="Y8" s="17">
        <f>IF(COUNTIFS(T_SelfStock_Log[Part Name],$A8,T_SelfStock_Log[WeekIndex],24)=0,"",SUMIFS(T_SelfStock_Log[Self_Qty],T_SelfStock_Log[Part Name],$A8,T_SelfStock_Log[WeekIndex],24))</f>
        <v/>
      </c>
      <c r="Z8" s="17">
        <f>IF(COUNTIFS(T_SelfStock_Log[Part Name],$A8,T_SelfStock_Log[WeekIndex],25)=0,"",SUMIFS(T_SelfStock_Log[Self_Qty],T_SelfStock_Log[Part Name],$A8,T_SelfStock_Log[WeekIndex],25))</f>
        <v/>
      </c>
      <c r="AA8" s="17">
        <f>IF(COUNTIFS(T_SelfStock_Log[Part Name],$A8,T_SelfStock_Log[WeekIndex],26)=0,"",SUMIFS(T_SelfStock_Log[Self_Qty],T_SelfStock_Log[Part Name],$A8,T_SelfStock_Log[WeekIndex],26))</f>
        <v/>
      </c>
      <c r="AB8" s="17">
        <f>IF(COUNTIFS(T_SelfStock_Log[Part Name],$A8,T_SelfStock_Log[WeekIndex],27)=0,"",SUMIFS(T_SelfStock_Log[Self_Qty],T_SelfStock_Log[Part Name],$A8,T_SelfStock_Log[WeekIndex],27))</f>
        <v/>
      </c>
      <c r="AC8" s="17">
        <f>IF(COUNTIFS(T_SelfStock_Log[Part Name],$A8,T_SelfStock_Log[WeekIndex],28)=0,"",SUMIFS(T_SelfStock_Log[Self_Qty],T_SelfStock_Log[Part Name],$A8,T_SelfStock_Log[WeekIndex],28))</f>
        <v/>
      </c>
      <c r="AD8" s="17">
        <f>IF(COUNTIFS(T_SelfStock_Log[Part Name],$A8,T_SelfStock_Log[WeekIndex],29)=0,"",SUMIFS(T_SelfStock_Log[Self_Qty],T_SelfStock_Log[Part Name],$A8,T_SelfStock_Log[WeekIndex],29))</f>
        <v/>
      </c>
      <c r="AE8" s="17">
        <f>IF(COUNTIFS(T_SelfStock_Log[Part Name],$A8,T_SelfStock_Log[WeekIndex],30)=0,"",SUMIFS(T_SelfStock_Log[Self_Qty],T_SelfStock_Log[Part Name],$A8,T_SelfStock_Log[WeekIndex],30))</f>
        <v/>
      </c>
      <c r="AF8" s="17">
        <f>IF(COUNTIFS(T_SelfStock_Log[Part Name],$A8,T_SelfStock_Log[WeekIndex],31)=0,"",SUMIFS(T_SelfStock_Log[Self_Qty],T_SelfStock_Log[Part Name],$A8,T_SelfStock_Log[WeekIndex],31))</f>
        <v/>
      </c>
      <c r="AG8" s="17">
        <f>IF(COUNTIFS(T_SelfStock_Log[Part Name],$A8,T_SelfStock_Log[WeekIndex],32)=0,"",SUMIFS(T_SelfStock_Log[Self_Qty],T_SelfStock_Log[Part Name],$A8,T_SelfStock_Log[WeekIndex],32))</f>
        <v/>
      </c>
      <c r="AH8" s="17">
        <f>IF(COUNTIFS(T_SelfStock_Log[Part Name],$A8,T_SelfStock_Log[WeekIndex],33)=0,"",SUMIFS(T_SelfStock_Log[Self_Qty],T_SelfStock_Log[Part Name],$A8,T_SelfStock_Log[WeekIndex],33))</f>
        <v/>
      </c>
      <c r="AI8" s="17">
        <f>IF(COUNTIFS(T_SelfStock_Log[Part Name],$A8,T_SelfStock_Log[WeekIndex],34)=0,"",SUMIFS(T_SelfStock_Log[Self_Qty],T_SelfStock_Log[Part Name],$A8,T_SelfStock_Log[WeekIndex],34))</f>
        <v/>
      </c>
      <c r="AJ8" s="17">
        <f>IF(COUNTIFS(T_SelfStock_Log[Part Name],$A8,T_SelfStock_Log[WeekIndex],35)=0,"",SUMIFS(T_SelfStock_Log[Self_Qty],T_SelfStock_Log[Part Name],$A8,T_SelfStock_Log[WeekIndex],35))</f>
        <v/>
      </c>
      <c r="AK8" s="17">
        <f>IF(COUNTIFS(T_SelfStock_Log[Part Name],$A8,T_SelfStock_Log[WeekIndex],36)=0,"",SUMIFS(T_SelfStock_Log[Self_Qty],T_SelfStock_Log[Part Name],$A8,T_SelfStock_Log[WeekIndex],36))</f>
        <v/>
      </c>
      <c r="AL8" s="17">
        <f>IF(COUNTIFS(T_SelfStock_Log[Part Name],$A8,T_SelfStock_Log[WeekIndex],37)=0,"",SUMIFS(T_SelfStock_Log[Self_Qty],T_SelfStock_Log[Part Name],$A8,T_SelfStock_Log[WeekIndex],37))</f>
        <v/>
      </c>
      <c r="AM8" s="17">
        <f>IF(COUNTIFS(T_SelfStock_Log[Part Name],$A8,T_SelfStock_Log[WeekIndex],38)=0,"",SUMIFS(T_SelfStock_Log[Self_Qty],T_SelfStock_Log[Part Name],$A8,T_SelfStock_Log[WeekIndex],38))</f>
        <v/>
      </c>
      <c r="AN8" s="17">
        <f>IF(COUNTIFS(T_SelfStock_Log[Part Name],$A8,T_SelfStock_Log[WeekIndex],39)=0,"",SUMIFS(T_SelfStock_Log[Self_Qty],T_SelfStock_Log[Part Name],$A8,T_SelfStock_Log[WeekIndex],39))</f>
        <v/>
      </c>
      <c r="AO8" s="17">
        <f>IF(COUNTIFS(T_SelfStock_Log[Part Name],$A8,T_SelfStock_Log[WeekIndex],40)=0,"",SUMIFS(T_SelfStock_Log[Self_Qty],T_SelfStock_Log[Part Name],$A8,T_SelfStock_Log[WeekIndex],40))</f>
        <v/>
      </c>
      <c r="AP8" s="17">
        <f>IF(COUNTIFS(T_SelfStock_Log[Part Name],$A8,T_SelfStock_Log[WeekIndex],41)=0,"",SUMIFS(T_SelfStock_Log[Self_Qty],T_SelfStock_Log[Part Name],$A8,T_SelfStock_Log[WeekIndex],41))</f>
        <v/>
      </c>
      <c r="AQ8" s="17">
        <f>IF(COUNTIFS(T_SelfStock_Log[Part Name],$A8,T_SelfStock_Log[WeekIndex],42)=0,"",SUMIFS(T_SelfStock_Log[Self_Qty],T_SelfStock_Log[Part Name],$A8,T_SelfStock_Log[WeekIndex],42))</f>
        <v/>
      </c>
      <c r="AR8" s="17">
        <f>IF(COUNTIFS(T_SelfStock_Log[Part Name],$A8,T_SelfStock_Log[WeekIndex],43)=0,"",SUMIFS(T_SelfStock_Log[Self_Qty],T_SelfStock_Log[Part Name],$A8,T_SelfStock_Log[WeekIndex],43))</f>
        <v/>
      </c>
      <c r="AS8" s="17">
        <f>IF(COUNTIFS(T_SelfStock_Log[Part Name],$A8,T_SelfStock_Log[WeekIndex],44)=0,"",SUMIFS(T_SelfStock_Log[Self_Qty],T_SelfStock_Log[Part Name],$A8,T_SelfStock_Log[WeekIndex],44))</f>
        <v/>
      </c>
      <c r="AT8" s="17">
        <f>IF(COUNTIFS(T_SelfStock_Log[Part Name],$A8,T_SelfStock_Log[WeekIndex],45)=0,"",SUMIFS(T_SelfStock_Log[Self_Qty],T_SelfStock_Log[Part Name],$A8,T_SelfStock_Log[WeekIndex],45))</f>
        <v/>
      </c>
      <c r="AU8" s="17">
        <f>IF(COUNTIFS(T_SelfStock_Log[Part Name],$A8,T_SelfStock_Log[WeekIndex],46)=0,"",SUMIFS(T_SelfStock_Log[Self_Qty],T_SelfStock_Log[Part Name],$A8,T_SelfStock_Log[WeekIndex],46))</f>
        <v/>
      </c>
      <c r="AV8" s="17">
        <f>IF(COUNTIFS(T_SelfStock_Log[Part Name],$A8,T_SelfStock_Log[WeekIndex],47)=0,"",SUMIFS(T_SelfStock_Log[Self_Qty],T_SelfStock_Log[Part Name],$A8,T_SelfStock_Log[WeekIndex],47))</f>
        <v/>
      </c>
      <c r="AW8" s="17">
        <f>IF(COUNTIFS(T_SelfStock_Log[Part Name],$A8,T_SelfStock_Log[WeekIndex],48)=0,"",SUMIFS(T_SelfStock_Log[Self_Qty],T_SelfStock_Log[Part Name],$A8,T_SelfStock_Log[WeekIndex],48))</f>
        <v/>
      </c>
      <c r="AX8" s="17">
        <f>IF(COUNTIFS(T_SelfStock_Log[Part Name],$A8,T_SelfStock_Log[WeekIndex],49)=0,"",SUMIFS(T_SelfStock_Log[Self_Qty],T_SelfStock_Log[Part Name],$A8,T_SelfStock_Log[WeekIndex],49))</f>
        <v/>
      </c>
      <c r="AY8" s="17">
        <f>IF(COUNTIFS(T_SelfStock_Log[Part Name],$A8,T_SelfStock_Log[WeekIndex],50)=0,"",SUMIFS(T_SelfStock_Log[Self_Qty],T_SelfStock_Log[Part Name],$A8,T_SelfStock_Log[WeekIndex],50))</f>
        <v/>
      </c>
      <c r="AZ8" s="17">
        <f>IF(COUNTIFS(T_SelfStock_Log[Part Name],$A8,T_SelfStock_Log[WeekIndex],51)=0,"",SUMIFS(T_SelfStock_Log[Self_Qty],T_SelfStock_Log[Part Name],$A8,T_SelfStock_Log[WeekIndex],51))</f>
        <v/>
      </c>
      <c r="BA8" s="17">
        <f>IF(COUNTIFS(T_SelfStock_Log[Part Name],$A8,T_SelfStock_Log[WeekIndex],52)=0,"",SUMIFS(T_SelfStock_Log[Self_Qty],T_SelfStock_Log[Part Name],$A8,T_SelfStock_Log[WeekIndex],52))</f>
        <v/>
      </c>
      <c r="BB8" s="17">
        <f>IF(COUNTIFS(T_SelfStock_Log[Part Name],$A8,T_SelfStock_Log[WeekIndex],53)=0,"",SUMIFS(T_SelfStock_Log[Self_Qty],T_SelfStock_Log[Part Name],$A8,T_SelfStock_Log[WeekIndex],53))</f>
        <v/>
      </c>
      <c r="BC8" s="17">
        <f>IF(COUNTIFS(T_SelfStock_Log[Part Name],$A8,T_SelfStock_Log[WeekIndex],54)=0,"",SUMIFS(T_SelfStock_Log[Self_Qty],T_SelfStock_Log[Part Name],$A8,T_SelfStock_Log[WeekIndex],54))</f>
        <v/>
      </c>
      <c r="BD8" s="17">
        <f>IF(COUNTIFS(T_SelfStock_Log[Part Name],$A8,T_SelfStock_Log[WeekIndex],55)=0,"",SUMIFS(T_SelfStock_Log[Self_Qty],T_SelfStock_Log[Part Name],$A8,T_SelfStock_Log[WeekIndex],55))</f>
        <v/>
      </c>
      <c r="BE8" s="17">
        <f>IF(COUNTIFS(T_SelfStock_Log[Part Name],$A8,T_SelfStock_Log[WeekIndex],56)=0,"",SUMIFS(T_SelfStock_Log[Self_Qty],T_SelfStock_Log[Part Name],$A8,T_SelfStock_Log[WeekIndex],56))</f>
        <v/>
      </c>
      <c r="BF8" s="17">
        <f>IF(COUNTIFS(T_SelfStock_Log[Part Name],$A8,T_SelfStock_Log[WeekIndex],57)=0,"",SUMIFS(T_SelfStock_Log[Self_Qty],T_SelfStock_Log[Part Name],$A8,T_SelfStock_Log[WeekIndex],57))</f>
        <v/>
      </c>
      <c r="BG8" s="17">
        <f>IF(COUNTIFS(T_SelfStock_Log[Part Name],$A8,T_SelfStock_Log[WeekIndex],58)=0,"",SUMIFS(T_SelfStock_Log[Self_Qty],T_SelfStock_Log[Part Name],$A8,T_SelfStock_Log[WeekIndex],58))</f>
        <v/>
      </c>
      <c r="BH8" s="17">
        <f>IF(COUNTIFS(T_SelfStock_Log[Part Name],$A8,T_SelfStock_Log[WeekIndex],59)=0,"",SUMIFS(T_SelfStock_Log[Self_Qty],T_SelfStock_Log[Part Name],$A8,T_SelfStock_Log[WeekIndex],59))</f>
        <v/>
      </c>
      <c r="BI8" s="17">
        <f>IF(COUNTIFS(T_SelfStock_Log[Part Name],$A8,T_SelfStock_Log[WeekIndex],60)=0,"",SUMIFS(T_SelfStock_Log[Self_Qty],T_SelfStock_Log[Part Name],$A8,T_SelfStock_Log[WeekIndex],60))</f>
        <v/>
      </c>
      <c r="BJ8" s="17">
        <f>IF(COUNTIFS(T_SelfStock_Log[Part Name],$A8,T_SelfStock_Log[WeekIndex],61)=0,"",SUMIFS(T_SelfStock_Log[Self_Qty],T_SelfStock_Log[Part Name],$A8,T_SelfStock_Log[WeekIndex],61))</f>
        <v/>
      </c>
      <c r="BK8" s="17">
        <f>IF(COUNTIFS(T_SelfStock_Log[Part Name],$A8,T_SelfStock_Log[WeekIndex],62)=0,"",SUMIFS(T_SelfStock_Log[Self_Qty],T_SelfStock_Log[Part Name],$A8,T_SelfStock_Log[WeekIndex],62))</f>
        <v/>
      </c>
      <c r="BL8" s="17">
        <f>IF(COUNTIFS(T_SelfStock_Log[Part Name],$A8,T_SelfStock_Log[WeekIndex],63)=0,"",SUMIFS(T_SelfStock_Log[Self_Qty],T_SelfStock_Log[Part Name],$A8,T_SelfStock_Log[WeekIndex],63))</f>
        <v/>
      </c>
      <c r="BM8" s="17">
        <f>IF(COUNTIFS(T_SelfStock_Log[Part Name],$A8,T_SelfStock_Log[WeekIndex],64)=0,"",SUMIFS(T_SelfStock_Log[Self_Qty],T_SelfStock_Log[Part Name],$A8,T_SelfStock_Log[WeekIndex],64))</f>
        <v/>
      </c>
      <c r="BN8" s="17">
        <f>IF(COUNTIFS(T_SelfStock_Log[Part Name],$A8,T_SelfStock_Log[WeekIndex],65)=0,"",SUMIFS(T_SelfStock_Log[Self_Qty],T_SelfStock_Log[Part Name],$A8,T_SelfStock_Log[WeekIndex],65))</f>
        <v/>
      </c>
      <c r="BO8" s="17">
        <f>IF(COUNTIFS(T_SelfStock_Log[Part Name],$A8,T_SelfStock_Log[WeekIndex],66)=0,"",SUMIFS(T_SelfStock_Log[Self_Qty],T_SelfStock_Log[Part Name],$A8,T_SelfStock_Log[WeekIndex],66))</f>
        <v/>
      </c>
      <c r="BP8" s="17">
        <f>IF(COUNTIFS(T_SelfStock_Log[Part Name],$A8,T_SelfStock_Log[WeekIndex],67)=0,"",SUMIFS(T_SelfStock_Log[Self_Qty],T_SelfStock_Log[Part Name],$A8,T_SelfStock_Log[WeekIndex],67))</f>
        <v/>
      </c>
      <c r="BQ8" s="17">
        <f>IF(COUNTIFS(T_SelfStock_Log[Part Name],$A8,T_SelfStock_Log[WeekIndex],68)=0,"",SUMIFS(T_SelfStock_Log[Self_Qty],T_SelfStock_Log[Part Name],$A8,T_SelfStock_Log[WeekIndex],68))</f>
        <v/>
      </c>
      <c r="BR8" s="17">
        <f>IF(COUNTIFS(T_SelfStock_Log[Part Name],$A8,T_SelfStock_Log[WeekIndex],69)=0,"",SUMIFS(T_SelfStock_Log[Self_Qty],T_SelfStock_Log[Part Name],$A8,T_SelfStock_Log[WeekIndex],69))</f>
        <v/>
      </c>
      <c r="BS8" s="17">
        <f>IF(COUNTIFS(T_SelfStock_Log[Part Name],$A8,T_SelfStock_Log[WeekIndex],70)=0,"",SUMIFS(T_SelfStock_Log[Self_Qty],T_SelfStock_Log[Part Name],$A8,T_SelfStock_Log[WeekIndex],70))</f>
        <v/>
      </c>
      <c r="BT8" s="17">
        <f>IF(COUNTIFS(T_SelfStock_Log[Part Name],$A8,T_SelfStock_Log[WeekIndex],71)=0,"",SUMIFS(T_SelfStock_Log[Self_Qty],T_SelfStock_Log[Part Name],$A8,T_SelfStock_Log[WeekIndex],71))</f>
        <v/>
      </c>
      <c r="BU8" s="17">
        <f>IF(COUNTIFS(T_SelfStock_Log[Part Name],$A8,T_SelfStock_Log[WeekIndex],72)=0,"",SUMIFS(T_SelfStock_Log[Self_Qty],T_SelfStock_Log[Part Name],$A8,T_SelfStock_Log[WeekIndex],72))</f>
        <v/>
      </c>
      <c r="BV8" s="17">
        <f>IF(COUNTIFS(T_SelfStock_Log[Part Name],$A8,T_SelfStock_Log[WeekIndex],73)=0,"",SUMIFS(T_SelfStock_Log[Self_Qty],T_SelfStock_Log[Part Name],$A8,T_SelfStock_Log[WeekIndex],73))</f>
        <v/>
      </c>
      <c r="BW8" s="17">
        <f>IF(COUNTIFS(T_SelfStock_Log[Part Name],$A8,T_SelfStock_Log[WeekIndex],74)=0,"",SUMIFS(T_SelfStock_Log[Self_Qty],T_SelfStock_Log[Part Name],$A8,T_SelfStock_Log[WeekIndex],74))</f>
        <v/>
      </c>
      <c r="BX8" s="17">
        <f>IF(COUNTIFS(T_SelfStock_Log[Part Name],$A8,T_SelfStock_Log[WeekIndex],75)=0,"",SUMIFS(T_SelfStock_Log[Self_Qty],T_SelfStock_Log[Part Name],$A8,T_SelfStock_Log[WeekIndex],75))</f>
        <v/>
      </c>
      <c r="BY8" s="17">
        <f>IF(COUNTIFS(T_SelfStock_Log[Part Name],$A8,T_SelfStock_Log[WeekIndex],76)=0,"",SUMIFS(T_SelfStock_Log[Self_Qty],T_SelfStock_Log[Part Name],$A8,T_SelfStock_Log[WeekIndex],76))</f>
        <v/>
      </c>
      <c r="BZ8" s="17">
        <f>IF(COUNTIFS(T_SelfStock_Log[Part Name],$A8,T_SelfStock_Log[WeekIndex],77)=0,"",SUMIFS(T_SelfStock_Log[Self_Qty],T_SelfStock_Log[Part Name],$A8,T_SelfStock_Log[WeekIndex],77))</f>
        <v/>
      </c>
      <c r="CA8" s="17">
        <f>IF(COUNTIFS(T_SelfStock_Log[Part Name],$A8,T_SelfStock_Log[WeekIndex],78)=0,"",SUMIFS(T_SelfStock_Log[Self_Qty],T_SelfStock_Log[Part Name],$A8,T_SelfStock_Log[WeekIndex],78))</f>
        <v/>
      </c>
      <c r="CB8" s="17">
        <f>IF(COUNTIFS(T_SelfStock_Log[Part Name],$A8,T_SelfStock_Log[WeekIndex],79)=0,"",SUMIFS(T_SelfStock_Log[Self_Qty],T_SelfStock_Log[Part Name],$A8,T_SelfStock_Log[WeekIndex],79))</f>
        <v/>
      </c>
      <c r="CC8" s="17">
        <f>IF(COUNTIFS(T_SelfStock_Log[Part Name],$A8,T_SelfStock_Log[WeekIndex],80)=0,"",SUMIFS(T_SelfStock_Log[Self_Qty],T_SelfStock_Log[Part Name],$A8,T_SelfStock_Log[WeekIndex],80))</f>
        <v/>
      </c>
      <c r="CD8" s="17">
        <f>IF(COUNTIFS(T_SelfStock_Log[Part Name],$A8,T_SelfStock_Log[WeekIndex],81)=0,"",SUMIFS(T_SelfStock_Log[Self_Qty],T_SelfStock_Log[Part Name],$A8,T_SelfStock_Log[WeekIndex],81))</f>
        <v/>
      </c>
      <c r="CE8" s="17">
        <f>IF(COUNTIFS(T_SelfStock_Log[Part Name],$A8,T_SelfStock_Log[WeekIndex],82)=0,"",SUMIFS(T_SelfStock_Log[Self_Qty],T_SelfStock_Log[Part Name],$A8,T_SelfStock_Log[WeekIndex],82))</f>
        <v/>
      </c>
      <c r="CF8" s="17">
        <f>IF(COUNTIFS(T_SelfStock_Log[Part Name],$A8,T_SelfStock_Log[WeekIndex],83)=0,"",SUMIFS(T_SelfStock_Log[Self_Qty],T_SelfStock_Log[Part Name],$A8,T_SelfStock_Log[WeekIndex],83))</f>
        <v/>
      </c>
      <c r="CG8" s="17">
        <f>IF(COUNTIFS(T_SelfStock_Log[Part Name],$A8,T_SelfStock_Log[WeekIndex],84)=0,"",SUMIFS(T_SelfStock_Log[Self_Qty],T_SelfStock_Log[Part Name],$A8,T_SelfStock_Log[WeekIndex],84))</f>
        <v/>
      </c>
      <c r="CH8" s="17">
        <f>IF(COUNTIFS(T_SelfStock_Log[Part Name],$A8,T_SelfStock_Log[WeekIndex],85)=0,"",SUMIFS(T_SelfStock_Log[Self_Qty],T_SelfStock_Log[Part Name],$A8,T_SelfStock_Log[WeekIndex],85))</f>
        <v/>
      </c>
      <c r="CI8" s="17">
        <f>IF(COUNTIFS(T_SelfStock_Log[Part Name],$A8,T_SelfStock_Log[WeekIndex],86)=0,"",SUMIFS(T_SelfStock_Log[Self_Qty],T_SelfStock_Log[Part Name],$A8,T_SelfStock_Log[WeekIndex],86))</f>
        <v/>
      </c>
      <c r="CJ8" s="17">
        <f>IF(COUNTIFS(T_SelfStock_Log[Part Name],$A8,T_SelfStock_Log[WeekIndex],87)=0,"",SUMIFS(T_SelfStock_Log[Self_Qty],T_SelfStock_Log[Part Name],$A8,T_SelfStock_Log[WeekIndex],87))</f>
        <v/>
      </c>
      <c r="CK8" s="17">
        <f>IF(COUNTIFS(T_SelfStock_Log[Part Name],$A8,T_SelfStock_Log[WeekIndex],88)=0,"",SUMIFS(T_SelfStock_Log[Self_Qty],T_SelfStock_Log[Part Name],$A8,T_SelfStock_Log[WeekIndex],88))</f>
        <v/>
      </c>
      <c r="CL8" s="17">
        <f>IF(COUNTIFS(T_SelfStock_Log[Part Name],$A8,T_SelfStock_Log[WeekIndex],89)=0,"",SUMIFS(T_SelfStock_Log[Self_Qty],T_SelfStock_Log[Part Name],$A8,T_SelfStock_Log[WeekIndex],89))</f>
        <v/>
      </c>
      <c r="CM8" s="17">
        <f>IF(COUNTIFS(T_SelfStock_Log[Part Name],$A8,T_SelfStock_Log[WeekIndex],90)=0,"",SUMIFS(T_SelfStock_Log[Self_Qty],T_SelfStock_Log[Part Name],$A8,T_SelfStock_Log[WeekIndex],90))</f>
        <v/>
      </c>
      <c r="CN8" s="17">
        <f>IF(COUNTIFS(T_SelfStock_Log[Part Name],$A8,T_SelfStock_Log[WeekIndex],91)=0,"",SUMIFS(T_SelfStock_Log[Self_Qty],T_SelfStock_Log[Part Name],$A8,T_SelfStock_Log[WeekIndex],91))</f>
        <v/>
      </c>
      <c r="CO8" s="17">
        <f>IF(COUNTIFS(T_SelfStock_Log[Part Name],$A8,T_SelfStock_Log[WeekIndex],92)=0,"",SUMIFS(T_SelfStock_Log[Self_Qty],T_SelfStock_Log[Part Name],$A8,T_SelfStock_Log[WeekIndex],92))</f>
        <v/>
      </c>
      <c r="CP8" s="17">
        <f>IF(COUNTIFS(T_SelfStock_Log[Part Name],$A8,T_SelfStock_Log[WeekIndex],93)=0,"",SUMIFS(T_SelfStock_Log[Self_Qty],T_SelfStock_Log[Part Name],$A8,T_SelfStock_Log[WeekIndex],93))</f>
        <v/>
      </c>
      <c r="CQ8" s="17">
        <f>IF(COUNTIFS(T_SelfStock_Log[Part Name],$A8,T_SelfStock_Log[WeekIndex],94)=0,"",SUMIFS(T_SelfStock_Log[Self_Qty],T_SelfStock_Log[Part Name],$A8,T_SelfStock_Log[WeekIndex],94))</f>
        <v/>
      </c>
      <c r="CR8" s="17">
        <f>IF(COUNTIFS(T_SelfStock_Log[Part Name],$A8,T_SelfStock_Log[WeekIndex],95)=0,"",SUMIFS(T_SelfStock_Log[Self_Qty],T_SelfStock_Log[Part Name],$A8,T_SelfStock_Log[WeekIndex],95))</f>
        <v/>
      </c>
      <c r="CS8" s="17">
        <f>IF(COUNTIFS(T_SelfStock_Log[Part Name],$A8,T_SelfStock_Log[WeekIndex],96)=0,"",SUMIFS(T_SelfStock_Log[Self_Qty],T_SelfStock_Log[Part Name],$A8,T_SelfStock_Log[WeekIndex],96))</f>
        <v/>
      </c>
      <c r="CT8" s="17">
        <f>IF(COUNTIFS(T_SelfStock_Log[Part Name],$A8,T_SelfStock_Log[WeekIndex],97)=0,"",SUMIFS(T_SelfStock_Log[Self_Qty],T_SelfStock_Log[Part Name],$A8,T_SelfStock_Log[WeekIndex],97))</f>
        <v/>
      </c>
      <c r="CU8" s="17">
        <f>IF(COUNTIFS(T_SelfStock_Log[Part Name],$A8,T_SelfStock_Log[WeekIndex],98)=0,"",SUMIFS(T_SelfStock_Log[Self_Qty],T_SelfStock_Log[Part Name],$A8,T_SelfStock_Log[WeekIndex],98))</f>
        <v/>
      </c>
      <c r="CV8" s="17">
        <f>IF(COUNTIFS(T_SelfStock_Log[Part Name],$A8,T_SelfStock_Log[WeekIndex],99)=0,"",SUMIFS(T_SelfStock_Log[Self_Qty],T_SelfStock_Log[Part Name],$A8,T_SelfStock_Log[WeekIndex],99))</f>
        <v/>
      </c>
      <c r="CW8" s="17">
        <f>IF(COUNTIFS(T_SelfStock_Log[Part Name],$A8,T_SelfStock_Log[WeekIndex],100)=0,"",SUMIFS(T_SelfStock_Log[Self_Qty],T_SelfStock_Log[Part Name],$A8,T_SelfStock_Log[WeekIndex],100))</f>
        <v/>
      </c>
      <c r="CX8" s="17">
        <f>IF(COUNTIFS(T_SelfStock_Log[Part Name],$A8,T_SelfStock_Log[WeekIndex],101)=0,"",SUMIFS(T_SelfStock_Log[Self_Qty],T_SelfStock_Log[Part Name],$A8,T_SelfStock_Log[WeekIndex],101))</f>
        <v/>
      </c>
      <c r="CY8" s="17">
        <f>IF(COUNTIFS(T_SelfStock_Log[Part Name],$A8,T_SelfStock_Log[WeekIndex],102)=0,"",SUMIFS(T_SelfStock_Log[Self_Qty],T_SelfStock_Log[Part Name],$A8,T_SelfStock_Log[WeekIndex],102))</f>
        <v/>
      </c>
      <c r="CZ8" s="17">
        <f>IF(COUNTIFS(T_SelfStock_Log[Part Name],$A8,T_SelfStock_Log[WeekIndex],103)=0,"",SUMIFS(T_SelfStock_Log[Self_Qty],T_SelfStock_Log[Part Name],$A8,T_SelfStock_Log[WeekIndex],103))</f>
        <v/>
      </c>
      <c r="DA8" s="17">
        <f>IF(COUNTIFS(T_SelfStock_Log[Part Name],$A8,T_SelfStock_Log[WeekIndex],104)=0,"",SUMIFS(T_SelfStock_Log[Self_Qty],T_SelfStock_Log[Part Name],$A8,T_SelfStock_Log[WeekIndex],104))</f>
        <v/>
      </c>
    </row>
    <row r="9">
      <c r="A9" s="19" t="inlineStr">
        <is>
          <t>9RN</t>
        </is>
      </c>
      <c r="B9" s="19">
        <f>IF(COUNTIFS(T_SelfStock_Log[Part Name],$A9,T_SelfStock_Log[WeekIndex],1)=0,"",SUMIFS(T_SelfStock_Log[Self_Qty],T_SelfStock_Log[Part Name],$A9,T_SelfStock_Log[WeekIndex],1))</f>
        <v/>
      </c>
      <c r="C9" s="19">
        <f>IF(COUNTIFS(T_SelfStock_Log[Part Name],$A9,T_SelfStock_Log[WeekIndex],2)=0,"",SUMIFS(T_SelfStock_Log[Self_Qty],T_SelfStock_Log[Part Name],$A9,T_SelfStock_Log[WeekIndex],2))</f>
        <v/>
      </c>
      <c r="D9" s="19">
        <f>IF(COUNTIFS(T_SelfStock_Log[Part Name],$A9,T_SelfStock_Log[WeekIndex],3)=0,"",SUMIFS(T_SelfStock_Log[Self_Qty],T_SelfStock_Log[Part Name],$A9,T_SelfStock_Log[WeekIndex],3))</f>
        <v/>
      </c>
      <c r="E9" s="19">
        <f>IF(COUNTIFS(T_SelfStock_Log[Part Name],$A9,T_SelfStock_Log[WeekIndex],4)=0,"",SUMIFS(T_SelfStock_Log[Self_Qty],T_SelfStock_Log[Part Name],$A9,T_SelfStock_Log[WeekIndex],4))</f>
        <v/>
      </c>
      <c r="F9" s="19">
        <f>IF(COUNTIFS(T_SelfStock_Log[Part Name],$A9,T_SelfStock_Log[WeekIndex],5)=0,"",SUMIFS(T_SelfStock_Log[Self_Qty],T_SelfStock_Log[Part Name],$A9,T_SelfStock_Log[WeekIndex],5))</f>
        <v/>
      </c>
      <c r="G9" s="19">
        <f>IF(COUNTIFS(T_SelfStock_Log[Part Name],$A9,T_SelfStock_Log[WeekIndex],6)=0,"",SUMIFS(T_SelfStock_Log[Self_Qty],T_SelfStock_Log[Part Name],$A9,T_SelfStock_Log[WeekIndex],6))</f>
        <v/>
      </c>
      <c r="H9" s="19">
        <f>IF(COUNTIFS(T_SelfStock_Log[Part Name],$A9,T_SelfStock_Log[WeekIndex],7)=0,"",SUMIFS(T_SelfStock_Log[Self_Qty],T_SelfStock_Log[Part Name],$A9,T_SelfStock_Log[WeekIndex],7))</f>
        <v/>
      </c>
      <c r="I9" s="19">
        <f>IF(COUNTIFS(T_SelfStock_Log[Part Name],$A9,T_SelfStock_Log[WeekIndex],8)=0,"",SUMIFS(T_SelfStock_Log[Self_Qty],T_SelfStock_Log[Part Name],$A9,T_SelfStock_Log[WeekIndex],8))</f>
        <v/>
      </c>
      <c r="J9" s="19">
        <f>IF(COUNTIFS(T_SelfStock_Log[Part Name],$A9,T_SelfStock_Log[WeekIndex],9)=0,"",SUMIFS(T_SelfStock_Log[Self_Qty],T_SelfStock_Log[Part Name],$A9,T_SelfStock_Log[WeekIndex],9))</f>
        <v/>
      </c>
      <c r="K9" s="19">
        <f>IF(COUNTIFS(T_SelfStock_Log[Part Name],$A9,T_SelfStock_Log[WeekIndex],10)=0,"",SUMIFS(T_SelfStock_Log[Self_Qty],T_SelfStock_Log[Part Name],$A9,T_SelfStock_Log[WeekIndex],10))</f>
        <v/>
      </c>
      <c r="L9" s="19">
        <f>IF(COUNTIFS(T_SelfStock_Log[Part Name],$A9,T_SelfStock_Log[WeekIndex],11)=0,"",SUMIFS(T_SelfStock_Log[Self_Qty],T_SelfStock_Log[Part Name],$A9,T_SelfStock_Log[WeekIndex],11))</f>
        <v/>
      </c>
      <c r="M9" s="19">
        <f>IF(COUNTIFS(T_SelfStock_Log[Part Name],$A9,T_SelfStock_Log[WeekIndex],12)=0,"",SUMIFS(T_SelfStock_Log[Self_Qty],T_SelfStock_Log[Part Name],$A9,T_SelfStock_Log[WeekIndex],12))</f>
        <v/>
      </c>
      <c r="N9" s="19">
        <f>IF(COUNTIFS(T_SelfStock_Log[Part Name],$A9,T_SelfStock_Log[WeekIndex],13)=0,"",SUMIFS(T_SelfStock_Log[Self_Qty],T_SelfStock_Log[Part Name],$A9,T_SelfStock_Log[WeekIndex],13))</f>
        <v/>
      </c>
      <c r="O9" s="19">
        <f>IF(COUNTIFS(T_SelfStock_Log[Part Name],$A9,T_SelfStock_Log[WeekIndex],14)=0,"",SUMIFS(T_SelfStock_Log[Self_Qty],T_SelfStock_Log[Part Name],$A9,T_SelfStock_Log[WeekIndex],14))</f>
        <v/>
      </c>
      <c r="P9" s="19">
        <f>IF(COUNTIFS(T_SelfStock_Log[Part Name],$A9,T_SelfStock_Log[WeekIndex],15)=0,"",SUMIFS(T_SelfStock_Log[Self_Qty],T_SelfStock_Log[Part Name],$A9,T_SelfStock_Log[WeekIndex],15))</f>
        <v/>
      </c>
      <c r="Q9" s="19">
        <f>IF(COUNTIFS(T_SelfStock_Log[Part Name],$A9,T_SelfStock_Log[WeekIndex],16)=0,"",SUMIFS(T_SelfStock_Log[Self_Qty],T_SelfStock_Log[Part Name],$A9,T_SelfStock_Log[WeekIndex],16))</f>
        <v/>
      </c>
      <c r="R9" s="19">
        <f>IF(COUNTIFS(T_SelfStock_Log[Part Name],$A9,T_SelfStock_Log[WeekIndex],17)=0,"",SUMIFS(T_SelfStock_Log[Self_Qty],T_SelfStock_Log[Part Name],$A9,T_SelfStock_Log[WeekIndex],17))</f>
        <v/>
      </c>
      <c r="S9" s="19">
        <f>IF(COUNTIFS(T_SelfStock_Log[Part Name],$A9,T_SelfStock_Log[WeekIndex],18)=0,"",SUMIFS(T_SelfStock_Log[Self_Qty],T_SelfStock_Log[Part Name],$A9,T_SelfStock_Log[WeekIndex],18))</f>
        <v/>
      </c>
      <c r="T9" s="19">
        <f>IF(COUNTIFS(T_SelfStock_Log[Part Name],$A9,T_SelfStock_Log[WeekIndex],19)=0,"",SUMIFS(T_SelfStock_Log[Self_Qty],T_SelfStock_Log[Part Name],$A9,T_SelfStock_Log[WeekIndex],19))</f>
        <v/>
      </c>
      <c r="U9" s="19">
        <f>IF(COUNTIFS(T_SelfStock_Log[Part Name],$A9,T_SelfStock_Log[WeekIndex],20)=0,"",SUMIFS(T_SelfStock_Log[Self_Qty],T_SelfStock_Log[Part Name],$A9,T_SelfStock_Log[WeekIndex],20))</f>
        <v/>
      </c>
      <c r="V9" s="19">
        <f>IF(COUNTIFS(T_SelfStock_Log[Part Name],$A9,T_SelfStock_Log[WeekIndex],21)=0,"",SUMIFS(T_SelfStock_Log[Self_Qty],T_SelfStock_Log[Part Name],$A9,T_SelfStock_Log[WeekIndex],21))</f>
        <v/>
      </c>
      <c r="W9" s="19">
        <f>IF(COUNTIFS(T_SelfStock_Log[Part Name],$A9,T_SelfStock_Log[WeekIndex],22)=0,"",SUMIFS(T_SelfStock_Log[Self_Qty],T_SelfStock_Log[Part Name],$A9,T_SelfStock_Log[WeekIndex],22))</f>
        <v/>
      </c>
      <c r="X9" s="19">
        <f>IF(COUNTIFS(T_SelfStock_Log[Part Name],$A9,T_SelfStock_Log[WeekIndex],23)=0,"",SUMIFS(T_SelfStock_Log[Self_Qty],T_SelfStock_Log[Part Name],$A9,T_SelfStock_Log[WeekIndex],23))</f>
        <v/>
      </c>
      <c r="Y9" s="19">
        <f>IF(COUNTIFS(T_SelfStock_Log[Part Name],$A9,T_SelfStock_Log[WeekIndex],24)=0,"",SUMIFS(T_SelfStock_Log[Self_Qty],T_SelfStock_Log[Part Name],$A9,T_SelfStock_Log[WeekIndex],24))</f>
        <v/>
      </c>
      <c r="Z9" s="19">
        <f>IF(COUNTIFS(T_SelfStock_Log[Part Name],$A9,T_SelfStock_Log[WeekIndex],25)=0,"",SUMIFS(T_SelfStock_Log[Self_Qty],T_SelfStock_Log[Part Name],$A9,T_SelfStock_Log[WeekIndex],25))</f>
        <v/>
      </c>
      <c r="AA9" s="19">
        <f>IF(COUNTIFS(T_SelfStock_Log[Part Name],$A9,T_SelfStock_Log[WeekIndex],26)=0,"",SUMIFS(T_SelfStock_Log[Self_Qty],T_SelfStock_Log[Part Name],$A9,T_SelfStock_Log[WeekIndex],26))</f>
        <v/>
      </c>
      <c r="AB9" s="19">
        <f>IF(COUNTIFS(T_SelfStock_Log[Part Name],$A9,T_SelfStock_Log[WeekIndex],27)=0,"",SUMIFS(T_SelfStock_Log[Self_Qty],T_SelfStock_Log[Part Name],$A9,T_SelfStock_Log[WeekIndex],27))</f>
        <v/>
      </c>
      <c r="AC9" s="19">
        <f>IF(COUNTIFS(T_SelfStock_Log[Part Name],$A9,T_SelfStock_Log[WeekIndex],28)=0,"",SUMIFS(T_SelfStock_Log[Self_Qty],T_SelfStock_Log[Part Name],$A9,T_SelfStock_Log[WeekIndex],28))</f>
        <v/>
      </c>
      <c r="AD9" s="19">
        <f>IF(COUNTIFS(T_SelfStock_Log[Part Name],$A9,T_SelfStock_Log[WeekIndex],29)=0,"",SUMIFS(T_SelfStock_Log[Self_Qty],T_SelfStock_Log[Part Name],$A9,T_SelfStock_Log[WeekIndex],29))</f>
        <v/>
      </c>
      <c r="AE9" s="19">
        <f>IF(COUNTIFS(T_SelfStock_Log[Part Name],$A9,T_SelfStock_Log[WeekIndex],30)=0,"",SUMIFS(T_SelfStock_Log[Self_Qty],T_SelfStock_Log[Part Name],$A9,T_SelfStock_Log[WeekIndex],30))</f>
        <v/>
      </c>
      <c r="AF9" s="19">
        <f>IF(COUNTIFS(T_SelfStock_Log[Part Name],$A9,T_SelfStock_Log[WeekIndex],31)=0,"",SUMIFS(T_SelfStock_Log[Self_Qty],T_SelfStock_Log[Part Name],$A9,T_SelfStock_Log[WeekIndex],31))</f>
        <v/>
      </c>
      <c r="AG9" s="19">
        <f>IF(COUNTIFS(T_SelfStock_Log[Part Name],$A9,T_SelfStock_Log[WeekIndex],32)=0,"",SUMIFS(T_SelfStock_Log[Self_Qty],T_SelfStock_Log[Part Name],$A9,T_SelfStock_Log[WeekIndex],32))</f>
        <v/>
      </c>
      <c r="AH9" s="19">
        <f>IF(COUNTIFS(T_SelfStock_Log[Part Name],$A9,T_SelfStock_Log[WeekIndex],33)=0,"",SUMIFS(T_SelfStock_Log[Self_Qty],T_SelfStock_Log[Part Name],$A9,T_SelfStock_Log[WeekIndex],33))</f>
        <v/>
      </c>
      <c r="AI9" s="19">
        <f>IF(COUNTIFS(T_SelfStock_Log[Part Name],$A9,T_SelfStock_Log[WeekIndex],34)=0,"",SUMIFS(T_SelfStock_Log[Self_Qty],T_SelfStock_Log[Part Name],$A9,T_SelfStock_Log[WeekIndex],34))</f>
        <v/>
      </c>
      <c r="AJ9" s="19">
        <f>IF(COUNTIFS(T_SelfStock_Log[Part Name],$A9,T_SelfStock_Log[WeekIndex],35)=0,"",SUMIFS(T_SelfStock_Log[Self_Qty],T_SelfStock_Log[Part Name],$A9,T_SelfStock_Log[WeekIndex],35))</f>
        <v/>
      </c>
      <c r="AK9" s="19">
        <f>IF(COUNTIFS(T_SelfStock_Log[Part Name],$A9,T_SelfStock_Log[WeekIndex],36)=0,"",SUMIFS(T_SelfStock_Log[Self_Qty],T_SelfStock_Log[Part Name],$A9,T_SelfStock_Log[WeekIndex],36))</f>
        <v/>
      </c>
      <c r="AL9" s="19">
        <f>IF(COUNTIFS(T_SelfStock_Log[Part Name],$A9,T_SelfStock_Log[WeekIndex],37)=0,"",SUMIFS(T_SelfStock_Log[Self_Qty],T_SelfStock_Log[Part Name],$A9,T_SelfStock_Log[WeekIndex],37))</f>
        <v/>
      </c>
      <c r="AM9" s="19">
        <f>IF(COUNTIFS(T_SelfStock_Log[Part Name],$A9,T_SelfStock_Log[WeekIndex],38)=0,"",SUMIFS(T_SelfStock_Log[Self_Qty],T_SelfStock_Log[Part Name],$A9,T_SelfStock_Log[WeekIndex],38))</f>
        <v/>
      </c>
      <c r="AN9" s="19">
        <f>IF(COUNTIFS(T_SelfStock_Log[Part Name],$A9,T_SelfStock_Log[WeekIndex],39)=0,"",SUMIFS(T_SelfStock_Log[Self_Qty],T_SelfStock_Log[Part Name],$A9,T_SelfStock_Log[WeekIndex],39))</f>
        <v/>
      </c>
      <c r="AO9" s="19">
        <f>IF(COUNTIFS(T_SelfStock_Log[Part Name],$A9,T_SelfStock_Log[WeekIndex],40)=0,"",SUMIFS(T_SelfStock_Log[Self_Qty],T_SelfStock_Log[Part Name],$A9,T_SelfStock_Log[WeekIndex],40))</f>
        <v/>
      </c>
      <c r="AP9" s="19">
        <f>IF(COUNTIFS(T_SelfStock_Log[Part Name],$A9,T_SelfStock_Log[WeekIndex],41)=0,"",SUMIFS(T_SelfStock_Log[Self_Qty],T_SelfStock_Log[Part Name],$A9,T_SelfStock_Log[WeekIndex],41))</f>
        <v/>
      </c>
      <c r="AQ9" s="19">
        <f>IF(COUNTIFS(T_SelfStock_Log[Part Name],$A9,T_SelfStock_Log[WeekIndex],42)=0,"",SUMIFS(T_SelfStock_Log[Self_Qty],T_SelfStock_Log[Part Name],$A9,T_SelfStock_Log[WeekIndex],42))</f>
        <v/>
      </c>
      <c r="AR9" s="19">
        <f>IF(COUNTIFS(T_SelfStock_Log[Part Name],$A9,T_SelfStock_Log[WeekIndex],43)=0,"",SUMIFS(T_SelfStock_Log[Self_Qty],T_SelfStock_Log[Part Name],$A9,T_SelfStock_Log[WeekIndex],43))</f>
        <v/>
      </c>
      <c r="AS9" s="19">
        <f>IF(COUNTIFS(T_SelfStock_Log[Part Name],$A9,T_SelfStock_Log[WeekIndex],44)=0,"",SUMIFS(T_SelfStock_Log[Self_Qty],T_SelfStock_Log[Part Name],$A9,T_SelfStock_Log[WeekIndex],44))</f>
        <v/>
      </c>
      <c r="AT9" s="19">
        <f>IF(COUNTIFS(T_SelfStock_Log[Part Name],$A9,T_SelfStock_Log[WeekIndex],45)=0,"",SUMIFS(T_SelfStock_Log[Self_Qty],T_SelfStock_Log[Part Name],$A9,T_SelfStock_Log[WeekIndex],45))</f>
        <v/>
      </c>
      <c r="AU9" s="19">
        <f>IF(COUNTIFS(T_SelfStock_Log[Part Name],$A9,T_SelfStock_Log[WeekIndex],46)=0,"",SUMIFS(T_SelfStock_Log[Self_Qty],T_SelfStock_Log[Part Name],$A9,T_SelfStock_Log[WeekIndex],46))</f>
        <v/>
      </c>
      <c r="AV9" s="19">
        <f>IF(COUNTIFS(T_SelfStock_Log[Part Name],$A9,T_SelfStock_Log[WeekIndex],47)=0,"",SUMIFS(T_SelfStock_Log[Self_Qty],T_SelfStock_Log[Part Name],$A9,T_SelfStock_Log[WeekIndex],47))</f>
        <v/>
      </c>
      <c r="AW9" s="19">
        <f>IF(COUNTIFS(T_SelfStock_Log[Part Name],$A9,T_SelfStock_Log[WeekIndex],48)=0,"",SUMIFS(T_SelfStock_Log[Self_Qty],T_SelfStock_Log[Part Name],$A9,T_SelfStock_Log[WeekIndex],48))</f>
        <v/>
      </c>
      <c r="AX9" s="19">
        <f>IF(COUNTIFS(T_SelfStock_Log[Part Name],$A9,T_SelfStock_Log[WeekIndex],49)=0,"",SUMIFS(T_SelfStock_Log[Self_Qty],T_SelfStock_Log[Part Name],$A9,T_SelfStock_Log[WeekIndex],49))</f>
        <v/>
      </c>
      <c r="AY9" s="19">
        <f>IF(COUNTIFS(T_SelfStock_Log[Part Name],$A9,T_SelfStock_Log[WeekIndex],50)=0,"",SUMIFS(T_SelfStock_Log[Self_Qty],T_SelfStock_Log[Part Name],$A9,T_SelfStock_Log[WeekIndex],50))</f>
        <v/>
      </c>
      <c r="AZ9" s="19">
        <f>IF(COUNTIFS(T_SelfStock_Log[Part Name],$A9,T_SelfStock_Log[WeekIndex],51)=0,"",SUMIFS(T_SelfStock_Log[Self_Qty],T_SelfStock_Log[Part Name],$A9,T_SelfStock_Log[WeekIndex],51))</f>
        <v/>
      </c>
      <c r="BA9" s="19">
        <f>IF(COUNTIFS(T_SelfStock_Log[Part Name],$A9,T_SelfStock_Log[WeekIndex],52)=0,"",SUMIFS(T_SelfStock_Log[Self_Qty],T_SelfStock_Log[Part Name],$A9,T_SelfStock_Log[WeekIndex],52))</f>
        <v/>
      </c>
      <c r="BB9" s="19">
        <f>IF(COUNTIFS(T_SelfStock_Log[Part Name],$A9,T_SelfStock_Log[WeekIndex],53)=0,"",SUMIFS(T_SelfStock_Log[Self_Qty],T_SelfStock_Log[Part Name],$A9,T_SelfStock_Log[WeekIndex],53))</f>
        <v/>
      </c>
      <c r="BC9" s="19">
        <f>IF(COUNTIFS(T_SelfStock_Log[Part Name],$A9,T_SelfStock_Log[WeekIndex],54)=0,"",SUMIFS(T_SelfStock_Log[Self_Qty],T_SelfStock_Log[Part Name],$A9,T_SelfStock_Log[WeekIndex],54))</f>
        <v/>
      </c>
      <c r="BD9" s="19">
        <f>IF(COUNTIFS(T_SelfStock_Log[Part Name],$A9,T_SelfStock_Log[WeekIndex],55)=0,"",SUMIFS(T_SelfStock_Log[Self_Qty],T_SelfStock_Log[Part Name],$A9,T_SelfStock_Log[WeekIndex],55))</f>
        <v/>
      </c>
      <c r="BE9" s="19">
        <f>IF(COUNTIFS(T_SelfStock_Log[Part Name],$A9,T_SelfStock_Log[WeekIndex],56)=0,"",SUMIFS(T_SelfStock_Log[Self_Qty],T_SelfStock_Log[Part Name],$A9,T_SelfStock_Log[WeekIndex],56))</f>
        <v/>
      </c>
      <c r="BF9" s="19">
        <f>IF(COUNTIFS(T_SelfStock_Log[Part Name],$A9,T_SelfStock_Log[WeekIndex],57)=0,"",SUMIFS(T_SelfStock_Log[Self_Qty],T_SelfStock_Log[Part Name],$A9,T_SelfStock_Log[WeekIndex],57))</f>
        <v/>
      </c>
      <c r="BG9" s="19">
        <f>IF(COUNTIFS(T_SelfStock_Log[Part Name],$A9,T_SelfStock_Log[WeekIndex],58)=0,"",SUMIFS(T_SelfStock_Log[Self_Qty],T_SelfStock_Log[Part Name],$A9,T_SelfStock_Log[WeekIndex],58))</f>
        <v/>
      </c>
      <c r="BH9" s="19">
        <f>IF(COUNTIFS(T_SelfStock_Log[Part Name],$A9,T_SelfStock_Log[WeekIndex],59)=0,"",SUMIFS(T_SelfStock_Log[Self_Qty],T_SelfStock_Log[Part Name],$A9,T_SelfStock_Log[WeekIndex],59))</f>
        <v/>
      </c>
      <c r="BI9" s="19">
        <f>IF(COUNTIFS(T_SelfStock_Log[Part Name],$A9,T_SelfStock_Log[WeekIndex],60)=0,"",SUMIFS(T_SelfStock_Log[Self_Qty],T_SelfStock_Log[Part Name],$A9,T_SelfStock_Log[WeekIndex],60))</f>
        <v/>
      </c>
      <c r="BJ9" s="19">
        <f>IF(COUNTIFS(T_SelfStock_Log[Part Name],$A9,T_SelfStock_Log[WeekIndex],61)=0,"",SUMIFS(T_SelfStock_Log[Self_Qty],T_SelfStock_Log[Part Name],$A9,T_SelfStock_Log[WeekIndex],61))</f>
        <v/>
      </c>
      <c r="BK9" s="19">
        <f>IF(COUNTIFS(T_SelfStock_Log[Part Name],$A9,T_SelfStock_Log[WeekIndex],62)=0,"",SUMIFS(T_SelfStock_Log[Self_Qty],T_SelfStock_Log[Part Name],$A9,T_SelfStock_Log[WeekIndex],62))</f>
        <v/>
      </c>
      <c r="BL9" s="19">
        <f>IF(COUNTIFS(T_SelfStock_Log[Part Name],$A9,T_SelfStock_Log[WeekIndex],63)=0,"",SUMIFS(T_SelfStock_Log[Self_Qty],T_SelfStock_Log[Part Name],$A9,T_SelfStock_Log[WeekIndex],63))</f>
        <v/>
      </c>
      <c r="BM9" s="19">
        <f>IF(COUNTIFS(T_SelfStock_Log[Part Name],$A9,T_SelfStock_Log[WeekIndex],64)=0,"",SUMIFS(T_SelfStock_Log[Self_Qty],T_SelfStock_Log[Part Name],$A9,T_SelfStock_Log[WeekIndex],64))</f>
        <v/>
      </c>
      <c r="BN9" s="19">
        <f>IF(COUNTIFS(T_SelfStock_Log[Part Name],$A9,T_SelfStock_Log[WeekIndex],65)=0,"",SUMIFS(T_SelfStock_Log[Self_Qty],T_SelfStock_Log[Part Name],$A9,T_SelfStock_Log[WeekIndex],65))</f>
        <v/>
      </c>
      <c r="BO9" s="19">
        <f>IF(COUNTIFS(T_SelfStock_Log[Part Name],$A9,T_SelfStock_Log[WeekIndex],66)=0,"",SUMIFS(T_SelfStock_Log[Self_Qty],T_SelfStock_Log[Part Name],$A9,T_SelfStock_Log[WeekIndex],66))</f>
        <v/>
      </c>
      <c r="BP9" s="19">
        <f>IF(COUNTIFS(T_SelfStock_Log[Part Name],$A9,T_SelfStock_Log[WeekIndex],67)=0,"",SUMIFS(T_SelfStock_Log[Self_Qty],T_SelfStock_Log[Part Name],$A9,T_SelfStock_Log[WeekIndex],67))</f>
        <v/>
      </c>
      <c r="BQ9" s="19">
        <f>IF(COUNTIFS(T_SelfStock_Log[Part Name],$A9,T_SelfStock_Log[WeekIndex],68)=0,"",SUMIFS(T_SelfStock_Log[Self_Qty],T_SelfStock_Log[Part Name],$A9,T_SelfStock_Log[WeekIndex],68))</f>
        <v/>
      </c>
      <c r="BR9" s="19">
        <f>IF(COUNTIFS(T_SelfStock_Log[Part Name],$A9,T_SelfStock_Log[WeekIndex],69)=0,"",SUMIFS(T_SelfStock_Log[Self_Qty],T_SelfStock_Log[Part Name],$A9,T_SelfStock_Log[WeekIndex],69))</f>
        <v/>
      </c>
      <c r="BS9" s="19">
        <f>IF(COUNTIFS(T_SelfStock_Log[Part Name],$A9,T_SelfStock_Log[WeekIndex],70)=0,"",SUMIFS(T_SelfStock_Log[Self_Qty],T_SelfStock_Log[Part Name],$A9,T_SelfStock_Log[WeekIndex],70))</f>
        <v/>
      </c>
      <c r="BT9" s="19">
        <f>IF(COUNTIFS(T_SelfStock_Log[Part Name],$A9,T_SelfStock_Log[WeekIndex],71)=0,"",SUMIFS(T_SelfStock_Log[Self_Qty],T_SelfStock_Log[Part Name],$A9,T_SelfStock_Log[WeekIndex],71))</f>
        <v/>
      </c>
      <c r="BU9" s="19">
        <f>IF(COUNTIFS(T_SelfStock_Log[Part Name],$A9,T_SelfStock_Log[WeekIndex],72)=0,"",SUMIFS(T_SelfStock_Log[Self_Qty],T_SelfStock_Log[Part Name],$A9,T_SelfStock_Log[WeekIndex],72))</f>
        <v/>
      </c>
      <c r="BV9" s="19">
        <f>IF(COUNTIFS(T_SelfStock_Log[Part Name],$A9,T_SelfStock_Log[WeekIndex],73)=0,"",SUMIFS(T_SelfStock_Log[Self_Qty],T_SelfStock_Log[Part Name],$A9,T_SelfStock_Log[WeekIndex],73))</f>
        <v/>
      </c>
      <c r="BW9" s="19">
        <f>IF(COUNTIFS(T_SelfStock_Log[Part Name],$A9,T_SelfStock_Log[WeekIndex],74)=0,"",SUMIFS(T_SelfStock_Log[Self_Qty],T_SelfStock_Log[Part Name],$A9,T_SelfStock_Log[WeekIndex],74))</f>
        <v/>
      </c>
      <c r="BX9" s="19">
        <f>IF(COUNTIFS(T_SelfStock_Log[Part Name],$A9,T_SelfStock_Log[WeekIndex],75)=0,"",SUMIFS(T_SelfStock_Log[Self_Qty],T_SelfStock_Log[Part Name],$A9,T_SelfStock_Log[WeekIndex],75))</f>
        <v/>
      </c>
      <c r="BY9" s="19">
        <f>IF(COUNTIFS(T_SelfStock_Log[Part Name],$A9,T_SelfStock_Log[WeekIndex],76)=0,"",SUMIFS(T_SelfStock_Log[Self_Qty],T_SelfStock_Log[Part Name],$A9,T_SelfStock_Log[WeekIndex],76))</f>
        <v/>
      </c>
      <c r="BZ9" s="19">
        <f>IF(COUNTIFS(T_SelfStock_Log[Part Name],$A9,T_SelfStock_Log[WeekIndex],77)=0,"",SUMIFS(T_SelfStock_Log[Self_Qty],T_SelfStock_Log[Part Name],$A9,T_SelfStock_Log[WeekIndex],77))</f>
        <v/>
      </c>
      <c r="CA9" s="19">
        <f>IF(COUNTIFS(T_SelfStock_Log[Part Name],$A9,T_SelfStock_Log[WeekIndex],78)=0,"",SUMIFS(T_SelfStock_Log[Self_Qty],T_SelfStock_Log[Part Name],$A9,T_SelfStock_Log[WeekIndex],78))</f>
        <v/>
      </c>
      <c r="CB9" s="19">
        <f>IF(COUNTIFS(T_SelfStock_Log[Part Name],$A9,T_SelfStock_Log[WeekIndex],79)=0,"",SUMIFS(T_SelfStock_Log[Self_Qty],T_SelfStock_Log[Part Name],$A9,T_SelfStock_Log[WeekIndex],79))</f>
        <v/>
      </c>
      <c r="CC9" s="19">
        <f>IF(COUNTIFS(T_SelfStock_Log[Part Name],$A9,T_SelfStock_Log[WeekIndex],80)=0,"",SUMIFS(T_SelfStock_Log[Self_Qty],T_SelfStock_Log[Part Name],$A9,T_SelfStock_Log[WeekIndex],80))</f>
        <v/>
      </c>
      <c r="CD9" s="19">
        <f>IF(COUNTIFS(T_SelfStock_Log[Part Name],$A9,T_SelfStock_Log[WeekIndex],81)=0,"",SUMIFS(T_SelfStock_Log[Self_Qty],T_SelfStock_Log[Part Name],$A9,T_SelfStock_Log[WeekIndex],81))</f>
        <v/>
      </c>
      <c r="CE9" s="19">
        <f>IF(COUNTIFS(T_SelfStock_Log[Part Name],$A9,T_SelfStock_Log[WeekIndex],82)=0,"",SUMIFS(T_SelfStock_Log[Self_Qty],T_SelfStock_Log[Part Name],$A9,T_SelfStock_Log[WeekIndex],82))</f>
        <v/>
      </c>
      <c r="CF9" s="19">
        <f>IF(COUNTIFS(T_SelfStock_Log[Part Name],$A9,T_SelfStock_Log[WeekIndex],83)=0,"",SUMIFS(T_SelfStock_Log[Self_Qty],T_SelfStock_Log[Part Name],$A9,T_SelfStock_Log[WeekIndex],83))</f>
        <v/>
      </c>
      <c r="CG9" s="19">
        <f>IF(COUNTIFS(T_SelfStock_Log[Part Name],$A9,T_SelfStock_Log[WeekIndex],84)=0,"",SUMIFS(T_SelfStock_Log[Self_Qty],T_SelfStock_Log[Part Name],$A9,T_SelfStock_Log[WeekIndex],84))</f>
        <v/>
      </c>
      <c r="CH9" s="19">
        <f>IF(COUNTIFS(T_SelfStock_Log[Part Name],$A9,T_SelfStock_Log[WeekIndex],85)=0,"",SUMIFS(T_SelfStock_Log[Self_Qty],T_SelfStock_Log[Part Name],$A9,T_SelfStock_Log[WeekIndex],85))</f>
        <v/>
      </c>
      <c r="CI9" s="19">
        <f>IF(COUNTIFS(T_SelfStock_Log[Part Name],$A9,T_SelfStock_Log[WeekIndex],86)=0,"",SUMIFS(T_SelfStock_Log[Self_Qty],T_SelfStock_Log[Part Name],$A9,T_SelfStock_Log[WeekIndex],86))</f>
        <v/>
      </c>
      <c r="CJ9" s="19">
        <f>IF(COUNTIFS(T_SelfStock_Log[Part Name],$A9,T_SelfStock_Log[WeekIndex],87)=0,"",SUMIFS(T_SelfStock_Log[Self_Qty],T_SelfStock_Log[Part Name],$A9,T_SelfStock_Log[WeekIndex],87))</f>
        <v/>
      </c>
      <c r="CK9" s="19">
        <f>IF(COUNTIFS(T_SelfStock_Log[Part Name],$A9,T_SelfStock_Log[WeekIndex],88)=0,"",SUMIFS(T_SelfStock_Log[Self_Qty],T_SelfStock_Log[Part Name],$A9,T_SelfStock_Log[WeekIndex],88))</f>
        <v/>
      </c>
      <c r="CL9" s="19">
        <f>IF(COUNTIFS(T_SelfStock_Log[Part Name],$A9,T_SelfStock_Log[WeekIndex],89)=0,"",SUMIFS(T_SelfStock_Log[Self_Qty],T_SelfStock_Log[Part Name],$A9,T_SelfStock_Log[WeekIndex],89))</f>
        <v/>
      </c>
      <c r="CM9" s="19">
        <f>IF(COUNTIFS(T_SelfStock_Log[Part Name],$A9,T_SelfStock_Log[WeekIndex],90)=0,"",SUMIFS(T_SelfStock_Log[Self_Qty],T_SelfStock_Log[Part Name],$A9,T_SelfStock_Log[WeekIndex],90))</f>
        <v/>
      </c>
      <c r="CN9" s="19">
        <f>IF(COUNTIFS(T_SelfStock_Log[Part Name],$A9,T_SelfStock_Log[WeekIndex],91)=0,"",SUMIFS(T_SelfStock_Log[Self_Qty],T_SelfStock_Log[Part Name],$A9,T_SelfStock_Log[WeekIndex],91))</f>
        <v/>
      </c>
      <c r="CO9" s="19">
        <f>IF(COUNTIFS(T_SelfStock_Log[Part Name],$A9,T_SelfStock_Log[WeekIndex],92)=0,"",SUMIFS(T_SelfStock_Log[Self_Qty],T_SelfStock_Log[Part Name],$A9,T_SelfStock_Log[WeekIndex],92))</f>
        <v/>
      </c>
      <c r="CP9" s="19">
        <f>IF(COUNTIFS(T_SelfStock_Log[Part Name],$A9,T_SelfStock_Log[WeekIndex],93)=0,"",SUMIFS(T_SelfStock_Log[Self_Qty],T_SelfStock_Log[Part Name],$A9,T_SelfStock_Log[WeekIndex],93))</f>
        <v/>
      </c>
      <c r="CQ9" s="19">
        <f>IF(COUNTIFS(T_SelfStock_Log[Part Name],$A9,T_SelfStock_Log[WeekIndex],94)=0,"",SUMIFS(T_SelfStock_Log[Self_Qty],T_SelfStock_Log[Part Name],$A9,T_SelfStock_Log[WeekIndex],94))</f>
        <v/>
      </c>
      <c r="CR9" s="19">
        <f>IF(COUNTIFS(T_SelfStock_Log[Part Name],$A9,T_SelfStock_Log[WeekIndex],95)=0,"",SUMIFS(T_SelfStock_Log[Self_Qty],T_SelfStock_Log[Part Name],$A9,T_SelfStock_Log[WeekIndex],95))</f>
        <v/>
      </c>
      <c r="CS9" s="19">
        <f>IF(COUNTIFS(T_SelfStock_Log[Part Name],$A9,T_SelfStock_Log[WeekIndex],96)=0,"",SUMIFS(T_SelfStock_Log[Self_Qty],T_SelfStock_Log[Part Name],$A9,T_SelfStock_Log[WeekIndex],96))</f>
        <v/>
      </c>
      <c r="CT9" s="19">
        <f>IF(COUNTIFS(T_SelfStock_Log[Part Name],$A9,T_SelfStock_Log[WeekIndex],97)=0,"",SUMIFS(T_SelfStock_Log[Self_Qty],T_SelfStock_Log[Part Name],$A9,T_SelfStock_Log[WeekIndex],97))</f>
        <v/>
      </c>
      <c r="CU9" s="19">
        <f>IF(COUNTIFS(T_SelfStock_Log[Part Name],$A9,T_SelfStock_Log[WeekIndex],98)=0,"",SUMIFS(T_SelfStock_Log[Self_Qty],T_SelfStock_Log[Part Name],$A9,T_SelfStock_Log[WeekIndex],98))</f>
        <v/>
      </c>
      <c r="CV9" s="19">
        <f>IF(COUNTIFS(T_SelfStock_Log[Part Name],$A9,T_SelfStock_Log[WeekIndex],99)=0,"",SUMIFS(T_SelfStock_Log[Self_Qty],T_SelfStock_Log[Part Name],$A9,T_SelfStock_Log[WeekIndex],99))</f>
        <v/>
      </c>
      <c r="CW9" s="19">
        <f>IF(COUNTIFS(T_SelfStock_Log[Part Name],$A9,T_SelfStock_Log[WeekIndex],100)=0,"",SUMIFS(T_SelfStock_Log[Self_Qty],T_SelfStock_Log[Part Name],$A9,T_SelfStock_Log[WeekIndex],100))</f>
        <v/>
      </c>
      <c r="CX9" s="19">
        <f>IF(COUNTIFS(T_SelfStock_Log[Part Name],$A9,T_SelfStock_Log[WeekIndex],101)=0,"",SUMIFS(T_SelfStock_Log[Self_Qty],T_SelfStock_Log[Part Name],$A9,T_SelfStock_Log[WeekIndex],101))</f>
        <v/>
      </c>
      <c r="CY9" s="19">
        <f>IF(COUNTIFS(T_SelfStock_Log[Part Name],$A9,T_SelfStock_Log[WeekIndex],102)=0,"",SUMIFS(T_SelfStock_Log[Self_Qty],T_SelfStock_Log[Part Name],$A9,T_SelfStock_Log[WeekIndex],102))</f>
        <v/>
      </c>
      <c r="CZ9" s="19">
        <f>IF(COUNTIFS(T_SelfStock_Log[Part Name],$A9,T_SelfStock_Log[WeekIndex],103)=0,"",SUMIFS(T_SelfStock_Log[Self_Qty],T_SelfStock_Log[Part Name],$A9,T_SelfStock_Log[WeekIndex],103))</f>
        <v/>
      </c>
      <c r="DA9" s="19">
        <f>IF(COUNTIFS(T_SelfStock_Log[Part Name],$A9,T_SelfStock_Log[WeekIndex],104)=0,"",SUMIFS(T_SelfStock_Log[Self_Qty],T_SelfStock_Log[Part Name],$A9,T_SelfStock_Log[WeekIndex],104))</f>
        <v/>
      </c>
    </row>
    <row r="10">
      <c r="A10" s="17" t="inlineStr">
        <is>
          <t>7CL</t>
        </is>
      </c>
      <c r="B10" s="17">
        <f>IF(COUNTIFS(T_SelfStock_Log[Part Name],$A10,T_SelfStock_Log[WeekIndex],1)=0,"",SUMIFS(T_SelfStock_Log[Self_Qty],T_SelfStock_Log[Part Name],$A10,T_SelfStock_Log[WeekIndex],1))</f>
        <v/>
      </c>
      <c r="C10" s="17">
        <f>IF(COUNTIFS(T_SelfStock_Log[Part Name],$A10,T_SelfStock_Log[WeekIndex],2)=0,"",SUMIFS(T_SelfStock_Log[Self_Qty],T_SelfStock_Log[Part Name],$A10,T_SelfStock_Log[WeekIndex],2))</f>
        <v/>
      </c>
      <c r="D10" s="17">
        <f>IF(COUNTIFS(T_SelfStock_Log[Part Name],$A10,T_SelfStock_Log[WeekIndex],3)=0,"",SUMIFS(T_SelfStock_Log[Self_Qty],T_SelfStock_Log[Part Name],$A10,T_SelfStock_Log[WeekIndex],3))</f>
        <v/>
      </c>
      <c r="E10" s="17">
        <f>IF(COUNTIFS(T_SelfStock_Log[Part Name],$A10,T_SelfStock_Log[WeekIndex],4)=0,"",SUMIFS(T_SelfStock_Log[Self_Qty],T_SelfStock_Log[Part Name],$A10,T_SelfStock_Log[WeekIndex],4))</f>
        <v/>
      </c>
      <c r="F10" s="17">
        <f>IF(COUNTIFS(T_SelfStock_Log[Part Name],$A10,T_SelfStock_Log[WeekIndex],5)=0,"",SUMIFS(T_SelfStock_Log[Self_Qty],T_SelfStock_Log[Part Name],$A10,T_SelfStock_Log[WeekIndex],5))</f>
        <v/>
      </c>
      <c r="G10" s="17">
        <f>IF(COUNTIFS(T_SelfStock_Log[Part Name],$A10,T_SelfStock_Log[WeekIndex],6)=0,"",SUMIFS(T_SelfStock_Log[Self_Qty],T_SelfStock_Log[Part Name],$A10,T_SelfStock_Log[WeekIndex],6))</f>
        <v/>
      </c>
      <c r="H10" s="17">
        <f>IF(COUNTIFS(T_SelfStock_Log[Part Name],$A10,T_SelfStock_Log[WeekIndex],7)=0,"",SUMIFS(T_SelfStock_Log[Self_Qty],T_SelfStock_Log[Part Name],$A10,T_SelfStock_Log[WeekIndex],7))</f>
        <v/>
      </c>
      <c r="I10" s="17">
        <f>IF(COUNTIFS(T_SelfStock_Log[Part Name],$A10,T_SelfStock_Log[WeekIndex],8)=0,"",SUMIFS(T_SelfStock_Log[Self_Qty],T_SelfStock_Log[Part Name],$A10,T_SelfStock_Log[WeekIndex],8))</f>
        <v/>
      </c>
      <c r="J10" s="17">
        <f>IF(COUNTIFS(T_SelfStock_Log[Part Name],$A10,T_SelfStock_Log[WeekIndex],9)=0,"",SUMIFS(T_SelfStock_Log[Self_Qty],T_SelfStock_Log[Part Name],$A10,T_SelfStock_Log[WeekIndex],9))</f>
        <v/>
      </c>
      <c r="K10" s="17">
        <f>IF(COUNTIFS(T_SelfStock_Log[Part Name],$A10,T_SelfStock_Log[WeekIndex],10)=0,"",SUMIFS(T_SelfStock_Log[Self_Qty],T_SelfStock_Log[Part Name],$A10,T_SelfStock_Log[WeekIndex],10))</f>
        <v/>
      </c>
      <c r="L10" s="17">
        <f>IF(COUNTIFS(T_SelfStock_Log[Part Name],$A10,T_SelfStock_Log[WeekIndex],11)=0,"",SUMIFS(T_SelfStock_Log[Self_Qty],T_SelfStock_Log[Part Name],$A10,T_SelfStock_Log[WeekIndex],11))</f>
        <v/>
      </c>
      <c r="M10" s="17">
        <f>IF(COUNTIFS(T_SelfStock_Log[Part Name],$A10,T_SelfStock_Log[WeekIndex],12)=0,"",SUMIFS(T_SelfStock_Log[Self_Qty],T_SelfStock_Log[Part Name],$A10,T_SelfStock_Log[WeekIndex],12))</f>
        <v/>
      </c>
      <c r="N10" s="17">
        <f>IF(COUNTIFS(T_SelfStock_Log[Part Name],$A10,T_SelfStock_Log[WeekIndex],13)=0,"",SUMIFS(T_SelfStock_Log[Self_Qty],T_SelfStock_Log[Part Name],$A10,T_SelfStock_Log[WeekIndex],13))</f>
        <v/>
      </c>
      <c r="O10" s="17">
        <f>IF(COUNTIFS(T_SelfStock_Log[Part Name],$A10,T_SelfStock_Log[WeekIndex],14)=0,"",SUMIFS(T_SelfStock_Log[Self_Qty],T_SelfStock_Log[Part Name],$A10,T_SelfStock_Log[WeekIndex],14))</f>
        <v/>
      </c>
      <c r="P10" s="17">
        <f>IF(COUNTIFS(T_SelfStock_Log[Part Name],$A10,T_SelfStock_Log[WeekIndex],15)=0,"",SUMIFS(T_SelfStock_Log[Self_Qty],T_SelfStock_Log[Part Name],$A10,T_SelfStock_Log[WeekIndex],15))</f>
        <v/>
      </c>
      <c r="Q10" s="17">
        <f>IF(COUNTIFS(T_SelfStock_Log[Part Name],$A10,T_SelfStock_Log[WeekIndex],16)=0,"",SUMIFS(T_SelfStock_Log[Self_Qty],T_SelfStock_Log[Part Name],$A10,T_SelfStock_Log[WeekIndex],16))</f>
        <v/>
      </c>
      <c r="R10" s="17">
        <f>IF(COUNTIFS(T_SelfStock_Log[Part Name],$A10,T_SelfStock_Log[WeekIndex],17)=0,"",SUMIFS(T_SelfStock_Log[Self_Qty],T_SelfStock_Log[Part Name],$A10,T_SelfStock_Log[WeekIndex],17))</f>
        <v/>
      </c>
      <c r="S10" s="17">
        <f>IF(COUNTIFS(T_SelfStock_Log[Part Name],$A10,T_SelfStock_Log[WeekIndex],18)=0,"",SUMIFS(T_SelfStock_Log[Self_Qty],T_SelfStock_Log[Part Name],$A10,T_SelfStock_Log[WeekIndex],18))</f>
        <v/>
      </c>
      <c r="T10" s="17">
        <f>IF(COUNTIFS(T_SelfStock_Log[Part Name],$A10,T_SelfStock_Log[WeekIndex],19)=0,"",SUMIFS(T_SelfStock_Log[Self_Qty],T_SelfStock_Log[Part Name],$A10,T_SelfStock_Log[WeekIndex],19))</f>
        <v/>
      </c>
      <c r="U10" s="17">
        <f>IF(COUNTIFS(T_SelfStock_Log[Part Name],$A10,T_SelfStock_Log[WeekIndex],20)=0,"",SUMIFS(T_SelfStock_Log[Self_Qty],T_SelfStock_Log[Part Name],$A10,T_SelfStock_Log[WeekIndex],20))</f>
        <v/>
      </c>
      <c r="V10" s="17">
        <f>IF(COUNTIFS(T_SelfStock_Log[Part Name],$A10,T_SelfStock_Log[WeekIndex],21)=0,"",SUMIFS(T_SelfStock_Log[Self_Qty],T_SelfStock_Log[Part Name],$A10,T_SelfStock_Log[WeekIndex],21))</f>
        <v/>
      </c>
      <c r="W10" s="17">
        <f>IF(COUNTIFS(T_SelfStock_Log[Part Name],$A10,T_SelfStock_Log[WeekIndex],22)=0,"",SUMIFS(T_SelfStock_Log[Self_Qty],T_SelfStock_Log[Part Name],$A10,T_SelfStock_Log[WeekIndex],22))</f>
        <v/>
      </c>
      <c r="X10" s="17">
        <f>IF(COUNTIFS(T_SelfStock_Log[Part Name],$A10,T_SelfStock_Log[WeekIndex],23)=0,"",SUMIFS(T_SelfStock_Log[Self_Qty],T_SelfStock_Log[Part Name],$A10,T_SelfStock_Log[WeekIndex],23))</f>
        <v/>
      </c>
      <c r="Y10" s="17">
        <f>IF(COUNTIFS(T_SelfStock_Log[Part Name],$A10,T_SelfStock_Log[WeekIndex],24)=0,"",SUMIFS(T_SelfStock_Log[Self_Qty],T_SelfStock_Log[Part Name],$A10,T_SelfStock_Log[WeekIndex],24))</f>
        <v/>
      </c>
      <c r="Z10" s="17">
        <f>IF(COUNTIFS(T_SelfStock_Log[Part Name],$A10,T_SelfStock_Log[WeekIndex],25)=0,"",SUMIFS(T_SelfStock_Log[Self_Qty],T_SelfStock_Log[Part Name],$A10,T_SelfStock_Log[WeekIndex],25))</f>
        <v/>
      </c>
      <c r="AA10" s="17">
        <f>IF(COUNTIFS(T_SelfStock_Log[Part Name],$A10,T_SelfStock_Log[WeekIndex],26)=0,"",SUMIFS(T_SelfStock_Log[Self_Qty],T_SelfStock_Log[Part Name],$A10,T_SelfStock_Log[WeekIndex],26))</f>
        <v/>
      </c>
      <c r="AB10" s="17">
        <f>IF(COUNTIFS(T_SelfStock_Log[Part Name],$A10,T_SelfStock_Log[WeekIndex],27)=0,"",SUMIFS(T_SelfStock_Log[Self_Qty],T_SelfStock_Log[Part Name],$A10,T_SelfStock_Log[WeekIndex],27))</f>
        <v/>
      </c>
      <c r="AC10" s="17">
        <f>IF(COUNTIFS(T_SelfStock_Log[Part Name],$A10,T_SelfStock_Log[WeekIndex],28)=0,"",SUMIFS(T_SelfStock_Log[Self_Qty],T_SelfStock_Log[Part Name],$A10,T_SelfStock_Log[WeekIndex],28))</f>
        <v/>
      </c>
      <c r="AD10" s="17">
        <f>IF(COUNTIFS(T_SelfStock_Log[Part Name],$A10,T_SelfStock_Log[WeekIndex],29)=0,"",SUMIFS(T_SelfStock_Log[Self_Qty],T_SelfStock_Log[Part Name],$A10,T_SelfStock_Log[WeekIndex],29))</f>
        <v/>
      </c>
      <c r="AE10" s="17">
        <f>IF(COUNTIFS(T_SelfStock_Log[Part Name],$A10,T_SelfStock_Log[WeekIndex],30)=0,"",SUMIFS(T_SelfStock_Log[Self_Qty],T_SelfStock_Log[Part Name],$A10,T_SelfStock_Log[WeekIndex],30))</f>
        <v/>
      </c>
      <c r="AF10" s="17">
        <f>IF(COUNTIFS(T_SelfStock_Log[Part Name],$A10,T_SelfStock_Log[WeekIndex],31)=0,"",SUMIFS(T_SelfStock_Log[Self_Qty],T_SelfStock_Log[Part Name],$A10,T_SelfStock_Log[WeekIndex],31))</f>
        <v/>
      </c>
      <c r="AG10" s="17">
        <f>IF(COUNTIFS(T_SelfStock_Log[Part Name],$A10,T_SelfStock_Log[WeekIndex],32)=0,"",SUMIFS(T_SelfStock_Log[Self_Qty],T_SelfStock_Log[Part Name],$A10,T_SelfStock_Log[WeekIndex],32))</f>
        <v/>
      </c>
      <c r="AH10" s="17">
        <f>IF(COUNTIFS(T_SelfStock_Log[Part Name],$A10,T_SelfStock_Log[WeekIndex],33)=0,"",SUMIFS(T_SelfStock_Log[Self_Qty],T_SelfStock_Log[Part Name],$A10,T_SelfStock_Log[WeekIndex],33))</f>
        <v/>
      </c>
      <c r="AI10" s="17">
        <f>IF(COUNTIFS(T_SelfStock_Log[Part Name],$A10,T_SelfStock_Log[WeekIndex],34)=0,"",SUMIFS(T_SelfStock_Log[Self_Qty],T_SelfStock_Log[Part Name],$A10,T_SelfStock_Log[WeekIndex],34))</f>
        <v/>
      </c>
      <c r="AJ10" s="17">
        <f>IF(COUNTIFS(T_SelfStock_Log[Part Name],$A10,T_SelfStock_Log[WeekIndex],35)=0,"",SUMIFS(T_SelfStock_Log[Self_Qty],T_SelfStock_Log[Part Name],$A10,T_SelfStock_Log[WeekIndex],35))</f>
        <v/>
      </c>
      <c r="AK10" s="17">
        <f>IF(COUNTIFS(T_SelfStock_Log[Part Name],$A10,T_SelfStock_Log[WeekIndex],36)=0,"",SUMIFS(T_SelfStock_Log[Self_Qty],T_SelfStock_Log[Part Name],$A10,T_SelfStock_Log[WeekIndex],36))</f>
        <v/>
      </c>
      <c r="AL10" s="17">
        <f>IF(COUNTIFS(T_SelfStock_Log[Part Name],$A10,T_SelfStock_Log[WeekIndex],37)=0,"",SUMIFS(T_SelfStock_Log[Self_Qty],T_SelfStock_Log[Part Name],$A10,T_SelfStock_Log[WeekIndex],37))</f>
        <v/>
      </c>
      <c r="AM10" s="17">
        <f>IF(COUNTIFS(T_SelfStock_Log[Part Name],$A10,T_SelfStock_Log[WeekIndex],38)=0,"",SUMIFS(T_SelfStock_Log[Self_Qty],T_SelfStock_Log[Part Name],$A10,T_SelfStock_Log[WeekIndex],38))</f>
        <v/>
      </c>
      <c r="AN10" s="17">
        <f>IF(COUNTIFS(T_SelfStock_Log[Part Name],$A10,T_SelfStock_Log[WeekIndex],39)=0,"",SUMIFS(T_SelfStock_Log[Self_Qty],T_SelfStock_Log[Part Name],$A10,T_SelfStock_Log[WeekIndex],39))</f>
        <v/>
      </c>
      <c r="AO10" s="17">
        <f>IF(COUNTIFS(T_SelfStock_Log[Part Name],$A10,T_SelfStock_Log[WeekIndex],40)=0,"",SUMIFS(T_SelfStock_Log[Self_Qty],T_SelfStock_Log[Part Name],$A10,T_SelfStock_Log[WeekIndex],40))</f>
        <v/>
      </c>
      <c r="AP10" s="17">
        <f>IF(COUNTIFS(T_SelfStock_Log[Part Name],$A10,T_SelfStock_Log[WeekIndex],41)=0,"",SUMIFS(T_SelfStock_Log[Self_Qty],T_SelfStock_Log[Part Name],$A10,T_SelfStock_Log[WeekIndex],41))</f>
        <v/>
      </c>
      <c r="AQ10" s="17">
        <f>IF(COUNTIFS(T_SelfStock_Log[Part Name],$A10,T_SelfStock_Log[WeekIndex],42)=0,"",SUMIFS(T_SelfStock_Log[Self_Qty],T_SelfStock_Log[Part Name],$A10,T_SelfStock_Log[WeekIndex],42))</f>
        <v/>
      </c>
      <c r="AR10" s="17">
        <f>IF(COUNTIFS(T_SelfStock_Log[Part Name],$A10,T_SelfStock_Log[WeekIndex],43)=0,"",SUMIFS(T_SelfStock_Log[Self_Qty],T_SelfStock_Log[Part Name],$A10,T_SelfStock_Log[WeekIndex],43))</f>
        <v/>
      </c>
      <c r="AS10" s="17">
        <f>IF(COUNTIFS(T_SelfStock_Log[Part Name],$A10,T_SelfStock_Log[WeekIndex],44)=0,"",SUMIFS(T_SelfStock_Log[Self_Qty],T_SelfStock_Log[Part Name],$A10,T_SelfStock_Log[WeekIndex],44))</f>
        <v/>
      </c>
      <c r="AT10" s="17">
        <f>IF(COUNTIFS(T_SelfStock_Log[Part Name],$A10,T_SelfStock_Log[WeekIndex],45)=0,"",SUMIFS(T_SelfStock_Log[Self_Qty],T_SelfStock_Log[Part Name],$A10,T_SelfStock_Log[WeekIndex],45))</f>
        <v/>
      </c>
      <c r="AU10" s="17">
        <f>IF(COUNTIFS(T_SelfStock_Log[Part Name],$A10,T_SelfStock_Log[WeekIndex],46)=0,"",SUMIFS(T_SelfStock_Log[Self_Qty],T_SelfStock_Log[Part Name],$A10,T_SelfStock_Log[WeekIndex],46))</f>
        <v/>
      </c>
      <c r="AV10" s="17">
        <f>IF(COUNTIFS(T_SelfStock_Log[Part Name],$A10,T_SelfStock_Log[WeekIndex],47)=0,"",SUMIFS(T_SelfStock_Log[Self_Qty],T_SelfStock_Log[Part Name],$A10,T_SelfStock_Log[WeekIndex],47))</f>
        <v/>
      </c>
      <c r="AW10" s="17">
        <f>IF(COUNTIFS(T_SelfStock_Log[Part Name],$A10,T_SelfStock_Log[WeekIndex],48)=0,"",SUMIFS(T_SelfStock_Log[Self_Qty],T_SelfStock_Log[Part Name],$A10,T_SelfStock_Log[WeekIndex],48))</f>
        <v/>
      </c>
      <c r="AX10" s="17">
        <f>IF(COUNTIFS(T_SelfStock_Log[Part Name],$A10,T_SelfStock_Log[WeekIndex],49)=0,"",SUMIFS(T_SelfStock_Log[Self_Qty],T_SelfStock_Log[Part Name],$A10,T_SelfStock_Log[WeekIndex],49))</f>
        <v/>
      </c>
      <c r="AY10" s="17">
        <f>IF(COUNTIFS(T_SelfStock_Log[Part Name],$A10,T_SelfStock_Log[WeekIndex],50)=0,"",SUMIFS(T_SelfStock_Log[Self_Qty],T_SelfStock_Log[Part Name],$A10,T_SelfStock_Log[WeekIndex],50))</f>
        <v/>
      </c>
      <c r="AZ10" s="17">
        <f>IF(COUNTIFS(T_SelfStock_Log[Part Name],$A10,T_SelfStock_Log[WeekIndex],51)=0,"",SUMIFS(T_SelfStock_Log[Self_Qty],T_SelfStock_Log[Part Name],$A10,T_SelfStock_Log[WeekIndex],51))</f>
        <v/>
      </c>
      <c r="BA10" s="17">
        <f>IF(COUNTIFS(T_SelfStock_Log[Part Name],$A10,T_SelfStock_Log[WeekIndex],52)=0,"",SUMIFS(T_SelfStock_Log[Self_Qty],T_SelfStock_Log[Part Name],$A10,T_SelfStock_Log[WeekIndex],52))</f>
        <v/>
      </c>
      <c r="BB10" s="17">
        <f>IF(COUNTIFS(T_SelfStock_Log[Part Name],$A10,T_SelfStock_Log[WeekIndex],53)=0,"",SUMIFS(T_SelfStock_Log[Self_Qty],T_SelfStock_Log[Part Name],$A10,T_SelfStock_Log[WeekIndex],53))</f>
        <v/>
      </c>
      <c r="BC10" s="17">
        <f>IF(COUNTIFS(T_SelfStock_Log[Part Name],$A10,T_SelfStock_Log[WeekIndex],54)=0,"",SUMIFS(T_SelfStock_Log[Self_Qty],T_SelfStock_Log[Part Name],$A10,T_SelfStock_Log[WeekIndex],54))</f>
        <v/>
      </c>
      <c r="BD10" s="17">
        <f>IF(COUNTIFS(T_SelfStock_Log[Part Name],$A10,T_SelfStock_Log[WeekIndex],55)=0,"",SUMIFS(T_SelfStock_Log[Self_Qty],T_SelfStock_Log[Part Name],$A10,T_SelfStock_Log[WeekIndex],55))</f>
        <v/>
      </c>
      <c r="BE10" s="17">
        <f>IF(COUNTIFS(T_SelfStock_Log[Part Name],$A10,T_SelfStock_Log[WeekIndex],56)=0,"",SUMIFS(T_SelfStock_Log[Self_Qty],T_SelfStock_Log[Part Name],$A10,T_SelfStock_Log[WeekIndex],56))</f>
        <v/>
      </c>
      <c r="BF10" s="17">
        <f>IF(COUNTIFS(T_SelfStock_Log[Part Name],$A10,T_SelfStock_Log[WeekIndex],57)=0,"",SUMIFS(T_SelfStock_Log[Self_Qty],T_SelfStock_Log[Part Name],$A10,T_SelfStock_Log[WeekIndex],57))</f>
        <v/>
      </c>
      <c r="BG10" s="17">
        <f>IF(COUNTIFS(T_SelfStock_Log[Part Name],$A10,T_SelfStock_Log[WeekIndex],58)=0,"",SUMIFS(T_SelfStock_Log[Self_Qty],T_SelfStock_Log[Part Name],$A10,T_SelfStock_Log[WeekIndex],58))</f>
        <v/>
      </c>
      <c r="BH10" s="17">
        <f>IF(COUNTIFS(T_SelfStock_Log[Part Name],$A10,T_SelfStock_Log[WeekIndex],59)=0,"",SUMIFS(T_SelfStock_Log[Self_Qty],T_SelfStock_Log[Part Name],$A10,T_SelfStock_Log[WeekIndex],59))</f>
        <v/>
      </c>
      <c r="BI10" s="17">
        <f>IF(COUNTIFS(T_SelfStock_Log[Part Name],$A10,T_SelfStock_Log[WeekIndex],60)=0,"",SUMIFS(T_SelfStock_Log[Self_Qty],T_SelfStock_Log[Part Name],$A10,T_SelfStock_Log[WeekIndex],60))</f>
        <v/>
      </c>
      <c r="BJ10" s="17">
        <f>IF(COUNTIFS(T_SelfStock_Log[Part Name],$A10,T_SelfStock_Log[WeekIndex],61)=0,"",SUMIFS(T_SelfStock_Log[Self_Qty],T_SelfStock_Log[Part Name],$A10,T_SelfStock_Log[WeekIndex],61))</f>
        <v/>
      </c>
      <c r="BK10" s="17">
        <f>IF(COUNTIFS(T_SelfStock_Log[Part Name],$A10,T_SelfStock_Log[WeekIndex],62)=0,"",SUMIFS(T_SelfStock_Log[Self_Qty],T_SelfStock_Log[Part Name],$A10,T_SelfStock_Log[WeekIndex],62))</f>
        <v/>
      </c>
      <c r="BL10" s="17">
        <f>IF(COUNTIFS(T_SelfStock_Log[Part Name],$A10,T_SelfStock_Log[WeekIndex],63)=0,"",SUMIFS(T_SelfStock_Log[Self_Qty],T_SelfStock_Log[Part Name],$A10,T_SelfStock_Log[WeekIndex],63))</f>
        <v/>
      </c>
      <c r="BM10" s="17">
        <f>IF(COUNTIFS(T_SelfStock_Log[Part Name],$A10,T_SelfStock_Log[WeekIndex],64)=0,"",SUMIFS(T_SelfStock_Log[Self_Qty],T_SelfStock_Log[Part Name],$A10,T_SelfStock_Log[WeekIndex],64))</f>
        <v/>
      </c>
      <c r="BN10" s="17">
        <f>IF(COUNTIFS(T_SelfStock_Log[Part Name],$A10,T_SelfStock_Log[WeekIndex],65)=0,"",SUMIFS(T_SelfStock_Log[Self_Qty],T_SelfStock_Log[Part Name],$A10,T_SelfStock_Log[WeekIndex],65))</f>
        <v/>
      </c>
      <c r="BO10" s="17">
        <f>IF(COUNTIFS(T_SelfStock_Log[Part Name],$A10,T_SelfStock_Log[WeekIndex],66)=0,"",SUMIFS(T_SelfStock_Log[Self_Qty],T_SelfStock_Log[Part Name],$A10,T_SelfStock_Log[WeekIndex],66))</f>
        <v/>
      </c>
      <c r="BP10" s="17">
        <f>IF(COUNTIFS(T_SelfStock_Log[Part Name],$A10,T_SelfStock_Log[WeekIndex],67)=0,"",SUMIFS(T_SelfStock_Log[Self_Qty],T_SelfStock_Log[Part Name],$A10,T_SelfStock_Log[WeekIndex],67))</f>
        <v/>
      </c>
      <c r="BQ10" s="17">
        <f>IF(COUNTIFS(T_SelfStock_Log[Part Name],$A10,T_SelfStock_Log[WeekIndex],68)=0,"",SUMIFS(T_SelfStock_Log[Self_Qty],T_SelfStock_Log[Part Name],$A10,T_SelfStock_Log[WeekIndex],68))</f>
        <v/>
      </c>
      <c r="BR10" s="17">
        <f>IF(COUNTIFS(T_SelfStock_Log[Part Name],$A10,T_SelfStock_Log[WeekIndex],69)=0,"",SUMIFS(T_SelfStock_Log[Self_Qty],T_SelfStock_Log[Part Name],$A10,T_SelfStock_Log[WeekIndex],69))</f>
        <v/>
      </c>
      <c r="BS10" s="17">
        <f>IF(COUNTIFS(T_SelfStock_Log[Part Name],$A10,T_SelfStock_Log[WeekIndex],70)=0,"",SUMIFS(T_SelfStock_Log[Self_Qty],T_SelfStock_Log[Part Name],$A10,T_SelfStock_Log[WeekIndex],70))</f>
        <v/>
      </c>
      <c r="BT10" s="17">
        <f>IF(COUNTIFS(T_SelfStock_Log[Part Name],$A10,T_SelfStock_Log[WeekIndex],71)=0,"",SUMIFS(T_SelfStock_Log[Self_Qty],T_SelfStock_Log[Part Name],$A10,T_SelfStock_Log[WeekIndex],71))</f>
        <v/>
      </c>
      <c r="BU10" s="17">
        <f>IF(COUNTIFS(T_SelfStock_Log[Part Name],$A10,T_SelfStock_Log[WeekIndex],72)=0,"",SUMIFS(T_SelfStock_Log[Self_Qty],T_SelfStock_Log[Part Name],$A10,T_SelfStock_Log[WeekIndex],72))</f>
        <v/>
      </c>
      <c r="BV10" s="17">
        <f>IF(COUNTIFS(T_SelfStock_Log[Part Name],$A10,T_SelfStock_Log[WeekIndex],73)=0,"",SUMIFS(T_SelfStock_Log[Self_Qty],T_SelfStock_Log[Part Name],$A10,T_SelfStock_Log[WeekIndex],73))</f>
        <v/>
      </c>
      <c r="BW10" s="17">
        <f>IF(COUNTIFS(T_SelfStock_Log[Part Name],$A10,T_SelfStock_Log[WeekIndex],74)=0,"",SUMIFS(T_SelfStock_Log[Self_Qty],T_SelfStock_Log[Part Name],$A10,T_SelfStock_Log[WeekIndex],74))</f>
        <v/>
      </c>
      <c r="BX10" s="17">
        <f>IF(COUNTIFS(T_SelfStock_Log[Part Name],$A10,T_SelfStock_Log[WeekIndex],75)=0,"",SUMIFS(T_SelfStock_Log[Self_Qty],T_SelfStock_Log[Part Name],$A10,T_SelfStock_Log[WeekIndex],75))</f>
        <v/>
      </c>
      <c r="BY10" s="17">
        <f>IF(COUNTIFS(T_SelfStock_Log[Part Name],$A10,T_SelfStock_Log[WeekIndex],76)=0,"",SUMIFS(T_SelfStock_Log[Self_Qty],T_SelfStock_Log[Part Name],$A10,T_SelfStock_Log[WeekIndex],76))</f>
        <v/>
      </c>
      <c r="BZ10" s="17">
        <f>IF(COUNTIFS(T_SelfStock_Log[Part Name],$A10,T_SelfStock_Log[WeekIndex],77)=0,"",SUMIFS(T_SelfStock_Log[Self_Qty],T_SelfStock_Log[Part Name],$A10,T_SelfStock_Log[WeekIndex],77))</f>
        <v/>
      </c>
      <c r="CA10" s="17">
        <f>IF(COUNTIFS(T_SelfStock_Log[Part Name],$A10,T_SelfStock_Log[WeekIndex],78)=0,"",SUMIFS(T_SelfStock_Log[Self_Qty],T_SelfStock_Log[Part Name],$A10,T_SelfStock_Log[WeekIndex],78))</f>
        <v/>
      </c>
      <c r="CB10" s="17">
        <f>IF(COUNTIFS(T_SelfStock_Log[Part Name],$A10,T_SelfStock_Log[WeekIndex],79)=0,"",SUMIFS(T_SelfStock_Log[Self_Qty],T_SelfStock_Log[Part Name],$A10,T_SelfStock_Log[WeekIndex],79))</f>
        <v/>
      </c>
      <c r="CC10" s="17">
        <f>IF(COUNTIFS(T_SelfStock_Log[Part Name],$A10,T_SelfStock_Log[WeekIndex],80)=0,"",SUMIFS(T_SelfStock_Log[Self_Qty],T_SelfStock_Log[Part Name],$A10,T_SelfStock_Log[WeekIndex],80))</f>
        <v/>
      </c>
      <c r="CD10" s="17">
        <f>IF(COUNTIFS(T_SelfStock_Log[Part Name],$A10,T_SelfStock_Log[WeekIndex],81)=0,"",SUMIFS(T_SelfStock_Log[Self_Qty],T_SelfStock_Log[Part Name],$A10,T_SelfStock_Log[WeekIndex],81))</f>
        <v/>
      </c>
      <c r="CE10" s="17">
        <f>IF(COUNTIFS(T_SelfStock_Log[Part Name],$A10,T_SelfStock_Log[WeekIndex],82)=0,"",SUMIFS(T_SelfStock_Log[Self_Qty],T_SelfStock_Log[Part Name],$A10,T_SelfStock_Log[WeekIndex],82))</f>
        <v/>
      </c>
      <c r="CF10" s="17">
        <f>IF(COUNTIFS(T_SelfStock_Log[Part Name],$A10,T_SelfStock_Log[WeekIndex],83)=0,"",SUMIFS(T_SelfStock_Log[Self_Qty],T_SelfStock_Log[Part Name],$A10,T_SelfStock_Log[WeekIndex],83))</f>
        <v/>
      </c>
      <c r="CG10" s="17">
        <f>IF(COUNTIFS(T_SelfStock_Log[Part Name],$A10,T_SelfStock_Log[WeekIndex],84)=0,"",SUMIFS(T_SelfStock_Log[Self_Qty],T_SelfStock_Log[Part Name],$A10,T_SelfStock_Log[WeekIndex],84))</f>
        <v/>
      </c>
      <c r="CH10" s="17">
        <f>IF(COUNTIFS(T_SelfStock_Log[Part Name],$A10,T_SelfStock_Log[WeekIndex],85)=0,"",SUMIFS(T_SelfStock_Log[Self_Qty],T_SelfStock_Log[Part Name],$A10,T_SelfStock_Log[WeekIndex],85))</f>
        <v/>
      </c>
      <c r="CI10" s="17">
        <f>IF(COUNTIFS(T_SelfStock_Log[Part Name],$A10,T_SelfStock_Log[WeekIndex],86)=0,"",SUMIFS(T_SelfStock_Log[Self_Qty],T_SelfStock_Log[Part Name],$A10,T_SelfStock_Log[WeekIndex],86))</f>
        <v/>
      </c>
      <c r="CJ10" s="17">
        <f>IF(COUNTIFS(T_SelfStock_Log[Part Name],$A10,T_SelfStock_Log[WeekIndex],87)=0,"",SUMIFS(T_SelfStock_Log[Self_Qty],T_SelfStock_Log[Part Name],$A10,T_SelfStock_Log[WeekIndex],87))</f>
        <v/>
      </c>
      <c r="CK10" s="17">
        <f>IF(COUNTIFS(T_SelfStock_Log[Part Name],$A10,T_SelfStock_Log[WeekIndex],88)=0,"",SUMIFS(T_SelfStock_Log[Self_Qty],T_SelfStock_Log[Part Name],$A10,T_SelfStock_Log[WeekIndex],88))</f>
        <v/>
      </c>
      <c r="CL10" s="17">
        <f>IF(COUNTIFS(T_SelfStock_Log[Part Name],$A10,T_SelfStock_Log[WeekIndex],89)=0,"",SUMIFS(T_SelfStock_Log[Self_Qty],T_SelfStock_Log[Part Name],$A10,T_SelfStock_Log[WeekIndex],89))</f>
        <v/>
      </c>
      <c r="CM10" s="17">
        <f>IF(COUNTIFS(T_SelfStock_Log[Part Name],$A10,T_SelfStock_Log[WeekIndex],90)=0,"",SUMIFS(T_SelfStock_Log[Self_Qty],T_SelfStock_Log[Part Name],$A10,T_SelfStock_Log[WeekIndex],90))</f>
        <v/>
      </c>
      <c r="CN10" s="17">
        <f>IF(COUNTIFS(T_SelfStock_Log[Part Name],$A10,T_SelfStock_Log[WeekIndex],91)=0,"",SUMIFS(T_SelfStock_Log[Self_Qty],T_SelfStock_Log[Part Name],$A10,T_SelfStock_Log[WeekIndex],91))</f>
        <v/>
      </c>
      <c r="CO10" s="17">
        <f>IF(COUNTIFS(T_SelfStock_Log[Part Name],$A10,T_SelfStock_Log[WeekIndex],92)=0,"",SUMIFS(T_SelfStock_Log[Self_Qty],T_SelfStock_Log[Part Name],$A10,T_SelfStock_Log[WeekIndex],92))</f>
        <v/>
      </c>
      <c r="CP10" s="17">
        <f>IF(COUNTIFS(T_SelfStock_Log[Part Name],$A10,T_SelfStock_Log[WeekIndex],93)=0,"",SUMIFS(T_SelfStock_Log[Self_Qty],T_SelfStock_Log[Part Name],$A10,T_SelfStock_Log[WeekIndex],93))</f>
        <v/>
      </c>
      <c r="CQ10" s="17">
        <f>IF(COUNTIFS(T_SelfStock_Log[Part Name],$A10,T_SelfStock_Log[WeekIndex],94)=0,"",SUMIFS(T_SelfStock_Log[Self_Qty],T_SelfStock_Log[Part Name],$A10,T_SelfStock_Log[WeekIndex],94))</f>
        <v/>
      </c>
      <c r="CR10" s="17">
        <f>IF(COUNTIFS(T_SelfStock_Log[Part Name],$A10,T_SelfStock_Log[WeekIndex],95)=0,"",SUMIFS(T_SelfStock_Log[Self_Qty],T_SelfStock_Log[Part Name],$A10,T_SelfStock_Log[WeekIndex],95))</f>
        <v/>
      </c>
      <c r="CS10" s="17">
        <f>IF(COUNTIFS(T_SelfStock_Log[Part Name],$A10,T_SelfStock_Log[WeekIndex],96)=0,"",SUMIFS(T_SelfStock_Log[Self_Qty],T_SelfStock_Log[Part Name],$A10,T_SelfStock_Log[WeekIndex],96))</f>
        <v/>
      </c>
      <c r="CT10" s="17">
        <f>IF(COUNTIFS(T_SelfStock_Log[Part Name],$A10,T_SelfStock_Log[WeekIndex],97)=0,"",SUMIFS(T_SelfStock_Log[Self_Qty],T_SelfStock_Log[Part Name],$A10,T_SelfStock_Log[WeekIndex],97))</f>
        <v/>
      </c>
      <c r="CU10" s="17">
        <f>IF(COUNTIFS(T_SelfStock_Log[Part Name],$A10,T_SelfStock_Log[WeekIndex],98)=0,"",SUMIFS(T_SelfStock_Log[Self_Qty],T_SelfStock_Log[Part Name],$A10,T_SelfStock_Log[WeekIndex],98))</f>
        <v/>
      </c>
      <c r="CV10" s="17">
        <f>IF(COUNTIFS(T_SelfStock_Log[Part Name],$A10,T_SelfStock_Log[WeekIndex],99)=0,"",SUMIFS(T_SelfStock_Log[Self_Qty],T_SelfStock_Log[Part Name],$A10,T_SelfStock_Log[WeekIndex],99))</f>
        <v/>
      </c>
      <c r="CW10" s="17">
        <f>IF(COUNTIFS(T_SelfStock_Log[Part Name],$A10,T_SelfStock_Log[WeekIndex],100)=0,"",SUMIFS(T_SelfStock_Log[Self_Qty],T_SelfStock_Log[Part Name],$A10,T_SelfStock_Log[WeekIndex],100))</f>
        <v/>
      </c>
      <c r="CX10" s="17">
        <f>IF(COUNTIFS(T_SelfStock_Log[Part Name],$A10,T_SelfStock_Log[WeekIndex],101)=0,"",SUMIFS(T_SelfStock_Log[Self_Qty],T_SelfStock_Log[Part Name],$A10,T_SelfStock_Log[WeekIndex],101))</f>
        <v/>
      </c>
      <c r="CY10" s="17">
        <f>IF(COUNTIFS(T_SelfStock_Log[Part Name],$A10,T_SelfStock_Log[WeekIndex],102)=0,"",SUMIFS(T_SelfStock_Log[Self_Qty],T_SelfStock_Log[Part Name],$A10,T_SelfStock_Log[WeekIndex],102))</f>
        <v/>
      </c>
      <c r="CZ10" s="17">
        <f>IF(COUNTIFS(T_SelfStock_Log[Part Name],$A10,T_SelfStock_Log[WeekIndex],103)=0,"",SUMIFS(T_SelfStock_Log[Self_Qty],T_SelfStock_Log[Part Name],$A10,T_SelfStock_Log[WeekIndex],103))</f>
        <v/>
      </c>
      <c r="DA10" s="17">
        <f>IF(COUNTIFS(T_SelfStock_Log[Part Name],$A10,T_SelfStock_Log[WeekIndex],104)=0,"",SUMIFS(T_SelfStock_Log[Self_Qty],T_SelfStock_Log[Part Name],$A10,T_SelfStock_Log[WeekIndex],104))</f>
        <v/>
      </c>
    </row>
    <row r="11">
      <c r="A11" s="19" t="inlineStr">
        <is>
          <t>OJN</t>
        </is>
      </c>
      <c r="B11" s="19">
        <f>IF(COUNTIFS(T_SelfStock_Log[Part Name],$A11,T_SelfStock_Log[WeekIndex],1)=0,"",SUMIFS(T_SelfStock_Log[Self_Qty],T_SelfStock_Log[Part Name],$A11,T_SelfStock_Log[WeekIndex],1))</f>
        <v/>
      </c>
      <c r="C11" s="19">
        <f>IF(COUNTIFS(T_SelfStock_Log[Part Name],$A11,T_SelfStock_Log[WeekIndex],2)=0,"",SUMIFS(T_SelfStock_Log[Self_Qty],T_SelfStock_Log[Part Name],$A11,T_SelfStock_Log[WeekIndex],2))</f>
        <v/>
      </c>
      <c r="D11" s="19">
        <f>IF(COUNTIFS(T_SelfStock_Log[Part Name],$A11,T_SelfStock_Log[WeekIndex],3)=0,"",SUMIFS(T_SelfStock_Log[Self_Qty],T_SelfStock_Log[Part Name],$A11,T_SelfStock_Log[WeekIndex],3))</f>
        <v/>
      </c>
      <c r="E11" s="19">
        <f>IF(COUNTIFS(T_SelfStock_Log[Part Name],$A11,T_SelfStock_Log[WeekIndex],4)=0,"",SUMIFS(T_SelfStock_Log[Self_Qty],T_SelfStock_Log[Part Name],$A11,T_SelfStock_Log[WeekIndex],4))</f>
        <v/>
      </c>
      <c r="F11" s="19">
        <f>IF(COUNTIFS(T_SelfStock_Log[Part Name],$A11,T_SelfStock_Log[WeekIndex],5)=0,"",SUMIFS(T_SelfStock_Log[Self_Qty],T_SelfStock_Log[Part Name],$A11,T_SelfStock_Log[WeekIndex],5))</f>
        <v/>
      </c>
      <c r="G11" s="19">
        <f>IF(COUNTIFS(T_SelfStock_Log[Part Name],$A11,T_SelfStock_Log[WeekIndex],6)=0,"",SUMIFS(T_SelfStock_Log[Self_Qty],T_SelfStock_Log[Part Name],$A11,T_SelfStock_Log[WeekIndex],6))</f>
        <v/>
      </c>
      <c r="H11" s="19">
        <f>IF(COUNTIFS(T_SelfStock_Log[Part Name],$A11,T_SelfStock_Log[WeekIndex],7)=0,"",SUMIFS(T_SelfStock_Log[Self_Qty],T_SelfStock_Log[Part Name],$A11,T_SelfStock_Log[WeekIndex],7))</f>
        <v/>
      </c>
      <c r="I11" s="19">
        <f>IF(COUNTIFS(T_SelfStock_Log[Part Name],$A11,T_SelfStock_Log[WeekIndex],8)=0,"",SUMIFS(T_SelfStock_Log[Self_Qty],T_SelfStock_Log[Part Name],$A11,T_SelfStock_Log[WeekIndex],8))</f>
        <v/>
      </c>
      <c r="J11" s="19">
        <f>IF(COUNTIFS(T_SelfStock_Log[Part Name],$A11,T_SelfStock_Log[WeekIndex],9)=0,"",SUMIFS(T_SelfStock_Log[Self_Qty],T_SelfStock_Log[Part Name],$A11,T_SelfStock_Log[WeekIndex],9))</f>
        <v/>
      </c>
      <c r="K11" s="19">
        <f>IF(COUNTIFS(T_SelfStock_Log[Part Name],$A11,T_SelfStock_Log[WeekIndex],10)=0,"",SUMIFS(T_SelfStock_Log[Self_Qty],T_SelfStock_Log[Part Name],$A11,T_SelfStock_Log[WeekIndex],10))</f>
        <v/>
      </c>
      <c r="L11" s="19">
        <f>IF(COUNTIFS(T_SelfStock_Log[Part Name],$A11,T_SelfStock_Log[WeekIndex],11)=0,"",SUMIFS(T_SelfStock_Log[Self_Qty],T_SelfStock_Log[Part Name],$A11,T_SelfStock_Log[WeekIndex],11))</f>
        <v/>
      </c>
      <c r="M11" s="19">
        <f>IF(COUNTIFS(T_SelfStock_Log[Part Name],$A11,T_SelfStock_Log[WeekIndex],12)=0,"",SUMIFS(T_SelfStock_Log[Self_Qty],T_SelfStock_Log[Part Name],$A11,T_SelfStock_Log[WeekIndex],12))</f>
        <v/>
      </c>
      <c r="N11" s="19">
        <f>IF(COUNTIFS(T_SelfStock_Log[Part Name],$A11,T_SelfStock_Log[WeekIndex],13)=0,"",SUMIFS(T_SelfStock_Log[Self_Qty],T_SelfStock_Log[Part Name],$A11,T_SelfStock_Log[WeekIndex],13))</f>
        <v/>
      </c>
      <c r="O11" s="19">
        <f>IF(COUNTIFS(T_SelfStock_Log[Part Name],$A11,T_SelfStock_Log[WeekIndex],14)=0,"",SUMIFS(T_SelfStock_Log[Self_Qty],T_SelfStock_Log[Part Name],$A11,T_SelfStock_Log[WeekIndex],14))</f>
        <v/>
      </c>
      <c r="P11" s="19">
        <f>IF(COUNTIFS(T_SelfStock_Log[Part Name],$A11,T_SelfStock_Log[WeekIndex],15)=0,"",SUMIFS(T_SelfStock_Log[Self_Qty],T_SelfStock_Log[Part Name],$A11,T_SelfStock_Log[WeekIndex],15))</f>
        <v/>
      </c>
      <c r="Q11" s="19">
        <f>IF(COUNTIFS(T_SelfStock_Log[Part Name],$A11,T_SelfStock_Log[WeekIndex],16)=0,"",SUMIFS(T_SelfStock_Log[Self_Qty],T_SelfStock_Log[Part Name],$A11,T_SelfStock_Log[WeekIndex],16))</f>
        <v/>
      </c>
      <c r="R11" s="19">
        <f>IF(COUNTIFS(T_SelfStock_Log[Part Name],$A11,T_SelfStock_Log[WeekIndex],17)=0,"",SUMIFS(T_SelfStock_Log[Self_Qty],T_SelfStock_Log[Part Name],$A11,T_SelfStock_Log[WeekIndex],17))</f>
        <v/>
      </c>
      <c r="S11" s="19">
        <f>IF(COUNTIFS(T_SelfStock_Log[Part Name],$A11,T_SelfStock_Log[WeekIndex],18)=0,"",SUMIFS(T_SelfStock_Log[Self_Qty],T_SelfStock_Log[Part Name],$A11,T_SelfStock_Log[WeekIndex],18))</f>
        <v/>
      </c>
      <c r="T11" s="19">
        <f>IF(COUNTIFS(T_SelfStock_Log[Part Name],$A11,T_SelfStock_Log[WeekIndex],19)=0,"",SUMIFS(T_SelfStock_Log[Self_Qty],T_SelfStock_Log[Part Name],$A11,T_SelfStock_Log[WeekIndex],19))</f>
        <v/>
      </c>
      <c r="U11" s="19">
        <f>IF(COUNTIFS(T_SelfStock_Log[Part Name],$A11,T_SelfStock_Log[WeekIndex],20)=0,"",SUMIFS(T_SelfStock_Log[Self_Qty],T_SelfStock_Log[Part Name],$A11,T_SelfStock_Log[WeekIndex],20))</f>
        <v/>
      </c>
      <c r="V11" s="19">
        <f>IF(COUNTIFS(T_SelfStock_Log[Part Name],$A11,T_SelfStock_Log[WeekIndex],21)=0,"",SUMIFS(T_SelfStock_Log[Self_Qty],T_SelfStock_Log[Part Name],$A11,T_SelfStock_Log[WeekIndex],21))</f>
        <v/>
      </c>
      <c r="W11" s="19">
        <f>IF(COUNTIFS(T_SelfStock_Log[Part Name],$A11,T_SelfStock_Log[WeekIndex],22)=0,"",SUMIFS(T_SelfStock_Log[Self_Qty],T_SelfStock_Log[Part Name],$A11,T_SelfStock_Log[WeekIndex],22))</f>
        <v/>
      </c>
      <c r="X11" s="19">
        <f>IF(COUNTIFS(T_SelfStock_Log[Part Name],$A11,T_SelfStock_Log[WeekIndex],23)=0,"",SUMIFS(T_SelfStock_Log[Self_Qty],T_SelfStock_Log[Part Name],$A11,T_SelfStock_Log[WeekIndex],23))</f>
        <v/>
      </c>
      <c r="Y11" s="19">
        <f>IF(COUNTIFS(T_SelfStock_Log[Part Name],$A11,T_SelfStock_Log[WeekIndex],24)=0,"",SUMIFS(T_SelfStock_Log[Self_Qty],T_SelfStock_Log[Part Name],$A11,T_SelfStock_Log[WeekIndex],24))</f>
        <v/>
      </c>
      <c r="Z11" s="19">
        <f>IF(COUNTIFS(T_SelfStock_Log[Part Name],$A11,T_SelfStock_Log[WeekIndex],25)=0,"",SUMIFS(T_SelfStock_Log[Self_Qty],T_SelfStock_Log[Part Name],$A11,T_SelfStock_Log[WeekIndex],25))</f>
        <v/>
      </c>
      <c r="AA11" s="19">
        <f>IF(COUNTIFS(T_SelfStock_Log[Part Name],$A11,T_SelfStock_Log[WeekIndex],26)=0,"",SUMIFS(T_SelfStock_Log[Self_Qty],T_SelfStock_Log[Part Name],$A11,T_SelfStock_Log[WeekIndex],26))</f>
        <v/>
      </c>
      <c r="AB11" s="19">
        <f>IF(COUNTIFS(T_SelfStock_Log[Part Name],$A11,T_SelfStock_Log[WeekIndex],27)=0,"",SUMIFS(T_SelfStock_Log[Self_Qty],T_SelfStock_Log[Part Name],$A11,T_SelfStock_Log[WeekIndex],27))</f>
        <v/>
      </c>
      <c r="AC11" s="19">
        <f>IF(COUNTIFS(T_SelfStock_Log[Part Name],$A11,T_SelfStock_Log[WeekIndex],28)=0,"",SUMIFS(T_SelfStock_Log[Self_Qty],T_SelfStock_Log[Part Name],$A11,T_SelfStock_Log[WeekIndex],28))</f>
        <v/>
      </c>
      <c r="AD11" s="19">
        <f>IF(COUNTIFS(T_SelfStock_Log[Part Name],$A11,T_SelfStock_Log[WeekIndex],29)=0,"",SUMIFS(T_SelfStock_Log[Self_Qty],T_SelfStock_Log[Part Name],$A11,T_SelfStock_Log[WeekIndex],29))</f>
        <v/>
      </c>
      <c r="AE11" s="19">
        <f>IF(COUNTIFS(T_SelfStock_Log[Part Name],$A11,T_SelfStock_Log[WeekIndex],30)=0,"",SUMIFS(T_SelfStock_Log[Self_Qty],T_SelfStock_Log[Part Name],$A11,T_SelfStock_Log[WeekIndex],30))</f>
        <v/>
      </c>
      <c r="AF11" s="19">
        <f>IF(COUNTIFS(T_SelfStock_Log[Part Name],$A11,T_SelfStock_Log[WeekIndex],31)=0,"",SUMIFS(T_SelfStock_Log[Self_Qty],T_SelfStock_Log[Part Name],$A11,T_SelfStock_Log[WeekIndex],31))</f>
        <v/>
      </c>
      <c r="AG11" s="19">
        <f>IF(COUNTIFS(T_SelfStock_Log[Part Name],$A11,T_SelfStock_Log[WeekIndex],32)=0,"",SUMIFS(T_SelfStock_Log[Self_Qty],T_SelfStock_Log[Part Name],$A11,T_SelfStock_Log[WeekIndex],32))</f>
        <v/>
      </c>
      <c r="AH11" s="19">
        <f>IF(COUNTIFS(T_SelfStock_Log[Part Name],$A11,T_SelfStock_Log[WeekIndex],33)=0,"",SUMIFS(T_SelfStock_Log[Self_Qty],T_SelfStock_Log[Part Name],$A11,T_SelfStock_Log[WeekIndex],33))</f>
        <v/>
      </c>
      <c r="AI11" s="19">
        <f>IF(COUNTIFS(T_SelfStock_Log[Part Name],$A11,T_SelfStock_Log[WeekIndex],34)=0,"",SUMIFS(T_SelfStock_Log[Self_Qty],T_SelfStock_Log[Part Name],$A11,T_SelfStock_Log[WeekIndex],34))</f>
        <v/>
      </c>
      <c r="AJ11" s="19">
        <f>IF(COUNTIFS(T_SelfStock_Log[Part Name],$A11,T_SelfStock_Log[WeekIndex],35)=0,"",SUMIFS(T_SelfStock_Log[Self_Qty],T_SelfStock_Log[Part Name],$A11,T_SelfStock_Log[WeekIndex],35))</f>
        <v/>
      </c>
      <c r="AK11" s="19">
        <f>IF(COUNTIFS(T_SelfStock_Log[Part Name],$A11,T_SelfStock_Log[WeekIndex],36)=0,"",SUMIFS(T_SelfStock_Log[Self_Qty],T_SelfStock_Log[Part Name],$A11,T_SelfStock_Log[WeekIndex],36))</f>
        <v/>
      </c>
      <c r="AL11" s="19">
        <f>IF(COUNTIFS(T_SelfStock_Log[Part Name],$A11,T_SelfStock_Log[WeekIndex],37)=0,"",SUMIFS(T_SelfStock_Log[Self_Qty],T_SelfStock_Log[Part Name],$A11,T_SelfStock_Log[WeekIndex],37))</f>
        <v/>
      </c>
      <c r="AM11" s="19">
        <f>IF(COUNTIFS(T_SelfStock_Log[Part Name],$A11,T_SelfStock_Log[WeekIndex],38)=0,"",SUMIFS(T_SelfStock_Log[Self_Qty],T_SelfStock_Log[Part Name],$A11,T_SelfStock_Log[WeekIndex],38))</f>
        <v/>
      </c>
      <c r="AN11" s="19">
        <f>IF(COUNTIFS(T_SelfStock_Log[Part Name],$A11,T_SelfStock_Log[WeekIndex],39)=0,"",SUMIFS(T_SelfStock_Log[Self_Qty],T_SelfStock_Log[Part Name],$A11,T_SelfStock_Log[WeekIndex],39))</f>
        <v/>
      </c>
      <c r="AO11" s="19">
        <f>IF(COUNTIFS(T_SelfStock_Log[Part Name],$A11,T_SelfStock_Log[WeekIndex],40)=0,"",SUMIFS(T_SelfStock_Log[Self_Qty],T_SelfStock_Log[Part Name],$A11,T_SelfStock_Log[WeekIndex],40))</f>
        <v/>
      </c>
      <c r="AP11" s="19">
        <f>IF(COUNTIFS(T_SelfStock_Log[Part Name],$A11,T_SelfStock_Log[WeekIndex],41)=0,"",SUMIFS(T_SelfStock_Log[Self_Qty],T_SelfStock_Log[Part Name],$A11,T_SelfStock_Log[WeekIndex],41))</f>
        <v/>
      </c>
      <c r="AQ11" s="19">
        <f>IF(COUNTIFS(T_SelfStock_Log[Part Name],$A11,T_SelfStock_Log[WeekIndex],42)=0,"",SUMIFS(T_SelfStock_Log[Self_Qty],T_SelfStock_Log[Part Name],$A11,T_SelfStock_Log[WeekIndex],42))</f>
        <v/>
      </c>
      <c r="AR11" s="19">
        <f>IF(COUNTIFS(T_SelfStock_Log[Part Name],$A11,T_SelfStock_Log[WeekIndex],43)=0,"",SUMIFS(T_SelfStock_Log[Self_Qty],T_SelfStock_Log[Part Name],$A11,T_SelfStock_Log[WeekIndex],43))</f>
        <v/>
      </c>
      <c r="AS11" s="19">
        <f>IF(COUNTIFS(T_SelfStock_Log[Part Name],$A11,T_SelfStock_Log[WeekIndex],44)=0,"",SUMIFS(T_SelfStock_Log[Self_Qty],T_SelfStock_Log[Part Name],$A11,T_SelfStock_Log[WeekIndex],44))</f>
        <v/>
      </c>
      <c r="AT11" s="19">
        <f>IF(COUNTIFS(T_SelfStock_Log[Part Name],$A11,T_SelfStock_Log[WeekIndex],45)=0,"",SUMIFS(T_SelfStock_Log[Self_Qty],T_SelfStock_Log[Part Name],$A11,T_SelfStock_Log[WeekIndex],45))</f>
        <v/>
      </c>
      <c r="AU11" s="19">
        <f>IF(COUNTIFS(T_SelfStock_Log[Part Name],$A11,T_SelfStock_Log[WeekIndex],46)=0,"",SUMIFS(T_SelfStock_Log[Self_Qty],T_SelfStock_Log[Part Name],$A11,T_SelfStock_Log[WeekIndex],46))</f>
        <v/>
      </c>
      <c r="AV11" s="19">
        <f>IF(COUNTIFS(T_SelfStock_Log[Part Name],$A11,T_SelfStock_Log[WeekIndex],47)=0,"",SUMIFS(T_SelfStock_Log[Self_Qty],T_SelfStock_Log[Part Name],$A11,T_SelfStock_Log[WeekIndex],47))</f>
        <v/>
      </c>
      <c r="AW11" s="19">
        <f>IF(COUNTIFS(T_SelfStock_Log[Part Name],$A11,T_SelfStock_Log[WeekIndex],48)=0,"",SUMIFS(T_SelfStock_Log[Self_Qty],T_SelfStock_Log[Part Name],$A11,T_SelfStock_Log[WeekIndex],48))</f>
        <v/>
      </c>
      <c r="AX11" s="19">
        <f>IF(COUNTIFS(T_SelfStock_Log[Part Name],$A11,T_SelfStock_Log[WeekIndex],49)=0,"",SUMIFS(T_SelfStock_Log[Self_Qty],T_SelfStock_Log[Part Name],$A11,T_SelfStock_Log[WeekIndex],49))</f>
        <v/>
      </c>
      <c r="AY11" s="19">
        <f>IF(COUNTIFS(T_SelfStock_Log[Part Name],$A11,T_SelfStock_Log[WeekIndex],50)=0,"",SUMIFS(T_SelfStock_Log[Self_Qty],T_SelfStock_Log[Part Name],$A11,T_SelfStock_Log[WeekIndex],50))</f>
        <v/>
      </c>
      <c r="AZ11" s="19">
        <f>IF(COUNTIFS(T_SelfStock_Log[Part Name],$A11,T_SelfStock_Log[WeekIndex],51)=0,"",SUMIFS(T_SelfStock_Log[Self_Qty],T_SelfStock_Log[Part Name],$A11,T_SelfStock_Log[WeekIndex],51))</f>
        <v/>
      </c>
      <c r="BA11" s="19">
        <f>IF(COUNTIFS(T_SelfStock_Log[Part Name],$A11,T_SelfStock_Log[WeekIndex],52)=0,"",SUMIFS(T_SelfStock_Log[Self_Qty],T_SelfStock_Log[Part Name],$A11,T_SelfStock_Log[WeekIndex],52))</f>
        <v/>
      </c>
      <c r="BB11" s="19">
        <f>IF(COUNTIFS(T_SelfStock_Log[Part Name],$A11,T_SelfStock_Log[WeekIndex],53)=0,"",SUMIFS(T_SelfStock_Log[Self_Qty],T_SelfStock_Log[Part Name],$A11,T_SelfStock_Log[WeekIndex],53))</f>
        <v/>
      </c>
      <c r="BC11" s="19">
        <f>IF(COUNTIFS(T_SelfStock_Log[Part Name],$A11,T_SelfStock_Log[WeekIndex],54)=0,"",SUMIFS(T_SelfStock_Log[Self_Qty],T_SelfStock_Log[Part Name],$A11,T_SelfStock_Log[WeekIndex],54))</f>
        <v/>
      </c>
      <c r="BD11" s="19">
        <f>IF(COUNTIFS(T_SelfStock_Log[Part Name],$A11,T_SelfStock_Log[WeekIndex],55)=0,"",SUMIFS(T_SelfStock_Log[Self_Qty],T_SelfStock_Log[Part Name],$A11,T_SelfStock_Log[WeekIndex],55))</f>
        <v/>
      </c>
      <c r="BE11" s="19">
        <f>IF(COUNTIFS(T_SelfStock_Log[Part Name],$A11,T_SelfStock_Log[WeekIndex],56)=0,"",SUMIFS(T_SelfStock_Log[Self_Qty],T_SelfStock_Log[Part Name],$A11,T_SelfStock_Log[WeekIndex],56))</f>
        <v/>
      </c>
      <c r="BF11" s="19">
        <f>IF(COUNTIFS(T_SelfStock_Log[Part Name],$A11,T_SelfStock_Log[WeekIndex],57)=0,"",SUMIFS(T_SelfStock_Log[Self_Qty],T_SelfStock_Log[Part Name],$A11,T_SelfStock_Log[WeekIndex],57))</f>
        <v/>
      </c>
      <c r="BG11" s="19">
        <f>IF(COUNTIFS(T_SelfStock_Log[Part Name],$A11,T_SelfStock_Log[WeekIndex],58)=0,"",SUMIFS(T_SelfStock_Log[Self_Qty],T_SelfStock_Log[Part Name],$A11,T_SelfStock_Log[WeekIndex],58))</f>
        <v/>
      </c>
      <c r="BH11" s="19">
        <f>IF(COUNTIFS(T_SelfStock_Log[Part Name],$A11,T_SelfStock_Log[WeekIndex],59)=0,"",SUMIFS(T_SelfStock_Log[Self_Qty],T_SelfStock_Log[Part Name],$A11,T_SelfStock_Log[WeekIndex],59))</f>
        <v/>
      </c>
      <c r="BI11" s="19">
        <f>IF(COUNTIFS(T_SelfStock_Log[Part Name],$A11,T_SelfStock_Log[WeekIndex],60)=0,"",SUMIFS(T_SelfStock_Log[Self_Qty],T_SelfStock_Log[Part Name],$A11,T_SelfStock_Log[WeekIndex],60))</f>
        <v/>
      </c>
      <c r="BJ11" s="19">
        <f>IF(COUNTIFS(T_SelfStock_Log[Part Name],$A11,T_SelfStock_Log[WeekIndex],61)=0,"",SUMIFS(T_SelfStock_Log[Self_Qty],T_SelfStock_Log[Part Name],$A11,T_SelfStock_Log[WeekIndex],61))</f>
        <v/>
      </c>
      <c r="BK11" s="19">
        <f>IF(COUNTIFS(T_SelfStock_Log[Part Name],$A11,T_SelfStock_Log[WeekIndex],62)=0,"",SUMIFS(T_SelfStock_Log[Self_Qty],T_SelfStock_Log[Part Name],$A11,T_SelfStock_Log[WeekIndex],62))</f>
        <v/>
      </c>
      <c r="BL11" s="19">
        <f>IF(COUNTIFS(T_SelfStock_Log[Part Name],$A11,T_SelfStock_Log[WeekIndex],63)=0,"",SUMIFS(T_SelfStock_Log[Self_Qty],T_SelfStock_Log[Part Name],$A11,T_SelfStock_Log[WeekIndex],63))</f>
        <v/>
      </c>
      <c r="BM11" s="19">
        <f>IF(COUNTIFS(T_SelfStock_Log[Part Name],$A11,T_SelfStock_Log[WeekIndex],64)=0,"",SUMIFS(T_SelfStock_Log[Self_Qty],T_SelfStock_Log[Part Name],$A11,T_SelfStock_Log[WeekIndex],64))</f>
        <v/>
      </c>
      <c r="BN11" s="19">
        <f>IF(COUNTIFS(T_SelfStock_Log[Part Name],$A11,T_SelfStock_Log[WeekIndex],65)=0,"",SUMIFS(T_SelfStock_Log[Self_Qty],T_SelfStock_Log[Part Name],$A11,T_SelfStock_Log[WeekIndex],65))</f>
        <v/>
      </c>
      <c r="BO11" s="19">
        <f>IF(COUNTIFS(T_SelfStock_Log[Part Name],$A11,T_SelfStock_Log[WeekIndex],66)=0,"",SUMIFS(T_SelfStock_Log[Self_Qty],T_SelfStock_Log[Part Name],$A11,T_SelfStock_Log[WeekIndex],66))</f>
        <v/>
      </c>
      <c r="BP11" s="19">
        <f>IF(COUNTIFS(T_SelfStock_Log[Part Name],$A11,T_SelfStock_Log[WeekIndex],67)=0,"",SUMIFS(T_SelfStock_Log[Self_Qty],T_SelfStock_Log[Part Name],$A11,T_SelfStock_Log[WeekIndex],67))</f>
        <v/>
      </c>
      <c r="BQ11" s="19">
        <f>IF(COUNTIFS(T_SelfStock_Log[Part Name],$A11,T_SelfStock_Log[WeekIndex],68)=0,"",SUMIFS(T_SelfStock_Log[Self_Qty],T_SelfStock_Log[Part Name],$A11,T_SelfStock_Log[WeekIndex],68))</f>
        <v/>
      </c>
      <c r="BR11" s="19">
        <f>IF(COUNTIFS(T_SelfStock_Log[Part Name],$A11,T_SelfStock_Log[WeekIndex],69)=0,"",SUMIFS(T_SelfStock_Log[Self_Qty],T_SelfStock_Log[Part Name],$A11,T_SelfStock_Log[WeekIndex],69))</f>
        <v/>
      </c>
      <c r="BS11" s="19">
        <f>IF(COUNTIFS(T_SelfStock_Log[Part Name],$A11,T_SelfStock_Log[WeekIndex],70)=0,"",SUMIFS(T_SelfStock_Log[Self_Qty],T_SelfStock_Log[Part Name],$A11,T_SelfStock_Log[WeekIndex],70))</f>
        <v/>
      </c>
      <c r="BT11" s="19">
        <f>IF(COUNTIFS(T_SelfStock_Log[Part Name],$A11,T_SelfStock_Log[WeekIndex],71)=0,"",SUMIFS(T_SelfStock_Log[Self_Qty],T_SelfStock_Log[Part Name],$A11,T_SelfStock_Log[WeekIndex],71))</f>
        <v/>
      </c>
      <c r="BU11" s="19">
        <f>IF(COUNTIFS(T_SelfStock_Log[Part Name],$A11,T_SelfStock_Log[WeekIndex],72)=0,"",SUMIFS(T_SelfStock_Log[Self_Qty],T_SelfStock_Log[Part Name],$A11,T_SelfStock_Log[WeekIndex],72))</f>
        <v/>
      </c>
      <c r="BV11" s="19">
        <f>IF(COUNTIFS(T_SelfStock_Log[Part Name],$A11,T_SelfStock_Log[WeekIndex],73)=0,"",SUMIFS(T_SelfStock_Log[Self_Qty],T_SelfStock_Log[Part Name],$A11,T_SelfStock_Log[WeekIndex],73))</f>
        <v/>
      </c>
      <c r="BW11" s="19">
        <f>IF(COUNTIFS(T_SelfStock_Log[Part Name],$A11,T_SelfStock_Log[WeekIndex],74)=0,"",SUMIFS(T_SelfStock_Log[Self_Qty],T_SelfStock_Log[Part Name],$A11,T_SelfStock_Log[WeekIndex],74))</f>
        <v/>
      </c>
      <c r="BX11" s="19">
        <f>IF(COUNTIFS(T_SelfStock_Log[Part Name],$A11,T_SelfStock_Log[WeekIndex],75)=0,"",SUMIFS(T_SelfStock_Log[Self_Qty],T_SelfStock_Log[Part Name],$A11,T_SelfStock_Log[WeekIndex],75))</f>
        <v/>
      </c>
      <c r="BY11" s="19">
        <f>IF(COUNTIFS(T_SelfStock_Log[Part Name],$A11,T_SelfStock_Log[WeekIndex],76)=0,"",SUMIFS(T_SelfStock_Log[Self_Qty],T_SelfStock_Log[Part Name],$A11,T_SelfStock_Log[WeekIndex],76))</f>
        <v/>
      </c>
      <c r="BZ11" s="19">
        <f>IF(COUNTIFS(T_SelfStock_Log[Part Name],$A11,T_SelfStock_Log[WeekIndex],77)=0,"",SUMIFS(T_SelfStock_Log[Self_Qty],T_SelfStock_Log[Part Name],$A11,T_SelfStock_Log[WeekIndex],77))</f>
        <v/>
      </c>
      <c r="CA11" s="19">
        <f>IF(COUNTIFS(T_SelfStock_Log[Part Name],$A11,T_SelfStock_Log[WeekIndex],78)=0,"",SUMIFS(T_SelfStock_Log[Self_Qty],T_SelfStock_Log[Part Name],$A11,T_SelfStock_Log[WeekIndex],78))</f>
        <v/>
      </c>
      <c r="CB11" s="19">
        <f>IF(COUNTIFS(T_SelfStock_Log[Part Name],$A11,T_SelfStock_Log[WeekIndex],79)=0,"",SUMIFS(T_SelfStock_Log[Self_Qty],T_SelfStock_Log[Part Name],$A11,T_SelfStock_Log[WeekIndex],79))</f>
        <v/>
      </c>
      <c r="CC11" s="19">
        <f>IF(COUNTIFS(T_SelfStock_Log[Part Name],$A11,T_SelfStock_Log[WeekIndex],80)=0,"",SUMIFS(T_SelfStock_Log[Self_Qty],T_SelfStock_Log[Part Name],$A11,T_SelfStock_Log[WeekIndex],80))</f>
        <v/>
      </c>
      <c r="CD11" s="19">
        <f>IF(COUNTIFS(T_SelfStock_Log[Part Name],$A11,T_SelfStock_Log[WeekIndex],81)=0,"",SUMIFS(T_SelfStock_Log[Self_Qty],T_SelfStock_Log[Part Name],$A11,T_SelfStock_Log[WeekIndex],81))</f>
        <v/>
      </c>
      <c r="CE11" s="19">
        <f>IF(COUNTIFS(T_SelfStock_Log[Part Name],$A11,T_SelfStock_Log[WeekIndex],82)=0,"",SUMIFS(T_SelfStock_Log[Self_Qty],T_SelfStock_Log[Part Name],$A11,T_SelfStock_Log[WeekIndex],82))</f>
        <v/>
      </c>
      <c r="CF11" s="19">
        <f>IF(COUNTIFS(T_SelfStock_Log[Part Name],$A11,T_SelfStock_Log[WeekIndex],83)=0,"",SUMIFS(T_SelfStock_Log[Self_Qty],T_SelfStock_Log[Part Name],$A11,T_SelfStock_Log[WeekIndex],83))</f>
        <v/>
      </c>
      <c r="CG11" s="19">
        <f>IF(COUNTIFS(T_SelfStock_Log[Part Name],$A11,T_SelfStock_Log[WeekIndex],84)=0,"",SUMIFS(T_SelfStock_Log[Self_Qty],T_SelfStock_Log[Part Name],$A11,T_SelfStock_Log[WeekIndex],84))</f>
        <v/>
      </c>
      <c r="CH11" s="19">
        <f>IF(COUNTIFS(T_SelfStock_Log[Part Name],$A11,T_SelfStock_Log[WeekIndex],85)=0,"",SUMIFS(T_SelfStock_Log[Self_Qty],T_SelfStock_Log[Part Name],$A11,T_SelfStock_Log[WeekIndex],85))</f>
        <v/>
      </c>
      <c r="CI11" s="19">
        <f>IF(COUNTIFS(T_SelfStock_Log[Part Name],$A11,T_SelfStock_Log[WeekIndex],86)=0,"",SUMIFS(T_SelfStock_Log[Self_Qty],T_SelfStock_Log[Part Name],$A11,T_SelfStock_Log[WeekIndex],86))</f>
        <v/>
      </c>
      <c r="CJ11" s="19">
        <f>IF(COUNTIFS(T_SelfStock_Log[Part Name],$A11,T_SelfStock_Log[WeekIndex],87)=0,"",SUMIFS(T_SelfStock_Log[Self_Qty],T_SelfStock_Log[Part Name],$A11,T_SelfStock_Log[WeekIndex],87))</f>
        <v/>
      </c>
      <c r="CK11" s="19">
        <f>IF(COUNTIFS(T_SelfStock_Log[Part Name],$A11,T_SelfStock_Log[WeekIndex],88)=0,"",SUMIFS(T_SelfStock_Log[Self_Qty],T_SelfStock_Log[Part Name],$A11,T_SelfStock_Log[WeekIndex],88))</f>
        <v/>
      </c>
      <c r="CL11" s="19">
        <f>IF(COUNTIFS(T_SelfStock_Log[Part Name],$A11,T_SelfStock_Log[WeekIndex],89)=0,"",SUMIFS(T_SelfStock_Log[Self_Qty],T_SelfStock_Log[Part Name],$A11,T_SelfStock_Log[WeekIndex],89))</f>
        <v/>
      </c>
      <c r="CM11" s="19">
        <f>IF(COUNTIFS(T_SelfStock_Log[Part Name],$A11,T_SelfStock_Log[WeekIndex],90)=0,"",SUMIFS(T_SelfStock_Log[Self_Qty],T_SelfStock_Log[Part Name],$A11,T_SelfStock_Log[WeekIndex],90))</f>
        <v/>
      </c>
      <c r="CN11" s="19">
        <f>IF(COUNTIFS(T_SelfStock_Log[Part Name],$A11,T_SelfStock_Log[WeekIndex],91)=0,"",SUMIFS(T_SelfStock_Log[Self_Qty],T_SelfStock_Log[Part Name],$A11,T_SelfStock_Log[WeekIndex],91))</f>
        <v/>
      </c>
      <c r="CO11" s="19">
        <f>IF(COUNTIFS(T_SelfStock_Log[Part Name],$A11,T_SelfStock_Log[WeekIndex],92)=0,"",SUMIFS(T_SelfStock_Log[Self_Qty],T_SelfStock_Log[Part Name],$A11,T_SelfStock_Log[WeekIndex],92))</f>
        <v/>
      </c>
      <c r="CP11" s="19">
        <f>IF(COUNTIFS(T_SelfStock_Log[Part Name],$A11,T_SelfStock_Log[WeekIndex],93)=0,"",SUMIFS(T_SelfStock_Log[Self_Qty],T_SelfStock_Log[Part Name],$A11,T_SelfStock_Log[WeekIndex],93))</f>
        <v/>
      </c>
      <c r="CQ11" s="19">
        <f>IF(COUNTIFS(T_SelfStock_Log[Part Name],$A11,T_SelfStock_Log[WeekIndex],94)=0,"",SUMIFS(T_SelfStock_Log[Self_Qty],T_SelfStock_Log[Part Name],$A11,T_SelfStock_Log[WeekIndex],94))</f>
        <v/>
      </c>
      <c r="CR11" s="19">
        <f>IF(COUNTIFS(T_SelfStock_Log[Part Name],$A11,T_SelfStock_Log[WeekIndex],95)=0,"",SUMIFS(T_SelfStock_Log[Self_Qty],T_SelfStock_Log[Part Name],$A11,T_SelfStock_Log[WeekIndex],95))</f>
        <v/>
      </c>
      <c r="CS11" s="19">
        <f>IF(COUNTIFS(T_SelfStock_Log[Part Name],$A11,T_SelfStock_Log[WeekIndex],96)=0,"",SUMIFS(T_SelfStock_Log[Self_Qty],T_SelfStock_Log[Part Name],$A11,T_SelfStock_Log[WeekIndex],96))</f>
        <v/>
      </c>
      <c r="CT11" s="19">
        <f>IF(COUNTIFS(T_SelfStock_Log[Part Name],$A11,T_SelfStock_Log[WeekIndex],97)=0,"",SUMIFS(T_SelfStock_Log[Self_Qty],T_SelfStock_Log[Part Name],$A11,T_SelfStock_Log[WeekIndex],97))</f>
        <v/>
      </c>
      <c r="CU11" s="19">
        <f>IF(COUNTIFS(T_SelfStock_Log[Part Name],$A11,T_SelfStock_Log[WeekIndex],98)=0,"",SUMIFS(T_SelfStock_Log[Self_Qty],T_SelfStock_Log[Part Name],$A11,T_SelfStock_Log[WeekIndex],98))</f>
        <v/>
      </c>
      <c r="CV11" s="19">
        <f>IF(COUNTIFS(T_SelfStock_Log[Part Name],$A11,T_SelfStock_Log[WeekIndex],99)=0,"",SUMIFS(T_SelfStock_Log[Self_Qty],T_SelfStock_Log[Part Name],$A11,T_SelfStock_Log[WeekIndex],99))</f>
        <v/>
      </c>
      <c r="CW11" s="19">
        <f>IF(COUNTIFS(T_SelfStock_Log[Part Name],$A11,T_SelfStock_Log[WeekIndex],100)=0,"",SUMIFS(T_SelfStock_Log[Self_Qty],T_SelfStock_Log[Part Name],$A11,T_SelfStock_Log[WeekIndex],100))</f>
        <v/>
      </c>
      <c r="CX11" s="19">
        <f>IF(COUNTIFS(T_SelfStock_Log[Part Name],$A11,T_SelfStock_Log[WeekIndex],101)=0,"",SUMIFS(T_SelfStock_Log[Self_Qty],T_SelfStock_Log[Part Name],$A11,T_SelfStock_Log[WeekIndex],101))</f>
        <v/>
      </c>
      <c r="CY11" s="19">
        <f>IF(COUNTIFS(T_SelfStock_Log[Part Name],$A11,T_SelfStock_Log[WeekIndex],102)=0,"",SUMIFS(T_SelfStock_Log[Self_Qty],T_SelfStock_Log[Part Name],$A11,T_SelfStock_Log[WeekIndex],102))</f>
        <v/>
      </c>
      <c r="CZ11" s="19">
        <f>IF(COUNTIFS(T_SelfStock_Log[Part Name],$A11,T_SelfStock_Log[WeekIndex],103)=0,"",SUMIFS(T_SelfStock_Log[Self_Qty],T_SelfStock_Log[Part Name],$A11,T_SelfStock_Log[WeekIndex],103))</f>
        <v/>
      </c>
      <c r="DA11" s="19">
        <f>IF(COUNTIFS(T_SelfStock_Log[Part Name],$A11,T_SelfStock_Log[WeekIndex],104)=0,"",SUMIFS(T_SelfStock_Log[Self_Qty],T_SelfStock_Log[Part Name],$A11,T_SelfStock_Log[WeekIndex],104))</f>
        <v/>
      </c>
    </row>
    <row r="12">
      <c r="A12" s="17" t="inlineStr">
        <is>
          <t>TDJ</t>
        </is>
      </c>
      <c r="B12" s="17">
        <f>IF(COUNTIFS(T_SelfStock_Log[Part Name],$A12,T_SelfStock_Log[WeekIndex],1)=0,"",SUMIFS(T_SelfStock_Log[Self_Qty],T_SelfStock_Log[Part Name],$A12,T_SelfStock_Log[WeekIndex],1))</f>
        <v/>
      </c>
      <c r="C12" s="17">
        <f>IF(COUNTIFS(T_SelfStock_Log[Part Name],$A12,T_SelfStock_Log[WeekIndex],2)=0,"",SUMIFS(T_SelfStock_Log[Self_Qty],T_SelfStock_Log[Part Name],$A12,T_SelfStock_Log[WeekIndex],2))</f>
        <v/>
      </c>
      <c r="D12" s="17">
        <f>IF(COUNTIFS(T_SelfStock_Log[Part Name],$A12,T_SelfStock_Log[WeekIndex],3)=0,"",SUMIFS(T_SelfStock_Log[Self_Qty],T_SelfStock_Log[Part Name],$A12,T_SelfStock_Log[WeekIndex],3))</f>
        <v/>
      </c>
      <c r="E12" s="17">
        <f>IF(COUNTIFS(T_SelfStock_Log[Part Name],$A12,T_SelfStock_Log[WeekIndex],4)=0,"",SUMIFS(T_SelfStock_Log[Self_Qty],T_SelfStock_Log[Part Name],$A12,T_SelfStock_Log[WeekIndex],4))</f>
        <v/>
      </c>
      <c r="F12" s="17">
        <f>IF(COUNTIFS(T_SelfStock_Log[Part Name],$A12,T_SelfStock_Log[WeekIndex],5)=0,"",SUMIFS(T_SelfStock_Log[Self_Qty],T_SelfStock_Log[Part Name],$A12,T_SelfStock_Log[WeekIndex],5))</f>
        <v/>
      </c>
      <c r="G12" s="17">
        <f>IF(COUNTIFS(T_SelfStock_Log[Part Name],$A12,T_SelfStock_Log[WeekIndex],6)=0,"",SUMIFS(T_SelfStock_Log[Self_Qty],T_SelfStock_Log[Part Name],$A12,T_SelfStock_Log[WeekIndex],6))</f>
        <v/>
      </c>
      <c r="H12" s="17">
        <f>IF(COUNTIFS(T_SelfStock_Log[Part Name],$A12,T_SelfStock_Log[WeekIndex],7)=0,"",SUMIFS(T_SelfStock_Log[Self_Qty],T_SelfStock_Log[Part Name],$A12,T_SelfStock_Log[WeekIndex],7))</f>
        <v/>
      </c>
      <c r="I12" s="17">
        <f>IF(COUNTIFS(T_SelfStock_Log[Part Name],$A12,T_SelfStock_Log[WeekIndex],8)=0,"",SUMIFS(T_SelfStock_Log[Self_Qty],T_SelfStock_Log[Part Name],$A12,T_SelfStock_Log[WeekIndex],8))</f>
        <v/>
      </c>
      <c r="J12" s="17">
        <f>IF(COUNTIFS(T_SelfStock_Log[Part Name],$A12,T_SelfStock_Log[WeekIndex],9)=0,"",SUMIFS(T_SelfStock_Log[Self_Qty],T_SelfStock_Log[Part Name],$A12,T_SelfStock_Log[WeekIndex],9))</f>
        <v/>
      </c>
      <c r="K12" s="17">
        <f>IF(COUNTIFS(T_SelfStock_Log[Part Name],$A12,T_SelfStock_Log[WeekIndex],10)=0,"",SUMIFS(T_SelfStock_Log[Self_Qty],T_SelfStock_Log[Part Name],$A12,T_SelfStock_Log[WeekIndex],10))</f>
        <v/>
      </c>
      <c r="L12" s="17">
        <f>IF(COUNTIFS(T_SelfStock_Log[Part Name],$A12,T_SelfStock_Log[WeekIndex],11)=0,"",SUMIFS(T_SelfStock_Log[Self_Qty],T_SelfStock_Log[Part Name],$A12,T_SelfStock_Log[WeekIndex],11))</f>
        <v/>
      </c>
      <c r="M12" s="17">
        <f>IF(COUNTIFS(T_SelfStock_Log[Part Name],$A12,T_SelfStock_Log[WeekIndex],12)=0,"",SUMIFS(T_SelfStock_Log[Self_Qty],T_SelfStock_Log[Part Name],$A12,T_SelfStock_Log[WeekIndex],12))</f>
        <v/>
      </c>
      <c r="N12" s="17">
        <f>IF(COUNTIFS(T_SelfStock_Log[Part Name],$A12,T_SelfStock_Log[WeekIndex],13)=0,"",SUMIFS(T_SelfStock_Log[Self_Qty],T_SelfStock_Log[Part Name],$A12,T_SelfStock_Log[WeekIndex],13))</f>
        <v/>
      </c>
      <c r="O12" s="17">
        <f>IF(COUNTIFS(T_SelfStock_Log[Part Name],$A12,T_SelfStock_Log[WeekIndex],14)=0,"",SUMIFS(T_SelfStock_Log[Self_Qty],T_SelfStock_Log[Part Name],$A12,T_SelfStock_Log[WeekIndex],14))</f>
        <v/>
      </c>
      <c r="P12" s="17">
        <f>IF(COUNTIFS(T_SelfStock_Log[Part Name],$A12,T_SelfStock_Log[WeekIndex],15)=0,"",SUMIFS(T_SelfStock_Log[Self_Qty],T_SelfStock_Log[Part Name],$A12,T_SelfStock_Log[WeekIndex],15))</f>
        <v/>
      </c>
      <c r="Q12" s="17">
        <f>IF(COUNTIFS(T_SelfStock_Log[Part Name],$A12,T_SelfStock_Log[WeekIndex],16)=0,"",SUMIFS(T_SelfStock_Log[Self_Qty],T_SelfStock_Log[Part Name],$A12,T_SelfStock_Log[WeekIndex],16))</f>
        <v/>
      </c>
      <c r="R12" s="17">
        <f>IF(COUNTIFS(T_SelfStock_Log[Part Name],$A12,T_SelfStock_Log[WeekIndex],17)=0,"",SUMIFS(T_SelfStock_Log[Self_Qty],T_SelfStock_Log[Part Name],$A12,T_SelfStock_Log[WeekIndex],17))</f>
        <v/>
      </c>
      <c r="S12" s="17">
        <f>IF(COUNTIFS(T_SelfStock_Log[Part Name],$A12,T_SelfStock_Log[WeekIndex],18)=0,"",SUMIFS(T_SelfStock_Log[Self_Qty],T_SelfStock_Log[Part Name],$A12,T_SelfStock_Log[WeekIndex],18))</f>
        <v/>
      </c>
      <c r="T12" s="17">
        <f>IF(COUNTIFS(T_SelfStock_Log[Part Name],$A12,T_SelfStock_Log[WeekIndex],19)=0,"",SUMIFS(T_SelfStock_Log[Self_Qty],T_SelfStock_Log[Part Name],$A12,T_SelfStock_Log[WeekIndex],19))</f>
        <v/>
      </c>
      <c r="U12" s="17">
        <f>IF(COUNTIFS(T_SelfStock_Log[Part Name],$A12,T_SelfStock_Log[WeekIndex],20)=0,"",SUMIFS(T_SelfStock_Log[Self_Qty],T_SelfStock_Log[Part Name],$A12,T_SelfStock_Log[WeekIndex],20))</f>
        <v/>
      </c>
      <c r="V12" s="17">
        <f>IF(COUNTIFS(T_SelfStock_Log[Part Name],$A12,T_SelfStock_Log[WeekIndex],21)=0,"",SUMIFS(T_SelfStock_Log[Self_Qty],T_SelfStock_Log[Part Name],$A12,T_SelfStock_Log[WeekIndex],21))</f>
        <v/>
      </c>
      <c r="W12" s="17">
        <f>IF(COUNTIFS(T_SelfStock_Log[Part Name],$A12,T_SelfStock_Log[WeekIndex],22)=0,"",SUMIFS(T_SelfStock_Log[Self_Qty],T_SelfStock_Log[Part Name],$A12,T_SelfStock_Log[WeekIndex],22))</f>
        <v/>
      </c>
      <c r="X12" s="17">
        <f>IF(COUNTIFS(T_SelfStock_Log[Part Name],$A12,T_SelfStock_Log[WeekIndex],23)=0,"",SUMIFS(T_SelfStock_Log[Self_Qty],T_SelfStock_Log[Part Name],$A12,T_SelfStock_Log[WeekIndex],23))</f>
        <v/>
      </c>
      <c r="Y12" s="17">
        <f>IF(COUNTIFS(T_SelfStock_Log[Part Name],$A12,T_SelfStock_Log[WeekIndex],24)=0,"",SUMIFS(T_SelfStock_Log[Self_Qty],T_SelfStock_Log[Part Name],$A12,T_SelfStock_Log[WeekIndex],24))</f>
        <v/>
      </c>
      <c r="Z12" s="17">
        <f>IF(COUNTIFS(T_SelfStock_Log[Part Name],$A12,T_SelfStock_Log[WeekIndex],25)=0,"",SUMIFS(T_SelfStock_Log[Self_Qty],T_SelfStock_Log[Part Name],$A12,T_SelfStock_Log[WeekIndex],25))</f>
        <v/>
      </c>
      <c r="AA12" s="17">
        <f>IF(COUNTIFS(T_SelfStock_Log[Part Name],$A12,T_SelfStock_Log[WeekIndex],26)=0,"",SUMIFS(T_SelfStock_Log[Self_Qty],T_SelfStock_Log[Part Name],$A12,T_SelfStock_Log[WeekIndex],26))</f>
        <v/>
      </c>
      <c r="AB12" s="17">
        <f>IF(COUNTIFS(T_SelfStock_Log[Part Name],$A12,T_SelfStock_Log[WeekIndex],27)=0,"",SUMIFS(T_SelfStock_Log[Self_Qty],T_SelfStock_Log[Part Name],$A12,T_SelfStock_Log[WeekIndex],27))</f>
        <v/>
      </c>
      <c r="AC12" s="17">
        <f>IF(COUNTIFS(T_SelfStock_Log[Part Name],$A12,T_SelfStock_Log[WeekIndex],28)=0,"",SUMIFS(T_SelfStock_Log[Self_Qty],T_SelfStock_Log[Part Name],$A12,T_SelfStock_Log[WeekIndex],28))</f>
        <v/>
      </c>
      <c r="AD12" s="17">
        <f>IF(COUNTIFS(T_SelfStock_Log[Part Name],$A12,T_SelfStock_Log[WeekIndex],29)=0,"",SUMIFS(T_SelfStock_Log[Self_Qty],T_SelfStock_Log[Part Name],$A12,T_SelfStock_Log[WeekIndex],29))</f>
        <v/>
      </c>
      <c r="AE12" s="17">
        <f>IF(COUNTIFS(T_SelfStock_Log[Part Name],$A12,T_SelfStock_Log[WeekIndex],30)=0,"",SUMIFS(T_SelfStock_Log[Self_Qty],T_SelfStock_Log[Part Name],$A12,T_SelfStock_Log[WeekIndex],30))</f>
        <v/>
      </c>
      <c r="AF12" s="17">
        <f>IF(COUNTIFS(T_SelfStock_Log[Part Name],$A12,T_SelfStock_Log[WeekIndex],31)=0,"",SUMIFS(T_SelfStock_Log[Self_Qty],T_SelfStock_Log[Part Name],$A12,T_SelfStock_Log[WeekIndex],31))</f>
        <v/>
      </c>
      <c r="AG12" s="17">
        <f>IF(COUNTIFS(T_SelfStock_Log[Part Name],$A12,T_SelfStock_Log[WeekIndex],32)=0,"",SUMIFS(T_SelfStock_Log[Self_Qty],T_SelfStock_Log[Part Name],$A12,T_SelfStock_Log[WeekIndex],32))</f>
        <v/>
      </c>
      <c r="AH12" s="17">
        <f>IF(COUNTIFS(T_SelfStock_Log[Part Name],$A12,T_SelfStock_Log[WeekIndex],33)=0,"",SUMIFS(T_SelfStock_Log[Self_Qty],T_SelfStock_Log[Part Name],$A12,T_SelfStock_Log[WeekIndex],33))</f>
        <v/>
      </c>
      <c r="AI12" s="17">
        <f>IF(COUNTIFS(T_SelfStock_Log[Part Name],$A12,T_SelfStock_Log[WeekIndex],34)=0,"",SUMIFS(T_SelfStock_Log[Self_Qty],T_SelfStock_Log[Part Name],$A12,T_SelfStock_Log[WeekIndex],34))</f>
        <v/>
      </c>
      <c r="AJ12" s="17">
        <f>IF(COUNTIFS(T_SelfStock_Log[Part Name],$A12,T_SelfStock_Log[WeekIndex],35)=0,"",SUMIFS(T_SelfStock_Log[Self_Qty],T_SelfStock_Log[Part Name],$A12,T_SelfStock_Log[WeekIndex],35))</f>
        <v/>
      </c>
      <c r="AK12" s="17">
        <f>IF(COUNTIFS(T_SelfStock_Log[Part Name],$A12,T_SelfStock_Log[WeekIndex],36)=0,"",SUMIFS(T_SelfStock_Log[Self_Qty],T_SelfStock_Log[Part Name],$A12,T_SelfStock_Log[WeekIndex],36))</f>
        <v/>
      </c>
      <c r="AL12" s="17">
        <f>IF(COUNTIFS(T_SelfStock_Log[Part Name],$A12,T_SelfStock_Log[WeekIndex],37)=0,"",SUMIFS(T_SelfStock_Log[Self_Qty],T_SelfStock_Log[Part Name],$A12,T_SelfStock_Log[WeekIndex],37))</f>
        <v/>
      </c>
      <c r="AM12" s="17">
        <f>IF(COUNTIFS(T_SelfStock_Log[Part Name],$A12,T_SelfStock_Log[WeekIndex],38)=0,"",SUMIFS(T_SelfStock_Log[Self_Qty],T_SelfStock_Log[Part Name],$A12,T_SelfStock_Log[WeekIndex],38))</f>
        <v/>
      </c>
      <c r="AN12" s="17">
        <f>IF(COUNTIFS(T_SelfStock_Log[Part Name],$A12,T_SelfStock_Log[WeekIndex],39)=0,"",SUMIFS(T_SelfStock_Log[Self_Qty],T_SelfStock_Log[Part Name],$A12,T_SelfStock_Log[WeekIndex],39))</f>
        <v/>
      </c>
      <c r="AO12" s="17">
        <f>IF(COUNTIFS(T_SelfStock_Log[Part Name],$A12,T_SelfStock_Log[WeekIndex],40)=0,"",SUMIFS(T_SelfStock_Log[Self_Qty],T_SelfStock_Log[Part Name],$A12,T_SelfStock_Log[WeekIndex],40))</f>
        <v/>
      </c>
      <c r="AP12" s="17">
        <f>IF(COUNTIFS(T_SelfStock_Log[Part Name],$A12,T_SelfStock_Log[WeekIndex],41)=0,"",SUMIFS(T_SelfStock_Log[Self_Qty],T_SelfStock_Log[Part Name],$A12,T_SelfStock_Log[WeekIndex],41))</f>
        <v/>
      </c>
      <c r="AQ12" s="17">
        <f>IF(COUNTIFS(T_SelfStock_Log[Part Name],$A12,T_SelfStock_Log[WeekIndex],42)=0,"",SUMIFS(T_SelfStock_Log[Self_Qty],T_SelfStock_Log[Part Name],$A12,T_SelfStock_Log[WeekIndex],42))</f>
        <v/>
      </c>
      <c r="AR12" s="17">
        <f>IF(COUNTIFS(T_SelfStock_Log[Part Name],$A12,T_SelfStock_Log[WeekIndex],43)=0,"",SUMIFS(T_SelfStock_Log[Self_Qty],T_SelfStock_Log[Part Name],$A12,T_SelfStock_Log[WeekIndex],43))</f>
        <v/>
      </c>
      <c r="AS12" s="17">
        <f>IF(COUNTIFS(T_SelfStock_Log[Part Name],$A12,T_SelfStock_Log[WeekIndex],44)=0,"",SUMIFS(T_SelfStock_Log[Self_Qty],T_SelfStock_Log[Part Name],$A12,T_SelfStock_Log[WeekIndex],44))</f>
        <v/>
      </c>
      <c r="AT12" s="17">
        <f>IF(COUNTIFS(T_SelfStock_Log[Part Name],$A12,T_SelfStock_Log[WeekIndex],45)=0,"",SUMIFS(T_SelfStock_Log[Self_Qty],T_SelfStock_Log[Part Name],$A12,T_SelfStock_Log[WeekIndex],45))</f>
        <v/>
      </c>
      <c r="AU12" s="17">
        <f>IF(COUNTIFS(T_SelfStock_Log[Part Name],$A12,T_SelfStock_Log[WeekIndex],46)=0,"",SUMIFS(T_SelfStock_Log[Self_Qty],T_SelfStock_Log[Part Name],$A12,T_SelfStock_Log[WeekIndex],46))</f>
        <v/>
      </c>
      <c r="AV12" s="17">
        <f>IF(COUNTIFS(T_SelfStock_Log[Part Name],$A12,T_SelfStock_Log[WeekIndex],47)=0,"",SUMIFS(T_SelfStock_Log[Self_Qty],T_SelfStock_Log[Part Name],$A12,T_SelfStock_Log[WeekIndex],47))</f>
        <v/>
      </c>
      <c r="AW12" s="17">
        <f>IF(COUNTIFS(T_SelfStock_Log[Part Name],$A12,T_SelfStock_Log[WeekIndex],48)=0,"",SUMIFS(T_SelfStock_Log[Self_Qty],T_SelfStock_Log[Part Name],$A12,T_SelfStock_Log[WeekIndex],48))</f>
        <v/>
      </c>
      <c r="AX12" s="17">
        <f>IF(COUNTIFS(T_SelfStock_Log[Part Name],$A12,T_SelfStock_Log[WeekIndex],49)=0,"",SUMIFS(T_SelfStock_Log[Self_Qty],T_SelfStock_Log[Part Name],$A12,T_SelfStock_Log[WeekIndex],49))</f>
        <v/>
      </c>
      <c r="AY12" s="17">
        <f>IF(COUNTIFS(T_SelfStock_Log[Part Name],$A12,T_SelfStock_Log[WeekIndex],50)=0,"",SUMIFS(T_SelfStock_Log[Self_Qty],T_SelfStock_Log[Part Name],$A12,T_SelfStock_Log[WeekIndex],50))</f>
        <v/>
      </c>
      <c r="AZ12" s="17">
        <f>IF(COUNTIFS(T_SelfStock_Log[Part Name],$A12,T_SelfStock_Log[WeekIndex],51)=0,"",SUMIFS(T_SelfStock_Log[Self_Qty],T_SelfStock_Log[Part Name],$A12,T_SelfStock_Log[WeekIndex],51))</f>
        <v/>
      </c>
      <c r="BA12" s="17">
        <f>IF(COUNTIFS(T_SelfStock_Log[Part Name],$A12,T_SelfStock_Log[WeekIndex],52)=0,"",SUMIFS(T_SelfStock_Log[Self_Qty],T_SelfStock_Log[Part Name],$A12,T_SelfStock_Log[WeekIndex],52))</f>
        <v/>
      </c>
      <c r="BB12" s="17">
        <f>IF(COUNTIFS(T_SelfStock_Log[Part Name],$A12,T_SelfStock_Log[WeekIndex],53)=0,"",SUMIFS(T_SelfStock_Log[Self_Qty],T_SelfStock_Log[Part Name],$A12,T_SelfStock_Log[WeekIndex],53))</f>
        <v/>
      </c>
      <c r="BC12" s="17">
        <f>IF(COUNTIFS(T_SelfStock_Log[Part Name],$A12,T_SelfStock_Log[WeekIndex],54)=0,"",SUMIFS(T_SelfStock_Log[Self_Qty],T_SelfStock_Log[Part Name],$A12,T_SelfStock_Log[WeekIndex],54))</f>
        <v/>
      </c>
      <c r="BD12" s="17">
        <f>IF(COUNTIFS(T_SelfStock_Log[Part Name],$A12,T_SelfStock_Log[WeekIndex],55)=0,"",SUMIFS(T_SelfStock_Log[Self_Qty],T_SelfStock_Log[Part Name],$A12,T_SelfStock_Log[WeekIndex],55))</f>
        <v/>
      </c>
      <c r="BE12" s="17">
        <f>IF(COUNTIFS(T_SelfStock_Log[Part Name],$A12,T_SelfStock_Log[WeekIndex],56)=0,"",SUMIFS(T_SelfStock_Log[Self_Qty],T_SelfStock_Log[Part Name],$A12,T_SelfStock_Log[WeekIndex],56))</f>
        <v/>
      </c>
      <c r="BF12" s="17">
        <f>IF(COUNTIFS(T_SelfStock_Log[Part Name],$A12,T_SelfStock_Log[WeekIndex],57)=0,"",SUMIFS(T_SelfStock_Log[Self_Qty],T_SelfStock_Log[Part Name],$A12,T_SelfStock_Log[WeekIndex],57))</f>
        <v/>
      </c>
      <c r="BG12" s="17">
        <f>IF(COUNTIFS(T_SelfStock_Log[Part Name],$A12,T_SelfStock_Log[WeekIndex],58)=0,"",SUMIFS(T_SelfStock_Log[Self_Qty],T_SelfStock_Log[Part Name],$A12,T_SelfStock_Log[WeekIndex],58))</f>
        <v/>
      </c>
      <c r="BH12" s="17">
        <f>IF(COUNTIFS(T_SelfStock_Log[Part Name],$A12,T_SelfStock_Log[WeekIndex],59)=0,"",SUMIFS(T_SelfStock_Log[Self_Qty],T_SelfStock_Log[Part Name],$A12,T_SelfStock_Log[WeekIndex],59))</f>
        <v/>
      </c>
      <c r="BI12" s="17">
        <f>IF(COUNTIFS(T_SelfStock_Log[Part Name],$A12,T_SelfStock_Log[WeekIndex],60)=0,"",SUMIFS(T_SelfStock_Log[Self_Qty],T_SelfStock_Log[Part Name],$A12,T_SelfStock_Log[WeekIndex],60))</f>
        <v/>
      </c>
      <c r="BJ12" s="17">
        <f>IF(COUNTIFS(T_SelfStock_Log[Part Name],$A12,T_SelfStock_Log[WeekIndex],61)=0,"",SUMIFS(T_SelfStock_Log[Self_Qty],T_SelfStock_Log[Part Name],$A12,T_SelfStock_Log[WeekIndex],61))</f>
        <v/>
      </c>
      <c r="BK12" s="17">
        <f>IF(COUNTIFS(T_SelfStock_Log[Part Name],$A12,T_SelfStock_Log[WeekIndex],62)=0,"",SUMIFS(T_SelfStock_Log[Self_Qty],T_SelfStock_Log[Part Name],$A12,T_SelfStock_Log[WeekIndex],62))</f>
        <v/>
      </c>
      <c r="BL12" s="17">
        <f>IF(COUNTIFS(T_SelfStock_Log[Part Name],$A12,T_SelfStock_Log[WeekIndex],63)=0,"",SUMIFS(T_SelfStock_Log[Self_Qty],T_SelfStock_Log[Part Name],$A12,T_SelfStock_Log[WeekIndex],63))</f>
        <v/>
      </c>
      <c r="BM12" s="17">
        <f>IF(COUNTIFS(T_SelfStock_Log[Part Name],$A12,T_SelfStock_Log[WeekIndex],64)=0,"",SUMIFS(T_SelfStock_Log[Self_Qty],T_SelfStock_Log[Part Name],$A12,T_SelfStock_Log[WeekIndex],64))</f>
        <v/>
      </c>
      <c r="BN12" s="17">
        <f>IF(COUNTIFS(T_SelfStock_Log[Part Name],$A12,T_SelfStock_Log[WeekIndex],65)=0,"",SUMIFS(T_SelfStock_Log[Self_Qty],T_SelfStock_Log[Part Name],$A12,T_SelfStock_Log[WeekIndex],65))</f>
        <v/>
      </c>
      <c r="BO12" s="17">
        <f>IF(COUNTIFS(T_SelfStock_Log[Part Name],$A12,T_SelfStock_Log[WeekIndex],66)=0,"",SUMIFS(T_SelfStock_Log[Self_Qty],T_SelfStock_Log[Part Name],$A12,T_SelfStock_Log[WeekIndex],66))</f>
        <v/>
      </c>
      <c r="BP12" s="17">
        <f>IF(COUNTIFS(T_SelfStock_Log[Part Name],$A12,T_SelfStock_Log[WeekIndex],67)=0,"",SUMIFS(T_SelfStock_Log[Self_Qty],T_SelfStock_Log[Part Name],$A12,T_SelfStock_Log[WeekIndex],67))</f>
        <v/>
      </c>
      <c r="BQ12" s="17">
        <f>IF(COUNTIFS(T_SelfStock_Log[Part Name],$A12,T_SelfStock_Log[WeekIndex],68)=0,"",SUMIFS(T_SelfStock_Log[Self_Qty],T_SelfStock_Log[Part Name],$A12,T_SelfStock_Log[WeekIndex],68))</f>
        <v/>
      </c>
      <c r="BR12" s="17">
        <f>IF(COUNTIFS(T_SelfStock_Log[Part Name],$A12,T_SelfStock_Log[WeekIndex],69)=0,"",SUMIFS(T_SelfStock_Log[Self_Qty],T_SelfStock_Log[Part Name],$A12,T_SelfStock_Log[WeekIndex],69))</f>
        <v/>
      </c>
      <c r="BS12" s="17">
        <f>IF(COUNTIFS(T_SelfStock_Log[Part Name],$A12,T_SelfStock_Log[WeekIndex],70)=0,"",SUMIFS(T_SelfStock_Log[Self_Qty],T_SelfStock_Log[Part Name],$A12,T_SelfStock_Log[WeekIndex],70))</f>
        <v/>
      </c>
      <c r="BT12" s="17">
        <f>IF(COUNTIFS(T_SelfStock_Log[Part Name],$A12,T_SelfStock_Log[WeekIndex],71)=0,"",SUMIFS(T_SelfStock_Log[Self_Qty],T_SelfStock_Log[Part Name],$A12,T_SelfStock_Log[WeekIndex],71))</f>
        <v/>
      </c>
      <c r="BU12" s="17">
        <f>IF(COUNTIFS(T_SelfStock_Log[Part Name],$A12,T_SelfStock_Log[WeekIndex],72)=0,"",SUMIFS(T_SelfStock_Log[Self_Qty],T_SelfStock_Log[Part Name],$A12,T_SelfStock_Log[WeekIndex],72))</f>
        <v/>
      </c>
      <c r="BV12" s="17">
        <f>IF(COUNTIFS(T_SelfStock_Log[Part Name],$A12,T_SelfStock_Log[WeekIndex],73)=0,"",SUMIFS(T_SelfStock_Log[Self_Qty],T_SelfStock_Log[Part Name],$A12,T_SelfStock_Log[WeekIndex],73))</f>
        <v/>
      </c>
      <c r="BW12" s="17">
        <f>IF(COUNTIFS(T_SelfStock_Log[Part Name],$A12,T_SelfStock_Log[WeekIndex],74)=0,"",SUMIFS(T_SelfStock_Log[Self_Qty],T_SelfStock_Log[Part Name],$A12,T_SelfStock_Log[WeekIndex],74))</f>
        <v/>
      </c>
      <c r="BX12" s="17">
        <f>IF(COUNTIFS(T_SelfStock_Log[Part Name],$A12,T_SelfStock_Log[WeekIndex],75)=0,"",SUMIFS(T_SelfStock_Log[Self_Qty],T_SelfStock_Log[Part Name],$A12,T_SelfStock_Log[WeekIndex],75))</f>
        <v/>
      </c>
      <c r="BY12" s="17">
        <f>IF(COUNTIFS(T_SelfStock_Log[Part Name],$A12,T_SelfStock_Log[WeekIndex],76)=0,"",SUMIFS(T_SelfStock_Log[Self_Qty],T_SelfStock_Log[Part Name],$A12,T_SelfStock_Log[WeekIndex],76))</f>
        <v/>
      </c>
      <c r="BZ12" s="17">
        <f>IF(COUNTIFS(T_SelfStock_Log[Part Name],$A12,T_SelfStock_Log[WeekIndex],77)=0,"",SUMIFS(T_SelfStock_Log[Self_Qty],T_SelfStock_Log[Part Name],$A12,T_SelfStock_Log[WeekIndex],77))</f>
        <v/>
      </c>
      <c r="CA12" s="17">
        <f>IF(COUNTIFS(T_SelfStock_Log[Part Name],$A12,T_SelfStock_Log[WeekIndex],78)=0,"",SUMIFS(T_SelfStock_Log[Self_Qty],T_SelfStock_Log[Part Name],$A12,T_SelfStock_Log[WeekIndex],78))</f>
        <v/>
      </c>
      <c r="CB12" s="17">
        <f>IF(COUNTIFS(T_SelfStock_Log[Part Name],$A12,T_SelfStock_Log[WeekIndex],79)=0,"",SUMIFS(T_SelfStock_Log[Self_Qty],T_SelfStock_Log[Part Name],$A12,T_SelfStock_Log[WeekIndex],79))</f>
        <v/>
      </c>
      <c r="CC12" s="17">
        <f>IF(COUNTIFS(T_SelfStock_Log[Part Name],$A12,T_SelfStock_Log[WeekIndex],80)=0,"",SUMIFS(T_SelfStock_Log[Self_Qty],T_SelfStock_Log[Part Name],$A12,T_SelfStock_Log[WeekIndex],80))</f>
        <v/>
      </c>
      <c r="CD12" s="17">
        <f>IF(COUNTIFS(T_SelfStock_Log[Part Name],$A12,T_SelfStock_Log[WeekIndex],81)=0,"",SUMIFS(T_SelfStock_Log[Self_Qty],T_SelfStock_Log[Part Name],$A12,T_SelfStock_Log[WeekIndex],81))</f>
        <v/>
      </c>
      <c r="CE12" s="17">
        <f>IF(COUNTIFS(T_SelfStock_Log[Part Name],$A12,T_SelfStock_Log[WeekIndex],82)=0,"",SUMIFS(T_SelfStock_Log[Self_Qty],T_SelfStock_Log[Part Name],$A12,T_SelfStock_Log[WeekIndex],82))</f>
        <v/>
      </c>
      <c r="CF12" s="17">
        <f>IF(COUNTIFS(T_SelfStock_Log[Part Name],$A12,T_SelfStock_Log[WeekIndex],83)=0,"",SUMIFS(T_SelfStock_Log[Self_Qty],T_SelfStock_Log[Part Name],$A12,T_SelfStock_Log[WeekIndex],83))</f>
        <v/>
      </c>
      <c r="CG12" s="17">
        <f>IF(COUNTIFS(T_SelfStock_Log[Part Name],$A12,T_SelfStock_Log[WeekIndex],84)=0,"",SUMIFS(T_SelfStock_Log[Self_Qty],T_SelfStock_Log[Part Name],$A12,T_SelfStock_Log[WeekIndex],84))</f>
        <v/>
      </c>
      <c r="CH12" s="17">
        <f>IF(COUNTIFS(T_SelfStock_Log[Part Name],$A12,T_SelfStock_Log[WeekIndex],85)=0,"",SUMIFS(T_SelfStock_Log[Self_Qty],T_SelfStock_Log[Part Name],$A12,T_SelfStock_Log[WeekIndex],85))</f>
        <v/>
      </c>
      <c r="CI12" s="17">
        <f>IF(COUNTIFS(T_SelfStock_Log[Part Name],$A12,T_SelfStock_Log[WeekIndex],86)=0,"",SUMIFS(T_SelfStock_Log[Self_Qty],T_SelfStock_Log[Part Name],$A12,T_SelfStock_Log[WeekIndex],86))</f>
        <v/>
      </c>
      <c r="CJ12" s="17">
        <f>IF(COUNTIFS(T_SelfStock_Log[Part Name],$A12,T_SelfStock_Log[WeekIndex],87)=0,"",SUMIFS(T_SelfStock_Log[Self_Qty],T_SelfStock_Log[Part Name],$A12,T_SelfStock_Log[WeekIndex],87))</f>
        <v/>
      </c>
      <c r="CK12" s="17">
        <f>IF(COUNTIFS(T_SelfStock_Log[Part Name],$A12,T_SelfStock_Log[WeekIndex],88)=0,"",SUMIFS(T_SelfStock_Log[Self_Qty],T_SelfStock_Log[Part Name],$A12,T_SelfStock_Log[WeekIndex],88))</f>
        <v/>
      </c>
      <c r="CL12" s="17">
        <f>IF(COUNTIFS(T_SelfStock_Log[Part Name],$A12,T_SelfStock_Log[WeekIndex],89)=0,"",SUMIFS(T_SelfStock_Log[Self_Qty],T_SelfStock_Log[Part Name],$A12,T_SelfStock_Log[WeekIndex],89))</f>
        <v/>
      </c>
      <c r="CM12" s="17">
        <f>IF(COUNTIFS(T_SelfStock_Log[Part Name],$A12,T_SelfStock_Log[WeekIndex],90)=0,"",SUMIFS(T_SelfStock_Log[Self_Qty],T_SelfStock_Log[Part Name],$A12,T_SelfStock_Log[WeekIndex],90))</f>
        <v/>
      </c>
      <c r="CN12" s="17">
        <f>IF(COUNTIFS(T_SelfStock_Log[Part Name],$A12,T_SelfStock_Log[WeekIndex],91)=0,"",SUMIFS(T_SelfStock_Log[Self_Qty],T_SelfStock_Log[Part Name],$A12,T_SelfStock_Log[WeekIndex],91))</f>
        <v/>
      </c>
      <c r="CO12" s="17">
        <f>IF(COUNTIFS(T_SelfStock_Log[Part Name],$A12,T_SelfStock_Log[WeekIndex],92)=0,"",SUMIFS(T_SelfStock_Log[Self_Qty],T_SelfStock_Log[Part Name],$A12,T_SelfStock_Log[WeekIndex],92))</f>
        <v/>
      </c>
      <c r="CP12" s="17">
        <f>IF(COUNTIFS(T_SelfStock_Log[Part Name],$A12,T_SelfStock_Log[WeekIndex],93)=0,"",SUMIFS(T_SelfStock_Log[Self_Qty],T_SelfStock_Log[Part Name],$A12,T_SelfStock_Log[WeekIndex],93))</f>
        <v/>
      </c>
      <c r="CQ12" s="17">
        <f>IF(COUNTIFS(T_SelfStock_Log[Part Name],$A12,T_SelfStock_Log[WeekIndex],94)=0,"",SUMIFS(T_SelfStock_Log[Self_Qty],T_SelfStock_Log[Part Name],$A12,T_SelfStock_Log[WeekIndex],94))</f>
        <v/>
      </c>
      <c r="CR12" s="17">
        <f>IF(COUNTIFS(T_SelfStock_Log[Part Name],$A12,T_SelfStock_Log[WeekIndex],95)=0,"",SUMIFS(T_SelfStock_Log[Self_Qty],T_SelfStock_Log[Part Name],$A12,T_SelfStock_Log[WeekIndex],95))</f>
        <v/>
      </c>
      <c r="CS12" s="17">
        <f>IF(COUNTIFS(T_SelfStock_Log[Part Name],$A12,T_SelfStock_Log[WeekIndex],96)=0,"",SUMIFS(T_SelfStock_Log[Self_Qty],T_SelfStock_Log[Part Name],$A12,T_SelfStock_Log[WeekIndex],96))</f>
        <v/>
      </c>
      <c r="CT12" s="17">
        <f>IF(COUNTIFS(T_SelfStock_Log[Part Name],$A12,T_SelfStock_Log[WeekIndex],97)=0,"",SUMIFS(T_SelfStock_Log[Self_Qty],T_SelfStock_Log[Part Name],$A12,T_SelfStock_Log[WeekIndex],97))</f>
        <v/>
      </c>
      <c r="CU12" s="17">
        <f>IF(COUNTIFS(T_SelfStock_Log[Part Name],$A12,T_SelfStock_Log[WeekIndex],98)=0,"",SUMIFS(T_SelfStock_Log[Self_Qty],T_SelfStock_Log[Part Name],$A12,T_SelfStock_Log[WeekIndex],98))</f>
        <v/>
      </c>
      <c r="CV12" s="17">
        <f>IF(COUNTIFS(T_SelfStock_Log[Part Name],$A12,T_SelfStock_Log[WeekIndex],99)=0,"",SUMIFS(T_SelfStock_Log[Self_Qty],T_SelfStock_Log[Part Name],$A12,T_SelfStock_Log[WeekIndex],99))</f>
        <v/>
      </c>
      <c r="CW12" s="17">
        <f>IF(COUNTIFS(T_SelfStock_Log[Part Name],$A12,T_SelfStock_Log[WeekIndex],100)=0,"",SUMIFS(T_SelfStock_Log[Self_Qty],T_SelfStock_Log[Part Name],$A12,T_SelfStock_Log[WeekIndex],100))</f>
        <v/>
      </c>
      <c r="CX12" s="17">
        <f>IF(COUNTIFS(T_SelfStock_Log[Part Name],$A12,T_SelfStock_Log[WeekIndex],101)=0,"",SUMIFS(T_SelfStock_Log[Self_Qty],T_SelfStock_Log[Part Name],$A12,T_SelfStock_Log[WeekIndex],101))</f>
        <v/>
      </c>
      <c r="CY12" s="17">
        <f>IF(COUNTIFS(T_SelfStock_Log[Part Name],$A12,T_SelfStock_Log[WeekIndex],102)=0,"",SUMIFS(T_SelfStock_Log[Self_Qty],T_SelfStock_Log[Part Name],$A12,T_SelfStock_Log[WeekIndex],102))</f>
        <v/>
      </c>
      <c r="CZ12" s="17">
        <f>IF(COUNTIFS(T_SelfStock_Log[Part Name],$A12,T_SelfStock_Log[WeekIndex],103)=0,"",SUMIFS(T_SelfStock_Log[Self_Qty],T_SelfStock_Log[Part Name],$A12,T_SelfStock_Log[WeekIndex],103))</f>
        <v/>
      </c>
      <c r="DA12" s="17">
        <f>IF(COUNTIFS(T_SelfStock_Log[Part Name],$A12,T_SelfStock_Log[WeekIndex],104)=0,"",SUMIFS(T_SelfStock_Log[Self_Qty],T_SelfStock_Log[Part Name],$A12,T_SelfStock_Log[WeekIndex],104))</f>
        <v/>
      </c>
    </row>
    <row r="13">
      <c r="A13" s="19" t="inlineStr">
        <is>
          <t>3TP</t>
        </is>
      </c>
      <c r="B13" s="19">
        <f>IF(COUNTIFS(T_SelfStock_Log[Part Name],$A13,T_SelfStock_Log[WeekIndex],1)=0,"",SUMIFS(T_SelfStock_Log[Self_Qty],T_SelfStock_Log[Part Name],$A13,T_SelfStock_Log[WeekIndex],1))</f>
        <v/>
      </c>
      <c r="C13" s="19">
        <f>IF(COUNTIFS(T_SelfStock_Log[Part Name],$A13,T_SelfStock_Log[WeekIndex],2)=0,"",SUMIFS(T_SelfStock_Log[Self_Qty],T_SelfStock_Log[Part Name],$A13,T_SelfStock_Log[WeekIndex],2))</f>
        <v/>
      </c>
      <c r="D13" s="19">
        <f>IF(COUNTIFS(T_SelfStock_Log[Part Name],$A13,T_SelfStock_Log[WeekIndex],3)=0,"",SUMIFS(T_SelfStock_Log[Self_Qty],T_SelfStock_Log[Part Name],$A13,T_SelfStock_Log[WeekIndex],3))</f>
        <v/>
      </c>
      <c r="E13" s="19">
        <f>IF(COUNTIFS(T_SelfStock_Log[Part Name],$A13,T_SelfStock_Log[WeekIndex],4)=0,"",SUMIFS(T_SelfStock_Log[Self_Qty],T_SelfStock_Log[Part Name],$A13,T_SelfStock_Log[WeekIndex],4))</f>
        <v/>
      </c>
      <c r="F13" s="19">
        <f>IF(COUNTIFS(T_SelfStock_Log[Part Name],$A13,T_SelfStock_Log[WeekIndex],5)=0,"",SUMIFS(T_SelfStock_Log[Self_Qty],T_SelfStock_Log[Part Name],$A13,T_SelfStock_Log[WeekIndex],5))</f>
        <v/>
      </c>
      <c r="G13" s="19">
        <f>IF(COUNTIFS(T_SelfStock_Log[Part Name],$A13,T_SelfStock_Log[WeekIndex],6)=0,"",SUMIFS(T_SelfStock_Log[Self_Qty],T_SelfStock_Log[Part Name],$A13,T_SelfStock_Log[WeekIndex],6))</f>
        <v/>
      </c>
      <c r="H13" s="19">
        <f>IF(COUNTIFS(T_SelfStock_Log[Part Name],$A13,T_SelfStock_Log[WeekIndex],7)=0,"",SUMIFS(T_SelfStock_Log[Self_Qty],T_SelfStock_Log[Part Name],$A13,T_SelfStock_Log[WeekIndex],7))</f>
        <v/>
      </c>
      <c r="I13" s="19">
        <f>IF(COUNTIFS(T_SelfStock_Log[Part Name],$A13,T_SelfStock_Log[WeekIndex],8)=0,"",SUMIFS(T_SelfStock_Log[Self_Qty],T_SelfStock_Log[Part Name],$A13,T_SelfStock_Log[WeekIndex],8))</f>
        <v/>
      </c>
      <c r="J13" s="19">
        <f>IF(COUNTIFS(T_SelfStock_Log[Part Name],$A13,T_SelfStock_Log[WeekIndex],9)=0,"",SUMIFS(T_SelfStock_Log[Self_Qty],T_SelfStock_Log[Part Name],$A13,T_SelfStock_Log[WeekIndex],9))</f>
        <v/>
      </c>
      <c r="K13" s="19">
        <f>IF(COUNTIFS(T_SelfStock_Log[Part Name],$A13,T_SelfStock_Log[WeekIndex],10)=0,"",SUMIFS(T_SelfStock_Log[Self_Qty],T_SelfStock_Log[Part Name],$A13,T_SelfStock_Log[WeekIndex],10))</f>
        <v/>
      </c>
      <c r="L13" s="19">
        <f>IF(COUNTIFS(T_SelfStock_Log[Part Name],$A13,T_SelfStock_Log[WeekIndex],11)=0,"",SUMIFS(T_SelfStock_Log[Self_Qty],T_SelfStock_Log[Part Name],$A13,T_SelfStock_Log[WeekIndex],11))</f>
        <v/>
      </c>
      <c r="M13" s="19">
        <f>IF(COUNTIFS(T_SelfStock_Log[Part Name],$A13,T_SelfStock_Log[WeekIndex],12)=0,"",SUMIFS(T_SelfStock_Log[Self_Qty],T_SelfStock_Log[Part Name],$A13,T_SelfStock_Log[WeekIndex],12))</f>
        <v/>
      </c>
      <c r="N13" s="19">
        <f>IF(COUNTIFS(T_SelfStock_Log[Part Name],$A13,T_SelfStock_Log[WeekIndex],13)=0,"",SUMIFS(T_SelfStock_Log[Self_Qty],T_SelfStock_Log[Part Name],$A13,T_SelfStock_Log[WeekIndex],13))</f>
        <v/>
      </c>
      <c r="O13" s="19">
        <f>IF(COUNTIFS(T_SelfStock_Log[Part Name],$A13,T_SelfStock_Log[WeekIndex],14)=0,"",SUMIFS(T_SelfStock_Log[Self_Qty],T_SelfStock_Log[Part Name],$A13,T_SelfStock_Log[WeekIndex],14))</f>
        <v/>
      </c>
      <c r="P13" s="19">
        <f>IF(COUNTIFS(T_SelfStock_Log[Part Name],$A13,T_SelfStock_Log[WeekIndex],15)=0,"",SUMIFS(T_SelfStock_Log[Self_Qty],T_SelfStock_Log[Part Name],$A13,T_SelfStock_Log[WeekIndex],15))</f>
        <v/>
      </c>
      <c r="Q13" s="19">
        <f>IF(COUNTIFS(T_SelfStock_Log[Part Name],$A13,T_SelfStock_Log[WeekIndex],16)=0,"",SUMIFS(T_SelfStock_Log[Self_Qty],T_SelfStock_Log[Part Name],$A13,T_SelfStock_Log[WeekIndex],16))</f>
        <v/>
      </c>
      <c r="R13" s="19">
        <f>IF(COUNTIFS(T_SelfStock_Log[Part Name],$A13,T_SelfStock_Log[WeekIndex],17)=0,"",SUMIFS(T_SelfStock_Log[Self_Qty],T_SelfStock_Log[Part Name],$A13,T_SelfStock_Log[WeekIndex],17))</f>
        <v/>
      </c>
      <c r="S13" s="19">
        <f>IF(COUNTIFS(T_SelfStock_Log[Part Name],$A13,T_SelfStock_Log[WeekIndex],18)=0,"",SUMIFS(T_SelfStock_Log[Self_Qty],T_SelfStock_Log[Part Name],$A13,T_SelfStock_Log[WeekIndex],18))</f>
        <v/>
      </c>
      <c r="T13" s="19">
        <f>IF(COUNTIFS(T_SelfStock_Log[Part Name],$A13,T_SelfStock_Log[WeekIndex],19)=0,"",SUMIFS(T_SelfStock_Log[Self_Qty],T_SelfStock_Log[Part Name],$A13,T_SelfStock_Log[WeekIndex],19))</f>
        <v/>
      </c>
      <c r="U13" s="19">
        <f>IF(COUNTIFS(T_SelfStock_Log[Part Name],$A13,T_SelfStock_Log[WeekIndex],20)=0,"",SUMIFS(T_SelfStock_Log[Self_Qty],T_SelfStock_Log[Part Name],$A13,T_SelfStock_Log[WeekIndex],20))</f>
        <v/>
      </c>
      <c r="V13" s="19">
        <f>IF(COUNTIFS(T_SelfStock_Log[Part Name],$A13,T_SelfStock_Log[WeekIndex],21)=0,"",SUMIFS(T_SelfStock_Log[Self_Qty],T_SelfStock_Log[Part Name],$A13,T_SelfStock_Log[WeekIndex],21))</f>
        <v/>
      </c>
      <c r="W13" s="19">
        <f>IF(COUNTIFS(T_SelfStock_Log[Part Name],$A13,T_SelfStock_Log[WeekIndex],22)=0,"",SUMIFS(T_SelfStock_Log[Self_Qty],T_SelfStock_Log[Part Name],$A13,T_SelfStock_Log[WeekIndex],22))</f>
        <v/>
      </c>
      <c r="X13" s="19">
        <f>IF(COUNTIFS(T_SelfStock_Log[Part Name],$A13,T_SelfStock_Log[WeekIndex],23)=0,"",SUMIFS(T_SelfStock_Log[Self_Qty],T_SelfStock_Log[Part Name],$A13,T_SelfStock_Log[WeekIndex],23))</f>
        <v/>
      </c>
      <c r="Y13" s="19">
        <f>IF(COUNTIFS(T_SelfStock_Log[Part Name],$A13,T_SelfStock_Log[WeekIndex],24)=0,"",SUMIFS(T_SelfStock_Log[Self_Qty],T_SelfStock_Log[Part Name],$A13,T_SelfStock_Log[WeekIndex],24))</f>
        <v/>
      </c>
      <c r="Z13" s="19">
        <f>IF(COUNTIFS(T_SelfStock_Log[Part Name],$A13,T_SelfStock_Log[WeekIndex],25)=0,"",SUMIFS(T_SelfStock_Log[Self_Qty],T_SelfStock_Log[Part Name],$A13,T_SelfStock_Log[WeekIndex],25))</f>
        <v/>
      </c>
      <c r="AA13" s="19">
        <f>IF(COUNTIFS(T_SelfStock_Log[Part Name],$A13,T_SelfStock_Log[WeekIndex],26)=0,"",SUMIFS(T_SelfStock_Log[Self_Qty],T_SelfStock_Log[Part Name],$A13,T_SelfStock_Log[WeekIndex],26))</f>
        <v/>
      </c>
      <c r="AB13" s="19">
        <f>IF(COUNTIFS(T_SelfStock_Log[Part Name],$A13,T_SelfStock_Log[WeekIndex],27)=0,"",SUMIFS(T_SelfStock_Log[Self_Qty],T_SelfStock_Log[Part Name],$A13,T_SelfStock_Log[WeekIndex],27))</f>
        <v/>
      </c>
      <c r="AC13" s="19">
        <f>IF(COUNTIFS(T_SelfStock_Log[Part Name],$A13,T_SelfStock_Log[WeekIndex],28)=0,"",SUMIFS(T_SelfStock_Log[Self_Qty],T_SelfStock_Log[Part Name],$A13,T_SelfStock_Log[WeekIndex],28))</f>
        <v/>
      </c>
      <c r="AD13" s="19">
        <f>IF(COUNTIFS(T_SelfStock_Log[Part Name],$A13,T_SelfStock_Log[WeekIndex],29)=0,"",SUMIFS(T_SelfStock_Log[Self_Qty],T_SelfStock_Log[Part Name],$A13,T_SelfStock_Log[WeekIndex],29))</f>
        <v/>
      </c>
      <c r="AE13" s="19">
        <f>IF(COUNTIFS(T_SelfStock_Log[Part Name],$A13,T_SelfStock_Log[WeekIndex],30)=0,"",SUMIFS(T_SelfStock_Log[Self_Qty],T_SelfStock_Log[Part Name],$A13,T_SelfStock_Log[WeekIndex],30))</f>
        <v/>
      </c>
      <c r="AF13" s="19">
        <f>IF(COUNTIFS(T_SelfStock_Log[Part Name],$A13,T_SelfStock_Log[WeekIndex],31)=0,"",SUMIFS(T_SelfStock_Log[Self_Qty],T_SelfStock_Log[Part Name],$A13,T_SelfStock_Log[WeekIndex],31))</f>
        <v/>
      </c>
      <c r="AG13" s="19">
        <f>IF(COUNTIFS(T_SelfStock_Log[Part Name],$A13,T_SelfStock_Log[WeekIndex],32)=0,"",SUMIFS(T_SelfStock_Log[Self_Qty],T_SelfStock_Log[Part Name],$A13,T_SelfStock_Log[WeekIndex],32))</f>
        <v/>
      </c>
      <c r="AH13" s="19">
        <f>IF(COUNTIFS(T_SelfStock_Log[Part Name],$A13,T_SelfStock_Log[WeekIndex],33)=0,"",SUMIFS(T_SelfStock_Log[Self_Qty],T_SelfStock_Log[Part Name],$A13,T_SelfStock_Log[WeekIndex],33))</f>
        <v/>
      </c>
      <c r="AI13" s="19">
        <f>IF(COUNTIFS(T_SelfStock_Log[Part Name],$A13,T_SelfStock_Log[WeekIndex],34)=0,"",SUMIFS(T_SelfStock_Log[Self_Qty],T_SelfStock_Log[Part Name],$A13,T_SelfStock_Log[WeekIndex],34))</f>
        <v/>
      </c>
      <c r="AJ13" s="19">
        <f>IF(COUNTIFS(T_SelfStock_Log[Part Name],$A13,T_SelfStock_Log[WeekIndex],35)=0,"",SUMIFS(T_SelfStock_Log[Self_Qty],T_SelfStock_Log[Part Name],$A13,T_SelfStock_Log[WeekIndex],35))</f>
        <v/>
      </c>
      <c r="AK13" s="19">
        <f>IF(COUNTIFS(T_SelfStock_Log[Part Name],$A13,T_SelfStock_Log[WeekIndex],36)=0,"",SUMIFS(T_SelfStock_Log[Self_Qty],T_SelfStock_Log[Part Name],$A13,T_SelfStock_Log[WeekIndex],36))</f>
        <v/>
      </c>
      <c r="AL13" s="19">
        <f>IF(COUNTIFS(T_SelfStock_Log[Part Name],$A13,T_SelfStock_Log[WeekIndex],37)=0,"",SUMIFS(T_SelfStock_Log[Self_Qty],T_SelfStock_Log[Part Name],$A13,T_SelfStock_Log[WeekIndex],37))</f>
        <v/>
      </c>
      <c r="AM13" s="19">
        <f>IF(COUNTIFS(T_SelfStock_Log[Part Name],$A13,T_SelfStock_Log[WeekIndex],38)=0,"",SUMIFS(T_SelfStock_Log[Self_Qty],T_SelfStock_Log[Part Name],$A13,T_SelfStock_Log[WeekIndex],38))</f>
        <v/>
      </c>
      <c r="AN13" s="19">
        <f>IF(COUNTIFS(T_SelfStock_Log[Part Name],$A13,T_SelfStock_Log[WeekIndex],39)=0,"",SUMIFS(T_SelfStock_Log[Self_Qty],T_SelfStock_Log[Part Name],$A13,T_SelfStock_Log[WeekIndex],39))</f>
        <v/>
      </c>
      <c r="AO13" s="19">
        <f>IF(COUNTIFS(T_SelfStock_Log[Part Name],$A13,T_SelfStock_Log[WeekIndex],40)=0,"",SUMIFS(T_SelfStock_Log[Self_Qty],T_SelfStock_Log[Part Name],$A13,T_SelfStock_Log[WeekIndex],40))</f>
        <v/>
      </c>
      <c r="AP13" s="19">
        <f>IF(COUNTIFS(T_SelfStock_Log[Part Name],$A13,T_SelfStock_Log[WeekIndex],41)=0,"",SUMIFS(T_SelfStock_Log[Self_Qty],T_SelfStock_Log[Part Name],$A13,T_SelfStock_Log[WeekIndex],41))</f>
        <v/>
      </c>
      <c r="AQ13" s="19">
        <f>IF(COUNTIFS(T_SelfStock_Log[Part Name],$A13,T_SelfStock_Log[WeekIndex],42)=0,"",SUMIFS(T_SelfStock_Log[Self_Qty],T_SelfStock_Log[Part Name],$A13,T_SelfStock_Log[WeekIndex],42))</f>
        <v/>
      </c>
      <c r="AR13" s="19">
        <f>IF(COUNTIFS(T_SelfStock_Log[Part Name],$A13,T_SelfStock_Log[WeekIndex],43)=0,"",SUMIFS(T_SelfStock_Log[Self_Qty],T_SelfStock_Log[Part Name],$A13,T_SelfStock_Log[WeekIndex],43))</f>
        <v/>
      </c>
      <c r="AS13" s="19">
        <f>IF(COUNTIFS(T_SelfStock_Log[Part Name],$A13,T_SelfStock_Log[WeekIndex],44)=0,"",SUMIFS(T_SelfStock_Log[Self_Qty],T_SelfStock_Log[Part Name],$A13,T_SelfStock_Log[WeekIndex],44))</f>
        <v/>
      </c>
      <c r="AT13" s="19">
        <f>IF(COUNTIFS(T_SelfStock_Log[Part Name],$A13,T_SelfStock_Log[WeekIndex],45)=0,"",SUMIFS(T_SelfStock_Log[Self_Qty],T_SelfStock_Log[Part Name],$A13,T_SelfStock_Log[WeekIndex],45))</f>
        <v/>
      </c>
      <c r="AU13" s="19">
        <f>IF(COUNTIFS(T_SelfStock_Log[Part Name],$A13,T_SelfStock_Log[WeekIndex],46)=0,"",SUMIFS(T_SelfStock_Log[Self_Qty],T_SelfStock_Log[Part Name],$A13,T_SelfStock_Log[WeekIndex],46))</f>
        <v/>
      </c>
      <c r="AV13" s="19">
        <f>IF(COUNTIFS(T_SelfStock_Log[Part Name],$A13,T_SelfStock_Log[WeekIndex],47)=0,"",SUMIFS(T_SelfStock_Log[Self_Qty],T_SelfStock_Log[Part Name],$A13,T_SelfStock_Log[WeekIndex],47))</f>
        <v/>
      </c>
      <c r="AW13" s="19">
        <f>IF(COUNTIFS(T_SelfStock_Log[Part Name],$A13,T_SelfStock_Log[WeekIndex],48)=0,"",SUMIFS(T_SelfStock_Log[Self_Qty],T_SelfStock_Log[Part Name],$A13,T_SelfStock_Log[WeekIndex],48))</f>
        <v/>
      </c>
      <c r="AX13" s="19">
        <f>IF(COUNTIFS(T_SelfStock_Log[Part Name],$A13,T_SelfStock_Log[WeekIndex],49)=0,"",SUMIFS(T_SelfStock_Log[Self_Qty],T_SelfStock_Log[Part Name],$A13,T_SelfStock_Log[WeekIndex],49))</f>
        <v/>
      </c>
      <c r="AY13" s="19">
        <f>IF(COUNTIFS(T_SelfStock_Log[Part Name],$A13,T_SelfStock_Log[WeekIndex],50)=0,"",SUMIFS(T_SelfStock_Log[Self_Qty],T_SelfStock_Log[Part Name],$A13,T_SelfStock_Log[WeekIndex],50))</f>
        <v/>
      </c>
      <c r="AZ13" s="19">
        <f>IF(COUNTIFS(T_SelfStock_Log[Part Name],$A13,T_SelfStock_Log[WeekIndex],51)=0,"",SUMIFS(T_SelfStock_Log[Self_Qty],T_SelfStock_Log[Part Name],$A13,T_SelfStock_Log[WeekIndex],51))</f>
        <v/>
      </c>
      <c r="BA13" s="19">
        <f>IF(COUNTIFS(T_SelfStock_Log[Part Name],$A13,T_SelfStock_Log[WeekIndex],52)=0,"",SUMIFS(T_SelfStock_Log[Self_Qty],T_SelfStock_Log[Part Name],$A13,T_SelfStock_Log[WeekIndex],52))</f>
        <v/>
      </c>
      <c r="BB13" s="19">
        <f>IF(COUNTIFS(T_SelfStock_Log[Part Name],$A13,T_SelfStock_Log[WeekIndex],53)=0,"",SUMIFS(T_SelfStock_Log[Self_Qty],T_SelfStock_Log[Part Name],$A13,T_SelfStock_Log[WeekIndex],53))</f>
        <v/>
      </c>
      <c r="BC13" s="19">
        <f>IF(COUNTIFS(T_SelfStock_Log[Part Name],$A13,T_SelfStock_Log[WeekIndex],54)=0,"",SUMIFS(T_SelfStock_Log[Self_Qty],T_SelfStock_Log[Part Name],$A13,T_SelfStock_Log[WeekIndex],54))</f>
        <v/>
      </c>
      <c r="BD13" s="19">
        <f>IF(COUNTIFS(T_SelfStock_Log[Part Name],$A13,T_SelfStock_Log[WeekIndex],55)=0,"",SUMIFS(T_SelfStock_Log[Self_Qty],T_SelfStock_Log[Part Name],$A13,T_SelfStock_Log[WeekIndex],55))</f>
        <v/>
      </c>
      <c r="BE13" s="19">
        <f>IF(COUNTIFS(T_SelfStock_Log[Part Name],$A13,T_SelfStock_Log[WeekIndex],56)=0,"",SUMIFS(T_SelfStock_Log[Self_Qty],T_SelfStock_Log[Part Name],$A13,T_SelfStock_Log[WeekIndex],56))</f>
        <v/>
      </c>
      <c r="BF13" s="19">
        <f>IF(COUNTIFS(T_SelfStock_Log[Part Name],$A13,T_SelfStock_Log[WeekIndex],57)=0,"",SUMIFS(T_SelfStock_Log[Self_Qty],T_SelfStock_Log[Part Name],$A13,T_SelfStock_Log[WeekIndex],57))</f>
        <v/>
      </c>
      <c r="BG13" s="19">
        <f>IF(COUNTIFS(T_SelfStock_Log[Part Name],$A13,T_SelfStock_Log[WeekIndex],58)=0,"",SUMIFS(T_SelfStock_Log[Self_Qty],T_SelfStock_Log[Part Name],$A13,T_SelfStock_Log[WeekIndex],58))</f>
        <v/>
      </c>
      <c r="BH13" s="19">
        <f>IF(COUNTIFS(T_SelfStock_Log[Part Name],$A13,T_SelfStock_Log[WeekIndex],59)=0,"",SUMIFS(T_SelfStock_Log[Self_Qty],T_SelfStock_Log[Part Name],$A13,T_SelfStock_Log[WeekIndex],59))</f>
        <v/>
      </c>
      <c r="BI13" s="19">
        <f>IF(COUNTIFS(T_SelfStock_Log[Part Name],$A13,T_SelfStock_Log[WeekIndex],60)=0,"",SUMIFS(T_SelfStock_Log[Self_Qty],T_SelfStock_Log[Part Name],$A13,T_SelfStock_Log[WeekIndex],60))</f>
        <v/>
      </c>
      <c r="BJ13" s="19">
        <f>IF(COUNTIFS(T_SelfStock_Log[Part Name],$A13,T_SelfStock_Log[WeekIndex],61)=0,"",SUMIFS(T_SelfStock_Log[Self_Qty],T_SelfStock_Log[Part Name],$A13,T_SelfStock_Log[WeekIndex],61))</f>
        <v/>
      </c>
      <c r="BK13" s="19">
        <f>IF(COUNTIFS(T_SelfStock_Log[Part Name],$A13,T_SelfStock_Log[WeekIndex],62)=0,"",SUMIFS(T_SelfStock_Log[Self_Qty],T_SelfStock_Log[Part Name],$A13,T_SelfStock_Log[WeekIndex],62))</f>
        <v/>
      </c>
      <c r="BL13" s="19">
        <f>IF(COUNTIFS(T_SelfStock_Log[Part Name],$A13,T_SelfStock_Log[WeekIndex],63)=0,"",SUMIFS(T_SelfStock_Log[Self_Qty],T_SelfStock_Log[Part Name],$A13,T_SelfStock_Log[WeekIndex],63))</f>
        <v/>
      </c>
      <c r="BM13" s="19">
        <f>IF(COUNTIFS(T_SelfStock_Log[Part Name],$A13,T_SelfStock_Log[WeekIndex],64)=0,"",SUMIFS(T_SelfStock_Log[Self_Qty],T_SelfStock_Log[Part Name],$A13,T_SelfStock_Log[WeekIndex],64))</f>
        <v/>
      </c>
      <c r="BN13" s="19">
        <f>IF(COUNTIFS(T_SelfStock_Log[Part Name],$A13,T_SelfStock_Log[WeekIndex],65)=0,"",SUMIFS(T_SelfStock_Log[Self_Qty],T_SelfStock_Log[Part Name],$A13,T_SelfStock_Log[WeekIndex],65))</f>
        <v/>
      </c>
      <c r="BO13" s="19">
        <f>IF(COUNTIFS(T_SelfStock_Log[Part Name],$A13,T_SelfStock_Log[WeekIndex],66)=0,"",SUMIFS(T_SelfStock_Log[Self_Qty],T_SelfStock_Log[Part Name],$A13,T_SelfStock_Log[WeekIndex],66))</f>
        <v/>
      </c>
      <c r="BP13" s="19">
        <f>IF(COUNTIFS(T_SelfStock_Log[Part Name],$A13,T_SelfStock_Log[WeekIndex],67)=0,"",SUMIFS(T_SelfStock_Log[Self_Qty],T_SelfStock_Log[Part Name],$A13,T_SelfStock_Log[WeekIndex],67))</f>
        <v/>
      </c>
      <c r="BQ13" s="19">
        <f>IF(COUNTIFS(T_SelfStock_Log[Part Name],$A13,T_SelfStock_Log[WeekIndex],68)=0,"",SUMIFS(T_SelfStock_Log[Self_Qty],T_SelfStock_Log[Part Name],$A13,T_SelfStock_Log[WeekIndex],68))</f>
        <v/>
      </c>
      <c r="BR13" s="19">
        <f>IF(COUNTIFS(T_SelfStock_Log[Part Name],$A13,T_SelfStock_Log[WeekIndex],69)=0,"",SUMIFS(T_SelfStock_Log[Self_Qty],T_SelfStock_Log[Part Name],$A13,T_SelfStock_Log[WeekIndex],69))</f>
        <v/>
      </c>
      <c r="BS13" s="19">
        <f>IF(COUNTIFS(T_SelfStock_Log[Part Name],$A13,T_SelfStock_Log[WeekIndex],70)=0,"",SUMIFS(T_SelfStock_Log[Self_Qty],T_SelfStock_Log[Part Name],$A13,T_SelfStock_Log[WeekIndex],70))</f>
        <v/>
      </c>
      <c r="BT13" s="19">
        <f>IF(COUNTIFS(T_SelfStock_Log[Part Name],$A13,T_SelfStock_Log[WeekIndex],71)=0,"",SUMIFS(T_SelfStock_Log[Self_Qty],T_SelfStock_Log[Part Name],$A13,T_SelfStock_Log[WeekIndex],71))</f>
        <v/>
      </c>
      <c r="BU13" s="19">
        <f>IF(COUNTIFS(T_SelfStock_Log[Part Name],$A13,T_SelfStock_Log[WeekIndex],72)=0,"",SUMIFS(T_SelfStock_Log[Self_Qty],T_SelfStock_Log[Part Name],$A13,T_SelfStock_Log[WeekIndex],72))</f>
        <v/>
      </c>
      <c r="BV13" s="19">
        <f>IF(COUNTIFS(T_SelfStock_Log[Part Name],$A13,T_SelfStock_Log[WeekIndex],73)=0,"",SUMIFS(T_SelfStock_Log[Self_Qty],T_SelfStock_Log[Part Name],$A13,T_SelfStock_Log[WeekIndex],73))</f>
        <v/>
      </c>
      <c r="BW13" s="19">
        <f>IF(COUNTIFS(T_SelfStock_Log[Part Name],$A13,T_SelfStock_Log[WeekIndex],74)=0,"",SUMIFS(T_SelfStock_Log[Self_Qty],T_SelfStock_Log[Part Name],$A13,T_SelfStock_Log[WeekIndex],74))</f>
        <v/>
      </c>
      <c r="BX13" s="19">
        <f>IF(COUNTIFS(T_SelfStock_Log[Part Name],$A13,T_SelfStock_Log[WeekIndex],75)=0,"",SUMIFS(T_SelfStock_Log[Self_Qty],T_SelfStock_Log[Part Name],$A13,T_SelfStock_Log[WeekIndex],75))</f>
        <v/>
      </c>
      <c r="BY13" s="19">
        <f>IF(COUNTIFS(T_SelfStock_Log[Part Name],$A13,T_SelfStock_Log[WeekIndex],76)=0,"",SUMIFS(T_SelfStock_Log[Self_Qty],T_SelfStock_Log[Part Name],$A13,T_SelfStock_Log[WeekIndex],76))</f>
        <v/>
      </c>
      <c r="BZ13" s="19">
        <f>IF(COUNTIFS(T_SelfStock_Log[Part Name],$A13,T_SelfStock_Log[WeekIndex],77)=0,"",SUMIFS(T_SelfStock_Log[Self_Qty],T_SelfStock_Log[Part Name],$A13,T_SelfStock_Log[WeekIndex],77))</f>
        <v/>
      </c>
      <c r="CA13" s="19">
        <f>IF(COUNTIFS(T_SelfStock_Log[Part Name],$A13,T_SelfStock_Log[WeekIndex],78)=0,"",SUMIFS(T_SelfStock_Log[Self_Qty],T_SelfStock_Log[Part Name],$A13,T_SelfStock_Log[WeekIndex],78))</f>
        <v/>
      </c>
      <c r="CB13" s="19">
        <f>IF(COUNTIFS(T_SelfStock_Log[Part Name],$A13,T_SelfStock_Log[WeekIndex],79)=0,"",SUMIFS(T_SelfStock_Log[Self_Qty],T_SelfStock_Log[Part Name],$A13,T_SelfStock_Log[WeekIndex],79))</f>
        <v/>
      </c>
      <c r="CC13" s="19">
        <f>IF(COUNTIFS(T_SelfStock_Log[Part Name],$A13,T_SelfStock_Log[WeekIndex],80)=0,"",SUMIFS(T_SelfStock_Log[Self_Qty],T_SelfStock_Log[Part Name],$A13,T_SelfStock_Log[WeekIndex],80))</f>
        <v/>
      </c>
      <c r="CD13" s="19">
        <f>IF(COUNTIFS(T_SelfStock_Log[Part Name],$A13,T_SelfStock_Log[WeekIndex],81)=0,"",SUMIFS(T_SelfStock_Log[Self_Qty],T_SelfStock_Log[Part Name],$A13,T_SelfStock_Log[WeekIndex],81))</f>
        <v/>
      </c>
      <c r="CE13" s="19">
        <f>IF(COUNTIFS(T_SelfStock_Log[Part Name],$A13,T_SelfStock_Log[WeekIndex],82)=0,"",SUMIFS(T_SelfStock_Log[Self_Qty],T_SelfStock_Log[Part Name],$A13,T_SelfStock_Log[WeekIndex],82))</f>
        <v/>
      </c>
      <c r="CF13" s="19">
        <f>IF(COUNTIFS(T_SelfStock_Log[Part Name],$A13,T_SelfStock_Log[WeekIndex],83)=0,"",SUMIFS(T_SelfStock_Log[Self_Qty],T_SelfStock_Log[Part Name],$A13,T_SelfStock_Log[WeekIndex],83))</f>
        <v/>
      </c>
      <c r="CG13" s="19">
        <f>IF(COUNTIFS(T_SelfStock_Log[Part Name],$A13,T_SelfStock_Log[WeekIndex],84)=0,"",SUMIFS(T_SelfStock_Log[Self_Qty],T_SelfStock_Log[Part Name],$A13,T_SelfStock_Log[WeekIndex],84))</f>
        <v/>
      </c>
      <c r="CH13" s="19">
        <f>IF(COUNTIFS(T_SelfStock_Log[Part Name],$A13,T_SelfStock_Log[WeekIndex],85)=0,"",SUMIFS(T_SelfStock_Log[Self_Qty],T_SelfStock_Log[Part Name],$A13,T_SelfStock_Log[WeekIndex],85))</f>
        <v/>
      </c>
      <c r="CI13" s="19">
        <f>IF(COUNTIFS(T_SelfStock_Log[Part Name],$A13,T_SelfStock_Log[WeekIndex],86)=0,"",SUMIFS(T_SelfStock_Log[Self_Qty],T_SelfStock_Log[Part Name],$A13,T_SelfStock_Log[WeekIndex],86))</f>
        <v/>
      </c>
      <c r="CJ13" s="19">
        <f>IF(COUNTIFS(T_SelfStock_Log[Part Name],$A13,T_SelfStock_Log[WeekIndex],87)=0,"",SUMIFS(T_SelfStock_Log[Self_Qty],T_SelfStock_Log[Part Name],$A13,T_SelfStock_Log[WeekIndex],87))</f>
        <v/>
      </c>
      <c r="CK13" s="19">
        <f>IF(COUNTIFS(T_SelfStock_Log[Part Name],$A13,T_SelfStock_Log[WeekIndex],88)=0,"",SUMIFS(T_SelfStock_Log[Self_Qty],T_SelfStock_Log[Part Name],$A13,T_SelfStock_Log[WeekIndex],88))</f>
        <v/>
      </c>
      <c r="CL13" s="19">
        <f>IF(COUNTIFS(T_SelfStock_Log[Part Name],$A13,T_SelfStock_Log[WeekIndex],89)=0,"",SUMIFS(T_SelfStock_Log[Self_Qty],T_SelfStock_Log[Part Name],$A13,T_SelfStock_Log[WeekIndex],89))</f>
        <v/>
      </c>
      <c r="CM13" s="19">
        <f>IF(COUNTIFS(T_SelfStock_Log[Part Name],$A13,T_SelfStock_Log[WeekIndex],90)=0,"",SUMIFS(T_SelfStock_Log[Self_Qty],T_SelfStock_Log[Part Name],$A13,T_SelfStock_Log[WeekIndex],90))</f>
        <v/>
      </c>
      <c r="CN13" s="19">
        <f>IF(COUNTIFS(T_SelfStock_Log[Part Name],$A13,T_SelfStock_Log[WeekIndex],91)=0,"",SUMIFS(T_SelfStock_Log[Self_Qty],T_SelfStock_Log[Part Name],$A13,T_SelfStock_Log[WeekIndex],91))</f>
        <v/>
      </c>
      <c r="CO13" s="19">
        <f>IF(COUNTIFS(T_SelfStock_Log[Part Name],$A13,T_SelfStock_Log[WeekIndex],92)=0,"",SUMIFS(T_SelfStock_Log[Self_Qty],T_SelfStock_Log[Part Name],$A13,T_SelfStock_Log[WeekIndex],92))</f>
        <v/>
      </c>
      <c r="CP13" s="19">
        <f>IF(COUNTIFS(T_SelfStock_Log[Part Name],$A13,T_SelfStock_Log[WeekIndex],93)=0,"",SUMIFS(T_SelfStock_Log[Self_Qty],T_SelfStock_Log[Part Name],$A13,T_SelfStock_Log[WeekIndex],93))</f>
        <v/>
      </c>
      <c r="CQ13" s="19">
        <f>IF(COUNTIFS(T_SelfStock_Log[Part Name],$A13,T_SelfStock_Log[WeekIndex],94)=0,"",SUMIFS(T_SelfStock_Log[Self_Qty],T_SelfStock_Log[Part Name],$A13,T_SelfStock_Log[WeekIndex],94))</f>
        <v/>
      </c>
      <c r="CR13" s="19">
        <f>IF(COUNTIFS(T_SelfStock_Log[Part Name],$A13,T_SelfStock_Log[WeekIndex],95)=0,"",SUMIFS(T_SelfStock_Log[Self_Qty],T_SelfStock_Log[Part Name],$A13,T_SelfStock_Log[WeekIndex],95))</f>
        <v/>
      </c>
      <c r="CS13" s="19">
        <f>IF(COUNTIFS(T_SelfStock_Log[Part Name],$A13,T_SelfStock_Log[WeekIndex],96)=0,"",SUMIFS(T_SelfStock_Log[Self_Qty],T_SelfStock_Log[Part Name],$A13,T_SelfStock_Log[WeekIndex],96))</f>
        <v/>
      </c>
      <c r="CT13" s="19">
        <f>IF(COUNTIFS(T_SelfStock_Log[Part Name],$A13,T_SelfStock_Log[WeekIndex],97)=0,"",SUMIFS(T_SelfStock_Log[Self_Qty],T_SelfStock_Log[Part Name],$A13,T_SelfStock_Log[WeekIndex],97))</f>
        <v/>
      </c>
      <c r="CU13" s="19">
        <f>IF(COUNTIFS(T_SelfStock_Log[Part Name],$A13,T_SelfStock_Log[WeekIndex],98)=0,"",SUMIFS(T_SelfStock_Log[Self_Qty],T_SelfStock_Log[Part Name],$A13,T_SelfStock_Log[WeekIndex],98))</f>
        <v/>
      </c>
      <c r="CV13" s="19">
        <f>IF(COUNTIFS(T_SelfStock_Log[Part Name],$A13,T_SelfStock_Log[WeekIndex],99)=0,"",SUMIFS(T_SelfStock_Log[Self_Qty],T_SelfStock_Log[Part Name],$A13,T_SelfStock_Log[WeekIndex],99))</f>
        <v/>
      </c>
      <c r="CW13" s="19">
        <f>IF(COUNTIFS(T_SelfStock_Log[Part Name],$A13,T_SelfStock_Log[WeekIndex],100)=0,"",SUMIFS(T_SelfStock_Log[Self_Qty],T_SelfStock_Log[Part Name],$A13,T_SelfStock_Log[WeekIndex],100))</f>
        <v/>
      </c>
      <c r="CX13" s="19">
        <f>IF(COUNTIFS(T_SelfStock_Log[Part Name],$A13,T_SelfStock_Log[WeekIndex],101)=0,"",SUMIFS(T_SelfStock_Log[Self_Qty],T_SelfStock_Log[Part Name],$A13,T_SelfStock_Log[WeekIndex],101))</f>
        <v/>
      </c>
      <c r="CY13" s="19">
        <f>IF(COUNTIFS(T_SelfStock_Log[Part Name],$A13,T_SelfStock_Log[WeekIndex],102)=0,"",SUMIFS(T_SelfStock_Log[Self_Qty],T_SelfStock_Log[Part Name],$A13,T_SelfStock_Log[WeekIndex],102))</f>
        <v/>
      </c>
      <c r="CZ13" s="19">
        <f>IF(COUNTIFS(T_SelfStock_Log[Part Name],$A13,T_SelfStock_Log[WeekIndex],103)=0,"",SUMIFS(T_SelfStock_Log[Self_Qty],T_SelfStock_Log[Part Name],$A13,T_SelfStock_Log[WeekIndex],103))</f>
        <v/>
      </c>
      <c r="DA13" s="19">
        <f>IF(COUNTIFS(T_SelfStock_Log[Part Name],$A13,T_SelfStock_Log[WeekIndex],104)=0,"",SUMIFS(T_SelfStock_Log[Self_Qty],T_SelfStock_Log[Part Name],$A13,T_SelfStock_Log[WeekIndex],104))</f>
        <v/>
      </c>
    </row>
    <row r="14">
      <c r="A14" s="17" t="inlineStr">
        <is>
          <t>KEJ</t>
        </is>
      </c>
      <c r="B14" s="17">
        <f>IF(COUNTIFS(T_SelfStock_Log[Part Name],$A14,T_SelfStock_Log[WeekIndex],1)=0,"",SUMIFS(T_SelfStock_Log[Self_Qty],T_SelfStock_Log[Part Name],$A14,T_SelfStock_Log[WeekIndex],1))</f>
        <v/>
      </c>
      <c r="C14" s="17">
        <f>IF(COUNTIFS(T_SelfStock_Log[Part Name],$A14,T_SelfStock_Log[WeekIndex],2)=0,"",SUMIFS(T_SelfStock_Log[Self_Qty],T_SelfStock_Log[Part Name],$A14,T_SelfStock_Log[WeekIndex],2))</f>
        <v/>
      </c>
      <c r="D14" s="17">
        <f>IF(COUNTIFS(T_SelfStock_Log[Part Name],$A14,T_SelfStock_Log[WeekIndex],3)=0,"",SUMIFS(T_SelfStock_Log[Self_Qty],T_SelfStock_Log[Part Name],$A14,T_SelfStock_Log[WeekIndex],3))</f>
        <v/>
      </c>
      <c r="E14" s="17">
        <f>IF(COUNTIFS(T_SelfStock_Log[Part Name],$A14,T_SelfStock_Log[WeekIndex],4)=0,"",SUMIFS(T_SelfStock_Log[Self_Qty],T_SelfStock_Log[Part Name],$A14,T_SelfStock_Log[WeekIndex],4))</f>
        <v/>
      </c>
      <c r="F14" s="17">
        <f>IF(COUNTIFS(T_SelfStock_Log[Part Name],$A14,T_SelfStock_Log[WeekIndex],5)=0,"",SUMIFS(T_SelfStock_Log[Self_Qty],T_SelfStock_Log[Part Name],$A14,T_SelfStock_Log[WeekIndex],5))</f>
        <v/>
      </c>
      <c r="G14" s="17">
        <f>IF(COUNTIFS(T_SelfStock_Log[Part Name],$A14,T_SelfStock_Log[WeekIndex],6)=0,"",SUMIFS(T_SelfStock_Log[Self_Qty],T_SelfStock_Log[Part Name],$A14,T_SelfStock_Log[WeekIndex],6))</f>
        <v/>
      </c>
      <c r="H14" s="17">
        <f>IF(COUNTIFS(T_SelfStock_Log[Part Name],$A14,T_SelfStock_Log[WeekIndex],7)=0,"",SUMIFS(T_SelfStock_Log[Self_Qty],T_SelfStock_Log[Part Name],$A14,T_SelfStock_Log[WeekIndex],7))</f>
        <v/>
      </c>
      <c r="I14" s="17">
        <f>IF(COUNTIFS(T_SelfStock_Log[Part Name],$A14,T_SelfStock_Log[WeekIndex],8)=0,"",SUMIFS(T_SelfStock_Log[Self_Qty],T_SelfStock_Log[Part Name],$A14,T_SelfStock_Log[WeekIndex],8))</f>
        <v/>
      </c>
      <c r="J14" s="17">
        <f>IF(COUNTIFS(T_SelfStock_Log[Part Name],$A14,T_SelfStock_Log[WeekIndex],9)=0,"",SUMIFS(T_SelfStock_Log[Self_Qty],T_SelfStock_Log[Part Name],$A14,T_SelfStock_Log[WeekIndex],9))</f>
        <v/>
      </c>
      <c r="K14" s="17">
        <f>IF(COUNTIFS(T_SelfStock_Log[Part Name],$A14,T_SelfStock_Log[WeekIndex],10)=0,"",SUMIFS(T_SelfStock_Log[Self_Qty],T_SelfStock_Log[Part Name],$A14,T_SelfStock_Log[WeekIndex],10))</f>
        <v/>
      </c>
      <c r="L14" s="17">
        <f>IF(COUNTIFS(T_SelfStock_Log[Part Name],$A14,T_SelfStock_Log[WeekIndex],11)=0,"",SUMIFS(T_SelfStock_Log[Self_Qty],T_SelfStock_Log[Part Name],$A14,T_SelfStock_Log[WeekIndex],11))</f>
        <v/>
      </c>
      <c r="M14" s="17">
        <f>IF(COUNTIFS(T_SelfStock_Log[Part Name],$A14,T_SelfStock_Log[WeekIndex],12)=0,"",SUMIFS(T_SelfStock_Log[Self_Qty],T_SelfStock_Log[Part Name],$A14,T_SelfStock_Log[WeekIndex],12))</f>
        <v/>
      </c>
      <c r="N14" s="17">
        <f>IF(COUNTIFS(T_SelfStock_Log[Part Name],$A14,T_SelfStock_Log[WeekIndex],13)=0,"",SUMIFS(T_SelfStock_Log[Self_Qty],T_SelfStock_Log[Part Name],$A14,T_SelfStock_Log[WeekIndex],13))</f>
        <v/>
      </c>
      <c r="O14" s="17">
        <f>IF(COUNTIFS(T_SelfStock_Log[Part Name],$A14,T_SelfStock_Log[WeekIndex],14)=0,"",SUMIFS(T_SelfStock_Log[Self_Qty],T_SelfStock_Log[Part Name],$A14,T_SelfStock_Log[WeekIndex],14))</f>
        <v/>
      </c>
      <c r="P14" s="17">
        <f>IF(COUNTIFS(T_SelfStock_Log[Part Name],$A14,T_SelfStock_Log[WeekIndex],15)=0,"",SUMIFS(T_SelfStock_Log[Self_Qty],T_SelfStock_Log[Part Name],$A14,T_SelfStock_Log[WeekIndex],15))</f>
        <v/>
      </c>
      <c r="Q14" s="17">
        <f>IF(COUNTIFS(T_SelfStock_Log[Part Name],$A14,T_SelfStock_Log[WeekIndex],16)=0,"",SUMIFS(T_SelfStock_Log[Self_Qty],T_SelfStock_Log[Part Name],$A14,T_SelfStock_Log[WeekIndex],16))</f>
        <v/>
      </c>
      <c r="R14" s="17">
        <f>IF(COUNTIFS(T_SelfStock_Log[Part Name],$A14,T_SelfStock_Log[WeekIndex],17)=0,"",SUMIFS(T_SelfStock_Log[Self_Qty],T_SelfStock_Log[Part Name],$A14,T_SelfStock_Log[WeekIndex],17))</f>
        <v/>
      </c>
      <c r="S14" s="17">
        <f>IF(COUNTIFS(T_SelfStock_Log[Part Name],$A14,T_SelfStock_Log[WeekIndex],18)=0,"",SUMIFS(T_SelfStock_Log[Self_Qty],T_SelfStock_Log[Part Name],$A14,T_SelfStock_Log[WeekIndex],18))</f>
        <v/>
      </c>
      <c r="T14" s="17">
        <f>IF(COUNTIFS(T_SelfStock_Log[Part Name],$A14,T_SelfStock_Log[WeekIndex],19)=0,"",SUMIFS(T_SelfStock_Log[Self_Qty],T_SelfStock_Log[Part Name],$A14,T_SelfStock_Log[WeekIndex],19))</f>
        <v/>
      </c>
      <c r="U14" s="17">
        <f>IF(COUNTIFS(T_SelfStock_Log[Part Name],$A14,T_SelfStock_Log[WeekIndex],20)=0,"",SUMIFS(T_SelfStock_Log[Self_Qty],T_SelfStock_Log[Part Name],$A14,T_SelfStock_Log[WeekIndex],20))</f>
        <v/>
      </c>
      <c r="V14" s="17">
        <f>IF(COUNTIFS(T_SelfStock_Log[Part Name],$A14,T_SelfStock_Log[WeekIndex],21)=0,"",SUMIFS(T_SelfStock_Log[Self_Qty],T_SelfStock_Log[Part Name],$A14,T_SelfStock_Log[WeekIndex],21))</f>
        <v/>
      </c>
      <c r="W14" s="17">
        <f>IF(COUNTIFS(T_SelfStock_Log[Part Name],$A14,T_SelfStock_Log[WeekIndex],22)=0,"",SUMIFS(T_SelfStock_Log[Self_Qty],T_SelfStock_Log[Part Name],$A14,T_SelfStock_Log[WeekIndex],22))</f>
        <v/>
      </c>
      <c r="X14" s="17">
        <f>IF(COUNTIFS(T_SelfStock_Log[Part Name],$A14,T_SelfStock_Log[WeekIndex],23)=0,"",SUMIFS(T_SelfStock_Log[Self_Qty],T_SelfStock_Log[Part Name],$A14,T_SelfStock_Log[WeekIndex],23))</f>
        <v/>
      </c>
      <c r="Y14" s="17">
        <f>IF(COUNTIFS(T_SelfStock_Log[Part Name],$A14,T_SelfStock_Log[WeekIndex],24)=0,"",SUMIFS(T_SelfStock_Log[Self_Qty],T_SelfStock_Log[Part Name],$A14,T_SelfStock_Log[WeekIndex],24))</f>
        <v/>
      </c>
      <c r="Z14" s="17">
        <f>IF(COUNTIFS(T_SelfStock_Log[Part Name],$A14,T_SelfStock_Log[WeekIndex],25)=0,"",SUMIFS(T_SelfStock_Log[Self_Qty],T_SelfStock_Log[Part Name],$A14,T_SelfStock_Log[WeekIndex],25))</f>
        <v/>
      </c>
      <c r="AA14" s="17">
        <f>IF(COUNTIFS(T_SelfStock_Log[Part Name],$A14,T_SelfStock_Log[WeekIndex],26)=0,"",SUMIFS(T_SelfStock_Log[Self_Qty],T_SelfStock_Log[Part Name],$A14,T_SelfStock_Log[WeekIndex],26))</f>
        <v/>
      </c>
      <c r="AB14" s="17">
        <f>IF(COUNTIFS(T_SelfStock_Log[Part Name],$A14,T_SelfStock_Log[WeekIndex],27)=0,"",SUMIFS(T_SelfStock_Log[Self_Qty],T_SelfStock_Log[Part Name],$A14,T_SelfStock_Log[WeekIndex],27))</f>
        <v/>
      </c>
      <c r="AC14" s="17">
        <f>IF(COUNTIFS(T_SelfStock_Log[Part Name],$A14,T_SelfStock_Log[WeekIndex],28)=0,"",SUMIFS(T_SelfStock_Log[Self_Qty],T_SelfStock_Log[Part Name],$A14,T_SelfStock_Log[WeekIndex],28))</f>
        <v/>
      </c>
      <c r="AD14" s="17">
        <f>IF(COUNTIFS(T_SelfStock_Log[Part Name],$A14,T_SelfStock_Log[WeekIndex],29)=0,"",SUMIFS(T_SelfStock_Log[Self_Qty],T_SelfStock_Log[Part Name],$A14,T_SelfStock_Log[WeekIndex],29))</f>
        <v/>
      </c>
      <c r="AE14" s="17">
        <f>IF(COUNTIFS(T_SelfStock_Log[Part Name],$A14,T_SelfStock_Log[WeekIndex],30)=0,"",SUMIFS(T_SelfStock_Log[Self_Qty],T_SelfStock_Log[Part Name],$A14,T_SelfStock_Log[WeekIndex],30))</f>
        <v/>
      </c>
      <c r="AF14" s="17">
        <f>IF(COUNTIFS(T_SelfStock_Log[Part Name],$A14,T_SelfStock_Log[WeekIndex],31)=0,"",SUMIFS(T_SelfStock_Log[Self_Qty],T_SelfStock_Log[Part Name],$A14,T_SelfStock_Log[WeekIndex],31))</f>
        <v/>
      </c>
      <c r="AG14" s="17">
        <f>IF(COUNTIFS(T_SelfStock_Log[Part Name],$A14,T_SelfStock_Log[WeekIndex],32)=0,"",SUMIFS(T_SelfStock_Log[Self_Qty],T_SelfStock_Log[Part Name],$A14,T_SelfStock_Log[WeekIndex],32))</f>
        <v/>
      </c>
      <c r="AH14" s="17">
        <f>IF(COUNTIFS(T_SelfStock_Log[Part Name],$A14,T_SelfStock_Log[WeekIndex],33)=0,"",SUMIFS(T_SelfStock_Log[Self_Qty],T_SelfStock_Log[Part Name],$A14,T_SelfStock_Log[WeekIndex],33))</f>
        <v/>
      </c>
      <c r="AI14" s="17">
        <f>IF(COUNTIFS(T_SelfStock_Log[Part Name],$A14,T_SelfStock_Log[WeekIndex],34)=0,"",SUMIFS(T_SelfStock_Log[Self_Qty],T_SelfStock_Log[Part Name],$A14,T_SelfStock_Log[WeekIndex],34))</f>
        <v/>
      </c>
      <c r="AJ14" s="17">
        <f>IF(COUNTIFS(T_SelfStock_Log[Part Name],$A14,T_SelfStock_Log[WeekIndex],35)=0,"",SUMIFS(T_SelfStock_Log[Self_Qty],T_SelfStock_Log[Part Name],$A14,T_SelfStock_Log[WeekIndex],35))</f>
        <v/>
      </c>
      <c r="AK14" s="17">
        <f>IF(COUNTIFS(T_SelfStock_Log[Part Name],$A14,T_SelfStock_Log[WeekIndex],36)=0,"",SUMIFS(T_SelfStock_Log[Self_Qty],T_SelfStock_Log[Part Name],$A14,T_SelfStock_Log[WeekIndex],36))</f>
        <v/>
      </c>
      <c r="AL14" s="17">
        <f>IF(COUNTIFS(T_SelfStock_Log[Part Name],$A14,T_SelfStock_Log[WeekIndex],37)=0,"",SUMIFS(T_SelfStock_Log[Self_Qty],T_SelfStock_Log[Part Name],$A14,T_SelfStock_Log[WeekIndex],37))</f>
        <v/>
      </c>
      <c r="AM14" s="17">
        <f>IF(COUNTIFS(T_SelfStock_Log[Part Name],$A14,T_SelfStock_Log[WeekIndex],38)=0,"",SUMIFS(T_SelfStock_Log[Self_Qty],T_SelfStock_Log[Part Name],$A14,T_SelfStock_Log[WeekIndex],38))</f>
        <v/>
      </c>
      <c r="AN14" s="17">
        <f>IF(COUNTIFS(T_SelfStock_Log[Part Name],$A14,T_SelfStock_Log[WeekIndex],39)=0,"",SUMIFS(T_SelfStock_Log[Self_Qty],T_SelfStock_Log[Part Name],$A14,T_SelfStock_Log[WeekIndex],39))</f>
        <v/>
      </c>
      <c r="AO14" s="17">
        <f>IF(COUNTIFS(T_SelfStock_Log[Part Name],$A14,T_SelfStock_Log[WeekIndex],40)=0,"",SUMIFS(T_SelfStock_Log[Self_Qty],T_SelfStock_Log[Part Name],$A14,T_SelfStock_Log[WeekIndex],40))</f>
        <v/>
      </c>
      <c r="AP14" s="17">
        <f>IF(COUNTIFS(T_SelfStock_Log[Part Name],$A14,T_SelfStock_Log[WeekIndex],41)=0,"",SUMIFS(T_SelfStock_Log[Self_Qty],T_SelfStock_Log[Part Name],$A14,T_SelfStock_Log[WeekIndex],41))</f>
        <v/>
      </c>
      <c r="AQ14" s="17">
        <f>IF(COUNTIFS(T_SelfStock_Log[Part Name],$A14,T_SelfStock_Log[WeekIndex],42)=0,"",SUMIFS(T_SelfStock_Log[Self_Qty],T_SelfStock_Log[Part Name],$A14,T_SelfStock_Log[WeekIndex],42))</f>
        <v/>
      </c>
      <c r="AR14" s="17">
        <f>IF(COUNTIFS(T_SelfStock_Log[Part Name],$A14,T_SelfStock_Log[WeekIndex],43)=0,"",SUMIFS(T_SelfStock_Log[Self_Qty],T_SelfStock_Log[Part Name],$A14,T_SelfStock_Log[WeekIndex],43))</f>
        <v/>
      </c>
      <c r="AS14" s="17">
        <f>IF(COUNTIFS(T_SelfStock_Log[Part Name],$A14,T_SelfStock_Log[WeekIndex],44)=0,"",SUMIFS(T_SelfStock_Log[Self_Qty],T_SelfStock_Log[Part Name],$A14,T_SelfStock_Log[WeekIndex],44))</f>
        <v/>
      </c>
      <c r="AT14" s="17">
        <f>IF(COUNTIFS(T_SelfStock_Log[Part Name],$A14,T_SelfStock_Log[WeekIndex],45)=0,"",SUMIFS(T_SelfStock_Log[Self_Qty],T_SelfStock_Log[Part Name],$A14,T_SelfStock_Log[WeekIndex],45))</f>
        <v/>
      </c>
      <c r="AU14" s="17">
        <f>IF(COUNTIFS(T_SelfStock_Log[Part Name],$A14,T_SelfStock_Log[WeekIndex],46)=0,"",SUMIFS(T_SelfStock_Log[Self_Qty],T_SelfStock_Log[Part Name],$A14,T_SelfStock_Log[WeekIndex],46))</f>
        <v/>
      </c>
      <c r="AV14" s="17">
        <f>IF(COUNTIFS(T_SelfStock_Log[Part Name],$A14,T_SelfStock_Log[WeekIndex],47)=0,"",SUMIFS(T_SelfStock_Log[Self_Qty],T_SelfStock_Log[Part Name],$A14,T_SelfStock_Log[WeekIndex],47))</f>
        <v/>
      </c>
      <c r="AW14" s="17">
        <f>IF(COUNTIFS(T_SelfStock_Log[Part Name],$A14,T_SelfStock_Log[WeekIndex],48)=0,"",SUMIFS(T_SelfStock_Log[Self_Qty],T_SelfStock_Log[Part Name],$A14,T_SelfStock_Log[WeekIndex],48))</f>
        <v/>
      </c>
      <c r="AX14" s="17">
        <f>IF(COUNTIFS(T_SelfStock_Log[Part Name],$A14,T_SelfStock_Log[WeekIndex],49)=0,"",SUMIFS(T_SelfStock_Log[Self_Qty],T_SelfStock_Log[Part Name],$A14,T_SelfStock_Log[WeekIndex],49))</f>
        <v/>
      </c>
      <c r="AY14" s="17">
        <f>IF(COUNTIFS(T_SelfStock_Log[Part Name],$A14,T_SelfStock_Log[WeekIndex],50)=0,"",SUMIFS(T_SelfStock_Log[Self_Qty],T_SelfStock_Log[Part Name],$A14,T_SelfStock_Log[WeekIndex],50))</f>
        <v/>
      </c>
      <c r="AZ14" s="17">
        <f>IF(COUNTIFS(T_SelfStock_Log[Part Name],$A14,T_SelfStock_Log[WeekIndex],51)=0,"",SUMIFS(T_SelfStock_Log[Self_Qty],T_SelfStock_Log[Part Name],$A14,T_SelfStock_Log[WeekIndex],51))</f>
        <v/>
      </c>
      <c r="BA14" s="17">
        <f>IF(COUNTIFS(T_SelfStock_Log[Part Name],$A14,T_SelfStock_Log[WeekIndex],52)=0,"",SUMIFS(T_SelfStock_Log[Self_Qty],T_SelfStock_Log[Part Name],$A14,T_SelfStock_Log[WeekIndex],52))</f>
        <v/>
      </c>
      <c r="BB14" s="17">
        <f>IF(COUNTIFS(T_SelfStock_Log[Part Name],$A14,T_SelfStock_Log[WeekIndex],53)=0,"",SUMIFS(T_SelfStock_Log[Self_Qty],T_SelfStock_Log[Part Name],$A14,T_SelfStock_Log[WeekIndex],53))</f>
        <v/>
      </c>
      <c r="BC14" s="17">
        <f>IF(COUNTIFS(T_SelfStock_Log[Part Name],$A14,T_SelfStock_Log[WeekIndex],54)=0,"",SUMIFS(T_SelfStock_Log[Self_Qty],T_SelfStock_Log[Part Name],$A14,T_SelfStock_Log[WeekIndex],54))</f>
        <v/>
      </c>
      <c r="BD14" s="17">
        <f>IF(COUNTIFS(T_SelfStock_Log[Part Name],$A14,T_SelfStock_Log[WeekIndex],55)=0,"",SUMIFS(T_SelfStock_Log[Self_Qty],T_SelfStock_Log[Part Name],$A14,T_SelfStock_Log[WeekIndex],55))</f>
        <v/>
      </c>
      <c r="BE14" s="17">
        <f>IF(COUNTIFS(T_SelfStock_Log[Part Name],$A14,T_SelfStock_Log[WeekIndex],56)=0,"",SUMIFS(T_SelfStock_Log[Self_Qty],T_SelfStock_Log[Part Name],$A14,T_SelfStock_Log[WeekIndex],56))</f>
        <v/>
      </c>
      <c r="BF14" s="17">
        <f>IF(COUNTIFS(T_SelfStock_Log[Part Name],$A14,T_SelfStock_Log[WeekIndex],57)=0,"",SUMIFS(T_SelfStock_Log[Self_Qty],T_SelfStock_Log[Part Name],$A14,T_SelfStock_Log[WeekIndex],57))</f>
        <v/>
      </c>
      <c r="BG14" s="17">
        <f>IF(COUNTIFS(T_SelfStock_Log[Part Name],$A14,T_SelfStock_Log[WeekIndex],58)=0,"",SUMIFS(T_SelfStock_Log[Self_Qty],T_SelfStock_Log[Part Name],$A14,T_SelfStock_Log[WeekIndex],58))</f>
        <v/>
      </c>
      <c r="BH14" s="17">
        <f>IF(COUNTIFS(T_SelfStock_Log[Part Name],$A14,T_SelfStock_Log[WeekIndex],59)=0,"",SUMIFS(T_SelfStock_Log[Self_Qty],T_SelfStock_Log[Part Name],$A14,T_SelfStock_Log[WeekIndex],59))</f>
        <v/>
      </c>
      <c r="BI14" s="17">
        <f>IF(COUNTIFS(T_SelfStock_Log[Part Name],$A14,T_SelfStock_Log[WeekIndex],60)=0,"",SUMIFS(T_SelfStock_Log[Self_Qty],T_SelfStock_Log[Part Name],$A14,T_SelfStock_Log[WeekIndex],60))</f>
        <v/>
      </c>
      <c r="BJ14" s="17">
        <f>IF(COUNTIFS(T_SelfStock_Log[Part Name],$A14,T_SelfStock_Log[WeekIndex],61)=0,"",SUMIFS(T_SelfStock_Log[Self_Qty],T_SelfStock_Log[Part Name],$A14,T_SelfStock_Log[WeekIndex],61))</f>
        <v/>
      </c>
      <c r="BK14" s="17">
        <f>IF(COUNTIFS(T_SelfStock_Log[Part Name],$A14,T_SelfStock_Log[WeekIndex],62)=0,"",SUMIFS(T_SelfStock_Log[Self_Qty],T_SelfStock_Log[Part Name],$A14,T_SelfStock_Log[WeekIndex],62))</f>
        <v/>
      </c>
      <c r="BL14" s="17">
        <f>IF(COUNTIFS(T_SelfStock_Log[Part Name],$A14,T_SelfStock_Log[WeekIndex],63)=0,"",SUMIFS(T_SelfStock_Log[Self_Qty],T_SelfStock_Log[Part Name],$A14,T_SelfStock_Log[WeekIndex],63))</f>
        <v/>
      </c>
      <c r="BM14" s="17">
        <f>IF(COUNTIFS(T_SelfStock_Log[Part Name],$A14,T_SelfStock_Log[WeekIndex],64)=0,"",SUMIFS(T_SelfStock_Log[Self_Qty],T_SelfStock_Log[Part Name],$A14,T_SelfStock_Log[WeekIndex],64))</f>
        <v/>
      </c>
      <c r="BN14" s="17">
        <f>IF(COUNTIFS(T_SelfStock_Log[Part Name],$A14,T_SelfStock_Log[WeekIndex],65)=0,"",SUMIFS(T_SelfStock_Log[Self_Qty],T_SelfStock_Log[Part Name],$A14,T_SelfStock_Log[WeekIndex],65))</f>
        <v/>
      </c>
      <c r="BO14" s="17">
        <f>IF(COUNTIFS(T_SelfStock_Log[Part Name],$A14,T_SelfStock_Log[WeekIndex],66)=0,"",SUMIFS(T_SelfStock_Log[Self_Qty],T_SelfStock_Log[Part Name],$A14,T_SelfStock_Log[WeekIndex],66))</f>
        <v/>
      </c>
      <c r="BP14" s="17">
        <f>IF(COUNTIFS(T_SelfStock_Log[Part Name],$A14,T_SelfStock_Log[WeekIndex],67)=0,"",SUMIFS(T_SelfStock_Log[Self_Qty],T_SelfStock_Log[Part Name],$A14,T_SelfStock_Log[WeekIndex],67))</f>
        <v/>
      </c>
      <c r="BQ14" s="17">
        <f>IF(COUNTIFS(T_SelfStock_Log[Part Name],$A14,T_SelfStock_Log[WeekIndex],68)=0,"",SUMIFS(T_SelfStock_Log[Self_Qty],T_SelfStock_Log[Part Name],$A14,T_SelfStock_Log[WeekIndex],68))</f>
        <v/>
      </c>
      <c r="BR14" s="17">
        <f>IF(COUNTIFS(T_SelfStock_Log[Part Name],$A14,T_SelfStock_Log[WeekIndex],69)=0,"",SUMIFS(T_SelfStock_Log[Self_Qty],T_SelfStock_Log[Part Name],$A14,T_SelfStock_Log[WeekIndex],69))</f>
        <v/>
      </c>
      <c r="BS14" s="17">
        <f>IF(COUNTIFS(T_SelfStock_Log[Part Name],$A14,T_SelfStock_Log[WeekIndex],70)=0,"",SUMIFS(T_SelfStock_Log[Self_Qty],T_SelfStock_Log[Part Name],$A14,T_SelfStock_Log[WeekIndex],70))</f>
        <v/>
      </c>
      <c r="BT14" s="17">
        <f>IF(COUNTIFS(T_SelfStock_Log[Part Name],$A14,T_SelfStock_Log[WeekIndex],71)=0,"",SUMIFS(T_SelfStock_Log[Self_Qty],T_SelfStock_Log[Part Name],$A14,T_SelfStock_Log[WeekIndex],71))</f>
        <v/>
      </c>
      <c r="BU14" s="17">
        <f>IF(COUNTIFS(T_SelfStock_Log[Part Name],$A14,T_SelfStock_Log[WeekIndex],72)=0,"",SUMIFS(T_SelfStock_Log[Self_Qty],T_SelfStock_Log[Part Name],$A14,T_SelfStock_Log[WeekIndex],72))</f>
        <v/>
      </c>
      <c r="BV14" s="17">
        <f>IF(COUNTIFS(T_SelfStock_Log[Part Name],$A14,T_SelfStock_Log[WeekIndex],73)=0,"",SUMIFS(T_SelfStock_Log[Self_Qty],T_SelfStock_Log[Part Name],$A14,T_SelfStock_Log[WeekIndex],73))</f>
        <v/>
      </c>
      <c r="BW14" s="17">
        <f>IF(COUNTIFS(T_SelfStock_Log[Part Name],$A14,T_SelfStock_Log[WeekIndex],74)=0,"",SUMIFS(T_SelfStock_Log[Self_Qty],T_SelfStock_Log[Part Name],$A14,T_SelfStock_Log[WeekIndex],74))</f>
        <v/>
      </c>
      <c r="BX14" s="17">
        <f>IF(COUNTIFS(T_SelfStock_Log[Part Name],$A14,T_SelfStock_Log[WeekIndex],75)=0,"",SUMIFS(T_SelfStock_Log[Self_Qty],T_SelfStock_Log[Part Name],$A14,T_SelfStock_Log[WeekIndex],75))</f>
        <v/>
      </c>
      <c r="BY14" s="17">
        <f>IF(COUNTIFS(T_SelfStock_Log[Part Name],$A14,T_SelfStock_Log[WeekIndex],76)=0,"",SUMIFS(T_SelfStock_Log[Self_Qty],T_SelfStock_Log[Part Name],$A14,T_SelfStock_Log[WeekIndex],76))</f>
        <v/>
      </c>
      <c r="BZ14" s="17">
        <f>IF(COUNTIFS(T_SelfStock_Log[Part Name],$A14,T_SelfStock_Log[WeekIndex],77)=0,"",SUMIFS(T_SelfStock_Log[Self_Qty],T_SelfStock_Log[Part Name],$A14,T_SelfStock_Log[WeekIndex],77))</f>
        <v/>
      </c>
      <c r="CA14" s="17">
        <f>IF(COUNTIFS(T_SelfStock_Log[Part Name],$A14,T_SelfStock_Log[WeekIndex],78)=0,"",SUMIFS(T_SelfStock_Log[Self_Qty],T_SelfStock_Log[Part Name],$A14,T_SelfStock_Log[WeekIndex],78))</f>
        <v/>
      </c>
      <c r="CB14" s="17">
        <f>IF(COUNTIFS(T_SelfStock_Log[Part Name],$A14,T_SelfStock_Log[WeekIndex],79)=0,"",SUMIFS(T_SelfStock_Log[Self_Qty],T_SelfStock_Log[Part Name],$A14,T_SelfStock_Log[WeekIndex],79))</f>
        <v/>
      </c>
      <c r="CC14" s="17">
        <f>IF(COUNTIFS(T_SelfStock_Log[Part Name],$A14,T_SelfStock_Log[WeekIndex],80)=0,"",SUMIFS(T_SelfStock_Log[Self_Qty],T_SelfStock_Log[Part Name],$A14,T_SelfStock_Log[WeekIndex],80))</f>
        <v/>
      </c>
      <c r="CD14" s="17">
        <f>IF(COUNTIFS(T_SelfStock_Log[Part Name],$A14,T_SelfStock_Log[WeekIndex],81)=0,"",SUMIFS(T_SelfStock_Log[Self_Qty],T_SelfStock_Log[Part Name],$A14,T_SelfStock_Log[WeekIndex],81))</f>
        <v/>
      </c>
      <c r="CE14" s="17">
        <f>IF(COUNTIFS(T_SelfStock_Log[Part Name],$A14,T_SelfStock_Log[WeekIndex],82)=0,"",SUMIFS(T_SelfStock_Log[Self_Qty],T_SelfStock_Log[Part Name],$A14,T_SelfStock_Log[WeekIndex],82))</f>
        <v/>
      </c>
      <c r="CF14" s="17">
        <f>IF(COUNTIFS(T_SelfStock_Log[Part Name],$A14,T_SelfStock_Log[WeekIndex],83)=0,"",SUMIFS(T_SelfStock_Log[Self_Qty],T_SelfStock_Log[Part Name],$A14,T_SelfStock_Log[WeekIndex],83))</f>
        <v/>
      </c>
      <c r="CG14" s="17">
        <f>IF(COUNTIFS(T_SelfStock_Log[Part Name],$A14,T_SelfStock_Log[WeekIndex],84)=0,"",SUMIFS(T_SelfStock_Log[Self_Qty],T_SelfStock_Log[Part Name],$A14,T_SelfStock_Log[WeekIndex],84))</f>
        <v/>
      </c>
      <c r="CH14" s="17">
        <f>IF(COUNTIFS(T_SelfStock_Log[Part Name],$A14,T_SelfStock_Log[WeekIndex],85)=0,"",SUMIFS(T_SelfStock_Log[Self_Qty],T_SelfStock_Log[Part Name],$A14,T_SelfStock_Log[WeekIndex],85))</f>
        <v/>
      </c>
      <c r="CI14" s="17">
        <f>IF(COUNTIFS(T_SelfStock_Log[Part Name],$A14,T_SelfStock_Log[WeekIndex],86)=0,"",SUMIFS(T_SelfStock_Log[Self_Qty],T_SelfStock_Log[Part Name],$A14,T_SelfStock_Log[WeekIndex],86))</f>
        <v/>
      </c>
      <c r="CJ14" s="17">
        <f>IF(COUNTIFS(T_SelfStock_Log[Part Name],$A14,T_SelfStock_Log[WeekIndex],87)=0,"",SUMIFS(T_SelfStock_Log[Self_Qty],T_SelfStock_Log[Part Name],$A14,T_SelfStock_Log[WeekIndex],87))</f>
        <v/>
      </c>
      <c r="CK14" s="17">
        <f>IF(COUNTIFS(T_SelfStock_Log[Part Name],$A14,T_SelfStock_Log[WeekIndex],88)=0,"",SUMIFS(T_SelfStock_Log[Self_Qty],T_SelfStock_Log[Part Name],$A14,T_SelfStock_Log[WeekIndex],88))</f>
        <v/>
      </c>
      <c r="CL14" s="17">
        <f>IF(COUNTIFS(T_SelfStock_Log[Part Name],$A14,T_SelfStock_Log[WeekIndex],89)=0,"",SUMIFS(T_SelfStock_Log[Self_Qty],T_SelfStock_Log[Part Name],$A14,T_SelfStock_Log[WeekIndex],89))</f>
        <v/>
      </c>
      <c r="CM14" s="17">
        <f>IF(COUNTIFS(T_SelfStock_Log[Part Name],$A14,T_SelfStock_Log[WeekIndex],90)=0,"",SUMIFS(T_SelfStock_Log[Self_Qty],T_SelfStock_Log[Part Name],$A14,T_SelfStock_Log[WeekIndex],90))</f>
        <v/>
      </c>
      <c r="CN14" s="17">
        <f>IF(COUNTIFS(T_SelfStock_Log[Part Name],$A14,T_SelfStock_Log[WeekIndex],91)=0,"",SUMIFS(T_SelfStock_Log[Self_Qty],T_SelfStock_Log[Part Name],$A14,T_SelfStock_Log[WeekIndex],91))</f>
        <v/>
      </c>
      <c r="CO14" s="17">
        <f>IF(COUNTIFS(T_SelfStock_Log[Part Name],$A14,T_SelfStock_Log[WeekIndex],92)=0,"",SUMIFS(T_SelfStock_Log[Self_Qty],T_SelfStock_Log[Part Name],$A14,T_SelfStock_Log[WeekIndex],92))</f>
        <v/>
      </c>
      <c r="CP14" s="17">
        <f>IF(COUNTIFS(T_SelfStock_Log[Part Name],$A14,T_SelfStock_Log[WeekIndex],93)=0,"",SUMIFS(T_SelfStock_Log[Self_Qty],T_SelfStock_Log[Part Name],$A14,T_SelfStock_Log[WeekIndex],93))</f>
        <v/>
      </c>
      <c r="CQ14" s="17">
        <f>IF(COUNTIFS(T_SelfStock_Log[Part Name],$A14,T_SelfStock_Log[WeekIndex],94)=0,"",SUMIFS(T_SelfStock_Log[Self_Qty],T_SelfStock_Log[Part Name],$A14,T_SelfStock_Log[WeekIndex],94))</f>
        <v/>
      </c>
      <c r="CR14" s="17">
        <f>IF(COUNTIFS(T_SelfStock_Log[Part Name],$A14,T_SelfStock_Log[WeekIndex],95)=0,"",SUMIFS(T_SelfStock_Log[Self_Qty],T_SelfStock_Log[Part Name],$A14,T_SelfStock_Log[WeekIndex],95))</f>
        <v/>
      </c>
      <c r="CS14" s="17">
        <f>IF(COUNTIFS(T_SelfStock_Log[Part Name],$A14,T_SelfStock_Log[WeekIndex],96)=0,"",SUMIFS(T_SelfStock_Log[Self_Qty],T_SelfStock_Log[Part Name],$A14,T_SelfStock_Log[WeekIndex],96))</f>
        <v/>
      </c>
      <c r="CT14" s="17">
        <f>IF(COUNTIFS(T_SelfStock_Log[Part Name],$A14,T_SelfStock_Log[WeekIndex],97)=0,"",SUMIFS(T_SelfStock_Log[Self_Qty],T_SelfStock_Log[Part Name],$A14,T_SelfStock_Log[WeekIndex],97))</f>
        <v/>
      </c>
      <c r="CU14" s="17">
        <f>IF(COUNTIFS(T_SelfStock_Log[Part Name],$A14,T_SelfStock_Log[WeekIndex],98)=0,"",SUMIFS(T_SelfStock_Log[Self_Qty],T_SelfStock_Log[Part Name],$A14,T_SelfStock_Log[WeekIndex],98))</f>
        <v/>
      </c>
      <c r="CV14" s="17">
        <f>IF(COUNTIFS(T_SelfStock_Log[Part Name],$A14,T_SelfStock_Log[WeekIndex],99)=0,"",SUMIFS(T_SelfStock_Log[Self_Qty],T_SelfStock_Log[Part Name],$A14,T_SelfStock_Log[WeekIndex],99))</f>
        <v/>
      </c>
      <c r="CW14" s="17">
        <f>IF(COUNTIFS(T_SelfStock_Log[Part Name],$A14,T_SelfStock_Log[WeekIndex],100)=0,"",SUMIFS(T_SelfStock_Log[Self_Qty],T_SelfStock_Log[Part Name],$A14,T_SelfStock_Log[WeekIndex],100))</f>
        <v/>
      </c>
      <c r="CX14" s="17">
        <f>IF(COUNTIFS(T_SelfStock_Log[Part Name],$A14,T_SelfStock_Log[WeekIndex],101)=0,"",SUMIFS(T_SelfStock_Log[Self_Qty],T_SelfStock_Log[Part Name],$A14,T_SelfStock_Log[WeekIndex],101))</f>
        <v/>
      </c>
      <c r="CY14" s="17">
        <f>IF(COUNTIFS(T_SelfStock_Log[Part Name],$A14,T_SelfStock_Log[WeekIndex],102)=0,"",SUMIFS(T_SelfStock_Log[Self_Qty],T_SelfStock_Log[Part Name],$A14,T_SelfStock_Log[WeekIndex],102))</f>
        <v/>
      </c>
      <c r="CZ14" s="17">
        <f>IF(COUNTIFS(T_SelfStock_Log[Part Name],$A14,T_SelfStock_Log[WeekIndex],103)=0,"",SUMIFS(T_SelfStock_Log[Self_Qty],T_SelfStock_Log[Part Name],$A14,T_SelfStock_Log[WeekIndex],103))</f>
        <v/>
      </c>
      <c r="DA14" s="17">
        <f>IF(COUNTIFS(T_SelfStock_Log[Part Name],$A14,T_SelfStock_Log[WeekIndex],104)=0,"",SUMIFS(T_SelfStock_Log[Self_Qty],T_SelfStock_Log[Part Name],$A14,T_SelfStock_Log[WeekIndex],104))</f>
        <v/>
      </c>
    </row>
    <row r="15">
      <c r="A15" s="19" t="inlineStr">
        <is>
          <t>JEJ</t>
        </is>
      </c>
      <c r="B15" s="19">
        <f>IF(COUNTIFS(T_SelfStock_Log[Part Name],$A15,T_SelfStock_Log[WeekIndex],1)=0,"",SUMIFS(T_SelfStock_Log[Self_Qty],T_SelfStock_Log[Part Name],$A15,T_SelfStock_Log[WeekIndex],1))</f>
        <v/>
      </c>
      <c r="C15" s="19">
        <f>IF(COUNTIFS(T_SelfStock_Log[Part Name],$A15,T_SelfStock_Log[WeekIndex],2)=0,"",SUMIFS(T_SelfStock_Log[Self_Qty],T_SelfStock_Log[Part Name],$A15,T_SelfStock_Log[WeekIndex],2))</f>
        <v/>
      </c>
      <c r="D15" s="19">
        <f>IF(COUNTIFS(T_SelfStock_Log[Part Name],$A15,T_SelfStock_Log[WeekIndex],3)=0,"",SUMIFS(T_SelfStock_Log[Self_Qty],T_SelfStock_Log[Part Name],$A15,T_SelfStock_Log[WeekIndex],3))</f>
        <v/>
      </c>
      <c r="E15" s="19">
        <f>IF(COUNTIFS(T_SelfStock_Log[Part Name],$A15,T_SelfStock_Log[WeekIndex],4)=0,"",SUMIFS(T_SelfStock_Log[Self_Qty],T_SelfStock_Log[Part Name],$A15,T_SelfStock_Log[WeekIndex],4))</f>
        <v/>
      </c>
      <c r="F15" s="19">
        <f>IF(COUNTIFS(T_SelfStock_Log[Part Name],$A15,T_SelfStock_Log[WeekIndex],5)=0,"",SUMIFS(T_SelfStock_Log[Self_Qty],T_SelfStock_Log[Part Name],$A15,T_SelfStock_Log[WeekIndex],5))</f>
        <v/>
      </c>
      <c r="G15" s="19">
        <f>IF(COUNTIFS(T_SelfStock_Log[Part Name],$A15,T_SelfStock_Log[WeekIndex],6)=0,"",SUMIFS(T_SelfStock_Log[Self_Qty],T_SelfStock_Log[Part Name],$A15,T_SelfStock_Log[WeekIndex],6))</f>
        <v/>
      </c>
      <c r="H15" s="19">
        <f>IF(COUNTIFS(T_SelfStock_Log[Part Name],$A15,T_SelfStock_Log[WeekIndex],7)=0,"",SUMIFS(T_SelfStock_Log[Self_Qty],T_SelfStock_Log[Part Name],$A15,T_SelfStock_Log[WeekIndex],7))</f>
        <v/>
      </c>
      <c r="I15" s="19">
        <f>IF(COUNTIFS(T_SelfStock_Log[Part Name],$A15,T_SelfStock_Log[WeekIndex],8)=0,"",SUMIFS(T_SelfStock_Log[Self_Qty],T_SelfStock_Log[Part Name],$A15,T_SelfStock_Log[WeekIndex],8))</f>
        <v/>
      </c>
      <c r="J15" s="19">
        <f>IF(COUNTIFS(T_SelfStock_Log[Part Name],$A15,T_SelfStock_Log[WeekIndex],9)=0,"",SUMIFS(T_SelfStock_Log[Self_Qty],T_SelfStock_Log[Part Name],$A15,T_SelfStock_Log[WeekIndex],9))</f>
        <v/>
      </c>
      <c r="K15" s="19">
        <f>IF(COUNTIFS(T_SelfStock_Log[Part Name],$A15,T_SelfStock_Log[WeekIndex],10)=0,"",SUMIFS(T_SelfStock_Log[Self_Qty],T_SelfStock_Log[Part Name],$A15,T_SelfStock_Log[WeekIndex],10))</f>
        <v/>
      </c>
      <c r="L15" s="19">
        <f>IF(COUNTIFS(T_SelfStock_Log[Part Name],$A15,T_SelfStock_Log[WeekIndex],11)=0,"",SUMIFS(T_SelfStock_Log[Self_Qty],T_SelfStock_Log[Part Name],$A15,T_SelfStock_Log[WeekIndex],11))</f>
        <v/>
      </c>
      <c r="M15" s="19">
        <f>IF(COUNTIFS(T_SelfStock_Log[Part Name],$A15,T_SelfStock_Log[WeekIndex],12)=0,"",SUMIFS(T_SelfStock_Log[Self_Qty],T_SelfStock_Log[Part Name],$A15,T_SelfStock_Log[WeekIndex],12))</f>
        <v/>
      </c>
      <c r="N15" s="19">
        <f>IF(COUNTIFS(T_SelfStock_Log[Part Name],$A15,T_SelfStock_Log[WeekIndex],13)=0,"",SUMIFS(T_SelfStock_Log[Self_Qty],T_SelfStock_Log[Part Name],$A15,T_SelfStock_Log[WeekIndex],13))</f>
        <v/>
      </c>
      <c r="O15" s="19">
        <f>IF(COUNTIFS(T_SelfStock_Log[Part Name],$A15,T_SelfStock_Log[WeekIndex],14)=0,"",SUMIFS(T_SelfStock_Log[Self_Qty],T_SelfStock_Log[Part Name],$A15,T_SelfStock_Log[WeekIndex],14))</f>
        <v/>
      </c>
      <c r="P15" s="19">
        <f>IF(COUNTIFS(T_SelfStock_Log[Part Name],$A15,T_SelfStock_Log[WeekIndex],15)=0,"",SUMIFS(T_SelfStock_Log[Self_Qty],T_SelfStock_Log[Part Name],$A15,T_SelfStock_Log[WeekIndex],15))</f>
        <v/>
      </c>
      <c r="Q15" s="19">
        <f>IF(COUNTIFS(T_SelfStock_Log[Part Name],$A15,T_SelfStock_Log[WeekIndex],16)=0,"",SUMIFS(T_SelfStock_Log[Self_Qty],T_SelfStock_Log[Part Name],$A15,T_SelfStock_Log[WeekIndex],16))</f>
        <v/>
      </c>
      <c r="R15" s="19">
        <f>IF(COUNTIFS(T_SelfStock_Log[Part Name],$A15,T_SelfStock_Log[WeekIndex],17)=0,"",SUMIFS(T_SelfStock_Log[Self_Qty],T_SelfStock_Log[Part Name],$A15,T_SelfStock_Log[WeekIndex],17))</f>
        <v/>
      </c>
      <c r="S15" s="19">
        <f>IF(COUNTIFS(T_SelfStock_Log[Part Name],$A15,T_SelfStock_Log[WeekIndex],18)=0,"",SUMIFS(T_SelfStock_Log[Self_Qty],T_SelfStock_Log[Part Name],$A15,T_SelfStock_Log[WeekIndex],18))</f>
        <v/>
      </c>
      <c r="T15" s="19">
        <f>IF(COUNTIFS(T_SelfStock_Log[Part Name],$A15,T_SelfStock_Log[WeekIndex],19)=0,"",SUMIFS(T_SelfStock_Log[Self_Qty],T_SelfStock_Log[Part Name],$A15,T_SelfStock_Log[WeekIndex],19))</f>
        <v/>
      </c>
      <c r="U15" s="19">
        <f>IF(COUNTIFS(T_SelfStock_Log[Part Name],$A15,T_SelfStock_Log[WeekIndex],20)=0,"",SUMIFS(T_SelfStock_Log[Self_Qty],T_SelfStock_Log[Part Name],$A15,T_SelfStock_Log[WeekIndex],20))</f>
        <v/>
      </c>
      <c r="V15" s="19">
        <f>IF(COUNTIFS(T_SelfStock_Log[Part Name],$A15,T_SelfStock_Log[WeekIndex],21)=0,"",SUMIFS(T_SelfStock_Log[Self_Qty],T_SelfStock_Log[Part Name],$A15,T_SelfStock_Log[WeekIndex],21))</f>
        <v/>
      </c>
      <c r="W15" s="19">
        <f>IF(COUNTIFS(T_SelfStock_Log[Part Name],$A15,T_SelfStock_Log[WeekIndex],22)=0,"",SUMIFS(T_SelfStock_Log[Self_Qty],T_SelfStock_Log[Part Name],$A15,T_SelfStock_Log[WeekIndex],22))</f>
        <v/>
      </c>
      <c r="X15" s="19">
        <f>IF(COUNTIFS(T_SelfStock_Log[Part Name],$A15,T_SelfStock_Log[WeekIndex],23)=0,"",SUMIFS(T_SelfStock_Log[Self_Qty],T_SelfStock_Log[Part Name],$A15,T_SelfStock_Log[WeekIndex],23))</f>
        <v/>
      </c>
      <c r="Y15" s="19">
        <f>IF(COUNTIFS(T_SelfStock_Log[Part Name],$A15,T_SelfStock_Log[WeekIndex],24)=0,"",SUMIFS(T_SelfStock_Log[Self_Qty],T_SelfStock_Log[Part Name],$A15,T_SelfStock_Log[WeekIndex],24))</f>
        <v/>
      </c>
      <c r="Z15" s="19">
        <f>IF(COUNTIFS(T_SelfStock_Log[Part Name],$A15,T_SelfStock_Log[WeekIndex],25)=0,"",SUMIFS(T_SelfStock_Log[Self_Qty],T_SelfStock_Log[Part Name],$A15,T_SelfStock_Log[WeekIndex],25))</f>
        <v/>
      </c>
      <c r="AA15" s="19">
        <f>IF(COUNTIFS(T_SelfStock_Log[Part Name],$A15,T_SelfStock_Log[WeekIndex],26)=0,"",SUMIFS(T_SelfStock_Log[Self_Qty],T_SelfStock_Log[Part Name],$A15,T_SelfStock_Log[WeekIndex],26))</f>
        <v/>
      </c>
      <c r="AB15" s="19">
        <f>IF(COUNTIFS(T_SelfStock_Log[Part Name],$A15,T_SelfStock_Log[WeekIndex],27)=0,"",SUMIFS(T_SelfStock_Log[Self_Qty],T_SelfStock_Log[Part Name],$A15,T_SelfStock_Log[WeekIndex],27))</f>
        <v/>
      </c>
      <c r="AC15" s="19">
        <f>IF(COUNTIFS(T_SelfStock_Log[Part Name],$A15,T_SelfStock_Log[WeekIndex],28)=0,"",SUMIFS(T_SelfStock_Log[Self_Qty],T_SelfStock_Log[Part Name],$A15,T_SelfStock_Log[WeekIndex],28))</f>
        <v/>
      </c>
      <c r="AD15" s="19">
        <f>IF(COUNTIFS(T_SelfStock_Log[Part Name],$A15,T_SelfStock_Log[WeekIndex],29)=0,"",SUMIFS(T_SelfStock_Log[Self_Qty],T_SelfStock_Log[Part Name],$A15,T_SelfStock_Log[WeekIndex],29))</f>
        <v/>
      </c>
      <c r="AE15" s="19">
        <f>IF(COUNTIFS(T_SelfStock_Log[Part Name],$A15,T_SelfStock_Log[WeekIndex],30)=0,"",SUMIFS(T_SelfStock_Log[Self_Qty],T_SelfStock_Log[Part Name],$A15,T_SelfStock_Log[WeekIndex],30))</f>
        <v/>
      </c>
      <c r="AF15" s="19">
        <f>IF(COUNTIFS(T_SelfStock_Log[Part Name],$A15,T_SelfStock_Log[WeekIndex],31)=0,"",SUMIFS(T_SelfStock_Log[Self_Qty],T_SelfStock_Log[Part Name],$A15,T_SelfStock_Log[WeekIndex],31))</f>
        <v/>
      </c>
      <c r="AG15" s="19">
        <f>IF(COUNTIFS(T_SelfStock_Log[Part Name],$A15,T_SelfStock_Log[WeekIndex],32)=0,"",SUMIFS(T_SelfStock_Log[Self_Qty],T_SelfStock_Log[Part Name],$A15,T_SelfStock_Log[WeekIndex],32))</f>
        <v/>
      </c>
      <c r="AH15" s="19">
        <f>IF(COUNTIFS(T_SelfStock_Log[Part Name],$A15,T_SelfStock_Log[WeekIndex],33)=0,"",SUMIFS(T_SelfStock_Log[Self_Qty],T_SelfStock_Log[Part Name],$A15,T_SelfStock_Log[WeekIndex],33))</f>
        <v/>
      </c>
      <c r="AI15" s="19">
        <f>IF(COUNTIFS(T_SelfStock_Log[Part Name],$A15,T_SelfStock_Log[WeekIndex],34)=0,"",SUMIFS(T_SelfStock_Log[Self_Qty],T_SelfStock_Log[Part Name],$A15,T_SelfStock_Log[WeekIndex],34))</f>
        <v/>
      </c>
      <c r="AJ15" s="19">
        <f>IF(COUNTIFS(T_SelfStock_Log[Part Name],$A15,T_SelfStock_Log[WeekIndex],35)=0,"",SUMIFS(T_SelfStock_Log[Self_Qty],T_SelfStock_Log[Part Name],$A15,T_SelfStock_Log[WeekIndex],35))</f>
        <v/>
      </c>
      <c r="AK15" s="19">
        <f>IF(COUNTIFS(T_SelfStock_Log[Part Name],$A15,T_SelfStock_Log[WeekIndex],36)=0,"",SUMIFS(T_SelfStock_Log[Self_Qty],T_SelfStock_Log[Part Name],$A15,T_SelfStock_Log[WeekIndex],36))</f>
        <v/>
      </c>
      <c r="AL15" s="19">
        <f>IF(COUNTIFS(T_SelfStock_Log[Part Name],$A15,T_SelfStock_Log[WeekIndex],37)=0,"",SUMIFS(T_SelfStock_Log[Self_Qty],T_SelfStock_Log[Part Name],$A15,T_SelfStock_Log[WeekIndex],37))</f>
        <v/>
      </c>
      <c r="AM15" s="19">
        <f>IF(COUNTIFS(T_SelfStock_Log[Part Name],$A15,T_SelfStock_Log[WeekIndex],38)=0,"",SUMIFS(T_SelfStock_Log[Self_Qty],T_SelfStock_Log[Part Name],$A15,T_SelfStock_Log[WeekIndex],38))</f>
        <v/>
      </c>
      <c r="AN15" s="19">
        <f>IF(COUNTIFS(T_SelfStock_Log[Part Name],$A15,T_SelfStock_Log[WeekIndex],39)=0,"",SUMIFS(T_SelfStock_Log[Self_Qty],T_SelfStock_Log[Part Name],$A15,T_SelfStock_Log[WeekIndex],39))</f>
        <v/>
      </c>
      <c r="AO15" s="19">
        <f>IF(COUNTIFS(T_SelfStock_Log[Part Name],$A15,T_SelfStock_Log[WeekIndex],40)=0,"",SUMIFS(T_SelfStock_Log[Self_Qty],T_SelfStock_Log[Part Name],$A15,T_SelfStock_Log[WeekIndex],40))</f>
        <v/>
      </c>
      <c r="AP15" s="19">
        <f>IF(COUNTIFS(T_SelfStock_Log[Part Name],$A15,T_SelfStock_Log[WeekIndex],41)=0,"",SUMIFS(T_SelfStock_Log[Self_Qty],T_SelfStock_Log[Part Name],$A15,T_SelfStock_Log[WeekIndex],41))</f>
        <v/>
      </c>
      <c r="AQ15" s="19">
        <f>IF(COUNTIFS(T_SelfStock_Log[Part Name],$A15,T_SelfStock_Log[WeekIndex],42)=0,"",SUMIFS(T_SelfStock_Log[Self_Qty],T_SelfStock_Log[Part Name],$A15,T_SelfStock_Log[WeekIndex],42))</f>
        <v/>
      </c>
      <c r="AR15" s="19">
        <f>IF(COUNTIFS(T_SelfStock_Log[Part Name],$A15,T_SelfStock_Log[WeekIndex],43)=0,"",SUMIFS(T_SelfStock_Log[Self_Qty],T_SelfStock_Log[Part Name],$A15,T_SelfStock_Log[WeekIndex],43))</f>
        <v/>
      </c>
      <c r="AS15" s="19">
        <f>IF(COUNTIFS(T_SelfStock_Log[Part Name],$A15,T_SelfStock_Log[WeekIndex],44)=0,"",SUMIFS(T_SelfStock_Log[Self_Qty],T_SelfStock_Log[Part Name],$A15,T_SelfStock_Log[WeekIndex],44))</f>
        <v/>
      </c>
      <c r="AT15" s="19">
        <f>IF(COUNTIFS(T_SelfStock_Log[Part Name],$A15,T_SelfStock_Log[WeekIndex],45)=0,"",SUMIFS(T_SelfStock_Log[Self_Qty],T_SelfStock_Log[Part Name],$A15,T_SelfStock_Log[WeekIndex],45))</f>
        <v/>
      </c>
      <c r="AU15" s="19">
        <f>IF(COUNTIFS(T_SelfStock_Log[Part Name],$A15,T_SelfStock_Log[WeekIndex],46)=0,"",SUMIFS(T_SelfStock_Log[Self_Qty],T_SelfStock_Log[Part Name],$A15,T_SelfStock_Log[WeekIndex],46))</f>
        <v/>
      </c>
      <c r="AV15" s="19">
        <f>IF(COUNTIFS(T_SelfStock_Log[Part Name],$A15,T_SelfStock_Log[WeekIndex],47)=0,"",SUMIFS(T_SelfStock_Log[Self_Qty],T_SelfStock_Log[Part Name],$A15,T_SelfStock_Log[WeekIndex],47))</f>
        <v/>
      </c>
      <c r="AW15" s="19">
        <f>IF(COUNTIFS(T_SelfStock_Log[Part Name],$A15,T_SelfStock_Log[WeekIndex],48)=0,"",SUMIFS(T_SelfStock_Log[Self_Qty],T_SelfStock_Log[Part Name],$A15,T_SelfStock_Log[WeekIndex],48))</f>
        <v/>
      </c>
      <c r="AX15" s="19">
        <f>IF(COUNTIFS(T_SelfStock_Log[Part Name],$A15,T_SelfStock_Log[WeekIndex],49)=0,"",SUMIFS(T_SelfStock_Log[Self_Qty],T_SelfStock_Log[Part Name],$A15,T_SelfStock_Log[WeekIndex],49))</f>
        <v/>
      </c>
      <c r="AY15" s="19">
        <f>IF(COUNTIFS(T_SelfStock_Log[Part Name],$A15,T_SelfStock_Log[WeekIndex],50)=0,"",SUMIFS(T_SelfStock_Log[Self_Qty],T_SelfStock_Log[Part Name],$A15,T_SelfStock_Log[WeekIndex],50))</f>
        <v/>
      </c>
      <c r="AZ15" s="19">
        <f>IF(COUNTIFS(T_SelfStock_Log[Part Name],$A15,T_SelfStock_Log[WeekIndex],51)=0,"",SUMIFS(T_SelfStock_Log[Self_Qty],T_SelfStock_Log[Part Name],$A15,T_SelfStock_Log[WeekIndex],51))</f>
        <v/>
      </c>
      <c r="BA15" s="19">
        <f>IF(COUNTIFS(T_SelfStock_Log[Part Name],$A15,T_SelfStock_Log[WeekIndex],52)=0,"",SUMIFS(T_SelfStock_Log[Self_Qty],T_SelfStock_Log[Part Name],$A15,T_SelfStock_Log[WeekIndex],52))</f>
        <v/>
      </c>
      <c r="BB15" s="19">
        <f>IF(COUNTIFS(T_SelfStock_Log[Part Name],$A15,T_SelfStock_Log[WeekIndex],53)=0,"",SUMIFS(T_SelfStock_Log[Self_Qty],T_SelfStock_Log[Part Name],$A15,T_SelfStock_Log[WeekIndex],53))</f>
        <v/>
      </c>
      <c r="BC15" s="19">
        <f>IF(COUNTIFS(T_SelfStock_Log[Part Name],$A15,T_SelfStock_Log[WeekIndex],54)=0,"",SUMIFS(T_SelfStock_Log[Self_Qty],T_SelfStock_Log[Part Name],$A15,T_SelfStock_Log[WeekIndex],54))</f>
        <v/>
      </c>
      <c r="BD15" s="19">
        <f>IF(COUNTIFS(T_SelfStock_Log[Part Name],$A15,T_SelfStock_Log[WeekIndex],55)=0,"",SUMIFS(T_SelfStock_Log[Self_Qty],T_SelfStock_Log[Part Name],$A15,T_SelfStock_Log[WeekIndex],55))</f>
        <v/>
      </c>
      <c r="BE15" s="19">
        <f>IF(COUNTIFS(T_SelfStock_Log[Part Name],$A15,T_SelfStock_Log[WeekIndex],56)=0,"",SUMIFS(T_SelfStock_Log[Self_Qty],T_SelfStock_Log[Part Name],$A15,T_SelfStock_Log[WeekIndex],56))</f>
        <v/>
      </c>
      <c r="BF15" s="19">
        <f>IF(COUNTIFS(T_SelfStock_Log[Part Name],$A15,T_SelfStock_Log[WeekIndex],57)=0,"",SUMIFS(T_SelfStock_Log[Self_Qty],T_SelfStock_Log[Part Name],$A15,T_SelfStock_Log[WeekIndex],57))</f>
        <v/>
      </c>
      <c r="BG15" s="19">
        <f>IF(COUNTIFS(T_SelfStock_Log[Part Name],$A15,T_SelfStock_Log[WeekIndex],58)=0,"",SUMIFS(T_SelfStock_Log[Self_Qty],T_SelfStock_Log[Part Name],$A15,T_SelfStock_Log[WeekIndex],58))</f>
        <v/>
      </c>
      <c r="BH15" s="19">
        <f>IF(COUNTIFS(T_SelfStock_Log[Part Name],$A15,T_SelfStock_Log[WeekIndex],59)=0,"",SUMIFS(T_SelfStock_Log[Self_Qty],T_SelfStock_Log[Part Name],$A15,T_SelfStock_Log[WeekIndex],59))</f>
        <v/>
      </c>
      <c r="BI15" s="19">
        <f>IF(COUNTIFS(T_SelfStock_Log[Part Name],$A15,T_SelfStock_Log[WeekIndex],60)=0,"",SUMIFS(T_SelfStock_Log[Self_Qty],T_SelfStock_Log[Part Name],$A15,T_SelfStock_Log[WeekIndex],60))</f>
        <v/>
      </c>
      <c r="BJ15" s="19">
        <f>IF(COUNTIFS(T_SelfStock_Log[Part Name],$A15,T_SelfStock_Log[WeekIndex],61)=0,"",SUMIFS(T_SelfStock_Log[Self_Qty],T_SelfStock_Log[Part Name],$A15,T_SelfStock_Log[WeekIndex],61))</f>
        <v/>
      </c>
      <c r="BK15" s="19">
        <f>IF(COUNTIFS(T_SelfStock_Log[Part Name],$A15,T_SelfStock_Log[WeekIndex],62)=0,"",SUMIFS(T_SelfStock_Log[Self_Qty],T_SelfStock_Log[Part Name],$A15,T_SelfStock_Log[WeekIndex],62))</f>
        <v/>
      </c>
      <c r="BL15" s="19">
        <f>IF(COUNTIFS(T_SelfStock_Log[Part Name],$A15,T_SelfStock_Log[WeekIndex],63)=0,"",SUMIFS(T_SelfStock_Log[Self_Qty],T_SelfStock_Log[Part Name],$A15,T_SelfStock_Log[WeekIndex],63))</f>
        <v/>
      </c>
      <c r="BM15" s="19">
        <f>IF(COUNTIFS(T_SelfStock_Log[Part Name],$A15,T_SelfStock_Log[WeekIndex],64)=0,"",SUMIFS(T_SelfStock_Log[Self_Qty],T_SelfStock_Log[Part Name],$A15,T_SelfStock_Log[WeekIndex],64))</f>
        <v/>
      </c>
      <c r="BN15" s="19">
        <f>IF(COUNTIFS(T_SelfStock_Log[Part Name],$A15,T_SelfStock_Log[WeekIndex],65)=0,"",SUMIFS(T_SelfStock_Log[Self_Qty],T_SelfStock_Log[Part Name],$A15,T_SelfStock_Log[WeekIndex],65))</f>
        <v/>
      </c>
      <c r="BO15" s="19">
        <f>IF(COUNTIFS(T_SelfStock_Log[Part Name],$A15,T_SelfStock_Log[WeekIndex],66)=0,"",SUMIFS(T_SelfStock_Log[Self_Qty],T_SelfStock_Log[Part Name],$A15,T_SelfStock_Log[WeekIndex],66))</f>
        <v/>
      </c>
      <c r="BP15" s="19">
        <f>IF(COUNTIFS(T_SelfStock_Log[Part Name],$A15,T_SelfStock_Log[WeekIndex],67)=0,"",SUMIFS(T_SelfStock_Log[Self_Qty],T_SelfStock_Log[Part Name],$A15,T_SelfStock_Log[WeekIndex],67))</f>
        <v/>
      </c>
      <c r="BQ15" s="19">
        <f>IF(COUNTIFS(T_SelfStock_Log[Part Name],$A15,T_SelfStock_Log[WeekIndex],68)=0,"",SUMIFS(T_SelfStock_Log[Self_Qty],T_SelfStock_Log[Part Name],$A15,T_SelfStock_Log[WeekIndex],68))</f>
        <v/>
      </c>
      <c r="BR15" s="19">
        <f>IF(COUNTIFS(T_SelfStock_Log[Part Name],$A15,T_SelfStock_Log[WeekIndex],69)=0,"",SUMIFS(T_SelfStock_Log[Self_Qty],T_SelfStock_Log[Part Name],$A15,T_SelfStock_Log[WeekIndex],69))</f>
        <v/>
      </c>
      <c r="BS15" s="19">
        <f>IF(COUNTIFS(T_SelfStock_Log[Part Name],$A15,T_SelfStock_Log[WeekIndex],70)=0,"",SUMIFS(T_SelfStock_Log[Self_Qty],T_SelfStock_Log[Part Name],$A15,T_SelfStock_Log[WeekIndex],70))</f>
        <v/>
      </c>
      <c r="BT15" s="19">
        <f>IF(COUNTIFS(T_SelfStock_Log[Part Name],$A15,T_SelfStock_Log[WeekIndex],71)=0,"",SUMIFS(T_SelfStock_Log[Self_Qty],T_SelfStock_Log[Part Name],$A15,T_SelfStock_Log[WeekIndex],71))</f>
        <v/>
      </c>
      <c r="BU15" s="19">
        <f>IF(COUNTIFS(T_SelfStock_Log[Part Name],$A15,T_SelfStock_Log[WeekIndex],72)=0,"",SUMIFS(T_SelfStock_Log[Self_Qty],T_SelfStock_Log[Part Name],$A15,T_SelfStock_Log[WeekIndex],72))</f>
        <v/>
      </c>
      <c r="BV15" s="19">
        <f>IF(COUNTIFS(T_SelfStock_Log[Part Name],$A15,T_SelfStock_Log[WeekIndex],73)=0,"",SUMIFS(T_SelfStock_Log[Self_Qty],T_SelfStock_Log[Part Name],$A15,T_SelfStock_Log[WeekIndex],73))</f>
        <v/>
      </c>
      <c r="BW15" s="19">
        <f>IF(COUNTIFS(T_SelfStock_Log[Part Name],$A15,T_SelfStock_Log[WeekIndex],74)=0,"",SUMIFS(T_SelfStock_Log[Self_Qty],T_SelfStock_Log[Part Name],$A15,T_SelfStock_Log[WeekIndex],74))</f>
        <v/>
      </c>
      <c r="BX15" s="19">
        <f>IF(COUNTIFS(T_SelfStock_Log[Part Name],$A15,T_SelfStock_Log[WeekIndex],75)=0,"",SUMIFS(T_SelfStock_Log[Self_Qty],T_SelfStock_Log[Part Name],$A15,T_SelfStock_Log[WeekIndex],75))</f>
        <v/>
      </c>
      <c r="BY15" s="19">
        <f>IF(COUNTIFS(T_SelfStock_Log[Part Name],$A15,T_SelfStock_Log[WeekIndex],76)=0,"",SUMIFS(T_SelfStock_Log[Self_Qty],T_SelfStock_Log[Part Name],$A15,T_SelfStock_Log[WeekIndex],76))</f>
        <v/>
      </c>
      <c r="BZ15" s="19">
        <f>IF(COUNTIFS(T_SelfStock_Log[Part Name],$A15,T_SelfStock_Log[WeekIndex],77)=0,"",SUMIFS(T_SelfStock_Log[Self_Qty],T_SelfStock_Log[Part Name],$A15,T_SelfStock_Log[WeekIndex],77))</f>
        <v/>
      </c>
      <c r="CA15" s="19">
        <f>IF(COUNTIFS(T_SelfStock_Log[Part Name],$A15,T_SelfStock_Log[WeekIndex],78)=0,"",SUMIFS(T_SelfStock_Log[Self_Qty],T_SelfStock_Log[Part Name],$A15,T_SelfStock_Log[WeekIndex],78))</f>
        <v/>
      </c>
      <c r="CB15" s="19">
        <f>IF(COUNTIFS(T_SelfStock_Log[Part Name],$A15,T_SelfStock_Log[WeekIndex],79)=0,"",SUMIFS(T_SelfStock_Log[Self_Qty],T_SelfStock_Log[Part Name],$A15,T_SelfStock_Log[WeekIndex],79))</f>
        <v/>
      </c>
      <c r="CC15" s="19">
        <f>IF(COUNTIFS(T_SelfStock_Log[Part Name],$A15,T_SelfStock_Log[WeekIndex],80)=0,"",SUMIFS(T_SelfStock_Log[Self_Qty],T_SelfStock_Log[Part Name],$A15,T_SelfStock_Log[WeekIndex],80))</f>
        <v/>
      </c>
      <c r="CD15" s="19">
        <f>IF(COUNTIFS(T_SelfStock_Log[Part Name],$A15,T_SelfStock_Log[WeekIndex],81)=0,"",SUMIFS(T_SelfStock_Log[Self_Qty],T_SelfStock_Log[Part Name],$A15,T_SelfStock_Log[WeekIndex],81))</f>
        <v/>
      </c>
      <c r="CE15" s="19">
        <f>IF(COUNTIFS(T_SelfStock_Log[Part Name],$A15,T_SelfStock_Log[WeekIndex],82)=0,"",SUMIFS(T_SelfStock_Log[Self_Qty],T_SelfStock_Log[Part Name],$A15,T_SelfStock_Log[WeekIndex],82))</f>
        <v/>
      </c>
      <c r="CF15" s="19">
        <f>IF(COUNTIFS(T_SelfStock_Log[Part Name],$A15,T_SelfStock_Log[WeekIndex],83)=0,"",SUMIFS(T_SelfStock_Log[Self_Qty],T_SelfStock_Log[Part Name],$A15,T_SelfStock_Log[WeekIndex],83))</f>
        <v/>
      </c>
      <c r="CG15" s="19">
        <f>IF(COUNTIFS(T_SelfStock_Log[Part Name],$A15,T_SelfStock_Log[WeekIndex],84)=0,"",SUMIFS(T_SelfStock_Log[Self_Qty],T_SelfStock_Log[Part Name],$A15,T_SelfStock_Log[WeekIndex],84))</f>
        <v/>
      </c>
      <c r="CH15" s="19">
        <f>IF(COUNTIFS(T_SelfStock_Log[Part Name],$A15,T_SelfStock_Log[WeekIndex],85)=0,"",SUMIFS(T_SelfStock_Log[Self_Qty],T_SelfStock_Log[Part Name],$A15,T_SelfStock_Log[WeekIndex],85))</f>
        <v/>
      </c>
      <c r="CI15" s="19">
        <f>IF(COUNTIFS(T_SelfStock_Log[Part Name],$A15,T_SelfStock_Log[WeekIndex],86)=0,"",SUMIFS(T_SelfStock_Log[Self_Qty],T_SelfStock_Log[Part Name],$A15,T_SelfStock_Log[WeekIndex],86))</f>
        <v/>
      </c>
      <c r="CJ15" s="19">
        <f>IF(COUNTIFS(T_SelfStock_Log[Part Name],$A15,T_SelfStock_Log[WeekIndex],87)=0,"",SUMIFS(T_SelfStock_Log[Self_Qty],T_SelfStock_Log[Part Name],$A15,T_SelfStock_Log[WeekIndex],87))</f>
        <v/>
      </c>
      <c r="CK15" s="19">
        <f>IF(COUNTIFS(T_SelfStock_Log[Part Name],$A15,T_SelfStock_Log[WeekIndex],88)=0,"",SUMIFS(T_SelfStock_Log[Self_Qty],T_SelfStock_Log[Part Name],$A15,T_SelfStock_Log[WeekIndex],88))</f>
        <v/>
      </c>
      <c r="CL15" s="19">
        <f>IF(COUNTIFS(T_SelfStock_Log[Part Name],$A15,T_SelfStock_Log[WeekIndex],89)=0,"",SUMIFS(T_SelfStock_Log[Self_Qty],T_SelfStock_Log[Part Name],$A15,T_SelfStock_Log[WeekIndex],89))</f>
        <v/>
      </c>
      <c r="CM15" s="19">
        <f>IF(COUNTIFS(T_SelfStock_Log[Part Name],$A15,T_SelfStock_Log[WeekIndex],90)=0,"",SUMIFS(T_SelfStock_Log[Self_Qty],T_SelfStock_Log[Part Name],$A15,T_SelfStock_Log[WeekIndex],90))</f>
        <v/>
      </c>
      <c r="CN15" s="19">
        <f>IF(COUNTIFS(T_SelfStock_Log[Part Name],$A15,T_SelfStock_Log[WeekIndex],91)=0,"",SUMIFS(T_SelfStock_Log[Self_Qty],T_SelfStock_Log[Part Name],$A15,T_SelfStock_Log[WeekIndex],91))</f>
        <v/>
      </c>
      <c r="CO15" s="19">
        <f>IF(COUNTIFS(T_SelfStock_Log[Part Name],$A15,T_SelfStock_Log[WeekIndex],92)=0,"",SUMIFS(T_SelfStock_Log[Self_Qty],T_SelfStock_Log[Part Name],$A15,T_SelfStock_Log[WeekIndex],92))</f>
        <v/>
      </c>
      <c r="CP15" s="19">
        <f>IF(COUNTIFS(T_SelfStock_Log[Part Name],$A15,T_SelfStock_Log[WeekIndex],93)=0,"",SUMIFS(T_SelfStock_Log[Self_Qty],T_SelfStock_Log[Part Name],$A15,T_SelfStock_Log[WeekIndex],93))</f>
        <v/>
      </c>
      <c r="CQ15" s="19">
        <f>IF(COUNTIFS(T_SelfStock_Log[Part Name],$A15,T_SelfStock_Log[WeekIndex],94)=0,"",SUMIFS(T_SelfStock_Log[Self_Qty],T_SelfStock_Log[Part Name],$A15,T_SelfStock_Log[WeekIndex],94))</f>
        <v/>
      </c>
      <c r="CR15" s="19">
        <f>IF(COUNTIFS(T_SelfStock_Log[Part Name],$A15,T_SelfStock_Log[WeekIndex],95)=0,"",SUMIFS(T_SelfStock_Log[Self_Qty],T_SelfStock_Log[Part Name],$A15,T_SelfStock_Log[WeekIndex],95))</f>
        <v/>
      </c>
      <c r="CS15" s="19">
        <f>IF(COUNTIFS(T_SelfStock_Log[Part Name],$A15,T_SelfStock_Log[WeekIndex],96)=0,"",SUMIFS(T_SelfStock_Log[Self_Qty],T_SelfStock_Log[Part Name],$A15,T_SelfStock_Log[WeekIndex],96))</f>
        <v/>
      </c>
      <c r="CT15" s="19">
        <f>IF(COUNTIFS(T_SelfStock_Log[Part Name],$A15,T_SelfStock_Log[WeekIndex],97)=0,"",SUMIFS(T_SelfStock_Log[Self_Qty],T_SelfStock_Log[Part Name],$A15,T_SelfStock_Log[WeekIndex],97))</f>
        <v/>
      </c>
      <c r="CU15" s="19">
        <f>IF(COUNTIFS(T_SelfStock_Log[Part Name],$A15,T_SelfStock_Log[WeekIndex],98)=0,"",SUMIFS(T_SelfStock_Log[Self_Qty],T_SelfStock_Log[Part Name],$A15,T_SelfStock_Log[WeekIndex],98))</f>
        <v/>
      </c>
      <c r="CV15" s="19">
        <f>IF(COUNTIFS(T_SelfStock_Log[Part Name],$A15,T_SelfStock_Log[WeekIndex],99)=0,"",SUMIFS(T_SelfStock_Log[Self_Qty],T_SelfStock_Log[Part Name],$A15,T_SelfStock_Log[WeekIndex],99))</f>
        <v/>
      </c>
      <c r="CW15" s="19">
        <f>IF(COUNTIFS(T_SelfStock_Log[Part Name],$A15,T_SelfStock_Log[WeekIndex],100)=0,"",SUMIFS(T_SelfStock_Log[Self_Qty],T_SelfStock_Log[Part Name],$A15,T_SelfStock_Log[WeekIndex],100))</f>
        <v/>
      </c>
      <c r="CX15" s="19">
        <f>IF(COUNTIFS(T_SelfStock_Log[Part Name],$A15,T_SelfStock_Log[WeekIndex],101)=0,"",SUMIFS(T_SelfStock_Log[Self_Qty],T_SelfStock_Log[Part Name],$A15,T_SelfStock_Log[WeekIndex],101))</f>
        <v/>
      </c>
      <c r="CY15" s="19">
        <f>IF(COUNTIFS(T_SelfStock_Log[Part Name],$A15,T_SelfStock_Log[WeekIndex],102)=0,"",SUMIFS(T_SelfStock_Log[Self_Qty],T_SelfStock_Log[Part Name],$A15,T_SelfStock_Log[WeekIndex],102))</f>
        <v/>
      </c>
      <c r="CZ15" s="19">
        <f>IF(COUNTIFS(T_SelfStock_Log[Part Name],$A15,T_SelfStock_Log[WeekIndex],103)=0,"",SUMIFS(T_SelfStock_Log[Self_Qty],T_SelfStock_Log[Part Name],$A15,T_SelfStock_Log[WeekIndex],103))</f>
        <v/>
      </c>
      <c r="DA15" s="19">
        <f>IF(COUNTIFS(T_SelfStock_Log[Part Name],$A15,T_SelfStock_Log[WeekIndex],104)=0,"",SUMIFS(T_SelfStock_Log[Self_Qty],T_SelfStock_Log[Part Name],$A15,T_SelfStock_Log[WeekIndex],104))</f>
        <v/>
      </c>
    </row>
    <row r="16">
      <c r="A16" s="17" t="inlineStr">
        <is>
          <t>YAN</t>
        </is>
      </c>
      <c r="B16" s="17">
        <f>IF(COUNTIFS(T_SelfStock_Log[Part Name],$A16,T_SelfStock_Log[WeekIndex],1)=0,"",SUMIFS(T_SelfStock_Log[Self_Qty],T_SelfStock_Log[Part Name],$A16,T_SelfStock_Log[WeekIndex],1))</f>
        <v/>
      </c>
      <c r="C16" s="17">
        <f>IF(COUNTIFS(T_SelfStock_Log[Part Name],$A16,T_SelfStock_Log[WeekIndex],2)=0,"",SUMIFS(T_SelfStock_Log[Self_Qty],T_SelfStock_Log[Part Name],$A16,T_SelfStock_Log[WeekIndex],2))</f>
        <v/>
      </c>
      <c r="D16" s="17">
        <f>IF(COUNTIFS(T_SelfStock_Log[Part Name],$A16,T_SelfStock_Log[WeekIndex],3)=0,"",SUMIFS(T_SelfStock_Log[Self_Qty],T_SelfStock_Log[Part Name],$A16,T_SelfStock_Log[WeekIndex],3))</f>
        <v/>
      </c>
      <c r="E16" s="17">
        <f>IF(COUNTIFS(T_SelfStock_Log[Part Name],$A16,T_SelfStock_Log[WeekIndex],4)=0,"",SUMIFS(T_SelfStock_Log[Self_Qty],T_SelfStock_Log[Part Name],$A16,T_SelfStock_Log[WeekIndex],4))</f>
        <v/>
      </c>
      <c r="F16" s="17">
        <f>IF(COUNTIFS(T_SelfStock_Log[Part Name],$A16,T_SelfStock_Log[WeekIndex],5)=0,"",SUMIFS(T_SelfStock_Log[Self_Qty],T_SelfStock_Log[Part Name],$A16,T_SelfStock_Log[WeekIndex],5))</f>
        <v/>
      </c>
      <c r="G16" s="17">
        <f>IF(COUNTIFS(T_SelfStock_Log[Part Name],$A16,T_SelfStock_Log[WeekIndex],6)=0,"",SUMIFS(T_SelfStock_Log[Self_Qty],T_SelfStock_Log[Part Name],$A16,T_SelfStock_Log[WeekIndex],6))</f>
        <v/>
      </c>
      <c r="H16" s="17">
        <f>IF(COUNTIFS(T_SelfStock_Log[Part Name],$A16,T_SelfStock_Log[WeekIndex],7)=0,"",SUMIFS(T_SelfStock_Log[Self_Qty],T_SelfStock_Log[Part Name],$A16,T_SelfStock_Log[WeekIndex],7))</f>
        <v/>
      </c>
      <c r="I16" s="17">
        <f>IF(COUNTIFS(T_SelfStock_Log[Part Name],$A16,T_SelfStock_Log[WeekIndex],8)=0,"",SUMIFS(T_SelfStock_Log[Self_Qty],T_SelfStock_Log[Part Name],$A16,T_SelfStock_Log[WeekIndex],8))</f>
        <v/>
      </c>
      <c r="J16" s="17">
        <f>IF(COUNTIFS(T_SelfStock_Log[Part Name],$A16,T_SelfStock_Log[WeekIndex],9)=0,"",SUMIFS(T_SelfStock_Log[Self_Qty],T_SelfStock_Log[Part Name],$A16,T_SelfStock_Log[WeekIndex],9))</f>
        <v/>
      </c>
      <c r="K16" s="17">
        <f>IF(COUNTIFS(T_SelfStock_Log[Part Name],$A16,T_SelfStock_Log[WeekIndex],10)=0,"",SUMIFS(T_SelfStock_Log[Self_Qty],T_SelfStock_Log[Part Name],$A16,T_SelfStock_Log[WeekIndex],10))</f>
        <v/>
      </c>
      <c r="L16" s="17">
        <f>IF(COUNTIFS(T_SelfStock_Log[Part Name],$A16,T_SelfStock_Log[WeekIndex],11)=0,"",SUMIFS(T_SelfStock_Log[Self_Qty],T_SelfStock_Log[Part Name],$A16,T_SelfStock_Log[WeekIndex],11))</f>
        <v/>
      </c>
      <c r="M16" s="17">
        <f>IF(COUNTIFS(T_SelfStock_Log[Part Name],$A16,T_SelfStock_Log[WeekIndex],12)=0,"",SUMIFS(T_SelfStock_Log[Self_Qty],T_SelfStock_Log[Part Name],$A16,T_SelfStock_Log[WeekIndex],12))</f>
        <v/>
      </c>
      <c r="N16" s="17">
        <f>IF(COUNTIFS(T_SelfStock_Log[Part Name],$A16,T_SelfStock_Log[WeekIndex],13)=0,"",SUMIFS(T_SelfStock_Log[Self_Qty],T_SelfStock_Log[Part Name],$A16,T_SelfStock_Log[WeekIndex],13))</f>
        <v/>
      </c>
      <c r="O16" s="17">
        <f>IF(COUNTIFS(T_SelfStock_Log[Part Name],$A16,T_SelfStock_Log[WeekIndex],14)=0,"",SUMIFS(T_SelfStock_Log[Self_Qty],T_SelfStock_Log[Part Name],$A16,T_SelfStock_Log[WeekIndex],14))</f>
        <v/>
      </c>
      <c r="P16" s="17">
        <f>IF(COUNTIFS(T_SelfStock_Log[Part Name],$A16,T_SelfStock_Log[WeekIndex],15)=0,"",SUMIFS(T_SelfStock_Log[Self_Qty],T_SelfStock_Log[Part Name],$A16,T_SelfStock_Log[WeekIndex],15))</f>
        <v/>
      </c>
      <c r="Q16" s="17">
        <f>IF(COUNTIFS(T_SelfStock_Log[Part Name],$A16,T_SelfStock_Log[WeekIndex],16)=0,"",SUMIFS(T_SelfStock_Log[Self_Qty],T_SelfStock_Log[Part Name],$A16,T_SelfStock_Log[WeekIndex],16))</f>
        <v/>
      </c>
      <c r="R16" s="17">
        <f>IF(COUNTIFS(T_SelfStock_Log[Part Name],$A16,T_SelfStock_Log[WeekIndex],17)=0,"",SUMIFS(T_SelfStock_Log[Self_Qty],T_SelfStock_Log[Part Name],$A16,T_SelfStock_Log[WeekIndex],17))</f>
        <v/>
      </c>
      <c r="S16" s="17">
        <f>IF(COUNTIFS(T_SelfStock_Log[Part Name],$A16,T_SelfStock_Log[WeekIndex],18)=0,"",SUMIFS(T_SelfStock_Log[Self_Qty],T_SelfStock_Log[Part Name],$A16,T_SelfStock_Log[WeekIndex],18))</f>
        <v/>
      </c>
      <c r="T16" s="17">
        <f>IF(COUNTIFS(T_SelfStock_Log[Part Name],$A16,T_SelfStock_Log[WeekIndex],19)=0,"",SUMIFS(T_SelfStock_Log[Self_Qty],T_SelfStock_Log[Part Name],$A16,T_SelfStock_Log[WeekIndex],19))</f>
        <v/>
      </c>
      <c r="U16" s="17">
        <f>IF(COUNTIFS(T_SelfStock_Log[Part Name],$A16,T_SelfStock_Log[WeekIndex],20)=0,"",SUMIFS(T_SelfStock_Log[Self_Qty],T_SelfStock_Log[Part Name],$A16,T_SelfStock_Log[WeekIndex],20))</f>
        <v/>
      </c>
      <c r="V16" s="17">
        <f>IF(COUNTIFS(T_SelfStock_Log[Part Name],$A16,T_SelfStock_Log[WeekIndex],21)=0,"",SUMIFS(T_SelfStock_Log[Self_Qty],T_SelfStock_Log[Part Name],$A16,T_SelfStock_Log[WeekIndex],21))</f>
        <v/>
      </c>
      <c r="W16" s="17">
        <f>IF(COUNTIFS(T_SelfStock_Log[Part Name],$A16,T_SelfStock_Log[WeekIndex],22)=0,"",SUMIFS(T_SelfStock_Log[Self_Qty],T_SelfStock_Log[Part Name],$A16,T_SelfStock_Log[WeekIndex],22))</f>
        <v/>
      </c>
      <c r="X16" s="17">
        <f>IF(COUNTIFS(T_SelfStock_Log[Part Name],$A16,T_SelfStock_Log[WeekIndex],23)=0,"",SUMIFS(T_SelfStock_Log[Self_Qty],T_SelfStock_Log[Part Name],$A16,T_SelfStock_Log[WeekIndex],23))</f>
        <v/>
      </c>
      <c r="Y16" s="17">
        <f>IF(COUNTIFS(T_SelfStock_Log[Part Name],$A16,T_SelfStock_Log[WeekIndex],24)=0,"",SUMIFS(T_SelfStock_Log[Self_Qty],T_SelfStock_Log[Part Name],$A16,T_SelfStock_Log[WeekIndex],24))</f>
        <v/>
      </c>
      <c r="Z16" s="17">
        <f>IF(COUNTIFS(T_SelfStock_Log[Part Name],$A16,T_SelfStock_Log[WeekIndex],25)=0,"",SUMIFS(T_SelfStock_Log[Self_Qty],T_SelfStock_Log[Part Name],$A16,T_SelfStock_Log[WeekIndex],25))</f>
        <v/>
      </c>
      <c r="AA16" s="17">
        <f>IF(COUNTIFS(T_SelfStock_Log[Part Name],$A16,T_SelfStock_Log[WeekIndex],26)=0,"",SUMIFS(T_SelfStock_Log[Self_Qty],T_SelfStock_Log[Part Name],$A16,T_SelfStock_Log[WeekIndex],26))</f>
        <v/>
      </c>
      <c r="AB16" s="17">
        <f>IF(COUNTIFS(T_SelfStock_Log[Part Name],$A16,T_SelfStock_Log[WeekIndex],27)=0,"",SUMIFS(T_SelfStock_Log[Self_Qty],T_SelfStock_Log[Part Name],$A16,T_SelfStock_Log[WeekIndex],27))</f>
        <v/>
      </c>
      <c r="AC16" s="17">
        <f>IF(COUNTIFS(T_SelfStock_Log[Part Name],$A16,T_SelfStock_Log[WeekIndex],28)=0,"",SUMIFS(T_SelfStock_Log[Self_Qty],T_SelfStock_Log[Part Name],$A16,T_SelfStock_Log[WeekIndex],28))</f>
        <v/>
      </c>
      <c r="AD16" s="17">
        <f>IF(COUNTIFS(T_SelfStock_Log[Part Name],$A16,T_SelfStock_Log[WeekIndex],29)=0,"",SUMIFS(T_SelfStock_Log[Self_Qty],T_SelfStock_Log[Part Name],$A16,T_SelfStock_Log[WeekIndex],29))</f>
        <v/>
      </c>
      <c r="AE16" s="17">
        <f>IF(COUNTIFS(T_SelfStock_Log[Part Name],$A16,T_SelfStock_Log[WeekIndex],30)=0,"",SUMIFS(T_SelfStock_Log[Self_Qty],T_SelfStock_Log[Part Name],$A16,T_SelfStock_Log[WeekIndex],30))</f>
        <v/>
      </c>
      <c r="AF16" s="17">
        <f>IF(COUNTIFS(T_SelfStock_Log[Part Name],$A16,T_SelfStock_Log[WeekIndex],31)=0,"",SUMIFS(T_SelfStock_Log[Self_Qty],T_SelfStock_Log[Part Name],$A16,T_SelfStock_Log[WeekIndex],31))</f>
        <v/>
      </c>
      <c r="AG16" s="17">
        <f>IF(COUNTIFS(T_SelfStock_Log[Part Name],$A16,T_SelfStock_Log[WeekIndex],32)=0,"",SUMIFS(T_SelfStock_Log[Self_Qty],T_SelfStock_Log[Part Name],$A16,T_SelfStock_Log[WeekIndex],32))</f>
        <v/>
      </c>
      <c r="AH16" s="17">
        <f>IF(COUNTIFS(T_SelfStock_Log[Part Name],$A16,T_SelfStock_Log[WeekIndex],33)=0,"",SUMIFS(T_SelfStock_Log[Self_Qty],T_SelfStock_Log[Part Name],$A16,T_SelfStock_Log[WeekIndex],33))</f>
        <v/>
      </c>
      <c r="AI16" s="17">
        <f>IF(COUNTIFS(T_SelfStock_Log[Part Name],$A16,T_SelfStock_Log[WeekIndex],34)=0,"",SUMIFS(T_SelfStock_Log[Self_Qty],T_SelfStock_Log[Part Name],$A16,T_SelfStock_Log[WeekIndex],34))</f>
        <v/>
      </c>
      <c r="AJ16" s="17">
        <f>IF(COUNTIFS(T_SelfStock_Log[Part Name],$A16,T_SelfStock_Log[WeekIndex],35)=0,"",SUMIFS(T_SelfStock_Log[Self_Qty],T_SelfStock_Log[Part Name],$A16,T_SelfStock_Log[WeekIndex],35))</f>
        <v/>
      </c>
      <c r="AK16" s="17">
        <f>IF(COUNTIFS(T_SelfStock_Log[Part Name],$A16,T_SelfStock_Log[WeekIndex],36)=0,"",SUMIFS(T_SelfStock_Log[Self_Qty],T_SelfStock_Log[Part Name],$A16,T_SelfStock_Log[WeekIndex],36))</f>
        <v/>
      </c>
      <c r="AL16" s="17">
        <f>IF(COUNTIFS(T_SelfStock_Log[Part Name],$A16,T_SelfStock_Log[WeekIndex],37)=0,"",SUMIFS(T_SelfStock_Log[Self_Qty],T_SelfStock_Log[Part Name],$A16,T_SelfStock_Log[WeekIndex],37))</f>
        <v/>
      </c>
      <c r="AM16" s="17">
        <f>IF(COUNTIFS(T_SelfStock_Log[Part Name],$A16,T_SelfStock_Log[WeekIndex],38)=0,"",SUMIFS(T_SelfStock_Log[Self_Qty],T_SelfStock_Log[Part Name],$A16,T_SelfStock_Log[WeekIndex],38))</f>
        <v/>
      </c>
      <c r="AN16" s="17">
        <f>IF(COUNTIFS(T_SelfStock_Log[Part Name],$A16,T_SelfStock_Log[WeekIndex],39)=0,"",SUMIFS(T_SelfStock_Log[Self_Qty],T_SelfStock_Log[Part Name],$A16,T_SelfStock_Log[WeekIndex],39))</f>
        <v/>
      </c>
      <c r="AO16" s="17">
        <f>IF(COUNTIFS(T_SelfStock_Log[Part Name],$A16,T_SelfStock_Log[WeekIndex],40)=0,"",SUMIFS(T_SelfStock_Log[Self_Qty],T_SelfStock_Log[Part Name],$A16,T_SelfStock_Log[WeekIndex],40))</f>
        <v/>
      </c>
      <c r="AP16" s="17">
        <f>IF(COUNTIFS(T_SelfStock_Log[Part Name],$A16,T_SelfStock_Log[WeekIndex],41)=0,"",SUMIFS(T_SelfStock_Log[Self_Qty],T_SelfStock_Log[Part Name],$A16,T_SelfStock_Log[WeekIndex],41))</f>
        <v/>
      </c>
      <c r="AQ16" s="17">
        <f>IF(COUNTIFS(T_SelfStock_Log[Part Name],$A16,T_SelfStock_Log[WeekIndex],42)=0,"",SUMIFS(T_SelfStock_Log[Self_Qty],T_SelfStock_Log[Part Name],$A16,T_SelfStock_Log[WeekIndex],42))</f>
        <v/>
      </c>
      <c r="AR16" s="17">
        <f>IF(COUNTIFS(T_SelfStock_Log[Part Name],$A16,T_SelfStock_Log[WeekIndex],43)=0,"",SUMIFS(T_SelfStock_Log[Self_Qty],T_SelfStock_Log[Part Name],$A16,T_SelfStock_Log[WeekIndex],43))</f>
        <v/>
      </c>
      <c r="AS16" s="17">
        <f>IF(COUNTIFS(T_SelfStock_Log[Part Name],$A16,T_SelfStock_Log[WeekIndex],44)=0,"",SUMIFS(T_SelfStock_Log[Self_Qty],T_SelfStock_Log[Part Name],$A16,T_SelfStock_Log[WeekIndex],44))</f>
        <v/>
      </c>
      <c r="AT16" s="17">
        <f>IF(COUNTIFS(T_SelfStock_Log[Part Name],$A16,T_SelfStock_Log[WeekIndex],45)=0,"",SUMIFS(T_SelfStock_Log[Self_Qty],T_SelfStock_Log[Part Name],$A16,T_SelfStock_Log[WeekIndex],45))</f>
        <v/>
      </c>
      <c r="AU16" s="17">
        <f>IF(COUNTIFS(T_SelfStock_Log[Part Name],$A16,T_SelfStock_Log[WeekIndex],46)=0,"",SUMIFS(T_SelfStock_Log[Self_Qty],T_SelfStock_Log[Part Name],$A16,T_SelfStock_Log[WeekIndex],46))</f>
        <v/>
      </c>
      <c r="AV16" s="17">
        <f>IF(COUNTIFS(T_SelfStock_Log[Part Name],$A16,T_SelfStock_Log[WeekIndex],47)=0,"",SUMIFS(T_SelfStock_Log[Self_Qty],T_SelfStock_Log[Part Name],$A16,T_SelfStock_Log[WeekIndex],47))</f>
        <v/>
      </c>
      <c r="AW16" s="17">
        <f>IF(COUNTIFS(T_SelfStock_Log[Part Name],$A16,T_SelfStock_Log[WeekIndex],48)=0,"",SUMIFS(T_SelfStock_Log[Self_Qty],T_SelfStock_Log[Part Name],$A16,T_SelfStock_Log[WeekIndex],48))</f>
        <v/>
      </c>
      <c r="AX16" s="17">
        <f>IF(COUNTIFS(T_SelfStock_Log[Part Name],$A16,T_SelfStock_Log[WeekIndex],49)=0,"",SUMIFS(T_SelfStock_Log[Self_Qty],T_SelfStock_Log[Part Name],$A16,T_SelfStock_Log[WeekIndex],49))</f>
        <v/>
      </c>
      <c r="AY16" s="17">
        <f>IF(COUNTIFS(T_SelfStock_Log[Part Name],$A16,T_SelfStock_Log[WeekIndex],50)=0,"",SUMIFS(T_SelfStock_Log[Self_Qty],T_SelfStock_Log[Part Name],$A16,T_SelfStock_Log[WeekIndex],50))</f>
        <v/>
      </c>
      <c r="AZ16" s="17">
        <f>IF(COUNTIFS(T_SelfStock_Log[Part Name],$A16,T_SelfStock_Log[WeekIndex],51)=0,"",SUMIFS(T_SelfStock_Log[Self_Qty],T_SelfStock_Log[Part Name],$A16,T_SelfStock_Log[WeekIndex],51))</f>
        <v/>
      </c>
      <c r="BA16" s="17">
        <f>IF(COUNTIFS(T_SelfStock_Log[Part Name],$A16,T_SelfStock_Log[WeekIndex],52)=0,"",SUMIFS(T_SelfStock_Log[Self_Qty],T_SelfStock_Log[Part Name],$A16,T_SelfStock_Log[WeekIndex],52))</f>
        <v/>
      </c>
      <c r="BB16" s="17">
        <f>IF(COUNTIFS(T_SelfStock_Log[Part Name],$A16,T_SelfStock_Log[WeekIndex],53)=0,"",SUMIFS(T_SelfStock_Log[Self_Qty],T_SelfStock_Log[Part Name],$A16,T_SelfStock_Log[WeekIndex],53))</f>
        <v/>
      </c>
      <c r="BC16" s="17">
        <f>IF(COUNTIFS(T_SelfStock_Log[Part Name],$A16,T_SelfStock_Log[WeekIndex],54)=0,"",SUMIFS(T_SelfStock_Log[Self_Qty],T_SelfStock_Log[Part Name],$A16,T_SelfStock_Log[WeekIndex],54))</f>
        <v/>
      </c>
      <c r="BD16" s="17">
        <f>IF(COUNTIFS(T_SelfStock_Log[Part Name],$A16,T_SelfStock_Log[WeekIndex],55)=0,"",SUMIFS(T_SelfStock_Log[Self_Qty],T_SelfStock_Log[Part Name],$A16,T_SelfStock_Log[WeekIndex],55))</f>
        <v/>
      </c>
      <c r="BE16" s="17">
        <f>IF(COUNTIFS(T_SelfStock_Log[Part Name],$A16,T_SelfStock_Log[WeekIndex],56)=0,"",SUMIFS(T_SelfStock_Log[Self_Qty],T_SelfStock_Log[Part Name],$A16,T_SelfStock_Log[WeekIndex],56))</f>
        <v/>
      </c>
      <c r="BF16" s="17">
        <f>IF(COUNTIFS(T_SelfStock_Log[Part Name],$A16,T_SelfStock_Log[WeekIndex],57)=0,"",SUMIFS(T_SelfStock_Log[Self_Qty],T_SelfStock_Log[Part Name],$A16,T_SelfStock_Log[WeekIndex],57))</f>
        <v/>
      </c>
      <c r="BG16" s="17">
        <f>IF(COUNTIFS(T_SelfStock_Log[Part Name],$A16,T_SelfStock_Log[WeekIndex],58)=0,"",SUMIFS(T_SelfStock_Log[Self_Qty],T_SelfStock_Log[Part Name],$A16,T_SelfStock_Log[WeekIndex],58))</f>
        <v/>
      </c>
      <c r="BH16" s="17">
        <f>IF(COUNTIFS(T_SelfStock_Log[Part Name],$A16,T_SelfStock_Log[WeekIndex],59)=0,"",SUMIFS(T_SelfStock_Log[Self_Qty],T_SelfStock_Log[Part Name],$A16,T_SelfStock_Log[WeekIndex],59))</f>
        <v/>
      </c>
      <c r="BI16" s="17">
        <f>IF(COUNTIFS(T_SelfStock_Log[Part Name],$A16,T_SelfStock_Log[WeekIndex],60)=0,"",SUMIFS(T_SelfStock_Log[Self_Qty],T_SelfStock_Log[Part Name],$A16,T_SelfStock_Log[WeekIndex],60))</f>
        <v/>
      </c>
      <c r="BJ16" s="17">
        <f>IF(COUNTIFS(T_SelfStock_Log[Part Name],$A16,T_SelfStock_Log[WeekIndex],61)=0,"",SUMIFS(T_SelfStock_Log[Self_Qty],T_SelfStock_Log[Part Name],$A16,T_SelfStock_Log[WeekIndex],61))</f>
        <v/>
      </c>
      <c r="BK16" s="17">
        <f>IF(COUNTIFS(T_SelfStock_Log[Part Name],$A16,T_SelfStock_Log[WeekIndex],62)=0,"",SUMIFS(T_SelfStock_Log[Self_Qty],T_SelfStock_Log[Part Name],$A16,T_SelfStock_Log[WeekIndex],62))</f>
        <v/>
      </c>
      <c r="BL16" s="17">
        <f>IF(COUNTIFS(T_SelfStock_Log[Part Name],$A16,T_SelfStock_Log[WeekIndex],63)=0,"",SUMIFS(T_SelfStock_Log[Self_Qty],T_SelfStock_Log[Part Name],$A16,T_SelfStock_Log[WeekIndex],63))</f>
        <v/>
      </c>
      <c r="BM16" s="17">
        <f>IF(COUNTIFS(T_SelfStock_Log[Part Name],$A16,T_SelfStock_Log[WeekIndex],64)=0,"",SUMIFS(T_SelfStock_Log[Self_Qty],T_SelfStock_Log[Part Name],$A16,T_SelfStock_Log[WeekIndex],64))</f>
        <v/>
      </c>
      <c r="BN16" s="17">
        <f>IF(COUNTIFS(T_SelfStock_Log[Part Name],$A16,T_SelfStock_Log[WeekIndex],65)=0,"",SUMIFS(T_SelfStock_Log[Self_Qty],T_SelfStock_Log[Part Name],$A16,T_SelfStock_Log[WeekIndex],65))</f>
        <v/>
      </c>
      <c r="BO16" s="17">
        <f>IF(COUNTIFS(T_SelfStock_Log[Part Name],$A16,T_SelfStock_Log[WeekIndex],66)=0,"",SUMIFS(T_SelfStock_Log[Self_Qty],T_SelfStock_Log[Part Name],$A16,T_SelfStock_Log[WeekIndex],66))</f>
        <v/>
      </c>
      <c r="BP16" s="17">
        <f>IF(COUNTIFS(T_SelfStock_Log[Part Name],$A16,T_SelfStock_Log[WeekIndex],67)=0,"",SUMIFS(T_SelfStock_Log[Self_Qty],T_SelfStock_Log[Part Name],$A16,T_SelfStock_Log[WeekIndex],67))</f>
        <v/>
      </c>
      <c r="BQ16" s="17">
        <f>IF(COUNTIFS(T_SelfStock_Log[Part Name],$A16,T_SelfStock_Log[WeekIndex],68)=0,"",SUMIFS(T_SelfStock_Log[Self_Qty],T_SelfStock_Log[Part Name],$A16,T_SelfStock_Log[WeekIndex],68))</f>
        <v/>
      </c>
      <c r="BR16" s="17">
        <f>IF(COUNTIFS(T_SelfStock_Log[Part Name],$A16,T_SelfStock_Log[WeekIndex],69)=0,"",SUMIFS(T_SelfStock_Log[Self_Qty],T_SelfStock_Log[Part Name],$A16,T_SelfStock_Log[WeekIndex],69))</f>
        <v/>
      </c>
      <c r="BS16" s="17">
        <f>IF(COUNTIFS(T_SelfStock_Log[Part Name],$A16,T_SelfStock_Log[WeekIndex],70)=0,"",SUMIFS(T_SelfStock_Log[Self_Qty],T_SelfStock_Log[Part Name],$A16,T_SelfStock_Log[WeekIndex],70))</f>
        <v/>
      </c>
      <c r="BT16" s="17">
        <f>IF(COUNTIFS(T_SelfStock_Log[Part Name],$A16,T_SelfStock_Log[WeekIndex],71)=0,"",SUMIFS(T_SelfStock_Log[Self_Qty],T_SelfStock_Log[Part Name],$A16,T_SelfStock_Log[WeekIndex],71))</f>
        <v/>
      </c>
      <c r="BU16" s="17">
        <f>IF(COUNTIFS(T_SelfStock_Log[Part Name],$A16,T_SelfStock_Log[WeekIndex],72)=0,"",SUMIFS(T_SelfStock_Log[Self_Qty],T_SelfStock_Log[Part Name],$A16,T_SelfStock_Log[WeekIndex],72))</f>
        <v/>
      </c>
      <c r="BV16" s="17">
        <f>IF(COUNTIFS(T_SelfStock_Log[Part Name],$A16,T_SelfStock_Log[WeekIndex],73)=0,"",SUMIFS(T_SelfStock_Log[Self_Qty],T_SelfStock_Log[Part Name],$A16,T_SelfStock_Log[WeekIndex],73))</f>
        <v/>
      </c>
      <c r="BW16" s="17">
        <f>IF(COUNTIFS(T_SelfStock_Log[Part Name],$A16,T_SelfStock_Log[WeekIndex],74)=0,"",SUMIFS(T_SelfStock_Log[Self_Qty],T_SelfStock_Log[Part Name],$A16,T_SelfStock_Log[WeekIndex],74))</f>
        <v/>
      </c>
      <c r="BX16" s="17">
        <f>IF(COUNTIFS(T_SelfStock_Log[Part Name],$A16,T_SelfStock_Log[WeekIndex],75)=0,"",SUMIFS(T_SelfStock_Log[Self_Qty],T_SelfStock_Log[Part Name],$A16,T_SelfStock_Log[WeekIndex],75))</f>
        <v/>
      </c>
      <c r="BY16" s="17">
        <f>IF(COUNTIFS(T_SelfStock_Log[Part Name],$A16,T_SelfStock_Log[WeekIndex],76)=0,"",SUMIFS(T_SelfStock_Log[Self_Qty],T_SelfStock_Log[Part Name],$A16,T_SelfStock_Log[WeekIndex],76))</f>
        <v/>
      </c>
      <c r="BZ16" s="17">
        <f>IF(COUNTIFS(T_SelfStock_Log[Part Name],$A16,T_SelfStock_Log[WeekIndex],77)=0,"",SUMIFS(T_SelfStock_Log[Self_Qty],T_SelfStock_Log[Part Name],$A16,T_SelfStock_Log[WeekIndex],77))</f>
        <v/>
      </c>
      <c r="CA16" s="17">
        <f>IF(COUNTIFS(T_SelfStock_Log[Part Name],$A16,T_SelfStock_Log[WeekIndex],78)=0,"",SUMIFS(T_SelfStock_Log[Self_Qty],T_SelfStock_Log[Part Name],$A16,T_SelfStock_Log[WeekIndex],78))</f>
        <v/>
      </c>
      <c r="CB16" s="17">
        <f>IF(COUNTIFS(T_SelfStock_Log[Part Name],$A16,T_SelfStock_Log[WeekIndex],79)=0,"",SUMIFS(T_SelfStock_Log[Self_Qty],T_SelfStock_Log[Part Name],$A16,T_SelfStock_Log[WeekIndex],79))</f>
        <v/>
      </c>
      <c r="CC16" s="17">
        <f>IF(COUNTIFS(T_SelfStock_Log[Part Name],$A16,T_SelfStock_Log[WeekIndex],80)=0,"",SUMIFS(T_SelfStock_Log[Self_Qty],T_SelfStock_Log[Part Name],$A16,T_SelfStock_Log[WeekIndex],80))</f>
        <v/>
      </c>
      <c r="CD16" s="17">
        <f>IF(COUNTIFS(T_SelfStock_Log[Part Name],$A16,T_SelfStock_Log[WeekIndex],81)=0,"",SUMIFS(T_SelfStock_Log[Self_Qty],T_SelfStock_Log[Part Name],$A16,T_SelfStock_Log[WeekIndex],81))</f>
        <v/>
      </c>
      <c r="CE16" s="17">
        <f>IF(COUNTIFS(T_SelfStock_Log[Part Name],$A16,T_SelfStock_Log[WeekIndex],82)=0,"",SUMIFS(T_SelfStock_Log[Self_Qty],T_SelfStock_Log[Part Name],$A16,T_SelfStock_Log[WeekIndex],82))</f>
        <v/>
      </c>
      <c r="CF16" s="17">
        <f>IF(COUNTIFS(T_SelfStock_Log[Part Name],$A16,T_SelfStock_Log[WeekIndex],83)=0,"",SUMIFS(T_SelfStock_Log[Self_Qty],T_SelfStock_Log[Part Name],$A16,T_SelfStock_Log[WeekIndex],83))</f>
        <v/>
      </c>
      <c r="CG16" s="17">
        <f>IF(COUNTIFS(T_SelfStock_Log[Part Name],$A16,T_SelfStock_Log[WeekIndex],84)=0,"",SUMIFS(T_SelfStock_Log[Self_Qty],T_SelfStock_Log[Part Name],$A16,T_SelfStock_Log[WeekIndex],84))</f>
        <v/>
      </c>
      <c r="CH16" s="17">
        <f>IF(COUNTIFS(T_SelfStock_Log[Part Name],$A16,T_SelfStock_Log[WeekIndex],85)=0,"",SUMIFS(T_SelfStock_Log[Self_Qty],T_SelfStock_Log[Part Name],$A16,T_SelfStock_Log[WeekIndex],85))</f>
        <v/>
      </c>
      <c r="CI16" s="17">
        <f>IF(COUNTIFS(T_SelfStock_Log[Part Name],$A16,T_SelfStock_Log[WeekIndex],86)=0,"",SUMIFS(T_SelfStock_Log[Self_Qty],T_SelfStock_Log[Part Name],$A16,T_SelfStock_Log[WeekIndex],86))</f>
        <v/>
      </c>
      <c r="CJ16" s="17">
        <f>IF(COUNTIFS(T_SelfStock_Log[Part Name],$A16,T_SelfStock_Log[WeekIndex],87)=0,"",SUMIFS(T_SelfStock_Log[Self_Qty],T_SelfStock_Log[Part Name],$A16,T_SelfStock_Log[WeekIndex],87))</f>
        <v/>
      </c>
      <c r="CK16" s="17">
        <f>IF(COUNTIFS(T_SelfStock_Log[Part Name],$A16,T_SelfStock_Log[WeekIndex],88)=0,"",SUMIFS(T_SelfStock_Log[Self_Qty],T_SelfStock_Log[Part Name],$A16,T_SelfStock_Log[WeekIndex],88))</f>
        <v/>
      </c>
      <c r="CL16" s="17">
        <f>IF(COUNTIFS(T_SelfStock_Log[Part Name],$A16,T_SelfStock_Log[WeekIndex],89)=0,"",SUMIFS(T_SelfStock_Log[Self_Qty],T_SelfStock_Log[Part Name],$A16,T_SelfStock_Log[WeekIndex],89))</f>
        <v/>
      </c>
      <c r="CM16" s="17">
        <f>IF(COUNTIFS(T_SelfStock_Log[Part Name],$A16,T_SelfStock_Log[WeekIndex],90)=0,"",SUMIFS(T_SelfStock_Log[Self_Qty],T_SelfStock_Log[Part Name],$A16,T_SelfStock_Log[WeekIndex],90))</f>
        <v/>
      </c>
      <c r="CN16" s="17">
        <f>IF(COUNTIFS(T_SelfStock_Log[Part Name],$A16,T_SelfStock_Log[WeekIndex],91)=0,"",SUMIFS(T_SelfStock_Log[Self_Qty],T_SelfStock_Log[Part Name],$A16,T_SelfStock_Log[WeekIndex],91))</f>
        <v/>
      </c>
      <c r="CO16" s="17">
        <f>IF(COUNTIFS(T_SelfStock_Log[Part Name],$A16,T_SelfStock_Log[WeekIndex],92)=0,"",SUMIFS(T_SelfStock_Log[Self_Qty],T_SelfStock_Log[Part Name],$A16,T_SelfStock_Log[WeekIndex],92))</f>
        <v/>
      </c>
      <c r="CP16" s="17">
        <f>IF(COUNTIFS(T_SelfStock_Log[Part Name],$A16,T_SelfStock_Log[WeekIndex],93)=0,"",SUMIFS(T_SelfStock_Log[Self_Qty],T_SelfStock_Log[Part Name],$A16,T_SelfStock_Log[WeekIndex],93))</f>
        <v/>
      </c>
      <c r="CQ16" s="17">
        <f>IF(COUNTIFS(T_SelfStock_Log[Part Name],$A16,T_SelfStock_Log[WeekIndex],94)=0,"",SUMIFS(T_SelfStock_Log[Self_Qty],T_SelfStock_Log[Part Name],$A16,T_SelfStock_Log[WeekIndex],94))</f>
        <v/>
      </c>
      <c r="CR16" s="17">
        <f>IF(COUNTIFS(T_SelfStock_Log[Part Name],$A16,T_SelfStock_Log[WeekIndex],95)=0,"",SUMIFS(T_SelfStock_Log[Self_Qty],T_SelfStock_Log[Part Name],$A16,T_SelfStock_Log[WeekIndex],95))</f>
        <v/>
      </c>
      <c r="CS16" s="17">
        <f>IF(COUNTIFS(T_SelfStock_Log[Part Name],$A16,T_SelfStock_Log[WeekIndex],96)=0,"",SUMIFS(T_SelfStock_Log[Self_Qty],T_SelfStock_Log[Part Name],$A16,T_SelfStock_Log[WeekIndex],96))</f>
        <v/>
      </c>
      <c r="CT16" s="17">
        <f>IF(COUNTIFS(T_SelfStock_Log[Part Name],$A16,T_SelfStock_Log[WeekIndex],97)=0,"",SUMIFS(T_SelfStock_Log[Self_Qty],T_SelfStock_Log[Part Name],$A16,T_SelfStock_Log[WeekIndex],97))</f>
        <v/>
      </c>
      <c r="CU16" s="17">
        <f>IF(COUNTIFS(T_SelfStock_Log[Part Name],$A16,T_SelfStock_Log[WeekIndex],98)=0,"",SUMIFS(T_SelfStock_Log[Self_Qty],T_SelfStock_Log[Part Name],$A16,T_SelfStock_Log[WeekIndex],98))</f>
        <v/>
      </c>
      <c r="CV16" s="17">
        <f>IF(COUNTIFS(T_SelfStock_Log[Part Name],$A16,T_SelfStock_Log[WeekIndex],99)=0,"",SUMIFS(T_SelfStock_Log[Self_Qty],T_SelfStock_Log[Part Name],$A16,T_SelfStock_Log[WeekIndex],99))</f>
        <v/>
      </c>
      <c r="CW16" s="17">
        <f>IF(COUNTIFS(T_SelfStock_Log[Part Name],$A16,T_SelfStock_Log[WeekIndex],100)=0,"",SUMIFS(T_SelfStock_Log[Self_Qty],T_SelfStock_Log[Part Name],$A16,T_SelfStock_Log[WeekIndex],100))</f>
        <v/>
      </c>
      <c r="CX16" s="17">
        <f>IF(COUNTIFS(T_SelfStock_Log[Part Name],$A16,T_SelfStock_Log[WeekIndex],101)=0,"",SUMIFS(T_SelfStock_Log[Self_Qty],T_SelfStock_Log[Part Name],$A16,T_SelfStock_Log[WeekIndex],101))</f>
        <v/>
      </c>
      <c r="CY16" s="17">
        <f>IF(COUNTIFS(T_SelfStock_Log[Part Name],$A16,T_SelfStock_Log[WeekIndex],102)=0,"",SUMIFS(T_SelfStock_Log[Self_Qty],T_SelfStock_Log[Part Name],$A16,T_SelfStock_Log[WeekIndex],102))</f>
        <v/>
      </c>
      <c r="CZ16" s="17">
        <f>IF(COUNTIFS(T_SelfStock_Log[Part Name],$A16,T_SelfStock_Log[WeekIndex],103)=0,"",SUMIFS(T_SelfStock_Log[Self_Qty],T_SelfStock_Log[Part Name],$A16,T_SelfStock_Log[WeekIndex],103))</f>
        <v/>
      </c>
      <c r="DA16" s="17">
        <f>IF(COUNTIFS(T_SelfStock_Log[Part Name],$A16,T_SelfStock_Log[WeekIndex],104)=0,"",SUMIFS(T_SelfStock_Log[Self_Qty],T_SelfStock_Log[Part Name],$A16,T_SelfStock_Log[WeekIndex],104))</f>
        <v/>
      </c>
    </row>
    <row r="17">
      <c r="A17" s="19" t="inlineStr">
        <is>
          <t>ABN</t>
        </is>
      </c>
      <c r="B17" s="19">
        <f>IF(COUNTIFS(T_SelfStock_Log[Part Name],$A17,T_SelfStock_Log[WeekIndex],1)=0,"",SUMIFS(T_SelfStock_Log[Self_Qty],T_SelfStock_Log[Part Name],$A17,T_SelfStock_Log[WeekIndex],1))</f>
        <v/>
      </c>
      <c r="C17" s="19">
        <f>IF(COUNTIFS(T_SelfStock_Log[Part Name],$A17,T_SelfStock_Log[WeekIndex],2)=0,"",SUMIFS(T_SelfStock_Log[Self_Qty],T_SelfStock_Log[Part Name],$A17,T_SelfStock_Log[WeekIndex],2))</f>
        <v/>
      </c>
      <c r="D17" s="19">
        <f>IF(COUNTIFS(T_SelfStock_Log[Part Name],$A17,T_SelfStock_Log[WeekIndex],3)=0,"",SUMIFS(T_SelfStock_Log[Self_Qty],T_SelfStock_Log[Part Name],$A17,T_SelfStock_Log[WeekIndex],3))</f>
        <v/>
      </c>
      <c r="E17" s="19">
        <f>IF(COUNTIFS(T_SelfStock_Log[Part Name],$A17,T_SelfStock_Log[WeekIndex],4)=0,"",SUMIFS(T_SelfStock_Log[Self_Qty],T_SelfStock_Log[Part Name],$A17,T_SelfStock_Log[WeekIndex],4))</f>
        <v/>
      </c>
      <c r="F17" s="19">
        <f>IF(COUNTIFS(T_SelfStock_Log[Part Name],$A17,T_SelfStock_Log[WeekIndex],5)=0,"",SUMIFS(T_SelfStock_Log[Self_Qty],T_SelfStock_Log[Part Name],$A17,T_SelfStock_Log[WeekIndex],5))</f>
        <v/>
      </c>
      <c r="G17" s="19">
        <f>IF(COUNTIFS(T_SelfStock_Log[Part Name],$A17,T_SelfStock_Log[WeekIndex],6)=0,"",SUMIFS(T_SelfStock_Log[Self_Qty],T_SelfStock_Log[Part Name],$A17,T_SelfStock_Log[WeekIndex],6))</f>
        <v/>
      </c>
      <c r="H17" s="19">
        <f>IF(COUNTIFS(T_SelfStock_Log[Part Name],$A17,T_SelfStock_Log[WeekIndex],7)=0,"",SUMIFS(T_SelfStock_Log[Self_Qty],T_SelfStock_Log[Part Name],$A17,T_SelfStock_Log[WeekIndex],7))</f>
        <v/>
      </c>
      <c r="I17" s="19">
        <f>IF(COUNTIFS(T_SelfStock_Log[Part Name],$A17,T_SelfStock_Log[WeekIndex],8)=0,"",SUMIFS(T_SelfStock_Log[Self_Qty],T_SelfStock_Log[Part Name],$A17,T_SelfStock_Log[WeekIndex],8))</f>
        <v/>
      </c>
      <c r="J17" s="19">
        <f>IF(COUNTIFS(T_SelfStock_Log[Part Name],$A17,T_SelfStock_Log[WeekIndex],9)=0,"",SUMIFS(T_SelfStock_Log[Self_Qty],T_SelfStock_Log[Part Name],$A17,T_SelfStock_Log[WeekIndex],9))</f>
        <v/>
      </c>
      <c r="K17" s="19">
        <f>IF(COUNTIFS(T_SelfStock_Log[Part Name],$A17,T_SelfStock_Log[WeekIndex],10)=0,"",SUMIFS(T_SelfStock_Log[Self_Qty],T_SelfStock_Log[Part Name],$A17,T_SelfStock_Log[WeekIndex],10))</f>
        <v/>
      </c>
      <c r="L17" s="19">
        <f>IF(COUNTIFS(T_SelfStock_Log[Part Name],$A17,T_SelfStock_Log[WeekIndex],11)=0,"",SUMIFS(T_SelfStock_Log[Self_Qty],T_SelfStock_Log[Part Name],$A17,T_SelfStock_Log[WeekIndex],11))</f>
        <v/>
      </c>
      <c r="M17" s="19">
        <f>IF(COUNTIFS(T_SelfStock_Log[Part Name],$A17,T_SelfStock_Log[WeekIndex],12)=0,"",SUMIFS(T_SelfStock_Log[Self_Qty],T_SelfStock_Log[Part Name],$A17,T_SelfStock_Log[WeekIndex],12))</f>
        <v/>
      </c>
      <c r="N17" s="19">
        <f>IF(COUNTIFS(T_SelfStock_Log[Part Name],$A17,T_SelfStock_Log[WeekIndex],13)=0,"",SUMIFS(T_SelfStock_Log[Self_Qty],T_SelfStock_Log[Part Name],$A17,T_SelfStock_Log[WeekIndex],13))</f>
        <v/>
      </c>
      <c r="O17" s="19">
        <f>IF(COUNTIFS(T_SelfStock_Log[Part Name],$A17,T_SelfStock_Log[WeekIndex],14)=0,"",SUMIFS(T_SelfStock_Log[Self_Qty],T_SelfStock_Log[Part Name],$A17,T_SelfStock_Log[WeekIndex],14))</f>
        <v/>
      </c>
      <c r="P17" s="19">
        <f>IF(COUNTIFS(T_SelfStock_Log[Part Name],$A17,T_SelfStock_Log[WeekIndex],15)=0,"",SUMIFS(T_SelfStock_Log[Self_Qty],T_SelfStock_Log[Part Name],$A17,T_SelfStock_Log[WeekIndex],15))</f>
        <v/>
      </c>
      <c r="Q17" s="19">
        <f>IF(COUNTIFS(T_SelfStock_Log[Part Name],$A17,T_SelfStock_Log[WeekIndex],16)=0,"",SUMIFS(T_SelfStock_Log[Self_Qty],T_SelfStock_Log[Part Name],$A17,T_SelfStock_Log[WeekIndex],16))</f>
        <v/>
      </c>
      <c r="R17" s="19">
        <f>IF(COUNTIFS(T_SelfStock_Log[Part Name],$A17,T_SelfStock_Log[WeekIndex],17)=0,"",SUMIFS(T_SelfStock_Log[Self_Qty],T_SelfStock_Log[Part Name],$A17,T_SelfStock_Log[WeekIndex],17))</f>
        <v/>
      </c>
      <c r="S17" s="19">
        <f>IF(COUNTIFS(T_SelfStock_Log[Part Name],$A17,T_SelfStock_Log[WeekIndex],18)=0,"",SUMIFS(T_SelfStock_Log[Self_Qty],T_SelfStock_Log[Part Name],$A17,T_SelfStock_Log[WeekIndex],18))</f>
        <v/>
      </c>
      <c r="T17" s="19">
        <f>IF(COUNTIFS(T_SelfStock_Log[Part Name],$A17,T_SelfStock_Log[WeekIndex],19)=0,"",SUMIFS(T_SelfStock_Log[Self_Qty],T_SelfStock_Log[Part Name],$A17,T_SelfStock_Log[WeekIndex],19))</f>
        <v/>
      </c>
      <c r="U17" s="19">
        <f>IF(COUNTIFS(T_SelfStock_Log[Part Name],$A17,T_SelfStock_Log[WeekIndex],20)=0,"",SUMIFS(T_SelfStock_Log[Self_Qty],T_SelfStock_Log[Part Name],$A17,T_SelfStock_Log[WeekIndex],20))</f>
        <v/>
      </c>
      <c r="V17" s="19">
        <f>IF(COUNTIFS(T_SelfStock_Log[Part Name],$A17,T_SelfStock_Log[WeekIndex],21)=0,"",SUMIFS(T_SelfStock_Log[Self_Qty],T_SelfStock_Log[Part Name],$A17,T_SelfStock_Log[WeekIndex],21))</f>
        <v/>
      </c>
      <c r="W17" s="19">
        <f>IF(COUNTIFS(T_SelfStock_Log[Part Name],$A17,T_SelfStock_Log[WeekIndex],22)=0,"",SUMIFS(T_SelfStock_Log[Self_Qty],T_SelfStock_Log[Part Name],$A17,T_SelfStock_Log[WeekIndex],22))</f>
        <v/>
      </c>
      <c r="X17" s="19">
        <f>IF(COUNTIFS(T_SelfStock_Log[Part Name],$A17,T_SelfStock_Log[WeekIndex],23)=0,"",SUMIFS(T_SelfStock_Log[Self_Qty],T_SelfStock_Log[Part Name],$A17,T_SelfStock_Log[WeekIndex],23))</f>
        <v/>
      </c>
      <c r="Y17" s="19">
        <f>IF(COUNTIFS(T_SelfStock_Log[Part Name],$A17,T_SelfStock_Log[WeekIndex],24)=0,"",SUMIFS(T_SelfStock_Log[Self_Qty],T_SelfStock_Log[Part Name],$A17,T_SelfStock_Log[WeekIndex],24))</f>
        <v/>
      </c>
      <c r="Z17" s="19">
        <f>IF(COUNTIFS(T_SelfStock_Log[Part Name],$A17,T_SelfStock_Log[WeekIndex],25)=0,"",SUMIFS(T_SelfStock_Log[Self_Qty],T_SelfStock_Log[Part Name],$A17,T_SelfStock_Log[WeekIndex],25))</f>
        <v/>
      </c>
      <c r="AA17" s="19">
        <f>IF(COUNTIFS(T_SelfStock_Log[Part Name],$A17,T_SelfStock_Log[WeekIndex],26)=0,"",SUMIFS(T_SelfStock_Log[Self_Qty],T_SelfStock_Log[Part Name],$A17,T_SelfStock_Log[WeekIndex],26))</f>
        <v/>
      </c>
      <c r="AB17" s="19">
        <f>IF(COUNTIFS(T_SelfStock_Log[Part Name],$A17,T_SelfStock_Log[WeekIndex],27)=0,"",SUMIFS(T_SelfStock_Log[Self_Qty],T_SelfStock_Log[Part Name],$A17,T_SelfStock_Log[WeekIndex],27))</f>
        <v/>
      </c>
      <c r="AC17" s="19">
        <f>IF(COUNTIFS(T_SelfStock_Log[Part Name],$A17,T_SelfStock_Log[WeekIndex],28)=0,"",SUMIFS(T_SelfStock_Log[Self_Qty],T_SelfStock_Log[Part Name],$A17,T_SelfStock_Log[WeekIndex],28))</f>
        <v/>
      </c>
      <c r="AD17" s="19">
        <f>IF(COUNTIFS(T_SelfStock_Log[Part Name],$A17,T_SelfStock_Log[WeekIndex],29)=0,"",SUMIFS(T_SelfStock_Log[Self_Qty],T_SelfStock_Log[Part Name],$A17,T_SelfStock_Log[WeekIndex],29))</f>
        <v/>
      </c>
      <c r="AE17" s="19">
        <f>IF(COUNTIFS(T_SelfStock_Log[Part Name],$A17,T_SelfStock_Log[WeekIndex],30)=0,"",SUMIFS(T_SelfStock_Log[Self_Qty],T_SelfStock_Log[Part Name],$A17,T_SelfStock_Log[WeekIndex],30))</f>
        <v/>
      </c>
      <c r="AF17" s="19">
        <f>IF(COUNTIFS(T_SelfStock_Log[Part Name],$A17,T_SelfStock_Log[WeekIndex],31)=0,"",SUMIFS(T_SelfStock_Log[Self_Qty],T_SelfStock_Log[Part Name],$A17,T_SelfStock_Log[WeekIndex],31))</f>
        <v/>
      </c>
      <c r="AG17" s="19">
        <f>IF(COUNTIFS(T_SelfStock_Log[Part Name],$A17,T_SelfStock_Log[WeekIndex],32)=0,"",SUMIFS(T_SelfStock_Log[Self_Qty],T_SelfStock_Log[Part Name],$A17,T_SelfStock_Log[WeekIndex],32))</f>
        <v/>
      </c>
      <c r="AH17" s="19">
        <f>IF(COUNTIFS(T_SelfStock_Log[Part Name],$A17,T_SelfStock_Log[WeekIndex],33)=0,"",SUMIFS(T_SelfStock_Log[Self_Qty],T_SelfStock_Log[Part Name],$A17,T_SelfStock_Log[WeekIndex],33))</f>
        <v/>
      </c>
      <c r="AI17" s="19">
        <f>IF(COUNTIFS(T_SelfStock_Log[Part Name],$A17,T_SelfStock_Log[WeekIndex],34)=0,"",SUMIFS(T_SelfStock_Log[Self_Qty],T_SelfStock_Log[Part Name],$A17,T_SelfStock_Log[WeekIndex],34))</f>
        <v/>
      </c>
      <c r="AJ17" s="19">
        <f>IF(COUNTIFS(T_SelfStock_Log[Part Name],$A17,T_SelfStock_Log[WeekIndex],35)=0,"",SUMIFS(T_SelfStock_Log[Self_Qty],T_SelfStock_Log[Part Name],$A17,T_SelfStock_Log[WeekIndex],35))</f>
        <v/>
      </c>
      <c r="AK17" s="19">
        <f>IF(COUNTIFS(T_SelfStock_Log[Part Name],$A17,T_SelfStock_Log[WeekIndex],36)=0,"",SUMIFS(T_SelfStock_Log[Self_Qty],T_SelfStock_Log[Part Name],$A17,T_SelfStock_Log[WeekIndex],36))</f>
        <v/>
      </c>
      <c r="AL17" s="19">
        <f>IF(COUNTIFS(T_SelfStock_Log[Part Name],$A17,T_SelfStock_Log[WeekIndex],37)=0,"",SUMIFS(T_SelfStock_Log[Self_Qty],T_SelfStock_Log[Part Name],$A17,T_SelfStock_Log[WeekIndex],37))</f>
        <v/>
      </c>
      <c r="AM17" s="19">
        <f>IF(COUNTIFS(T_SelfStock_Log[Part Name],$A17,T_SelfStock_Log[WeekIndex],38)=0,"",SUMIFS(T_SelfStock_Log[Self_Qty],T_SelfStock_Log[Part Name],$A17,T_SelfStock_Log[WeekIndex],38))</f>
        <v/>
      </c>
      <c r="AN17" s="19">
        <f>IF(COUNTIFS(T_SelfStock_Log[Part Name],$A17,T_SelfStock_Log[WeekIndex],39)=0,"",SUMIFS(T_SelfStock_Log[Self_Qty],T_SelfStock_Log[Part Name],$A17,T_SelfStock_Log[WeekIndex],39))</f>
        <v/>
      </c>
      <c r="AO17" s="19">
        <f>IF(COUNTIFS(T_SelfStock_Log[Part Name],$A17,T_SelfStock_Log[WeekIndex],40)=0,"",SUMIFS(T_SelfStock_Log[Self_Qty],T_SelfStock_Log[Part Name],$A17,T_SelfStock_Log[WeekIndex],40))</f>
        <v/>
      </c>
      <c r="AP17" s="19">
        <f>IF(COUNTIFS(T_SelfStock_Log[Part Name],$A17,T_SelfStock_Log[WeekIndex],41)=0,"",SUMIFS(T_SelfStock_Log[Self_Qty],T_SelfStock_Log[Part Name],$A17,T_SelfStock_Log[WeekIndex],41))</f>
        <v/>
      </c>
      <c r="AQ17" s="19">
        <f>IF(COUNTIFS(T_SelfStock_Log[Part Name],$A17,T_SelfStock_Log[WeekIndex],42)=0,"",SUMIFS(T_SelfStock_Log[Self_Qty],T_SelfStock_Log[Part Name],$A17,T_SelfStock_Log[WeekIndex],42))</f>
        <v/>
      </c>
      <c r="AR17" s="19">
        <f>IF(COUNTIFS(T_SelfStock_Log[Part Name],$A17,T_SelfStock_Log[WeekIndex],43)=0,"",SUMIFS(T_SelfStock_Log[Self_Qty],T_SelfStock_Log[Part Name],$A17,T_SelfStock_Log[WeekIndex],43))</f>
        <v/>
      </c>
      <c r="AS17" s="19">
        <f>IF(COUNTIFS(T_SelfStock_Log[Part Name],$A17,T_SelfStock_Log[WeekIndex],44)=0,"",SUMIFS(T_SelfStock_Log[Self_Qty],T_SelfStock_Log[Part Name],$A17,T_SelfStock_Log[WeekIndex],44))</f>
        <v/>
      </c>
      <c r="AT17" s="19">
        <f>IF(COUNTIFS(T_SelfStock_Log[Part Name],$A17,T_SelfStock_Log[WeekIndex],45)=0,"",SUMIFS(T_SelfStock_Log[Self_Qty],T_SelfStock_Log[Part Name],$A17,T_SelfStock_Log[WeekIndex],45))</f>
        <v/>
      </c>
      <c r="AU17" s="19">
        <f>IF(COUNTIFS(T_SelfStock_Log[Part Name],$A17,T_SelfStock_Log[WeekIndex],46)=0,"",SUMIFS(T_SelfStock_Log[Self_Qty],T_SelfStock_Log[Part Name],$A17,T_SelfStock_Log[WeekIndex],46))</f>
        <v/>
      </c>
      <c r="AV17" s="19">
        <f>IF(COUNTIFS(T_SelfStock_Log[Part Name],$A17,T_SelfStock_Log[WeekIndex],47)=0,"",SUMIFS(T_SelfStock_Log[Self_Qty],T_SelfStock_Log[Part Name],$A17,T_SelfStock_Log[WeekIndex],47))</f>
        <v/>
      </c>
      <c r="AW17" s="19">
        <f>IF(COUNTIFS(T_SelfStock_Log[Part Name],$A17,T_SelfStock_Log[WeekIndex],48)=0,"",SUMIFS(T_SelfStock_Log[Self_Qty],T_SelfStock_Log[Part Name],$A17,T_SelfStock_Log[WeekIndex],48))</f>
        <v/>
      </c>
      <c r="AX17" s="19">
        <f>IF(COUNTIFS(T_SelfStock_Log[Part Name],$A17,T_SelfStock_Log[WeekIndex],49)=0,"",SUMIFS(T_SelfStock_Log[Self_Qty],T_SelfStock_Log[Part Name],$A17,T_SelfStock_Log[WeekIndex],49))</f>
        <v/>
      </c>
      <c r="AY17" s="19">
        <f>IF(COUNTIFS(T_SelfStock_Log[Part Name],$A17,T_SelfStock_Log[WeekIndex],50)=0,"",SUMIFS(T_SelfStock_Log[Self_Qty],T_SelfStock_Log[Part Name],$A17,T_SelfStock_Log[WeekIndex],50))</f>
        <v/>
      </c>
      <c r="AZ17" s="19">
        <f>IF(COUNTIFS(T_SelfStock_Log[Part Name],$A17,T_SelfStock_Log[WeekIndex],51)=0,"",SUMIFS(T_SelfStock_Log[Self_Qty],T_SelfStock_Log[Part Name],$A17,T_SelfStock_Log[WeekIndex],51))</f>
        <v/>
      </c>
      <c r="BA17" s="19">
        <f>IF(COUNTIFS(T_SelfStock_Log[Part Name],$A17,T_SelfStock_Log[WeekIndex],52)=0,"",SUMIFS(T_SelfStock_Log[Self_Qty],T_SelfStock_Log[Part Name],$A17,T_SelfStock_Log[WeekIndex],52))</f>
        <v/>
      </c>
      <c r="BB17" s="19">
        <f>IF(COUNTIFS(T_SelfStock_Log[Part Name],$A17,T_SelfStock_Log[WeekIndex],53)=0,"",SUMIFS(T_SelfStock_Log[Self_Qty],T_SelfStock_Log[Part Name],$A17,T_SelfStock_Log[WeekIndex],53))</f>
        <v/>
      </c>
      <c r="BC17" s="19">
        <f>IF(COUNTIFS(T_SelfStock_Log[Part Name],$A17,T_SelfStock_Log[WeekIndex],54)=0,"",SUMIFS(T_SelfStock_Log[Self_Qty],T_SelfStock_Log[Part Name],$A17,T_SelfStock_Log[WeekIndex],54))</f>
        <v/>
      </c>
      <c r="BD17" s="19">
        <f>IF(COUNTIFS(T_SelfStock_Log[Part Name],$A17,T_SelfStock_Log[WeekIndex],55)=0,"",SUMIFS(T_SelfStock_Log[Self_Qty],T_SelfStock_Log[Part Name],$A17,T_SelfStock_Log[WeekIndex],55))</f>
        <v/>
      </c>
      <c r="BE17" s="19">
        <f>IF(COUNTIFS(T_SelfStock_Log[Part Name],$A17,T_SelfStock_Log[WeekIndex],56)=0,"",SUMIFS(T_SelfStock_Log[Self_Qty],T_SelfStock_Log[Part Name],$A17,T_SelfStock_Log[WeekIndex],56))</f>
        <v/>
      </c>
      <c r="BF17" s="19">
        <f>IF(COUNTIFS(T_SelfStock_Log[Part Name],$A17,T_SelfStock_Log[WeekIndex],57)=0,"",SUMIFS(T_SelfStock_Log[Self_Qty],T_SelfStock_Log[Part Name],$A17,T_SelfStock_Log[WeekIndex],57))</f>
        <v/>
      </c>
      <c r="BG17" s="19">
        <f>IF(COUNTIFS(T_SelfStock_Log[Part Name],$A17,T_SelfStock_Log[WeekIndex],58)=0,"",SUMIFS(T_SelfStock_Log[Self_Qty],T_SelfStock_Log[Part Name],$A17,T_SelfStock_Log[WeekIndex],58))</f>
        <v/>
      </c>
      <c r="BH17" s="19">
        <f>IF(COUNTIFS(T_SelfStock_Log[Part Name],$A17,T_SelfStock_Log[WeekIndex],59)=0,"",SUMIFS(T_SelfStock_Log[Self_Qty],T_SelfStock_Log[Part Name],$A17,T_SelfStock_Log[WeekIndex],59))</f>
        <v/>
      </c>
      <c r="BI17" s="19">
        <f>IF(COUNTIFS(T_SelfStock_Log[Part Name],$A17,T_SelfStock_Log[WeekIndex],60)=0,"",SUMIFS(T_SelfStock_Log[Self_Qty],T_SelfStock_Log[Part Name],$A17,T_SelfStock_Log[WeekIndex],60))</f>
        <v/>
      </c>
      <c r="BJ17" s="19">
        <f>IF(COUNTIFS(T_SelfStock_Log[Part Name],$A17,T_SelfStock_Log[WeekIndex],61)=0,"",SUMIFS(T_SelfStock_Log[Self_Qty],T_SelfStock_Log[Part Name],$A17,T_SelfStock_Log[WeekIndex],61))</f>
        <v/>
      </c>
      <c r="BK17" s="19">
        <f>IF(COUNTIFS(T_SelfStock_Log[Part Name],$A17,T_SelfStock_Log[WeekIndex],62)=0,"",SUMIFS(T_SelfStock_Log[Self_Qty],T_SelfStock_Log[Part Name],$A17,T_SelfStock_Log[WeekIndex],62))</f>
        <v/>
      </c>
      <c r="BL17" s="19">
        <f>IF(COUNTIFS(T_SelfStock_Log[Part Name],$A17,T_SelfStock_Log[WeekIndex],63)=0,"",SUMIFS(T_SelfStock_Log[Self_Qty],T_SelfStock_Log[Part Name],$A17,T_SelfStock_Log[WeekIndex],63))</f>
        <v/>
      </c>
      <c r="BM17" s="19">
        <f>IF(COUNTIFS(T_SelfStock_Log[Part Name],$A17,T_SelfStock_Log[WeekIndex],64)=0,"",SUMIFS(T_SelfStock_Log[Self_Qty],T_SelfStock_Log[Part Name],$A17,T_SelfStock_Log[WeekIndex],64))</f>
        <v/>
      </c>
      <c r="BN17" s="19">
        <f>IF(COUNTIFS(T_SelfStock_Log[Part Name],$A17,T_SelfStock_Log[WeekIndex],65)=0,"",SUMIFS(T_SelfStock_Log[Self_Qty],T_SelfStock_Log[Part Name],$A17,T_SelfStock_Log[WeekIndex],65))</f>
        <v/>
      </c>
      <c r="BO17" s="19">
        <f>IF(COUNTIFS(T_SelfStock_Log[Part Name],$A17,T_SelfStock_Log[WeekIndex],66)=0,"",SUMIFS(T_SelfStock_Log[Self_Qty],T_SelfStock_Log[Part Name],$A17,T_SelfStock_Log[WeekIndex],66))</f>
        <v/>
      </c>
      <c r="BP17" s="19">
        <f>IF(COUNTIFS(T_SelfStock_Log[Part Name],$A17,T_SelfStock_Log[WeekIndex],67)=0,"",SUMIFS(T_SelfStock_Log[Self_Qty],T_SelfStock_Log[Part Name],$A17,T_SelfStock_Log[WeekIndex],67))</f>
        <v/>
      </c>
      <c r="BQ17" s="19">
        <f>IF(COUNTIFS(T_SelfStock_Log[Part Name],$A17,T_SelfStock_Log[WeekIndex],68)=0,"",SUMIFS(T_SelfStock_Log[Self_Qty],T_SelfStock_Log[Part Name],$A17,T_SelfStock_Log[WeekIndex],68))</f>
        <v/>
      </c>
      <c r="BR17" s="19">
        <f>IF(COUNTIFS(T_SelfStock_Log[Part Name],$A17,T_SelfStock_Log[WeekIndex],69)=0,"",SUMIFS(T_SelfStock_Log[Self_Qty],T_SelfStock_Log[Part Name],$A17,T_SelfStock_Log[WeekIndex],69))</f>
        <v/>
      </c>
      <c r="BS17" s="19">
        <f>IF(COUNTIFS(T_SelfStock_Log[Part Name],$A17,T_SelfStock_Log[WeekIndex],70)=0,"",SUMIFS(T_SelfStock_Log[Self_Qty],T_SelfStock_Log[Part Name],$A17,T_SelfStock_Log[WeekIndex],70))</f>
        <v/>
      </c>
      <c r="BT17" s="19">
        <f>IF(COUNTIFS(T_SelfStock_Log[Part Name],$A17,T_SelfStock_Log[WeekIndex],71)=0,"",SUMIFS(T_SelfStock_Log[Self_Qty],T_SelfStock_Log[Part Name],$A17,T_SelfStock_Log[WeekIndex],71))</f>
        <v/>
      </c>
      <c r="BU17" s="19">
        <f>IF(COUNTIFS(T_SelfStock_Log[Part Name],$A17,T_SelfStock_Log[WeekIndex],72)=0,"",SUMIFS(T_SelfStock_Log[Self_Qty],T_SelfStock_Log[Part Name],$A17,T_SelfStock_Log[WeekIndex],72))</f>
        <v/>
      </c>
      <c r="BV17" s="19">
        <f>IF(COUNTIFS(T_SelfStock_Log[Part Name],$A17,T_SelfStock_Log[WeekIndex],73)=0,"",SUMIFS(T_SelfStock_Log[Self_Qty],T_SelfStock_Log[Part Name],$A17,T_SelfStock_Log[WeekIndex],73))</f>
        <v/>
      </c>
      <c r="BW17" s="19">
        <f>IF(COUNTIFS(T_SelfStock_Log[Part Name],$A17,T_SelfStock_Log[WeekIndex],74)=0,"",SUMIFS(T_SelfStock_Log[Self_Qty],T_SelfStock_Log[Part Name],$A17,T_SelfStock_Log[WeekIndex],74))</f>
        <v/>
      </c>
      <c r="BX17" s="19">
        <f>IF(COUNTIFS(T_SelfStock_Log[Part Name],$A17,T_SelfStock_Log[WeekIndex],75)=0,"",SUMIFS(T_SelfStock_Log[Self_Qty],T_SelfStock_Log[Part Name],$A17,T_SelfStock_Log[WeekIndex],75))</f>
        <v/>
      </c>
      <c r="BY17" s="19">
        <f>IF(COUNTIFS(T_SelfStock_Log[Part Name],$A17,T_SelfStock_Log[WeekIndex],76)=0,"",SUMIFS(T_SelfStock_Log[Self_Qty],T_SelfStock_Log[Part Name],$A17,T_SelfStock_Log[WeekIndex],76))</f>
        <v/>
      </c>
      <c r="BZ17" s="19">
        <f>IF(COUNTIFS(T_SelfStock_Log[Part Name],$A17,T_SelfStock_Log[WeekIndex],77)=0,"",SUMIFS(T_SelfStock_Log[Self_Qty],T_SelfStock_Log[Part Name],$A17,T_SelfStock_Log[WeekIndex],77))</f>
        <v/>
      </c>
      <c r="CA17" s="19">
        <f>IF(COUNTIFS(T_SelfStock_Log[Part Name],$A17,T_SelfStock_Log[WeekIndex],78)=0,"",SUMIFS(T_SelfStock_Log[Self_Qty],T_SelfStock_Log[Part Name],$A17,T_SelfStock_Log[WeekIndex],78))</f>
        <v/>
      </c>
      <c r="CB17" s="19">
        <f>IF(COUNTIFS(T_SelfStock_Log[Part Name],$A17,T_SelfStock_Log[WeekIndex],79)=0,"",SUMIFS(T_SelfStock_Log[Self_Qty],T_SelfStock_Log[Part Name],$A17,T_SelfStock_Log[WeekIndex],79))</f>
        <v/>
      </c>
      <c r="CC17" s="19">
        <f>IF(COUNTIFS(T_SelfStock_Log[Part Name],$A17,T_SelfStock_Log[WeekIndex],80)=0,"",SUMIFS(T_SelfStock_Log[Self_Qty],T_SelfStock_Log[Part Name],$A17,T_SelfStock_Log[WeekIndex],80))</f>
        <v/>
      </c>
      <c r="CD17" s="19">
        <f>IF(COUNTIFS(T_SelfStock_Log[Part Name],$A17,T_SelfStock_Log[WeekIndex],81)=0,"",SUMIFS(T_SelfStock_Log[Self_Qty],T_SelfStock_Log[Part Name],$A17,T_SelfStock_Log[WeekIndex],81))</f>
        <v/>
      </c>
      <c r="CE17" s="19">
        <f>IF(COUNTIFS(T_SelfStock_Log[Part Name],$A17,T_SelfStock_Log[WeekIndex],82)=0,"",SUMIFS(T_SelfStock_Log[Self_Qty],T_SelfStock_Log[Part Name],$A17,T_SelfStock_Log[WeekIndex],82))</f>
        <v/>
      </c>
      <c r="CF17" s="19">
        <f>IF(COUNTIFS(T_SelfStock_Log[Part Name],$A17,T_SelfStock_Log[WeekIndex],83)=0,"",SUMIFS(T_SelfStock_Log[Self_Qty],T_SelfStock_Log[Part Name],$A17,T_SelfStock_Log[WeekIndex],83))</f>
        <v/>
      </c>
      <c r="CG17" s="19">
        <f>IF(COUNTIFS(T_SelfStock_Log[Part Name],$A17,T_SelfStock_Log[WeekIndex],84)=0,"",SUMIFS(T_SelfStock_Log[Self_Qty],T_SelfStock_Log[Part Name],$A17,T_SelfStock_Log[WeekIndex],84))</f>
        <v/>
      </c>
      <c r="CH17" s="19">
        <f>IF(COUNTIFS(T_SelfStock_Log[Part Name],$A17,T_SelfStock_Log[WeekIndex],85)=0,"",SUMIFS(T_SelfStock_Log[Self_Qty],T_SelfStock_Log[Part Name],$A17,T_SelfStock_Log[WeekIndex],85))</f>
        <v/>
      </c>
      <c r="CI17" s="19">
        <f>IF(COUNTIFS(T_SelfStock_Log[Part Name],$A17,T_SelfStock_Log[WeekIndex],86)=0,"",SUMIFS(T_SelfStock_Log[Self_Qty],T_SelfStock_Log[Part Name],$A17,T_SelfStock_Log[WeekIndex],86))</f>
        <v/>
      </c>
      <c r="CJ17" s="19">
        <f>IF(COUNTIFS(T_SelfStock_Log[Part Name],$A17,T_SelfStock_Log[WeekIndex],87)=0,"",SUMIFS(T_SelfStock_Log[Self_Qty],T_SelfStock_Log[Part Name],$A17,T_SelfStock_Log[WeekIndex],87))</f>
        <v/>
      </c>
      <c r="CK17" s="19">
        <f>IF(COUNTIFS(T_SelfStock_Log[Part Name],$A17,T_SelfStock_Log[WeekIndex],88)=0,"",SUMIFS(T_SelfStock_Log[Self_Qty],T_SelfStock_Log[Part Name],$A17,T_SelfStock_Log[WeekIndex],88))</f>
        <v/>
      </c>
      <c r="CL17" s="19">
        <f>IF(COUNTIFS(T_SelfStock_Log[Part Name],$A17,T_SelfStock_Log[WeekIndex],89)=0,"",SUMIFS(T_SelfStock_Log[Self_Qty],T_SelfStock_Log[Part Name],$A17,T_SelfStock_Log[WeekIndex],89))</f>
        <v/>
      </c>
      <c r="CM17" s="19">
        <f>IF(COUNTIFS(T_SelfStock_Log[Part Name],$A17,T_SelfStock_Log[WeekIndex],90)=0,"",SUMIFS(T_SelfStock_Log[Self_Qty],T_SelfStock_Log[Part Name],$A17,T_SelfStock_Log[WeekIndex],90))</f>
        <v/>
      </c>
      <c r="CN17" s="19">
        <f>IF(COUNTIFS(T_SelfStock_Log[Part Name],$A17,T_SelfStock_Log[WeekIndex],91)=0,"",SUMIFS(T_SelfStock_Log[Self_Qty],T_SelfStock_Log[Part Name],$A17,T_SelfStock_Log[WeekIndex],91))</f>
        <v/>
      </c>
      <c r="CO17" s="19">
        <f>IF(COUNTIFS(T_SelfStock_Log[Part Name],$A17,T_SelfStock_Log[WeekIndex],92)=0,"",SUMIFS(T_SelfStock_Log[Self_Qty],T_SelfStock_Log[Part Name],$A17,T_SelfStock_Log[WeekIndex],92))</f>
        <v/>
      </c>
      <c r="CP17" s="19">
        <f>IF(COUNTIFS(T_SelfStock_Log[Part Name],$A17,T_SelfStock_Log[WeekIndex],93)=0,"",SUMIFS(T_SelfStock_Log[Self_Qty],T_SelfStock_Log[Part Name],$A17,T_SelfStock_Log[WeekIndex],93))</f>
        <v/>
      </c>
      <c r="CQ17" s="19">
        <f>IF(COUNTIFS(T_SelfStock_Log[Part Name],$A17,T_SelfStock_Log[WeekIndex],94)=0,"",SUMIFS(T_SelfStock_Log[Self_Qty],T_SelfStock_Log[Part Name],$A17,T_SelfStock_Log[WeekIndex],94))</f>
        <v/>
      </c>
      <c r="CR17" s="19">
        <f>IF(COUNTIFS(T_SelfStock_Log[Part Name],$A17,T_SelfStock_Log[WeekIndex],95)=0,"",SUMIFS(T_SelfStock_Log[Self_Qty],T_SelfStock_Log[Part Name],$A17,T_SelfStock_Log[WeekIndex],95))</f>
        <v/>
      </c>
      <c r="CS17" s="19">
        <f>IF(COUNTIFS(T_SelfStock_Log[Part Name],$A17,T_SelfStock_Log[WeekIndex],96)=0,"",SUMIFS(T_SelfStock_Log[Self_Qty],T_SelfStock_Log[Part Name],$A17,T_SelfStock_Log[WeekIndex],96))</f>
        <v/>
      </c>
      <c r="CT17" s="19">
        <f>IF(COUNTIFS(T_SelfStock_Log[Part Name],$A17,T_SelfStock_Log[WeekIndex],97)=0,"",SUMIFS(T_SelfStock_Log[Self_Qty],T_SelfStock_Log[Part Name],$A17,T_SelfStock_Log[WeekIndex],97))</f>
        <v/>
      </c>
      <c r="CU17" s="19">
        <f>IF(COUNTIFS(T_SelfStock_Log[Part Name],$A17,T_SelfStock_Log[WeekIndex],98)=0,"",SUMIFS(T_SelfStock_Log[Self_Qty],T_SelfStock_Log[Part Name],$A17,T_SelfStock_Log[WeekIndex],98))</f>
        <v/>
      </c>
      <c r="CV17" s="19">
        <f>IF(COUNTIFS(T_SelfStock_Log[Part Name],$A17,T_SelfStock_Log[WeekIndex],99)=0,"",SUMIFS(T_SelfStock_Log[Self_Qty],T_SelfStock_Log[Part Name],$A17,T_SelfStock_Log[WeekIndex],99))</f>
        <v/>
      </c>
      <c r="CW17" s="19">
        <f>IF(COUNTIFS(T_SelfStock_Log[Part Name],$A17,T_SelfStock_Log[WeekIndex],100)=0,"",SUMIFS(T_SelfStock_Log[Self_Qty],T_SelfStock_Log[Part Name],$A17,T_SelfStock_Log[WeekIndex],100))</f>
        <v/>
      </c>
      <c r="CX17" s="19">
        <f>IF(COUNTIFS(T_SelfStock_Log[Part Name],$A17,T_SelfStock_Log[WeekIndex],101)=0,"",SUMIFS(T_SelfStock_Log[Self_Qty],T_SelfStock_Log[Part Name],$A17,T_SelfStock_Log[WeekIndex],101))</f>
        <v/>
      </c>
      <c r="CY17" s="19">
        <f>IF(COUNTIFS(T_SelfStock_Log[Part Name],$A17,T_SelfStock_Log[WeekIndex],102)=0,"",SUMIFS(T_SelfStock_Log[Self_Qty],T_SelfStock_Log[Part Name],$A17,T_SelfStock_Log[WeekIndex],102))</f>
        <v/>
      </c>
      <c r="CZ17" s="19">
        <f>IF(COUNTIFS(T_SelfStock_Log[Part Name],$A17,T_SelfStock_Log[WeekIndex],103)=0,"",SUMIFS(T_SelfStock_Log[Self_Qty],T_SelfStock_Log[Part Name],$A17,T_SelfStock_Log[WeekIndex],103))</f>
        <v/>
      </c>
      <c r="DA17" s="19">
        <f>IF(COUNTIFS(T_SelfStock_Log[Part Name],$A17,T_SelfStock_Log[WeekIndex],104)=0,"",SUMIFS(T_SelfStock_Log[Self_Qty],T_SelfStock_Log[Part Name],$A17,T_SelfStock_Log[WeekIndex],104))</f>
        <v/>
      </c>
    </row>
    <row r="18">
      <c r="A18" s="17" t="inlineStr">
        <is>
          <t>OLJ</t>
        </is>
      </c>
      <c r="B18" s="17">
        <f>IF(COUNTIFS(T_SelfStock_Log[Part Name],$A18,T_SelfStock_Log[WeekIndex],1)=0,"",SUMIFS(T_SelfStock_Log[Self_Qty],T_SelfStock_Log[Part Name],$A18,T_SelfStock_Log[WeekIndex],1))</f>
        <v/>
      </c>
      <c r="C18" s="17">
        <f>IF(COUNTIFS(T_SelfStock_Log[Part Name],$A18,T_SelfStock_Log[WeekIndex],2)=0,"",SUMIFS(T_SelfStock_Log[Self_Qty],T_SelfStock_Log[Part Name],$A18,T_SelfStock_Log[WeekIndex],2))</f>
        <v/>
      </c>
      <c r="D18" s="17">
        <f>IF(COUNTIFS(T_SelfStock_Log[Part Name],$A18,T_SelfStock_Log[WeekIndex],3)=0,"",SUMIFS(T_SelfStock_Log[Self_Qty],T_SelfStock_Log[Part Name],$A18,T_SelfStock_Log[WeekIndex],3))</f>
        <v/>
      </c>
      <c r="E18" s="17">
        <f>IF(COUNTIFS(T_SelfStock_Log[Part Name],$A18,T_SelfStock_Log[WeekIndex],4)=0,"",SUMIFS(T_SelfStock_Log[Self_Qty],T_SelfStock_Log[Part Name],$A18,T_SelfStock_Log[WeekIndex],4))</f>
        <v/>
      </c>
      <c r="F18" s="17">
        <f>IF(COUNTIFS(T_SelfStock_Log[Part Name],$A18,T_SelfStock_Log[WeekIndex],5)=0,"",SUMIFS(T_SelfStock_Log[Self_Qty],T_SelfStock_Log[Part Name],$A18,T_SelfStock_Log[WeekIndex],5))</f>
        <v/>
      </c>
      <c r="G18" s="17">
        <f>IF(COUNTIFS(T_SelfStock_Log[Part Name],$A18,T_SelfStock_Log[WeekIndex],6)=0,"",SUMIFS(T_SelfStock_Log[Self_Qty],T_SelfStock_Log[Part Name],$A18,T_SelfStock_Log[WeekIndex],6))</f>
        <v/>
      </c>
      <c r="H18" s="17">
        <f>IF(COUNTIFS(T_SelfStock_Log[Part Name],$A18,T_SelfStock_Log[WeekIndex],7)=0,"",SUMIFS(T_SelfStock_Log[Self_Qty],T_SelfStock_Log[Part Name],$A18,T_SelfStock_Log[WeekIndex],7))</f>
        <v/>
      </c>
      <c r="I18" s="17">
        <f>IF(COUNTIFS(T_SelfStock_Log[Part Name],$A18,T_SelfStock_Log[WeekIndex],8)=0,"",SUMIFS(T_SelfStock_Log[Self_Qty],T_SelfStock_Log[Part Name],$A18,T_SelfStock_Log[WeekIndex],8))</f>
        <v/>
      </c>
      <c r="J18" s="17">
        <f>IF(COUNTIFS(T_SelfStock_Log[Part Name],$A18,T_SelfStock_Log[WeekIndex],9)=0,"",SUMIFS(T_SelfStock_Log[Self_Qty],T_SelfStock_Log[Part Name],$A18,T_SelfStock_Log[WeekIndex],9))</f>
        <v/>
      </c>
      <c r="K18" s="17">
        <f>IF(COUNTIFS(T_SelfStock_Log[Part Name],$A18,T_SelfStock_Log[WeekIndex],10)=0,"",SUMIFS(T_SelfStock_Log[Self_Qty],T_SelfStock_Log[Part Name],$A18,T_SelfStock_Log[WeekIndex],10))</f>
        <v/>
      </c>
      <c r="L18" s="17">
        <f>IF(COUNTIFS(T_SelfStock_Log[Part Name],$A18,T_SelfStock_Log[WeekIndex],11)=0,"",SUMIFS(T_SelfStock_Log[Self_Qty],T_SelfStock_Log[Part Name],$A18,T_SelfStock_Log[WeekIndex],11))</f>
        <v/>
      </c>
      <c r="M18" s="17">
        <f>IF(COUNTIFS(T_SelfStock_Log[Part Name],$A18,T_SelfStock_Log[WeekIndex],12)=0,"",SUMIFS(T_SelfStock_Log[Self_Qty],T_SelfStock_Log[Part Name],$A18,T_SelfStock_Log[WeekIndex],12))</f>
        <v/>
      </c>
      <c r="N18" s="17">
        <f>IF(COUNTIFS(T_SelfStock_Log[Part Name],$A18,T_SelfStock_Log[WeekIndex],13)=0,"",SUMIFS(T_SelfStock_Log[Self_Qty],T_SelfStock_Log[Part Name],$A18,T_SelfStock_Log[WeekIndex],13))</f>
        <v/>
      </c>
      <c r="O18" s="17">
        <f>IF(COUNTIFS(T_SelfStock_Log[Part Name],$A18,T_SelfStock_Log[WeekIndex],14)=0,"",SUMIFS(T_SelfStock_Log[Self_Qty],T_SelfStock_Log[Part Name],$A18,T_SelfStock_Log[WeekIndex],14))</f>
        <v/>
      </c>
      <c r="P18" s="17">
        <f>IF(COUNTIFS(T_SelfStock_Log[Part Name],$A18,T_SelfStock_Log[WeekIndex],15)=0,"",SUMIFS(T_SelfStock_Log[Self_Qty],T_SelfStock_Log[Part Name],$A18,T_SelfStock_Log[WeekIndex],15))</f>
        <v/>
      </c>
      <c r="Q18" s="17">
        <f>IF(COUNTIFS(T_SelfStock_Log[Part Name],$A18,T_SelfStock_Log[WeekIndex],16)=0,"",SUMIFS(T_SelfStock_Log[Self_Qty],T_SelfStock_Log[Part Name],$A18,T_SelfStock_Log[WeekIndex],16))</f>
        <v/>
      </c>
      <c r="R18" s="17">
        <f>IF(COUNTIFS(T_SelfStock_Log[Part Name],$A18,T_SelfStock_Log[WeekIndex],17)=0,"",SUMIFS(T_SelfStock_Log[Self_Qty],T_SelfStock_Log[Part Name],$A18,T_SelfStock_Log[WeekIndex],17))</f>
        <v/>
      </c>
      <c r="S18" s="17">
        <f>IF(COUNTIFS(T_SelfStock_Log[Part Name],$A18,T_SelfStock_Log[WeekIndex],18)=0,"",SUMIFS(T_SelfStock_Log[Self_Qty],T_SelfStock_Log[Part Name],$A18,T_SelfStock_Log[WeekIndex],18))</f>
        <v/>
      </c>
      <c r="T18" s="17">
        <f>IF(COUNTIFS(T_SelfStock_Log[Part Name],$A18,T_SelfStock_Log[WeekIndex],19)=0,"",SUMIFS(T_SelfStock_Log[Self_Qty],T_SelfStock_Log[Part Name],$A18,T_SelfStock_Log[WeekIndex],19))</f>
        <v/>
      </c>
      <c r="U18" s="17">
        <f>IF(COUNTIFS(T_SelfStock_Log[Part Name],$A18,T_SelfStock_Log[WeekIndex],20)=0,"",SUMIFS(T_SelfStock_Log[Self_Qty],T_SelfStock_Log[Part Name],$A18,T_SelfStock_Log[WeekIndex],20))</f>
        <v/>
      </c>
      <c r="V18" s="17">
        <f>IF(COUNTIFS(T_SelfStock_Log[Part Name],$A18,T_SelfStock_Log[WeekIndex],21)=0,"",SUMIFS(T_SelfStock_Log[Self_Qty],T_SelfStock_Log[Part Name],$A18,T_SelfStock_Log[WeekIndex],21))</f>
        <v/>
      </c>
      <c r="W18" s="17">
        <f>IF(COUNTIFS(T_SelfStock_Log[Part Name],$A18,T_SelfStock_Log[WeekIndex],22)=0,"",SUMIFS(T_SelfStock_Log[Self_Qty],T_SelfStock_Log[Part Name],$A18,T_SelfStock_Log[WeekIndex],22))</f>
        <v/>
      </c>
      <c r="X18" s="17">
        <f>IF(COUNTIFS(T_SelfStock_Log[Part Name],$A18,T_SelfStock_Log[WeekIndex],23)=0,"",SUMIFS(T_SelfStock_Log[Self_Qty],T_SelfStock_Log[Part Name],$A18,T_SelfStock_Log[WeekIndex],23))</f>
        <v/>
      </c>
      <c r="Y18" s="17">
        <f>IF(COUNTIFS(T_SelfStock_Log[Part Name],$A18,T_SelfStock_Log[WeekIndex],24)=0,"",SUMIFS(T_SelfStock_Log[Self_Qty],T_SelfStock_Log[Part Name],$A18,T_SelfStock_Log[WeekIndex],24))</f>
        <v/>
      </c>
      <c r="Z18" s="17">
        <f>IF(COUNTIFS(T_SelfStock_Log[Part Name],$A18,T_SelfStock_Log[WeekIndex],25)=0,"",SUMIFS(T_SelfStock_Log[Self_Qty],T_SelfStock_Log[Part Name],$A18,T_SelfStock_Log[WeekIndex],25))</f>
        <v/>
      </c>
      <c r="AA18" s="17">
        <f>IF(COUNTIFS(T_SelfStock_Log[Part Name],$A18,T_SelfStock_Log[WeekIndex],26)=0,"",SUMIFS(T_SelfStock_Log[Self_Qty],T_SelfStock_Log[Part Name],$A18,T_SelfStock_Log[WeekIndex],26))</f>
        <v/>
      </c>
      <c r="AB18" s="17">
        <f>IF(COUNTIFS(T_SelfStock_Log[Part Name],$A18,T_SelfStock_Log[WeekIndex],27)=0,"",SUMIFS(T_SelfStock_Log[Self_Qty],T_SelfStock_Log[Part Name],$A18,T_SelfStock_Log[WeekIndex],27))</f>
        <v/>
      </c>
      <c r="AC18" s="17">
        <f>IF(COUNTIFS(T_SelfStock_Log[Part Name],$A18,T_SelfStock_Log[WeekIndex],28)=0,"",SUMIFS(T_SelfStock_Log[Self_Qty],T_SelfStock_Log[Part Name],$A18,T_SelfStock_Log[WeekIndex],28))</f>
        <v/>
      </c>
      <c r="AD18" s="17">
        <f>IF(COUNTIFS(T_SelfStock_Log[Part Name],$A18,T_SelfStock_Log[WeekIndex],29)=0,"",SUMIFS(T_SelfStock_Log[Self_Qty],T_SelfStock_Log[Part Name],$A18,T_SelfStock_Log[WeekIndex],29))</f>
        <v/>
      </c>
      <c r="AE18" s="17">
        <f>IF(COUNTIFS(T_SelfStock_Log[Part Name],$A18,T_SelfStock_Log[WeekIndex],30)=0,"",SUMIFS(T_SelfStock_Log[Self_Qty],T_SelfStock_Log[Part Name],$A18,T_SelfStock_Log[WeekIndex],30))</f>
        <v/>
      </c>
      <c r="AF18" s="17">
        <f>IF(COUNTIFS(T_SelfStock_Log[Part Name],$A18,T_SelfStock_Log[WeekIndex],31)=0,"",SUMIFS(T_SelfStock_Log[Self_Qty],T_SelfStock_Log[Part Name],$A18,T_SelfStock_Log[WeekIndex],31))</f>
        <v/>
      </c>
      <c r="AG18" s="17">
        <f>IF(COUNTIFS(T_SelfStock_Log[Part Name],$A18,T_SelfStock_Log[WeekIndex],32)=0,"",SUMIFS(T_SelfStock_Log[Self_Qty],T_SelfStock_Log[Part Name],$A18,T_SelfStock_Log[WeekIndex],32))</f>
        <v/>
      </c>
      <c r="AH18" s="17">
        <f>IF(COUNTIFS(T_SelfStock_Log[Part Name],$A18,T_SelfStock_Log[WeekIndex],33)=0,"",SUMIFS(T_SelfStock_Log[Self_Qty],T_SelfStock_Log[Part Name],$A18,T_SelfStock_Log[WeekIndex],33))</f>
        <v/>
      </c>
      <c r="AI18" s="17">
        <f>IF(COUNTIFS(T_SelfStock_Log[Part Name],$A18,T_SelfStock_Log[WeekIndex],34)=0,"",SUMIFS(T_SelfStock_Log[Self_Qty],T_SelfStock_Log[Part Name],$A18,T_SelfStock_Log[WeekIndex],34))</f>
        <v/>
      </c>
      <c r="AJ18" s="17">
        <f>IF(COUNTIFS(T_SelfStock_Log[Part Name],$A18,T_SelfStock_Log[WeekIndex],35)=0,"",SUMIFS(T_SelfStock_Log[Self_Qty],T_SelfStock_Log[Part Name],$A18,T_SelfStock_Log[WeekIndex],35))</f>
        <v/>
      </c>
      <c r="AK18" s="17">
        <f>IF(COUNTIFS(T_SelfStock_Log[Part Name],$A18,T_SelfStock_Log[WeekIndex],36)=0,"",SUMIFS(T_SelfStock_Log[Self_Qty],T_SelfStock_Log[Part Name],$A18,T_SelfStock_Log[WeekIndex],36))</f>
        <v/>
      </c>
      <c r="AL18" s="17">
        <f>IF(COUNTIFS(T_SelfStock_Log[Part Name],$A18,T_SelfStock_Log[WeekIndex],37)=0,"",SUMIFS(T_SelfStock_Log[Self_Qty],T_SelfStock_Log[Part Name],$A18,T_SelfStock_Log[WeekIndex],37))</f>
        <v/>
      </c>
      <c r="AM18" s="17">
        <f>IF(COUNTIFS(T_SelfStock_Log[Part Name],$A18,T_SelfStock_Log[WeekIndex],38)=0,"",SUMIFS(T_SelfStock_Log[Self_Qty],T_SelfStock_Log[Part Name],$A18,T_SelfStock_Log[WeekIndex],38))</f>
        <v/>
      </c>
      <c r="AN18" s="17">
        <f>IF(COUNTIFS(T_SelfStock_Log[Part Name],$A18,T_SelfStock_Log[WeekIndex],39)=0,"",SUMIFS(T_SelfStock_Log[Self_Qty],T_SelfStock_Log[Part Name],$A18,T_SelfStock_Log[WeekIndex],39))</f>
        <v/>
      </c>
      <c r="AO18" s="17">
        <f>IF(COUNTIFS(T_SelfStock_Log[Part Name],$A18,T_SelfStock_Log[WeekIndex],40)=0,"",SUMIFS(T_SelfStock_Log[Self_Qty],T_SelfStock_Log[Part Name],$A18,T_SelfStock_Log[WeekIndex],40))</f>
        <v/>
      </c>
      <c r="AP18" s="17">
        <f>IF(COUNTIFS(T_SelfStock_Log[Part Name],$A18,T_SelfStock_Log[WeekIndex],41)=0,"",SUMIFS(T_SelfStock_Log[Self_Qty],T_SelfStock_Log[Part Name],$A18,T_SelfStock_Log[WeekIndex],41))</f>
        <v/>
      </c>
      <c r="AQ18" s="17">
        <f>IF(COUNTIFS(T_SelfStock_Log[Part Name],$A18,T_SelfStock_Log[WeekIndex],42)=0,"",SUMIFS(T_SelfStock_Log[Self_Qty],T_SelfStock_Log[Part Name],$A18,T_SelfStock_Log[WeekIndex],42))</f>
        <v/>
      </c>
      <c r="AR18" s="17">
        <f>IF(COUNTIFS(T_SelfStock_Log[Part Name],$A18,T_SelfStock_Log[WeekIndex],43)=0,"",SUMIFS(T_SelfStock_Log[Self_Qty],T_SelfStock_Log[Part Name],$A18,T_SelfStock_Log[WeekIndex],43))</f>
        <v/>
      </c>
      <c r="AS18" s="17">
        <f>IF(COUNTIFS(T_SelfStock_Log[Part Name],$A18,T_SelfStock_Log[WeekIndex],44)=0,"",SUMIFS(T_SelfStock_Log[Self_Qty],T_SelfStock_Log[Part Name],$A18,T_SelfStock_Log[WeekIndex],44))</f>
        <v/>
      </c>
      <c r="AT18" s="17">
        <f>IF(COUNTIFS(T_SelfStock_Log[Part Name],$A18,T_SelfStock_Log[WeekIndex],45)=0,"",SUMIFS(T_SelfStock_Log[Self_Qty],T_SelfStock_Log[Part Name],$A18,T_SelfStock_Log[WeekIndex],45))</f>
        <v/>
      </c>
      <c r="AU18" s="17">
        <f>IF(COUNTIFS(T_SelfStock_Log[Part Name],$A18,T_SelfStock_Log[WeekIndex],46)=0,"",SUMIFS(T_SelfStock_Log[Self_Qty],T_SelfStock_Log[Part Name],$A18,T_SelfStock_Log[WeekIndex],46))</f>
        <v/>
      </c>
      <c r="AV18" s="17">
        <f>IF(COUNTIFS(T_SelfStock_Log[Part Name],$A18,T_SelfStock_Log[WeekIndex],47)=0,"",SUMIFS(T_SelfStock_Log[Self_Qty],T_SelfStock_Log[Part Name],$A18,T_SelfStock_Log[WeekIndex],47))</f>
        <v/>
      </c>
      <c r="AW18" s="17">
        <f>IF(COUNTIFS(T_SelfStock_Log[Part Name],$A18,T_SelfStock_Log[WeekIndex],48)=0,"",SUMIFS(T_SelfStock_Log[Self_Qty],T_SelfStock_Log[Part Name],$A18,T_SelfStock_Log[WeekIndex],48))</f>
        <v/>
      </c>
      <c r="AX18" s="17">
        <f>IF(COUNTIFS(T_SelfStock_Log[Part Name],$A18,T_SelfStock_Log[WeekIndex],49)=0,"",SUMIFS(T_SelfStock_Log[Self_Qty],T_SelfStock_Log[Part Name],$A18,T_SelfStock_Log[WeekIndex],49))</f>
        <v/>
      </c>
      <c r="AY18" s="17">
        <f>IF(COUNTIFS(T_SelfStock_Log[Part Name],$A18,T_SelfStock_Log[WeekIndex],50)=0,"",SUMIFS(T_SelfStock_Log[Self_Qty],T_SelfStock_Log[Part Name],$A18,T_SelfStock_Log[WeekIndex],50))</f>
        <v/>
      </c>
      <c r="AZ18" s="17">
        <f>IF(COUNTIFS(T_SelfStock_Log[Part Name],$A18,T_SelfStock_Log[WeekIndex],51)=0,"",SUMIFS(T_SelfStock_Log[Self_Qty],T_SelfStock_Log[Part Name],$A18,T_SelfStock_Log[WeekIndex],51))</f>
        <v/>
      </c>
      <c r="BA18" s="17">
        <f>IF(COUNTIFS(T_SelfStock_Log[Part Name],$A18,T_SelfStock_Log[WeekIndex],52)=0,"",SUMIFS(T_SelfStock_Log[Self_Qty],T_SelfStock_Log[Part Name],$A18,T_SelfStock_Log[WeekIndex],52))</f>
        <v/>
      </c>
      <c r="BB18" s="17">
        <f>IF(COUNTIFS(T_SelfStock_Log[Part Name],$A18,T_SelfStock_Log[WeekIndex],53)=0,"",SUMIFS(T_SelfStock_Log[Self_Qty],T_SelfStock_Log[Part Name],$A18,T_SelfStock_Log[WeekIndex],53))</f>
        <v/>
      </c>
      <c r="BC18" s="17">
        <f>IF(COUNTIFS(T_SelfStock_Log[Part Name],$A18,T_SelfStock_Log[WeekIndex],54)=0,"",SUMIFS(T_SelfStock_Log[Self_Qty],T_SelfStock_Log[Part Name],$A18,T_SelfStock_Log[WeekIndex],54))</f>
        <v/>
      </c>
      <c r="BD18" s="17">
        <f>IF(COUNTIFS(T_SelfStock_Log[Part Name],$A18,T_SelfStock_Log[WeekIndex],55)=0,"",SUMIFS(T_SelfStock_Log[Self_Qty],T_SelfStock_Log[Part Name],$A18,T_SelfStock_Log[WeekIndex],55))</f>
        <v/>
      </c>
      <c r="BE18" s="17">
        <f>IF(COUNTIFS(T_SelfStock_Log[Part Name],$A18,T_SelfStock_Log[WeekIndex],56)=0,"",SUMIFS(T_SelfStock_Log[Self_Qty],T_SelfStock_Log[Part Name],$A18,T_SelfStock_Log[WeekIndex],56))</f>
        <v/>
      </c>
      <c r="BF18" s="17">
        <f>IF(COUNTIFS(T_SelfStock_Log[Part Name],$A18,T_SelfStock_Log[WeekIndex],57)=0,"",SUMIFS(T_SelfStock_Log[Self_Qty],T_SelfStock_Log[Part Name],$A18,T_SelfStock_Log[WeekIndex],57))</f>
        <v/>
      </c>
      <c r="BG18" s="17">
        <f>IF(COUNTIFS(T_SelfStock_Log[Part Name],$A18,T_SelfStock_Log[WeekIndex],58)=0,"",SUMIFS(T_SelfStock_Log[Self_Qty],T_SelfStock_Log[Part Name],$A18,T_SelfStock_Log[WeekIndex],58))</f>
        <v/>
      </c>
      <c r="BH18" s="17">
        <f>IF(COUNTIFS(T_SelfStock_Log[Part Name],$A18,T_SelfStock_Log[WeekIndex],59)=0,"",SUMIFS(T_SelfStock_Log[Self_Qty],T_SelfStock_Log[Part Name],$A18,T_SelfStock_Log[WeekIndex],59))</f>
        <v/>
      </c>
      <c r="BI18" s="17">
        <f>IF(COUNTIFS(T_SelfStock_Log[Part Name],$A18,T_SelfStock_Log[WeekIndex],60)=0,"",SUMIFS(T_SelfStock_Log[Self_Qty],T_SelfStock_Log[Part Name],$A18,T_SelfStock_Log[WeekIndex],60))</f>
        <v/>
      </c>
      <c r="BJ18" s="17">
        <f>IF(COUNTIFS(T_SelfStock_Log[Part Name],$A18,T_SelfStock_Log[WeekIndex],61)=0,"",SUMIFS(T_SelfStock_Log[Self_Qty],T_SelfStock_Log[Part Name],$A18,T_SelfStock_Log[WeekIndex],61))</f>
        <v/>
      </c>
      <c r="BK18" s="17">
        <f>IF(COUNTIFS(T_SelfStock_Log[Part Name],$A18,T_SelfStock_Log[WeekIndex],62)=0,"",SUMIFS(T_SelfStock_Log[Self_Qty],T_SelfStock_Log[Part Name],$A18,T_SelfStock_Log[WeekIndex],62))</f>
        <v/>
      </c>
      <c r="BL18" s="17">
        <f>IF(COUNTIFS(T_SelfStock_Log[Part Name],$A18,T_SelfStock_Log[WeekIndex],63)=0,"",SUMIFS(T_SelfStock_Log[Self_Qty],T_SelfStock_Log[Part Name],$A18,T_SelfStock_Log[WeekIndex],63))</f>
        <v/>
      </c>
      <c r="BM18" s="17">
        <f>IF(COUNTIFS(T_SelfStock_Log[Part Name],$A18,T_SelfStock_Log[WeekIndex],64)=0,"",SUMIFS(T_SelfStock_Log[Self_Qty],T_SelfStock_Log[Part Name],$A18,T_SelfStock_Log[WeekIndex],64))</f>
        <v/>
      </c>
      <c r="BN18" s="17">
        <f>IF(COUNTIFS(T_SelfStock_Log[Part Name],$A18,T_SelfStock_Log[WeekIndex],65)=0,"",SUMIFS(T_SelfStock_Log[Self_Qty],T_SelfStock_Log[Part Name],$A18,T_SelfStock_Log[WeekIndex],65))</f>
        <v/>
      </c>
      <c r="BO18" s="17">
        <f>IF(COUNTIFS(T_SelfStock_Log[Part Name],$A18,T_SelfStock_Log[WeekIndex],66)=0,"",SUMIFS(T_SelfStock_Log[Self_Qty],T_SelfStock_Log[Part Name],$A18,T_SelfStock_Log[WeekIndex],66))</f>
        <v/>
      </c>
      <c r="BP18" s="17">
        <f>IF(COUNTIFS(T_SelfStock_Log[Part Name],$A18,T_SelfStock_Log[WeekIndex],67)=0,"",SUMIFS(T_SelfStock_Log[Self_Qty],T_SelfStock_Log[Part Name],$A18,T_SelfStock_Log[WeekIndex],67))</f>
        <v/>
      </c>
      <c r="BQ18" s="17">
        <f>IF(COUNTIFS(T_SelfStock_Log[Part Name],$A18,T_SelfStock_Log[WeekIndex],68)=0,"",SUMIFS(T_SelfStock_Log[Self_Qty],T_SelfStock_Log[Part Name],$A18,T_SelfStock_Log[WeekIndex],68))</f>
        <v/>
      </c>
      <c r="BR18" s="17">
        <f>IF(COUNTIFS(T_SelfStock_Log[Part Name],$A18,T_SelfStock_Log[WeekIndex],69)=0,"",SUMIFS(T_SelfStock_Log[Self_Qty],T_SelfStock_Log[Part Name],$A18,T_SelfStock_Log[WeekIndex],69))</f>
        <v/>
      </c>
      <c r="BS18" s="17">
        <f>IF(COUNTIFS(T_SelfStock_Log[Part Name],$A18,T_SelfStock_Log[WeekIndex],70)=0,"",SUMIFS(T_SelfStock_Log[Self_Qty],T_SelfStock_Log[Part Name],$A18,T_SelfStock_Log[WeekIndex],70))</f>
        <v/>
      </c>
      <c r="BT18" s="17">
        <f>IF(COUNTIFS(T_SelfStock_Log[Part Name],$A18,T_SelfStock_Log[WeekIndex],71)=0,"",SUMIFS(T_SelfStock_Log[Self_Qty],T_SelfStock_Log[Part Name],$A18,T_SelfStock_Log[WeekIndex],71))</f>
        <v/>
      </c>
      <c r="BU18" s="17">
        <f>IF(COUNTIFS(T_SelfStock_Log[Part Name],$A18,T_SelfStock_Log[WeekIndex],72)=0,"",SUMIFS(T_SelfStock_Log[Self_Qty],T_SelfStock_Log[Part Name],$A18,T_SelfStock_Log[WeekIndex],72))</f>
        <v/>
      </c>
      <c r="BV18" s="17">
        <f>IF(COUNTIFS(T_SelfStock_Log[Part Name],$A18,T_SelfStock_Log[WeekIndex],73)=0,"",SUMIFS(T_SelfStock_Log[Self_Qty],T_SelfStock_Log[Part Name],$A18,T_SelfStock_Log[WeekIndex],73))</f>
        <v/>
      </c>
      <c r="BW18" s="17">
        <f>IF(COUNTIFS(T_SelfStock_Log[Part Name],$A18,T_SelfStock_Log[WeekIndex],74)=0,"",SUMIFS(T_SelfStock_Log[Self_Qty],T_SelfStock_Log[Part Name],$A18,T_SelfStock_Log[WeekIndex],74))</f>
        <v/>
      </c>
      <c r="BX18" s="17">
        <f>IF(COUNTIFS(T_SelfStock_Log[Part Name],$A18,T_SelfStock_Log[WeekIndex],75)=0,"",SUMIFS(T_SelfStock_Log[Self_Qty],T_SelfStock_Log[Part Name],$A18,T_SelfStock_Log[WeekIndex],75))</f>
        <v/>
      </c>
      <c r="BY18" s="17">
        <f>IF(COUNTIFS(T_SelfStock_Log[Part Name],$A18,T_SelfStock_Log[WeekIndex],76)=0,"",SUMIFS(T_SelfStock_Log[Self_Qty],T_SelfStock_Log[Part Name],$A18,T_SelfStock_Log[WeekIndex],76))</f>
        <v/>
      </c>
      <c r="BZ18" s="17">
        <f>IF(COUNTIFS(T_SelfStock_Log[Part Name],$A18,T_SelfStock_Log[WeekIndex],77)=0,"",SUMIFS(T_SelfStock_Log[Self_Qty],T_SelfStock_Log[Part Name],$A18,T_SelfStock_Log[WeekIndex],77))</f>
        <v/>
      </c>
      <c r="CA18" s="17">
        <f>IF(COUNTIFS(T_SelfStock_Log[Part Name],$A18,T_SelfStock_Log[WeekIndex],78)=0,"",SUMIFS(T_SelfStock_Log[Self_Qty],T_SelfStock_Log[Part Name],$A18,T_SelfStock_Log[WeekIndex],78))</f>
        <v/>
      </c>
      <c r="CB18" s="17">
        <f>IF(COUNTIFS(T_SelfStock_Log[Part Name],$A18,T_SelfStock_Log[WeekIndex],79)=0,"",SUMIFS(T_SelfStock_Log[Self_Qty],T_SelfStock_Log[Part Name],$A18,T_SelfStock_Log[WeekIndex],79))</f>
        <v/>
      </c>
      <c r="CC18" s="17">
        <f>IF(COUNTIFS(T_SelfStock_Log[Part Name],$A18,T_SelfStock_Log[WeekIndex],80)=0,"",SUMIFS(T_SelfStock_Log[Self_Qty],T_SelfStock_Log[Part Name],$A18,T_SelfStock_Log[WeekIndex],80))</f>
        <v/>
      </c>
      <c r="CD18" s="17">
        <f>IF(COUNTIFS(T_SelfStock_Log[Part Name],$A18,T_SelfStock_Log[WeekIndex],81)=0,"",SUMIFS(T_SelfStock_Log[Self_Qty],T_SelfStock_Log[Part Name],$A18,T_SelfStock_Log[WeekIndex],81))</f>
        <v/>
      </c>
      <c r="CE18" s="17">
        <f>IF(COUNTIFS(T_SelfStock_Log[Part Name],$A18,T_SelfStock_Log[WeekIndex],82)=0,"",SUMIFS(T_SelfStock_Log[Self_Qty],T_SelfStock_Log[Part Name],$A18,T_SelfStock_Log[WeekIndex],82))</f>
        <v/>
      </c>
      <c r="CF18" s="17">
        <f>IF(COUNTIFS(T_SelfStock_Log[Part Name],$A18,T_SelfStock_Log[WeekIndex],83)=0,"",SUMIFS(T_SelfStock_Log[Self_Qty],T_SelfStock_Log[Part Name],$A18,T_SelfStock_Log[WeekIndex],83))</f>
        <v/>
      </c>
      <c r="CG18" s="17">
        <f>IF(COUNTIFS(T_SelfStock_Log[Part Name],$A18,T_SelfStock_Log[WeekIndex],84)=0,"",SUMIFS(T_SelfStock_Log[Self_Qty],T_SelfStock_Log[Part Name],$A18,T_SelfStock_Log[WeekIndex],84))</f>
        <v/>
      </c>
      <c r="CH18" s="17">
        <f>IF(COUNTIFS(T_SelfStock_Log[Part Name],$A18,T_SelfStock_Log[WeekIndex],85)=0,"",SUMIFS(T_SelfStock_Log[Self_Qty],T_SelfStock_Log[Part Name],$A18,T_SelfStock_Log[WeekIndex],85))</f>
        <v/>
      </c>
      <c r="CI18" s="17">
        <f>IF(COUNTIFS(T_SelfStock_Log[Part Name],$A18,T_SelfStock_Log[WeekIndex],86)=0,"",SUMIFS(T_SelfStock_Log[Self_Qty],T_SelfStock_Log[Part Name],$A18,T_SelfStock_Log[WeekIndex],86))</f>
        <v/>
      </c>
      <c r="CJ18" s="17">
        <f>IF(COUNTIFS(T_SelfStock_Log[Part Name],$A18,T_SelfStock_Log[WeekIndex],87)=0,"",SUMIFS(T_SelfStock_Log[Self_Qty],T_SelfStock_Log[Part Name],$A18,T_SelfStock_Log[WeekIndex],87))</f>
        <v/>
      </c>
      <c r="CK18" s="17">
        <f>IF(COUNTIFS(T_SelfStock_Log[Part Name],$A18,T_SelfStock_Log[WeekIndex],88)=0,"",SUMIFS(T_SelfStock_Log[Self_Qty],T_SelfStock_Log[Part Name],$A18,T_SelfStock_Log[WeekIndex],88))</f>
        <v/>
      </c>
      <c r="CL18" s="17">
        <f>IF(COUNTIFS(T_SelfStock_Log[Part Name],$A18,T_SelfStock_Log[WeekIndex],89)=0,"",SUMIFS(T_SelfStock_Log[Self_Qty],T_SelfStock_Log[Part Name],$A18,T_SelfStock_Log[WeekIndex],89))</f>
        <v/>
      </c>
      <c r="CM18" s="17">
        <f>IF(COUNTIFS(T_SelfStock_Log[Part Name],$A18,T_SelfStock_Log[WeekIndex],90)=0,"",SUMIFS(T_SelfStock_Log[Self_Qty],T_SelfStock_Log[Part Name],$A18,T_SelfStock_Log[WeekIndex],90))</f>
        <v/>
      </c>
      <c r="CN18" s="17">
        <f>IF(COUNTIFS(T_SelfStock_Log[Part Name],$A18,T_SelfStock_Log[WeekIndex],91)=0,"",SUMIFS(T_SelfStock_Log[Self_Qty],T_SelfStock_Log[Part Name],$A18,T_SelfStock_Log[WeekIndex],91))</f>
        <v/>
      </c>
      <c r="CO18" s="17">
        <f>IF(COUNTIFS(T_SelfStock_Log[Part Name],$A18,T_SelfStock_Log[WeekIndex],92)=0,"",SUMIFS(T_SelfStock_Log[Self_Qty],T_SelfStock_Log[Part Name],$A18,T_SelfStock_Log[WeekIndex],92))</f>
        <v/>
      </c>
      <c r="CP18" s="17">
        <f>IF(COUNTIFS(T_SelfStock_Log[Part Name],$A18,T_SelfStock_Log[WeekIndex],93)=0,"",SUMIFS(T_SelfStock_Log[Self_Qty],T_SelfStock_Log[Part Name],$A18,T_SelfStock_Log[WeekIndex],93))</f>
        <v/>
      </c>
      <c r="CQ18" s="17">
        <f>IF(COUNTIFS(T_SelfStock_Log[Part Name],$A18,T_SelfStock_Log[WeekIndex],94)=0,"",SUMIFS(T_SelfStock_Log[Self_Qty],T_SelfStock_Log[Part Name],$A18,T_SelfStock_Log[WeekIndex],94))</f>
        <v/>
      </c>
      <c r="CR18" s="17">
        <f>IF(COUNTIFS(T_SelfStock_Log[Part Name],$A18,T_SelfStock_Log[WeekIndex],95)=0,"",SUMIFS(T_SelfStock_Log[Self_Qty],T_SelfStock_Log[Part Name],$A18,T_SelfStock_Log[WeekIndex],95))</f>
        <v/>
      </c>
      <c r="CS18" s="17">
        <f>IF(COUNTIFS(T_SelfStock_Log[Part Name],$A18,T_SelfStock_Log[WeekIndex],96)=0,"",SUMIFS(T_SelfStock_Log[Self_Qty],T_SelfStock_Log[Part Name],$A18,T_SelfStock_Log[WeekIndex],96))</f>
        <v/>
      </c>
      <c r="CT18" s="17">
        <f>IF(COUNTIFS(T_SelfStock_Log[Part Name],$A18,T_SelfStock_Log[WeekIndex],97)=0,"",SUMIFS(T_SelfStock_Log[Self_Qty],T_SelfStock_Log[Part Name],$A18,T_SelfStock_Log[WeekIndex],97))</f>
        <v/>
      </c>
      <c r="CU18" s="17">
        <f>IF(COUNTIFS(T_SelfStock_Log[Part Name],$A18,T_SelfStock_Log[WeekIndex],98)=0,"",SUMIFS(T_SelfStock_Log[Self_Qty],T_SelfStock_Log[Part Name],$A18,T_SelfStock_Log[WeekIndex],98))</f>
        <v/>
      </c>
      <c r="CV18" s="17">
        <f>IF(COUNTIFS(T_SelfStock_Log[Part Name],$A18,T_SelfStock_Log[WeekIndex],99)=0,"",SUMIFS(T_SelfStock_Log[Self_Qty],T_SelfStock_Log[Part Name],$A18,T_SelfStock_Log[WeekIndex],99))</f>
        <v/>
      </c>
      <c r="CW18" s="17">
        <f>IF(COUNTIFS(T_SelfStock_Log[Part Name],$A18,T_SelfStock_Log[WeekIndex],100)=0,"",SUMIFS(T_SelfStock_Log[Self_Qty],T_SelfStock_Log[Part Name],$A18,T_SelfStock_Log[WeekIndex],100))</f>
        <v/>
      </c>
      <c r="CX18" s="17">
        <f>IF(COUNTIFS(T_SelfStock_Log[Part Name],$A18,T_SelfStock_Log[WeekIndex],101)=0,"",SUMIFS(T_SelfStock_Log[Self_Qty],T_SelfStock_Log[Part Name],$A18,T_SelfStock_Log[WeekIndex],101))</f>
        <v/>
      </c>
      <c r="CY18" s="17">
        <f>IF(COUNTIFS(T_SelfStock_Log[Part Name],$A18,T_SelfStock_Log[WeekIndex],102)=0,"",SUMIFS(T_SelfStock_Log[Self_Qty],T_SelfStock_Log[Part Name],$A18,T_SelfStock_Log[WeekIndex],102))</f>
        <v/>
      </c>
      <c r="CZ18" s="17">
        <f>IF(COUNTIFS(T_SelfStock_Log[Part Name],$A18,T_SelfStock_Log[WeekIndex],103)=0,"",SUMIFS(T_SelfStock_Log[Self_Qty],T_SelfStock_Log[Part Name],$A18,T_SelfStock_Log[WeekIndex],103))</f>
        <v/>
      </c>
      <c r="DA18" s="17">
        <f>IF(COUNTIFS(T_SelfStock_Log[Part Name],$A18,T_SelfStock_Log[WeekIndex],104)=0,"",SUMIFS(T_SelfStock_Log[Self_Qty],T_SelfStock_Log[Part Name],$A18,T_SelfStock_Log[WeekIndex],104))</f>
        <v/>
      </c>
    </row>
    <row r="19">
      <c r="A19" s="19" t="inlineStr">
        <is>
          <t>5SN</t>
        </is>
      </c>
      <c r="B19" s="19">
        <f>IF(COUNTIFS(T_SelfStock_Log[Part Name],$A19,T_SelfStock_Log[WeekIndex],1)=0,"",SUMIFS(T_SelfStock_Log[Self_Qty],T_SelfStock_Log[Part Name],$A19,T_SelfStock_Log[WeekIndex],1))</f>
        <v/>
      </c>
      <c r="C19" s="19">
        <f>IF(COUNTIFS(T_SelfStock_Log[Part Name],$A19,T_SelfStock_Log[WeekIndex],2)=0,"",SUMIFS(T_SelfStock_Log[Self_Qty],T_SelfStock_Log[Part Name],$A19,T_SelfStock_Log[WeekIndex],2))</f>
        <v/>
      </c>
      <c r="D19" s="19">
        <f>IF(COUNTIFS(T_SelfStock_Log[Part Name],$A19,T_SelfStock_Log[WeekIndex],3)=0,"",SUMIFS(T_SelfStock_Log[Self_Qty],T_SelfStock_Log[Part Name],$A19,T_SelfStock_Log[WeekIndex],3))</f>
        <v/>
      </c>
      <c r="E19" s="19">
        <f>IF(COUNTIFS(T_SelfStock_Log[Part Name],$A19,T_SelfStock_Log[WeekIndex],4)=0,"",SUMIFS(T_SelfStock_Log[Self_Qty],T_SelfStock_Log[Part Name],$A19,T_SelfStock_Log[WeekIndex],4))</f>
        <v/>
      </c>
      <c r="F19" s="19">
        <f>IF(COUNTIFS(T_SelfStock_Log[Part Name],$A19,T_SelfStock_Log[WeekIndex],5)=0,"",SUMIFS(T_SelfStock_Log[Self_Qty],T_SelfStock_Log[Part Name],$A19,T_SelfStock_Log[WeekIndex],5))</f>
        <v/>
      </c>
      <c r="G19" s="19">
        <f>IF(COUNTIFS(T_SelfStock_Log[Part Name],$A19,T_SelfStock_Log[WeekIndex],6)=0,"",SUMIFS(T_SelfStock_Log[Self_Qty],T_SelfStock_Log[Part Name],$A19,T_SelfStock_Log[WeekIndex],6))</f>
        <v/>
      </c>
      <c r="H19" s="19">
        <f>IF(COUNTIFS(T_SelfStock_Log[Part Name],$A19,T_SelfStock_Log[WeekIndex],7)=0,"",SUMIFS(T_SelfStock_Log[Self_Qty],T_SelfStock_Log[Part Name],$A19,T_SelfStock_Log[WeekIndex],7))</f>
        <v/>
      </c>
      <c r="I19" s="19">
        <f>IF(COUNTIFS(T_SelfStock_Log[Part Name],$A19,T_SelfStock_Log[WeekIndex],8)=0,"",SUMIFS(T_SelfStock_Log[Self_Qty],T_SelfStock_Log[Part Name],$A19,T_SelfStock_Log[WeekIndex],8))</f>
        <v/>
      </c>
      <c r="J19" s="19">
        <f>IF(COUNTIFS(T_SelfStock_Log[Part Name],$A19,T_SelfStock_Log[WeekIndex],9)=0,"",SUMIFS(T_SelfStock_Log[Self_Qty],T_SelfStock_Log[Part Name],$A19,T_SelfStock_Log[WeekIndex],9))</f>
        <v/>
      </c>
      <c r="K19" s="19">
        <f>IF(COUNTIFS(T_SelfStock_Log[Part Name],$A19,T_SelfStock_Log[WeekIndex],10)=0,"",SUMIFS(T_SelfStock_Log[Self_Qty],T_SelfStock_Log[Part Name],$A19,T_SelfStock_Log[WeekIndex],10))</f>
        <v/>
      </c>
      <c r="L19" s="19">
        <f>IF(COUNTIFS(T_SelfStock_Log[Part Name],$A19,T_SelfStock_Log[WeekIndex],11)=0,"",SUMIFS(T_SelfStock_Log[Self_Qty],T_SelfStock_Log[Part Name],$A19,T_SelfStock_Log[WeekIndex],11))</f>
        <v/>
      </c>
      <c r="M19" s="19">
        <f>IF(COUNTIFS(T_SelfStock_Log[Part Name],$A19,T_SelfStock_Log[WeekIndex],12)=0,"",SUMIFS(T_SelfStock_Log[Self_Qty],T_SelfStock_Log[Part Name],$A19,T_SelfStock_Log[WeekIndex],12))</f>
        <v/>
      </c>
      <c r="N19" s="19">
        <f>IF(COUNTIFS(T_SelfStock_Log[Part Name],$A19,T_SelfStock_Log[WeekIndex],13)=0,"",SUMIFS(T_SelfStock_Log[Self_Qty],T_SelfStock_Log[Part Name],$A19,T_SelfStock_Log[WeekIndex],13))</f>
        <v/>
      </c>
      <c r="O19" s="19">
        <f>IF(COUNTIFS(T_SelfStock_Log[Part Name],$A19,T_SelfStock_Log[WeekIndex],14)=0,"",SUMIFS(T_SelfStock_Log[Self_Qty],T_SelfStock_Log[Part Name],$A19,T_SelfStock_Log[WeekIndex],14))</f>
        <v/>
      </c>
      <c r="P19" s="19">
        <f>IF(COUNTIFS(T_SelfStock_Log[Part Name],$A19,T_SelfStock_Log[WeekIndex],15)=0,"",SUMIFS(T_SelfStock_Log[Self_Qty],T_SelfStock_Log[Part Name],$A19,T_SelfStock_Log[WeekIndex],15))</f>
        <v/>
      </c>
      <c r="Q19" s="19">
        <f>IF(COUNTIFS(T_SelfStock_Log[Part Name],$A19,T_SelfStock_Log[WeekIndex],16)=0,"",SUMIFS(T_SelfStock_Log[Self_Qty],T_SelfStock_Log[Part Name],$A19,T_SelfStock_Log[WeekIndex],16))</f>
        <v/>
      </c>
      <c r="R19" s="19">
        <f>IF(COUNTIFS(T_SelfStock_Log[Part Name],$A19,T_SelfStock_Log[WeekIndex],17)=0,"",SUMIFS(T_SelfStock_Log[Self_Qty],T_SelfStock_Log[Part Name],$A19,T_SelfStock_Log[WeekIndex],17))</f>
        <v/>
      </c>
      <c r="S19" s="19">
        <f>IF(COUNTIFS(T_SelfStock_Log[Part Name],$A19,T_SelfStock_Log[WeekIndex],18)=0,"",SUMIFS(T_SelfStock_Log[Self_Qty],T_SelfStock_Log[Part Name],$A19,T_SelfStock_Log[WeekIndex],18))</f>
        <v/>
      </c>
      <c r="T19" s="19">
        <f>IF(COUNTIFS(T_SelfStock_Log[Part Name],$A19,T_SelfStock_Log[WeekIndex],19)=0,"",SUMIFS(T_SelfStock_Log[Self_Qty],T_SelfStock_Log[Part Name],$A19,T_SelfStock_Log[WeekIndex],19))</f>
        <v/>
      </c>
      <c r="U19" s="19">
        <f>IF(COUNTIFS(T_SelfStock_Log[Part Name],$A19,T_SelfStock_Log[WeekIndex],20)=0,"",SUMIFS(T_SelfStock_Log[Self_Qty],T_SelfStock_Log[Part Name],$A19,T_SelfStock_Log[WeekIndex],20))</f>
        <v/>
      </c>
      <c r="V19" s="19">
        <f>IF(COUNTIFS(T_SelfStock_Log[Part Name],$A19,T_SelfStock_Log[WeekIndex],21)=0,"",SUMIFS(T_SelfStock_Log[Self_Qty],T_SelfStock_Log[Part Name],$A19,T_SelfStock_Log[WeekIndex],21))</f>
        <v/>
      </c>
      <c r="W19" s="19">
        <f>IF(COUNTIFS(T_SelfStock_Log[Part Name],$A19,T_SelfStock_Log[WeekIndex],22)=0,"",SUMIFS(T_SelfStock_Log[Self_Qty],T_SelfStock_Log[Part Name],$A19,T_SelfStock_Log[WeekIndex],22))</f>
        <v/>
      </c>
      <c r="X19" s="19">
        <f>IF(COUNTIFS(T_SelfStock_Log[Part Name],$A19,T_SelfStock_Log[WeekIndex],23)=0,"",SUMIFS(T_SelfStock_Log[Self_Qty],T_SelfStock_Log[Part Name],$A19,T_SelfStock_Log[WeekIndex],23))</f>
        <v/>
      </c>
      <c r="Y19" s="19">
        <f>IF(COUNTIFS(T_SelfStock_Log[Part Name],$A19,T_SelfStock_Log[WeekIndex],24)=0,"",SUMIFS(T_SelfStock_Log[Self_Qty],T_SelfStock_Log[Part Name],$A19,T_SelfStock_Log[WeekIndex],24))</f>
        <v/>
      </c>
      <c r="Z19" s="19">
        <f>IF(COUNTIFS(T_SelfStock_Log[Part Name],$A19,T_SelfStock_Log[WeekIndex],25)=0,"",SUMIFS(T_SelfStock_Log[Self_Qty],T_SelfStock_Log[Part Name],$A19,T_SelfStock_Log[WeekIndex],25))</f>
        <v/>
      </c>
      <c r="AA19" s="19">
        <f>IF(COUNTIFS(T_SelfStock_Log[Part Name],$A19,T_SelfStock_Log[WeekIndex],26)=0,"",SUMIFS(T_SelfStock_Log[Self_Qty],T_SelfStock_Log[Part Name],$A19,T_SelfStock_Log[WeekIndex],26))</f>
        <v/>
      </c>
      <c r="AB19" s="19">
        <f>IF(COUNTIFS(T_SelfStock_Log[Part Name],$A19,T_SelfStock_Log[WeekIndex],27)=0,"",SUMIFS(T_SelfStock_Log[Self_Qty],T_SelfStock_Log[Part Name],$A19,T_SelfStock_Log[WeekIndex],27))</f>
        <v/>
      </c>
      <c r="AC19" s="19">
        <f>IF(COUNTIFS(T_SelfStock_Log[Part Name],$A19,T_SelfStock_Log[WeekIndex],28)=0,"",SUMIFS(T_SelfStock_Log[Self_Qty],T_SelfStock_Log[Part Name],$A19,T_SelfStock_Log[WeekIndex],28))</f>
        <v/>
      </c>
      <c r="AD19" s="19">
        <f>IF(COUNTIFS(T_SelfStock_Log[Part Name],$A19,T_SelfStock_Log[WeekIndex],29)=0,"",SUMIFS(T_SelfStock_Log[Self_Qty],T_SelfStock_Log[Part Name],$A19,T_SelfStock_Log[WeekIndex],29))</f>
        <v/>
      </c>
      <c r="AE19" s="19">
        <f>IF(COUNTIFS(T_SelfStock_Log[Part Name],$A19,T_SelfStock_Log[WeekIndex],30)=0,"",SUMIFS(T_SelfStock_Log[Self_Qty],T_SelfStock_Log[Part Name],$A19,T_SelfStock_Log[WeekIndex],30))</f>
        <v/>
      </c>
      <c r="AF19" s="19">
        <f>IF(COUNTIFS(T_SelfStock_Log[Part Name],$A19,T_SelfStock_Log[WeekIndex],31)=0,"",SUMIFS(T_SelfStock_Log[Self_Qty],T_SelfStock_Log[Part Name],$A19,T_SelfStock_Log[WeekIndex],31))</f>
        <v/>
      </c>
      <c r="AG19" s="19">
        <f>IF(COUNTIFS(T_SelfStock_Log[Part Name],$A19,T_SelfStock_Log[WeekIndex],32)=0,"",SUMIFS(T_SelfStock_Log[Self_Qty],T_SelfStock_Log[Part Name],$A19,T_SelfStock_Log[WeekIndex],32))</f>
        <v/>
      </c>
      <c r="AH19" s="19">
        <f>IF(COUNTIFS(T_SelfStock_Log[Part Name],$A19,T_SelfStock_Log[WeekIndex],33)=0,"",SUMIFS(T_SelfStock_Log[Self_Qty],T_SelfStock_Log[Part Name],$A19,T_SelfStock_Log[WeekIndex],33))</f>
        <v/>
      </c>
      <c r="AI19" s="19">
        <f>IF(COUNTIFS(T_SelfStock_Log[Part Name],$A19,T_SelfStock_Log[WeekIndex],34)=0,"",SUMIFS(T_SelfStock_Log[Self_Qty],T_SelfStock_Log[Part Name],$A19,T_SelfStock_Log[WeekIndex],34))</f>
        <v/>
      </c>
      <c r="AJ19" s="19">
        <f>IF(COUNTIFS(T_SelfStock_Log[Part Name],$A19,T_SelfStock_Log[WeekIndex],35)=0,"",SUMIFS(T_SelfStock_Log[Self_Qty],T_SelfStock_Log[Part Name],$A19,T_SelfStock_Log[WeekIndex],35))</f>
        <v/>
      </c>
      <c r="AK19" s="19">
        <f>IF(COUNTIFS(T_SelfStock_Log[Part Name],$A19,T_SelfStock_Log[WeekIndex],36)=0,"",SUMIFS(T_SelfStock_Log[Self_Qty],T_SelfStock_Log[Part Name],$A19,T_SelfStock_Log[WeekIndex],36))</f>
        <v/>
      </c>
      <c r="AL19" s="19">
        <f>IF(COUNTIFS(T_SelfStock_Log[Part Name],$A19,T_SelfStock_Log[WeekIndex],37)=0,"",SUMIFS(T_SelfStock_Log[Self_Qty],T_SelfStock_Log[Part Name],$A19,T_SelfStock_Log[WeekIndex],37))</f>
        <v/>
      </c>
      <c r="AM19" s="19">
        <f>IF(COUNTIFS(T_SelfStock_Log[Part Name],$A19,T_SelfStock_Log[WeekIndex],38)=0,"",SUMIFS(T_SelfStock_Log[Self_Qty],T_SelfStock_Log[Part Name],$A19,T_SelfStock_Log[WeekIndex],38))</f>
        <v/>
      </c>
      <c r="AN19" s="19">
        <f>IF(COUNTIFS(T_SelfStock_Log[Part Name],$A19,T_SelfStock_Log[WeekIndex],39)=0,"",SUMIFS(T_SelfStock_Log[Self_Qty],T_SelfStock_Log[Part Name],$A19,T_SelfStock_Log[WeekIndex],39))</f>
        <v/>
      </c>
      <c r="AO19" s="19">
        <f>IF(COUNTIFS(T_SelfStock_Log[Part Name],$A19,T_SelfStock_Log[WeekIndex],40)=0,"",SUMIFS(T_SelfStock_Log[Self_Qty],T_SelfStock_Log[Part Name],$A19,T_SelfStock_Log[WeekIndex],40))</f>
        <v/>
      </c>
      <c r="AP19" s="19">
        <f>IF(COUNTIFS(T_SelfStock_Log[Part Name],$A19,T_SelfStock_Log[WeekIndex],41)=0,"",SUMIFS(T_SelfStock_Log[Self_Qty],T_SelfStock_Log[Part Name],$A19,T_SelfStock_Log[WeekIndex],41))</f>
        <v/>
      </c>
      <c r="AQ19" s="19">
        <f>IF(COUNTIFS(T_SelfStock_Log[Part Name],$A19,T_SelfStock_Log[WeekIndex],42)=0,"",SUMIFS(T_SelfStock_Log[Self_Qty],T_SelfStock_Log[Part Name],$A19,T_SelfStock_Log[WeekIndex],42))</f>
        <v/>
      </c>
      <c r="AR19" s="19">
        <f>IF(COUNTIFS(T_SelfStock_Log[Part Name],$A19,T_SelfStock_Log[WeekIndex],43)=0,"",SUMIFS(T_SelfStock_Log[Self_Qty],T_SelfStock_Log[Part Name],$A19,T_SelfStock_Log[WeekIndex],43))</f>
        <v/>
      </c>
      <c r="AS19" s="19">
        <f>IF(COUNTIFS(T_SelfStock_Log[Part Name],$A19,T_SelfStock_Log[WeekIndex],44)=0,"",SUMIFS(T_SelfStock_Log[Self_Qty],T_SelfStock_Log[Part Name],$A19,T_SelfStock_Log[WeekIndex],44))</f>
        <v/>
      </c>
      <c r="AT19" s="19">
        <f>IF(COUNTIFS(T_SelfStock_Log[Part Name],$A19,T_SelfStock_Log[WeekIndex],45)=0,"",SUMIFS(T_SelfStock_Log[Self_Qty],T_SelfStock_Log[Part Name],$A19,T_SelfStock_Log[WeekIndex],45))</f>
        <v/>
      </c>
      <c r="AU19" s="19">
        <f>IF(COUNTIFS(T_SelfStock_Log[Part Name],$A19,T_SelfStock_Log[WeekIndex],46)=0,"",SUMIFS(T_SelfStock_Log[Self_Qty],T_SelfStock_Log[Part Name],$A19,T_SelfStock_Log[WeekIndex],46))</f>
        <v/>
      </c>
      <c r="AV19" s="19">
        <f>IF(COUNTIFS(T_SelfStock_Log[Part Name],$A19,T_SelfStock_Log[WeekIndex],47)=0,"",SUMIFS(T_SelfStock_Log[Self_Qty],T_SelfStock_Log[Part Name],$A19,T_SelfStock_Log[WeekIndex],47))</f>
        <v/>
      </c>
      <c r="AW19" s="19">
        <f>IF(COUNTIFS(T_SelfStock_Log[Part Name],$A19,T_SelfStock_Log[WeekIndex],48)=0,"",SUMIFS(T_SelfStock_Log[Self_Qty],T_SelfStock_Log[Part Name],$A19,T_SelfStock_Log[WeekIndex],48))</f>
        <v/>
      </c>
      <c r="AX19" s="19">
        <f>IF(COUNTIFS(T_SelfStock_Log[Part Name],$A19,T_SelfStock_Log[WeekIndex],49)=0,"",SUMIFS(T_SelfStock_Log[Self_Qty],T_SelfStock_Log[Part Name],$A19,T_SelfStock_Log[WeekIndex],49))</f>
        <v/>
      </c>
      <c r="AY19" s="19">
        <f>IF(COUNTIFS(T_SelfStock_Log[Part Name],$A19,T_SelfStock_Log[WeekIndex],50)=0,"",SUMIFS(T_SelfStock_Log[Self_Qty],T_SelfStock_Log[Part Name],$A19,T_SelfStock_Log[WeekIndex],50))</f>
        <v/>
      </c>
      <c r="AZ19" s="19">
        <f>IF(COUNTIFS(T_SelfStock_Log[Part Name],$A19,T_SelfStock_Log[WeekIndex],51)=0,"",SUMIFS(T_SelfStock_Log[Self_Qty],T_SelfStock_Log[Part Name],$A19,T_SelfStock_Log[WeekIndex],51))</f>
        <v/>
      </c>
      <c r="BA19" s="19">
        <f>IF(COUNTIFS(T_SelfStock_Log[Part Name],$A19,T_SelfStock_Log[WeekIndex],52)=0,"",SUMIFS(T_SelfStock_Log[Self_Qty],T_SelfStock_Log[Part Name],$A19,T_SelfStock_Log[WeekIndex],52))</f>
        <v/>
      </c>
      <c r="BB19" s="19">
        <f>IF(COUNTIFS(T_SelfStock_Log[Part Name],$A19,T_SelfStock_Log[WeekIndex],53)=0,"",SUMIFS(T_SelfStock_Log[Self_Qty],T_SelfStock_Log[Part Name],$A19,T_SelfStock_Log[WeekIndex],53))</f>
        <v/>
      </c>
      <c r="BC19" s="19">
        <f>IF(COUNTIFS(T_SelfStock_Log[Part Name],$A19,T_SelfStock_Log[WeekIndex],54)=0,"",SUMIFS(T_SelfStock_Log[Self_Qty],T_SelfStock_Log[Part Name],$A19,T_SelfStock_Log[WeekIndex],54))</f>
        <v/>
      </c>
      <c r="BD19" s="19">
        <f>IF(COUNTIFS(T_SelfStock_Log[Part Name],$A19,T_SelfStock_Log[WeekIndex],55)=0,"",SUMIFS(T_SelfStock_Log[Self_Qty],T_SelfStock_Log[Part Name],$A19,T_SelfStock_Log[WeekIndex],55))</f>
        <v/>
      </c>
      <c r="BE19" s="19">
        <f>IF(COUNTIFS(T_SelfStock_Log[Part Name],$A19,T_SelfStock_Log[WeekIndex],56)=0,"",SUMIFS(T_SelfStock_Log[Self_Qty],T_SelfStock_Log[Part Name],$A19,T_SelfStock_Log[WeekIndex],56))</f>
        <v/>
      </c>
      <c r="BF19" s="19">
        <f>IF(COUNTIFS(T_SelfStock_Log[Part Name],$A19,T_SelfStock_Log[WeekIndex],57)=0,"",SUMIFS(T_SelfStock_Log[Self_Qty],T_SelfStock_Log[Part Name],$A19,T_SelfStock_Log[WeekIndex],57))</f>
        <v/>
      </c>
      <c r="BG19" s="19">
        <f>IF(COUNTIFS(T_SelfStock_Log[Part Name],$A19,T_SelfStock_Log[WeekIndex],58)=0,"",SUMIFS(T_SelfStock_Log[Self_Qty],T_SelfStock_Log[Part Name],$A19,T_SelfStock_Log[WeekIndex],58))</f>
        <v/>
      </c>
      <c r="BH19" s="19">
        <f>IF(COUNTIFS(T_SelfStock_Log[Part Name],$A19,T_SelfStock_Log[WeekIndex],59)=0,"",SUMIFS(T_SelfStock_Log[Self_Qty],T_SelfStock_Log[Part Name],$A19,T_SelfStock_Log[WeekIndex],59))</f>
        <v/>
      </c>
      <c r="BI19" s="19">
        <f>IF(COUNTIFS(T_SelfStock_Log[Part Name],$A19,T_SelfStock_Log[WeekIndex],60)=0,"",SUMIFS(T_SelfStock_Log[Self_Qty],T_SelfStock_Log[Part Name],$A19,T_SelfStock_Log[WeekIndex],60))</f>
        <v/>
      </c>
      <c r="BJ19" s="19">
        <f>IF(COUNTIFS(T_SelfStock_Log[Part Name],$A19,T_SelfStock_Log[WeekIndex],61)=0,"",SUMIFS(T_SelfStock_Log[Self_Qty],T_SelfStock_Log[Part Name],$A19,T_SelfStock_Log[WeekIndex],61))</f>
        <v/>
      </c>
      <c r="BK19" s="19">
        <f>IF(COUNTIFS(T_SelfStock_Log[Part Name],$A19,T_SelfStock_Log[WeekIndex],62)=0,"",SUMIFS(T_SelfStock_Log[Self_Qty],T_SelfStock_Log[Part Name],$A19,T_SelfStock_Log[WeekIndex],62))</f>
        <v/>
      </c>
      <c r="BL19" s="19">
        <f>IF(COUNTIFS(T_SelfStock_Log[Part Name],$A19,T_SelfStock_Log[WeekIndex],63)=0,"",SUMIFS(T_SelfStock_Log[Self_Qty],T_SelfStock_Log[Part Name],$A19,T_SelfStock_Log[WeekIndex],63))</f>
        <v/>
      </c>
      <c r="BM19" s="19">
        <f>IF(COUNTIFS(T_SelfStock_Log[Part Name],$A19,T_SelfStock_Log[WeekIndex],64)=0,"",SUMIFS(T_SelfStock_Log[Self_Qty],T_SelfStock_Log[Part Name],$A19,T_SelfStock_Log[WeekIndex],64))</f>
        <v/>
      </c>
      <c r="BN19" s="19">
        <f>IF(COUNTIFS(T_SelfStock_Log[Part Name],$A19,T_SelfStock_Log[WeekIndex],65)=0,"",SUMIFS(T_SelfStock_Log[Self_Qty],T_SelfStock_Log[Part Name],$A19,T_SelfStock_Log[WeekIndex],65))</f>
        <v/>
      </c>
      <c r="BO19" s="19">
        <f>IF(COUNTIFS(T_SelfStock_Log[Part Name],$A19,T_SelfStock_Log[WeekIndex],66)=0,"",SUMIFS(T_SelfStock_Log[Self_Qty],T_SelfStock_Log[Part Name],$A19,T_SelfStock_Log[WeekIndex],66))</f>
        <v/>
      </c>
      <c r="BP19" s="19">
        <f>IF(COUNTIFS(T_SelfStock_Log[Part Name],$A19,T_SelfStock_Log[WeekIndex],67)=0,"",SUMIFS(T_SelfStock_Log[Self_Qty],T_SelfStock_Log[Part Name],$A19,T_SelfStock_Log[WeekIndex],67))</f>
        <v/>
      </c>
      <c r="BQ19" s="19">
        <f>IF(COUNTIFS(T_SelfStock_Log[Part Name],$A19,T_SelfStock_Log[WeekIndex],68)=0,"",SUMIFS(T_SelfStock_Log[Self_Qty],T_SelfStock_Log[Part Name],$A19,T_SelfStock_Log[WeekIndex],68))</f>
        <v/>
      </c>
      <c r="BR19" s="19">
        <f>IF(COUNTIFS(T_SelfStock_Log[Part Name],$A19,T_SelfStock_Log[WeekIndex],69)=0,"",SUMIFS(T_SelfStock_Log[Self_Qty],T_SelfStock_Log[Part Name],$A19,T_SelfStock_Log[WeekIndex],69))</f>
        <v/>
      </c>
      <c r="BS19" s="19">
        <f>IF(COUNTIFS(T_SelfStock_Log[Part Name],$A19,T_SelfStock_Log[WeekIndex],70)=0,"",SUMIFS(T_SelfStock_Log[Self_Qty],T_SelfStock_Log[Part Name],$A19,T_SelfStock_Log[WeekIndex],70))</f>
        <v/>
      </c>
      <c r="BT19" s="19">
        <f>IF(COUNTIFS(T_SelfStock_Log[Part Name],$A19,T_SelfStock_Log[WeekIndex],71)=0,"",SUMIFS(T_SelfStock_Log[Self_Qty],T_SelfStock_Log[Part Name],$A19,T_SelfStock_Log[WeekIndex],71))</f>
        <v/>
      </c>
      <c r="BU19" s="19">
        <f>IF(COUNTIFS(T_SelfStock_Log[Part Name],$A19,T_SelfStock_Log[WeekIndex],72)=0,"",SUMIFS(T_SelfStock_Log[Self_Qty],T_SelfStock_Log[Part Name],$A19,T_SelfStock_Log[WeekIndex],72))</f>
        <v/>
      </c>
      <c r="BV19" s="19">
        <f>IF(COUNTIFS(T_SelfStock_Log[Part Name],$A19,T_SelfStock_Log[WeekIndex],73)=0,"",SUMIFS(T_SelfStock_Log[Self_Qty],T_SelfStock_Log[Part Name],$A19,T_SelfStock_Log[WeekIndex],73))</f>
        <v/>
      </c>
      <c r="BW19" s="19">
        <f>IF(COUNTIFS(T_SelfStock_Log[Part Name],$A19,T_SelfStock_Log[WeekIndex],74)=0,"",SUMIFS(T_SelfStock_Log[Self_Qty],T_SelfStock_Log[Part Name],$A19,T_SelfStock_Log[WeekIndex],74))</f>
        <v/>
      </c>
      <c r="BX19" s="19">
        <f>IF(COUNTIFS(T_SelfStock_Log[Part Name],$A19,T_SelfStock_Log[WeekIndex],75)=0,"",SUMIFS(T_SelfStock_Log[Self_Qty],T_SelfStock_Log[Part Name],$A19,T_SelfStock_Log[WeekIndex],75))</f>
        <v/>
      </c>
      <c r="BY19" s="19">
        <f>IF(COUNTIFS(T_SelfStock_Log[Part Name],$A19,T_SelfStock_Log[WeekIndex],76)=0,"",SUMIFS(T_SelfStock_Log[Self_Qty],T_SelfStock_Log[Part Name],$A19,T_SelfStock_Log[WeekIndex],76))</f>
        <v/>
      </c>
      <c r="BZ19" s="19">
        <f>IF(COUNTIFS(T_SelfStock_Log[Part Name],$A19,T_SelfStock_Log[WeekIndex],77)=0,"",SUMIFS(T_SelfStock_Log[Self_Qty],T_SelfStock_Log[Part Name],$A19,T_SelfStock_Log[WeekIndex],77))</f>
        <v/>
      </c>
      <c r="CA19" s="19">
        <f>IF(COUNTIFS(T_SelfStock_Log[Part Name],$A19,T_SelfStock_Log[WeekIndex],78)=0,"",SUMIFS(T_SelfStock_Log[Self_Qty],T_SelfStock_Log[Part Name],$A19,T_SelfStock_Log[WeekIndex],78))</f>
        <v/>
      </c>
      <c r="CB19" s="19">
        <f>IF(COUNTIFS(T_SelfStock_Log[Part Name],$A19,T_SelfStock_Log[WeekIndex],79)=0,"",SUMIFS(T_SelfStock_Log[Self_Qty],T_SelfStock_Log[Part Name],$A19,T_SelfStock_Log[WeekIndex],79))</f>
        <v/>
      </c>
      <c r="CC19" s="19">
        <f>IF(COUNTIFS(T_SelfStock_Log[Part Name],$A19,T_SelfStock_Log[WeekIndex],80)=0,"",SUMIFS(T_SelfStock_Log[Self_Qty],T_SelfStock_Log[Part Name],$A19,T_SelfStock_Log[WeekIndex],80))</f>
        <v/>
      </c>
      <c r="CD19" s="19">
        <f>IF(COUNTIFS(T_SelfStock_Log[Part Name],$A19,T_SelfStock_Log[WeekIndex],81)=0,"",SUMIFS(T_SelfStock_Log[Self_Qty],T_SelfStock_Log[Part Name],$A19,T_SelfStock_Log[WeekIndex],81))</f>
        <v/>
      </c>
      <c r="CE19" s="19">
        <f>IF(COUNTIFS(T_SelfStock_Log[Part Name],$A19,T_SelfStock_Log[WeekIndex],82)=0,"",SUMIFS(T_SelfStock_Log[Self_Qty],T_SelfStock_Log[Part Name],$A19,T_SelfStock_Log[WeekIndex],82))</f>
        <v/>
      </c>
      <c r="CF19" s="19">
        <f>IF(COUNTIFS(T_SelfStock_Log[Part Name],$A19,T_SelfStock_Log[WeekIndex],83)=0,"",SUMIFS(T_SelfStock_Log[Self_Qty],T_SelfStock_Log[Part Name],$A19,T_SelfStock_Log[WeekIndex],83))</f>
        <v/>
      </c>
      <c r="CG19" s="19">
        <f>IF(COUNTIFS(T_SelfStock_Log[Part Name],$A19,T_SelfStock_Log[WeekIndex],84)=0,"",SUMIFS(T_SelfStock_Log[Self_Qty],T_SelfStock_Log[Part Name],$A19,T_SelfStock_Log[WeekIndex],84))</f>
        <v/>
      </c>
      <c r="CH19" s="19">
        <f>IF(COUNTIFS(T_SelfStock_Log[Part Name],$A19,T_SelfStock_Log[WeekIndex],85)=0,"",SUMIFS(T_SelfStock_Log[Self_Qty],T_SelfStock_Log[Part Name],$A19,T_SelfStock_Log[WeekIndex],85))</f>
        <v/>
      </c>
      <c r="CI19" s="19">
        <f>IF(COUNTIFS(T_SelfStock_Log[Part Name],$A19,T_SelfStock_Log[WeekIndex],86)=0,"",SUMIFS(T_SelfStock_Log[Self_Qty],T_SelfStock_Log[Part Name],$A19,T_SelfStock_Log[WeekIndex],86))</f>
        <v/>
      </c>
      <c r="CJ19" s="19">
        <f>IF(COUNTIFS(T_SelfStock_Log[Part Name],$A19,T_SelfStock_Log[WeekIndex],87)=0,"",SUMIFS(T_SelfStock_Log[Self_Qty],T_SelfStock_Log[Part Name],$A19,T_SelfStock_Log[WeekIndex],87))</f>
        <v/>
      </c>
      <c r="CK19" s="19">
        <f>IF(COUNTIFS(T_SelfStock_Log[Part Name],$A19,T_SelfStock_Log[WeekIndex],88)=0,"",SUMIFS(T_SelfStock_Log[Self_Qty],T_SelfStock_Log[Part Name],$A19,T_SelfStock_Log[WeekIndex],88))</f>
        <v/>
      </c>
      <c r="CL19" s="19">
        <f>IF(COUNTIFS(T_SelfStock_Log[Part Name],$A19,T_SelfStock_Log[WeekIndex],89)=0,"",SUMIFS(T_SelfStock_Log[Self_Qty],T_SelfStock_Log[Part Name],$A19,T_SelfStock_Log[WeekIndex],89))</f>
        <v/>
      </c>
      <c r="CM19" s="19">
        <f>IF(COUNTIFS(T_SelfStock_Log[Part Name],$A19,T_SelfStock_Log[WeekIndex],90)=0,"",SUMIFS(T_SelfStock_Log[Self_Qty],T_SelfStock_Log[Part Name],$A19,T_SelfStock_Log[WeekIndex],90))</f>
        <v/>
      </c>
      <c r="CN19" s="19">
        <f>IF(COUNTIFS(T_SelfStock_Log[Part Name],$A19,T_SelfStock_Log[WeekIndex],91)=0,"",SUMIFS(T_SelfStock_Log[Self_Qty],T_SelfStock_Log[Part Name],$A19,T_SelfStock_Log[WeekIndex],91))</f>
        <v/>
      </c>
      <c r="CO19" s="19">
        <f>IF(COUNTIFS(T_SelfStock_Log[Part Name],$A19,T_SelfStock_Log[WeekIndex],92)=0,"",SUMIFS(T_SelfStock_Log[Self_Qty],T_SelfStock_Log[Part Name],$A19,T_SelfStock_Log[WeekIndex],92))</f>
        <v/>
      </c>
      <c r="CP19" s="19">
        <f>IF(COUNTIFS(T_SelfStock_Log[Part Name],$A19,T_SelfStock_Log[WeekIndex],93)=0,"",SUMIFS(T_SelfStock_Log[Self_Qty],T_SelfStock_Log[Part Name],$A19,T_SelfStock_Log[WeekIndex],93))</f>
        <v/>
      </c>
      <c r="CQ19" s="19">
        <f>IF(COUNTIFS(T_SelfStock_Log[Part Name],$A19,T_SelfStock_Log[WeekIndex],94)=0,"",SUMIFS(T_SelfStock_Log[Self_Qty],T_SelfStock_Log[Part Name],$A19,T_SelfStock_Log[WeekIndex],94))</f>
        <v/>
      </c>
      <c r="CR19" s="19">
        <f>IF(COUNTIFS(T_SelfStock_Log[Part Name],$A19,T_SelfStock_Log[WeekIndex],95)=0,"",SUMIFS(T_SelfStock_Log[Self_Qty],T_SelfStock_Log[Part Name],$A19,T_SelfStock_Log[WeekIndex],95))</f>
        <v/>
      </c>
      <c r="CS19" s="19">
        <f>IF(COUNTIFS(T_SelfStock_Log[Part Name],$A19,T_SelfStock_Log[WeekIndex],96)=0,"",SUMIFS(T_SelfStock_Log[Self_Qty],T_SelfStock_Log[Part Name],$A19,T_SelfStock_Log[WeekIndex],96))</f>
        <v/>
      </c>
      <c r="CT19" s="19">
        <f>IF(COUNTIFS(T_SelfStock_Log[Part Name],$A19,T_SelfStock_Log[WeekIndex],97)=0,"",SUMIFS(T_SelfStock_Log[Self_Qty],T_SelfStock_Log[Part Name],$A19,T_SelfStock_Log[WeekIndex],97))</f>
        <v/>
      </c>
      <c r="CU19" s="19">
        <f>IF(COUNTIFS(T_SelfStock_Log[Part Name],$A19,T_SelfStock_Log[WeekIndex],98)=0,"",SUMIFS(T_SelfStock_Log[Self_Qty],T_SelfStock_Log[Part Name],$A19,T_SelfStock_Log[WeekIndex],98))</f>
        <v/>
      </c>
      <c r="CV19" s="19">
        <f>IF(COUNTIFS(T_SelfStock_Log[Part Name],$A19,T_SelfStock_Log[WeekIndex],99)=0,"",SUMIFS(T_SelfStock_Log[Self_Qty],T_SelfStock_Log[Part Name],$A19,T_SelfStock_Log[WeekIndex],99))</f>
        <v/>
      </c>
      <c r="CW19" s="19">
        <f>IF(COUNTIFS(T_SelfStock_Log[Part Name],$A19,T_SelfStock_Log[WeekIndex],100)=0,"",SUMIFS(T_SelfStock_Log[Self_Qty],T_SelfStock_Log[Part Name],$A19,T_SelfStock_Log[WeekIndex],100))</f>
        <v/>
      </c>
      <c r="CX19" s="19">
        <f>IF(COUNTIFS(T_SelfStock_Log[Part Name],$A19,T_SelfStock_Log[WeekIndex],101)=0,"",SUMIFS(T_SelfStock_Log[Self_Qty],T_SelfStock_Log[Part Name],$A19,T_SelfStock_Log[WeekIndex],101))</f>
        <v/>
      </c>
      <c r="CY19" s="19">
        <f>IF(COUNTIFS(T_SelfStock_Log[Part Name],$A19,T_SelfStock_Log[WeekIndex],102)=0,"",SUMIFS(T_SelfStock_Log[Self_Qty],T_SelfStock_Log[Part Name],$A19,T_SelfStock_Log[WeekIndex],102))</f>
        <v/>
      </c>
      <c r="CZ19" s="19">
        <f>IF(COUNTIFS(T_SelfStock_Log[Part Name],$A19,T_SelfStock_Log[WeekIndex],103)=0,"",SUMIFS(T_SelfStock_Log[Self_Qty],T_SelfStock_Log[Part Name],$A19,T_SelfStock_Log[WeekIndex],103))</f>
        <v/>
      </c>
      <c r="DA19" s="19">
        <f>IF(COUNTIFS(T_SelfStock_Log[Part Name],$A19,T_SelfStock_Log[WeekIndex],104)=0,"",SUMIFS(T_SelfStock_Log[Self_Qty],T_SelfStock_Log[Part Name],$A19,T_SelfStock_Log[WeekIndex],104))</f>
        <v/>
      </c>
    </row>
    <row r="20">
      <c r="A20" s="17" t="inlineStr">
        <is>
          <t>8EN</t>
        </is>
      </c>
      <c r="B20" s="17">
        <f>IF(COUNTIFS(T_SelfStock_Log[Part Name],$A20,T_SelfStock_Log[WeekIndex],1)=0,"",SUMIFS(T_SelfStock_Log[Self_Qty],T_SelfStock_Log[Part Name],$A20,T_SelfStock_Log[WeekIndex],1))</f>
        <v/>
      </c>
      <c r="C20" s="17">
        <f>IF(COUNTIFS(T_SelfStock_Log[Part Name],$A20,T_SelfStock_Log[WeekIndex],2)=0,"",SUMIFS(T_SelfStock_Log[Self_Qty],T_SelfStock_Log[Part Name],$A20,T_SelfStock_Log[WeekIndex],2))</f>
        <v/>
      </c>
      <c r="D20" s="17">
        <f>IF(COUNTIFS(T_SelfStock_Log[Part Name],$A20,T_SelfStock_Log[WeekIndex],3)=0,"",SUMIFS(T_SelfStock_Log[Self_Qty],T_SelfStock_Log[Part Name],$A20,T_SelfStock_Log[WeekIndex],3))</f>
        <v/>
      </c>
      <c r="E20" s="17">
        <f>IF(COUNTIFS(T_SelfStock_Log[Part Name],$A20,T_SelfStock_Log[WeekIndex],4)=0,"",SUMIFS(T_SelfStock_Log[Self_Qty],T_SelfStock_Log[Part Name],$A20,T_SelfStock_Log[WeekIndex],4))</f>
        <v/>
      </c>
      <c r="F20" s="17">
        <f>IF(COUNTIFS(T_SelfStock_Log[Part Name],$A20,T_SelfStock_Log[WeekIndex],5)=0,"",SUMIFS(T_SelfStock_Log[Self_Qty],T_SelfStock_Log[Part Name],$A20,T_SelfStock_Log[WeekIndex],5))</f>
        <v/>
      </c>
      <c r="G20" s="17">
        <f>IF(COUNTIFS(T_SelfStock_Log[Part Name],$A20,T_SelfStock_Log[WeekIndex],6)=0,"",SUMIFS(T_SelfStock_Log[Self_Qty],T_SelfStock_Log[Part Name],$A20,T_SelfStock_Log[WeekIndex],6))</f>
        <v/>
      </c>
      <c r="H20" s="17">
        <f>IF(COUNTIFS(T_SelfStock_Log[Part Name],$A20,T_SelfStock_Log[WeekIndex],7)=0,"",SUMIFS(T_SelfStock_Log[Self_Qty],T_SelfStock_Log[Part Name],$A20,T_SelfStock_Log[WeekIndex],7))</f>
        <v/>
      </c>
      <c r="I20" s="17">
        <f>IF(COUNTIFS(T_SelfStock_Log[Part Name],$A20,T_SelfStock_Log[WeekIndex],8)=0,"",SUMIFS(T_SelfStock_Log[Self_Qty],T_SelfStock_Log[Part Name],$A20,T_SelfStock_Log[WeekIndex],8))</f>
        <v/>
      </c>
      <c r="J20" s="17">
        <f>IF(COUNTIFS(T_SelfStock_Log[Part Name],$A20,T_SelfStock_Log[WeekIndex],9)=0,"",SUMIFS(T_SelfStock_Log[Self_Qty],T_SelfStock_Log[Part Name],$A20,T_SelfStock_Log[WeekIndex],9))</f>
        <v/>
      </c>
      <c r="K20" s="17">
        <f>IF(COUNTIFS(T_SelfStock_Log[Part Name],$A20,T_SelfStock_Log[WeekIndex],10)=0,"",SUMIFS(T_SelfStock_Log[Self_Qty],T_SelfStock_Log[Part Name],$A20,T_SelfStock_Log[WeekIndex],10))</f>
        <v/>
      </c>
      <c r="L20" s="17">
        <f>IF(COUNTIFS(T_SelfStock_Log[Part Name],$A20,T_SelfStock_Log[WeekIndex],11)=0,"",SUMIFS(T_SelfStock_Log[Self_Qty],T_SelfStock_Log[Part Name],$A20,T_SelfStock_Log[WeekIndex],11))</f>
        <v/>
      </c>
      <c r="M20" s="17">
        <f>IF(COUNTIFS(T_SelfStock_Log[Part Name],$A20,T_SelfStock_Log[WeekIndex],12)=0,"",SUMIFS(T_SelfStock_Log[Self_Qty],T_SelfStock_Log[Part Name],$A20,T_SelfStock_Log[WeekIndex],12))</f>
        <v/>
      </c>
      <c r="N20" s="17">
        <f>IF(COUNTIFS(T_SelfStock_Log[Part Name],$A20,T_SelfStock_Log[WeekIndex],13)=0,"",SUMIFS(T_SelfStock_Log[Self_Qty],T_SelfStock_Log[Part Name],$A20,T_SelfStock_Log[WeekIndex],13))</f>
        <v/>
      </c>
      <c r="O20" s="17">
        <f>IF(COUNTIFS(T_SelfStock_Log[Part Name],$A20,T_SelfStock_Log[WeekIndex],14)=0,"",SUMIFS(T_SelfStock_Log[Self_Qty],T_SelfStock_Log[Part Name],$A20,T_SelfStock_Log[WeekIndex],14))</f>
        <v/>
      </c>
      <c r="P20" s="17">
        <f>IF(COUNTIFS(T_SelfStock_Log[Part Name],$A20,T_SelfStock_Log[WeekIndex],15)=0,"",SUMIFS(T_SelfStock_Log[Self_Qty],T_SelfStock_Log[Part Name],$A20,T_SelfStock_Log[WeekIndex],15))</f>
        <v/>
      </c>
      <c r="Q20" s="17">
        <f>IF(COUNTIFS(T_SelfStock_Log[Part Name],$A20,T_SelfStock_Log[WeekIndex],16)=0,"",SUMIFS(T_SelfStock_Log[Self_Qty],T_SelfStock_Log[Part Name],$A20,T_SelfStock_Log[WeekIndex],16))</f>
        <v/>
      </c>
      <c r="R20" s="17">
        <f>IF(COUNTIFS(T_SelfStock_Log[Part Name],$A20,T_SelfStock_Log[WeekIndex],17)=0,"",SUMIFS(T_SelfStock_Log[Self_Qty],T_SelfStock_Log[Part Name],$A20,T_SelfStock_Log[WeekIndex],17))</f>
        <v/>
      </c>
      <c r="S20" s="17">
        <f>IF(COUNTIFS(T_SelfStock_Log[Part Name],$A20,T_SelfStock_Log[WeekIndex],18)=0,"",SUMIFS(T_SelfStock_Log[Self_Qty],T_SelfStock_Log[Part Name],$A20,T_SelfStock_Log[WeekIndex],18))</f>
        <v/>
      </c>
      <c r="T20" s="17">
        <f>IF(COUNTIFS(T_SelfStock_Log[Part Name],$A20,T_SelfStock_Log[WeekIndex],19)=0,"",SUMIFS(T_SelfStock_Log[Self_Qty],T_SelfStock_Log[Part Name],$A20,T_SelfStock_Log[WeekIndex],19))</f>
        <v/>
      </c>
      <c r="U20" s="17">
        <f>IF(COUNTIFS(T_SelfStock_Log[Part Name],$A20,T_SelfStock_Log[WeekIndex],20)=0,"",SUMIFS(T_SelfStock_Log[Self_Qty],T_SelfStock_Log[Part Name],$A20,T_SelfStock_Log[WeekIndex],20))</f>
        <v/>
      </c>
      <c r="V20" s="17">
        <f>IF(COUNTIFS(T_SelfStock_Log[Part Name],$A20,T_SelfStock_Log[WeekIndex],21)=0,"",SUMIFS(T_SelfStock_Log[Self_Qty],T_SelfStock_Log[Part Name],$A20,T_SelfStock_Log[WeekIndex],21))</f>
        <v/>
      </c>
      <c r="W20" s="17">
        <f>IF(COUNTIFS(T_SelfStock_Log[Part Name],$A20,T_SelfStock_Log[WeekIndex],22)=0,"",SUMIFS(T_SelfStock_Log[Self_Qty],T_SelfStock_Log[Part Name],$A20,T_SelfStock_Log[WeekIndex],22))</f>
        <v/>
      </c>
      <c r="X20" s="17">
        <f>IF(COUNTIFS(T_SelfStock_Log[Part Name],$A20,T_SelfStock_Log[WeekIndex],23)=0,"",SUMIFS(T_SelfStock_Log[Self_Qty],T_SelfStock_Log[Part Name],$A20,T_SelfStock_Log[WeekIndex],23))</f>
        <v/>
      </c>
      <c r="Y20" s="17">
        <f>IF(COUNTIFS(T_SelfStock_Log[Part Name],$A20,T_SelfStock_Log[WeekIndex],24)=0,"",SUMIFS(T_SelfStock_Log[Self_Qty],T_SelfStock_Log[Part Name],$A20,T_SelfStock_Log[WeekIndex],24))</f>
        <v/>
      </c>
      <c r="Z20" s="17">
        <f>IF(COUNTIFS(T_SelfStock_Log[Part Name],$A20,T_SelfStock_Log[WeekIndex],25)=0,"",SUMIFS(T_SelfStock_Log[Self_Qty],T_SelfStock_Log[Part Name],$A20,T_SelfStock_Log[WeekIndex],25))</f>
        <v/>
      </c>
      <c r="AA20" s="17">
        <f>IF(COUNTIFS(T_SelfStock_Log[Part Name],$A20,T_SelfStock_Log[WeekIndex],26)=0,"",SUMIFS(T_SelfStock_Log[Self_Qty],T_SelfStock_Log[Part Name],$A20,T_SelfStock_Log[WeekIndex],26))</f>
        <v/>
      </c>
      <c r="AB20" s="17">
        <f>IF(COUNTIFS(T_SelfStock_Log[Part Name],$A20,T_SelfStock_Log[WeekIndex],27)=0,"",SUMIFS(T_SelfStock_Log[Self_Qty],T_SelfStock_Log[Part Name],$A20,T_SelfStock_Log[WeekIndex],27))</f>
        <v/>
      </c>
      <c r="AC20" s="17">
        <f>IF(COUNTIFS(T_SelfStock_Log[Part Name],$A20,T_SelfStock_Log[WeekIndex],28)=0,"",SUMIFS(T_SelfStock_Log[Self_Qty],T_SelfStock_Log[Part Name],$A20,T_SelfStock_Log[WeekIndex],28))</f>
        <v/>
      </c>
      <c r="AD20" s="17">
        <f>IF(COUNTIFS(T_SelfStock_Log[Part Name],$A20,T_SelfStock_Log[WeekIndex],29)=0,"",SUMIFS(T_SelfStock_Log[Self_Qty],T_SelfStock_Log[Part Name],$A20,T_SelfStock_Log[WeekIndex],29))</f>
        <v/>
      </c>
      <c r="AE20" s="17">
        <f>IF(COUNTIFS(T_SelfStock_Log[Part Name],$A20,T_SelfStock_Log[WeekIndex],30)=0,"",SUMIFS(T_SelfStock_Log[Self_Qty],T_SelfStock_Log[Part Name],$A20,T_SelfStock_Log[WeekIndex],30))</f>
        <v/>
      </c>
      <c r="AF20" s="17">
        <f>IF(COUNTIFS(T_SelfStock_Log[Part Name],$A20,T_SelfStock_Log[WeekIndex],31)=0,"",SUMIFS(T_SelfStock_Log[Self_Qty],T_SelfStock_Log[Part Name],$A20,T_SelfStock_Log[WeekIndex],31))</f>
        <v/>
      </c>
      <c r="AG20" s="17">
        <f>IF(COUNTIFS(T_SelfStock_Log[Part Name],$A20,T_SelfStock_Log[WeekIndex],32)=0,"",SUMIFS(T_SelfStock_Log[Self_Qty],T_SelfStock_Log[Part Name],$A20,T_SelfStock_Log[WeekIndex],32))</f>
        <v/>
      </c>
      <c r="AH20" s="17">
        <f>IF(COUNTIFS(T_SelfStock_Log[Part Name],$A20,T_SelfStock_Log[WeekIndex],33)=0,"",SUMIFS(T_SelfStock_Log[Self_Qty],T_SelfStock_Log[Part Name],$A20,T_SelfStock_Log[WeekIndex],33))</f>
        <v/>
      </c>
      <c r="AI20" s="17">
        <f>IF(COUNTIFS(T_SelfStock_Log[Part Name],$A20,T_SelfStock_Log[WeekIndex],34)=0,"",SUMIFS(T_SelfStock_Log[Self_Qty],T_SelfStock_Log[Part Name],$A20,T_SelfStock_Log[WeekIndex],34))</f>
        <v/>
      </c>
      <c r="AJ20" s="17">
        <f>IF(COUNTIFS(T_SelfStock_Log[Part Name],$A20,T_SelfStock_Log[WeekIndex],35)=0,"",SUMIFS(T_SelfStock_Log[Self_Qty],T_SelfStock_Log[Part Name],$A20,T_SelfStock_Log[WeekIndex],35))</f>
        <v/>
      </c>
      <c r="AK20" s="17">
        <f>IF(COUNTIFS(T_SelfStock_Log[Part Name],$A20,T_SelfStock_Log[WeekIndex],36)=0,"",SUMIFS(T_SelfStock_Log[Self_Qty],T_SelfStock_Log[Part Name],$A20,T_SelfStock_Log[WeekIndex],36))</f>
        <v/>
      </c>
      <c r="AL20" s="17">
        <f>IF(COUNTIFS(T_SelfStock_Log[Part Name],$A20,T_SelfStock_Log[WeekIndex],37)=0,"",SUMIFS(T_SelfStock_Log[Self_Qty],T_SelfStock_Log[Part Name],$A20,T_SelfStock_Log[WeekIndex],37))</f>
        <v/>
      </c>
      <c r="AM20" s="17">
        <f>IF(COUNTIFS(T_SelfStock_Log[Part Name],$A20,T_SelfStock_Log[WeekIndex],38)=0,"",SUMIFS(T_SelfStock_Log[Self_Qty],T_SelfStock_Log[Part Name],$A20,T_SelfStock_Log[WeekIndex],38))</f>
        <v/>
      </c>
      <c r="AN20" s="17">
        <f>IF(COUNTIFS(T_SelfStock_Log[Part Name],$A20,T_SelfStock_Log[WeekIndex],39)=0,"",SUMIFS(T_SelfStock_Log[Self_Qty],T_SelfStock_Log[Part Name],$A20,T_SelfStock_Log[WeekIndex],39))</f>
        <v/>
      </c>
      <c r="AO20" s="17">
        <f>IF(COUNTIFS(T_SelfStock_Log[Part Name],$A20,T_SelfStock_Log[WeekIndex],40)=0,"",SUMIFS(T_SelfStock_Log[Self_Qty],T_SelfStock_Log[Part Name],$A20,T_SelfStock_Log[WeekIndex],40))</f>
        <v/>
      </c>
      <c r="AP20" s="17">
        <f>IF(COUNTIFS(T_SelfStock_Log[Part Name],$A20,T_SelfStock_Log[WeekIndex],41)=0,"",SUMIFS(T_SelfStock_Log[Self_Qty],T_SelfStock_Log[Part Name],$A20,T_SelfStock_Log[WeekIndex],41))</f>
        <v/>
      </c>
      <c r="AQ20" s="17">
        <f>IF(COUNTIFS(T_SelfStock_Log[Part Name],$A20,T_SelfStock_Log[WeekIndex],42)=0,"",SUMIFS(T_SelfStock_Log[Self_Qty],T_SelfStock_Log[Part Name],$A20,T_SelfStock_Log[WeekIndex],42))</f>
        <v/>
      </c>
      <c r="AR20" s="17">
        <f>IF(COUNTIFS(T_SelfStock_Log[Part Name],$A20,T_SelfStock_Log[WeekIndex],43)=0,"",SUMIFS(T_SelfStock_Log[Self_Qty],T_SelfStock_Log[Part Name],$A20,T_SelfStock_Log[WeekIndex],43))</f>
        <v/>
      </c>
      <c r="AS20" s="17">
        <f>IF(COUNTIFS(T_SelfStock_Log[Part Name],$A20,T_SelfStock_Log[WeekIndex],44)=0,"",SUMIFS(T_SelfStock_Log[Self_Qty],T_SelfStock_Log[Part Name],$A20,T_SelfStock_Log[WeekIndex],44))</f>
        <v/>
      </c>
      <c r="AT20" s="17">
        <f>IF(COUNTIFS(T_SelfStock_Log[Part Name],$A20,T_SelfStock_Log[WeekIndex],45)=0,"",SUMIFS(T_SelfStock_Log[Self_Qty],T_SelfStock_Log[Part Name],$A20,T_SelfStock_Log[WeekIndex],45))</f>
        <v/>
      </c>
      <c r="AU20" s="17">
        <f>IF(COUNTIFS(T_SelfStock_Log[Part Name],$A20,T_SelfStock_Log[WeekIndex],46)=0,"",SUMIFS(T_SelfStock_Log[Self_Qty],T_SelfStock_Log[Part Name],$A20,T_SelfStock_Log[WeekIndex],46))</f>
        <v/>
      </c>
      <c r="AV20" s="17">
        <f>IF(COUNTIFS(T_SelfStock_Log[Part Name],$A20,T_SelfStock_Log[WeekIndex],47)=0,"",SUMIFS(T_SelfStock_Log[Self_Qty],T_SelfStock_Log[Part Name],$A20,T_SelfStock_Log[WeekIndex],47))</f>
        <v/>
      </c>
      <c r="AW20" s="17">
        <f>IF(COUNTIFS(T_SelfStock_Log[Part Name],$A20,T_SelfStock_Log[WeekIndex],48)=0,"",SUMIFS(T_SelfStock_Log[Self_Qty],T_SelfStock_Log[Part Name],$A20,T_SelfStock_Log[WeekIndex],48))</f>
        <v/>
      </c>
      <c r="AX20" s="17">
        <f>IF(COUNTIFS(T_SelfStock_Log[Part Name],$A20,T_SelfStock_Log[WeekIndex],49)=0,"",SUMIFS(T_SelfStock_Log[Self_Qty],T_SelfStock_Log[Part Name],$A20,T_SelfStock_Log[WeekIndex],49))</f>
        <v/>
      </c>
      <c r="AY20" s="17">
        <f>IF(COUNTIFS(T_SelfStock_Log[Part Name],$A20,T_SelfStock_Log[WeekIndex],50)=0,"",SUMIFS(T_SelfStock_Log[Self_Qty],T_SelfStock_Log[Part Name],$A20,T_SelfStock_Log[WeekIndex],50))</f>
        <v/>
      </c>
      <c r="AZ20" s="17">
        <f>IF(COUNTIFS(T_SelfStock_Log[Part Name],$A20,T_SelfStock_Log[WeekIndex],51)=0,"",SUMIFS(T_SelfStock_Log[Self_Qty],T_SelfStock_Log[Part Name],$A20,T_SelfStock_Log[WeekIndex],51))</f>
        <v/>
      </c>
      <c r="BA20" s="17">
        <f>IF(COUNTIFS(T_SelfStock_Log[Part Name],$A20,T_SelfStock_Log[WeekIndex],52)=0,"",SUMIFS(T_SelfStock_Log[Self_Qty],T_SelfStock_Log[Part Name],$A20,T_SelfStock_Log[WeekIndex],52))</f>
        <v/>
      </c>
      <c r="BB20" s="17">
        <f>IF(COUNTIFS(T_SelfStock_Log[Part Name],$A20,T_SelfStock_Log[WeekIndex],53)=0,"",SUMIFS(T_SelfStock_Log[Self_Qty],T_SelfStock_Log[Part Name],$A20,T_SelfStock_Log[WeekIndex],53))</f>
        <v/>
      </c>
      <c r="BC20" s="17">
        <f>IF(COUNTIFS(T_SelfStock_Log[Part Name],$A20,T_SelfStock_Log[WeekIndex],54)=0,"",SUMIFS(T_SelfStock_Log[Self_Qty],T_SelfStock_Log[Part Name],$A20,T_SelfStock_Log[WeekIndex],54))</f>
        <v/>
      </c>
      <c r="BD20" s="17">
        <f>IF(COUNTIFS(T_SelfStock_Log[Part Name],$A20,T_SelfStock_Log[WeekIndex],55)=0,"",SUMIFS(T_SelfStock_Log[Self_Qty],T_SelfStock_Log[Part Name],$A20,T_SelfStock_Log[WeekIndex],55))</f>
        <v/>
      </c>
      <c r="BE20" s="17">
        <f>IF(COUNTIFS(T_SelfStock_Log[Part Name],$A20,T_SelfStock_Log[WeekIndex],56)=0,"",SUMIFS(T_SelfStock_Log[Self_Qty],T_SelfStock_Log[Part Name],$A20,T_SelfStock_Log[WeekIndex],56))</f>
        <v/>
      </c>
      <c r="BF20" s="17">
        <f>IF(COUNTIFS(T_SelfStock_Log[Part Name],$A20,T_SelfStock_Log[WeekIndex],57)=0,"",SUMIFS(T_SelfStock_Log[Self_Qty],T_SelfStock_Log[Part Name],$A20,T_SelfStock_Log[WeekIndex],57))</f>
        <v/>
      </c>
      <c r="BG20" s="17">
        <f>IF(COUNTIFS(T_SelfStock_Log[Part Name],$A20,T_SelfStock_Log[WeekIndex],58)=0,"",SUMIFS(T_SelfStock_Log[Self_Qty],T_SelfStock_Log[Part Name],$A20,T_SelfStock_Log[WeekIndex],58))</f>
        <v/>
      </c>
      <c r="BH20" s="17">
        <f>IF(COUNTIFS(T_SelfStock_Log[Part Name],$A20,T_SelfStock_Log[WeekIndex],59)=0,"",SUMIFS(T_SelfStock_Log[Self_Qty],T_SelfStock_Log[Part Name],$A20,T_SelfStock_Log[WeekIndex],59))</f>
        <v/>
      </c>
      <c r="BI20" s="17">
        <f>IF(COUNTIFS(T_SelfStock_Log[Part Name],$A20,T_SelfStock_Log[WeekIndex],60)=0,"",SUMIFS(T_SelfStock_Log[Self_Qty],T_SelfStock_Log[Part Name],$A20,T_SelfStock_Log[WeekIndex],60))</f>
        <v/>
      </c>
      <c r="BJ20" s="17">
        <f>IF(COUNTIFS(T_SelfStock_Log[Part Name],$A20,T_SelfStock_Log[WeekIndex],61)=0,"",SUMIFS(T_SelfStock_Log[Self_Qty],T_SelfStock_Log[Part Name],$A20,T_SelfStock_Log[WeekIndex],61))</f>
        <v/>
      </c>
      <c r="BK20" s="17">
        <f>IF(COUNTIFS(T_SelfStock_Log[Part Name],$A20,T_SelfStock_Log[WeekIndex],62)=0,"",SUMIFS(T_SelfStock_Log[Self_Qty],T_SelfStock_Log[Part Name],$A20,T_SelfStock_Log[WeekIndex],62))</f>
        <v/>
      </c>
      <c r="BL20" s="17">
        <f>IF(COUNTIFS(T_SelfStock_Log[Part Name],$A20,T_SelfStock_Log[WeekIndex],63)=0,"",SUMIFS(T_SelfStock_Log[Self_Qty],T_SelfStock_Log[Part Name],$A20,T_SelfStock_Log[WeekIndex],63))</f>
        <v/>
      </c>
      <c r="BM20" s="17">
        <f>IF(COUNTIFS(T_SelfStock_Log[Part Name],$A20,T_SelfStock_Log[WeekIndex],64)=0,"",SUMIFS(T_SelfStock_Log[Self_Qty],T_SelfStock_Log[Part Name],$A20,T_SelfStock_Log[WeekIndex],64))</f>
        <v/>
      </c>
      <c r="BN20" s="17">
        <f>IF(COUNTIFS(T_SelfStock_Log[Part Name],$A20,T_SelfStock_Log[WeekIndex],65)=0,"",SUMIFS(T_SelfStock_Log[Self_Qty],T_SelfStock_Log[Part Name],$A20,T_SelfStock_Log[WeekIndex],65))</f>
        <v/>
      </c>
      <c r="BO20" s="17">
        <f>IF(COUNTIFS(T_SelfStock_Log[Part Name],$A20,T_SelfStock_Log[WeekIndex],66)=0,"",SUMIFS(T_SelfStock_Log[Self_Qty],T_SelfStock_Log[Part Name],$A20,T_SelfStock_Log[WeekIndex],66))</f>
        <v/>
      </c>
      <c r="BP20" s="17">
        <f>IF(COUNTIFS(T_SelfStock_Log[Part Name],$A20,T_SelfStock_Log[WeekIndex],67)=0,"",SUMIFS(T_SelfStock_Log[Self_Qty],T_SelfStock_Log[Part Name],$A20,T_SelfStock_Log[WeekIndex],67))</f>
        <v/>
      </c>
      <c r="BQ20" s="17">
        <f>IF(COUNTIFS(T_SelfStock_Log[Part Name],$A20,T_SelfStock_Log[WeekIndex],68)=0,"",SUMIFS(T_SelfStock_Log[Self_Qty],T_SelfStock_Log[Part Name],$A20,T_SelfStock_Log[WeekIndex],68))</f>
        <v/>
      </c>
      <c r="BR20" s="17">
        <f>IF(COUNTIFS(T_SelfStock_Log[Part Name],$A20,T_SelfStock_Log[WeekIndex],69)=0,"",SUMIFS(T_SelfStock_Log[Self_Qty],T_SelfStock_Log[Part Name],$A20,T_SelfStock_Log[WeekIndex],69))</f>
        <v/>
      </c>
      <c r="BS20" s="17">
        <f>IF(COUNTIFS(T_SelfStock_Log[Part Name],$A20,T_SelfStock_Log[WeekIndex],70)=0,"",SUMIFS(T_SelfStock_Log[Self_Qty],T_SelfStock_Log[Part Name],$A20,T_SelfStock_Log[WeekIndex],70))</f>
        <v/>
      </c>
      <c r="BT20" s="17">
        <f>IF(COUNTIFS(T_SelfStock_Log[Part Name],$A20,T_SelfStock_Log[WeekIndex],71)=0,"",SUMIFS(T_SelfStock_Log[Self_Qty],T_SelfStock_Log[Part Name],$A20,T_SelfStock_Log[WeekIndex],71))</f>
        <v/>
      </c>
      <c r="BU20" s="17">
        <f>IF(COUNTIFS(T_SelfStock_Log[Part Name],$A20,T_SelfStock_Log[WeekIndex],72)=0,"",SUMIFS(T_SelfStock_Log[Self_Qty],T_SelfStock_Log[Part Name],$A20,T_SelfStock_Log[WeekIndex],72))</f>
        <v/>
      </c>
      <c r="BV20" s="17">
        <f>IF(COUNTIFS(T_SelfStock_Log[Part Name],$A20,T_SelfStock_Log[WeekIndex],73)=0,"",SUMIFS(T_SelfStock_Log[Self_Qty],T_SelfStock_Log[Part Name],$A20,T_SelfStock_Log[WeekIndex],73))</f>
        <v/>
      </c>
      <c r="BW20" s="17">
        <f>IF(COUNTIFS(T_SelfStock_Log[Part Name],$A20,T_SelfStock_Log[WeekIndex],74)=0,"",SUMIFS(T_SelfStock_Log[Self_Qty],T_SelfStock_Log[Part Name],$A20,T_SelfStock_Log[WeekIndex],74))</f>
        <v/>
      </c>
      <c r="BX20" s="17">
        <f>IF(COUNTIFS(T_SelfStock_Log[Part Name],$A20,T_SelfStock_Log[WeekIndex],75)=0,"",SUMIFS(T_SelfStock_Log[Self_Qty],T_SelfStock_Log[Part Name],$A20,T_SelfStock_Log[WeekIndex],75))</f>
        <v/>
      </c>
      <c r="BY20" s="17">
        <f>IF(COUNTIFS(T_SelfStock_Log[Part Name],$A20,T_SelfStock_Log[WeekIndex],76)=0,"",SUMIFS(T_SelfStock_Log[Self_Qty],T_SelfStock_Log[Part Name],$A20,T_SelfStock_Log[WeekIndex],76))</f>
        <v/>
      </c>
      <c r="BZ20" s="17">
        <f>IF(COUNTIFS(T_SelfStock_Log[Part Name],$A20,T_SelfStock_Log[WeekIndex],77)=0,"",SUMIFS(T_SelfStock_Log[Self_Qty],T_SelfStock_Log[Part Name],$A20,T_SelfStock_Log[WeekIndex],77))</f>
        <v/>
      </c>
      <c r="CA20" s="17">
        <f>IF(COUNTIFS(T_SelfStock_Log[Part Name],$A20,T_SelfStock_Log[WeekIndex],78)=0,"",SUMIFS(T_SelfStock_Log[Self_Qty],T_SelfStock_Log[Part Name],$A20,T_SelfStock_Log[WeekIndex],78))</f>
        <v/>
      </c>
      <c r="CB20" s="17">
        <f>IF(COUNTIFS(T_SelfStock_Log[Part Name],$A20,T_SelfStock_Log[WeekIndex],79)=0,"",SUMIFS(T_SelfStock_Log[Self_Qty],T_SelfStock_Log[Part Name],$A20,T_SelfStock_Log[WeekIndex],79))</f>
        <v/>
      </c>
      <c r="CC20" s="17">
        <f>IF(COUNTIFS(T_SelfStock_Log[Part Name],$A20,T_SelfStock_Log[WeekIndex],80)=0,"",SUMIFS(T_SelfStock_Log[Self_Qty],T_SelfStock_Log[Part Name],$A20,T_SelfStock_Log[WeekIndex],80))</f>
        <v/>
      </c>
      <c r="CD20" s="17">
        <f>IF(COUNTIFS(T_SelfStock_Log[Part Name],$A20,T_SelfStock_Log[WeekIndex],81)=0,"",SUMIFS(T_SelfStock_Log[Self_Qty],T_SelfStock_Log[Part Name],$A20,T_SelfStock_Log[WeekIndex],81))</f>
        <v/>
      </c>
      <c r="CE20" s="17">
        <f>IF(COUNTIFS(T_SelfStock_Log[Part Name],$A20,T_SelfStock_Log[WeekIndex],82)=0,"",SUMIFS(T_SelfStock_Log[Self_Qty],T_SelfStock_Log[Part Name],$A20,T_SelfStock_Log[WeekIndex],82))</f>
        <v/>
      </c>
      <c r="CF20" s="17">
        <f>IF(COUNTIFS(T_SelfStock_Log[Part Name],$A20,T_SelfStock_Log[WeekIndex],83)=0,"",SUMIFS(T_SelfStock_Log[Self_Qty],T_SelfStock_Log[Part Name],$A20,T_SelfStock_Log[WeekIndex],83))</f>
        <v/>
      </c>
      <c r="CG20" s="17">
        <f>IF(COUNTIFS(T_SelfStock_Log[Part Name],$A20,T_SelfStock_Log[WeekIndex],84)=0,"",SUMIFS(T_SelfStock_Log[Self_Qty],T_SelfStock_Log[Part Name],$A20,T_SelfStock_Log[WeekIndex],84))</f>
        <v/>
      </c>
      <c r="CH20" s="17">
        <f>IF(COUNTIFS(T_SelfStock_Log[Part Name],$A20,T_SelfStock_Log[WeekIndex],85)=0,"",SUMIFS(T_SelfStock_Log[Self_Qty],T_SelfStock_Log[Part Name],$A20,T_SelfStock_Log[WeekIndex],85))</f>
        <v/>
      </c>
      <c r="CI20" s="17">
        <f>IF(COUNTIFS(T_SelfStock_Log[Part Name],$A20,T_SelfStock_Log[WeekIndex],86)=0,"",SUMIFS(T_SelfStock_Log[Self_Qty],T_SelfStock_Log[Part Name],$A20,T_SelfStock_Log[WeekIndex],86))</f>
        <v/>
      </c>
      <c r="CJ20" s="17">
        <f>IF(COUNTIFS(T_SelfStock_Log[Part Name],$A20,T_SelfStock_Log[WeekIndex],87)=0,"",SUMIFS(T_SelfStock_Log[Self_Qty],T_SelfStock_Log[Part Name],$A20,T_SelfStock_Log[WeekIndex],87))</f>
        <v/>
      </c>
      <c r="CK20" s="17">
        <f>IF(COUNTIFS(T_SelfStock_Log[Part Name],$A20,T_SelfStock_Log[WeekIndex],88)=0,"",SUMIFS(T_SelfStock_Log[Self_Qty],T_SelfStock_Log[Part Name],$A20,T_SelfStock_Log[WeekIndex],88))</f>
        <v/>
      </c>
      <c r="CL20" s="17">
        <f>IF(COUNTIFS(T_SelfStock_Log[Part Name],$A20,T_SelfStock_Log[WeekIndex],89)=0,"",SUMIFS(T_SelfStock_Log[Self_Qty],T_SelfStock_Log[Part Name],$A20,T_SelfStock_Log[WeekIndex],89))</f>
        <v/>
      </c>
      <c r="CM20" s="17">
        <f>IF(COUNTIFS(T_SelfStock_Log[Part Name],$A20,T_SelfStock_Log[WeekIndex],90)=0,"",SUMIFS(T_SelfStock_Log[Self_Qty],T_SelfStock_Log[Part Name],$A20,T_SelfStock_Log[WeekIndex],90))</f>
        <v/>
      </c>
      <c r="CN20" s="17">
        <f>IF(COUNTIFS(T_SelfStock_Log[Part Name],$A20,T_SelfStock_Log[WeekIndex],91)=0,"",SUMIFS(T_SelfStock_Log[Self_Qty],T_SelfStock_Log[Part Name],$A20,T_SelfStock_Log[WeekIndex],91))</f>
        <v/>
      </c>
      <c r="CO20" s="17">
        <f>IF(COUNTIFS(T_SelfStock_Log[Part Name],$A20,T_SelfStock_Log[WeekIndex],92)=0,"",SUMIFS(T_SelfStock_Log[Self_Qty],T_SelfStock_Log[Part Name],$A20,T_SelfStock_Log[WeekIndex],92))</f>
        <v/>
      </c>
      <c r="CP20" s="17">
        <f>IF(COUNTIFS(T_SelfStock_Log[Part Name],$A20,T_SelfStock_Log[WeekIndex],93)=0,"",SUMIFS(T_SelfStock_Log[Self_Qty],T_SelfStock_Log[Part Name],$A20,T_SelfStock_Log[WeekIndex],93))</f>
        <v/>
      </c>
      <c r="CQ20" s="17">
        <f>IF(COUNTIFS(T_SelfStock_Log[Part Name],$A20,T_SelfStock_Log[WeekIndex],94)=0,"",SUMIFS(T_SelfStock_Log[Self_Qty],T_SelfStock_Log[Part Name],$A20,T_SelfStock_Log[WeekIndex],94))</f>
        <v/>
      </c>
      <c r="CR20" s="17">
        <f>IF(COUNTIFS(T_SelfStock_Log[Part Name],$A20,T_SelfStock_Log[WeekIndex],95)=0,"",SUMIFS(T_SelfStock_Log[Self_Qty],T_SelfStock_Log[Part Name],$A20,T_SelfStock_Log[WeekIndex],95))</f>
        <v/>
      </c>
      <c r="CS20" s="17">
        <f>IF(COUNTIFS(T_SelfStock_Log[Part Name],$A20,T_SelfStock_Log[WeekIndex],96)=0,"",SUMIFS(T_SelfStock_Log[Self_Qty],T_SelfStock_Log[Part Name],$A20,T_SelfStock_Log[WeekIndex],96))</f>
        <v/>
      </c>
      <c r="CT20" s="17">
        <f>IF(COUNTIFS(T_SelfStock_Log[Part Name],$A20,T_SelfStock_Log[WeekIndex],97)=0,"",SUMIFS(T_SelfStock_Log[Self_Qty],T_SelfStock_Log[Part Name],$A20,T_SelfStock_Log[WeekIndex],97))</f>
        <v/>
      </c>
      <c r="CU20" s="17">
        <f>IF(COUNTIFS(T_SelfStock_Log[Part Name],$A20,T_SelfStock_Log[WeekIndex],98)=0,"",SUMIFS(T_SelfStock_Log[Self_Qty],T_SelfStock_Log[Part Name],$A20,T_SelfStock_Log[WeekIndex],98))</f>
        <v/>
      </c>
      <c r="CV20" s="17">
        <f>IF(COUNTIFS(T_SelfStock_Log[Part Name],$A20,T_SelfStock_Log[WeekIndex],99)=0,"",SUMIFS(T_SelfStock_Log[Self_Qty],T_SelfStock_Log[Part Name],$A20,T_SelfStock_Log[WeekIndex],99))</f>
        <v/>
      </c>
      <c r="CW20" s="17">
        <f>IF(COUNTIFS(T_SelfStock_Log[Part Name],$A20,T_SelfStock_Log[WeekIndex],100)=0,"",SUMIFS(T_SelfStock_Log[Self_Qty],T_SelfStock_Log[Part Name],$A20,T_SelfStock_Log[WeekIndex],100))</f>
        <v/>
      </c>
      <c r="CX20" s="17">
        <f>IF(COUNTIFS(T_SelfStock_Log[Part Name],$A20,T_SelfStock_Log[WeekIndex],101)=0,"",SUMIFS(T_SelfStock_Log[Self_Qty],T_SelfStock_Log[Part Name],$A20,T_SelfStock_Log[WeekIndex],101))</f>
        <v/>
      </c>
      <c r="CY20" s="17">
        <f>IF(COUNTIFS(T_SelfStock_Log[Part Name],$A20,T_SelfStock_Log[WeekIndex],102)=0,"",SUMIFS(T_SelfStock_Log[Self_Qty],T_SelfStock_Log[Part Name],$A20,T_SelfStock_Log[WeekIndex],102))</f>
        <v/>
      </c>
      <c r="CZ20" s="17">
        <f>IF(COUNTIFS(T_SelfStock_Log[Part Name],$A20,T_SelfStock_Log[WeekIndex],103)=0,"",SUMIFS(T_SelfStock_Log[Self_Qty],T_SelfStock_Log[Part Name],$A20,T_SelfStock_Log[WeekIndex],103))</f>
        <v/>
      </c>
      <c r="DA20" s="17">
        <f>IF(COUNTIFS(T_SelfStock_Log[Part Name],$A20,T_SelfStock_Log[WeekIndex],104)=0,"",SUMIFS(T_SelfStock_Log[Self_Qty],T_SelfStock_Log[Part Name],$A20,T_SelfStock_Log[WeekIndex],104))</f>
        <v/>
      </c>
    </row>
    <row r="21">
      <c r="A21" s="19" t="inlineStr">
        <is>
          <t>9RJ</t>
        </is>
      </c>
      <c r="B21" s="19">
        <f>IF(COUNTIFS(T_SelfStock_Log[Part Name],$A21,T_SelfStock_Log[WeekIndex],1)=0,"",SUMIFS(T_SelfStock_Log[Self_Qty],T_SelfStock_Log[Part Name],$A21,T_SelfStock_Log[WeekIndex],1))</f>
        <v/>
      </c>
      <c r="C21" s="19">
        <f>IF(COUNTIFS(T_SelfStock_Log[Part Name],$A21,T_SelfStock_Log[WeekIndex],2)=0,"",SUMIFS(T_SelfStock_Log[Self_Qty],T_SelfStock_Log[Part Name],$A21,T_SelfStock_Log[WeekIndex],2))</f>
        <v/>
      </c>
      <c r="D21" s="19">
        <f>IF(COUNTIFS(T_SelfStock_Log[Part Name],$A21,T_SelfStock_Log[WeekIndex],3)=0,"",SUMIFS(T_SelfStock_Log[Self_Qty],T_SelfStock_Log[Part Name],$A21,T_SelfStock_Log[WeekIndex],3))</f>
        <v/>
      </c>
      <c r="E21" s="19">
        <f>IF(COUNTIFS(T_SelfStock_Log[Part Name],$A21,T_SelfStock_Log[WeekIndex],4)=0,"",SUMIFS(T_SelfStock_Log[Self_Qty],T_SelfStock_Log[Part Name],$A21,T_SelfStock_Log[WeekIndex],4))</f>
        <v/>
      </c>
      <c r="F21" s="19">
        <f>IF(COUNTIFS(T_SelfStock_Log[Part Name],$A21,T_SelfStock_Log[WeekIndex],5)=0,"",SUMIFS(T_SelfStock_Log[Self_Qty],T_SelfStock_Log[Part Name],$A21,T_SelfStock_Log[WeekIndex],5))</f>
        <v/>
      </c>
      <c r="G21" s="19">
        <f>IF(COUNTIFS(T_SelfStock_Log[Part Name],$A21,T_SelfStock_Log[WeekIndex],6)=0,"",SUMIFS(T_SelfStock_Log[Self_Qty],T_SelfStock_Log[Part Name],$A21,T_SelfStock_Log[WeekIndex],6))</f>
        <v/>
      </c>
      <c r="H21" s="19">
        <f>IF(COUNTIFS(T_SelfStock_Log[Part Name],$A21,T_SelfStock_Log[WeekIndex],7)=0,"",SUMIFS(T_SelfStock_Log[Self_Qty],T_SelfStock_Log[Part Name],$A21,T_SelfStock_Log[WeekIndex],7))</f>
        <v/>
      </c>
      <c r="I21" s="19">
        <f>IF(COUNTIFS(T_SelfStock_Log[Part Name],$A21,T_SelfStock_Log[WeekIndex],8)=0,"",SUMIFS(T_SelfStock_Log[Self_Qty],T_SelfStock_Log[Part Name],$A21,T_SelfStock_Log[WeekIndex],8))</f>
        <v/>
      </c>
      <c r="J21" s="19">
        <f>IF(COUNTIFS(T_SelfStock_Log[Part Name],$A21,T_SelfStock_Log[WeekIndex],9)=0,"",SUMIFS(T_SelfStock_Log[Self_Qty],T_SelfStock_Log[Part Name],$A21,T_SelfStock_Log[WeekIndex],9))</f>
        <v/>
      </c>
      <c r="K21" s="19">
        <f>IF(COUNTIFS(T_SelfStock_Log[Part Name],$A21,T_SelfStock_Log[WeekIndex],10)=0,"",SUMIFS(T_SelfStock_Log[Self_Qty],T_SelfStock_Log[Part Name],$A21,T_SelfStock_Log[WeekIndex],10))</f>
        <v/>
      </c>
      <c r="L21" s="19">
        <f>IF(COUNTIFS(T_SelfStock_Log[Part Name],$A21,T_SelfStock_Log[WeekIndex],11)=0,"",SUMIFS(T_SelfStock_Log[Self_Qty],T_SelfStock_Log[Part Name],$A21,T_SelfStock_Log[WeekIndex],11))</f>
        <v/>
      </c>
      <c r="M21" s="19">
        <f>IF(COUNTIFS(T_SelfStock_Log[Part Name],$A21,T_SelfStock_Log[WeekIndex],12)=0,"",SUMIFS(T_SelfStock_Log[Self_Qty],T_SelfStock_Log[Part Name],$A21,T_SelfStock_Log[WeekIndex],12))</f>
        <v/>
      </c>
      <c r="N21" s="19">
        <f>IF(COUNTIFS(T_SelfStock_Log[Part Name],$A21,T_SelfStock_Log[WeekIndex],13)=0,"",SUMIFS(T_SelfStock_Log[Self_Qty],T_SelfStock_Log[Part Name],$A21,T_SelfStock_Log[WeekIndex],13))</f>
        <v/>
      </c>
      <c r="O21" s="19">
        <f>IF(COUNTIFS(T_SelfStock_Log[Part Name],$A21,T_SelfStock_Log[WeekIndex],14)=0,"",SUMIFS(T_SelfStock_Log[Self_Qty],T_SelfStock_Log[Part Name],$A21,T_SelfStock_Log[WeekIndex],14))</f>
        <v/>
      </c>
      <c r="P21" s="19">
        <f>IF(COUNTIFS(T_SelfStock_Log[Part Name],$A21,T_SelfStock_Log[WeekIndex],15)=0,"",SUMIFS(T_SelfStock_Log[Self_Qty],T_SelfStock_Log[Part Name],$A21,T_SelfStock_Log[WeekIndex],15))</f>
        <v/>
      </c>
      <c r="Q21" s="19">
        <f>IF(COUNTIFS(T_SelfStock_Log[Part Name],$A21,T_SelfStock_Log[WeekIndex],16)=0,"",SUMIFS(T_SelfStock_Log[Self_Qty],T_SelfStock_Log[Part Name],$A21,T_SelfStock_Log[WeekIndex],16))</f>
        <v/>
      </c>
      <c r="R21" s="19">
        <f>IF(COUNTIFS(T_SelfStock_Log[Part Name],$A21,T_SelfStock_Log[WeekIndex],17)=0,"",SUMIFS(T_SelfStock_Log[Self_Qty],T_SelfStock_Log[Part Name],$A21,T_SelfStock_Log[WeekIndex],17))</f>
        <v/>
      </c>
      <c r="S21" s="19">
        <f>IF(COUNTIFS(T_SelfStock_Log[Part Name],$A21,T_SelfStock_Log[WeekIndex],18)=0,"",SUMIFS(T_SelfStock_Log[Self_Qty],T_SelfStock_Log[Part Name],$A21,T_SelfStock_Log[WeekIndex],18))</f>
        <v/>
      </c>
      <c r="T21" s="19">
        <f>IF(COUNTIFS(T_SelfStock_Log[Part Name],$A21,T_SelfStock_Log[WeekIndex],19)=0,"",SUMIFS(T_SelfStock_Log[Self_Qty],T_SelfStock_Log[Part Name],$A21,T_SelfStock_Log[WeekIndex],19))</f>
        <v/>
      </c>
      <c r="U21" s="19">
        <f>IF(COUNTIFS(T_SelfStock_Log[Part Name],$A21,T_SelfStock_Log[WeekIndex],20)=0,"",SUMIFS(T_SelfStock_Log[Self_Qty],T_SelfStock_Log[Part Name],$A21,T_SelfStock_Log[WeekIndex],20))</f>
        <v/>
      </c>
      <c r="V21" s="19">
        <f>IF(COUNTIFS(T_SelfStock_Log[Part Name],$A21,T_SelfStock_Log[WeekIndex],21)=0,"",SUMIFS(T_SelfStock_Log[Self_Qty],T_SelfStock_Log[Part Name],$A21,T_SelfStock_Log[WeekIndex],21))</f>
        <v/>
      </c>
      <c r="W21" s="19">
        <f>IF(COUNTIFS(T_SelfStock_Log[Part Name],$A21,T_SelfStock_Log[WeekIndex],22)=0,"",SUMIFS(T_SelfStock_Log[Self_Qty],T_SelfStock_Log[Part Name],$A21,T_SelfStock_Log[WeekIndex],22))</f>
        <v/>
      </c>
      <c r="X21" s="19">
        <f>IF(COUNTIFS(T_SelfStock_Log[Part Name],$A21,T_SelfStock_Log[WeekIndex],23)=0,"",SUMIFS(T_SelfStock_Log[Self_Qty],T_SelfStock_Log[Part Name],$A21,T_SelfStock_Log[WeekIndex],23))</f>
        <v/>
      </c>
      <c r="Y21" s="19">
        <f>IF(COUNTIFS(T_SelfStock_Log[Part Name],$A21,T_SelfStock_Log[WeekIndex],24)=0,"",SUMIFS(T_SelfStock_Log[Self_Qty],T_SelfStock_Log[Part Name],$A21,T_SelfStock_Log[WeekIndex],24))</f>
        <v/>
      </c>
      <c r="Z21" s="19">
        <f>IF(COUNTIFS(T_SelfStock_Log[Part Name],$A21,T_SelfStock_Log[WeekIndex],25)=0,"",SUMIFS(T_SelfStock_Log[Self_Qty],T_SelfStock_Log[Part Name],$A21,T_SelfStock_Log[WeekIndex],25))</f>
        <v/>
      </c>
      <c r="AA21" s="19">
        <f>IF(COUNTIFS(T_SelfStock_Log[Part Name],$A21,T_SelfStock_Log[WeekIndex],26)=0,"",SUMIFS(T_SelfStock_Log[Self_Qty],T_SelfStock_Log[Part Name],$A21,T_SelfStock_Log[WeekIndex],26))</f>
        <v/>
      </c>
      <c r="AB21" s="19">
        <f>IF(COUNTIFS(T_SelfStock_Log[Part Name],$A21,T_SelfStock_Log[WeekIndex],27)=0,"",SUMIFS(T_SelfStock_Log[Self_Qty],T_SelfStock_Log[Part Name],$A21,T_SelfStock_Log[WeekIndex],27))</f>
        <v/>
      </c>
      <c r="AC21" s="19">
        <f>IF(COUNTIFS(T_SelfStock_Log[Part Name],$A21,T_SelfStock_Log[WeekIndex],28)=0,"",SUMIFS(T_SelfStock_Log[Self_Qty],T_SelfStock_Log[Part Name],$A21,T_SelfStock_Log[WeekIndex],28))</f>
        <v/>
      </c>
      <c r="AD21" s="19">
        <f>IF(COUNTIFS(T_SelfStock_Log[Part Name],$A21,T_SelfStock_Log[WeekIndex],29)=0,"",SUMIFS(T_SelfStock_Log[Self_Qty],T_SelfStock_Log[Part Name],$A21,T_SelfStock_Log[WeekIndex],29))</f>
        <v/>
      </c>
      <c r="AE21" s="19">
        <f>IF(COUNTIFS(T_SelfStock_Log[Part Name],$A21,T_SelfStock_Log[WeekIndex],30)=0,"",SUMIFS(T_SelfStock_Log[Self_Qty],T_SelfStock_Log[Part Name],$A21,T_SelfStock_Log[WeekIndex],30))</f>
        <v/>
      </c>
      <c r="AF21" s="19">
        <f>IF(COUNTIFS(T_SelfStock_Log[Part Name],$A21,T_SelfStock_Log[WeekIndex],31)=0,"",SUMIFS(T_SelfStock_Log[Self_Qty],T_SelfStock_Log[Part Name],$A21,T_SelfStock_Log[WeekIndex],31))</f>
        <v/>
      </c>
      <c r="AG21" s="19">
        <f>IF(COUNTIFS(T_SelfStock_Log[Part Name],$A21,T_SelfStock_Log[WeekIndex],32)=0,"",SUMIFS(T_SelfStock_Log[Self_Qty],T_SelfStock_Log[Part Name],$A21,T_SelfStock_Log[WeekIndex],32))</f>
        <v/>
      </c>
      <c r="AH21" s="19">
        <f>IF(COUNTIFS(T_SelfStock_Log[Part Name],$A21,T_SelfStock_Log[WeekIndex],33)=0,"",SUMIFS(T_SelfStock_Log[Self_Qty],T_SelfStock_Log[Part Name],$A21,T_SelfStock_Log[WeekIndex],33))</f>
        <v/>
      </c>
      <c r="AI21" s="19">
        <f>IF(COUNTIFS(T_SelfStock_Log[Part Name],$A21,T_SelfStock_Log[WeekIndex],34)=0,"",SUMIFS(T_SelfStock_Log[Self_Qty],T_SelfStock_Log[Part Name],$A21,T_SelfStock_Log[WeekIndex],34))</f>
        <v/>
      </c>
      <c r="AJ21" s="19">
        <f>IF(COUNTIFS(T_SelfStock_Log[Part Name],$A21,T_SelfStock_Log[WeekIndex],35)=0,"",SUMIFS(T_SelfStock_Log[Self_Qty],T_SelfStock_Log[Part Name],$A21,T_SelfStock_Log[WeekIndex],35))</f>
        <v/>
      </c>
      <c r="AK21" s="19">
        <f>IF(COUNTIFS(T_SelfStock_Log[Part Name],$A21,T_SelfStock_Log[WeekIndex],36)=0,"",SUMIFS(T_SelfStock_Log[Self_Qty],T_SelfStock_Log[Part Name],$A21,T_SelfStock_Log[WeekIndex],36))</f>
        <v/>
      </c>
      <c r="AL21" s="19">
        <f>IF(COUNTIFS(T_SelfStock_Log[Part Name],$A21,T_SelfStock_Log[WeekIndex],37)=0,"",SUMIFS(T_SelfStock_Log[Self_Qty],T_SelfStock_Log[Part Name],$A21,T_SelfStock_Log[WeekIndex],37))</f>
        <v/>
      </c>
      <c r="AM21" s="19">
        <f>IF(COUNTIFS(T_SelfStock_Log[Part Name],$A21,T_SelfStock_Log[WeekIndex],38)=0,"",SUMIFS(T_SelfStock_Log[Self_Qty],T_SelfStock_Log[Part Name],$A21,T_SelfStock_Log[WeekIndex],38))</f>
        <v/>
      </c>
      <c r="AN21" s="19">
        <f>IF(COUNTIFS(T_SelfStock_Log[Part Name],$A21,T_SelfStock_Log[WeekIndex],39)=0,"",SUMIFS(T_SelfStock_Log[Self_Qty],T_SelfStock_Log[Part Name],$A21,T_SelfStock_Log[WeekIndex],39))</f>
        <v/>
      </c>
      <c r="AO21" s="19">
        <f>IF(COUNTIFS(T_SelfStock_Log[Part Name],$A21,T_SelfStock_Log[WeekIndex],40)=0,"",SUMIFS(T_SelfStock_Log[Self_Qty],T_SelfStock_Log[Part Name],$A21,T_SelfStock_Log[WeekIndex],40))</f>
        <v/>
      </c>
      <c r="AP21" s="19">
        <f>IF(COUNTIFS(T_SelfStock_Log[Part Name],$A21,T_SelfStock_Log[WeekIndex],41)=0,"",SUMIFS(T_SelfStock_Log[Self_Qty],T_SelfStock_Log[Part Name],$A21,T_SelfStock_Log[WeekIndex],41))</f>
        <v/>
      </c>
      <c r="AQ21" s="19">
        <f>IF(COUNTIFS(T_SelfStock_Log[Part Name],$A21,T_SelfStock_Log[WeekIndex],42)=0,"",SUMIFS(T_SelfStock_Log[Self_Qty],T_SelfStock_Log[Part Name],$A21,T_SelfStock_Log[WeekIndex],42))</f>
        <v/>
      </c>
      <c r="AR21" s="19">
        <f>IF(COUNTIFS(T_SelfStock_Log[Part Name],$A21,T_SelfStock_Log[WeekIndex],43)=0,"",SUMIFS(T_SelfStock_Log[Self_Qty],T_SelfStock_Log[Part Name],$A21,T_SelfStock_Log[WeekIndex],43))</f>
        <v/>
      </c>
      <c r="AS21" s="19">
        <f>IF(COUNTIFS(T_SelfStock_Log[Part Name],$A21,T_SelfStock_Log[WeekIndex],44)=0,"",SUMIFS(T_SelfStock_Log[Self_Qty],T_SelfStock_Log[Part Name],$A21,T_SelfStock_Log[WeekIndex],44))</f>
        <v/>
      </c>
      <c r="AT21" s="19">
        <f>IF(COUNTIFS(T_SelfStock_Log[Part Name],$A21,T_SelfStock_Log[WeekIndex],45)=0,"",SUMIFS(T_SelfStock_Log[Self_Qty],T_SelfStock_Log[Part Name],$A21,T_SelfStock_Log[WeekIndex],45))</f>
        <v/>
      </c>
      <c r="AU21" s="19">
        <f>IF(COUNTIFS(T_SelfStock_Log[Part Name],$A21,T_SelfStock_Log[WeekIndex],46)=0,"",SUMIFS(T_SelfStock_Log[Self_Qty],T_SelfStock_Log[Part Name],$A21,T_SelfStock_Log[WeekIndex],46))</f>
        <v/>
      </c>
      <c r="AV21" s="19">
        <f>IF(COUNTIFS(T_SelfStock_Log[Part Name],$A21,T_SelfStock_Log[WeekIndex],47)=0,"",SUMIFS(T_SelfStock_Log[Self_Qty],T_SelfStock_Log[Part Name],$A21,T_SelfStock_Log[WeekIndex],47))</f>
        <v/>
      </c>
      <c r="AW21" s="19">
        <f>IF(COUNTIFS(T_SelfStock_Log[Part Name],$A21,T_SelfStock_Log[WeekIndex],48)=0,"",SUMIFS(T_SelfStock_Log[Self_Qty],T_SelfStock_Log[Part Name],$A21,T_SelfStock_Log[WeekIndex],48))</f>
        <v/>
      </c>
      <c r="AX21" s="19">
        <f>IF(COUNTIFS(T_SelfStock_Log[Part Name],$A21,T_SelfStock_Log[WeekIndex],49)=0,"",SUMIFS(T_SelfStock_Log[Self_Qty],T_SelfStock_Log[Part Name],$A21,T_SelfStock_Log[WeekIndex],49))</f>
        <v/>
      </c>
      <c r="AY21" s="19">
        <f>IF(COUNTIFS(T_SelfStock_Log[Part Name],$A21,T_SelfStock_Log[WeekIndex],50)=0,"",SUMIFS(T_SelfStock_Log[Self_Qty],T_SelfStock_Log[Part Name],$A21,T_SelfStock_Log[WeekIndex],50))</f>
        <v/>
      </c>
      <c r="AZ21" s="19">
        <f>IF(COUNTIFS(T_SelfStock_Log[Part Name],$A21,T_SelfStock_Log[WeekIndex],51)=0,"",SUMIFS(T_SelfStock_Log[Self_Qty],T_SelfStock_Log[Part Name],$A21,T_SelfStock_Log[WeekIndex],51))</f>
        <v/>
      </c>
      <c r="BA21" s="19">
        <f>IF(COUNTIFS(T_SelfStock_Log[Part Name],$A21,T_SelfStock_Log[WeekIndex],52)=0,"",SUMIFS(T_SelfStock_Log[Self_Qty],T_SelfStock_Log[Part Name],$A21,T_SelfStock_Log[WeekIndex],52))</f>
        <v/>
      </c>
      <c r="BB21" s="19">
        <f>IF(COUNTIFS(T_SelfStock_Log[Part Name],$A21,T_SelfStock_Log[WeekIndex],53)=0,"",SUMIFS(T_SelfStock_Log[Self_Qty],T_SelfStock_Log[Part Name],$A21,T_SelfStock_Log[WeekIndex],53))</f>
        <v/>
      </c>
      <c r="BC21" s="19">
        <f>IF(COUNTIFS(T_SelfStock_Log[Part Name],$A21,T_SelfStock_Log[WeekIndex],54)=0,"",SUMIFS(T_SelfStock_Log[Self_Qty],T_SelfStock_Log[Part Name],$A21,T_SelfStock_Log[WeekIndex],54))</f>
        <v/>
      </c>
      <c r="BD21" s="19">
        <f>IF(COUNTIFS(T_SelfStock_Log[Part Name],$A21,T_SelfStock_Log[WeekIndex],55)=0,"",SUMIFS(T_SelfStock_Log[Self_Qty],T_SelfStock_Log[Part Name],$A21,T_SelfStock_Log[WeekIndex],55))</f>
        <v/>
      </c>
      <c r="BE21" s="19">
        <f>IF(COUNTIFS(T_SelfStock_Log[Part Name],$A21,T_SelfStock_Log[WeekIndex],56)=0,"",SUMIFS(T_SelfStock_Log[Self_Qty],T_SelfStock_Log[Part Name],$A21,T_SelfStock_Log[WeekIndex],56))</f>
        <v/>
      </c>
      <c r="BF21" s="19">
        <f>IF(COUNTIFS(T_SelfStock_Log[Part Name],$A21,T_SelfStock_Log[WeekIndex],57)=0,"",SUMIFS(T_SelfStock_Log[Self_Qty],T_SelfStock_Log[Part Name],$A21,T_SelfStock_Log[WeekIndex],57))</f>
        <v/>
      </c>
      <c r="BG21" s="19">
        <f>IF(COUNTIFS(T_SelfStock_Log[Part Name],$A21,T_SelfStock_Log[WeekIndex],58)=0,"",SUMIFS(T_SelfStock_Log[Self_Qty],T_SelfStock_Log[Part Name],$A21,T_SelfStock_Log[WeekIndex],58))</f>
        <v/>
      </c>
      <c r="BH21" s="19">
        <f>IF(COUNTIFS(T_SelfStock_Log[Part Name],$A21,T_SelfStock_Log[WeekIndex],59)=0,"",SUMIFS(T_SelfStock_Log[Self_Qty],T_SelfStock_Log[Part Name],$A21,T_SelfStock_Log[WeekIndex],59))</f>
        <v/>
      </c>
      <c r="BI21" s="19">
        <f>IF(COUNTIFS(T_SelfStock_Log[Part Name],$A21,T_SelfStock_Log[WeekIndex],60)=0,"",SUMIFS(T_SelfStock_Log[Self_Qty],T_SelfStock_Log[Part Name],$A21,T_SelfStock_Log[WeekIndex],60))</f>
        <v/>
      </c>
      <c r="BJ21" s="19">
        <f>IF(COUNTIFS(T_SelfStock_Log[Part Name],$A21,T_SelfStock_Log[WeekIndex],61)=0,"",SUMIFS(T_SelfStock_Log[Self_Qty],T_SelfStock_Log[Part Name],$A21,T_SelfStock_Log[WeekIndex],61))</f>
        <v/>
      </c>
      <c r="BK21" s="19">
        <f>IF(COUNTIFS(T_SelfStock_Log[Part Name],$A21,T_SelfStock_Log[WeekIndex],62)=0,"",SUMIFS(T_SelfStock_Log[Self_Qty],T_SelfStock_Log[Part Name],$A21,T_SelfStock_Log[WeekIndex],62))</f>
        <v/>
      </c>
      <c r="BL21" s="19">
        <f>IF(COUNTIFS(T_SelfStock_Log[Part Name],$A21,T_SelfStock_Log[WeekIndex],63)=0,"",SUMIFS(T_SelfStock_Log[Self_Qty],T_SelfStock_Log[Part Name],$A21,T_SelfStock_Log[WeekIndex],63))</f>
        <v/>
      </c>
      <c r="BM21" s="19">
        <f>IF(COUNTIFS(T_SelfStock_Log[Part Name],$A21,T_SelfStock_Log[WeekIndex],64)=0,"",SUMIFS(T_SelfStock_Log[Self_Qty],T_SelfStock_Log[Part Name],$A21,T_SelfStock_Log[WeekIndex],64))</f>
        <v/>
      </c>
      <c r="BN21" s="19">
        <f>IF(COUNTIFS(T_SelfStock_Log[Part Name],$A21,T_SelfStock_Log[WeekIndex],65)=0,"",SUMIFS(T_SelfStock_Log[Self_Qty],T_SelfStock_Log[Part Name],$A21,T_SelfStock_Log[WeekIndex],65))</f>
        <v/>
      </c>
      <c r="BO21" s="19">
        <f>IF(COUNTIFS(T_SelfStock_Log[Part Name],$A21,T_SelfStock_Log[WeekIndex],66)=0,"",SUMIFS(T_SelfStock_Log[Self_Qty],T_SelfStock_Log[Part Name],$A21,T_SelfStock_Log[WeekIndex],66))</f>
        <v/>
      </c>
      <c r="BP21" s="19">
        <f>IF(COUNTIFS(T_SelfStock_Log[Part Name],$A21,T_SelfStock_Log[WeekIndex],67)=0,"",SUMIFS(T_SelfStock_Log[Self_Qty],T_SelfStock_Log[Part Name],$A21,T_SelfStock_Log[WeekIndex],67))</f>
        <v/>
      </c>
      <c r="BQ21" s="19">
        <f>IF(COUNTIFS(T_SelfStock_Log[Part Name],$A21,T_SelfStock_Log[WeekIndex],68)=0,"",SUMIFS(T_SelfStock_Log[Self_Qty],T_SelfStock_Log[Part Name],$A21,T_SelfStock_Log[WeekIndex],68))</f>
        <v/>
      </c>
      <c r="BR21" s="19">
        <f>IF(COUNTIFS(T_SelfStock_Log[Part Name],$A21,T_SelfStock_Log[WeekIndex],69)=0,"",SUMIFS(T_SelfStock_Log[Self_Qty],T_SelfStock_Log[Part Name],$A21,T_SelfStock_Log[WeekIndex],69))</f>
        <v/>
      </c>
      <c r="BS21" s="19">
        <f>IF(COUNTIFS(T_SelfStock_Log[Part Name],$A21,T_SelfStock_Log[WeekIndex],70)=0,"",SUMIFS(T_SelfStock_Log[Self_Qty],T_SelfStock_Log[Part Name],$A21,T_SelfStock_Log[WeekIndex],70))</f>
        <v/>
      </c>
      <c r="BT21" s="19">
        <f>IF(COUNTIFS(T_SelfStock_Log[Part Name],$A21,T_SelfStock_Log[WeekIndex],71)=0,"",SUMIFS(T_SelfStock_Log[Self_Qty],T_SelfStock_Log[Part Name],$A21,T_SelfStock_Log[WeekIndex],71))</f>
        <v/>
      </c>
      <c r="BU21" s="19">
        <f>IF(COUNTIFS(T_SelfStock_Log[Part Name],$A21,T_SelfStock_Log[WeekIndex],72)=0,"",SUMIFS(T_SelfStock_Log[Self_Qty],T_SelfStock_Log[Part Name],$A21,T_SelfStock_Log[WeekIndex],72))</f>
        <v/>
      </c>
      <c r="BV21" s="19">
        <f>IF(COUNTIFS(T_SelfStock_Log[Part Name],$A21,T_SelfStock_Log[WeekIndex],73)=0,"",SUMIFS(T_SelfStock_Log[Self_Qty],T_SelfStock_Log[Part Name],$A21,T_SelfStock_Log[WeekIndex],73))</f>
        <v/>
      </c>
      <c r="BW21" s="19">
        <f>IF(COUNTIFS(T_SelfStock_Log[Part Name],$A21,T_SelfStock_Log[WeekIndex],74)=0,"",SUMIFS(T_SelfStock_Log[Self_Qty],T_SelfStock_Log[Part Name],$A21,T_SelfStock_Log[WeekIndex],74))</f>
        <v/>
      </c>
      <c r="BX21" s="19">
        <f>IF(COUNTIFS(T_SelfStock_Log[Part Name],$A21,T_SelfStock_Log[WeekIndex],75)=0,"",SUMIFS(T_SelfStock_Log[Self_Qty],T_SelfStock_Log[Part Name],$A21,T_SelfStock_Log[WeekIndex],75))</f>
        <v/>
      </c>
      <c r="BY21" s="19">
        <f>IF(COUNTIFS(T_SelfStock_Log[Part Name],$A21,T_SelfStock_Log[WeekIndex],76)=0,"",SUMIFS(T_SelfStock_Log[Self_Qty],T_SelfStock_Log[Part Name],$A21,T_SelfStock_Log[WeekIndex],76))</f>
        <v/>
      </c>
      <c r="BZ21" s="19">
        <f>IF(COUNTIFS(T_SelfStock_Log[Part Name],$A21,T_SelfStock_Log[WeekIndex],77)=0,"",SUMIFS(T_SelfStock_Log[Self_Qty],T_SelfStock_Log[Part Name],$A21,T_SelfStock_Log[WeekIndex],77))</f>
        <v/>
      </c>
      <c r="CA21" s="19">
        <f>IF(COUNTIFS(T_SelfStock_Log[Part Name],$A21,T_SelfStock_Log[WeekIndex],78)=0,"",SUMIFS(T_SelfStock_Log[Self_Qty],T_SelfStock_Log[Part Name],$A21,T_SelfStock_Log[WeekIndex],78))</f>
        <v/>
      </c>
      <c r="CB21" s="19">
        <f>IF(COUNTIFS(T_SelfStock_Log[Part Name],$A21,T_SelfStock_Log[WeekIndex],79)=0,"",SUMIFS(T_SelfStock_Log[Self_Qty],T_SelfStock_Log[Part Name],$A21,T_SelfStock_Log[WeekIndex],79))</f>
        <v/>
      </c>
      <c r="CC21" s="19">
        <f>IF(COUNTIFS(T_SelfStock_Log[Part Name],$A21,T_SelfStock_Log[WeekIndex],80)=0,"",SUMIFS(T_SelfStock_Log[Self_Qty],T_SelfStock_Log[Part Name],$A21,T_SelfStock_Log[WeekIndex],80))</f>
        <v/>
      </c>
      <c r="CD21" s="19">
        <f>IF(COUNTIFS(T_SelfStock_Log[Part Name],$A21,T_SelfStock_Log[WeekIndex],81)=0,"",SUMIFS(T_SelfStock_Log[Self_Qty],T_SelfStock_Log[Part Name],$A21,T_SelfStock_Log[WeekIndex],81))</f>
        <v/>
      </c>
      <c r="CE21" s="19">
        <f>IF(COUNTIFS(T_SelfStock_Log[Part Name],$A21,T_SelfStock_Log[WeekIndex],82)=0,"",SUMIFS(T_SelfStock_Log[Self_Qty],T_SelfStock_Log[Part Name],$A21,T_SelfStock_Log[WeekIndex],82))</f>
        <v/>
      </c>
      <c r="CF21" s="19">
        <f>IF(COUNTIFS(T_SelfStock_Log[Part Name],$A21,T_SelfStock_Log[WeekIndex],83)=0,"",SUMIFS(T_SelfStock_Log[Self_Qty],T_SelfStock_Log[Part Name],$A21,T_SelfStock_Log[WeekIndex],83))</f>
        <v/>
      </c>
      <c r="CG21" s="19">
        <f>IF(COUNTIFS(T_SelfStock_Log[Part Name],$A21,T_SelfStock_Log[WeekIndex],84)=0,"",SUMIFS(T_SelfStock_Log[Self_Qty],T_SelfStock_Log[Part Name],$A21,T_SelfStock_Log[WeekIndex],84))</f>
        <v/>
      </c>
      <c r="CH21" s="19">
        <f>IF(COUNTIFS(T_SelfStock_Log[Part Name],$A21,T_SelfStock_Log[WeekIndex],85)=0,"",SUMIFS(T_SelfStock_Log[Self_Qty],T_SelfStock_Log[Part Name],$A21,T_SelfStock_Log[WeekIndex],85))</f>
        <v/>
      </c>
      <c r="CI21" s="19">
        <f>IF(COUNTIFS(T_SelfStock_Log[Part Name],$A21,T_SelfStock_Log[WeekIndex],86)=0,"",SUMIFS(T_SelfStock_Log[Self_Qty],T_SelfStock_Log[Part Name],$A21,T_SelfStock_Log[WeekIndex],86))</f>
        <v/>
      </c>
      <c r="CJ21" s="19">
        <f>IF(COUNTIFS(T_SelfStock_Log[Part Name],$A21,T_SelfStock_Log[WeekIndex],87)=0,"",SUMIFS(T_SelfStock_Log[Self_Qty],T_SelfStock_Log[Part Name],$A21,T_SelfStock_Log[WeekIndex],87))</f>
        <v/>
      </c>
      <c r="CK21" s="19">
        <f>IF(COUNTIFS(T_SelfStock_Log[Part Name],$A21,T_SelfStock_Log[WeekIndex],88)=0,"",SUMIFS(T_SelfStock_Log[Self_Qty],T_SelfStock_Log[Part Name],$A21,T_SelfStock_Log[WeekIndex],88))</f>
        <v/>
      </c>
      <c r="CL21" s="19">
        <f>IF(COUNTIFS(T_SelfStock_Log[Part Name],$A21,T_SelfStock_Log[WeekIndex],89)=0,"",SUMIFS(T_SelfStock_Log[Self_Qty],T_SelfStock_Log[Part Name],$A21,T_SelfStock_Log[WeekIndex],89))</f>
        <v/>
      </c>
      <c r="CM21" s="19">
        <f>IF(COUNTIFS(T_SelfStock_Log[Part Name],$A21,T_SelfStock_Log[WeekIndex],90)=0,"",SUMIFS(T_SelfStock_Log[Self_Qty],T_SelfStock_Log[Part Name],$A21,T_SelfStock_Log[WeekIndex],90))</f>
        <v/>
      </c>
      <c r="CN21" s="19">
        <f>IF(COUNTIFS(T_SelfStock_Log[Part Name],$A21,T_SelfStock_Log[WeekIndex],91)=0,"",SUMIFS(T_SelfStock_Log[Self_Qty],T_SelfStock_Log[Part Name],$A21,T_SelfStock_Log[WeekIndex],91))</f>
        <v/>
      </c>
      <c r="CO21" s="19">
        <f>IF(COUNTIFS(T_SelfStock_Log[Part Name],$A21,T_SelfStock_Log[WeekIndex],92)=0,"",SUMIFS(T_SelfStock_Log[Self_Qty],T_SelfStock_Log[Part Name],$A21,T_SelfStock_Log[WeekIndex],92))</f>
        <v/>
      </c>
      <c r="CP21" s="19">
        <f>IF(COUNTIFS(T_SelfStock_Log[Part Name],$A21,T_SelfStock_Log[WeekIndex],93)=0,"",SUMIFS(T_SelfStock_Log[Self_Qty],T_SelfStock_Log[Part Name],$A21,T_SelfStock_Log[WeekIndex],93))</f>
        <v/>
      </c>
      <c r="CQ21" s="19">
        <f>IF(COUNTIFS(T_SelfStock_Log[Part Name],$A21,T_SelfStock_Log[WeekIndex],94)=0,"",SUMIFS(T_SelfStock_Log[Self_Qty],T_SelfStock_Log[Part Name],$A21,T_SelfStock_Log[WeekIndex],94))</f>
        <v/>
      </c>
      <c r="CR21" s="19">
        <f>IF(COUNTIFS(T_SelfStock_Log[Part Name],$A21,T_SelfStock_Log[WeekIndex],95)=0,"",SUMIFS(T_SelfStock_Log[Self_Qty],T_SelfStock_Log[Part Name],$A21,T_SelfStock_Log[WeekIndex],95))</f>
        <v/>
      </c>
      <c r="CS21" s="19">
        <f>IF(COUNTIFS(T_SelfStock_Log[Part Name],$A21,T_SelfStock_Log[WeekIndex],96)=0,"",SUMIFS(T_SelfStock_Log[Self_Qty],T_SelfStock_Log[Part Name],$A21,T_SelfStock_Log[WeekIndex],96))</f>
        <v/>
      </c>
      <c r="CT21" s="19">
        <f>IF(COUNTIFS(T_SelfStock_Log[Part Name],$A21,T_SelfStock_Log[WeekIndex],97)=0,"",SUMIFS(T_SelfStock_Log[Self_Qty],T_SelfStock_Log[Part Name],$A21,T_SelfStock_Log[WeekIndex],97))</f>
        <v/>
      </c>
      <c r="CU21" s="19">
        <f>IF(COUNTIFS(T_SelfStock_Log[Part Name],$A21,T_SelfStock_Log[WeekIndex],98)=0,"",SUMIFS(T_SelfStock_Log[Self_Qty],T_SelfStock_Log[Part Name],$A21,T_SelfStock_Log[WeekIndex],98))</f>
        <v/>
      </c>
      <c r="CV21" s="19">
        <f>IF(COUNTIFS(T_SelfStock_Log[Part Name],$A21,T_SelfStock_Log[WeekIndex],99)=0,"",SUMIFS(T_SelfStock_Log[Self_Qty],T_SelfStock_Log[Part Name],$A21,T_SelfStock_Log[WeekIndex],99))</f>
        <v/>
      </c>
      <c r="CW21" s="19">
        <f>IF(COUNTIFS(T_SelfStock_Log[Part Name],$A21,T_SelfStock_Log[WeekIndex],100)=0,"",SUMIFS(T_SelfStock_Log[Self_Qty],T_SelfStock_Log[Part Name],$A21,T_SelfStock_Log[WeekIndex],100))</f>
        <v/>
      </c>
      <c r="CX21" s="19">
        <f>IF(COUNTIFS(T_SelfStock_Log[Part Name],$A21,T_SelfStock_Log[WeekIndex],101)=0,"",SUMIFS(T_SelfStock_Log[Self_Qty],T_SelfStock_Log[Part Name],$A21,T_SelfStock_Log[WeekIndex],101))</f>
        <v/>
      </c>
      <c r="CY21" s="19">
        <f>IF(COUNTIFS(T_SelfStock_Log[Part Name],$A21,T_SelfStock_Log[WeekIndex],102)=0,"",SUMIFS(T_SelfStock_Log[Self_Qty],T_SelfStock_Log[Part Name],$A21,T_SelfStock_Log[WeekIndex],102))</f>
        <v/>
      </c>
      <c r="CZ21" s="19">
        <f>IF(COUNTIFS(T_SelfStock_Log[Part Name],$A21,T_SelfStock_Log[WeekIndex],103)=0,"",SUMIFS(T_SelfStock_Log[Self_Qty],T_SelfStock_Log[Part Name],$A21,T_SelfStock_Log[WeekIndex],103))</f>
        <v/>
      </c>
      <c r="DA21" s="19">
        <f>IF(COUNTIFS(T_SelfStock_Log[Part Name],$A21,T_SelfStock_Log[WeekIndex],104)=0,"",SUMIFS(T_SelfStock_Log[Self_Qty],T_SelfStock_Log[Part Name],$A21,T_SelfStock_Log[WeekIndex],104))</f>
        <v/>
      </c>
    </row>
    <row r="22">
      <c r="A22" s="17" t="inlineStr">
        <is>
          <t>5JK</t>
        </is>
      </c>
      <c r="B22" s="17">
        <f>IF(COUNTIFS(T_SelfStock_Log[Part Name],$A22,T_SelfStock_Log[WeekIndex],1)=0,"",SUMIFS(T_SelfStock_Log[Self_Qty],T_SelfStock_Log[Part Name],$A22,T_SelfStock_Log[WeekIndex],1))</f>
        <v/>
      </c>
      <c r="C22" s="17">
        <f>IF(COUNTIFS(T_SelfStock_Log[Part Name],$A22,T_SelfStock_Log[WeekIndex],2)=0,"",SUMIFS(T_SelfStock_Log[Self_Qty],T_SelfStock_Log[Part Name],$A22,T_SelfStock_Log[WeekIndex],2))</f>
        <v/>
      </c>
      <c r="D22" s="17">
        <f>IF(COUNTIFS(T_SelfStock_Log[Part Name],$A22,T_SelfStock_Log[WeekIndex],3)=0,"",SUMIFS(T_SelfStock_Log[Self_Qty],T_SelfStock_Log[Part Name],$A22,T_SelfStock_Log[WeekIndex],3))</f>
        <v/>
      </c>
      <c r="E22" s="17">
        <f>IF(COUNTIFS(T_SelfStock_Log[Part Name],$A22,T_SelfStock_Log[WeekIndex],4)=0,"",SUMIFS(T_SelfStock_Log[Self_Qty],T_SelfStock_Log[Part Name],$A22,T_SelfStock_Log[WeekIndex],4))</f>
        <v/>
      </c>
      <c r="F22" s="17">
        <f>IF(COUNTIFS(T_SelfStock_Log[Part Name],$A22,T_SelfStock_Log[WeekIndex],5)=0,"",SUMIFS(T_SelfStock_Log[Self_Qty],T_SelfStock_Log[Part Name],$A22,T_SelfStock_Log[WeekIndex],5))</f>
        <v/>
      </c>
      <c r="G22" s="17">
        <f>IF(COUNTIFS(T_SelfStock_Log[Part Name],$A22,T_SelfStock_Log[WeekIndex],6)=0,"",SUMIFS(T_SelfStock_Log[Self_Qty],T_SelfStock_Log[Part Name],$A22,T_SelfStock_Log[WeekIndex],6))</f>
        <v/>
      </c>
      <c r="H22" s="17">
        <f>IF(COUNTIFS(T_SelfStock_Log[Part Name],$A22,T_SelfStock_Log[WeekIndex],7)=0,"",SUMIFS(T_SelfStock_Log[Self_Qty],T_SelfStock_Log[Part Name],$A22,T_SelfStock_Log[WeekIndex],7))</f>
        <v/>
      </c>
      <c r="I22" s="17">
        <f>IF(COUNTIFS(T_SelfStock_Log[Part Name],$A22,T_SelfStock_Log[WeekIndex],8)=0,"",SUMIFS(T_SelfStock_Log[Self_Qty],T_SelfStock_Log[Part Name],$A22,T_SelfStock_Log[WeekIndex],8))</f>
        <v/>
      </c>
      <c r="J22" s="17">
        <f>IF(COUNTIFS(T_SelfStock_Log[Part Name],$A22,T_SelfStock_Log[WeekIndex],9)=0,"",SUMIFS(T_SelfStock_Log[Self_Qty],T_SelfStock_Log[Part Name],$A22,T_SelfStock_Log[WeekIndex],9))</f>
        <v/>
      </c>
      <c r="K22" s="17">
        <f>IF(COUNTIFS(T_SelfStock_Log[Part Name],$A22,T_SelfStock_Log[WeekIndex],10)=0,"",SUMIFS(T_SelfStock_Log[Self_Qty],T_SelfStock_Log[Part Name],$A22,T_SelfStock_Log[WeekIndex],10))</f>
        <v/>
      </c>
      <c r="L22" s="17">
        <f>IF(COUNTIFS(T_SelfStock_Log[Part Name],$A22,T_SelfStock_Log[WeekIndex],11)=0,"",SUMIFS(T_SelfStock_Log[Self_Qty],T_SelfStock_Log[Part Name],$A22,T_SelfStock_Log[WeekIndex],11))</f>
        <v/>
      </c>
      <c r="M22" s="17">
        <f>IF(COUNTIFS(T_SelfStock_Log[Part Name],$A22,T_SelfStock_Log[WeekIndex],12)=0,"",SUMIFS(T_SelfStock_Log[Self_Qty],T_SelfStock_Log[Part Name],$A22,T_SelfStock_Log[WeekIndex],12))</f>
        <v/>
      </c>
      <c r="N22" s="17">
        <f>IF(COUNTIFS(T_SelfStock_Log[Part Name],$A22,T_SelfStock_Log[WeekIndex],13)=0,"",SUMIFS(T_SelfStock_Log[Self_Qty],T_SelfStock_Log[Part Name],$A22,T_SelfStock_Log[WeekIndex],13))</f>
        <v/>
      </c>
      <c r="O22" s="17">
        <f>IF(COUNTIFS(T_SelfStock_Log[Part Name],$A22,T_SelfStock_Log[WeekIndex],14)=0,"",SUMIFS(T_SelfStock_Log[Self_Qty],T_SelfStock_Log[Part Name],$A22,T_SelfStock_Log[WeekIndex],14))</f>
        <v/>
      </c>
      <c r="P22" s="17">
        <f>IF(COUNTIFS(T_SelfStock_Log[Part Name],$A22,T_SelfStock_Log[WeekIndex],15)=0,"",SUMIFS(T_SelfStock_Log[Self_Qty],T_SelfStock_Log[Part Name],$A22,T_SelfStock_Log[WeekIndex],15))</f>
        <v/>
      </c>
      <c r="Q22" s="17">
        <f>IF(COUNTIFS(T_SelfStock_Log[Part Name],$A22,T_SelfStock_Log[WeekIndex],16)=0,"",SUMIFS(T_SelfStock_Log[Self_Qty],T_SelfStock_Log[Part Name],$A22,T_SelfStock_Log[WeekIndex],16))</f>
        <v/>
      </c>
      <c r="R22" s="17">
        <f>IF(COUNTIFS(T_SelfStock_Log[Part Name],$A22,T_SelfStock_Log[WeekIndex],17)=0,"",SUMIFS(T_SelfStock_Log[Self_Qty],T_SelfStock_Log[Part Name],$A22,T_SelfStock_Log[WeekIndex],17))</f>
        <v/>
      </c>
      <c r="S22" s="17">
        <f>IF(COUNTIFS(T_SelfStock_Log[Part Name],$A22,T_SelfStock_Log[WeekIndex],18)=0,"",SUMIFS(T_SelfStock_Log[Self_Qty],T_SelfStock_Log[Part Name],$A22,T_SelfStock_Log[WeekIndex],18))</f>
        <v/>
      </c>
      <c r="T22" s="17">
        <f>IF(COUNTIFS(T_SelfStock_Log[Part Name],$A22,T_SelfStock_Log[WeekIndex],19)=0,"",SUMIFS(T_SelfStock_Log[Self_Qty],T_SelfStock_Log[Part Name],$A22,T_SelfStock_Log[WeekIndex],19))</f>
        <v/>
      </c>
      <c r="U22" s="17">
        <f>IF(COUNTIFS(T_SelfStock_Log[Part Name],$A22,T_SelfStock_Log[WeekIndex],20)=0,"",SUMIFS(T_SelfStock_Log[Self_Qty],T_SelfStock_Log[Part Name],$A22,T_SelfStock_Log[WeekIndex],20))</f>
        <v/>
      </c>
      <c r="V22" s="17">
        <f>IF(COUNTIFS(T_SelfStock_Log[Part Name],$A22,T_SelfStock_Log[WeekIndex],21)=0,"",SUMIFS(T_SelfStock_Log[Self_Qty],T_SelfStock_Log[Part Name],$A22,T_SelfStock_Log[WeekIndex],21))</f>
        <v/>
      </c>
      <c r="W22" s="17">
        <f>IF(COUNTIFS(T_SelfStock_Log[Part Name],$A22,T_SelfStock_Log[WeekIndex],22)=0,"",SUMIFS(T_SelfStock_Log[Self_Qty],T_SelfStock_Log[Part Name],$A22,T_SelfStock_Log[WeekIndex],22))</f>
        <v/>
      </c>
      <c r="X22" s="17">
        <f>IF(COUNTIFS(T_SelfStock_Log[Part Name],$A22,T_SelfStock_Log[WeekIndex],23)=0,"",SUMIFS(T_SelfStock_Log[Self_Qty],T_SelfStock_Log[Part Name],$A22,T_SelfStock_Log[WeekIndex],23))</f>
        <v/>
      </c>
      <c r="Y22" s="17">
        <f>IF(COUNTIFS(T_SelfStock_Log[Part Name],$A22,T_SelfStock_Log[WeekIndex],24)=0,"",SUMIFS(T_SelfStock_Log[Self_Qty],T_SelfStock_Log[Part Name],$A22,T_SelfStock_Log[WeekIndex],24))</f>
        <v/>
      </c>
      <c r="Z22" s="17">
        <f>IF(COUNTIFS(T_SelfStock_Log[Part Name],$A22,T_SelfStock_Log[WeekIndex],25)=0,"",SUMIFS(T_SelfStock_Log[Self_Qty],T_SelfStock_Log[Part Name],$A22,T_SelfStock_Log[WeekIndex],25))</f>
        <v/>
      </c>
      <c r="AA22" s="17">
        <f>IF(COUNTIFS(T_SelfStock_Log[Part Name],$A22,T_SelfStock_Log[WeekIndex],26)=0,"",SUMIFS(T_SelfStock_Log[Self_Qty],T_SelfStock_Log[Part Name],$A22,T_SelfStock_Log[WeekIndex],26))</f>
        <v/>
      </c>
      <c r="AB22" s="17">
        <f>IF(COUNTIFS(T_SelfStock_Log[Part Name],$A22,T_SelfStock_Log[WeekIndex],27)=0,"",SUMIFS(T_SelfStock_Log[Self_Qty],T_SelfStock_Log[Part Name],$A22,T_SelfStock_Log[WeekIndex],27))</f>
        <v/>
      </c>
      <c r="AC22" s="17">
        <f>IF(COUNTIFS(T_SelfStock_Log[Part Name],$A22,T_SelfStock_Log[WeekIndex],28)=0,"",SUMIFS(T_SelfStock_Log[Self_Qty],T_SelfStock_Log[Part Name],$A22,T_SelfStock_Log[WeekIndex],28))</f>
        <v/>
      </c>
      <c r="AD22" s="17">
        <f>IF(COUNTIFS(T_SelfStock_Log[Part Name],$A22,T_SelfStock_Log[WeekIndex],29)=0,"",SUMIFS(T_SelfStock_Log[Self_Qty],T_SelfStock_Log[Part Name],$A22,T_SelfStock_Log[WeekIndex],29))</f>
        <v/>
      </c>
      <c r="AE22" s="17">
        <f>IF(COUNTIFS(T_SelfStock_Log[Part Name],$A22,T_SelfStock_Log[WeekIndex],30)=0,"",SUMIFS(T_SelfStock_Log[Self_Qty],T_SelfStock_Log[Part Name],$A22,T_SelfStock_Log[WeekIndex],30))</f>
        <v/>
      </c>
      <c r="AF22" s="17">
        <f>IF(COUNTIFS(T_SelfStock_Log[Part Name],$A22,T_SelfStock_Log[WeekIndex],31)=0,"",SUMIFS(T_SelfStock_Log[Self_Qty],T_SelfStock_Log[Part Name],$A22,T_SelfStock_Log[WeekIndex],31))</f>
        <v/>
      </c>
      <c r="AG22" s="17">
        <f>IF(COUNTIFS(T_SelfStock_Log[Part Name],$A22,T_SelfStock_Log[WeekIndex],32)=0,"",SUMIFS(T_SelfStock_Log[Self_Qty],T_SelfStock_Log[Part Name],$A22,T_SelfStock_Log[WeekIndex],32))</f>
        <v/>
      </c>
      <c r="AH22" s="17">
        <f>IF(COUNTIFS(T_SelfStock_Log[Part Name],$A22,T_SelfStock_Log[WeekIndex],33)=0,"",SUMIFS(T_SelfStock_Log[Self_Qty],T_SelfStock_Log[Part Name],$A22,T_SelfStock_Log[WeekIndex],33))</f>
        <v/>
      </c>
      <c r="AI22" s="17">
        <f>IF(COUNTIFS(T_SelfStock_Log[Part Name],$A22,T_SelfStock_Log[WeekIndex],34)=0,"",SUMIFS(T_SelfStock_Log[Self_Qty],T_SelfStock_Log[Part Name],$A22,T_SelfStock_Log[WeekIndex],34))</f>
        <v/>
      </c>
      <c r="AJ22" s="17">
        <f>IF(COUNTIFS(T_SelfStock_Log[Part Name],$A22,T_SelfStock_Log[WeekIndex],35)=0,"",SUMIFS(T_SelfStock_Log[Self_Qty],T_SelfStock_Log[Part Name],$A22,T_SelfStock_Log[WeekIndex],35))</f>
        <v/>
      </c>
      <c r="AK22" s="17">
        <f>IF(COUNTIFS(T_SelfStock_Log[Part Name],$A22,T_SelfStock_Log[WeekIndex],36)=0,"",SUMIFS(T_SelfStock_Log[Self_Qty],T_SelfStock_Log[Part Name],$A22,T_SelfStock_Log[WeekIndex],36))</f>
        <v/>
      </c>
      <c r="AL22" s="17">
        <f>IF(COUNTIFS(T_SelfStock_Log[Part Name],$A22,T_SelfStock_Log[WeekIndex],37)=0,"",SUMIFS(T_SelfStock_Log[Self_Qty],T_SelfStock_Log[Part Name],$A22,T_SelfStock_Log[WeekIndex],37))</f>
        <v/>
      </c>
      <c r="AM22" s="17">
        <f>IF(COUNTIFS(T_SelfStock_Log[Part Name],$A22,T_SelfStock_Log[WeekIndex],38)=0,"",SUMIFS(T_SelfStock_Log[Self_Qty],T_SelfStock_Log[Part Name],$A22,T_SelfStock_Log[WeekIndex],38))</f>
        <v/>
      </c>
      <c r="AN22" s="17">
        <f>IF(COUNTIFS(T_SelfStock_Log[Part Name],$A22,T_SelfStock_Log[WeekIndex],39)=0,"",SUMIFS(T_SelfStock_Log[Self_Qty],T_SelfStock_Log[Part Name],$A22,T_SelfStock_Log[WeekIndex],39))</f>
        <v/>
      </c>
      <c r="AO22" s="17">
        <f>IF(COUNTIFS(T_SelfStock_Log[Part Name],$A22,T_SelfStock_Log[WeekIndex],40)=0,"",SUMIFS(T_SelfStock_Log[Self_Qty],T_SelfStock_Log[Part Name],$A22,T_SelfStock_Log[WeekIndex],40))</f>
        <v/>
      </c>
      <c r="AP22" s="17">
        <f>IF(COUNTIFS(T_SelfStock_Log[Part Name],$A22,T_SelfStock_Log[WeekIndex],41)=0,"",SUMIFS(T_SelfStock_Log[Self_Qty],T_SelfStock_Log[Part Name],$A22,T_SelfStock_Log[WeekIndex],41))</f>
        <v/>
      </c>
      <c r="AQ22" s="17">
        <f>IF(COUNTIFS(T_SelfStock_Log[Part Name],$A22,T_SelfStock_Log[WeekIndex],42)=0,"",SUMIFS(T_SelfStock_Log[Self_Qty],T_SelfStock_Log[Part Name],$A22,T_SelfStock_Log[WeekIndex],42))</f>
        <v/>
      </c>
      <c r="AR22" s="17">
        <f>IF(COUNTIFS(T_SelfStock_Log[Part Name],$A22,T_SelfStock_Log[WeekIndex],43)=0,"",SUMIFS(T_SelfStock_Log[Self_Qty],T_SelfStock_Log[Part Name],$A22,T_SelfStock_Log[WeekIndex],43))</f>
        <v/>
      </c>
      <c r="AS22" s="17">
        <f>IF(COUNTIFS(T_SelfStock_Log[Part Name],$A22,T_SelfStock_Log[WeekIndex],44)=0,"",SUMIFS(T_SelfStock_Log[Self_Qty],T_SelfStock_Log[Part Name],$A22,T_SelfStock_Log[WeekIndex],44))</f>
        <v/>
      </c>
      <c r="AT22" s="17">
        <f>IF(COUNTIFS(T_SelfStock_Log[Part Name],$A22,T_SelfStock_Log[WeekIndex],45)=0,"",SUMIFS(T_SelfStock_Log[Self_Qty],T_SelfStock_Log[Part Name],$A22,T_SelfStock_Log[WeekIndex],45))</f>
        <v/>
      </c>
      <c r="AU22" s="17">
        <f>IF(COUNTIFS(T_SelfStock_Log[Part Name],$A22,T_SelfStock_Log[WeekIndex],46)=0,"",SUMIFS(T_SelfStock_Log[Self_Qty],T_SelfStock_Log[Part Name],$A22,T_SelfStock_Log[WeekIndex],46))</f>
        <v/>
      </c>
      <c r="AV22" s="17">
        <f>IF(COUNTIFS(T_SelfStock_Log[Part Name],$A22,T_SelfStock_Log[WeekIndex],47)=0,"",SUMIFS(T_SelfStock_Log[Self_Qty],T_SelfStock_Log[Part Name],$A22,T_SelfStock_Log[WeekIndex],47))</f>
        <v/>
      </c>
      <c r="AW22" s="17">
        <f>IF(COUNTIFS(T_SelfStock_Log[Part Name],$A22,T_SelfStock_Log[WeekIndex],48)=0,"",SUMIFS(T_SelfStock_Log[Self_Qty],T_SelfStock_Log[Part Name],$A22,T_SelfStock_Log[WeekIndex],48))</f>
        <v/>
      </c>
      <c r="AX22" s="17">
        <f>IF(COUNTIFS(T_SelfStock_Log[Part Name],$A22,T_SelfStock_Log[WeekIndex],49)=0,"",SUMIFS(T_SelfStock_Log[Self_Qty],T_SelfStock_Log[Part Name],$A22,T_SelfStock_Log[WeekIndex],49))</f>
        <v/>
      </c>
      <c r="AY22" s="17">
        <f>IF(COUNTIFS(T_SelfStock_Log[Part Name],$A22,T_SelfStock_Log[WeekIndex],50)=0,"",SUMIFS(T_SelfStock_Log[Self_Qty],T_SelfStock_Log[Part Name],$A22,T_SelfStock_Log[WeekIndex],50))</f>
        <v/>
      </c>
      <c r="AZ22" s="17">
        <f>IF(COUNTIFS(T_SelfStock_Log[Part Name],$A22,T_SelfStock_Log[WeekIndex],51)=0,"",SUMIFS(T_SelfStock_Log[Self_Qty],T_SelfStock_Log[Part Name],$A22,T_SelfStock_Log[WeekIndex],51))</f>
        <v/>
      </c>
      <c r="BA22" s="17">
        <f>IF(COUNTIFS(T_SelfStock_Log[Part Name],$A22,T_SelfStock_Log[WeekIndex],52)=0,"",SUMIFS(T_SelfStock_Log[Self_Qty],T_SelfStock_Log[Part Name],$A22,T_SelfStock_Log[WeekIndex],52))</f>
        <v/>
      </c>
      <c r="BB22" s="17">
        <f>IF(COUNTIFS(T_SelfStock_Log[Part Name],$A22,T_SelfStock_Log[WeekIndex],53)=0,"",SUMIFS(T_SelfStock_Log[Self_Qty],T_SelfStock_Log[Part Name],$A22,T_SelfStock_Log[WeekIndex],53))</f>
        <v/>
      </c>
      <c r="BC22" s="17">
        <f>IF(COUNTIFS(T_SelfStock_Log[Part Name],$A22,T_SelfStock_Log[WeekIndex],54)=0,"",SUMIFS(T_SelfStock_Log[Self_Qty],T_SelfStock_Log[Part Name],$A22,T_SelfStock_Log[WeekIndex],54))</f>
        <v/>
      </c>
      <c r="BD22" s="17">
        <f>IF(COUNTIFS(T_SelfStock_Log[Part Name],$A22,T_SelfStock_Log[WeekIndex],55)=0,"",SUMIFS(T_SelfStock_Log[Self_Qty],T_SelfStock_Log[Part Name],$A22,T_SelfStock_Log[WeekIndex],55))</f>
        <v/>
      </c>
      <c r="BE22" s="17">
        <f>IF(COUNTIFS(T_SelfStock_Log[Part Name],$A22,T_SelfStock_Log[WeekIndex],56)=0,"",SUMIFS(T_SelfStock_Log[Self_Qty],T_SelfStock_Log[Part Name],$A22,T_SelfStock_Log[WeekIndex],56))</f>
        <v/>
      </c>
      <c r="BF22" s="17">
        <f>IF(COUNTIFS(T_SelfStock_Log[Part Name],$A22,T_SelfStock_Log[WeekIndex],57)=0,"",SUMIFS(T_SelfStock_Log[Self_Qty],T_SelfStock_Log[Part Name],$A22,T_SelfStock_Log[WeekIndex],57))</f>
        <v/>
      </c>
      <c r="BG22" s="17">
        <f>IF(COUNTIFS(T_SelfStock_Log[Part Name],$A22,T_SelfStock_Log[WeekIndex],58)=0,"",SUMIFS(T_SelfStock_Log[Self_Qty],T_SelfStock_Log[Part Name],$A22,T_SelfStock_Log[WeekIndex],58))</f>
        <v/>
      </c>
      <c r="BH22" s="17">
        <f>IF(COUNTIFS(T_SelfStock_Log[Part Name],$A22,T_SelfStock_Log[WeekIndex],59)=0,"",SUMIFS(T_SelfStock_Log[Self_Qty],T_SelfStock_Log[Part Name],$A22,T_SelfStock_Log[WeekIndex],59))</f>
        <v/>
      </c>
      <c r="BI22" s="17">
        <f>IF(COUNTIFS(T_SelfStock_Log[Part Name],$A22,T_SelfStock_Log[WeekIndex],60)=0,"",SUMIFS(T_SelfStock_Log[Self_Qty],T_SelfStock_Log[Part Name],$A22,T_SelfStock_Log[WeekIndex],60))</f>
        <v/>
      </c>
      <c r="BJ22" s="17">
        <f>IF(COUNTIFS(T_SelfStock_Log[Part Name],$A22,T_SelfStock_Log[WeekIndex],61)=0,"",SUMIFS(T_SelfStock_Log[Self_Qty],T_SelfStock_Log[Part Name],$A22,T_SelfStock_Log[WeekIndex],61))</f>
        <v/>
      </c>
      <c r="BK22" s="17">
        <f>IF(COUNTIFS(T_SelfStock_Log[Part Name],$A22,T_SelfStock_Log[WeekIndex],62)=0,"",SUMIFS(T_SelfStock_Log[Self_Qty],T_SelfStock_Log[Part Name],$A22,T_SelfStock_Log[WeekIndex],62))</f>
        <v/>
      </c>
      <c r="BL22" s="17">
        <f>IF(COUNTIFS(T_SelfStock_Log[Part Name],$A22,T_SelfStock_Log[WeekIndex],63)=0,"",SUMIFS(T_SelfStock_Log[Self_Qty],T_SelfStock_Log[Part Name],$A22,T_SelfStock_Log[WeekIndex],63))</f>
        <v/>
      </c>
      <c r="BM22" s="17">
        <f>IF(COUNTIFS(T_SelfStock_Log[Part Name],$A22,T_SelfStock_Log[WeekIndex],64)=0,"",SUMIFS(T_SelfStock_Log[Self_Qty],T_SelfStock_Log[Part Name],$A22,T_SelfStock_Log[WeekIndex],64))</f>
        <v/>
      </c>
      <c r="BN22" s="17">
        <f>IF(COUNTIFS(T_SelfStock_Log[Part Name],$A22,T_SelfStock_Log[WeekIndex],65)=0,"",SUMIFS(T_SelfStock_Log[Self_Qty],T_SelfStock_Log[Part Name],$A22,T_SelfStock_Log[WeekIndex],65))</f>
        <v/>
      </c>
      <c r="BO22" s="17">
        <f>IF(COUNTIFS(T_SelfStock_Log[Part Name],$A22,T_SelfStock_Log[WeekIndex],66)=0,"",SUMIFS(T_SelfStock_Log[Self_Qty],T_SelfStock_Log[Part Name],$A22,T_SelfStock_Log[WeekIndex],66))</f>
        <v/>
      </c>
      <c r="BP22" s="17">
        <f>IF(COUNTIFS(T_SelfStock_Log[Part Name],$A22,T_SelfStock_Log[WeekIndex],67)=0,"",SUMIFS(T_SelfStock_Log[Self_Qty],T_SelfStock_Log[Part Name],$A22,T_SelfStock_Log[WeekIndex],67))</f>
        <v/>
      </c>
      <c r="BQ22" s="17">
        <f>IF(COUNTIFS(T_SelfStock_Log[Part Name],$A22,T_SelfStock_Log[WeekIndex],68)=0,"",SUMIFS(T_SelfStock_Log[Self_Qty],T_SelfStock_Log[Part Name],$A22,T_SelfStock_Log[WeekIndex],68))</f>
        <v/>
      </c>
      <c r="BR22" s="17">
        <f>IF(COUNTIFS(T_SelfStock_Log[Part Name],$A22,T_SelfStock_Log[WeekIndex],69)=0,"",SUMIFS(T_SelfStock_Log[Self_Qty],T_SelfStock_Log[Part Name],$A22,T_SelfStock_Log[WeekIndex],69))</f>
        <v/>
      </c>
      <c r="BS22" s="17">
        <f>IF(COUNTIFS(T_SelfStock_Log[Part Name],$A22,T_SelfStock_Log[WeekIndex],70)=0,"",SUMIFS(T_SelfStock_Log[Self_Qty],T_SelfStock_Log[Part Name],$A22,T_SelfStock_Log[WeekIndex],70))</f>
        <v/>
      </c>
      <c r="BT22" s="17">
        <f>IF(COUNTIFS(T_SelfStock_Log[Part Name],$A22,T_SelfStock_Log[WeekIndex],71)=0,"",SUMIFS(T_SelfStock_Log[Self_Qty],T_SelfStock_Log[Part Name],$A22,T_SelfStock_Log[WeekIndex],71))</f>
        <v/>
      </c>
      <c r="BU22" s="17">
        <f>IF(COUNTIFS(T_SelfStock_Log[Part Name],$A22,T_SelfStock_Log[WeekIndex],72)=0,"",SUMIFS(T_SelfStock_Log[Self_Qty],T_SelfStock_Log[Part Name],$A22,T_SelfStock_Log[WeekIndex],72))</f>
        <v/>
      </c>
      <c r="BV22" s="17">
        <f>IF(COUNTIFS(T_SelfStock_Log[Part Name],$A22,T_SelfStock_Log[WeekIndex],73)=0,"",SUMIFS(T_SelfStock_Log[Self_Qty],T_SelfStock_Log[Part Name],$A22,T_SelfStock_Log[WeekIndex],73))</f>
        <v/>
      </c>
      <c r="BW22" s="17">
        <f>IF(COUNTIFS(T_SelfStock_Log[Part Name],$A22,T_SelfStock_Log[WeekIndex],74)=0,"",SUMIFS(T_SelfStock_Log[Self_Qty],T_SelfStock_Log[Part Name],$A22,T_SelfStock_Log[WeekIndex],74))</f>
        <v/>
      </c>
      <c r="BX22" s="17">
        <f>IF(COUNTIFS(T_SelfStock_Log[Part Name],$A22,T_SelfStock_Log[WeekIndex],75)=0,"",SUMIFS(T_SelfStock_Log[Self_Qty],T_SelfStock_Log[Part Name],$A22,T_SelfStock_Log[WeekIndex],75))</f>
        <v/>
      </c>
      <c r="BY22" s="17">
        <f>IF(COUNTIFS(T_SelfStock_Log[Part Name],$A22,T_SelfStock_Log[WeekIndex],76)=0,"",SUMIFS(T_SelfStock_Log[Self_Qty],T_SelfStock_Log[Part Name],$A22,T_SelfStock_Log[WeekIndex],76))</f>
        <v/>
      </c>
      <c r="BZ22" s="17">
        <f>IF(COUNTIFS(T_SelfStock_Log[Part Name],$A22,T_SelfStock_Log[WeekIndex],77)=0,"",SUMIFS(T_SelfStock_Log[Self_Qty],T_SelfStock_Log[Part Name],$A22,T_SelfStock_Log[WeekIndex],77))</f>
        <v/>
      </c>
      <c r="CA22" s="17">
        <f>IF(COUNTIFS(T_SelfStock_Log[Part Name],$A22,T_SelfStock_Log[WeekIndex],78)=0,"",SUMIFS(T_SelfStock_Log[Self_Qty],T_SelfStock_Log[Part Name],$A22,T_SelfStock_Log[WeekIndex],78))</f>
        <v/>
      </c>
      <c r="CB22" s="17">
        <f>IF(COUNTIFS(T_SelfStock_Log[Part Name],$A22,T_SelfStock_Log[WeekIndex],79)=0,"",SUMIFS(T_SelfStock_Log[Self_Qty],T_SelfStock_Log[Part Name],$A22,T_SelfStock_Log[WeekIndex],79))</f>
        <v/>
      </c>
      <c r="CC22" s="17">
        <f>IF(COUNTIFS(T_SelfStock_Log[Part Name],$A22,T_SelfStock_Log[WeekIndex],80)=0,"",SUMIFS(T_SelfStock_Log[Self_Qty],T_SelfStock_Log[Part Name],$A22,T_SelfStock_Log[WeekIndex],80))</f>
        <v/>
      </c>
      <c r="CD22" s="17">
        <f>IF(COUNTIFS(T_SelfStock_Log[Part Name],$A22,T_SelfStock_Log[WeekIndex],81)=0,"",SUMIFS(T_SelfStock_Log[Self_Qty],T_SelfStock_Log[Part Name],$A22,T_SelfStock_Log[WeekIndex],81))</f>
        <v/>
      </c>
      <c r="CE22" s="17">
        <f>IF(COUNTIFS(T_SelfStock_Log[Part Name],$A22,T_SelfStock_Log[WeekIndex],82)=0,"",SUMIFS(T_SelfStock_Log[Self_Qty],T_SelfStock_Log[Part Name],$A22,T_SelfStock_Log[WeekIndex],82))</f>
        <v/>
      </c>
      <c r="CF22" s="17">
        <f>IF(COUNTIFS(T_SelfStock_Log[Part Name],$A22,T_SelfStock_Log[WeekIndex],83)=0,"",SUMIFS(T_SelfStock_Log[Self_Qty],T_SelfStock_Log[Part Name],$A22,T_SelfStock_Log[WeekIndex],83))</f>
        <v/>
      </c>
      <c r="CG22" s="17">
        <f>IF(COUNTIFS(T_SelfStock_Log[Part Name],$A22,T_SelfStock_Log[WeekIndex],84)=0,"",SUMIFS(T_SelfStock_Log[Self_Qty],T_SelfStock_Log[Part Name],$A22,T_SelfStock_Log[WeekIndex],84))</f>
        <v/>
      </c>
      <c r="CH22" s="17">
        <f>IF(COUNTIFS(T_SelfStock_Log[Part Name],$A22,T_SelfStock_Log[WeekIndex],85)=0,"",SUMIFS(T_SelfStock_Log[Self_Qty],T_SelfStock_Log[Part Name],$A22,T_SelfStock_Log[WeekIndex],85))</f>
        <v/>
      </c>
      <c r="CI22" s="17">
        <f>IF(COUNTIFS(T_SelfStock_Log[Part Name],$A22,T_SelfStock_Log[WeekIndex],86)=0,"",SUMIFS(T_SelfStock_Log[Self_Qty],T_SelfStock_Log[Part Name],$A22,T_SelfStock_Log[WeekIndex],86))</f>
        <v/>
      </c>
      <c r="CJ22" s="17">
        <f>IF(COUNTIFS(T_SelfStock_Log[Part Name],$A22,T_SelfStock_Log[WeekIndex],87)=0,"",SUMIFS(T_SelfStock_Log[Self_Qty],T_SelfStock_Log[Part Name],$A22,T_SelfStock_Log[WeekIndex],87))</f>
        <v/>
      </c>
      <c r="CK22" s="17">
        <f>IF(COUNTIFS(T_SelfStock_Log[Part Name],$A22,T_SelfStock_Log[WeekIndex],88)=0,"",SUMIFS(T_SelfStock_Log[Self_Qty],T_SelfStock_Log[Part Name],$A22,T_SelfStock_Log[WeekIndex],88))</f>
        <v/>
      </c>
      <c r="CL22" s="17">
        <f>IF(COUNTIFS(T_SelfStock_Log[Part Name],$A22,T_SelfStock_Log[WeekIndex],89)=0,"",SUMIFS(T_SelfStock_Log[Self_Qty],T_SelfStock_Log[Part Name],$A22,T_SelfStock_Log[WeekIndex],89))</f>
        <v/>
      </c>
      <c r="CM22" s="17">
        <f>IF(COUNTIFS(T_SelfStock_Log[Part Name],$A22,T_SelfStock_Log[WeekIndex],90)=0,"",SUMIFS(T_SelfStock_Log[Self_Qty],T_SelfStock_Log[Part Name],$A22,T_SelfStock_Log[WeekIndex],90))</f>
        <v/>
      </c>
      <c r="CN22" s="17">
        <f>IF(COUNTIFS(T_SelfStock_Log[Part Name],$A22,T_SelfStock_Log[WeekIndex],91)=0,"",SUMIFS(T_SelfStock_Log[Self_Qty],T_SelfStock_Log[Part Name],$A22,T_SelfStock_Log[WeekIndex],91))</f>
        <v/>
      </c>
      <c r="CO22" s="17">
        <f>IF(COUNTIFS(T_SelfStock_Log[Part Name],$A22,T_SelfStock_Log[WeekIndex],92)=0,"",SUMIFS(T_SelfStock_Log[Self_Qty],T_SelfStock_Log[Part Name],$A22,T_SelfStock_Log[WeekIndex],92))</f>
        <v/>
      </c>
      <c r="CP22" s="17">
        <f>IF(COUNTIFS(T_SelfStock_Log[Part Name],$A22,T_SelfStock_Log[WeekIndex],93)=0,"",SUMIFS(T_SelfStock_Log[Self_Qty],T_SelfStock_Log[Part Name],$A22,T_SelfStock_Log[WeekIndex],93))</f>
        <v/>
      </c>
      <c r="CQ22" s="17">
        <f>IF(COUNTIFS(T_SelfStock_Log[Part Name],$A22,T_SelfStock_Log[WeekIndex],94)=0,"",SUMIFS(T_SelfStock_Log[Self_Qty],T_SelfStock_Log[Part Name],$A22,T_SelfStock_Log[WeekIndex],94))</f>
        <v/>
      </c>
      <c r="CR22" s="17">
        <f>IF(COUNTIFS(T_SelfStock_Log[Part Name],$A22,T_SelfStock_Log[WeekIndex],95)=0,"",SUMIFS(T_SelfStock_Log[Self_Qty],T_SelfStock_Log[Part Name],$A22,T_SelfStock_Log[WeekIndex],95))</f>
        <v/>
      </c>
      <c r="CS22" s="17">
        <f>IF(COUNTIFS(T_SelfStock_Log[Part Name],$A22,T_SelfStock_Log[WeekIndex],96)=0,"",SUMIFS(T_SelfStock_Log[Self_Qty],T_SelfStock_Log[Part Name],$A22,T_SelfStock_Log[WeekIndex],96))</f>
        <v/>
      </c>
      <c r="CT22" s="17">
        <f>IF(COUNTIFS(T_SelfStock_Log[Part Name],$A22,T_SelfStock_Log[WeekIndex],97)=0,"",SUMIFS(T_SelfStock_Log[Self_Qty],T_SelfStock_Log[Part Name],$A22,T_SelfStock_Log[WeekIndex],97))</f>
        <v/>
      </c>
      <c r="CU22" s="17">
        <f>IF(COUNTIFS(T_SelfStock_Log[Part Name],$A22,T_SelfStock_Log[WeekIndex],98)=0,"",SUMIFS(T_SelfStock_Log[Self_Qty],T_SelfStock_Log[Part Name],$A22,T_SelfStock_Log[WeekIndex],98))</f>
        <v/>
      </c>
      <c r="CV22" s="17">
        <f>IF(COUNTIFS(T_SelfStock_Log[Part Name],$A22,T_SelfStock_Log[WeekIndex],99)=0,"",SUMIFS(T_SelfStock_Log[Self_Qty],T_SelfStock_Log[Part Name],$A22,T_SelfStock_Log[WeekIndex],99))</f>
        <v/>
      </c>
      <c r="CW22" s="17">
        <f>IF(COUNTIFS(T_SelfStock_Log[Part Name],$A22,T_SelfStock_Log[WeekIndex],100)=0,"",SUMIFS(T_SelfStock_Log[Self_Qty],T_SelfStock_Log[Part Name],$A22,T_SelfStock_Log[WeekIndex],100))</f>
        <v/>
      </c>
      <c r="CX22" s="17">
        <f>IF(COUNTIFS(T_SelfStock_Log[Part Name],$A22,T_SelfStock_Log[WeekIndex],101)=0,"",SUMIFS(T_SelfStock_Log[Self_Qty],T_SelfStock_Log[Part Name],$A22,T_SelfStock_Log[WeekIndex],101))</f>
        <v/>
      </c>
      <c r="CY22" s="17">
        <f>IF(COUNTIFS(T_SelfStock_Log[Part Name],$A22,T_SelfStock_Log[WeekIndex],102)=0,"",SUMIFS(T_SelfStock_Log[Self_Qty],T_SelfStock_Log[Part Name],$A22,T_SelfStock_Log[WeekIndex],102))</f>
        <v/>
      </c>
      <c r="CZ22" s="17">
        <f>IF(COUNTIFS(T_SelfStock_Log[Part Name],$A22,T_SelfStock_Log[WeekIndex],103)=0,"",SUMIFS(T_SelfStock_Log[Self_Qty],T_SelfStock_Log[Part Name],$A22,T_SelfStock_Log[WeekIndex],103))</f>
        <v/>
      </c>
      <c r="DA22" s="17">
        <f>IF(COUNTIFS(T_SelfStock_Log[Part Name],$A22,T_SelfStock_Log[WeekIndex],104)=0,"",SUMIFS(T_SelfStock_Log[Self_Qty],T_SelfStock_Log[Part Name],$A22,T_SelfStock_Log[WeekIndex],104))</f>
        <v/>
      </c>
    </row>
    <row r="23">
      <c r="A23" s="19" t="inlineStr">
        <is>
          <t>26F</t>
        </is>
      </c>
      <c r="B23" s="19">
        <f>IF(COUNTIFS(T_SelfStock_Log[Part Name],$A23,T_SelfStock_Log[WeekIndex],1)=0,"",SUMIFS(T_SelfStock_Log[Self_Qty],T_SelfStock_Log[Part Name],$A23,T_SelfStock_Log[WeekIndex],1))</f>
        <v/>
      </c>
      <c r="C23" s="19">
        <f>IF(COUNTIFS(T_SelfStock_Log[Part Name],$A23,T_SelfStock_Log[WeekIndex],2)=0,"",SUMIFS(T_SelfStock_Log[Self_Qty],T_SelfStock_Log[Part Name],$A23,T_SelfStock_Log[WeekIndex],2))</f>
        <v/>
      </c>
      <c r="D23" s="19">
        <f>IF(COUNTIFS(T_SelfStock_Log[Part Name],$A23,T_SelfStock_Log[WeekIndex],3)=0,"",SUMIFS(T_SelfStock_Log[Self_Qty],T_SelfStock_Log[Part Name],$A23,T_SelfStock_Log[WeekIndex],3))</f>
        <v/>
      </c>
      <c r="E23" s="19">
        <f>IF(COUNTIFS(T_SelfStock_Log[Part Name],$A23,T_SelfStock_Log[WeekIndex],4)=0,"",SUMIFS(T_SelfStock_Log[Self_Qty],T_SelfStock_Log[Part Name],$A23,T_SelfStock_Log[WeekIndex],4))</f>
        <v/>
      </c>
      <c r="F23" s="19">
        <f>IF(COUNTIFS(T_SelfStock_Log[Part Name],$A23,T_SelfStock_Log[WeekIndex],5)=0,"",SUMIFS(T_SelfStock_Log[Self_Qty],T_SelfStock_Log[Part Name],$A23,T_SelfStock_Log[WeekIndex],5))</f>
        <v/>
      </c>
      <c r="G23" s="19">
        <f>IF(COUNTIFS(T_SelfStock_Log[Part Name],$A23,T_SelfStock_Log[WeekIndex],6)=0,"",SUMIFS(T_SelfStock_Log[Self_Qty],T_SelfStock_Log[Part Name],$A23,T_SelfStock_Log[WeekIndex],6))</f>
        <v/>
      </c>
      <c r="H23" s="19">
        <f>IF(COUNTIFS(T_SelfStock_Log[Part Name],$A23,T_SelfStock_Log[WeekIndex],7)=0,"",SUMIFS(T_SelfStock_Log[Self_Qty],T_SelfStock_Log[Part Name],$A23,T_SelfStock_Log[WeekIndex],7))</f>
        <v/>
      </c>
      <c r="I23" s="19">
        <f>IF(COUNTIFS(T_SelfStock_Log[Part Name],$A23,T_SelfStock_Log[WeekIndex],8)=0,"",SUMIFS(T_SelfStock_Log[Self_Qty],T_SelfStock_Log[Part Name],$A23,T_SelfStock_Log[WeekIndex],8))</f>
        <v/>
      </c>
      <c r="J23" s="19">
        <f>IF(COUNTIFS(T_SelfStock_Log[Part Name],$A23,T_SelfStock_Log[WeekIndex],9)=0,"",SUMIFS(T_SelfStock_Log[Self_Qty],T_SelfStock_Log[Part Name],$A23,T_SelfStock_Log[WeekIndex],9))</f>
        <v/>
      </c>
      <c r="K23" s="19">
        <f>IF(COUNTIFS(T_SelfStock_Log[Part Name],$A23,T_SelfStock_Log[WeekIndex],10)=0,"",SUMIFS(T_SelfStock_Log[Self_Qty],T_SelfStock_Log[Part Name],$A23,T_SelfStock_Log[WeekIndex],10))</f>
        <v/>
      </c>
      <c r="L23" s="19">
        <f>IF(COUNTIFS(T_SelfStock_Log[Part Name],$A23,T_SelfStock_Log[WeekIndex],11)=0,"",SUMIFS(T_SelfStock_Log[Self_Qty],T_SelfStock_Log[Part Name],$A23,T_SelfStock_Log[WeekIndex],11))</f>
        <v/>
      </c>
      <c r="M23" s="19">
        <f>IF(COUNTIFS(T_SelfStock_Log[Part Name],$A23,T_SelfStock_Log[WeekIndex],12)=0,"",SUMIFS(T_SelfStock_Log[Self_Qty],T_SelfStock_Log[Part Name],$A23,T_SelfStock_Log[WeekIndex],12))</f>
        <v/>
      </c>
      <c r="N23" s="19">
        <f>IF(COUNTIFS(T_SelfStock_Log[Part Name],$A23,T_SelfStock_Log[WeekIndex],13)=0,"",SUMIFS(T_SelfStock_Log[Self_Qty],T_SelfStock_Log[Part Name],$A23,T_SelfStock_Log[WeekIndex],13))</f>
        <v/>
      </c>
      <c r="O23" s="19">
        <f>IF(COUNTIFS(T_SelfStock_Log[Part Name],$A23,T_SelfStock_Log[WeekIndex],14)=0,"",SUMIFS(T_SelfStock_Log[Self_Qty],T_SelfStock_Log[Part Name],$A23,T_SelfStock_Log[WeekIndex],14))</f>
        <v/>
      </c>
      <c r="P23" s="19">
        <f>IF(COUNTIFS(T_SelfStock_Log[Part Name],$A23,T_SelfStock_Log[WeekIndex],15)=0,"",SUMIFS(T_SelfStock_Log[Self_Qty],T_SelfStock_Log[Part Name],$A23,T_SelfStock_Log[WeekIndex],15))</f>
        <v/>
      </c>
      <c r="Q23" s="19">
        <f>IF(COUNTIFS(T_SelfStock_Log[Part Name],$A23,T_SelfStock_Log[WeekIndex],16)=0,"",SUMIFS(T_SelfStock_Log[Self_Qty],T_SelfStock_Log[Part Name],$A23,T_SelfStock_Log[WeekIndex],16))</f>
        <v/>
      </c>
      <c r="R23" s="19">
        <f>IF(COUNTIFS(T_SelfStock_Log[Part Name],$A23,T_SelfStock_Log[WeekIndex],17)=0,"",SUMIFS(T_SelfStock_Log[Self_Qty],T_SelfStock_Log[Part Name],$A23,T_SelfStock_Log[WeekIndex],17))</f>
        <v/>
      </c>
      <c r="S23" s="19">
        <f>IF(COUNTIFS(T_SelfStock_Log[Part Name],$A23,T_SelfStock_Log[WeekIndex],18)=0,"",SUMIFS(T_SelfStock_Log[Self_Qty],T_SelfStock_Log[Part Name],$A23,T_SelfStock_Log[WeekIndex],18))</f>
        <v/>
      </c>
      <c r="T23" s="19">
        <f>IF(COUNTIFS(T_SelfStock_Log[Part Name],$A23,T_SelfStock_Log[WeekIndex],19)=0,"",SUMIFS(T_SelfStock_Log[Self_Qty],T_SelfStock_Log[Part Name],$A23,T_SelfStock_Log[WeekIndex],19))</f>
        <v/>
      </c>
      <c r="U23" s="19">
        <f>IF(COUNTIFS(T_SelfStock_Log[Part Name],$A23,T_SelfStock_Log[WeekIndex],20)=0,"",SUMIFS(T_SelfStock_Log[Self_Qty],T_SelfStock_Log[Part Name],$A23,T_SelfStock_Log[WeekIndex],20))</f>
        <v/>
      </c>
      <c r="V23" s="19">
        <f>IF(COUNTIFS(T_SelfStock_Log[Part Name],$A23,T_SelfStock_Log[WeekIndex],21)=0,"",SUMIFS(T_SelfStock_Log[Self_Qty],T_SelfStock_Log[Part Name],$A23,T_SelfStock_Log[WeekIndex],21))</f>
        <v/>
      </c>
      <c r="W23" s="19">
        <f>IF(COUNTIFS(T_SelfStock_Log[Part Name],$A23,T_SelfStock_Log[WeekIndex],22)=0,"",SUMIFS(T_SelfStock_Log[Self_Qty],T_SelfStock_Log[Part Name],$A23,T_SelfStock_Log[WeekIndex],22))</f>
        <v/>
      </c>
      <c r="X23" s="19">
        <f>IF(COUNTIFS(T_SelfStock_Log[Part Name],$A23,T_SelfStock_Log[WeekIndex],23)=0,"",SUMIFS(T_SelfStock_Log[Self_Qty],T_SelfStock_Log[Part Name],$A23,T_SelfStock_Log[WeekIndex],23))</f>
        <v/>
      </c>
      <c r="Y23" s="19">
        <f>IF(COUNTIFS(T_SelfStock_Log[Part Name],$A23,T_SelfStock_Log[WeekIndex],24)=0,"",SUMIFS(T_SelfStock_Log[Self_Qty],T_SelfStock_Log[Part Name],$A23,T_SelfStock_Log[WeekIndex],24))</f>
        <v/>
      </c>
      <c r="Z23" s="19">
        <f>IF(COUNTIFS(T_SelfStock_Log[Part Name],$A23,T_SelfStock_Log[WeekIndex],25)=0,"",SUMIFS(T_SelfStock_Log[Self_Qty],T_SelfStock_Log[Part Name],$A23,T_SelfStock_Log[WeekIndex],25))</f>
        <v/>
      </c>
      <c r="AA23" s="19">
        <f>IF(COUNTIFS(T_SelfStock_Log[Part Name],$A23,T_SelfStock_Log[WeekIndex],26)=0,"",SUMIFS(T_SelfStock_Log[Self_Qty],T_SelfStock_Log[Part Name],$A23,T_SelfStock_Log[WeekIndex],26))</f>
        <v/>
      </c>
      <c r="AB23" s="19">
        <f>IF(COUNTIFS(T_SelfStock_Log[Part Name],$A23,T_SelfStock_Log[WeekIndex],27)=0,"",SUMIFS(T_SelfStock_Log[Self_Qty],T_SelfStock_Log[Part Name],$A23,T_SelfStock_Log[WeekIndex],27))</f>
        <v/>
      </c>
      <c r="AC23" s="19">
        <f>IF(COUNTIFS(T_SelfStock_Log[Part Name],$A23,T_SelfStock_Log[WeekIndex],28)=0,"",SUMIFS(T_SelfStock_Log[Self_Qty],T_SelfStock_Log[Part Name],$A23,T_SelfStock_Log[WeekIndex],28))</f>
        <v/>
      </c>
      <c r="AD23" s="19">
        <f>IF(COUNTIFS(T_SelfStock_Log[Part Name],$A23,T_SelfStock_Log[WeekIndex],29)=0,"",SUMIFS(T_SelfStock_Log[Self_Qty],T_SelfStock_Log[Part Name],$A23,T_SelfStock_Log[WeekIndex],29))</f>
        <v/>
      </c>
      <c r="AE23" s="19">
        <f>IF(COUNTIFS(T_SelfStock_Log[Part Name],$A23,T_SelfStock_Log[WeekIndex],30)=0,"",SUMIFS(T_SelfStock_Log[Self_Qty],T_SelfStock_Log[Part Name],$A23,T_SelfStock_Log[WeekIndex],30))</f>
        <v/>
      </c>
      <c r="AF23" s="19">
        <f>IF(COUNTIFS(T_SelfStock_Log[Part Name],$A23,T_SelfStock_Log[WeekIndex],31)=0,"",SUMIFS(T_SelfStock_Log[Self_Qty],T_SelfStock_Log[Part Name],$A23,T_SelfStock_Log[WeekIndex],31))</f>
        <v/>
      </c>
      <c r="AG23" s="19">
        <f>IF(COUNTIFS(T_SelfStock_Log[Part Name],$A23,T_SelfStock_Log[WeekIndex],32)=0,"",SUMIFS(T_SelfStock_Log[Self_Qty],T_SelfStock_Log[Part Name],$A23,T_SelfStock_Log[WeekIndex],32))</f>
        <v/>
      </c>
      <c r="AH23" s="19">
        <f>IF(COUNTIFS(T_SelfStock_Log[Part Name],$A23,T_SelfStock_Log[WeekIndex],33)=0,"",SUMIFS(T_SelfStock_Log[Self_Qty],T_SelfStock_Log[Part Name],$A23,T_SelfStock_Log[WeekIndex],33))</f>
        <v/>
      </c>
      <c r="AI23" s="19">
        <f>IF(COUNTIFS(T_SelfStock_Log[Part Name],$A23,T_SelfStock_Log[WeekIndex],34)=0,"",SUMIFS(T_SelfStock_Log[Self_Qty],T_SelfStock_Log[Part Name],$A23,T_SelfStock_Log[WeekIndex],34))</f>
        <v/>
      </c>
      <c r="AJ23" s="19">
        <f>IF(COUNTIFS(T_SelfStock_Log[Part Name],$A23,T_SelfStock_Log[WeekIndex],35)=0,"",SUMIFS(T_SelfStock_Log[Self_Qty],T_SelfStock_Log[Part Name],$A23,T_SelfStock_Log[WeekIndex],35))</f>
        <v/>
      </c>
      <c r="AK23" s="19">
        <f>IF(COUNTIFS(T_SelfStock_Log[Part Name],$A23,T_SelfStock_Log[WeekIndex],36)=0,"",SUMIFS(T_SelfStock_Log[Self_Qty],T_SelfStock_Log[Part Name],$A23,T_SelfStock_Log[WeekIndex],36))</f>
        <v/>
      </c>
      <c r="AL23" s="19">
        <f>IF(COUNTIFS(T_SelfStock_Log[Part Name],$A23,T_SelfStock_Log[WeekIndex],37)=0,"",SUMIFS(T_SelfStock_Log[Self_Qty],T_SelfStock_Log[Part Name],$A23,T_SelfStock_Log[WeekIndex],37))</f>
        <v/>
      </c>
      <c r="AM23" s="19">
        <f>IF(COUNTIFS(T_SelfStock_Log[Part Name],$A23,T_SelfStock_Log[WeekIndex],38)=0,"",SUMIFS(T_SelfStock_Log[Self_Qty],T_SelfStock_Log[Part Name],$A23,T_SelfStock_Log[WeekIndex],38))</f>
        <v/>
      </c>
      <c r="AN23" s="19">
        <f>IF(COUNTIFS(T_SelfStock_Log[Part Name],$A23,T_SelfStock_Log[WeekIndex],39)=0,"",SUMIFS(T_SelfStock_Log[Self_Qty],T_SelfStock_Log[Part Name],$A23,T_SelfStock_Log[WeekIndex],39))</f>
        <v/>
      </c>
      <c r="AO23" s="19">
        <f>IF(COUNTIFS(T_SelfStock_Log[Part Name],$A23,T_SelfStock_Log[WeekIndex],40)=0,"",SUMIFS(T_SelfStock_Log[Self_Qty],T_SelfStock_Log[Part Name],$A23,T_SelfStock_Log[WeekIndex],40))</f>
        <v/>
      </c>
      <c r="AP23" s="19">
        <f>IF(COUNTIFS(T_SelfStock_Log[Part Name],$A23,T_SelfStock_Log[WeekIndex],41)=0,"",SUMIFS(T_SelfStock_Log[Self_Qty],T_SelfStock_Log[Part Name],$A23,T_SelfStock_Log[WeekIndex],41))</f>
        <v/>
      </c>
      <c r="AQ23" s="19">
        <f>IF(COUNTIFS(T_SelfStock_Log[Part Name],$A23,T_SelfStock_Log[WeekIndex],42)=0,"",SUMIFS(T_SelfStock_Log[Self_Qty],T_SelfStock_Log[Part Name],$A23,T_SelfStock_Log[WeekIndex],42))</f>
        <v/>
      </c>
      <c r="AR23" s="19">
        <f>IF(COUNTIFS(T_SelfStock_Log[Part Name],$A23,T_SelfStock_Log[WeekIndex],43)=0,"",SUMIFS(T_SelfStock_Log[Self_Qty],T_SelfStock_Log[Part Name],$A23,T_SelfStock_Log[WeekIndex],43))</f>
        <v/>
      </c>
      <c r="AS23" s="19">
        <f>IF(COUNTIFS(T_SelfStock_Log[Part Name],$A23,T_SelfStock_Log[WeekIndex],44)=0,"",SUMIFS(T_SelfStock_Log[Self_Qty],T_SelfStock_Log[Part Name],$A23,T_SelfStock_Log[WeekIndex],44))</f>
        <v/>
      </c>
      <c r="AT23" s="19">
        <f>IF(COUNTIFS(T_SelfStock_Log[Part Name],$A23,T_SelfStock_Log[WeekIndex],45)=0,"",SUMIFS(T_SelfStock_Log[Self_Qty],T_SelfStock_Log[Part Name],$A23,T_SelfStock_Log[WeekIndex],45))</f>
        <v/>
      </c>
      <c r="AU23" s="19">
        <f>IF(COUNTIFS(T_SelfStock_Log[Part Name],$A23,T_SelfStock_Log[WeekIndex],46)=0,"",SUMIFS(T_SelfStock_Log[Self_Qty],T_SelfStock_Log[Part Name],$A23,T_SelfStock_Log[WeekIndex],46))</f>
        <v/>
      </c>
      <c r="AV23" s="19">
        <f>IF(COUNTIFS(T_SelfStock_Log[Part Name],$A23,T_SelfStock_Log[WeekIndex],47)=0,"",SUMIFS(T_SelfStock_Log[Self_Qty],T_SelfStock_Log[Part Name],$A23,T_SelfStock_Log[WeekIndex],47))</f>
        <v/>
      </c>
      <c r="AW23" s="19">
        <f>IF(COUNTIFS(T_SelfStock_Log[Part Name],$A23,T_SelfStock_Log[WeekIndex],48)=0,"",SUMIFS(T_SelfStock_Log[Self_Qty],T_SelfStock_Log[Part Name],$A23,T_SelfStock_Log[WeekIndex],48))</f>
        <v/>
      </c>
      <c r="AX23" s="19">
        <f>IF(COUNTIFS(T_SelfStock_Log[Part Name],$A23,T_SelfStock_Log[WeekIndex],49)=0,"",SUMIFS(T_SelfStock_Log[Self_Qty],T_SelfStock_Log[Part Name],$A23,T_SelfStock_Log[WeekIndex],49))</f>
        <v/>
      </c>
      <c r="AY23" s="19">
        <f>IF(COUNTIFS(T_SelfStock_Log[Part Name],$A23,T_SelfStock_Log[WeekIndex],50)=0,"",SUMIFS(T_SelfStock_Log[Self_Qty],T_SelfStock_Log[Part Name],$A23,T_SelfStock_Log[WeekIndex],50))</f>
        <v/>
      </c>
      <c r="AZ23" s="19">
        <f>IF(COUNTIFS(T_SelfStock_Log[Part Name],$A23,T_SelfStock_Log[WeekIndex],51)=0,"",SUMIFS(T_SelfStock_Log[Self_Qty],T_SelfStock_Log[Part Name],$A23,T_SelfStock_Log[WeekIndex],51))</f>
        <v/>
      </c>
      <c r="BA23" s="19">
        <f>IF(COUNTIFS(T_SelfStock_Log[Part Name],$A23,T_SelfStock_Log[WeekIndex],52)=0,"",SUMIFS(T_SelfStock_Log[Self_Qty],T_SelfStock_Log[Part Name],$A23,T_SelfStock_Log[WeekIndex],52))</f>
        <v/>
      </c>
      <c r="BB23" s="19">
        <f>IF(COUNTIFS(T_SelfStock_Log[Part Name],$A23,T_SelfStock_Log[WeekIndex],53)=0,"",SUMIFS(T_SelfStock_Log[Self_Qty],T_SelfStock_Log[Part Name],$A23,T_SelfStock_Log[WeekIndex],53))</f>
        <v/>
      </c>
      <c r="BC23" s="19">
        <f>IF(COUNTIFS(T_SelfStock_Log[Part Name],$A23,T_SelfStock_Log[WeekIndex],54)=0,"",SUMIFS(T_SelfStock_Log[Self_Qty],T_SelfStock_Log[Part Name],$A23,T_SelfStock_Log[WeekIndex],54))</f>
        <v/>
      </c>
      <c r="BD23" s="19">
        <f>IF(COUNTIFS(T_SelfStock_Log[Part Name],$A23,T_SelfStock_Log[WeekIndex],55)=0,"",SUMIFS(T_SelfStock_Log[Self_Qty],T_SelfStock_Log[Part Name],$A23,T_SelfStock_Log[WeekIndex],55))</f>
        <v/>
      </c>
      <c r="BE23" s="19">
        <f>IF(COUNTIFS(T_SelfStock_Log[Part Name],$A23,T_SelfStock_Log[WeekIndex],56)=0,"",SUMIFS(T_SelfStock_Log[Self_Qty],T_SelfStock_Log[Part Name],$A23,T_SelfStock_Log[WeekIndex],56))</f>
        <v/>
      </c>
      <c r="BF23" s="19">
        <f>IF(COUNTIFS(T_SelfStock_Log[Part Name],$A23,T_SelfStock_Log[WeekIndex],57)=0,"",SUMIFS(T_SelfStock_Log[Self_Qty],T_SelfStock_Log[Part Name],$A23,T_SelfStock_Log[WeekIndex],57))</f>
        <v/>
      </c>
      <c r="BG23" s="19">
        <f>IF(COUNTIFS(T_SelfStock_Log[Part Name],$A23,T_SelfStock_Log[WeekIndex],58)=0,"",SUMIFS(T_SelfStock_Log[Self_Qty],T_SelfStock_Log[Part Name],$A23,T_SelfStock_Log[WeekIndex],58))</f>
        <v/>
      </c>
      <c r="BH23" s="19">
        <f>IF(COUNTIFS(T_SelfStock_Log[Part Name],$A23,T_SelfStock_Log[WeekIndex],59)=0,"",SUMIFS(T_SelfStock_Log[Self_Qty],T_SelfStock_Log[Part Name],$A23,T_SelfStock_Log[WeekIndex],59))</f>
        <v/>
      </c>
      <c r="BI23" s="19">
        <f>IF(COUNTIFS(T_SelfStock_Log[Part Name],$A23,T_SelfStock_Log[WeekIndex],60)=0,"",SUMIFS(T_SelfStock_Log[Self_Qty],T_SelfStock_Log[Part Name],$A23,T_SelfStock_Log[WeekIndex],60))</f>
        <v/>
      </c>
      <c r="BJ23" s="19">
        <f>IF(COUNTIFS(T_SelfStock_Log[Part Name],$A23,T_SelfStock_Log[WeekIndex],61)=0,"",SUMIFS(T_SelfStock_Log[Self_Qty],T_SelfStock_Log[Part Name],$A23,T_SelfStock_Log[WeekIndex],61))</f>
        <v/>
      </c>
      <c r="BK23" s="19">
        <f>IF(COUNTIFS(T_SelfStock_Log[Part Name],$A23,T_SelfStock_Log[WeekIndex],62)=0,"",SUMIFS(T_SelfStock_Log[Self_Qty],T_SelfStock_Log[Part Name],$A23,T_SelfStock_Log[WeekIndex],62))</f>
        <v/>
      </c>
      <c r="BL23" s="19">
        <f>IF(COUNTIFS(T_SelfStock_Log[Part Name],$A23,T_SelfStock_Log[WeekIndex],63)=0,"",SUMIFS(T_SelfStock_Log[Self_Qty],T_SelfStock_Log[Part Name],$A23,T_SelfStock_Log[WeekIndex],63))</f>
        <v/>
      </c>
      <c r="BM23" s="19">
        <f>IF(COUNTIFS(T_SelfStock_Log[Part Name],$A23,T_SelfStock_Log[WeekIndex],64)=0,"",SUMIFS(T_SelfStock_Log[Self_Qty],T_SelfStock_Log[Part Name],$A23,T_SelfStock_Log[WeekIndex],64))</f>
        <v/>
      </c>
      <c r="BN23" s="19">
        <f>IF(COUNTIFS(T_SelfStock_Log[Part Name],$A23,T_SelfStock_Log[WeekIndex],65)=0,"",SUMIFS(T_SelfStock_Log[Self_Qty],T_SelfStock_Log[Part Name],$A23,T_SelfStock_Log[WeekIndex],65))</f>
        <v/>
      </c>
      <c r="BO23" s="19">
        <f>IF(COUNTIFS(T_SelfStock_Log[Part Name],$A23,T_SelfStock_Log[WeekIndex],66)=0,"",SUMIFS(T_SelfStock_Log[Self_Qty],T_SelfStock_Log[Part Name],$A23,T_SelfStock_Log[WeekIndex],66))</f>
        <v/>
      </c>
      <c r="BP23" s="19">
        <f>IF(COUNTIFS(T_SelfStock_Log[Part Name],$A23,T_SelfStock_Log[WeekIndex],67)=0,"",SUMIFS(T_SelfStock_Log[Self_Qty],T_SelfStock_Log[Part Name],$A23,T_SelfStock_Log[WeekIndex],67))</f>
        <v/>
      </c>
      <c r="BQ23" s="19">
        <f>IF(COUNTIFS(T_SelfStock_Log[Part Name],$A23,T_SelfStock_Log[WeekIndex],68)=0,"",SUMIFS(T_SelfStock_Log[Self_Qty],T_SelfStock_Log[Part Name],$A23,T_SelfStock_Log[WeekIndex],68))</f>
        <v/>
      </c>
      <c r="BR23" s="19">
        <f>IF(COUNTIFS(T_SelfStock_Log[Part Name],$A23,T_SelfStock_Log[WeekIndex],69)=0,"",SUMIFS(T_SelfStock_Log[Self_Qty],T_SelfStock_Log[Part Name],$A23,T_SelfStock_Log[WeekIndex],69))</f>
        <v/>
      </c>
      <c r="BS23" s="19">
        <f>IF(COUNTIFS(T_SelfStock_Log[Part Name],$A23,T_SelfStock_Log[WeekIndex],70)=0,"",SUMIFS(T_SelfStock_Log[Self_Qty],T_SelfStock_Log[Part Name],$A23,T_SelfStock_Log[WeekIndex],70))</f>
        <v/>
      </c>
      <c r="BT23" s="19">
        <f>IF(COUNTIFS(T_SelfStock_Log[Part Name],$A23,T_SelfStock_Log[WeekIndex],71)=0,"",SUMIFS(T_SelfStock_Log[Self_Qty],T_SelfStock_Log[Part Name],$A23,T_SelfStock_Log[WeekIndex],71))</f>
        <v/>
      </c>
      <c r="BU23" s="19">
        <f>IF(COUNTIFS(T_SelfStock_Log[Part Name],$A23,T_SelfStock_Log[WeekIndex],72)=0,"",SUMIFS(T_SelfStock_Log[Self_Qty],T_SelfStock_Log[Part Name],$A23,T_SelfStock_Log[WeekIndex],72))</f>
        <v/>
      </c>
      <c r="BV23" s="19">
        <f>IF(COUNTIFS(T_SelfStock_Log[Part Name],$A23,T_SelfStock_Log[WeekIndex],73)=0,"",SUMIFS(T_SelfStock_Log[Self_Qty],T_SelfStock_Log[Part Name],$A23,T_SelfStock_Log[WeekIndex],73))</f>
        <v/>
      </c>
      <c r="BW23" s="19">
        <f>IF(COUNTIFS(T_SelfStock_Log[Part Name],$A23,T_SelfStock_Log[WeekIndex],74)=0,"",SUMIFS(T_SelfStock_Log[Self_Qty],T_SelfStock_Log[Part Name],$A23,T_SelfStock_Log[WeekIndex],74))</f>
        <v/>
      </c>
      <c r="BX23" s="19">
        <f>IF(COUNTIFS(T_SelfStock_Log[Part Name],$A23,T_SelfStock_Log[WeekIndex],75)=0,"",SUMIFS(T_SelfStock_Log[Self_Qty],T_SelfStock_Log[Part Name],$A23,T_SelfStock_Log[WeekIndex],75))</f>
        <v/>
      </c>
      <c r="BY23" s="19">
        <f>IF(COUNTIFS(T_SelfStock_Log[Part Name],$A23,T_SelfStock_Log[WeekIndex],76)=0,"",SUMIFS(T_SelfStock_Log[Self_Qty],T_SelfStock_Log[Part Name],$A23,T_SelfStock_Log[WeekIndex],76))</f>
        <v/>
      </c>
      <c r="BZ23" s="19">
        <f>IF(COUNTIFS(T_SelfStock_Log[Part Name],$A23,T_SelfStock_Log[WeekIndex],77)=0,"",SUMIFS(T_SelfStock_Log[Self_Qty],T_SelfStock_Log[Part Name],$A23,T_SelfStock_Log[WeekIndex],77))</f>
        <v/>
      </c>
      <c r="CA23" s="19">
        <f>IF(COUNTIFS(T_SelfStock_Log[Part Name],$A23,T_SelfStock_Log[WeekIndex],78)=0,"",SUMIFS(T_SelfStock_Log[Self_Qty],T_SelfStock_Log[Part Name],$A23,T_SelfStock_Log[WeekIndex],78))</f>
        <v/>
      </c>
      <c r="CB23" s="19">
        <f>IF(COUNTIFS(T_SelfStock_Log[Part Name],$A23,T_SelfStock_Log[WeekIndex],79)=0,"",SUMIFS(T_SelfStock_Log[Self_Qty],T_SelfStock_Log[Part Name],$A23,T_SelfStock_Log[WeekIndex],79))</f>
        <v/>
      </c>
      <c r="CC23" s="19">
        <f>IF(COUNTIFS(T_SelfStock_Log[Part Name],$A23,T_SelfStock_Log[WeekIndex],80)=0,"",SUMIFS(T_SelfStock_Log[Self_Qty],T_SelfStock_Log[Part Name],$A23,T_SelfStock_Log[WeekIndex],80))</f>
        <v/>
      </c>
      <c r="CD23" s="19">
        <f>IF(COUNTIFS(T_SelfStock_Log[Part Name],$A23,T_SelfStock_Log[WeekIndex],81)=0,"",SUMIFS(T_SelfStock_Log[Self_Qty],T_SelfStock_Log[Part Name],$A23,T_SelfStock_Log[WeekIndex],81))</f>
        <v/>
      </c>
      <c r="CE23" s="19">
        <f>IF(COUNTIFS(T_SelfStock_Log[Part Name],$A23,T_SelfStock_Log[WeekIndex],82)=0,"",SUMIFS(T_SelfStock_Log[Self_Qty],T_SelfStock_Log[Part Name],$A23,T_SelfStock_Log[WeekIndex],82))</f>
        <v/>
      </c>
      <c r="CF23" s="19">
        <f>IF(COUNTIFS(T_SelfStock_Log[Part Name],$A23,T_SelfStock_Log[WeekIndex],83)=0,"",SUMIFS(T_SelfStock_Log[Self_Qty],T_SelfStock_Log[Part Name],$A23,T_SelfStock_Log[WeekIndex],83))</f>
        <v/>
      </c>
      <c r="CG23" s="19">
        <f>IF(COUNTIFS(T_SelfStock_Log[Part Name],$A23,T_SelfStock_Log[WeekIndex],84)=0,"",SUMIFS(T_SelfStock_Log[Self_Qty],T_SelfStock_Log[Part Name],$A23,T_SelfStock_Log[WeekIndex],84))</f>
        <v/>
      </c>
      <c r="CH23" s="19">
        <f>IF(COUNTIFS(T_SelfStock_Log[Part Name],$A23,T_SelfStock_Log[WeekIndex],85)=0,"",SUMIFS(T_SelfStock_Log[Self_Qty],T_SelfStock_Log[Part Name],$A23,T_SelfStock_Log[WeekIndex],85))</f>
        <v/>
      </c>
      <c r="CI23" s="19">
        <f>IF(COUNTIFS(T_SelfStock_Log[Part Name],$A23,T_SelfStock_Log[WeekIndex],86)=0,"",SUMIFS(T_SelfStock_Log[Self_Qty],T_SelfStock_Log[Part Name],$A23,T_SelfStock_Log[WeekIndex],86))</f>
        <v/>
      </c>
      <c r="CJ23" s="19">
        <f>IF(COUNTIFS(T_SelfStock_Log[Part Name],$A23,T_SelfStock_Log[WeekIndex],87)=0,"",SUMIFS(T_SelfStock_Log[Self_Qty],T_SelfStock_Log[Part Name],$A23,T_SelfStock_Log[WeekIndex],87))</f>
        <v/>
      </c>
      <c r="CK23" s="19">
        <f>IF(COUNTIFS(T_SelfStock_Log[Part Name],$A23,T_SelfStock_Log[WeekIndex],88)=0,"",SUMIFS(T_SelfStock_Log[Self_Qty],T_SelfStock_Log[Part Name],$A23,T_SelfStock_Log[WeekIndex],88))</f>
        <v/>
      </c>
      <c r="CL23" s="19">
        <f>IF(COUNTIFS(T_SelfStock_Log[Part Name],$A23,T_SelfStock_Log[WeekIndex],89)=0,"",SUMIFS(T_SelfStock_Log[Self_Qty],T_SelfStock_Log[Part Name],$A23,T_SelfStock_Log[WeekIndex],89))</f>
        <v/>
      </c>
      <c r="CM23" s="19">
        <f>IF(COUNTIFS(T_SelfStock_Log[Part Name],$A23,T_SelfStock_Log[WeekIndex],90)=0,"",SUMIFS(T_SelfStock_Log[Self_Qty],T_SelfStock_Log[Part Name],$A23,T_SelfStock_Log[WeekIndex],90))</f>
        <v/>
      </c>
      <c r="CN23" s="19">
        <f>IF(COUNTIFS(T_SelfStock_Log[Part Name],$A23,T_SelfStock_Log[WeekIndex],91)=0,"",SUMIFS(T_SelfStock_Log[Self_Qty],T_SelfStock_Log[Part Name],$A23,T_SelfStock_Log[WeekIndex],91))</f>
        <v/>
      </c>
      <c r="CO23" s="19">
        <f>IF(COUNTIFS(T_SelfStock_Log[Part Name],$A23,T_SelfStock_Log[WeekIndex],92)=0,"",SUMIFS(T_SelfStock_Log[Self_Qty],T_SelfStock_Log[Part Name],$A23,T_SelfStock_Log[WeekIndex],92))</f>
        <v/>
      </c>
      <c r="CP23" s="19">
        <f>IF(COUNTIFS(T_SelfStock_Log[Part Name],$A23,T_SelfStock_Log[WeekIndex],93)=0,"",SUMIFS(T_SelfStock_Log[Self_Qty],T_SelfStock_Log[Part Name],$A23,T_SelfStock_Log[WeekIndex],93))</f>
        <v/>
      </c>
      <c r="CQ23" s="19">
        <f>IF(COUNTIFS(T_SelfStock_Log[Part Name],$A23,T_SelfStock_Log[WeekIndex],94)=0,"",SUMIFS(T_SelfStock_Log[Self_Qty],T_SelfStock_Log[Part Name],$A23,T_SelfStock_Log[WeekIndex],94))</f>
        <v/>
      </c>
      <c r="CR23" s="19">
        <f>IF(COUNTIFS(T_SelfStock_Log[Part Name],$A23,T_SelfStock_Log[WeekIndex],95)=0,"",SUMIFS(T_SelfStock_Log[Self_Qty],T_SelfStock_Log[Part Name],$A23,T_SelfStock_Log[WeekIndex],95))</f>
        <v/>
      </c>
      <c r="CS23" s="19">
        <f>IF(COUNTIFS(T_SelfStock_Log[Part Name],$A23,T_SelfStock_Log[WeekIndex],96)=0,"",SUMIFS(T_SelfStock_Log[Self_Qty],T_SelfStock_Log[Part Name],$A23,T_SelfStock_Log[WeekIndex],96))</f>
        <v/>
      </c>
      <c r="CT23" s="19">
        <f>IF(COUNTIFS(T_SelfStock_Log[Part Name],$A23,T_SelfStock_Log[WeekIndex],97)=0,"",SUMIFS(T_SelfStock_Log[Self_Qty],T_SelfStock_Log[Part Name],$A23,T_SelfStock_Log[WeekIndex],97))</f>
        <v/>
      </c>
      <c r="CU23" s="19">
        <f>IF(COUNTIFS(T_SelfStock_Log[Part Name],$A23,T_SelfStock_Log[WeekIndex],98)=0,"",SUMIFS(T_SelfStock_Log[Self_Qty],T_SelfStock_Log[Part Name],$A23,T_SelfStock_Log[WeekIndex],98))</f>
        <v/>
      </c>
      <c r="CV23" s="19">
        <f>IF(COUNTIFS(T_SelfStock_Log[Part Name],$A23,T_SelfStock_Log[WeekIndex],99)=0,"",SUMIFS(T_SelfStock_Log[Self_Qty],T_SelfStock_Log[Part Name],$A23,T_SelfStock_Log[WeekIndex],99))</f>
        <v/>
      </c>
      <c r="CW23" s="19">
        <f>IF(COUNTIFS(T_SelfStock_Log[Part Name],$A23,T_SelfStock_Log[WeekIndex],100)=0,"",SUMIFS(T_SelfStock_Log[Self_Qty],T_SelfStock_Log[Part Name],$A23,T_SelfStock_Log[WeekIndex],100))</f>
        <v/>
      </c>
      <c r="CX23" s="19">
        <f>IF(COUNTIFS(T_SelfStock_Log[Part Name],$A23,T_SelfStock_Log[WeekIndex],101)=0,"",SUMIFS(T_SelfStock_Log[Self_Qty],T_SelfStock_Log[Part Name],$A23,T_SelfStock_Log[WeekIndex],101))</f>
        <v/>
      </c>
      <c r="CY23" s="19">
        <f>IF(COUNTIFS(T_SelfStock_Log[Part Name],$A23,T_SelfStock_Log[WeekIndex],102)=0,"",SUMIFS(T_SelfStock_Log[Self_Qty],T_SelfStock_Log[Part Name],$A23,T_SelfStock_Log[WeekIndex],102))</f>
        <v/>
      </c>
      <c r="CZ23" s="19">
        <f>IF(COUNTIFS(T_SelfStock_Log[Part Name],$A23,T_SelfStock_Log[WeekIndex],103)=0,"",SUMIFS(T_SelfStock_Log[Self_Qty],T_SelfStock_Log[Part Name],$A23,T_SelfStock_Log[WeekIndex],103))</f>
        <v/>
      </c>
      <c r="DA23" s="19">
        <f>IF(COUNTIFS(T_SelfStock_Log[Part Name],$A23,T_SelfStock_Log[WeekIndex],104)=0,"",SUMIFS(T_SelfStock_Log[Self_Qty],T_SelfStock_Log[Part Name],$A23,T_SelfStock_Log[WeekIndex],104))</f>
        <v/>
      </c>
    </row>
    <row r="24">
      <c r="A24" s="17" t="inlineStr">
        <is>
          <t>73K</t>
        </is>
      </c>
      <c r="B24" s="17">
        <f>IF(COUNTIFS(T_SelfStock_Log[Part Name],$A24,T_SelfStock_Log[WeekIndex],1)=0,"",SUMIFS(T_SelfStock_Log[Self_Qty],T_SelfStock_Log[Part Name],$A24,T_SelfStock_Log[WeekIndex],1))</f>
        <v/>
      </c>
      <c r="C24" s="17">
        <f>IF(COUNTIFS(T_SelfStock_Log[Part Name],$A24,T_SelfStock_Log[WeekIndex],2)=0,"",SUMIFS(T_SelfStock_Log[Self_Qty],T_SelfStock_Log[Part Name],$A24,T_SelfStock_Log[WeekIndex],2))</f>
        <v/>
      </c>
      <c r="D24" s="17">
        <f>IF(COUNTIFS(T_SelfStock_Log[Part Name],$A24,T_SelfStock_Log[WeekIndex],3)=0,"",SUMIFS(T_SelfStock_Log[Self_Qty],T_SelfStock_Log[Part Name],$A24,T_SelfStock_Log[WeekIndex],3))</f>
        <v/>
      </c>
      <c r="E24" s="17">
        <f>IF(COUNTIFS(T_SelfStock_Log[Part Name],$A24,T_SelfStock_Log[WeekIndex],4)=0,"",SUMIFS(T_SelfStock_Log[Self_Qty],T_SelfStock_Log[Part Name],$A24,T_SelfStock_Log[WeekIndex],4))</f>
        <v/>
      </c>
      <c r="F24" s="17">
        <f>IF(COUNTIFS(T_SelfStock_Log[Part Name],$A24,T_SelfStock_Log[WeekIndex],5)=0,"",SUMIFS(T_SelfStock_Log[Self_Qty],T_SelfStock_Log[Part Name],$A24,T_SelfStock_Log[WeekIndex],5))</f>
        <v/>
      </c>
      <c r="G24" s="17">
        <f>IF(COUNTIFS(T_SelfStock_Log[Part Name],$A24,T_SelfStock_Log[WeekIndex],6)=0,"",SUMIFS(T_SelfStock_Log[Self_Qty],T_SelfStock_Log[Part Name],$A24,T_SelfStock_Log[WeekIndex],6))</f>
        <v/>
      </c>
      <c r="H24" s="17">
        <f>IF(COUNTIFS(T_SelfStock_Log[Part Name],$A24,T_SelfStock_Log[WeekIndex],7)=0,"",SUMIFS(T_SelfStock_Log[Self_Qty],T_SelfStock_Log[Part Name],$A24,T_SelfStock_Log[WeekIndex],7))</f>
        <v/>
      </c>
      <c r="I24" s="17">
        <f>IF(COUNTIFS(T_SelfStock_Log[Part Name],$A24,T_SelfStock_Log[WeekIndex],8)=0,"",SUMIFS(T_SelfStock_Log[Self_Qty],T_SelfStock_Log[Part Name],$A24,T_SelfStock_Log[WeekIndex],8))</f>
        <v/>
      </c>
      <c r="J24" s="17">
        <f>IF(COUNTIFS(T_SelfStock_Log[Part Name],$A24,T_SelfStock_Log[WeekIndex],9)=0,"",SUMIFS(T_SelfStock_Log[Self_Qty],T_SelfStock_Log[Part Name],$A24,T_SelfStock_Log[WeekIndex],9))</f>
        <v/>
      </c>
      <c r="K24" s="17">
        <f>IF(COUNTIFS(T_SelfStock_Log[Part Name],$A24,T_SelfStock_Log[WeekIndex],10)=0,"",SUMIFS(T_SelfStock_Log[Self_Qty],T_SelfStock_Log[Part Name],$A24,T_SelfStock_Log[WeekIndex],10))</f>
        <v/>
      </c>
      <c r="L24" s="17">
        <f>IF(COUNTIFS(T_SelfStock_Log[Part Name],$A24,T_SelfStock_Log[WeekIndex],11)=0,"",SUMIFS(T_SelfStock_Log[Self_Qty],T_SelfStock_Log[Part Name],$A24,T_SelfStock_Log[WeekIndex],11))</f>
        <v/>
      </c>
      <c r="M24" s="17">
        <f>IF(COUNTIFS(T_SelfStock_Log[Part Name],$A24,T_SelfStock_Log[WeekIndex],12)=0,"",SUMIFS(T_SelfStock_Log[Self_Qty],T_SelfStock_Log[Part Name],$A24,T_SelfStock_Log[WeekIndex],12))</f>
        <v/>
      </c>
      <c r="N24" s="17">
        <f>IF(COUNTIFS(T_SelfStock_Log[Part Name],$A24,T_SelfStock_Log[WeekIndex],13)=0,"",SUMIFS(T_SelfStock_Log[Self_Qty],T_SelfStock_Log[Part Name],$A24,T_SelfStock_Log[WeekIndex],13))</f>
        <v/>
      </c>
      <c r="O24" s="17">
        <f>IF(COUNTIFS(T_SelfStock_Log[Part Name],$A24,T_SelfStock_Log[WeekIndex],14)=0,"",SUMIFS(T_SelfStock_Log[Self_Qty],T_SelfStock_Log[Part Name],$A24,T_SelfStock_Log[WeekIndex],14))</f>
        <v/>
      </c>
      <c r="P24" s="17">
        <f>IF(COUNTIFS(T_SelfStock_Log[Part Name],$A24,T_SelfStock_Log[WeekIndex],15)=0,"",SUMIFS(T_SelfStock_Log[Self_Qty],T_SelfStock_Log[Part Name],$A24,T_SelfStock_Log[WeekIndex],15))</f>
        <v/>
      </c>
      <c r="Q24" s="17">
        <f>IF(COUNTIFS(T_SelfStock_Log[Part Name],$A24,T_SelfStock_Log[WeekIndex],16)=0,"",SUMIFS(T_SelfStock_Log[Self_Qty],T_SelfStock_Log[Part Name],$A24,T_SelfStock_Log[WeekIndex],16))</f>
        <v/>
      </c>
      <c r="R24" s="17">
        <f>IF(COUNTIFS(T_SelfStock_Log[Part Name],$A24,T_SelfStock_Log[WeekIndex],17)=0,"",SUMIFS(T_SelfStock_Log[Self_Qty],T_SelfStock_Log[Part Name],$A24,T_SelfStock_Log[WeekIndex],17))</f>
        <v/>
      </c>
      <c r="S24" s="17">
        <f>IF(COUNTIFS(T_SelfStock_Log[Part Name],$A24,T_SelfStock_Log[WeekIndex],18)=0,"",SUMIFS(T_SelfStock_Log[Self_Qty],T_SelfStock_Log[Part Name],$A24,T_SelfStock_Log[WeekIndex],18))</f>
        <v/>
      </c>
      <c r="T24" s="17">
        <f>IF(COUNTIFS(T_SelfStock_Log[Part Name],$A24,T_SelfStock_Log[WeekIndex],19)=0,"",SUMIFS(T_SelfStock_Log[Self_Qty],T_SelfStock_Log[Part Name],$A24,T_SelfStock_Log[WeekIndex],19))</f>
        <v/>
      </c>
      <c r="U24" s="17">
        <f>IF(COUNTIFS(T_SelfStock_Log[Part Name],$A24,T_SelfStock_Log[WeekIndex],20)=0,"",SUMIFS(T_SelfStock_Log[Self_Qty],T_SelfStock_Log[Part Name],$A24,T_SelfStock_Log[WeekIndex],20))</f>
        <v/>
      </c>
      <c r="V24" s="17">
        <f>IF(COUNTIFS(T_SelfStock_Log[Part Name],$A24,T_SelfStock_Log[WeekIndex],21)=0,"",SUMIFS(T_SelfStock_Log[Self_Qty],T_SelfStock_Log[Part Name],$A24,T_SelfStock_Log[WeekIndex],21))</f>
        <v/>
      </c>
      <c r="W24" s="17">
        <f>IF(COUNTIFS(T_SelfStock_Log[Part Name],$A24,T_SelfStock_Log[WeekIndex],22)=0,"",SUMIFS(T_SelfStock_Log[Self_Qty],T_SelfStock_Log[Part Name],$A24,T_SelfStock_Log[WeekIndex],22))</f>
        <v/>
      </c>
      <c r="X24" s="17">
        <f>IF(COUNTIFS(T_SelfStock_Log[Part Name],$A24,T_SelfStock_Log[WeekIndex],23)=0,"",SUMIFS(T_SelfStock_Log[Self_Qty],T_SelfStock_Log[Part Name],$A24,T_SelfStock_Log[WeekIndex],23))</f>
        <v/>
      </c>
      <c r="Y24" s="17">
        <f>IF(COUNTIFS(T_SelfStock_Log[Part Name],$A24,T_SelfStock_Log[WeekIndex],24)=0,"",SUMIFS(T_SelfStock_Log[Self_Qty],T_SelfStock_Log[Part Name],$A24,T_SelfStock_Log[WeekIndex],24))</f>
        <v/>
      </c>
      <c r="Z24" s="17">
        <f>IF(COUNTIFS(T_SelfStock_Log[Part Name],$A24,T_SelfStock_Log[WeekIndex],25)=0,"",SUMIFS(T_SelfStock_Log[Self_Qty],T_SelfStock_Log[Part Name],$A24,T_SelfStock_Log[WeekIndex],25))</f>
        <v/>
      </c>
      <c r="AA24" s="17">
        <f>IF(COUNTIFS(T_SelfStock_Log[Part Name],$A24,T_SelfStock_Log[WeekIndex],26)=0,"",SUMIFS(T_SelfStock_Log[Self_Qty],T_SelfStock_Log[Part Name],$A24,T_SelfStock_Log[WeekIndex],26))</f>
        <v/>
      </c>
      <c r="AB24" s="17">
        <f>IF(COUNTIFS(T_SelfStock_Log[Part Name],$A24,T_SelfStock_Log[WeekIndex],27)=0,"",SUMIFS(T_SelfStock_Log[Self_Qty],T_SelfStock_Log[Part Name],$A24,T_SelfStock_Log[WeekIndex],27))</f>
        <v/>
      </c>
      <c r="AC24" s="17">
        <f>IF(COUNTIFS(T_SelfStock_Log[Part Name],$A24,T_SelfStock_Log[WeekIndex],28)=0,"",SUMIFS(T_SelfStock_Log[Self_Qty],T_SelfStock_Log[Part Name],$A24,T_SelfStock_Log[WeekIndex],28))</f>
        <v/>
      </c>
      <c r="AD24" s="17">
        <f>IF(COUNTIFS(T_SelfStock_Log[Part Name],$A24,T_SelfStock_Log[WeekIndex],29)=0,"",SUMIFS(T_SelfStock_Log[Self_Qty],T_SelfStock_Log[Part Name],$A24,T_SelfStock_Log[WeekIndex],29))</f>
        <v/>
      </c>
      <c r="AE24" s="17">
        <f>IF(COUNTIFS(T_SelfStock_Log[Part Name],$A24,T_SelfStock_Log[WeekIndex],30)=0,"",SUMIFS(T_SelfStock_Log[Self_Qty],T_SelfStock_Log[Part Name],$A24,T_SelfStock_Log[WeekIndex],30))</f>
        <v/>
      </c>
      <c r="AF24" s="17">
        <f>IF(COUNTIFS(T_SelfStock_Log[Part Name],$A24,T_SelfStock_Log[WeekIndex],31)=0,"",SUMIFS(T_SelfStock_Log[Self_Qty],T_SelfStock_Log[Part Name],$A24,T_SelfStock_Log[WeekIndex],31))</f>
        <v/>
      </c>
      <c r="AG24" s="17">
        <f>IF(COUNTIFS(T_SelfStock_Log[Part Name],$A24,T_SelfStock_Log[WeekIndex],32)=0,"",SUMIFS(T_SelfStock_Log[Self_Qty],T_SelfStock_Log[Part Name],$A24,T_SelfStock_Log[WeekIndex],32))</f>
        <v/>
      </c>
      <c r="AH24" s="17">
        <f>IF(COUNTIFS(T_SelfStock_Log[Part Name],$A24,T_SelfStock_Log[WeekIndex],33)=0,"",SUMIFS(T_SelfStock_Log[Self_Qty],T_SelfStock_Log[Part Name],$A24,T_SelfStock_Log[WeekIndex],33))</f>
        <v/>
      </c>
      <c r="AI24" s="17">
        <f>IF(COUNTIFS(T_SelfStock_Log[Part Name],$A24,T_SelfStock_Log[WeekIndex],34)=0,"",SUMIFS(T_SelfStock_Log[Self_Qty],T_SelfStock_Log[Part Name],$A24,T_SelfStock_Log[WeekIndex],34))</f>
        <v/>
      </c>
      <c r="AJ24" s="17">
        <f>IF(COUNTIFS(T_SelfStock_Log[Part Name],$A24,T_SelfStock_Log[WeekIndex],35)=0,"",SUMIFS(T_SelfStock_Log[Self_Qty],T_SelfStock_Log[Part Name],$A24,T_SelfStock_Log[WeekIndex],35))</f>
        <v/>
      </c>
      <c r="AK24" s="17">
        <f>IF(COUNTIFS(T_SelfStock_Log[Part Name],$A24,T_SelfStock_Log[WeekIndex],36)=0,"",SUMIFS(T_SelfStock_Log[Self_Qty],T_SelfStock_Log[Part Name],$A24,T_SelfStock_Log[WeekIndex],36))</f>
        <v/>
      </c>
      <c r="AL24" s="17">
        <f>IF(COUNTIFS(T_SelfStock_Log[Part Name],$A24,T_SelfStock_Log[WeekIndex],37)=0,"",SUMIFS(T_SelfStock_Log[Self_Qty],T_SelfStock_Log[Part Name],$A24,T_SelfStock_Log[WeekIndex],37))</f>
        <v/>
      </c>
      <c r="AM24" s="17">
        <f>IF(COUNTIFS(T_SelfStock_Log[Part Name],$A24,T_SelfStock_Log[WeekIndex],38)=0,"",SUMIFS(T_SelfStock_Log[Self_Qty],T_SelfStock_Log[Part Name],$A24,T_SelfStock_Log[WeekIndex],38))</f>
        <v/>
      </c>
      <c r="AN24" s="17">
        <f>IF(COUNTIFS(T_SelfStock_Log[Part Name],$A24,T_SelfStock_Log[WeekIndex],39)=0,"",SUMIFS(T_SelfStock_Log[Self_Qty],T_SelfStock_Log[Part Name],$A24,T_SelfStock_Log[WeekIndex],39))</f>
        <v/>
      </c>
      <c r="AO24" s="17">
        <f>IF(COUNTIFS(T_SelfStock_Log[Part Name],$A24,T_SelfStock_Log[WeekIndex],40)=0,"",SUMIFS(T_SelfStock_Log[Self_Qty],T_SelfStock_Log[Part Name],$A24,T_SelfStock_Log[WeekIndex],40))</f>
        <v/>
      </c>
      <c r="AP24" s="17">
        <f>IF(COUNTIFS(T_SelfStock_Log[Part Name],$A24,T_SelfStock_Log[WeekIndex],41)=0,"",SUMIFS(T_SelfStock_Log[Self_Qty],T_SelfStock_Log[Part Name],$A24,T_SelfStock_Log[WeekIndex],41))</f>
        <v/>
      </c>
      <c r="AQ24" s="17">
        <f>IF(COUNTIFS(T_SelfStock_Log[Part Name],$A24,T_SelfStock_Log[WeekIndex],42)=0,"",SUMIFS(T_SelfStock_Log[Self_Qty],T_SelfStock_Log[Part Name],$A24,T_SelfStock_Log[WeekIndex],42))</f>
        <v/>
      </c>
      <c r="AR24" s="17">
        <f>IF(COUNTIFS(T_SelfStock_Log[Part Name],$A24,T_SelfStock_Log[WeekIndex],43)=0,"",SUMIFS(T_SelfStock_Log[Self_Qty],T_SelfStock_Log[Part Name],$A24,T_SelfStock_Log[WeekIndex],43))</f>
        <v/>
      </c>
      <c r="AS24" s="17">
        <f>IF(COUNTIFS(T_SelfStock_Log[Part Name],$A24,T_SelfStock_Log[WeekIndex],44)=0,"",SUMIFS(T_SelfStock_Log[Self_Qty],T_SelfStock_Log[Part Name],$A24,T_SelfStock_Log[WeekIndex],44))</f>
        <v/>
      </c>
      <c r="AT24" s="17">
        <f>IF(COUNTIFS(T_SelfStock_Log[Part Name],$A24,T_SelfStock_Log[WeekIndex],45)=0,"",SUMIFS(T_SelfStock_Log[Self_Qty],T_SelfStock_Log[Part Name],$A24,T_SelfStock_Log[WeekIndex],45))</f>
        <v/>
      </c>
      <c r="AU24" s="17">
        <f>IF(COUNTIFS(T_SelfStock_Log[Part Name],$A24,T_SelfStock_Log[WeekIndex],46)=0,"",SUMIFS(T_SelfStock_Log[Self_Qty],T_SelfStock_Log[Part Name],$A24,T_SelfStock_Log[WeekIndex],46))</f>
        <v/>
      </c>
      <c r="AV24" s="17">
        <f>IF(COUNTIFS(T_SelfStock_Log[Part Name],$A24,T_SelfStock_Log[WeekIndex],47)=0,"",SUMIFS(T_SelfStock_Log[Self_Qty],T_SelfStock_Log[Part Name],$A24,T_SelfStock_Log[WeekIndex],47))</f>
        <v/>
      </c>
      <c r="AW24" s="17">
        <f>IF(COUNTIFS(T_SelfStock_Log[Part Name],$A24,T_SelfStock_Log[WeekIndex],48)=0,"",SUMIFS(T_SelfStock_Log[Self_Qty],T_SelfStock_Log[Part Name],$A24,T_SelfStock_Log[WeekIndex],48))</f>
        <v/>
      </c>
      <c r="AX24" s="17">
        <f>IF(COUNTIFS(T_SelfStock_Log[Part Name],$A24,T_SelfStock_Log[WeekIndex],49)=0,"",SUMIFS(T_SelfStock_Log[Self_Qty],T_SelfStock_Log[Part Name],$A24,T_SelfStock_Log[WeekIndex],49))</f>
        <v/>
      </c>
      <c r="AY24" s="17">
        <f>IF(COUNTIFS(T_SelfStock_Log[Part Name],$A24,T_SelfStock_Log[WeekIndex],50)=0,"",SUMIFS(T_SelfStock_Log[Self_Qty],T_SelfStock_Log[Part Name],$A24,T_SelfStock_Log[WeekIndex],50))</f>
        <v/>
      </c>
      <c r="AZ24" s="17">
        <f>IF(COUNTIFS(T_SelfStock_Log[Part Name],$A24,T_SelfStock_Log[WeekIndex],51)=0,"",SUMIFS(T_SelfStock_Log[Self_Qty],T_SelfStock_Log[Part Name],$A24,T_SelfStock_Log[WeekIndex],51))</f>
        <v/>
      </c>
      <c r="BA24" s="17">
        <f>IF(COUNTIFS(T_SelfStock_Log[Part Name],$A24,T_SelfStock_Log[WeekIndex],52)=0,"",SUMIFS(T_SelfStock_Log[Self_Qty],T_SelfStock_Log[Part Name],$A24,T_SelfStock_Log[WeekIndex],52))</f>
        <v/>
      </c>
      <c r="BB24" s="17">
        <f>IF(COUNTIFS(T_SelfStock_Log[Part Name],$A24,T_SelfStock_Log[WeekIndex],53)=0,"",SUMIFS(T_SelfStock_Log[Self_Qty],T_SelfStock_Log[Part Name],$A24,T_SelfStock_Log[WeekIndex],53))</f>
        <v/>
      </c>
      <c r="BC24" s="17">
        <f>IF(COUNTIFS(T_SelfStock_Log[Part Name],$A24,T_SelfStock_Log[WeekIndex],54)=0,"",SUMIFS(T_SelfStock_Log[Self_Qty],T_SelfStock_Log[Part Name],$A24,T_SelfStock_Log[WeekIndex],54))</f>
        <v/>
      </c>
      <c r="BD24" s="17">
        <f>IF(COUNTIFS(T_SelfStock_Log[Part Name],$A24,T_SelfStock_Log[WeekIndex],55)=0,"",SUMIFS(T_SelfStock_Log[Self_Qty],T_SelfStock_Log[Part Name],$A24,T_SelfStock_Log[WeekIndex],55))</f>
        <v/>
      </c>
      <c r="BE24" s="17">
        <f>IF(COUNTIFS(T_SelfStock_Log[Part Name],$A24,T_SelfStock_Log[WeekIndex],56)=0,"",SUMIFS(T_SelfStock_Log[Self_Qty],T_SelfStock_Log[Part Name],$A24,T_SelfStock_Log[WeekIndex],56))</f>
        <v/>
      </c>
      <c r="BF24" s="17">
        <f>IF(COUNTIFS(T_SelfStock_Log[Part Name],$A24,T_SelfStock_Log[WeekIndex],57)=0,"",SUMIFS(T_SelfStock_Log[Self_Qty],T_SelfStock_Log[Part Name],$A24,T_SelfStock_Log[WeekIndex],57))</f>
        <v/>
      </c>
      <c r="BG24" s="17">
        <f>IF(COUNTIFS(T_SelfStock_Log[Part Name],$A24,T_SelfStock_Log[WeekIndex],58)=0,"",SUMIFS(T_SelfStock_Log[Self_Qty],T_SelfStock_Log[Part Name],$A24,T_SelfStock_Log[WeekIndex],58))</f>
        <v/>
      </c>
      <c r="BH24" s="17">
        <f>IF(COUNTIFS(T_SelfStock_Log[Part Name],$A24,T_SelfStock_Log[WeekIndex],59)=0,"",SUMIFS(T_SelfStock_Log[Self_Qty],T_SelfStock_Log[Part Name],$A24,T_SelfStock_Log[WeekIndex],59))</f>
        <v/>
      </c>
      <c r="BI24" s="17">
        <f>IF(COUNTIFS(T_SelfStock_Log[Part Name],$A24,T_SelfStock_Log[WeekIndex],60)=0,"",SUMIFS(T_SelfStock_Log[Self_Qty],T_SelfStock_Log[Part Name],$A24,T_SelfStock_Log[WeekIndex],60))</f>
        <v/>
      </c>
      <c r="BJ24" s="17">
        <f>IF(COUNTIFS(T_SelfStock_Log[Part Name],$A24,T_SelfStock_Log[WeekIndex],61)=0,"",SUMIFS(T_SelfStock_Log[Self_Qty],T_SelfStock_Log[Part Name],$A24,T_SelfStock_Log[WeekIndex],61))</f>
        <v/>
      </c>
      <c r="BK24" s="17">
        <f>IF(COUNTIFS(T_SelfStock_Log[Part Name],$A24,T_SelfStock_Log[WeekIndex],62)=0,"",SUMIFS(T_SelfStock_Log[Self_Qty],T_SelfStock_Log[Part Name],$A24,T_SelfStock_Log[WeekIndex],62))</f>
        <v/>
      </c>
      <c r="BL24" s="17">
        <f>IF(COUNTIFS(T_SelfStock_Log[Part Name],$A24,T_SelfStock_Log[WeekIndex],63)=0,"",SUMIFS(T_SelfStock_Log[Self_Qty],T_SelfStock_Log[Part Name],$A24,T_SelfStock_Log[WeekIndex],63))</f>
        <v/>
      </c>
      <c r="BM24" s="17">
        <f>IF(COUNTIFS(T_SelfStock_Log[Part Name],$A24,T_SelfStock_Log[WeekIndex],64)=0,"",SUMIFS(T_SelfStock_Log[Self_Qty],T_SelfStock_Log[Part Name],$A24,T_SelfStock_Log[WeekIndex],64))</f>
        <v/>
      </c>
      <c r="BN24" s="17">
        <f>IF(COUNTIFS(T_SelfStock_Log[Part Name],$A24,T_SelfStock_Log[WeekIndex],65)=0,"",SUMIFS(T_SelfStock_Log[Self_Qty],T_SelfStock_Log[Part Name],$A24,T_SelfStock_Log[WeekIndex],65))</f>
        <v/>
      </c>
      <c r="BO24" s="17">
        <f>IF(COUNTIFS(T_SelfStock_Log[Part Name],$A24,T_SelfStock_Log[WeekIndex],66)=0,"",SUMIFS(T_SelfStock_Log[Self_Qty],T_SelfStock_Log[Part Name],$A24,T_SelfStock_Log[WeekIndex],66))</f>
        <v/>
      </c>
      <c r="BP24" s="17">
        <f>IF(COUNTIFS(T_SelfStock_Log[Part Name],$A24,T_SelfStock_Log[WeekIndex],67)=0,"",SUMIFS(T_SelfStock_Log[Self_Qty],T_SelfStock_Log[Part Name],$A24,T_SelfStock_Log[WeekIndex],67))</f>
        <v/>
      </c>
      <c r="BQ24" s="17">
        <f>IF(COUNTIFS(T_SelfStock_Log[Part Name],$A24,T_SelfStock_Log[WeekIndex],68)=0,"",SUMIFS(T_SelfStock_Log[Self_Qty],T_SelfStock_Log[Part Name],$A24,T_SelfStock_Log[WeekIndex],68))</f>
        <v/>
      </c>
      <c r="BR24" s="17">
        <f>IF(COUNTIFS(T_SelfStock_Log[Part Name],$A24,T_SelfStock_Log[WeekIndex],69)=0,"",SUMIFS(T_SelfStock_Log[Self_Qty],T_SelfStock_Log[Part Name],$A24,T_SelfStock_Log[WeekIndex],69))</f>
        <v/>
      </c>
      <c r="BS24" s="17">
        <f>IF(COUNTIFS(T_SelfStock_Log[Part Name],$A24,T_SelfStock_Log[WeekIndex],70)=0,"",SUMIFS(T_SelfStock_Log[Self_Qty],T_SelfStock_Log[Part Name],$A24,T_SelfStock_Log[WeekIndex],70))</f>
        <v/>
      </c>
      <c r="BT24" s="17">
        <f>IF(COUNTIFS(T_SelfStock_Log[Part Name],$A24,T_SelfStock_Log[WeekIndex],71)=0,"",SUMIFS(T_SelfStock_Log[Self_Qty],T_SelfStock_Log[Part Name],$A24,T_SelfStock_Log[WeekIndex],71))</f>
        <v/>
      </c>
      <c r="BU24" s="17">
        <f>IF(COUNTIFS(T_SelfStock_Log[Part Name],$A24,T_SelfStock_Log[WeekIndex],72)=0,"",SUMIFS(T_SelfStock_Log[Self_Qty],T_SelfStock_Log[Part Name],$A24,T_SelfStock_Log[WeekIndex],72))</f>
        <v/>
      </c>
      <c r="BV24" s="17">
        <f>IF(COUNTIFS(T_SelfStock_Log[Part Name],$A24,T_SelfStock_Log[WeekIndex],73)=0,"",SUMIFS(T_SelfStock_Log[Self_Qty],T_SelfStock_Log[Part Name],$A24,T_SelfStock_Log[WeekIndex],73))</f>
        <v/>
      </c>
      <c r="BW24" s="17">
        <f>IF(COUNTIFS(T_SelfStock_Log[Part Name],$A24,T_SelfStock_Log[WeekIndex],74)=0,"",SUMIFS(T_SelfStock_Log[Self_Qty],T_SelfStock_Log[Part Name],$A24,T_SelfStock_Log[WeekIndex],74))</f>
        <v/>
      </c>
      <c r="BX24" s="17">
        <f>IF(COUNTIFS(T_SelfStock_Log[Part Name],$A24,T_SelfStock_Log[WeekIndex],75)=0,"",SUMIFS(T_SelfStock_Log[Self_Qty],T_SelfStock_Log[Part Name],$A24,T_SelfStock_Log[WeekIndex],75))</f>
        <v/>
      </c>
      <c r="BY24" s="17">
        <f>IF(COUNTIFS(T_SelfStock_Log[Part Name],$A24,T_SelfStock_Log[WeekIndex],76)=0,"",SUMIFS(T_SelfStock_Log[Self_Qty],T_SelfStock_Log[Part Name],$A24,T_SelfStock_Log[WeekIndex],76))</f>
        <v/>
      </c>
      <c r="BZ24" s="17">
        <f>IF(COUNTIFS(T_SelfStock_Log[Part Name],$A24,T_SelfStock_Log[WeekIndex],77)=0,"",SUMIFS(T_SelfStock_Log[Self_Qty],T_SelfStock_Log[Part Name],$A24,T_SelfStock_Log[WeekIndex],77))</f>
        <v/>
      </c>
      <c r="CA24" s="17">
        <f>IF(COUNTIFS(T_SelfStock_Log[Part Name],$A24,T_SelfStock_Log[WeekIndex],78)=0,"",SUMIFS(T_SelfStock_Log[Self_Qty],T_SelfStock_Log[Part Name],$A24,T_SelfStock_Log[WeekIndex],78))</f>
        <v/>
      </c>
      <c r="CB24" s="17">
        <f>IF(COUNTIFS(T_SelfStock_Log[Part Name],$A24,T_SelfStock_Log[WeekIndex],79)=0,"",SUMIFS(T_SelfStock_Log[Self_Qty],T_SelfStock_Log[Part Name],$A24,T_SelfStock_Log[WeekIndex],79))</f>
        <v/>
      </c>
      <c r="CC24" s="17">
        <f>IF(COUNTIFS(T_SelfStock_Log[Part Name],$A24,T_SelfStock_Log[WeekIndex],80)=0,"",SUMIFS(T_SelfStock_Log[Self_Qty],T_SelfStock_Log[Part Name],$A24,T_SelfStock_Log[WeekIndex],80))</f>
        <v/>
      </c>
      <c r="CD24" s="17">
        <f>IF(COUNTIFS(T_SelfStock_Log[Part Name],$A24,T_SelfStock_Log[WeekIndex],81)=0,"",SUMIFS(T_SelfStock_Log[Self_Qty],T_SelfStock_Log[Part Name],$A24,T_SelfStock_Log[WeekIndex],81))</f>
        <v/>
      </c>
      <c r="CE24" s="17">
        <f>IF(COUNTIFS(T_SelfStock_Log[Part Name],$A24,T_SelfStock_Log[WeekIndex],82)=0,"",SUMIFS(T_SelfStock_Log[Self_Qty],T_SelfStock_Log[Part Name],$A24,T_SelfStock_Log[WeekIndex],82))</f>
        <v/>
      </c>
      <c r="CF24" s="17">
        <f>IF(COUNTIFS(T_SelfStock_Log[Part Name],$A24,T_SelfStock_Log[WeekIndex],83)=0,"",SUMIFS(T_SelfStock_Log[Self_Qty],T_SelfStock_Log[Part Name],$A24,T_SelfStock_Log[WeekIndex],83))</f>
        <v/>
      </c>
      <c r="CG24" s="17">
        <f>IF(COUNTIFS(T_SelfStock_Log[Part Name],$A24,T_SelfStock_Log[WeekIndex],84)=0,"",SUMIFS(T_SelfStock_Log[Self_Qty],T_SelfStock_Log[Part Name],$A24,T_SelfStock_Log[WeekIndex],84))</f>
        <v/>
      </c>
      <c r="CH24" s="17">
        <f>IF(COUNTIFS(T_SelfStock_Log[Part Name],$A24,T_SelfStock_Log[WeekIndex],85)=0,"",SUMIFS(T_SelfStock_Log[Self_Qty],T_SelfStock_Log[Part Name],$A24,T_SelfStock_Log[WeekIndex],85))</f>
        <v/>
      </c>
      <c r="CI24" s="17">
        <f>IF(COUNTIFS(T_SelfStock_Log[Part Name],$A24,T_SelfStock_Log[WeekIndex],86)=0,"",SUMIFS(T_SelfStock_Log[Self_Qty],T_SelfStock_Log[Part Name],$A24,T_SelfStock_Log[WeekIndex],86))</f>
        <v/>
      </c>
      <c r="CJ24" s="17">
        <f>IF(COUNTIFS(T_SelfStock_Log[Part Name],$A24,T_SelfStock_Log[WeekIndex],87)=0,"",SUMIFS(T_SelfStock_Log[Self_Qty],T_SelfStock_Log[Part Name],$A24,T_SelfStock_Log[WeekIndex],87))</f>
        <v/>
      </c>
      <c r="CK24" s="17">
        <f>IF(COUNTIFS(T_SelfStock_Log[Part Name],$A24,T_SelfStock_Log[WeekIndex],88)=0,"",SUMIFS(T_SelfStock_Log[Self_Qty],T_SelfStock_Log[Part Name],$A24,T_SelfStock_Log[WeekIndex],88))</f>
        <v/>
      </c>
      <c r="CL24" s="17">
        <f>IF(COUNTIFS(T_SelfStock_Log[Part Name],$A24,T_SelfStock_Log[WeekIndex],89)=0,"",SUMIFS(T_SelfStock_Log[Self_Qty],T_SelfStock_Log[Part Name],$A24,T_SelfStock_Log[WeekIndex],89))</f>
        <v/>
      </c>
      <c r="CM24" s="17">
        <f>IF(COUNTIFS(T_SelfStock_Log[Part Name],$A24,T_SelfStock_Log[WeekIndex],90)=0,"",SUMIFS(T_SelfStock_Log[Self_Qty],T_SelfStock_Log[Part Name],$A24,T_SelfStock_Log[WeekIndex],90))</f>
        <v/>
      </c>
      <c r="CN24" s="17">
        <f>IF(COUNTIFS(T_SelfStock_Log[Part Name],$A24,T_SelfStock_Log[WeekIndex],91)=0,"",SUMIFS(T_SelfStock_Log[Self_Qty],T_SelfStock_Log[Part Name],$A24,T_SelfStock_Log[WeekIndex],91))</f>
        <v/>
      </c>
      <c r="CO24" s="17">
        <f>IF(COUNTIFS(T_SelfStock_Log[Part Name],$A24,T_SelfStock_Log[WeekIndex],92)=0,"",SUMIFS(T_SelfStock_Log[Self_Qty],T_SelfStock_Log[Part Name],$A24,T_SelfStock_Log[WeekIndex],92))</f>
        <v/>
      </c>
      <c r="CP24" s="17">
        <f>IF(COUNTIFS(T_SelfStock_Log[Part Name],$A24,T_SelfStock_Log[WeekIndex],93)=0,"",SUMIFS(T_SelfStock_Log[Self_Qty],T_SelfStock_Log[Part Name],$A24,T_SelfStock_Log[WeekIndex],93))</f>
        <v/>
      </c>
      <c r="CQ24" s="17">
        <f>IF(COUNTIFS(T_SelfStock_Log[Part Name],$A24,T_SelfStock_Log[WeekIndex],94)=0,"",SUMIFS(T_SelfStock_Log[Self_Qty],T_SelfStock_Log[Part Name],$A24,T_SelfStock_Log[WeekIndex],94))</f>
        <v/>
      </c>
      <c r="CR24" s="17">
        <f>IF(COUNTIFS(T_SelfStock_Log[Part Name],$A24,T_SelfStock_Log[WeekIndex],95)=0,"",SUMIFS(T_SelfStock_Log[Self_Qty],T_SelfStock_Log[Part Name],$A24,T_SelfStock_Log[WeekIndex],95))</f>
        <v/>
      </c>
      <c r="CS24" s="17">
        <f>IF(COUNTIFS(T_SelfStock_Log[Part Name],$A24,T_SelfStock_Log[WeekIndex],96)=0,"",SUMIFS(T_SelfStock_Log[Self_Qty],T_SelfStock_Log[Part Name],$A24,T_SelfStock_Log[WeekIndex],96))</f>
        <v/>
      </c>
      <c r="CT24" s="17">
        <f>IF(COUNTIFS(T_SelfStock_Log[Part Name],$A24,T_SelfStock_Log[WeekIndex],97)=0,"",SUMIFS(T_SelfStock_Log[Self_Qty],T_SelfStock_Log[Part Name],$A24,T_SelfStock_Log[WeekIndex],97))</f>
        <v/>
      </c>
      <c r="CU24" s="17">
        <f>IF(COUNTIFS(T_SelfStock_Log[Part Name],$A24,T_SelfStock_Log[WeekIndex],98)=0,"",SUMIFS(T_SelfStock_Log[Self_Qty],T_SelfStock_Log[Part Name],$A24,T_SelfStock_Log[WeekIndex],98))</f>
        <v/>
      </c>
      <c r="CV24" s="17">
        <f>IF(COUNTIFS(T_SelfStock_Log[Part Name],$A24,T_SelfStock_Log[WeekIndex],99)=0,"",SUMIFS(T_SelfStock_Log[Self_Qty],T_SelfStock_Log[Part Name],$A24,T_SelfStock_Log[WeekIndex],99))</f>
        <v/>
      </c>
      <c r="CW24" s="17">
        <f>IF(COUNTIFS(T_SelfStock_Log[Part Name],$A24,T_SelfStock_Log[WeekIndex],100)=0,"",SUMIFS(T_SelfStock_Log[Self_Qty],T_SelfStock_Log[Part Name],$A24,T_SelfStock_Log[WeekIndex],100))</f>
        <v/>
      </c>
      <c r="CX24" s="17">
        <f>IF(COUNTIFS(T_SelfStock_Log[Part Name],$A24,T_SelfStock_Log[WeekIndex],101)=0,"",SUMIFS(T_SelfStock_Log[Self_Qty],T_SelfStock_Log[Part Name],$A24,T_SelfStock_Log[WeekIndex],101))</f>
        <v/>
      </c>
      <c r="CY24" s="17">
        <f>IF(COUNTIFS(T_SelfStock_Log[Part Name],$A24,T_SelfStock_Log[WeekIndex],102)=0,"",SUMIFS(T_SelfStock_Log[Self_Qty],T_SelfStock_Log[Part Name],$A24,T_SelfStock_Log[WeekIndex],102))</f>
        <v/>
      </c>
      <c r="CZ24" s="17">
        <f>IF(COUNTIFS(T_SelfStock_Log[Part Name],$A24,T_SelfStock_Log[WeekIndex],103)=0,"",SUMIFS(T_SelfStock_Log[Self_Qty],T_SelfStock_Log[Part Name],$A24,T_SelfStock_Log[WeekIndex],103))</f>
        <v/>
      </c>
      <c r="DA24" s="17">
        <f>IF(COUNTIFS(T_SelfStock_Log[Part Name],$A24,T_SelfStock_Log[WeekIndex],104)=0,"",SUMIFS(T_SelfStock_Log[Self_Qty],T_SelfStock_Log[Part Name],$A24,T_SelfStock_Log[WeekIndex],104))</f>
        <v/>
      </c>
    </row>
    <row r="25">
      <c r="A25" s="19" t="inlineStr">
        <is>
          <t>1JN</t>
        </is>
      </c>
      <c r="B25" s="19">
        <f>IF(COUNTIFS(T_SelfStock_Log[Part Name],$A25,T_SelfStock_Log[WeekIndex],1)=0,"",SUMIFS(T_SelfStock_Log[Self_Qty],T_SelfStock_Log[Part Name],$A25,T_SelfStock_Log[WeekIndex],1))</f>
        <v/>
      </c>
      <c r="C25" s="19">
        <f>IF(COUNTIFS(T_SelfStock_Log[Part Name],$A25,T_SelfStock_Log[WeekIndex],2)=0,"",SUMIFS(T_SelfStock_Log[Self_Qty],T_SelfStock_Log[Part Name],$A25,T_SelfStock_Log[WeekIndex],2))</f>
        <v/>
      </c>
      <c r="D25" s="19">
        <f>IF(COUNTIFS(T_SelfStock_Log[Part Name],$A25,T_SelfStock_Log[WeekIndex],3)=0,"",SUMIFS(T_SelfStock_Log[Self_Qty],T_SelfStock_Log[Part Name],$A25,T_SelfStock_Log[WeekIndex],3))</f>
        <v/>
      </c>
      <c r="E25" s="19">
        <f>IF(COUNTIFS(T_SelfStock_Log[Part Name],$A25,T_SelfStock_Log[WeekIndex],4)=0,"",SUMIFS(T_SelfStock_Log[Self_Qty],T_SelfStock_Log[Part Name],$A25,T_SelfStock_Log[WeekIndex],4))</f>
        <v/>
      </c>
      <c r="F25" s="19">
        <f>IF(COUNTIFS(T_SelfStock_Log[Part Name],$A25,T_SelfStock_Log[WeekIndex],5)=0,"",SUMIFS(T_SelfStock_Log[Self_Qty],T_SelfStock_Log[Part Name],$A25,T_SelfStock_Log[WeekIndex],5))</f>
        <v/>
      </c>
      <c r="G25" s="19">
        <f>IF(COUNTIFS(T_SelfStock_Log[Part Name],$A25,T_SelfStock_Log[WeekIndex],6)=0,"",SUMIFS(T_SelfStock_Log[Self_Qty],T_SelfStock_Log[Part Name],$A25,T_SelfStock_Log[WeekIndex],6))</f>
        <v/>
      </c>
      <c r="H25" s="19">
        <f>IF(COUNTIFS(T_SelfStock_Log[Part Name],$A25,T_SelfStock_Log[WeekIndex],7)=0,"",SUMIFS(T_SelfStock_Log[Self_Qty],T_SelfStock_Log[Part Name],$A25,T_SelfStock_Log[WeekIndex],7))</f>
        <v/>
      </c>
      <c r="I25" s="19">
        <f>IF(COUNTIFS(T_SelfStock_Log[Part Name],$A25,T_SelfStock_Log[WeekIndex],8)=0,"",SUMIFS(T_SelfStock_Log[Self_Qty],T_SelfStock_Log[Part Name],$A25,T_SelfStock_Log[WeekIndex],8))</f>
        <v/>
      </c>
      <c r="J25" s="19">
        <f>IF(COUNTIFS(T_SelfStock_Log[Part Name],$A25,T_SelfStock_Log[WeekIndex],9)=0,"",SUMIFS(T_SelfStock_Log[Self_Qty],T_SelfStock_Log[Part Name],$A25,T_SelfStock_Log[WeekIndex],9))</f>
        <v/>
      </c>
      <c r="K25" s="19">
        <f>IF(COUNTIFS(T_SelfStock_Log[Part Name],$A25,T_SelfStock_Log[WeekIndex],10)=0,"",SUMIFS(T_SelfStock_Log[Self_Qty],T_SelfStock_Log[Part Name],$A25,T_SelfStock_Log[WeekIndex],10))</f>
        <v/>
      </c>
      <c r="L25" s="19">
        <f>IF(COUNTIFS(T_SelfStock_Log[Part Name],$A25,T_SelfStock_Log[WeekIndex],11)=0,"",SUMIFS(T_SelfStock_Log[Self_Qty],T_SelfStock_Log[Part Name],$A25,T_SelfStock_Log[WeekIndex],11))</f>
        <v/>
      </c>
      <c r="M25" s="19">
        <f>IF(COUNTIFS(T_SelfStock_Log[Part Name],$A25,T_SelfStock_Log[WeekIndex],12)=0,"",SUMIFS(T_SelfStock_Log[Self_Qty],T_SelfStock_Log[Part Name],$A25,T_SelfStock_Log[WeekIndex],12))</f>
        <v/>
      </c>
      <c r="N25" s="19">
        <f>IF(COUNTIFS(T_SelfStock_Log[Part Name],$A25,T_SelfStock_Log[WeekIndex],13)=0,"",SUMIFS(T_SelfStock_Log[Self_Qty],T_SelfStock_Log[Part Name],$A25,T_SelfStock_Log[WeekIndex],13))</f>
        <v/>
      </c>
      <c r="O25" s="19">
        <f>IF(COUNTIFS(T_SelfStock_Log[Part Name],$A25,T_SelfStock_Log[WeekIndex],14)=0,"",SUMIFS(T_SelfStock_Log[Self_Qty],T_SelfStock_Log[Part Name],$A25,T_SelfStock_Log[WeekIndex],14))</f>
        <v/>
      </c>
      <c r="P25" s="19">
        <f>IF(COUNTIFS(T_SelfStock_Log[Part Name],$A25,T_SelfStock_Log[WeekIndex],15)=0,"",SUMIFS(T_SelfStock_Log[Self_Qty],T_SelfStock_Log[Part Name],$A25,T_SelfStock_Log[WeekIndex],15))</f>
        <v/>
      </c>
      <c r="Q25" s="19">
        <f>IF(COUNTIFS(T_SelfStock_Log[Part Name],$A25,T_SelfStock_Log[WeekIndex],16)=0,"",SUMIFS(T_SelfStock_Log[Self_Qty],T_SelfStock_Log[Part Name],$A25,T_SelfStock_Log[WeekIndex],16))</f>
        <v/>
      </c>
      <c r="R25" s="19">
        <f>IF(COUNTIFS(T_SelfStock_Log[Part Name],$A25,T_SelfStock_Log[WeekIndex],17)=0,"",SUMIFS(T_SelfStock_Log[Self_Qty],T_SelfStock_Log[Part Name],$A25,T_SelfStock_Log[WeekIndex],17))</f>
        <v/>
      </c>
      <c r="S25" s="19">
        <f>IF(COUNTIFS(T_SelfStock_Log[Part Name],$A25,T_SelfStock_Log[WeekIndex],18)=0,"",SUMIFS(T_SelfStock_Log[Self_Qty],T_SelfStock_Log[Part Name],$A25,T_SelfStock_Log[WeekIndex],18))</f>
        <v/>
      </c>
      <c r="T25" s="19">
        <f>IF(COUNTIFS(T_SelfStock_Log[Part Name],$A25,T_SelfStock_Log[WeekIndex],19)=0,"",SUMIFS(T_SelfStock_Log[Self_Qty],T_SelfStock_Log[Part Name],$A25,T_SelfStock_Log[WeekIndex],19))</f>
        <v/>
      </c>
      <c r="U25" s="19">
        <f>IF(COUNTIFS(T_SelfStock_Log[Part Name],$A25,T_SelfStock_Log[WeekIndex],20)=0,"",SUMIFS(T_SelfStock_Log[Self_Qty],T_SelfStock_Log[Part Name],$A25,T_SelfStock_Log[WeekIndex],20))</f>
        <v/>
      </c>
      <c r="V25" s="19">
        <f>IF(COUNTIFS(T_SelfStock_Log[Part Name],$A25,T_SelfStock_Log[WeekIndex],21)=0,"",SUMIFS(T_SelfStock_Log[Self_Qty],T_SelfStock_Log[Part Name],$A25,T_SelfStock_Log[WeekIndex],21))</f>
        <v/>
      </c>
      <c r="W25" s="19">
        <f>IF(COUNTIFS(T_SelfStock_Log[Part Name],$A25,T_SelfStock_Log[WeekIndex],22)=0,"",SUMIFS(T_SelfStock_Log[Self_Qty],T_SelfStock_Log[Part Name],$A25,T_SelfStock_Log[WeekIndex],22))</f>
        <v/>
      </c>
      <c r="X25" s="19">
        <f>IF(COUNTIFS(T_SelfStock_Log[Part Name],$A25,T_SelfStock_Log[WeekIndex],23)=0,"",SUMIFS(T_SelfStock_Log[Self_Qty],T_SelfStock_Log[Part Name],$A25,T_SelfStock_Log[WeekIndex],23))</f>
        <v/>
      </c>
      <c r="Y25" s="19">
        <f>IF(COUNTIFS(T_SelfStock_Log[Part Name],$A25,T_SelfStock_Log[WeekIndex],24)=0,"",SUMIFS(T_SelfStock_Log[Self_Qty],T_SelfStock_Log[Part Name],$A25,T_SelfStock_Log[WeekIndex],24))</f>
        <v/>
      </c>
      <c r="Z25" s="19">
        <f>IF(COUNTIFS(T_SelfStock_Log[Part Name],$A25,T_SelfStock_Log[WeekIndex],25)=0,"",SUMIFS(T_SelfStock_Log[Self_Qty],T_SelfStock_Log[Part Name],$A25,T_SelfStock_Log[WeekIndex],25))</f>
        <v/>
      </c>
      <c r="AA25" s="19">
        <f>IF(COUNTIFS(T_SelfStock_Log[Part Name],$A25,T_SelfStock_Log[WeekIndex],26)=0,"",SUMIFS(T_SelfStock_Log[Self_Qty],T_SelfStock_Log[Part Name],$A25,T_SelfStock_Log[WeekIndex],26))</f>
        <v/>
      </c>
      <c r="AB25" s="19">
        <f>IF(COUNTIFS(T_SelfStock_Log[Part Name],$A25,T_SelfStock_Log[WeekIndex],27)=0,"",SUMIFS(T_SelfStock_Log[Self_Qty],T_SelfStock_Log[Part Name],$A25,T_SelfStock_Log[WeekIndex],27))</f>
        <v/>
      </c>
      <c r="AC25" s="19">
        <f>IF(COUNTIFS(T_SelfStock_Log[Part Name],$A25,T_SelfStock_Log[WeekIndex],28)=0,"",SUMIFS(T_SelfStock_Log[Self_Qty],T_SelfStock_Log[Part Name],$A25,T_SelfStock_Log[WeekIndex],28))</f>
        <v/>
      </c>
      <c r="AD25" s="19">
        <f>IF(COUNTIFS(T_SelfStock_Log[Part Name],$A25,T_SelfStock_Log[WeekIndex],29)=0,"",SUMIFS(T_SelfStock_Log[Self_Qty],T_SelfStock_Log[Part Name],$A25,T_SelfStock_Log[WeekIndex],29))</f>
        <v/>
      </c>
      <c r="AE25" s="19">
        <f>IF(COUNTIFS(T_SelfStock_Log[Part Name],$A25,T_SelfStock_Log[WeekIndex],30)=0,"",SUMIFS(T_SelfStock_Log[Self_Qty],T_SelfStock_Log[Part Name],$A25,T_SelfStock_Log[WeekIndex],30))</f>
        <v/>
      </c>
      <c r="AF25" s="19">
        <f>IF(COUNTIFS(T_SelfStock_Log[Part Name],$A25,T_SelfStock_Log[WeekIndex],31)=0,"",SUMIFS(T_SelfStock_Log[Self_Qty],T_SelfStock_Log[Part Name],$A25,T_SelfStock_Log[WeekIndex],31))</f>
        <v/>
      </c>
      <c r="AG25" s="19">
        <f>IF(COUNTIFS(T_SelfStock_Log[Part Name],$A25,T_SelfStock_Log[WeekIndex],32)=0,"",SUMIFS(T_SelfStock_Log[Self_Qty],T_SelfStock_Log[Part Name],$A25,T_SelfStock_Log[WeekIndex],32))</f>
        <v/>
      </c>
      <c r="AH25" s="19">
        <f>IF(COUNTIFS(T_SelfStock_Log[Part Name],$A25,T_SelfStock_Log[WeekIndex],33)=0,"",SUMIFS(T_SelfStock_Log[Self_Qty],T_SelfStock_Log[Part Name],$A25,T_SelfStock_Log[WeekIndex],33))</f>
        <v/>
      </c>
      <c r="AI25" s="19">
        <f>IF(COUNTIFS(T_SelfStock_Log[Part Name],$A25,T_SelfStock_Log[WeekIndex],34)=0,"",SUMIFS(T_SelfStock_Log[Self_Qty],T_SelfStock_Log[Part Name],$A25,T_SelfStock_Log[WeekIndex],34))</f>
        <v/>
      </c>
      <c r="AJ25" s="19">
        <f>IF(COUNTIFS(T_SelfStock_Log[Part Name],$A25,T_SelfStock_Log[WeekIndex],35)=0,"",SUMIFS(T_SelfStock_Log[Self_Qty],T_SelfStock_Log[Part Name],$A25,T_SelfStock_Log[WeekIndex],35))</f>
        <v/>
      </c>
      <c r="AK25" s="19">
        <f>IF(COUNTIFS(T_SelfStock_Log[Part Name],$A25,T_SelfStock_Log[WeekIndex],36)=0,"",SUMIFS(T_SelfStock_Log[Self_Qty],T_SelfStock_Log[Part Name],$A25,T_SelfStock_Log[WeekIndex],36))</f>
        <v/>
      </c>
      <c r="AL25" s="19">
        <f>IF(COUNTIFS(T_SelfStock_Log[Part Name],$A25,T_SelfStock_Log[WeekIndex],37)=0,"",SUMIFS(T_SelfStock_Log[Self_Qty],T_SelfStock_Log[Part Name],$A25,T_SelfStock_Log[WeekIndex],37))</f>
        <v/>
      </c>
      <c r="AM25" s="19">
        <f>IF(COUNTIFS(T_SelfStock_Log[Part Name],$A25,T_SelfStock_Log[WeekIndex],38)=0,"",SUMIFS(T_SelfStock_Log[Self_Qty],T_SelfStock_Log[Part Name],$A25,T_SelfStock_Log[WeekIndex],38))</f>
        <v/>
      </c>
      <c r="AN25" s="19">
        <f>IF(COUNTIFS(T_SelfStock_Log[Part Name],$A25,T_SelfStock_Log[WeekIndex],39)=0,"",SUMIFS(T_SelfStock_Log[Self_Qty],T_SelfStock_Log[Part Name],$A25,T_SelfStock_Log[WeekIndex],39))</f>
        <v/>
      </c>
      <c r="AO25" s="19">
        <f>IF(COUNTIFS(T_SelfStock_Log[Part Name],$A25,T_SelfStock_Log[WeekIndex],40)=0,"",SUMIFS(T_SelfStock_Log[Self_Qty],T_SelfStock_Log[Part Name],$A25,T_SelfStock_Log[WeekIndex],40))</f>
        <v/>
      </c>
      <c r="AP25" s="19">
        <f>IF(COUNTIFS(T_SelfStock_Log[Part Name],$A25,T_SelfStock_Log[WeekIndex],41)=0,"",SUMIFS(T_SelfStock_Log[Self_Qty],T_SelfStock_Log[Part Name],$A25,T_SelfStock_Log[WeekIndex],41))</f>
        <v/>
      </c>
      <c r="AQ25" s="19">
        <f>IF(COUNTIFS(T_SelfStock_Log[Part Name],$A25,T_SelfStock_Log[WeekIndex],42)=0,"",SUMIFS(T_SelfStock_Log[Self_Qty],T_SelfStock_Log[Part Name],$A25,T_SelfStock_Log[WeekIndex],42))</f>
        <v/>
      </c>
      <c r="AR25" s="19">
        <f>IF(COUNTIFS(T_SelfStock_Log[Part Name],$A25,T_SelfStock_Log[WeekIndex],43)=0,"",SUMIFS(T_SelfStock_Log[Self_Qty],T_SelfStock_Log[Part Name],$A25,T_SelfStock_Log[WeekIndex],43))</f>
        <v/>
      </c>
      <c r="AS25" s="19">
        <f>IF(COUNTIFS(T_SelfStock_Log[Part Name],$A25,T_SelfStock_Log[WeekIndex],44)=0,"",SUMIFS(T_SelfStock_Log[Self_Qty],T_SelfStock_Log[Part Name],$A25,T_SelfStock_Log[WeekIndex],44))</f>
        <v/>
      </c>
      <c r="AT25" s="19">
        <f>IF(COUNTIFS(T_SelfStock_Log[Part Name],$A25,T_SelfStock_Log[WeekIndex],45)=0,"",SUMIFS(T_SelfStock_Log[Self_Qty],T_SelfStock_Log[Part Name],$A25,T_SelfStock_Log[WeekIndex],45))</f>
        <v/>
      </c>
      <c r="AU25" s="19">
        <f>IF(COUNTIFS(T_SelfStock_Log[Part Name],$A25,T_SelfStock_Log[WeekIndex],46)=0,"",SUMIFS(T_SelfStock_Log[Self_Qty],T_SelfStock_Log[Part Name],$A25,T_SelfStock_Log[WeekIndex],46))</f>
        <v/>
      </c>
      <c r="AV25" s="19">
        <f>IF(COUNTIFS(T_SelfStock_Log[Part Name],$A25,T_SelfStock_Log[WeekIndex],47)=0,"",SUMIFS(T_SelfStock_Log[Self_Qty],T_SelfStock_Log[Part Name],$A25,T_SelfStock_Log[WeekIndex],47))</f>
        <v/>
      </c>
      <c r="AW25" s="19">
        <f>IF(COUNTIFS(T_SelfStock_Log[Part Name],$A25,T_SelfStock_Log[WeekIndex],48)=0,"",SUMIFS(T_SelfStock_Log[Self_Qty],T_SelfStock_Log[Part Name],$A25,T_SelfStock_Log[WeekIndex],48))</f>
        <v/>
      </c>
      <c r="AX25" s="19">
        <f>IF(COUNTIFS(T_SelfStock_Log[Part Name],$A25,T_SelfStock_Log[WeekIndex],49)=0,"",SUMIFS(T_SelfStock_Log[Self_Qty],T_SelfStock_Log[Part Name],$A25,T_SelfStock_Log[WeekIndex],49))</f>
        <v/>
      </c>
      <c r="AY25" s="19">
        <f>IF(COUNTIFS(T_SelfStock_Log[Part Name],$A25,T_SelfStock_Log[WeekIndex],50)=0,"",SUMIFS(T_SelfStock_Log[Self_Qty],T_SelfStock_Log[Part Name],$A25,T_SelfStock_Log[WeekIndex],50))</f>
        <v/>
      </c>
      <c r="AZ25" s="19">
        <f>IF(COUNTIFS(T_SelfStock_Log[Part Name],$A25,T_SelfStock_Log[WeekIndex],51)=0,"",SUMIFS(T_SelfStock_Log[Self_Qty],T_SelfStock_Log[Part Name],$A25,T_SelfStock_Log[WeekIndex],51))</f>
        <v/>
      </c>
      <c r="BA25" s="19">
        <f>IF(COUNTIFS(T_SelfStock_Log[Part Name],$A25,T_SelfStock_Log[WeekIndex],52)=0,"",SUMIFS(T_SelfStock_Log[Self_Qty],T_SelfStock_Log[Part Name],$A25,T_SelfStock_Log[WeekIndex],52))</f>
        <v/>
      </c>
      <c r="BB25" s="19">
        <f>IF(COUNTIFS(T_SelfStock_Log[Part Name],$A25,T_SelfStock_Log[WeekIndex],53)=0,"",SUMIFS(T_SelfStock_Log[Self_Qty],T_SelfStock_Log[Part Name],$A25,T_SelfStock_Log[WeekIndex],53))</f>
        <v/>
      </c>
      <c r="BC25" s="19">
        <f>IF(COUNTIFS(T_SelfStock_Log[Part Name],$A25,T_SelfStock_Log[WeekIndex],54)=0,"",SUMIFS(T_SelfStock_Log[Self_Qty],T_SelfStock_Log[Part Name],$A25,T_SelfStock_Log[WeekIndex],54))</f>
        <v/>
      </c>
      <c r="BD25" s="19">
        <f>IF(COUNTIFS(T_SelfStock_Log[Part Name],$A25,T_SelfStock_Log[WeekIndex],55)=0,"",SUMIFS(T_SelfStock_Log[Self_Qty],T_SelfStock_Log[Part Name],$A25,T_SelfStock_Log[WeekIndex],55))</f>
        <v/>
      </c>
      <c r="BE25" s="19">
        <f>IF(COUNTIFS(T_SelfStock_Log[Part Name],$A25,T_SelfStock_Log[WeekIndex],56)=0,"",SUMIFS(T_SelfStock_Log[Self_Qty],T_SelfStock_Log[Part Name],$A25,T_SelfStock_Log[WeekIndex],56))</f>
        <v/>
      </c>
      <c r="BF25" s="19">
        <f>IF(COUNTIFS(T_SelfStock_Log[Part Name],$A25,T_SelfStock_Log[WeekIndex],57)=0,"",SUMIFS(T_SelfStock_Log[Self_Qty],T_SelfStock_Log[Part Name],$A25,T_SelfStock_Log[WeekIndex],57))</f>
        <v/>
      </c>
      <c r="BG25" s="19">
        <f>IF(COUNTIFS(T_SelfStock_Log[Part Name],$A25,T_SelfStock_Log[WeekIndex],58)=0,"",SUMIFS(T_SelfStock_Log[Self_Qty],T_SelfStock_Log[Part Name],$A25,T_SelfStock_Log[WeekIndex],58))</f>
        <v/>
      </c>
      <c r="BH25" s="19">
        <f>IF(COUNTIFS(T_SelfStock_Log[Part Name],$A25,T_SelfStock_Log[WeekIndex],59)=0,"",SUMIFS(T_SelfStock_Log[Self_Qty],T_SelfStock_Log[Part Name],$A25,T_SelfStock_Log[WeekIndex],59))</f>
        <v/>
      </c>
      <c r="BI25" s="19">
        <f>IF(COUNTIFS(T_SelfStock_Log[Part Name],$A25,T_SelfStock_Log[WeekIndex],60)=0,"",SUMIFS(T_SelfStock_Log[Self_Qty],T_SelfStock_Log[Part Name],$A25,T_SelfStock_Log[WeekIndex],60))</f>
        <v/>
      </c>
      <c r="BJ25" s="19">
        <f>IF(COUNTIFS(T_SelfStock_Log[Part Name],$A25,T_SelfStock_Log[WeekIndex],61)=0,"",SUMIFS(T_SelfStock_Log[Self_Qty],T_SelfStock_Log[Part Name],$A25,T_SelfStock_Log[WeekIndex],61))</f>
        <v/>
      </c>
      <c r="BK25" s="19">
        <f>IF(COUNTIFS(T_SelfStock_Log[Part Name],$A25,T_SelfStock_Log[WeekIndex],62)=0,"",SUMIFS(T_SelfStock_Log[Self_Qty],T_SelfStock_Log[Part Name],$A25,T_SelfStock_Log[WeekIndex],62))</f>
        <v/>
      </c>
      <c r="BL25" s="19">
        <f>IF(COUNTIFS(T_SelfStock_Log[Part Name],$A25,T_SelfStock_Log[WeekIndex],63)=0,"",SUMIFS(T_SelfStock_Log[Self_Qty],T_SelfStock_Log[Part Name],$A25,T_SelfStock_Log[WeekIndex],63))</f>
        <v/>
      </c>
      <c r="BM25" s="19">
        <f>IF(COUNTIFS(T_SelfStock_Log[Part Name],$A25,T_SelfStock_Log[WeekIndex],64)=0,"",SUMIFS(T_SelfStock_Log[Self_Qty],T_SelfStock_Log[Part Name],$A25,T_SelfStock_Log[WeekIndex],64))</f>
        <v/>
      </c>
      <c r="BN25" s="19">
        <f>IF(COUNTIFS(T_SelfStock_Log[Part Name],$A25,T_SelfStock_Log[WeekIndex],65)=0,"",SUMIFS(T_SelfStock_Log[Self_Qty],T_SelfStock_Log[Part Name],$A25,T_SelfStock_Log[WeekIndex],65))</f>
        <v/>
      </c>
      <c r="BO25" s="19">
        <f>IF(COUNTIFS(T_SelfStock_Log[Part Name],$A25,T_SelfStock_Log[WeekIndex],66)=0,"",SUMIFS(T_SelfStock_Log[Self_Qty],T_SelfStock_Log[Part Name],$A25,T_SelfStock_Log[WeekIndex],66))</f>
        <v/>
      </c>
      <c r="BP25" s="19">
        <f>IF(COUNTIFS(T_SelfStock_Log[Part Name],$A25,T_SelfStock_Log[WeekIndex],67)=0,"",SUMIFS(T_SelfStock_Log[Self_Qty],T_SelfStock_Log[Part Name],$A25,T_SelfStock_Log[WeekIndex],67))</f>
        <v/>
      </c>
      <c r="BQ25" s="19">
        <f>IF(COUNTIFS(T_SelfStock_Log[Part Name],$A25,T_SelfStock_Log[WeekIndex],68)=0,"",SUMIFS(T_SelfStock_Log[Self_Qty],T_SelfStock_Log[Part Name],$A25,T_SelfStock_Log[WeekIndex],68))</f>
        <v/>
      </c>
      <c r="BR25" s="19">
        <f>IF(COUNTIFS(T_SelfStock_Log[Part Name],$A25,T_SelfStock_Log[WeekIndex],69)=0,"",SUMIFS(T_SelfStock_Log[Self_Qty],T_SelfStock_Log[Part Name],$A25,T_SelfStock_Log[WeekIndex],69))</f>
        <v/>
      </c>
      <c r="BS25" s="19">
        <f>IF(COUNTIFS(T_SelfStock_Log[Part Name],$A25,T_SelfStock_Log[WeekIndex],70)=0,"",SUMIFS(T_SelfStock_Log[Self_Qty],T_SelfStock_Log[Part Name],$A25,T_SelfStock_Log[WeekIndex],70))</f>
        <v/>
      </c>
      <c r="BT25" s="19">
        <f>IF(COUNTIFS(T_SelfStock_Log[Part Name],$A25,T_SelfStock_Log[WeekIndex],71)=0,"",SUMIFS(T_SelfStock_Log[Self_Qty],T_SelfStock_Log[Part Name],$A25,T_SelfStock_Log[WeekIndex],71))</f>
        <v/>
      </c>
      <c r="BU25" s="19">
        <f>IF(COUNTIFS(T_SelfStock_Log[Part Name],$A25,T_SelfStock_Log[WeekIndex],72)=0,"",SUMIFS(T_SelfStock_Log[Self_Qty],T_SelfStock_Log[Part Name],$A25,T_SelfStock_Log[WeekIndex],72))</f>
        <v/>
      </c>
      <c r="BV25" s="19">
        <f>IF(COUNTIFS(T_SelfStock_Log[Part Name],$A25,T_SelfStock_Log[WeekIndex],73)=0,"",SUMIFS(T_SelfStock_Log[Self_Qty],T_SelfStock_Log[Part Name],$A25,T_SelfStock_Log[WeekIndex],73))</f>
        <v/>
      </c>
      <c r="BW25" s="19">
        <f>IF(COUNTIFS(T_SelfStock_Log[Part Name],$A25,T_SelfStock_Log[WeekIndex],74)=0,"",SUMIFS(T_SelfStock_Log[Self_Qty],T_SelfStock_Log[Part Name],$A25,T_SelfStock_Log[WeekIndex],74))</f>
        <v/>
      </c>
      <c r="BX25" s="19">
        <f>IF(COUNTIFS(T_SelfStock_Log[Part Name],$A25,T_SelfStock_Log[WeekIndex],75)=0,"",SUMIFS(T_SelfStock_Log[Self_Qty],T_SelfStock_Log[Part Name],$A25,T_SelfStock_Log[WeekIndex],75))</f>
        <v/>
      </c>
      <c r="BY25" s="19">
        <f>IF(COUNTIFS(T_SelfStock_Log[Part Name],$A25,T_SelfStock_Log[WeekIndex],76)=0,"",SUMIFS(T_SelfStock_Log[Self_Qty],T_SelfStock_Log[Part Name],$A25,T_SelfStock_Log[WeekIndex],76))</f>
        <v/>
      </c>
      <c r="BZ25" s="19">
        <f>IF(COUNTIFS(T_SelfStock_Log[Part Name],$A25,T_SelfStock_Log[WeekIndex],77)=0,"",SUMIFS(T_SelfStock_Log[Self_Qty],T_SelfStock_Log[Part Name],$A25,T_SelfStock_Log[WeekIndex],77))</f>
        <v/>
      </c>
      <c r="CA25" s="19">
        <f>IF(COUNTIFS(T_SelfStock_Log[Part Name],$A25,T_SelfStock_Log[WeekIndex],78)=0,"",SUMIFS(T_SelfStock_Log[Self_Qty],T_SelfStock_Log[Part Name],$A25,T_SelfStock_Log[WeekIndex],78))</f>
        <v/>
      </c>
      <c r="CB25" s="19">
        <f>IF(COUNTIFS(T_SelfStock_Log[Part Name],$A25,T_SelfStock_Log[WeekIndex],79)=0,"",SUMIFS(T_SelfStock_Log[Self_Qty],T_SelfStock_Log[Part Name],$A25,T_SelfStock_Log[WeekIndex],79))</f>
        <v/>
      </c>
      <c r="CC25" s="19">
        <f>IF(COUNTIFS(T_SelfStock_Log[Part Name],$A25,T_SelfStock_Log[WeekIndex],80)=0,"",SUMIFS(T_SelfStock_Log[Self_Qty],T_SelfStock_Log[Part Name],$A25,T_SelfStock_Log[WeekIndex],80))</f>
        <v/>
      </c>
      <c r="CD25" s="19">
        <f>IF(COUNTIFS(T_SelfStock_Log[Part Name],$A25,T_SelfStock_Log[WeekIndex],81)=0,"",SUMIFS(T_SelfStock_Log[Self_Qty],T_SelfStock_Log[Part Name],$A25,T_SelfStock_Log[WeekIndex],81))</f>
        <v/>
      </c>
      <c r="CE25" s="19">
        <f>IF(COUNTIFS(T_SelfStock_Log[Part Name],$A25,T_SelfStock_Log[WeekIndex],82)=0,"",SUMIFS(T_SelfStock_Log[Self_Qty],T_SelfStock_Log[Part Name],$A25,T_SelfStock_Log[WeekIndex],82))</f>
        <v/>
      </c>
      <c r="CF25" s="19">
        <f>IF(COUNTIFS(T_SelfStock_Log[Part Name],$A25,T_SelfStock_Log[WeekIndex],83)=0,"",SUMIFS(T_SelfStock_Log[Self_Qty],T_SelfStock_Log[Part Name],$A25,T_SelfStock_Log[WeekIndex],83))</f>
        <v/>
      </c>
      <c r="CG25" s="19">
        <f>IF(COUNTIFS(T_SelfStock_Log[Part Name],$A25,T_SelfStock_Log[WeekIndex],84)=0,"",SUMIFS(T_SelfStock_Log[Self_Qty],T_SelfStock_Log[Part Name],$A25,T_SelfStock_Log[WeekIndex],84))</f>
        <v/>
      </c>
      <c r="CH25" s="19">
        <f>IF(COUNTIFS(T_SelfStock_Log[Part Name],$A25,T_SelfStock_Log[WeekIndex],85)=0,"",SUMIFS(T_SelfStock_Log[Self_Qty],T_SelfStock_Log[Part Name],$A25,T_SelfStock_Log[WeekIndex],85))</f>
        <v/>
      </c>
      <c r="CI25" s="19">
        <f>IF(COUNTIFS(T_SelfStock_Log[Part Name],$A25,T_SelfStock_Log[WeekIndex],86)=0,"",SUMIFS(T_SelfStock_Log[Self_Qty],T_SelfStock_Log[Part Name],$A25,T_SelfStock_Log[WeekIndex],86))</f>
        <v/>
      </c>
      <c r="CJ25" s="19">
        <f>IF(COUNTIFS(T_SelfStock_Log[Part Name],$A25,T_SelfStock_Log[WeekIndex],87)=0,"",SUMIFS(T_SelfStock_Log[Self_Qty],T_SelfStock_Log[Part Name],$A25,T_SelfStock_Log[WeekIndex],87))</f>
        <v/>
      </c>
      <c r="CK25" s="19">
        <f>IF(COUNTIFS(T_SelfStock_Log[Part Name],$A25,T_SelfStock_Log[WeekIndex],88)=0,"",SUMIFS(T_SelfStock_Log[Self_Qty],T_SelfStock_Log[Part Name],$A25,T_SelfStock_Log[WeekIndex],88))</f>
        <v/>
      </c>
      <c r="CL25" s="19">
        <f>IF(COUNTIFS(T_SelfStock_Log[Part Name],$A25,T_SelfStock_Log[WeekIndex],89)=0,"",SUMIFS(T_SelfStock_Log[Self_Qty],T_SelfStock_Log[Part Name],$A25,T_SelfStock_Log[WeekIndex],89))</f>
        <v/>
      </c>
      <c r="CM25" s="19">
        <f>IF(COUNTIFS(T_SelfStock_Log[Part Name],$A25,T_SelfStock_Log[WeekIndex],90)=0,"",SUMIFS(T_SelfStock_Log[Self_Qty],T_SelfStock_Log[Part Name],$A25,T_SelfStock_Log[WeekIndex],90))</f>
        <v/>
      </c>
      <c r="CN25" s="19">
        <f>IF(COUNTIFS(T_SelfStock_Log[Part Name],$A25,T_SelfStock_Log[WeekIndex],91)=0,"",SUMIFS(T_SelfStock_Log[Self_Qty],T_SelfStock_Log[Part Name],$A25,T_SelfStock_Log[WeekIndex],91))</f>
        <v/>
      </c>
      <c r="CO25" s="19">
        <f>IF(COUNTIFS(T_SelfStock_Log[Part Name],$A25,T_SelfStock_Log[WeekIndex],92)=0,"",SUMIFS(T_SelfStock_Log[Self_Qty],T_SelfStock_Log[Part Name],$A25,T_SelfStock_Log[WeekIndex],92))</f>
        <v/>
      </c>
      <c r="CP25" s="19">
        <f>IF(COUNTIFS(T_SelfStock_Log[Part Name],$A25,T_SelfStock_Log[WeekIndex],93)=0,"",SUMIFS(T_SelfStock_Log[Self_Qty],T_SelfStock_Log[Part Name],$A25,T_SelfStock_Log[WeekIndex],93))</f>
        <v/>
      </c>
      <c r="CQ25" s="19">
        <f>IF(COUNTIFS(T_SelfStock_Log[Part Name],$A25,T_SelfStock_Log[WeekIndex],94)=0,"",SUMIFS(T_SelfStock_Log[Self_Qty],T_SelfStock_Log[Part Name],$A25,T_SelfStock_Log[WeekIndex],94))</f>
        <v/>
      </c>
      <c r="CR25" s="19">
        <f>IF(COUNTIFS(T_SelfStock_Log[Part Name],$A25,T_SelfStock_Log[WeekIndex],95)=0,"",SUMIFS(T_SelfStock_Log[Self_Qty],T_SelfStock_Log[Part Name],$A25,T_SelfStock_Log[WeekIndex],95))</f>
        <v/>
      </c>
      <c r="CS25" s="19">
        <f>IF(COUNTIFS(T_SelfStock_Log[Part Name],$A25,T_SelfStock_Log[WeekIndex],96)=0,"",SUMIFS(T_SelfStock_Log[Self_Qty],T_SelfStock_Log[Part Name],$A25,T_SelfStock_Log[WeekIndex],96))</f>
        <v/>
      </c>
      <c r="CT25" s="19">
        <f>IF(COUNTIFS(T_SelfStock_Log[Part Name],$A25,T_SelfStock_Log[WeekIndex],97)=0,"",SUMIFS(T_SelfStock_Log[Self_Qty],T_SelfStock_Log[Part Name],$A25,T_SelfStock_Log[WeekIndex],97))</f>
        <v/>
      </c>
      <c r="CU25" s="19">
        <f>IF(COUNTIFS(T_SelfStock_Log[Part Name],$A25,T_SelfStock_Log[WeekIndex],98)=0,"",SUMIFS(T_SelfStock_Log[Self_Qty],T_SelfStock_Log[Part Name],$A25,T_SelfStock_Log[WeekIndex],98))</f>
        <v/>
      </c>
      <c r="CV25" s="19">
        <f>IF(COUNTIFS(T_SelfStock_Log[Part Name],$A25,T_SelfStock_Log[WeekIndex],99)=0,"",SUMIFS(T_SelfStock_Log[Self_Qty],T_SelfStock_Log[Part Name],$A25,T_SelfStock_Log[WeekIndex],99))</f>
        <v/>
      </c>
      <c r="CW25" s="19">
        <f>IF(COUNTIFS(T_SelfStock_Log[Part Name],$A25,T_SelfStock_Log[WeekIndex],100)=0,"",SUMIFS(T_SelfStock_Log[Self_Qty],T_SelfStock_Log[Part Name],$A25,T_SelfStock_Log[WeekIndex],100))</f>
        <v/>
      </c>
      <c r="CX25" s="19">
        <f>IF(COUNTIFS(T_SelfStock_Log[Part Name],$A25,T_SelfStock_Log[WeekIndex],101)=0,"",SUMIFS(T_SelfStock_Log[Self_Qty],T_SelfStock_Log[Part Name],$A25,T_SelfStock_Log[WeekIndex],101))</f>
        <v/>
      </c>
      <c r="CY25" s="19">
        <f>IF(COUNTIFS(T_SelfStock_Log[Part Name],$A25,T_SelfStock_Log[WeekIndex],102)=0,"",SUMIFS(T_SelfStock_Log[Self_Qty],T_SelfStock_Log[Part Name],$A25,T_SelfStock_Log[WeekIndex],102))</f>
        <v/>
      </c>
      <c r="CZ25" s="19">
        <f>IF(COUNTIFS(T_SelfStock_Log[Part Name],$A25,T_SelfStock_Log[WeekIndex],103)=0,"",SUMIFS(T_SelfStock_Log[Self_Qty],T_SelfStock_Log[Part Name],$A25,T_SelfStock_Log[WeekIndex],103))</f>
        <v/>
      </c>
      <c r="DA25" s="19">
        <f>IF(COUNTIFS(T_SelfStock_Log[Part Name],$A25,T_SelfStock_Log[WeekIndex],104)=0,"",SUMIFS(T_SelfStock_Log[Self_Qty],T_SelfStock_Log[Part Name],$A25,T_SelfStock_Log[WeekIndex],104))</f>
        <v/>
      </c>
    </row>
    <row r="26">
      <c r="A26" s="17" t="inlineStr">
        <is>
          <t>CHEM-1670</t>
        </is>
      </c>
      <c r="B26" s="17">
        <f>IF(COUNTIFS(T_SelfStock_Log[Part Name],$A26,T_SelfStock_Log[WeekIndex],1)=0,"",SUMIFS(T_SelfStock_Log[Self_Qty],T_SelfStock_Log[Part Name],$A26,T_SelfStock_Log[WeekIndex],1))</f>
        <v/>
      </c>
      <c r="C26" s="17">
        <f>IF(COUNTIFS(T_SelfStock_Log[Part Name],$A26,T_SelfStock_Log[WeekIndex],2)=0,"",SUMIFS(T_SelfStock_Log[Self_Qty],T_SelfStock_Log[Part Name],$A26,T_SelfStock_Log[WeekIndex],2))</f>
        <v/>
      </c>
      <c r="D26" s="17">
        <f>IF(COUNTIFS(T_SelfStock_Log[Part Name],$A26,T_SelfStock_Log[WeekIndex],3)=0,"",SUMIFS(T_SelfStock_Log[Self_Qty],T_SelfStock_Log[Part Name],$A26,T_SelfStock_Log[WeekIndex],3))</f>
        <v/>
      </c>
      <c r="E26" s="17">
        <f>IF(COUNTIFS(T_SelfStock_Log[Part Name],$A26,T_SelfStock_Log[WeekIndex],4)=0,"",SUMIFS(T_SelfStock_Log[Self_Qty],T_SelfStock_Log[Part Name],$A26,T_SelfStock_Log[WeekIndex],4))</f>
        <v/>
      </c>
      <c r="F26" s="17">
        <f>IF(COUNTIFS(T_SelfStock_Log[Part Name],$A26,T_SelfStock_Log[WeekIndex],5)=0,"",SUMIFS(T_SelfStock_Log[Self_Qty],T_SelfStock_Log[Part Name],$A26,T_SelfStock_Log[WeekIndex],5))</f>
        <v/>
      </c>
      <c r="G26" s="17">
        <f>IF(COUNTIFS(T_SelfStock_Log[Part Name],$A26,T_SelfStock_Log[WeekIndex],6)=0,"",SUMIFS(T_SelfStock_Log[Self_Qty],T_SelfStock_Log[Part Name],$A26,T_SelfStock_Log[WeekIndex],6))</f>
        <v/>
      </c>
      <c r="H26" s="17">
        <f>IF(COUNTIFS(T_SelfStock_Log[Part Name],$A26,T_SelfStock_Log[WeekIndex],7)=0,"",SUMIFS(T_SelfStock_Log[Self_Qty],T_SelfStock_Log[Part Name],$A26,T_SelfStock_Log[WeekIndex],7))</f>
        <v/>
      </c>
      <c r="I26" s="17">
        <f>IF(COUNTIFS(T_SelfStock_Log[Part Name],$A26,T_SelfStock_Log[WeekIndex],8)=0,"",SUMIFS(T_SelfStock_Log[Self_Qty],T_SelfStock_Log[Part Name],$A26,T_SelfStock_Log[WeekIndex],8))</f>
        <v/>
      </c>
      <c r="J26" s="17">
        <f>IF(COUNTIFS(T_SelfStock_Log[Part Name],$A26,T_SelfStock_Log[WeekIndex],9)=0,"",SUMIFS(T_SelfStock_Log[Self_Qty],T_SelfStock_Log[Part Name],$A26,T_SelfStock_Log[WeekIndex],9))</f>
        <v/>
      </c>
      <c r="K26" s="17">
        <f>IF(COUNTIFS(T_SelfStock_Log[Part Name],$A26,T_SelfStock_Log[WeekIndex],10)=0,"",SUMIFS(T_SelfStock_Log[Self_Qty],T_SelfStock_Log[Part Name],$A26,T_SelfStock_Log[WeekIndex],10))</f>
        <v/>
      </c>
      <c r="L26" s="17">
        <f>IF(COUNTIFS(T_SelfStock_Log[Part Name],$A26,T_SelfStock_Log[WeekIndex],11)=0,"",SUMIFS(T_SelfStock_Log[Self_Qty],T_SelfStock_Log[Part Name],$A26,T_SelfStock_Log[WeekIndex],11))</f>
        <v/>
      </c>
      <c r="M26" s="17">
        <f>IF(COUNTIFS(T_SelfStock_Log[Part Name],$A26,T_SelfStock_Log[WeekIndex],12)=0,"",SUMIFS(T_SelfStock_Log[Self_Qty],T_SelfStock_Log[Part Name],$A26,T_SelfStock_Log[WeekIndex],12))</f>
        <v/>
      </c>
      <c r="N26" s="17">
        <f>IF(COUNTIFS(T_SelfStock_Log[Part Name],$A26,T_SelfStock_Log[WeekIndex],13)=0,"",SUMIFS(T_SelfStock_Log[Self_Qty],T_SelfStock_Log[Part Name],$A26,T_SelfStock_Log[WeekIndex],13))</f>
        <v/>
      </c>
      <c r="O26" s="17">
        <f>IF(COUNTIFS(T_SelfStock_Log[Part Name],$A26,T_SelfStock_Log[WeekIndex],14)=0,"",SUMIFS(T_SelfStock_Log[Self_Qty],T_SelfStock_Log[Part Name],$A26,T_SelfStock_Log[WeekIndex],14))</f>
        <v/>
      </c>
      <c r="P26" s="17">
        <f>IF(COUNTIFS(T_SelfStock_Log[Part Name],$A26,T_SelfStock_Log[WeekIndex],15)=0,"",SUMIFS(T_SelfStock_Log[Self_Qty],T_SelfStock_Log[Part Name],$A26,T_SelfStock_Log[WeekIndex],15))</f>
        <v/>
      </c>
      <c r="Q26" s="17">
        <f>IF(COUNTIFS(T_SelfStock_Log[Part Name],$A26,T_SelfStock_Log[WeekIndex],16)=0,"",SUMIFS(T_SelfStock_Log[Self_Qty],T_SelfStock_Log[Part Name],$A26,T_SelfStock_Log[WeekIndex],16))</f>
        <v/>
      </c>
      <c r="R26" s="17">
        <f>IF(COUNTIFS(T_SelfStock_Log[Part Name],$A26,T_SelfStock_Log[WeekIndex],17)=0,"",SUMIFS(T_SelfStock_Log[Self_Qty],T_SelfStock_Log[Part Name],$A26,T_SelfStock_Log[WeekIndex],17))</f>
        <v/>
      </c>
      <c r="S26" s="17">
        <f>IF(COUNTIFS(T_SelfStock_Log[Part Name],$A26,T_SelfStock_Log[WeekIndex],18)=0,"",SUMIFS(T_SelfStock_Log[Self_Qty],T_SelfStock_Log[Part Name],$A26,T_SelfStock_Log[WeekIndex],18))</f>
        <v/>
      </c>
      <c r="T26" s="17">
        <f>IF(COUNTIFS(T_SelfStock_Log[Part Name],$A26,T_SelfStock_Log[WeekIndex],19)=0,"",SUMIFS(T_SelfStock_Log[Self_Qty],T_SelfStock_Log[Part Name],$A26,T_SelfStock_Log[WeekIndex],19))</f>
        <v/>
      </c>
      <c r="U26" s="17">
        <f>IF(COUNTIFS(T_SelfStock_Log[Part Name],$A26,T_SelfStock_Log[WeekIndex],20)=0,"",SUMIFS(T_SelfStock_Log[Self_Qty],T_SelfStock_Log[Part Name],$A26,T_SelfStock_Log[WeekIndex],20))</f>
        <v/>
      </c>
      <c r="V26" s="17">
        <f>IF(COUNTIFS(T_SelfStock_Log[Part Name],$A26,T_SelfStock_Log[WeekIndex],21)=0,"",SUMIFS(T_SelfStock_Log[Self_Qty],T_SelfStock_Log[Part Name],$A26,T_SelfStock_Log[WeekIndex],21))</f>
        <v/>
      </c>
      <c r="W26" s="17">
        <f>IF(COUNTIFS(T_SelfStock_Log[Part Name],$A26,T_SelfStock_Log[WeekIndex],22)=0,"",SUMIFS(T_SelfStock_Log[Self_Qty],T_SelfStock_Log[Part Name],$A26,T_SelfStock_Log[WeekIndex],22))</f>
        <v/>
      </c>
      <c r="X26" s="17">
        <f>IF(COUNTIFS(T_SelfStock_Log[Part Name],$A26,T_SelfStock_Log[WeekIndex],23)=0,"",SUMIFS(T_SelfStock_Log[Self_Qty],T_SelfStock_Log[Part Name],$A26,T_SelfStock_Log[WeekIndex],23))</f>
        <v/>
      </c>
      <c r="Y26" s="17">
        <f>IF(COUNTIFS(T_SelfStock_Log[Part Name],$A26,T_SelfStock_Log[WeekIndex],24)=0,"",SUMIFS(T_SelfStock_Log[Self_Qty],T_SelfStock_Log[Part Name],$A26,T_SelfStock_Log[WeekIndex],24))</f>
        <v/>
      </c>
      <c r="Z26" s="17">
        <f>IF(COUNTIFS(T_SelfStock_Log[Part Name],$A26,T_SelfStock_Log[WeekIndex],25)=0,"",SUMIFS(T_SelfStock_Log[Self_Qty],T_SelfStock_Log[Part Name],$A26,T_SelfStock_Log[WeekIndex],25))</f>
        <v/>
      </c>
      <c r="AA26" s="17">
        <f>IF(COUNTIFS(T_SelfStock_Log[Part Name],$A26,T_SelfStock_Log[WeekIndex],26)=0,"",SUMIFS(T_SelfStock_Log[Self_Qty],T_SelfStock_Log[Part Name],$A26,T_SelfStock_Log[WeekIndex],26))</f>
        <v/>
      </c>
      <c r="AB26" s="17">
        <f>IF(COUNTIFS(T_SelfStock_Log[Part Name],$A26,T_SelfStock_Log[WeekIndex],27)=0,"",SUMIFS(T_SelfStock_Log[Self_Qty],T_SelfStock_Log[Part Name],$A26,T_SelfStock_Log[WeekIndex],27))</f>
        <v/>
      </c>
      <c r="AC26" s="17">
        <f>IF(COUNTIFS(T_SelfStock_Log[Part Name],$A26,T_SelfStock_Log[WeekIndex],28)=0,"",SUMIFS(T_SelfStock_Log[Self_Qty],T_SelfStock_Log[Part Name],$A26,T_SelfStock_Log[WeekIndex],28))</f>
        <v/>
      </c>
      <c r="AD26" s="17">
        <f>IF(COUNTIFS(T_SelfStock_Log[Part Name],$A26,T_SelfStock_Log[WeekIndex],29)=0,"",SUMIFS(T_SelfStock_Log[Self_Qty],T_SelfStock_Log[Part Name],$A26,T_SelfStock_Log[WeekIndex],29))</f>
        <v/>
      </c>
      <c r="AE26" s="17">
        <f>IF(COUNTIFS(T_SelfStock_Log[Part Name],$A26,T_SelfStock_Log[WeekIndex],30)=0,"",SUMIFS(T_SelfStock_Log[Self_Qty],T_SelfStock_Log[Part Name],$A26,T_SelfStock_Log[WeekIndex],30))</f>
        <v/>
      </c>
      <c r="AF26" s="17">
        <f>IF(COUNTIFS(T_SelfStock_Log[Part Name],$A26,T_SelfStock_Log[WeekIndex],31)=0,"",SUMIFS(T_SelfStock_Log[Self_Qty],T_SelfStock_Log[Part Name],$A26,T_SelfStock_Log[WeekIndex],31))</f>
        <v/>
      </c>
      <c r="AG26" s="17">
        <f>IF(COUNTIFS(T_SelfStock_Log[Part Name],$A26,T_SelfStock_Log[WeekIndex],32)=0,"",SUMIFS(T_SelfStock_Log[Self_Qty],T_SelfStock_Log[Part Name],$A26,T_SelfStock_Log[WeekIndex],32))</f>
        <v/>
      </c>
      <c r="AH26" s="17">
        <f>IF(COUNTIFS(T_SelfStock_Log[Part Name],$A26,T_SelfStock_Log[WeekIndex],33)=0,"",SUMIFS(T_SelfStock_Log[Self_Qty],T_SelfStock_Log[Part Name],$A26,T_SelfStock_Log[WeekIndex],33))</f>
        <v/>
      </c>
      <c r="AI26" s="17">
        <f>IF(COUNTIFS(T_SelfStock_Log[Part Name],$A26,T_SelfStock_Log[WeekIndex],34)=0,"",SUMIFS(T_SelfStock_Log[Self_Qty],T_SelfStock_Log[Part Name],$A26,T_SelfStock_Log[WeekIndex],34))</f>
        <v/>
      </c>
      <c r="AJ26" s="17">
        <f>IF(COUNTIFS(T_SelfStock_Log[Part Name],$A26,T_SelfStock_Log[WeekIndex],35)=0,"",SUMIFS(T_SelfStock_Log[Self_Qty],T_SelfStock_Log[Part Name],$A26,T_SelfStock_Log[WeekIndex],35))</f>
        <v/>
      </c>
      <c r="AK26" s="17">
        <f>IF(COUNTIFS(T_SelfStock_Log[Part Name],$A26,T_SelfStock_Log[WeekIndex],36)=0,"",SUMIFS(T_SelfStock_Log[Self_Qty],T_SelfStock_Log[Part Name],$A26,T_SelfStock_Log[WeekIndex],36))</f>
        <v/>
      </c>
      <c r="AL26" s="17">
        <f>IF(COUNTIFS(T_SelfStock_Log[Part Name],$A26,T_SelfStock_Log[WeekIndex],37)=0,"",SUMIFS(T_SelfStock_Log[Self_Qty],T_SelfStock_Log[Part Name],$A26,T_SelfStock_Log[WeekIndex],37))</f>
        <v/>
      </c>
      <c r="AM26" s="17">
        <f>IF(COUNTIFS(T_SelfStock_Log[Part Name],$A26,T_SelfStock_Log[WeekIndex],38)=0,"",SUMIFS(T_SelfStock_Log[Self_Qty],T_SelfStock_Log[Part Name],$A26,T_SelfStock_Log[WeekIndex],38))</f>
        <v/>
      </c>
      <c r="AN26" s="17">
        <f>IF(COUNTIFS(T_SelfStock_Log[Part Name],$A26,T_SelfStock_Log[WeekIndex],39)=0,"",SUMIFS(T_SelfStock_Log[Self_Qty],T_SelfStock_Log[Part Name],$A26,T_SelfStock_Log[WeekIndex],39))</f>
        <v/>
      </c>
      <c r="AO26" s="17">
        <f>IF(COUNTIFS(T_SelfStock_Log[Part Name],$A26,T_SelfStock_Log[WeekIndex],40)=0,"",SUMIFS(T_SelfStock_Log[Self_Qty],T_SelfStock_Log[Part Name],$A26,T_SelfStock_Log[WeekIndex],40))</f>
        <v/>
      </c>
      <c r="AP26" s="17">
        <f>IF(COUNTIFS(T_SelfStock_Log[Part Name],$A26,T_SelfStock_Log[WeekIndex],41)=0,"",SUMIFS(T_SelfStock_Log[Self_Qty],T_SelfStock_Log[Part Name],$A26,T_SelfStock_Log[WeekIndex],41))</f>
        <v/>
      </c>
      <c r="AQ26" s="17">
        <f>IF(COUNTIFS(T_SelfStock_Log[Part Name],$A26,T_SelfStock_Log[WeekIndex],42)=0,"",SUMIFS(T_SelfStock_Log[Self_Qty],T_SelfStock_Log[Part Name],$A26,T_SelfStock_Log[WeekIndex],42))</f>
        <v/>
      </c>
      <c r="AR26" s="17">
        <f>IF(COUNTIFS(T_SelfStock_Log[Part Name],$A26,T_SelfStock_Log[WeekIndex],43)=0,"",SUMIFS(T_SelfStock_Log[Self_Qty],T_SelfStock_Log[Part Name],$A26,T_SelfStock_Log[WeekIndex],43))</f>
        <v/>
      </c>
      <c r="AS26" s="17">
        <f>IF(COUNTIFS(T_SelfStock_Log[Part Name],$A26,T_SelfStock_Log[WeekIndex],44)=0,"",SUMIFS(T_SelfStock_Log[Self_Qty],T_SelfStock_Log[Part Name],$A26,T_SelfStock_Log[WeekIndex],44))</f>
        <v/>
      </c>
      <c r="AT26" s="17">
        <f>IF(COUNTIFS(T_SelfStock_Log[Part Name],$A26,T_SelfStock_Log[WeekIndex],45)=0,"",SUMIFS(T_SelfStock_Log[Self_Qty],T_SelfStock_Log[Part Name],$A26,T_SelfStock_Log[WeekIndex],45))</f>
        <v/>
      </c>
      <c r="AU26" s="17">
        <f>IF(COUNTIFS(T_SelfStock_Log[Part Name],$A26,T_SelfStock_Log[WeekIndex],46)=0,"",SUMIFS(T_SelfStock_Log[Self_Qty],T_SelfStock_Log[Part Name],$A26,T_SelfStock_Log[WeekIndex],46))</f>
        <v/>
      </c>
      <c r="AV26" s="17">
        <f>IF(COUNTIFS(T_SelfStock_Log[Part Name],$A26,T_SelfStock_Log[WeekIndex],47)=0,"",SUMIFS(T_SelfStock_Log[Self_Qty],T_SelfStock_Log[Part Name],$A26,T_SelfStock_Log[WeekIndex],47))</f>
        <v/>
      </c>
      <c r="AW26" s="17">
        <f>IF(COUNTIFS(T_SelfStock_Log[Part Name],$A26,T_SelfStock_Log[WeekIndex],48)=0,"",SUMIFS(T_SelfStock_Log[Self_Qty],T_SelfStock_Log[Part Name],$A26,T_SelfStock_Log[WeekIndex],48))</f>
        <v/>
      </c>
      <c r="AX26" s="17">
        <f>IF(COUNTIFS(T_SelfStock_Log[Part Name],$A26,T_SelfStock_Log[WeekIndex],49)=0,"",SUMIFS(T_SelfStock_Log[Self_Qty],T_SelfStock_Log[Part Name],$A26,T_SelfStock_Log[WeekIndex],49))</f>
        <v/>
      </c>
      <c r="AY26" s="17">
        <f>IF(COUNTIFS(T_SelfStock_Log[Part Name],$A26,T_SelfStock_Log[WeekIndex],50)=0,"",SUMIFS(T_SelfStock_Log[Self_Qty],T_SelfStock_Log[Part Name],$A26,T_SelfStock_Log[WeekIndex],50))</f>
        <v/>
      </c>
      <c r="AZ26" s="17">
        <f>IF(COUNTIFS(T_SelfStock_Log[Part Name],$A26,T_SelfStock_Log[WeekIndex],51)=0,"",SUMIFS(T_SelfStock_Log[Self_Qty],T_SelfStock_Log[Part Name],$A26,T_SelfStock_Log[WeekIndex],51))</f>
        <v/>
      </c>
      <c r="BA26" s="17">
        <f>IF(COUNTIFS(T_SelfStock_Log[Part Name],$A26,T_SelfStock_Log[WeekIndex],52)=0,"",SUMIFS(T_SelfStock_Log[Self_Qty],T_SelfStock_Log[Part Name],$A26,T_SelfStock_Log[WeekIndex],52))</f>
        <v/>
      </c>
      <c r="BB26" s="17">
        <f>IF(COUNTIFS(T_SelfStock_Log[Part Name],$A26,T_SelfStock_Log[WeekIndex],53)=0,"",SUMIFS(T_SelfStock_Log[Self_Qty],T_SelfStock_Log[Part Name],$A26,T_SelfStock_Log[WeekIndex],53))</f>
        <v/>
      </c>
      <c r="BC26" s="17">
        <f>IF(COUNTIFS(T_SelfStock_Log[Part Name],$A26,T_SelfStock_Log[WeekIndex],54)=0,"",SUMIFS(T_SelfStock_Log[Self_Qty],T_SelfStock_Log[Part Name],$A26,T_SelfStock_Log[WeekIndex],54))</f>
        <v/>
      </c>
      <c r="BD26" s="17">
        <f>IF(COUNTIFS(T_SelfStock_Log[Part Name],$A26,T_SelfStock_Log[WeekIndex],55)=0,"",SUMIFS(T_SelfStock_Log[Self_Qty],T_SelfStock_Log[Part Name],$A26,T_SelfStock_Log[WeekIndex],55))</f>
        <v/>
      </c>
      <c r="BE26" s="17">
        <f>IF(COUNTIFS(T_SelfStock_Log[Part Name],$A26,T_SelfStock_Log[WeekIndex],56)=0,"",SUMIFS(T_SelfStock_Log[Self_Qty],T_SelfStock_Log[Part Name],$A26,T_SelfStock_Log[WeekIndex],56))</f>
        <v/>
      </c>
      <c r="BF26" s="17">
        <f>IF(COUNTIFS(T_SelfStock_Log[Part Name],$A26,T_SelfStock_Log[WeekIndex],57)=0,"",SUMIFS(T_SelfStock_Log[Self_Qty],T_SelfStock_Log[Part Name],$A26,T_SelfStock_Log[WeekIndex],57))</f>
        <v/>
      </c>
      <c r="BG26" s="17">
        <f>IF(COUNTIFS(T_SelfStock_Log[Part Name],$A26,T_SelfStock_Log[WeekIndex],58)=0,"",SUMIFS(T_SelfStock_Log[Self_Qty],T_SelfStock_Log[Part Name],$A26,T_SelfStock_Log[WeekIndex],58))</f>
        <v/>
      </c>
      <c r="BH26" s="17">
        <f>IF(COUNTIFS(T_SelfStock_Log[Part Name],$A26,T_SelfStock_Log[WeekIndex],59)=0,"",SUMIFS(T_SelfStock_Log[Self_Qty],T_SelfStock_Log[Part Name],$A26,T_SelfStock_Log[WeekIndex],59))</f>
        <v/>
      </c>
      <c r="BI26" s="17">
        <f>IF(COUNTIFS(T_SelfStock_Log[Part Name],$A26,T_SelfStock_Log[WeekIndex],60)=0,"",SUMIFS(T_SelfStock_Log[Self_Qty],T_SelfStock_Log[Part Name],$A26,T_SelfStock_Log[WeekIndex],60))</f>
        <v/>
      </c>
      <c r="BJ26" s="17">
        <f>IF(COUNTIFS(T_SelfStock_Log[Part Name],$A26,T_SelfStock_Log[WeekIndex],61)=0,"",SUMIFS(T_SelfStock_Log[Self_Qty],T_SelfStock_Log[Part Name],$A26,T_SelfStock_Log[WeekIndex],61))</f>
        <v/>
      </c>
      <c r="BK26" s="17">
        <f>IF(COUNTIFS(T_SelfStock_Log[Part Name],$A26,T_SelfStock_Log[WeekIndex],62)=0,"",SUMIFS(T_SelfStock_Log[Self_Qty],T_SelfStock_Log[Part Name],$A26,T_SelfStock_Log[WeekIndex],62))</f>
        <v/>
      </c>
      <c r="BL26" s="17">
        <f>IF(COUNTIFS(T_SelfStock_Log[Part Name],$A26,T_SelfStock_Log[WeekIndex],63)=0,"",SUMIFS(T_SelfStock_Log[Self_Qty],T_SelfStock_Log[Part Name],$A26,T_SelfStock_Log[WeekIndex],63))</f>
        <v/>
      </c>
      <c r="BM26" s="17">
        <f>IF(COUNTIFS(T_SelfStock_Log[Part Name],$A26,T_SelfStock_Log[WeekIndex],64)=0,"",SUMIFS(T_SelfStock_Log[Self_Qty],T_SelfStock_Log[Part Name],$A26,T_SelfStock_Log[WeekIndex],64))</f>
        <v/>
      </c>
      <c r="BN26" s="17">
        <f>IF(COUNTIFS(T_SelfStock_Log[Part Name],$A26,T_SelfStock_Log[WeekIndex],65)=0,"",SUMIFS(T_SelfStock_Log[Self_Qty],T_SelfStock_Log[Part Name],$A26,T_SelfStock_Log[WeekIndex],65))</f>
        <v/>
      </c>
      <c r="BO26" s="17">
        <f>IF(COUNTIFS(T_SelfStock_Log[Part Name],$A26,T_SelfStock_Log[WeekIndex],66)=0,"",SUMIFS(T_SelfStock_Log[Self_Qty],T_SelfStock_Log[Part Name],$A26,T_SelfStock_Log[WeekIndex],66))</f>
        <v/>
      </c>
      <c r="BP26" s="17">
        <f>IF(COUNTIFS(T_SelfStock_Log[Part Name],$A26,T_SelfStock_Log[WeekIndex],67)=0,"",SUMIFS(T_SelfStock_Log[Self_Qty],T_SelfStock_Log[Part Name],$A26,T_SelfStock_Log[WeekIndex],67))</f>
        <v/>
      </c>
      <c r="BQ26" s="17">
        <f>IF(COUNTIFS(T_SelfStock_Log[Part Name],$A26,T_SelfStock_Log[WeekIndex],68)=0,"",SUMIFS(T_SelfStock_Log[Self_Qty],T_SelfStock_Log[Part Name],$A26,T_SelfStock_Log[WeekIndex],68))</f>
        <v/>
      </c>
      <c r="BR26" s="17">
        <f>IF(COUNTIFS(T_SelfStock_Log[Part Name],$A26,T_SelfStock_Log[WeekIndex],69)=0,"",SUMIFS(T_SelfStock_Log[Self_Qty],T_SelfStock_Log[Part Name],$A26,T_SelfStock_Log[WeekIndex],69))</f>
        <v/>
      </c>
      <c r="BS26" s="17">
        <f>IF(COUNTIFS(T_SelfStock_Log[Part Name],$A26,T_SelfStock_Log[WeekIndex],70)=0,"",SUMIFS(T_SelfStock_Log[Self_Qty],T_SelfStock_Log[Part Name],$A26,T_SelfStock_Log[WeekIndex],70))</f>
        <v/>
      </c>
      <c r="BT26" s="17">
        <f>IF(COUNTIFS(T_SelfStock_Log[Part Name],$A26,T_SelfStock_Log[WeekIndex],71)=0,"",SUMIFS(T_SelfStock_Log[Self_Qty],T_SelfStock_Log[Part Name],$A26,T_SelfStock_Log[WeekIndex],71))</f>
        <v/>
      </c>
      <c r="BU26" s="17">
        <f>IF(COUNTIFS(T_SelfStock_Log[Part Name],$A26,T_SelfStock_Log[WeekIndex],72)=0,"",SUMIFS(T_SelfStock_Log[Self_Qty],T_SelfStock_Log[Part Name],$A26,T_SelfStock_Log[WeekIndex],72))</f>
        <v/>
      </c>
      <c r="BV26" s="17">
        <f>IF(COUNTIFS(T_SelfStock_Log[Part Name],$A26,T_SelfStock_Log[WeekIndex],73)=0,"",SUMIFS(T_SelfStock_Log[Self_Qty],T_SelfStock_Log[Part Name],$A26,T_SelfStock_Log[WeekIndex],73))</f>
        <v/>
      </c>
      <c r="BW26" s="17">
        <f>IF(COUNTIFS(T_SelfStock_Log[Part Name],$A26,T_SelfStock_Log[WeekIndex],74)=0,"",SUMIFS(T_SelfStock_Log[Self_Qty],T_SelfStock_Log[Part Name],$A26,T_SelfStock_Log[WeekIndex],74))</f>
        <v/>
      </c>
      <c r="BX26" s="17">
        <f>IF(COUNTIFS(T_SelfStock_Log[Part Name],$A26,T_SelfStock_Log[WeekIndex],75)=0,"",SUMIFS(T_SelfStock_Log[Self_Qty],T_SelfStock_Log[Part Name],$A26,T_SelfStock_Log[WeekIndex],75))</f>
        <v/>
      </c>
      <c r="BY26" s="17">
        <f>IF(COUNTIFS(T_SelfStock_Log[Part Name],$A26,T_SelfStock_Log[WeekIndex],76)=0,"",SUMIFS(T_SelfStock_Log[Self_Qty],T_SelfStock_Log[Part Name],$A26,T_SelfStock_Log[WeekIndex],76))</f>
        <v/>
      </c>
      <c r="BZ26" s="17">
        <f>IF(COUNTIFS(T_SelfStock_Log[Part Name],$A26,T_SelfStock_Log[WeekIndex],77)=0,"",SUMIFS(T_SelfStock_Log[Self_Qty],T_SelfStock_Log[Part Name],$A26,T_SelfStock_Log[WeekIndex],77))</f>
        <v/>
      </c>
      <c r="CA26" s="17">
        <f>IF(COUNTIFS(T_SelfStock_Log[Part Name],$A26,T_SelfStock_Log[WeekIndex],78)=0,"",SUMIFS(T_SelfStock_Log[Self_Qty],T_SelfStock_Log[Part Name],$A26,T_SelfStock_Log[WeekIndex],78))</f>
        <v/>
      </c>
      <c r="CB26" s="17">
        <f>IF(COUNTIFS(T_SelfStock_Log[Part Name],$A26,T_SelfStock_Log[WeekIndex],79)=0,"",SUMIFS(T_SelfStock_Log[Self_Qty],T_SelfStock_Log[Part Name],$A26,T_SelfStock_Log[WeekIndex],79))</f>
        <v/>
      </c>
      <c r="CC26" s="17">
        <f>IF(COUNTIFS(T_SelfStock_Log[Part Name],$A26,T_SelfStock_Log[WeekIndex],80)=0,"",SUMIFS(T_SelfStock_Log[Self_Qty],T_SelfStock_Log[Part Name],$A26,T_SelfStock_Log[WeekIndex],80))</f>
        <v/>
      </c>
      <c r="CD26" s="17">
        <f>IF(COUNTIFS(T_SelfStock_Log[Part Name],$A26,T_SelfStock_Log[WeekIndex],81)=0,"",SUMIFS(T_SelfStock_Log[Self_Qty],T_SelfStock_Log[Part Name],$A26,T_SelfStock_Log[WeekIndex],81))</f>
        <v/>
      </c>
      <c r="CE26" s="17">
        <f>IF(COUNTIFS(T_SelfStock_Log[Part Name],$A26,T_SelfStock_Log[WeekIndex],82)=0,"",SUMIFS(T_SelfStock_Log[Self_Qty],T_SelfStock_Log[Part Name],$A26,T_SelfStock_Log[WeekIndex],82))</f>
        <v/>
      </c>
      <c r="CF26" s="17">
        <f>IF(COUNTIFS(T_SelfStock_Log[Part Name],$A26,T_SelfStock_Log[WeekIndex],83)=0,"",SUMIFS(T_SelfStock_Log[Self_Qty],T_SelfStock_Log[Part Name],$A26,T_SelfStock_Log[WeekIndex],83))</f>
        <v/>
      </c>
      <c r="CG26" s="17">
        <f>IF(COUNTIFS(T_SelfStock_Log[Part Name],$A26,T_SelfStock_Log[WeekIndex],84)=0,"",SUMIFS(T_SelfStock_Log[Self_Qty],T_SelfStock_Log[Part Name],$A26,T_SelfStock_Log[WeekIndex],84))</f>
        <v/>
      </c>
      <c r="CH26" s="17">
        <f>IF(COUNTIFS(T_SelfStock_Log[Part Name],$A26,T_SelfStock_Log[WeekIndex],85)=0,"",SUMIFS(T_SelfStock_Log[Self_Qty],T_SelfStock_Log[Part Name],$A26,T_SelfStock_Log[WeekIndex],85))</f>
        <v/>
      </c>
      <c r="CI26" s="17">
        <f>IF(COUNTIFS(T_SelfStock_Log[Part Name],$A26,T_SelfStock_Log[WeekIndex],86)=0,"",SUMIFS(T_SelfStock_Log[Self_Qty],T_SelfStock_Log[Part Name],$A26,T_SelfStock_Log[WeekIndex],86))</f>
        <v/>
      </c>
      <c r="CJ26" s="17">
        <f>IF(COUNTIFS(T_SelfStock_Log[Part Name],$A26,T_SelfStock_Log[WeekIndex],87)=0,"",SUMIFS(T_SelfStock_Log[Self_Qty],T_SelfStock_Log[Part Name],$A26,T_SelfStock_Log[WeekIndex],87))</f>
        <v/>
      </c>
      <c r="CK26" s="17">
        <f>IF(COUNTIFS(T_SelfStock_Log[Part Name],$A26,T_SelfStock_Log[WeekIndex],88)=0,"",SUMIFS(T_SelfStock_Log[Self_Qty],T_SelfStock_Log[Part Name],$A26,T_SelfStock_Log[WeekIndex],88))</f>
        <v/>
      </c>
      <c r="CL26" s="17">
        <f>IF(COUNTIFS(T_SelfStock_Log[Part Name],$A26,T_SelfStock_Log[WeekIndex],89)=0,"",SUMIFS(T_SelfStock_Log[Self_Qty],T_SelfStock_Log[Part Name],$A26,T_SelfStock_Log[WeekIndex],89))</f>
        <v/>
      </c>
      <c r="CM26" s="17">
        <f>IF(COUNTIFS(T_SelfStock_Log[Part Name],$A26,T_SelfStock_Log[WeekIndex],90)=0,"",SUMIFS(T_SelfStock_Log[Self_Qty],T_SelfStock_Log[Part Name],$A26,T_SelfStock_Log[WeekIndex],90))</f>
        <v/>
      </c>
      <c r="CN26" s="17">
        <f>IF(COUNTIFS(T_SelfStock_Log[Part Name],$A26,T_SelfStock_Log[WeekIndex],91)=0,"",SUMIFS(T_SelfStock_Log[Self_Qty],T_SelfStock_Log[Part Name],$A26,T_SelfStock_Log[WeekIndex],91))</f>
        <v/>
      </c>
      <c r="CO26" s="17">
        <f>IF(COUNTIFS(T_SelfStock_Log[Part Name],$A26,T_SelfStock_Log[WeekIndex],92)=0,"",SUMIFS(T_SelfStock_Log[Self_Qty],T_SelfStock_Log[Part Name],$A26,T_SelfStock_Log[WeekIndex],92))</f>
        <v/>
      </c>
      <c r="CP26" s="17">
        <f>IF(COUNTIFS(T_SelfStock_Log[Part Name],$A26,T_SelfStock_Log[WeekIndex],93)=0,"",SUMIFS(T_SelfStock_Log[Self_Qty],T_SelfStock_Log[Part Name],$A26,T_SelfStock_Log[WeekIndex],93))</f>
        <v/>
      </c>
      <c r="CQ26" s="17">
        <f>IF(COUNTIFS(T_SelfStock_Log[Part Name],$A26,T_SelfStock_Log[WeekIndex],94)=0,"",SUMIFS(T_SelfStock_Log[Self_Qty],T_SelfStock_Log[Part Name],$A26,T_SelfStock_Log[WeekIndex],94))</f>
        <v/>
      </c>
      <c r="CR26" s="17">
        <f>IF(COUNTIFS(T_SelfStock_Log[Part Name],$A26,T_SelfStock_Log[WeekIndex],95)=0,"",SUMIFS(T_SelfStock_Log[Self_Qty],T_SelfStock_Log[Part Name],$A26,T_SelfStock_Log[WeekIndex],95))</f>
        <v/>
      </c>
      <c r="CS26" s="17">
        <f>IF(COUNTIFS(T_SelfStock_Log[Part Name],$A26,T_SelfStock_Log[WeekIndex],96)=0,"",SUMIFS(T_SelfStock_Log[Self_Qty],T_SelfStock_Log[Part Name],$A26,T_SelfStock_Log[WeekIndex],96))</f>
        <v/>
      </c>
      <c r="CT26" s="17">
        <f>IF(COUNTIFS(T_SelfStock_Log[Part Name],$A26,T_SelfStock_Log[WeekIndex],97)=0,"",SUMIFS(T_SelfStock_Log[Self_Qty],T_SelfStock_Log[Part Name],$A26,T_SelfStock_Log[WeekIndex],97))</f>
        <v/>
      </c>
      <c r="CU26" s="17">
        <f>IF(COUNTIFS(T_SelfStock_Log[Part Name],$A26,T_SelfStock_Log[WeekIndex],98)=0,"",SUMIFS(T_SelfStock_Log[Self_Qty],T_SelfStock_Log[Part Name],$A26,T_SelfStock_Log[WeekIndex],98))</f>
        <v/>
      </c>
      <c r="CV26" s="17">
        <f>IF(COUNTIFS(T_SelfStock_Log[Part Name],$A26,T_SelfStock_Log[WeekIndex],99)=0,"",SUMIFS(T_SelfStock_Log[Self_Qty],T_SelfStock_Log[Part Name],$A26,T_SelfStock_Log[WeekIndex],99))</f>
        <v/>
      </c>
      <c r="CW26" s="17">
        <f>IF(COUNTIFS(T_SelfStock_Log[Part Name],$A26,T_SelfStock_Log[WeekIndex],100)=0,"",SUMIFS(T_SelfStock_Log[Self_Qty],T_SelfStock_Log[Part Name],$A26,T_SelfStock_Log[WeekIndex],100))</f>
        <v/>
      </c>
      <c r="CX26" s="17">
        <f>IF(COUNTIFS(T_SelfStock_Log[Part Name],$A26,T_SelfStock_Log[WeekIndex],101)=0,"",SUMIFS(T_SelfStock_Log[Self_Qty],T_SelfStock_Log[Part Name],$A26,T_SelfStock_Log[WeekIndex],101))</f>
        <v/>
      </c>
      <c r="CY26" s="17">
        <f>IF(COUNTIFS(T_SelfStock_Log[Part Name],$A26,T_SelfStock_Log[WeekIndex],102)=0,"",SUMIFS(T_SelfStock_Log[Self_Qty],T_SelfStock_Log[Part Name],$A26,T_SelfStock_Log[WeekIndex],102))</f>
        <v/>
      </c>
      <c r="CZ26" s="17">
        <f>IF(COUNTIFS(T_SelfStock_Log[Part Name],$A26,T_SelfStock_Log[WeekIndex],103)=0,"",SUMIFS(T_SelfStock_Log[Self_Qty],T_SelfStock_Log[Part Name],$A26,T_SelfStock_Log[WeekIndex],103))</f>
        <v/>
      </c>
      <c r="DA26" s="17">
        <f>IF(COUNTIFS(T_SelfStock_Log[Part Name],$A26,T_SelfStock_Log[WeekIndex],104)=0,"",SUMIFS(T_SelfStock_Log[Self_Qty],T_SelfStock_Log[Part Name],$A26,T_SelfStock_Log[WeekIndex],104))</f>
        <v/>
      </c>
    </row>
    <row r="27">
      <c r="A27" s="19" t="inlineStr">
        <is>
          <t>CHEM-1110</t>
        </is>
      </c>
      <c r="B27" s="19">
        <f>IF(COUNTIFS(T_SelfStock_Log[Part Name],$A27,T_SelfStock_Log[WeekIndex],1)=0,"",SUMIFS(T_SelfStock_Log[Self_Qty],T_SelfStock_Log[Part Name],$A27,T_SelfStock_Log[WeekIndex],1))</f>
        <v/>
      </c>
      <c r="C27" s="19">
        <f>IF(COUNTIFS(T_SelfStock_Log[Part Name],$A27,T_SelfStock_Log[WeekIndex],2)=0,"",SUMIFS(T_SelfStock_Log[Self_Qty],T_SelfStock_Log[Part Name],$A27,T_SelfStock_Log[WeekIndex],2))</f>
        <v/>
      </c>
      <c r="D27" s="19">
        <f>IF(COUNTIFS(T_SelfStock_Log[Part Name],$A27,T_SelfStock_Log[WeekIndex],3)=0,"",SUMIFS(T_SelfStock_Log[Self_Qty],T_SelfStock_Log[Part Name],$A27,T_SelfStock_Log[WeekIndex],3))</f>
        <v/>
      </c>
      <c r="E27" s="19">
        <f>IF(COUNTIFS(T_SelfStock_Log[Part Name],$A27,T_SelfStock_Log[WeekIndex],4)=0,"",SUMIFS(T_SelfStock_Log[Self_Qty],T_SelfStock_Log[Part Name],$A27,T_SelfStock_Log[WeekIndex],4))</f>
        <v/>
      </c>
      <c r="F27" s="19">
        <f>IF(COUNTIFS(T_SelfStock_Log[Part Name],$A27,T_SelfStock_Log[WeekIndex],5)=0,"",SUMIFS(T_SelfStock_Log[Self_Qty],T_SelfStock_Log[Part Name],$A27,T_SelfStock_Log[WeekIndex],5))</f>
        <v/>
      </c>
      <c r="G27" s="19">
        <f>IF(COUNTIFS(T_SelfStock_Log[Part Name],$A27,T_SelfStock_Log[WeekIndex],6)=0,"",SUMIFS(T_SelfStock_Log[Self_Qty],T_SelfStock_Log[Part Name],$A27,T_SelfStock_Log[WeekIndex],6))</f>
        <v/>
      </c>
      <c r="H27" s="19">
        <f>IF(COUNTIFS(T_SelfStock_Log[Part Name],$A27,T_SelfStock_Log[WeekIndex],7)=0,"",SUMIFS(T_SelfStock_Log[Self_Qty],T_SelfStock_Log[Part Name],$A27,T_SelfStock_Log[WeekIndex],7))</f>
        <v/>
      </c>
      <c r="I27" s="19">
        <f>IF(COUNTIFS(T_SelfStock_Log[Part Name],$A27,T_SelfStock_Log[WeekIndex],8)=0,"",SUMIFS(T_SelfStock_Log[Self_Qty],T_SelfStock_Log[Part Name],$A27,T_SelfStock_Log[WeekIndex],8))</f>
        <v/>
      </c>
      <c r="J27" s="19">
        <f>IF(COUNTIFS(T_SelfStock_Log[Part Name],$A27,T_SelfStock_Log[WeekIndex],9)=0,"",SUMIFS(T_SelfStock_Log[Self_Qty],T_SelfStock_Log[Part Name],$A27,T_SelfStock_Log[WeekIndex],9))</f>
        <v/>
      </c>
      <c r="K27" s="19">
        <f>IF(COUNTIFS(T_SelfStock_Log[Part Name],$A27,T_SelfStock_Log[WeekIndex],10)=0,"",SUMIFS(T_SelfStock_Log[Self_Qty],T_SelfStock_Log[Part Name],$A27,T_SelfStock_Log[WeekIndex],10))</f>
        <v/>
      </c>
      <c r="L27" s="19">
        <f>IF(COUNTIFS(T_SelfStock_Log[Part Name],$A27,T_SelfStock_Log[WeekIndex],11)=0,"",SUMIFS(T_SelfStock_Log[Self_Qty],T_SelfStock_Log[Part Name],$A27,T_SelfStock_Log[WeekIndex],11))</f>
        <v/>
      </c>
      <c r="M27" s="19">
        <f>IF(COUNTIFS(T_SelfStock_Log[Part Name],$A27,T_SelfStock_Log[WeekIndex],12)=0,"",SUMIFS(T_SelfStock_Log[Self_Qty],T_SelfStock_Log[Part Name],$A27,T_SelfStock_Log[WeekIndex],12))</f>
        <v/>
      </c>
      <c r="N27" s="19">
        <f>IF(COUNTIFS(T_SelfStock_Log[Part Name],$A27,T_SelfStock_Log[WeekIndex],13)=0,"",SUMIFS(T_SelfStock_Log[Self_Qty],T_SelfStock_Log[Part Name],$A27,T_SelfStock_Log[WeekIndex],13))</f>
        <v/>
      </c>
      <c r="O27" s="19">
        <f>IF(COUNTIFS(T_SelfStock_Log[Part Name],$A27,T_SelfStock_Log[WeekIndex],14)=0,"",SUMIFS(T_SelfStock_Log[Self_Qty],T_SelfStock_Log[Part Name],$A27,T_SelfStock_Log[WeekIndex],14))</f>
        <v/>
      </c>
      <c r="P27" s="19">
        <f>IF(COUNTIFS(T_SelfStock_Log[Part Name],$A27,T_SelfStock_Log[WeekIndex],15)=0,"",SUMIFS(T_SelfStock_Log[Self_Qty],T_SelfStock_Log[Part Name],$A27,T_SelfStock_Log[WeekIndex],15))</f>
        <v/>
      </c>
      <c r="Q27" s="19">
        <f>IF(COUNTIFS(T_SelfStock_Log[Part Name],$A27,T_SelfStock_Log[WeekIndex],16)=0,"",SUMIFS(T_SelfStock_Log[Self_Qty],T_SelfStock_Log[Part Name],$A27,T_SelfStock_Log[WeekIndex],16))</f>
        <v/>
      </c>
      <c r="R27" s="19">
        <f>IF(COUNTIFS(T_SelfStock_Log[Part Name],$A27,T_SelfStock_Log[WeekIndex],17)=0,"",SUMIFS(T_SelfStock_Log[Self_Qty],T_SelfStock_Log[Part Name],$A27,T_SelfStock_Log[WeekIndex],17))</f>
        <v/>
      </c>
      <c r="S27" s="19">
        <f>IF(COUNTIFS(T_SelfStock_Log[Part Name],$A27,T_SelfStock_Log[WeekIndex],18)=0,"",SUMIFS(T_SelfStock_Log[Self_Qty],T_SelfStock_Log[Part Name],$A27,T_SelfStock_Log[WeekIndex],18))</f>
        <v/>
      </c>
      <c r="T27" s="19">
        <f>IF(COUNTIFS(T_SelfStock_Log[Part Name],$A27,T_SelfStock_Log[WeekIndex],19)=0,"",SUMIFS(T_SelfStock_Log[Self_Qty],T_SelfStock_Log[Part Name],$A27,T_SelfStock_Log[WeekIndex],19))</f>
        <v/>
      </c>
      <c r="U27" s="19">
        <f>IF(COUNTIFS(T_SelfStock_Log[Part Name],$A27,T_SelfStock_Log[WeekIndex],20)=0,"",SUMIFS(T_SelfStock_Log[Self_Qty],T_SelfStock_Log[Part Name],$A27,T_SelfStock_Log[WeekIndex],20))</f>
        <v/>
      </c>
      <c r="V27" s="19">
        <f>IF(COUNTIFS(T_SelfStock_Log[Part Name],$A27,T_SelfStock_Log[WeekIndex],21)=0,"",SUMIFS(T_SelfStock_Log[Self_Qty],T_SelfStock_Log[Part Name],$A27,T_SelfStock_Log[WeekIndex],21))</f>
        <v/>
      </c>
      <c r="W27" s="19">
        <f>IF(COUNTIFS(T_SelfStock_Log[Part Name],$A27,T_SelfStock_Log[WeekIndex],22)=0,"",SUMIFS(T_SelfStock_Log[Self_Qty],T_SelfStock_Log[Part Name],$A27,T_SelfStock_Log[WeekIndex],22))</f>
        <v/>
      </c>
      <c r="X27" s="19">
        <f>IF(COUNTIFS(T_SelfStock_Log[Part Name],$A27,T_SelfStock_Log[WeekIndex],23)=0,"",SUMIFS(T_SelfStock_Log[Self_Qty],T_SelfStock_Log[Part Name],$A27,T_SelfStock_Log[WeekIndex],23))</f>
        <v/>
      </c>
      <c r="Y27" s="19">
        <f>IF(COUNTIFS(T_SelfStock_Log[Part Name],$A27,T_SelfStock_Log[WeekIndex],24)=0,"",SUMIFS(T_SelfStock_Log[Self_Qty],T_SelfStock_Log[Part Name],$A27,T_SelfStock_Log[WeekIndex],24))</f>
        <v/>
      </c>
      <c r="Z27" s="19">
        <f>IF(COUNTIFS(T_SelfStock_Log[Part Name],$A27,T_SelfStock_Log[WeekIndex],25)=0,"",SUMIFS(T_SelfStock_Log[Self_Qty],T_SelfStock_Log[Part Name],$A27,T_SelfStock_Log[WeekIndex],25))</f>
        <v/>
      </c>
      <c r="AA27" s="19">
        <f>IF(COUNTIFS(T_SelfStock_Log[Part Name],$A27,T_SelfStock_Log[WeekIndex],26)=0,"",SUMIFS(T_SelfStock_Log[Self_Qty],T_SelfStock_Log[Part Name],$A27,T_SelfStock_Log[WeekIndex],26))</f>
        <v/>
      </c>
      <c r="AB27" s="19">
        <f>IF(COUNTIFS(T_SelfStock_Log[Part Name],$A27,T_SelfStock_Log[WeekIndex],27)=0,"",SUMIFS(T_SelfStock_Log[Self_Qty],T_SelfStock_Log[Part Name],$A27,T_SelfStock_Log[WeekIndex],27))</f>
        <v/>
      </c>
      <c r="AC27" s="19">
        <f>IF(COUNTIFS(T_SelfStock_Log[Part Name],$A27,T_SelfStock_Log[WeekIndex],28)=0,"",SUMIFS(T_SelfStock_Log[Self_Qty],T_SelfStock_Log[Part Name],$A27,T_SelfStock_Log[WeekIndex],28))</f>
        <v/>
      </c>
      <c r="AD27" s="19">
        <f>IF(COUNTIFS(T_SelfStock_Log[Part Name],$A27,T_SelfStock_Log[WeekIndex],29)=0,"",SUMIFS(T_SelfStock_Log[Self_Qty],T_SelfStock_Log[Part Name],$A27,T_SelfStock_Log[WeekIndex],29))</f>
        <v/>
      </c>
      <c r="AE27" s="19">
        <f>IF(COUNTIFS(T_SelfStock_Log[Part Name],$A27,T_SelfStock_Log[WeekIndex],30)=0,"",SUMIFS(T_SelfStock_Log[Self_Qty],T_SelfStock_Log[Part Name],$A27,T_SelfStock_Log[WeekIndex],30))</f>
        <v/>
      </c>
      <c r="AF27" s="19">
        <f>IF(COUNTIFS(T_SelfStock_Log[Part Name],$A27,T_SelfStock_Log[WeekIndex],31)=0,"",SUMIFS(T_SelfStock_Log[Self_Qty],T_SelfStock_Log[Part Name],$A27,T_SelfStock_Log[WeekIndex],31))</f>
        <v/>
      </c>
      <c r="AG27" s="19">
        <f>IF(COUNTIFS(T_SelfStock_Log[Part Name],$A27,T_SelfStock_Log[WeekIndex],32)=0,"",SUMIFS(T_SelfStock_Log[Self_Qty],T_SelfStock_Log[Part Name],$A27,T_SelfStock_Log[WeekIndex],32))</f>
        <v/>
      </c>
      <c r="AH27" s="19">
        <f>IF(COUNTIFS(T_SelfStock_Log[Part Name],$A27,T_SelfStock_Log[WeekIndex],33)=0,"",SUMIFS(T_SelfStock_Log[Self_Qty],T_SelfStock_Log[Part Name],$A27,T_SelfStock_Log[WeekIndex],33))</f>
        <v/>
      </c>
      <c r="AI27" s="19">
        <f>IF(COUNTIFS(T_SelfStock_Log[Part Name],$A27,T_SelfStock_Log[WeekIndex],34)=0,"",SUMIFS(T_SelfStock_Log[Self_Qty],T_SelfStock_Log[Part Name],$A27,T_SelfStock_Log[WeekIndex],34))</f>
        <v/>
      </c>
      <c r="AJ27" s="19">
        <f>IF(COUNTIFS(T_SelfStock_Log[Part Name],$A27,T_SelfStock_Log[WeekIndex],35)=0,"",SUMIFS(T_SelfStock_Log[Self_Qty],T_SelfStock_Log[Part Name],$A27,T_SelfStock_Log[WeekIndex],35))</f>
        <v/>
      </c>
      <c r="AK27" s="19">
        <f>IF(COUNTIFS(T_SelfStock_Log[Part Name],$A27,T_SelfStock_Log[WeekIndex],36)=0,"",SUMIFS(T_SelfStock_Log[Self_Qty],T_SelfStock_Log[Part Name],$A27,T_SelfStock_Log[WeekIndex],36))</f>
        <v/>
      </c>
      <c r="AL27" s="19">
        <f>IF(COUNTIFS(T_SelfStock_Log[Part Name],$A27,T_SelfStock_Log[WeekIndex],37)=0,"",SUMIFS(T_SelfStock_Log[Self_Qty],T_SelfStock_Log[Part Name],$A27,T_SelfStock_Log[WeekIndex],37))</f>
        <v/>
      </c>
      <c r="AM27" s="19">
        <f>IF(COUNTIFS(T_SelfStock_Log[Part Name],$A27,T_SelfStock_Log[WeekIndex],38)=0,"",SUMIFS(T_SelfStock_Log[Self_Qty],T_SelfStock_Log[Part Name],$A27,T_SelfStock_Log[WeekIndex],38))</f>
        <v/>
      </c>
      <c r="AN27" s="19">
        <f>IF(COUNTIFS(T_SelfStock_Log[Part Name],$A27,T_SelfStock_Log[WeekIndex],39)=0,"",SUMIFS(T_SelfStock_Log[Self_Qty],T_SelfStock_Log[Part Name],$A27,T_SelfStock_Log[WeekIndex],39))</f>
        <v/>
      </c>
      <c r="AO27" s="19">
        <f>IF(COUNTIFS(T_SelfStock_Log[Part Name],$A27,T_SelfStock_Log[WeekIndex],40)=0,"",SUMIFS(T_SelfStock_Log[Self_Qty],T_SelfStock_Log[Part Name],$A27,T_SelfStock_Log[WeekIndex],40))</f>
        <v/>
      </c>
      <c r="AP27" s="19">
        <f>IF(COUNTIFS(T_SelfStock_Log[Part Name],$A27,T_SelfStock_Log[WeekIndex],41)=0,"",SUMIFS(T_SelfStock_Log[Self_Qty],T_SelfStock_Log[Part Name],$A27,T_SelfStock_Log[WeekIndex],41))</f>
        <v/>
      </c>
      <c r="AQ27" s="19">
        <f>IF(COUNTIFS(T_SelfStock_Log[Part Name],$A27,T_SelfStock_Log[WeekIndex],42)=0,"",SUMIFS(T_SelfStock_Log[Self_Qty],T_SelfStock_Log[Part Name],$A27,T_SelfStock_Log[WeekIndex],42))</f>
        <v/>
      </c>
      <c r="AR27" s="19">
        <f>IF(COUNTIFS(T_SelfStock_Log[Part Name],$A27,T_SelfStock_Log[WeekIndex],43)=0,"",SUMIFS(T_SelfStock_Log[Self_Qty],T_SelfStock_Log[Part Name],$A27,T_SelfStock_Log[WeekIndex],43))</f>
        <v/>
      </c>
      <c r="AS27" s="19">
        <f>IF(COUNTIFS(T_SelfStock_Log[Part Name],$A27,T_SelfStock_Log[WeekIndex],44)=0,"",SUMIFS(T_SelfStock_Log[Self_Qty],T_SelfStock_Log[Part Name],$A27,T_SelfStock_Log[WeekIndex],44))</f>
        <v/>
      </c>
      <c r="AT27" s="19">
        <f>IF(COUNTIFS(T_SelfStock_Log[Part Name],$A27,T_SelfStock_Log[WeekIndex],45)=0,"",SUMIFS(T_SelfStock_Log[Self_Qty],T_SelfStock_Log[Part Name],$A27,T_SelfStock_Log[WeekIndex],45))</f>
        <v/>
      </c>
      <c r="AU27" s="19">
        <f>IF(COUNTIFS(T_SelfStock_Log[Part Name],$A27,T_SelfStock_Log[WeekIndex],46)=0,"",SUMIFS(T_SelfStock_Log[Self_Qty],T_SelfStock_Log[Part Name],$A27,T_SelfStock_Log[WeekIndex],46))</f>
        <v/>
      </c>
      <c r="AV27" s="19">
        <f>IF(COUNTIFS(T_SelfStock_Log[Part Name],$A27,T_SelfStock_Log[WeekIndex],47)=0,"",SUMIFS(T_SelfStock_Log[Self_Qty],T_SelfStock_Log[Part Name],$A27,T_SelfStock_Log[WeekIndex],47))</f>
        <v/>
      </c>
      <c r="AW27" s="19">
        <f>IF(COUNTIFS(T_SelfStock_Log[Part Name],$A27,T_SelfStock_Log[WeekIndex],48)=0,"",SUMIFS(T_SelfStock_Log[Self_Qty],T_SelfStock_Log[Part Name],$A27,T_SelfStock_Log[WeekIndex],48))</f>
        <v/>
      </c>
      <c r="AX27" s="19">
        <f>IF(COUNTIFS(T_SelfStock_Log[Part Name],$A27,T_SelfStock_Log[WeekIndex],49)=0,"",SUMIFS(T_SelfStock_Log[Self_Qty],T_SelfStock_Log[Part Name],$A27,T_SelfStock_Log[WeekIndex],49))</f>
        <v/>
      </c>
      <c r="AY27" s="19">
        <f>IF(COUNTIFS(T_SelfStock_Log[Part Name],$A27,T_SelfStock_Log[WeekIndex],50)=0,"",SUMIFS(T_SelfStock_Log[Self_Qty],T_SelfStock_Log[Part Name],$A27,T_SelfStock_Log[WeekIndex],50))</f>
        <v/>
      </c>
      <c r="AZ27" s="19">
        <f>IF(COUNTIFS(T_SelfStock_Log[Part Name],$A27,T_SelfStock_Log[WeekIndex],51)=0,"",SUMIFS(T_SelfStock_Log[Self_Qty],T_SelfStock_Log[Part Name],$A27,T_SelfStock_Log[WeekIndex],51))</f>
        <v/>
      </c>
      <c r="BA27" s="19">
        <f>IF(COUNTIFS(T_SelfStock_Log[Part Name],$A27,T_SelfStock_Log[WeekIndex],52)=0,"",SUMIFS(T_SelfStock_Log[Self_Qty],T_SelfStock_Log[Part Name],$A27,T_SelfStock_Log[WeekIndex],52))</f>
        <v/>
      </c>
      <c r="BB27" s="19">
        <f>IF(COUNTIFS(T_SelfStock_Log[Part Name],$A27,T_SelfStock_Log[WeekIndex],53)=0,"",SUMIFS(T_SelfStock_Log[Self_Qty],T_SelfStock_Log[Part Name],$A27,T_SelfStock_Log[WeekIndex],53))</f>
        <v/>
      </c>
      <c r="BC27" s="19">
        <f>IF(COUNTIFS(T_SelfStock_Log[Part Name],$A27,T_SelfStock_Log[WeekIndex],54)=0,"",SUMIFS(T_SelfStock_Log[Self_Qty],T_SelfStock_Log[Part Name],$A27,T_SelfStock_Log[WeekIndex],54))</f>
        <v/>
      </c>
      <c r="BD27" s="19">
        <f>IF(COUNTIFS(T_SelfStock_Log[Part Name],$A27,T_SelfStock_Log[WeekIndex],55)=0,"",SUMIFS(T_SelfStock_Log[Self_Qty],T_SelfStock_Log[Part Name],$A27,T_SelfStock_Log[WeekIndex],55))</f>
        <v/>
      </c>
      <c r="BE27" s="19">
        <f>IF(COUNTIFS(T_SelfStock_Log[Part Name],$A27,T_SelfStock_Log[WeekIndex],56)=0,"",SUMIFS(T_SelfStock_Log[Self_Qty],T_SelfStock_Log[Part Name],$A27,T_SelfStock_Log[WeekIndex],56))</f>
        <v/>
      </c>
      <c r="BF27" s="19">
        <f>IF(COUNTIFS(T_SelfStock_Log[Part Name],$A27,T_SelfStock_Log[WeekIndex],57)=0,"",SUMIFS(T_SelfStock_Log[Self_Qty],T_SelfStock_Log[Part Name],$A27,T_SelfStock_Log[WeekIndex],57))</f>
        <v/>
      </c>
      <c r="BG27" s="19">
        <f>IF(COUNTIFS(T_SelfStock_Log[Part Name],$A27,T_SelfStock_Log[WeekIndex],58)=0,"",SUMIFS(T_SelfStock_Log[Self_Qty],T_SelfStock_Log[Part Name],$A27,T_SelfStock_Log[WeekIndex],58))</f>
        <v/>
      </c>
      <c r="BH27" s="19">
        <f>IF(COUNTIFS(T_SelfStock_Log[Part Name],$A27,T_SelfStock_Log[WeekIndex],59)=0,"",SUMIFS(T_SelfStock_Log[Self_Qty],T_SelfStock_Log[Part Name],$A27,T_SelfStock_Log[WeekIndex],59))</f>
        <v/>
      </c>
      <c r="BI27" s="19">
        <f>IF(COUNTIFS(T_SelfStock_Log[Part Name],$A27,T_SelfStock_Log[WeekIndex],60)=0,"",SUMIFS(T_SelfStock_Log[Self_Qty],T_SelfStock_Log[Part Name],$A27,T_SelfStock_Log[WeekIndex],60))</f>
        <v/>
      </c>
      <c r="BJ27" s="19">
        <f>IF(COUNTIFS(T_SelfStock_Log[Part Name],$A27,T_SelfStock_Log[WeekIndex],61)=0,"",SUMIFS(T_SelfStock_Log[Self_Qty],T_SelfStock_Log[Part Name],$A27,T_SelfStock_Log[WeekIndex],61))</f>
        <v/>
      </c>
      <c r="BK27" s="19">
        <f>IF(COUNTIFS(T_SelfStock_Log[Part Name],$A27,T_SelfStock_Log[WeekIndex],62)=0,"",SUMIFS(T_SelfStock_Log[Self_Qty],T_SelfStock_Log[Part Name],$A27,T_SelfStock_Log[WeekIndex],62))</f>
        <v/>
      </c>
      <c r="BL27" s="19">
        <f>IF(COUNTIFS(T_SelfStock_Log[Part Name],$A27,T_SelfStock_Log[WeekIndex],63)=0,"",SUMIFS(T_SelfStock_Log[Self_Qty],T_SelfStock_Log[Part Name],$A27,T_SelfStock_Log[WeekIndex],63))</f>
        <v/>
      </c>
      <c r="BM27" s="19">
        <f>IF(COUNTIFS(T_SelfStock_Log[Part Name],$A27,T_SelfStock_Log[WeekIndex],64)=0,"",SUMIFS(T_SelfStock_Log[Self_Qty],T_SelfStock_Log[Part Name],$A27,T_SelfStock_Log[WeekIndex],64))</f>
        <v/>
      </c>
      <c r="BN27" s="19">
        <f>IF(COUNTIFS(T_SelfStock_Log[Part Name],$A27,T_SelfStock_Log[WeekIndex],65)=0,"",SUMIFS(T_SelfStock_Log[Self_Qty],T_SelfStock_Log[Part Name],$A27,T_SelfStock_Log[WeekIndex],65))</f>
        <v/>
      </c>
      <c r="BO27" s="19">
        <f>IF(COUNTIFS(T_SelfStock_Log[Part Name],$A27,T_SelfStock_Log[WeekIndex],66)=0,"",SUMIFS(T_SelfStock_Log[Self_Qty],T_SelfStock_Log[Part Name],$A27,T_SelfStock_Log[WeekIndex],66))</f>
        <v/>
      </c>
      <c r="BP27" s="19">
        <f>IF(COUNTIFS(T_SelfStock_Log[Part Name],$A27,T_SelfStock_Log[WeekIndex],67)=0,"",SUMIFS(T_SelfStock_Log[Self_Qty],T_SelfStock_Log[Part Name],$A27,T_SelfStock_Log[WeekIndex],67))</f>
        <v/>
      </c>
      <c r="BQ27" s="19">
        <f>IF(COUNTIFS(T_SelfStock_Log[Part Name],$A27,T_SelfStock_Log[WeekIndex],68)=0,"",SUMIFS(T_SelfStock_Log[Self_Qty],T_SelfStock_Log[Part Name],$A27,T_SelfStock_Log[WeekIndex],68))</f>
        <v/>
      </c>
      <c r="BR27" s="19">
        <f>IF(COUNTIFS(T_SelfStock_Log[Part Name],$A27,T_SelfStock_Log[WeekIndex],69)=0,"",SUMIFS(T_SelfStock_Log[Self_Qty],T_SelfStock_Log[Part Name],$A27,T_SelfStock_Log[WeekIndex],69))</f>
        <v/>
      </c>
      <c r="BS27" s="19">
        <f>IF(COUNTIFS(T_SelfStock_Log[Part Name],$A27,T_SelfStock_Log[WeekIndex],70)=0,"",SUMIFS(T_SelfStock_Log[Self_Qty],T_SelfStock_Log[Part Name],$A27,T_SelfStock_Log[WeekIndex],70))</f>
        <v/>
      </c>
      <c r="BT27" s="19">
        <f>IF(COUNTIFS(T_SelfStock_Log[Part Name],$A27,T_SelfStock_Log[WeekIndex],71)=0,"",SUMIFS(T_SelfStock_Log[Self_Qty],T_SelfStock_Log[Part Name],$A27,T_SelfStock_Log[WeekIndex],71))</f>
        <v/>
      </c>
      <c r="BU27" s="19">
        <f>IF(COUNTIFS(T_SelfStock_Log[Part Name],$A27,T_SelfStock_Log[WeekIndex],72)=0,"",SUMIFS(T_SelfStock_Log[Self_Qty],T_SelfStock_Log[Part Name],$A27,T_SelfStock_Log[WeekIndex],72))</f>
        <v/>
      </c>
      <c r="BV27" s="19">
        <f>IF(COUNTIFS(T_SelfStock_Log[Part Name],$A27,T_SelfStock_Log[WeekIndex],73)=0,"",SUMIFS(T_SelfStock_Log[Self_Qty],T_SelfStock_Log[Part Name],$A27,T_SelfStock_Log[WeekIndex],73))</f>
        <v/>
      </c>
      <c r="BW27" s="19">
        <f>IF(COUNTIFS(T_SelfStock_Log[Part Name],$A27,T_SelfStock_Log[WeekIndex],74)=0,"",SUMIFS(T_SelfStock_Log[Self_Qty],T_SelfStock_Log[Part Name],$A27,T_SelfStock_Log[WeekIndex],74))</f>
        <v/>
      </c>
      <c r="BX27" s="19">
        <f>IF(COUNTIFS(T_SelfStock_Log[Part Name],$A27,T_SelfStock_Log[WeekIndex],75)=0,"",SUMIFS(T_SelfStock_Log[Self_Qty],T_SelfStock_Log[Part Name],$A27,T_SelfStock_Log[WeekIndex],75))</f>
        <v/>
      </c>
      <c r="BY27" s="19">
        <f>IF(COUNTIFS(T_SelfStock_Log[Part Name],$A27,T_SelfStock_Log[WeekIndex],76)=0,"",SUMIFS(T_SelfStock_Log[Self_Qty],T_SelfStock_Log[Part Name],$A27,T_SelfStock_Log[WeekIndex],76))</f>
        <v/>
      </c>
      <c r="BZ27" s="19">
        <f>IF(COUNTIFS(T_SelfStock_Log[Part Name],$A27,T_SelfStock_Log[WeekIndex],77)=0,"",SUMIFS(T_SelfStock_Log[Self_Qty],T_SelfStock_Log[Part Name],$A27,T_SelfStock_Log[WeekIndex],77))</f>
        <v/>
      </c>
      <c r="CA27" s="19">
        <f>IF(COUNTIFS(T_SelfStock_Log[Part Name],$A27,T_SelfStock_Log[WeekIndex],78)=0,"",SUMIFS(T_SelfStock_Log[Self_Qty],T_SelfStock_Log[Part Name],$A27,T_SelfStock_Log[WeekIndex],78))</f>
        <v/>
      </c>
      <c r="CB27" s="19">
        <f>IF(COUNTIFS(T_SelfStock_Log[Part Name],$A27,T_SelfStock_Log[WeekIndex],79)=0,"",SUMIFS(T_SelfStock_Log[Self_Qty],T_SelfStock_Log[Part Name],$A27,T_SelfStock_Log[WeekIndex],79))</f>
        <v/>
      </c>
      <c r="CC27" s="19">
        <f>IF(COUNTIFS(T_SelfStock_Log[Part Name],$A27,T_SelfStock_Log[WeekIndex],80)=0,"",SUMIFS(T_SelfStock_Log[Self_Qty],T_SelfStock_Log[Part Name],$A27,T_SelfStock_Log[WeekIndex],80))</f>
        <v/>
      </c>
      <c r="CD27" s="19">
        <f>IF(COUNTIFS(T_SelfStock_Log[Part Name],$A27,T_SelfStock_Log[WeekIndex],81)=0,"",SUMIFS(T_SelfStock_Log[Self_Qty],T_SelfStock_Log[Part Name],$A27,T_SelfStock_Log[WeekIndex],81))</f>
        <v/>
      </c>
      <c r="CE27" s="19">
        <f>IF(COUNTIFS(T_SelfStock_Log[Part Name],$A27,T_SelfStock_Log[WeekIndex],82)=0,"",SUMIFS(T_SelfStock_Log[Self_Qty],T_SelfStock_Log[Part Name],$A27,T_SelfStock_Log[WeekIndex],82))</f>
        <v/>
      </c>
      <c r="CF27" s="19">
        <f>IF(COUNTIFS(T_SelfStock_Log[Part Name],$A27,T_SelfStock_Log[WeekIndex],83)=0,"",SUMIFS(T_SelfStock_Log[Self_Qty],T_SelfStock_Log[Part Name],$A27,T_SelfStock_Log[WeekIndex],83))</f>
        <v/>
      </c>
      <c r="CG27" s="19">
        <f>IF(COUNTIFS(T_SelfStock_Log[Part Name],$A27,T_SelfStock_Log[WeekIndex],84)=0,"",SUMIFS(T_SelfStock_Log[Self_Qty],T_SelfStock_Log[Part Name],$A27,T_SelfStock_Log[WeekIndex],84))</f>
        <v/>
      </c>
      <c r="CH27" s="19">
        <f>IF(COUNTIFS(T_SelfStock_Log[Part Name],$A27,T_SelfStock_Log[WeekIndex],85)=0,"",SUMIFS(T_SelfStock_Log[Self_Qty],T_SelfStock_Log[Part Name],$A27,T_SelfStock_Log[WeekIndex],85))</f>
        <v/>
      </c>
      <c r="CI27" s="19">
        <f>IF(COUNTIFS(T_SelfStock_Log[Part Name],$A27,T_SelfStock_Log[WeekIndex],86)=0,"",SUMIFS(T_SelfStock_Log[Self_Qty],T_SelfStock_Log[Part Name],$A27,T_SelfStock_Log[WeekIndex],86))</f>
        <v/>
      </c>
      <c r="CJ27" s="19">
        <f>IF(COUNTIFS(T_SelfStock_Log[Part Name],$A27,T_SelfStock_Log[WeekIndex],87)=0,"",SUMIFS(T_SelfStock_Log[Self_Qty],T_SelfStock_Log[Part Name],$A27,T_SelfStock_Log[WeekIndex],87))</f>
        <v/>
      </c>
      <c r="CK27" s="19">
        <f>IF(COUNTIFS(T_SelfStock_Log[Part Name],$A27,T_SelfStock_Log[WeekIndex],88)=0,"",SUMIFS(T_SelfStock_Log[Self_Qty],T_SelfStock_Log[Part Name],$A27,T_SelfStock_Log[WeekIndex],88))</f>
        <v/>
      </c>
      <c r="CL27" s="19">
        <f>IF(COUNTIFS(T_SelfStock_Log[Part Name],$A27,T_SelfStock_Log[WeekIndex],89)=0,"",SUMIFS(T_SelfStock_Log[Self_Qty],T_SelfStock_Log[Part Name],$A27,T_SelfStock_Log[WeekIndex],89))</f>
        <v/>
      </c>
      <c r="CM27" s="19">
        <f>IF(COUNTIFS(T_SelfStock_Log[Part Name],$A27,T_SelfStock_Log[WeekIndex],90)=0,"",SUMIFS(T_SelfStock_Log[Self_Qty],T_SelfStock_Log[Part Name],$A27,T_SelfStock_Log[WeekIndex],90))</f>
        <v/>
      </c>
      <c r="CN27" s="19">
        <f>IF(COUNTIFS(T_SelfStock_Log[Part Name],$A27,T_SelfStock_Log[WeekIndex],91)=0,"",SUMIFS(T_SelfStock_Log[Self_Qty],T_SelfStock_Log[Part Name],$A27,T_SelfStock_Log[WeekIndex],91))</f>
        <v/>
      </c>
      <c r="CO27" s="19">
        <f>IF(COUNTIFS(T_SelfStock_Log[Part Name],$A27,T_SelfStock_Log[WeekIndex],92)=0,"",SUMIFS(T_SelfStock_Log[Self_Qty],T_SelfStock_Log[Part Name],$A27,T_SelfStock_Log[WeekIndex],92))</f>
        <v/>
      </c>
      <c r="CP27" s="19">
        <f>IF(COUNTIFS(T_SelfStock_Log[Part Name],$A27,T_SelfStock_Log[WeekIndex],93)=0,"",SUMIFS(T_SelfStock_Log[Self_Qty],T_SelfStock_Log[Part Name],$A27,T_SelfStock_Log[WeekIndex],93))</f>
        <v/>
      </c>
      <c r="CQ27" s="19">
        <f>IF(COUNTIFS(T_SelfStock_Log[Part Name],$A27,T_SelfStock_Log[WeekIndex],94)=0,"",SUMIFS(T_SelfStock_Log[Self_Qty],T_SelfStock_Log[Part Name],$A27,T_SelfStock_Log[WeekIndex],94))</f>
        <v/>
      </c>
      <c r="CR27" s="19">
        <f>IF(COUNTIFS(T_SelfStock_Log[Part Name],$A27,T_SelfStock_Log[WeekIndex],95)=0,"",SUMIFS(T_SelfStock_Log[Self_Qty],T_SelfStock_Log[Part Name],$A27,T_SelfStock_Log[WeekIndex],95))</f>
        <v/>
      </c>
      <c r="CS27" s="19">
        <f>IF(COUNTIFS(T_SelfStock_Log[Part Name],$A27,T_SelfStock_Log[WeekIndex],96)=0,"",SUMIFS(T_SelfStock_Log[Self_Qty],T_SelfStock_Log[Part Name],$A27,T_SelfStock_Log[WeekIndex],96))</f>
        <v/>
      </c>
      <c r="CT27" s="19">
        <f>IF(COUNTIFS(T_SelfStock_Log[Part Name],$A27,T_SelfStock_Log[WeekIndex],97)=0,"",SUMIFS(T_SelfStock_Log[Self_Qty],T_SelfStock_Log[Part Name],$A27,T_SelfStock_Log[WeekIndex],97))</f>
        <v/>
      </c>
      <c r="CU27" s="19">
        <f>IF(COUNTIFS(T_SelfStock_Log[Part Name],$A27,T_SelfStock_Log[WeekIndex],98)=0,"",SUMIFS(T_SelfStock_Log[Self_Qty],T_SelfStock_Log[Part Name],$A27,T_SelfStock_Log[WeekIndex],98))</f>
        <v/>
      </c>
      <c r="CV27" s="19">
        <f>IF(COUNTIFS(T_SelfStock_Log[Part Name],$A27,T_SelfStock_Log[WeekIndex],99)=0,"",SUMIFS(T_SelfStock_Log[Self_Qty],T_SelfStock_Log[Part Name],$A27,T_SelfStock_Log[WeekIndex],99))</f>
        <v/>
      </c>
      <c r="CW27" s="19">
        <f>IF(COUNTIFS(T_SelfStock_Log[Part Name],$A27,T_SelfStock_Log[WeekIndex],100)=0,"",SUMIFS(T_SelfStock_Log[Self_Qty],T_SelfStock_Log[Part Name],$A27,T_SelfStock_Log[WeekIndex],100))</f>
        <v/>
      </c>
      <c r="CX27" s="19">
        <f>IF(COUNTIFS(T_SelfStock_Log[Part Name],$A27,T_SelfStock_Log[WeekIndex],101)=0,"",SUMIFS(T_SelfStock_Log[Self_Qty],T_SelfStock_Log[Part Name],$A27,T_SelfStock_Log[WeekIndex],101))</f>
        <v/>
      </c>
      <c r="CY27" s="19">
        <f>IF(COUNTIFS(T_SelfStock_Log[Part Name],$A27,T_SelfStock_Log[WeekIndex],102)=0,"",SUMIFS(T_SelfStock_Log[Self_Qty],T_SelfStock_Log[Part Name],$A27,T_SelfStock_Log[WeekIndex],102))</f>
        <v/>
      </c>
      <c r="CZ27" s="19">
        <f>IF(COUNTIFS(T_SelfStock_Log[Part Name],$A27,T_SelfStock_Log[WeekIndex],103)=0,"",SUMIFS(T_SelfStock_Log[Self_Qty],T_SelfStock_Log[Part Name],$A27,T_SelfStock_Log[WeekIndex],103))</f>
        <v/>
      </c>
      <c r="DA27" s="19">
        <f>IF(COUNTIFS(T_SelfStock_Log[Part Name],$A27,T_SelfStock_Log[WeekIndex],104)=0,"",SUMIFS(T_SelfStock_Log[Self_Qty],T_SelfStock_Log[Part Name],$A27,T_SelfStock_Log[WeekIndex],104))</f>
        <v/>
      </c>
    </row>
    <row r="28">
      <c r="A28" s="17" t="inlineStr">
        <is>
          <t>CHEM-1240</t>
        </is>
      </c>
      <c r="B28" s="17">
        <f>IF(COUNTIFS(T_SelfStock_Log[Part Name],$A28,T_SelfStock_Log[WeekIndex],1)=0,"",SUMIFS(T_SelfStock_Log[Self_Qty],T_SelfStock_Log[Part Name],$A28,T_SelfStock_Log[WeekIndex],1))</f>
        <v/>
      </c>
      <c r="C28" s="17">
        <f>IF(COUNTIFS(T_SelfStock_Log[Part Name],$A28,T_SelfStock_Log[WeekIndex],2)=0,"",SUMIFS(T_SelfStock_Log[Self_Qty],T_SelfStock_Log[Part Name],$A28,T_SelfStock_Log[WeekIndex],2))</f>
        <v/>
      </c>
      <c r="D28" s="17">
        <f>IF(COUNTIFS(T_SelfStock_Log[Part Name],$A28,T_SelfStock_Log[WeekIndex],3)=0,"",SUMIFS(T_SelfStock_Log[Self_Qty],T_SelfStock_Log[Part Name],$A28,T_SelfStock_Log[WeekIndex],3))</f>
        <v/>
      </c>
      <c r="E28" s="17">
        <f>IF(COUNTIFS(T_SelfStock_Log[Part Name],$A28,T_SelfStock_Log[WeekIndex],4)=0,"",SUMIFS(T_SelfStock_Log[Self_Qty],T_SelfStock_Log[Part Name],$A28,T_SelfStock_Log[WeekIndex],4))</f>
        <v/>
      </c>
      <c r="F28" s="17">
        <f>IF(COUNTIFS(T_SelfStock_Log[Part Name],$A28,T_SelfStock_Log[WeekIndex],5)=0,"",SUMIFS(T_SelfStock_Log[Self_Qty],T_SelfStock_Log[Part Name],$A28,T_SelfStock_Log[WeekIndex],5))</f>
        <v/>
      </c>
      <c r="G28" s="17">
        <f>IF(COUNTIFS(T_SelfStock_Log[Part Name],$A28,T_SelfStock_Log[WeekIndex],6)=0,"",SUMIFS(T_SelfStock_Log[Self_Qty],T_SelfStock_Log[Part Name],$A28,T_SelfStock_Log[WeekIndex],6))</f>
        <v/>
      </c>
      <c r="H28" s="17">
        <f>IF(COUNTIFS(T_SelfStock_Log[Part Name],$A28,T_SelfStock_Log[WeekIndex],7)=0,"",SUMIFS(T_SelfStock_Log[Self_Qty],T_SelfStock_Log[Part Name],$A28,T_SelfStock_Log[WeekIndex],7))</f>
        <v/>
      </c>
      <c r="I28" s="17">
        <f>IF(COUNTIFS(T_SelfStock_Log[Part Name],$A28,T_SelfStock_Log[WeekIndex],8)=0,"",SUMIFS(T_SelfStock_Log[Self_Qty],T_SelfStock_Log[Part Name],$A28,T_SelfStock_Log[WeekIndex],8))</f>
        <v/>
      </c>
      <c r="J28" s="17">
        <f>IF(COUNTIFS(T_SelfStock_Log[Part Name],$A28,T_SelfStock_Log[WeekIndex],9)=0,"",SUMIFS(T_SelfStock_Log[Self_Qty],T_SelfStock_Log[Part Name],$A28,T_SelfStock_Log[WeekIndex],9))</f>
        <v/>
      </c>
      <c r="K28" s="17">
        <f>IF(COUNTIFS(T_SelfStock_Log[Part Name],$A28,T_SelfStock_Log[WeekIndex],10)=0,"",SUMIFS(T_SelfStock_Log[Self_Qty],T_SelfStock_Log[Part Name],$A28,T_SelfStock_Log[WeekIndex],10))</f>
        <v/>
      </c>
      <c r="L28" s="17">
        <f>IF(COUNTIFS(T_SelfStock_Log[Part Name],$A28,T_SelfStock_Log[WeekIndex],11)=0,"",SUMIFS(T_SelfStock_Log[Self_Qty],T_SelfStock_Log[Part Name],$A28,T_SelfStock_Log[WeekIndex],11))</f>
        <v/>
      </c>
      <c r="M28" s="17">
        <f>IF(COUNTIFS(T_SelfStock_Log[Part Name],$A28,T_SelfStock_Log[WeekIndex],12)=0,"",SUMIFS(T_SelfStock_Log[Self_Qty],T_SelfStock_Log[Part Name],$A28,T_SelfStock_Log[WeekIndex],12))</f>
        <v/>
      </c>
      <c r="N28" s="17">
        <f>IF(COUNTIFS(T_SelfStock_Log[Part Name],$A28,T_SelfStock_Log[WeekIndex],13)=0,"",SUMIFS(T_SelfStock_Log[Self_Qty],T_SelfStock_Log[Part Name],$A28,T_SelfStock_Log[WeekIndex],13))</f>
        <v/>
      </c>
      <c r="O28" s="17">
        <f>IF(COUNTIFS(T_SelfStock_Log[Part Name],$A28,T_SelfStock_Log[WeekIndex],14)=0,"",SUMIFS(T_SelfStock_Log[Self_Qty],T_SelfStock_Log[Part Name],$A28,T_SelfStock_Log[WeekIndex],14))</f>
        <v/>
      </c>
      <c r="P28" s="17">
        <f>IF(COUNTIFS(T_SelfStock_Log[Part Name],$A28,T_SelfStock_Log[WeekIndex],15)=0,"",SUMIFS(T_SelfStock_Log[Self_Qty],T_SelfStock_Log[Part Name],$A28,T_SelfStock_Log[WeekIndex],15))</f>
        <v/>
      </c>
      <c r="Q28" s="17">
        <f>IF(COUNTIFS(T_SelfStock_Log[Part Name],$A28,T_SelfStock_Log[WeekIndex],16)=0,"",SUMIFS(T_SelfStock_Log[Self_Qty],T_SelfStock_Log[Part Name],$A28,T_SelfStock_Log[WeekIndex],16))</f>
        <v/>
      </c>
      <c r="R28" s="17">
        <f>IF(COUNTIFS(T_SelfStock_Log[Part Name],$A28,T_SelfStock_Log[WeekIndex],17)=0,"",SUMIFS(T_SelfStock_Log[Self_Qty],T_SelfStock_Log[Part Name],$A28,T_SelfStock_Log[WeekIndex],17))</f>
        <v/>
      </c>
      <c r="S28" s="17">
        <f>IF(COUNTIFS(T_SelfStock_Log[Part Name],$A28,T_SelfStock_Log[WeekIndex],18)=0,"",SUMIFS(T_SelfStock_Log[Self_Qty],T_SelfStock_Log[Part Name],$A28,T_SelfStock_Log[WeekIndex],18))</f>
        <v/>
      </c>
      <c r="T28" s="17">
        <f>IF(COUNTIFS(T_SelfStock_Log[Part Name],$A28,T_SelfStock_Log[WeekIndex],19)=0,"",SUMIFS(T_SelfStock_Log[Self_Qty],T_SelfStock_Log[Part Name],$A28,T_SelfStock_Log[WeekIndex],19))</f>
        <v/>
      </c>
      <c r="U28" s="17">
        <f>IF(COUNTIFS(T_SelfStock_Log[Part Name],$A28,T_SelfStock_Log[WeekIndex],20)=0,"",SUMIFS(T_SelfStock_Log[Self_Qty],T_SelfStock_Log[Part Name],$A28,T_SelfStock_Log[WeekIndex],20))</f>
        <v/>
      </c>
      <c r="V28" s="17">
        <f>IF(COUNTIFS(T_SelfStock_Log[Part Name],$A28,T_SelfStock_Log[WeekIndex],21)=0,"",SUMIFS(T_SelfStock_Log[Self_Qty],T_SelfStock_Log[Part Name],$A28,T_SelfStock_Log[WeekIndex],21))</f>
        <v/>
      </c>
      <c r="W28" s="17">
        <f>IF(COUNTIFS(T_SelfStock_Log[Part Name],$A28,T_SelfStock_Log[WeekIndex],22)=0,"",SUMIFS(T_SelfStock_Log[Self_Qty],T_SelfStock_Log[Part Name],$A28,T_SelfStock_Log[WeekIndex],22))</f>
        <v/>
      </c>
      <c r="X28" s="17">
        <f>IF(COUNTIFS(T_SelfStock_Log[Part Name],$A28,T_SelfStock_Log[WeekIndex],23)=0,"",SUMIFS(T_SelfStock_Log[Self_Qty],T_SelfStock_Log[Part Name],$A28,T_SelfStock_Log[WeekIndex],23))</f>
        <v/>
      </c>
      <c r="Y28" s="17">
        <f>IF(COUNTIFS(T_SelfStock_Log[Part Name],$A28,T_SelfStock_Log[WeekIndex],24)=0,"",SUMIFS(T_SelfStock_Log[Self_Qty],T_SelfStock_Log[Part Name],$A28,T_SelfStock_Log[WeekIndex],24))</f>
        <v/>
      </c>
      <c r="Z28" s="17">
        <f>IF(COUNTIFS(T_SelfStock_Log[Part Name],$A28,T_SelfStock_Log[WeekIndex],25)=0,"",SUMIFS(T_SelfStock_Log[Self_Qty],T_SelfStock_Log[Part Name],$A28,T_SelfStock_Log[WeekIndex],25))</f>
        <v/>
      </c>
      <c r="AA28" s="17">
        <f>IF(COUNTIFS(T_SelfStock_Log[Part Name],$A28,T_SelfStock_Log[WeekIndex],26)=0,"",SUMIFS(T_SelfStock_Log[Self_Qty],T_SelfStock_Log[Part Name],$A28,T_SelfStock_Log[WeekIndex],26))</f>
        <v/>
      </c>
      <c r="AB28" s="17">
        <f>IF(COUNTIFS(T_SelfStock_Log[Part Name],$A28,T_SelfStock_Log[WeekIndex],27)=0,"",SUMIFS(T_SelfStock_Log[Self_Qty],T_SelfStock_Log[Part Name],$A28,T_SelfStock_Log[WeekIndex],27))</f>
        <v/>
      </c>
      <c r="AC28" s="17">
        <f>IF(COUNTIFS(T_SelfStock_Log[Part Name],$A28,T_SelfStock_Log[WeekIndex],28)=0,"",SUMIFS(T_SelfStock_Log[Self_Qty],T_SelfStock_Log[Part Name],$A28,T_SelfStock_Log[WeekIndex],28))</f>
        <v/>
      </c>
      <c r="AD28" s="17">
        <f>IF(COUNTIFS(T_SelfStock_Log[Part Name],$A28,T_SelfStock_Log[WeekIndex],29)=0,"",SUMIFS(T_SelfStock_Log[Self_Qty],T_SelfStock_Log[Part Name],$A28,T_SelfStock_Log[WeekIndex],29))</f>
        <v/>
      </c>
      <c r="AE28" s="17">
        <f>IF(COUNTIFS(T_SelfStock_Log[Part Name],$A28,T_SelfStock_Log[WeekIndex],30)=0,"",SUMIFS(T_SelfStock_Log[Self_Qty],T_SelfStock_Log[Part Name],$A28,T_SelfStock_Log[WeekIndex],30))</f>
        <v/>
      </c>
      <c r="AF28" s="17">
        <f>IF(COUNTIFS(T_SelfStock_Log[Part Name],$A28,T_SelfStock_Log[WeekIndex],31)=0,"",SUMIFS(T_SelfStock_Log[Self_Qty],T_SelfStock_Log[Part Name],$A28,T_SelfStock_Log[WeekIndex],31))</f>
        <v/>
      </c>
      <c r="AG28" s="17">
        <f>IF(COUNTIFS(T_SelfStock_Log[Part Name],$A28,T_SelfStock_Log[WeekIndex],32)=0,"",SUMIFS(T_SelfStock_Log[Self_Qty],T_SelfStock_Log[Part Name],$A28,T_SelfStock_Log[WeekIndex],32))</f>
        <v/>
      </c>
      <c r="AH28" s="17">
        <f>IF(COUNTIFS(T_SelfStock_Log[Part Name],$A28,T_SelfStock_Log[WeekIndex],33)=0,"",SUMIFS(T_SelfStock_Log[Self_Qty],T_SelfStock_Log[Part Name],$A28,T_SelfStock_Log[WeekIndex],33))</f>
        <v/>
      </c>
      <c r="AI28" s="17">
        <f>IF(COUNTIFS(T_SelfStock_Log[Part Name],$A28,T_SelfStock_Log[WeekIndex],34)=0,"",SUMIFS(T_SelfStock_Log[Self_Qty],T_SelfStock_Log[Part Name],$A28,T_SelfStock_Log[WeekIndex],34))</f>
        <v/>
      </c>
      <c r="AJ28" s="17">
        <f>IF(COUNTIFS(T_SelfStock_Log[Part Name],$A28,T_SelfStock_Log[WeekIndex],35)=0,"",SUMIFS(T_SelfStock_Log[Self_Qty],T_SelfStock_Log[Part Name],$A28,T_SelfStock_Log[WeekIndex],35))</f>
        <v/>
      </c>
      <c r="AK28" s="17">
        <f>IF(COUNTIFS(T_SelfStock_Log[Part Name],$A28,T_SelfStock_Log[WeekIndex],36)=0,"",SUMIFS(T_SelfStock_Log[Self_Qty],T_SelfStock_Log[Part Name],$A28,T_SelfStock_Log[WeekIndex],36))</f>
        <v/>
      </c>
      <c r="AL28" s="17">
        <f>IF(COUNTIFS(T_SelfStock_Log[Part Name],$A28,T_SelfStock_Log[WeekIndex],37)=0,"",SUMIFS(T_SelfStock_Log[Self_Qty],T_SelfStock_Log[Part Name],$A28,T_SelfStock_Log[WeekIndex],37))</f>
        <v/>
      </c>
      <c r="AM28" s="17">
        <f>IF(COUNTIFS(T_SelfStock_Log[Part Name],$A28,T_SelfStock_Log[WeekIndex],38)=0,"",SUMIFS(T_SelfStock_Log[Self_Qty],T_SelfStock_Log[Part Name],$A28,T_SelfStock_Log[WeekIndex],38))</f>
        <v/>
      </c>
      <c r="AN28" s="17">
        <f>IF(COUNTIFS(T_SelfStock_Log[Part Name],$A28,T_SelfStock_Log[WeekIndex],39)=0,"",SUMIFS(T_SelfStock_Log[Self_Qty],T_SelfStock_Log[Part Name],$A28,T_SelfStock_Log[WeekIndex],39))</f>
        <v/>
      </c>
      <c r="AO28" s="17">
        <f>IF(COUNTIFS(T_SelfStock_Log[Part Name],$A28,T_SelfStock_Log[WeekIndex],40)=0,"",SUMIFS(T_SelfStock_Log[Self_Qty],T_SelfStock_Log[Part Name],$A28,T_SelfStock_Log[WeekIndex],40))</f>
        <v/>
      </c>
      <c r="AP28" s="17">
        <f>IF(COUNTIFS(T_SelfStock_Log[Part Name],$A28,T_SelfStock_Log[WeekIndex],41)=0,"",SUMIFS(T_SelfStock_Log[Self_Qty],T_SelfStock_Log[Part Name],$A28,T_SelfStock_Log[WeekIndex],41))</f>
        <v/>
      </c>
      <c r="AQ28" s="17">
        <f>IF(COUNTIFS(T_SelfStock_Log[Part Name],$A28,T_SelfStock_Log[WeekIndex],42)=0,"",SUMIFS(T_SelfStock_Log[Self_Qty],T_SelfStock_Log[Part Name],$A28,T_SelfStock_Log[WeekIndex],42))</f>
        <v/>
      </c>
      <c r="AR28" s="17">
        <f>IF(COUNTIFS(T_SelfStock_Log[Part Name],$A28,T_SelfStock_Log[WeekIndex],43)=0,"",SUMIFS(T_SelfStock_Log[Self_Qty],T_SelfStock_Log[Part Name],$A28,T_SelfStock_Log[WeekIndex],43))</f>
        <v/>
      </c>
      <c r="AS28" s="17">
        <f>IF(COUNTIFS(T_SelfStock_Log[Part Name],$A28,T_SelfStock_Log[WeekIndex],44)=0,"",SUMIFS(T_SelfStock_Log[Self_Qty],T_SelfStock_Log[Part Name],$A28,T_SelfStock_Log[WeekIndex],44))</f>
        <v/>
      </c>
      <c r="AT28" s="17">
        <f>IF(COUNTIFS(T_SelfStock_Log[Part Name],$A28,T_SelfStock_Log[WeekIndex],45)=0,"",SUMIFS(T_SelfStock_Log[Self_Qty],T_SelfStock_Log[Part Name],$A28,T_SelfStock_Log[WeekIndex],45))</f>
        <v/>
      </c>
      <c r="AU28" s="17">
        <f>IF(COUNTIFS(T_SelfStock_Log[Part Name],$A28,T_SelfStock_Log[WeekIndex],46)=0,"",SUMIFS(T_SelfStock_Log[Self_Qty],T_SelfStock_Log[Part Name],$A28,T_SelfStock_Log[WeekIndex],46))</f>
        <v/>
      </c>
      <c r="AV28" s="17">
        <f>IF(COUNTIFS(T_SelfStock_Log[Part Name],$A28,T_SelfStock_Log[WeekIndex],47)=0,"",SUMIFS(T_SelfStock_Log[Self_Qty],T_SelfStock_Log[Part Name],$A28,T_SelfStock_Log[WeekIndex],47))</f>
        <v/>
      </c>
      <c r="AW28" s="17">
        <f>IF(COUNTIFS(T_SelfStock_Log[Part Name],$A28,T_SelfStock_Log[WeekIndex],48)=0,"",SUMIFS(T_SelfStock_Log[Self_Qty],T_SelfStock_Log[Part Name],$A28,T_SelfStock_Log[WeekIndex],48))</f>
        <v/>
      </c>
      <c r="AX28" s="17">
        <f>IF(COUNTIFS(T_SelfStock_Log[Part Name],$A28,T_SelfStock_Log[WeekIndex],49)=0,"",SUMIFS(T_SelfStock_Log[Self_Qty],T_SelfStock_Log[Part Name],$A28,T_SelfStock_Log[WeekIndex],49))</f>
        <v/>
      </c>
      <c r="AY28" s="17">
        <f>IF(COUNTIFS(T_SelfStock_Log[Part Name],$A28,T_SelfStock_Log[WeekIndex],50)=0,"",SUMIFS(T_SelfStock_Log[Self_Qty],T_SelfStock_Log[Part Name],$A28,T_SelfStock_Log[WeekIndex],50))</f>
        <v/>
      </c>
      <c r="AZ28" s="17">
        <f>IF(COUNTIFS(T_SelfStock_Log[Part Name],$A28,T_SelfStock_Log[WeekIndex],51)=0,"",SUMIFS(T_SelfStock_Log[Self_Qty],T_SelfStock_Log[Part Name],$A28,T_SelfStock_Log[WeekIndex],51))</f>
        <v/>
      </c>
      <c r="BA28" s="17">
        <f>IF(COUNTIFS(T_SelfStock_Log[Part Name],$A28,T_SelfStock_Log[WeekIndex],52)=0,"",SUMIFS(T_SelfStock_Log[Self_Qty],T_SelfStock_Log[Part Name],$A28,T_SelfStock_Log[WeekIndex],52))</f>
        <v/>
      </c>
      <c r="BB28" s="17">
        <f>IF(COUNTIFS(T_SelfStock_Log[Part Name],$A28,T_SelfStock_Log[WeekIndex],53)=0,"",SUMIFS(T_SelfStock_Log[Self_Qty],T_SelfStock_Log[Part Name],$A28,T_SelfStock_Log[WeekIndex],53))</f>
        <v/>
      </c>
      <c r="BC28" s="17">
        <f>IF(COUNTIFS(T_SelfStock_Log[Part Name],$A28,T_SelfStock_Log[WeekIndex],54)=0,"",SUMIFS(T_SelfStock_Log[Self_Qty],T_SelfStock_Log[Part Name],$A28,T_SelfStock_Log[WeekIndex],54))</f>
        <v/>
      </c>
      <c r="BD28" s="17">
        <f>IF(COUNTIFS(T_SelfStock_Log[Part Name],$A28,T_SelfStock_Log[WeekIndex],55)=0,"",SUMIFS(T_SelfStock_Log[Self_Qty],T_SelfStock_Log[Part Name],$A28,T_SelfStock_Log[WeekIndex],55))</f>
        <v/>
      </c>
      <c r="BE28" s="17">
        <f>IF(COUNTIFS(T_SelfStock_Log[Part Name],$A28,T_SelfStock_Log[WeekIndex],56)=0,"",SUMIFS(T_SelfStock_Log[Self_Qty],T_SelfStock_Log[Part Name],$A28,T_SelfStock_Log[WeekIndex],56))</f>
        <v/>
      </c>
      <c r="BF28" s="17">
        <f>IF(COUNTIFS(T_SelfStock_Log[Part Name],$A28,T_SelfStock_Log[WeekIndex],57)=0,"",SUMIFS(T_SelfStock_Log[Self_Qty],T_SelfStock_Log[Part Name],$A28,T_SelfStock_Log[WeekIndex],57))</f>
        <v/>
      </c>
      <c r="BG28" s="17">
        <f>IF(COUNTIFS(T_SelfStock_Log[Part Name],$A28,T_SelfStock_Log[WeekIndex],58)=0,"",SUMIFS(T_SelfStock_Log[Self_Qty],T_SelfStock_Log[Part Name],$A28,T_SelfStock_Log[WeekIndex],58))</f>
        <v/>
      </c>
      <c r="BH28" s="17">
        <f>IF(COUNTIFS(T_SelfStock_Log[Part Name],$A28,T_SelfStock_Log[WeekIndex],59)=0,"",SUMIFS(T_SelfStock_Log[Self_Qty],T_SelfStock_Log[Part Name],$A28,T_SelfStock_Log[WeekIndex],59))</f>
        <v/>
      </c>
      <c r="BI28" s="17">
        <f>IF(COUNTIFS(T_SelfStock_Log[Part Name],$A28,T_SelfStock_Log[WeekIndex],60)=0,"",SUMIFS(T_SelfStock_Log[Self_Qty],T_SelfStock_Log[Part Name],$A28,T_SelfStock_Log[WeekIndex],60))</f>
        <v/>
      </c>
      <c r="BJ28" s="17">
        <f>IF(COUNTIFS(T_SelfStock_Log[Part Name],$A28,T_SelfStock_Log[WeekIndex],61)=0,"",SUMIFS(T_SelfStock_Log[Self_Qty],T_SelfStock_Log[Part Name],$A28,T_SelfStock_Log[WeekIndex],61))</f>
        <v/>
      </c>
      <c r="BK28" s="17">
        <f>IF(COUNTIFS(T_SelfStock_Log[Part Name],$A28,T_SelfStock_Log[WeekIndex],62)=0,"",SUMIFS(T_SelfStock_Log[Self_Qty],T_SelfStock_Log[Part Name],$A28,T_SelfStock_Log[WeekIndex],62))</f>
        <v/>
      </c>
      <c r="BL28" s="17">
        <f>IF(COUNTIFS(T_SelfStock_Log[Part Name],$A28,T_SelfStock_Log[WeekIndex],63)=0,"",SUMIFS(T_SelfStock_Log[Self_Qty],T_SelfStock_Log[Part Name],$A28,T_SelfStock_Log[WeekIndex],63))</f>
        <v/>
      </c>
      <c r="BM28" s="17">
        <f>IF(COUNTIFS(T_SelfStock_Log[Part Name],$A28,T_SelfStock_Log[WeekIndex],64)=0,"",SUMIFS(T_SelfStock_Log[Self_Qty],T_SelfStock_Log[Part Name],$A28,T_SelfStock_Log[WeekIndex],64))</f>
        <v/>
      </c>
      <c r="BN28" s="17">
        <f>IF(COUNTIFS(T_SelfStock_Log[Part Name],$A28,T_SelfStock_Log[WeekIndex],65)=0,"",SUMIFS(T_SelfStock_Log[Self_Qty],T_SelfStock_Log[Part Name],$A28,T_SelfStock_Log[WeekIndex],65))</f>
        <v/>
      </c>
      <c r="BO28" s="17">
        <f>IF(COUNTIFS(T_SelfStock_Log[Part Name],$A28,T_SelfStock_Log[WeekIndex],66)=0,"",SUMIFS(T_SelfStock_Log[Self_Qty],T_SelfStock_Log[Part Name],$A28,T_SelfStock_Log[WeekIndex],66))</f>
        <v/>
      </c>
      <c r="BP28" s="17">
        <f>IF(COUNTIFS(T_SelfStock_Log[Part Name],$A28,T_SelfStock_Log[WeekIndex],67)=0,"",SUMIFS(T_SelfStock_Log[Self_Qty],T_SelfStock_Log[Part Name],$A28,T_SelfStock_Log[WeekIndex],67))</f>
        <v/>
      </c>
      <c r="BQ28" s="17">
        <f>IF(COUNTIFS(T_SelfStock_Log[Part Name],$A28,T_SelfStock_Log[WeekIndex],68)=0,"",SUMIFS(T_SelfStock_Log[Self_Qty],T_SelfStock_Log[Part Name],$A28,T_SelfStock_Log[WeekIndex],68))</f>
        <v/>
      </c>
      <c r="BR28" s="17">
        <f>IF(COUNTIFS(T_SelfStock_Log[Part Name],$A28,T_SelfStock_Log[WeekIndex],69)=0,"",SUMIFS(T_SelfStock_Log[Self_Qty],T_SelfStock_Log[Part Name],$A28,T_SelfStock_Log[WeekIndex],69))</f>
        <v/>
      </c>
      <c r="BS28" s="17">
        <f>IF(COUNTIFS(T_SelfStock_Log[Part Name],$A28,T_SelfStock_Log[WeekIndex],70)=0,"",SUMIFS(T_SelfStock_Log[Self_Qty],T_SelfStock_Log[Part Name],$A28,T_SelfStock_Log[WeekIndex],70))</f>
        <v/>
      </c>
      <c r="BT28" s="17">
        <f>IF(COUNTIFS(T_SelfStock_Log[Part Name],$A28,T_SelfStock_Log[WeekIndex],71)=0,"",SUMIFS(T_SelfStock_Log[Self_Qty],T_SelfStock_Log[Part Name],$A28,T_SelfStock_Log[WeekIndex],71))</f>
        <v/>
      </c>
      <c r="BU28" s="17">
        <f>IF(COUNTIFS(T_SelfStock_Log[Part Name],$A28,T_SelfStock_Log[WeekIndex],72)=0,"",SUMIFS(T_SelfStock_Log[Self_Qty],T_SelfStock_Log[Part Name],$A28,T_SelfStock_Log[WeekIndex],72))</f>
        <v/>
      </c>
      <c r="BV28" s="17">
        <f>IF(COUNTIFS(T_SelfStock_Log[Part Name],$A28,T_SelfStock_Log[WeekIndex],73)=0,"",SUMIFS(T_SelfStock_Log[Self_Qty],T_SelfStock_Log[Part Name],$A28,T_SelfStock_Log[WeekIndex],73))</f>
        <v/>
      </c>
      <c r="BW28" s="17">
        <f>IF(COUNTIFS(T_SelfStock_Log[Part Name],$A28,T_SelfStock_Log[WeekIndex],74)=0,"",SUMIFS(T_SelfStock_Log[Self_Qty],T_SelfStock_Log[Part Name],$A28,T_SelfStock_Log[WeekIndex],74))</f>
        <v/>
      </c>
      <c r="BX28" s="17">
        <f>IF(COUNTIFS(T_SelfStock_Log[Part Name],$A28,T_SelfStock_Log[WeekIndex],75)=0,"",SUMIFS(T_SelfStock_Log[Self_Qty],T_SelfStock_Log[Part Name],$A28,T_SelfStock_Log[WeekIndex],75))</f>
        <v/>
      </c>
      <c r="BY28" s="17">
        <f>IF(COUNTIFS(T_SelfStock_Log[Part Name],$A28,T_SelfStock_Log[WeekIndex],76)=0,"",SUMIFS(T_SelfStock_Log[Self_Qty],T_SelfStock_Log[Part Name],$A28,T_SelfStock_Log[WeekIndex],76))</f>
        <v/>
      </c>
      <c r="BZ28" s="17">
        <f>IF(COUNTIFS(T_SelfStock_Log[Part Name],$A28,T_SelfStock_Log[WeekIndex],77)=0,"",SUMIFS(T_SelfStock_Log[Self_Qty],T_SelfStock_Log[Part Name],$A28,T_SelfStock_Log[WeekIndex],77))</f>
        <v/>
      </c>
      <c r="CA28" s="17">
        <f>IF(COUNTIFS(T_SelfStock_Log[Part Name],$A28,T_SelfStock_Log[WeekIndex],78)=0,"",SUMIFS(T_SelfStock_Log[Self_Qty],T_SelfStock_Log[Part Name],$A28,T_SelfStock_Log[WeekIndex],78))</f>
        <v/>
      </c>
      <c r="CB28" s="17">
        <f>IF(COUNTIFS(T_SelfStock_Log[Part Name],$A28,T_SelfStock_Log[WeekIndex],79)=0,"",SUMIFS(T_SelfStock_Log[Self_Qty],T_SelfStock_Log[Part Name],$A28,T_SelfStock_Log[WeekIndex],79))</f>
        <v/>
      </c>
      <c r="CC28" s="17">
        <f>IF(COUNTIFS(T_SelfStock_Log[Part Name],$A28,T_SelfStock_Log[WeekIndex],80)=0,"",SUMIFS(T_SelfStock_Log[Self_Qty],T_SelfStock_Log[Part Name],$A28,T_SelfStock_Log[WeekIndex],80))</f>
        <v/>
      </c>
      <c r="CD28" s="17">
        <f>IF(COUNTIFS(T_SelfStock_Log[Part Name],$A28,T_SelfStock_Log[WeekIndex],81)=0,"",SUMIFS(T_SelfStock_Log[Self_Qty],T_SelfStock_Log[Part Name],$A28,T_SelfStock_Log[WeekIndex],81))</f>
        <v/>
      </c>
      <c r="CE28" s="17">
        <f>IF(COUNTIFS(T_SelfStock_Log[Part Name],$A28,T_SelfStock_Log[WeekIndex],82)=0,"",SUMIFS(T_SelfStock_Log[Self_Qty],T_SelfStock_Log[Part Name],$A28,T_SelfStock_Log[WeekIndex],82))</f>
        <v/>
      </c>
      <c r="CF28" s="17">
        <f>IF(COUNTIFS(T_SelfStock_Log[Part Name],$A28,T_SelfStock_Log[WeekIndex],83)=0,"",SUMIFS(T_SelfStock_Log[Self_Qty],T_SelfStock_Log[Part Name],$A28,T_SelfStock_Log[WeekIndex],83))</f>
        <v/>
      </c>
      <c r="CG28" s="17">
        <f>IF(COUNTIFS(T_SelfStock_Log[Part Name],$A28,T_SelfStock_Log[WeekIndex],84)=0,"",SUMIFS(T_SelfStock_Log[Self_Qty],T_SelfStock_Log[Part Name],$A28,T_SelfStock_Log[WeekIndex],84))</f>
        <v/>
      </c>
      <c r="CH28" s="17">
        <f>IF(COUNTIFS(T_SelfStock_Log[Part Name],$A28,T_SelfStock_Log[WeekIndex],85)=0,"",SUMIFS(T_SelfStock_Log[Self_Qty],T_SelfStock_Log[Part Name],$A28,T_SelfStock_Log[WeekIndex],85))</f>
        <v/>
      </c>
      <c r="CI28" s="17">
        <f>IF(COUNTIFS(T_SelfStock_Log[Part Name],$A28,T_SelfStock_Log[WeekIndex],86)=0,"",SUMIFS(T_SelfStock_Log[Self_Qty],T_SelfStock_Log[Part Name],$A28,T_SelfStock_Log[WeekIndex],86))</f>
        <v/>
      </c>
      <c r="CJ28" s="17">
        <f>IF(COUNTIFS(T_SelfStock_Log[Part Name],$A28,T_SelfStock_Log[WeekIndex],87)=0,"",SUMIFS(T_SelfStock_Log[Self_Qty],T_SelfStock_Log[Part Name],$A28,T_SelfStock_Log[WeekIndex],87))</f>
        <v/>
      </c>
      <c r="CK28" s="17">
        <f>IF(COUNTIFS(T_SelfStock_Log[Part Name],$A28,T_SelfStock_Log[WeekIndex],88)=0,"",SUMIFS(T_SelfStock_Log[Self_Qty],T_SelfStock_Log[Part Name],$A28,T_SelfStock_Log[WeekIndex],88))</f>
        <v/>
      </c>
      <c r="CL28" s="17">
        <f>IF(COUNTIFS(T_SelfStock_Log[Part Name],$A28,T_SelfStock_Log[WeekIndex],89)=0,"",SUMIFS(T_SelfStock_Log[Self_Qty],T_SelfStock_Log[Part Name],$A28,T_SelfStock_Log[WeekIndex],89))</f>
        <v/>
      </c>
      <c r="CM28" s="17">
        <f>IF(COUNTIFS(T_SelfStock_Log[Part Name],$A28,T_SelfStock_Log[WeekIndex],90)=0,"",SUMIFS(T_SelfStock_Log[Self_Qty],T_SelfStock_Log[Part Name],$A28,T_SelfStock_Log[WeekIndex],90))</f>
        <v/>
      </c>
      <c r="CN28" s="17">
        <f>IF(COUNTIFS(T_SelfStock_Log[Part Name],$A28,T_SelfStock_Log[WeekIndex],91)=0,"",SUMIFS(T_SelfStock_Log[Self_Qty],T_SelfStock_Log[Part Name],$A28,T_SelfStock_Log[WeekIndex],91))</f>
        <v/>
      </c>
      <c r="CO28" s="17">
        <f>IF(COUNTIFS(T_SelfStock_Log[Part Name],$A28,T_SelfStock_Log[WeekIndex],92)=0,"",SUMIFS(T_SelfStock_Log[Self_Qty],T_SelfStock_Log[Part Name],$A28,T_SelfStock_Log[WeekIndex],92))</f>
        <v/>
      </c>
      <c r="CP28" s="17">
        <f>IF(COUNTIFS(T_SelfStock_Log[Part Name],$A28,T_SelfStock_Log[WeekIndex],93)=0,"",SUMIFS(T_SelfStock_Log[Self_Qty],T_SelfStock_Log[Part Name],$A28,T_SelfStock_Log[WeekIndex],93))</f>
        <v/>
      </c>
      <c r="CQ28" s="17">
        <f>IF(COUNTIFS(T_SelfStock_Log[Part Name],$A28,T_SelfStock_Log[WeekIndex],94)=0,"",SUMIFS(T_SelfStock_Log[Self_Qty],T_SelfStock_Log[Part Name],$A28,T_SelfStock_Log[WeekIndex],94))</f>
        <v/>
      </c>
      <c r="CR28" s="17">
        <f>IF(COUNTIFS(T_SelfStock_Log[Part Name],$A28,T_SelfStock_Log[WeekIndex],95)=0,"",SUMIFS(T_SelfStock_Log[Self_Qty],T_SelfStock_Log[Part Name],$A28,T_SelfStock_Log[WeekIndex],95))</f>
        <v/>
      </c>
      <c r="CS28" s="17">
        <f>IF(COUNTIFS(T_SelfStock_Log[Part Name],$A28,T_SelfStock_Log[WeekIndex],96)=0,"",SUMIFS(T_SelfStock_Log[Self_Qty],T_SelfStock_Log[Part Name],$A28,T_SelfStock_Log[WeekIndex],96))</f>
        <v/>
      </c>
      <c r="CT28" s="17">
        <f>IF(COUNTIFS(T_SelfStock_Log[Part Name],$A28,T_SelfStock_Log[WeekIndex],97)=0,"",SUMIFS(T_SelfStock_Log[Self_Qty],T_SelfStock_Log[Part Name],$A28,T_SelfStock_Log[WeekIndex],97))</f>
        <v/>
      </c>
      <c r="CU28" s="17">
        <f>IF(COUNTIFS(T_SelfStock_Log[Part Name],$A28,T_SelfStock_Log[WeekIndex],98)=0,"",SUMIFS(T_SelfStock_Log[Self_Qty],T_SelfStock_Log[Part Name],$A28,T_SelfStock_Log[WeekIndex],98))</f>
        <v/>
      </c>
      <c r="CV28" s="17">
        <f>IF(COUNTIFS(T_SelfStock_Log[Part Name],$A28,T_SelfStock_Log[WeekIndex],99)=0,"",SUMIFS(T_SelfStock_Log[Self_Qty],T_SelfStock_Log[Part Name],$A28,T_SelfStock_Log[WeekIndex],99))</f>
        <v/>
      </c>
      <c r="CW28" s="17">
        <f>IF(COUNTIFS(T_SelfStock_Log[Part Name],$A28,T_SelfStock_Log[WeekIndex],100)=0,"",SUMIFS(T_SelfStock_Log[Self_Qty],T_SelfStock_Log[Part Name],$A28,T_SelfStock_Log[WeekIndex],100))</f>
        <v/>
      </c>
      <c r="CX28" s="17">
        <f>IF(COUNTIFS(T_SelfStock_Log[Part Name],$A28,T_SelfStock_Log[WeekIndex],101)=0,"",SUMIFS(T_SelfStock_Log[Self_Qty],T_SelfStock_Log[Part Name],$A28,T_SelfStock_Log[WeekIndex],101))</f>
        <v/>
      </c>
      <c r="CY28" s="17">
        <f>IF(COUNTIFS(T_SelfStock_Log[Part Name],$A28,T_SelfStock_Log[WeekIndex],102)=0,"",SUMIFS(T_SelfStock_Log[Self_Qty],T_SelfStock_Log[Part Name],$A28,T_SelfStock_Log[WeekIndex],102))</f>
        <v/>
      </c>
      <c r="CZ28" s="17">
        <f>IF(COUNTIFS(T_SelfStock_Log[Part Name],$A28,T_SelfStock_Log[WeekIndex],103)=0,"",SUMIFS(T_SelfStock_Log[Self_Qty],T_SelfStock_Log[Part Name],$A28,T_SelfStock_Log[WeekIndex],103))</f>
        <v/>
      </c>
      <c r="DA28" s="17">
        <f>IF(COUNTIFS(T_SelfStock_Log[Part Name],$A28,T_SelfStock_Log[WeekIndex],104)=0,"",SUMIFS(T_SelfStock_Log[Self_Qty],T_SelfStock_Log[Part Name],$A28,T_SelfStock_Log[WeekIndex],104))</f>
        <v/>
      </c>
    </row>
    <row r="29">
      <c r="A29" s="19" t="inlineStr">
        <is>
          <t>CHEM-1510</t>
        </is>
      </c>
      <c r="B29" s="19">
        <f>IF(COUNTIFS(T_SelfStock_Log[Part Name],$A29,T_SelfStock_Log[WeekIndex],1)=0,"",SUMIFS(T_SelfStock_Log[Self_Qty],T_SelfStock_Log[Part Name],$A29,T_SelfStock_Log[WeekIndex],1))</f>
        <v/>
      </c>
      <c r="C29" s="19">
        <f>IF(COUNTIFS(T_SelfStock_Log[Part Name],$A29,T_SelfStock_Log[WeekIndex],2)=0,"",SUMIFS(T_SelfStock_Log[Self_Qty],T_SelfStock_Log[Part Name],$A29,T_SelfStock_Log[WeekIndex],2))</f>
        <v/>
      </c>
      <c r="D29" s="19">
        <f>IF(COUNTIFS(T_SelfStock_Log[Part Name],$A29,T_SelfStock_Log[WeekIndex],3)=0,"",SUMIFS(T_SelfStock_Log[Self_Qty],T_SelfStock_Log[Part Name],$A29,T_SelfStock_Log[WeekIndex],3))</f>
        <v/>
      </c>
      <c r="E29" s="19">
        <f>IF(COUNTIFS(T_SelfStock_Log[Part Name],$A29,T_SelfStock_Log[WeekIndex],4)=0,"",SUMIFS(T_SelfStock_Log[Self_Qty],T_SelfStock_Log[Part Name],$A29,T_SelfStock_Log[WeekIndex],4))</f>
        <v/>
      </c>
      <c r="F29" s="19">
        <f>IF(COUNTIFS(T_SelfStock_Log[Part Name],$A29,T_SelfStock_Log[WeekIndex],5)=0,"",SUMIFS(T_SelfStock_Log[Self_Qty],T_SelfStock_Log[Part Name],$A29,T_SelfStock_Log[WeekIndex],5))</f>
        <v/>
      </c>
      <c r="G29" s="19">
        <f>IF(COUNTIFS(T_SelfStock_Log[Part Name],$A29,T_SelfStock_Log[WeekIndex],6)=0,"",SUMIFS(T_SelfStock_Log[Self_Qty],T_SelfStock_Log[Part Name],$A29,T_SelfStock_Log[WeekIndex],6))</f>
        <v/>
      </c>
      <c r="H29" s="19">
        <f>IF(COUNTIFS(T_SelfStock_Log[Part Name],$A29,T_SelfStock_Log[WeekIndex],7)=0,"",SUMIFS(T_SelfStock_Log[Self_Qty],T_SelfStock_Log[Part Name],$A29,T_SelfStock_Log[WeekIndex],7))</f>
        <v/>
      </c>
      <c r="I29" s="19">
        <f>IF(COUNTIFS(T_SelfStock_Log[Part Name],$A29,T_SelfStock_Log[WeekIndex],8)=0,"",SUMIFS(T_SelfStock_Log[Self_Qty],T_SelfStock_Log[Part Name],$A29,T_SelfStock_Log[WeekIndex],8))</f>
        <v/>
      </c>
      <c r="J29" s="19">
        <f>IF(COUNTIFS(T_SelfStock_Log[Part Name],$A29,T_SelfStock_Log[WeekIndex],9)=0,"",SUMIFS(T_SelfStock_Log[Self_Qty],T_SelfStock_Log[Part Name],$A29,T_SelfStock_Log[WeekIndex],9))</f>
        <v/>
      </c>
      <c r="K29" s="19">
        <f>IF(COUNTIFS(T_SelfStock_Log[Part Name],$A29,T_SelfStock_Log[WeekIndex],10)=0,"",SUMIFS(T_SelfStock_Log[Self_Qty],T_SelfStock_Log[Part Name],$A29,T_SelfStock_Log[WeekIndex],10))</f>
        <v/>
      </c>
      <c r="L29" s="19">
        <f>IF(COUNTIFS(T_SelfStock_Log[Part Name],$A29,T_SelfStock_Log[WeekIndex],11)=0,"",SUMIFS(T_SelfStock_Log[Self_Qty],T_SelfStock_Log[Part Name],$A29,T_SelfStock_Log[WeekIndex],11))</f>
        <v/>
      </c>
      <c r="M29" s="19">
        <f>IF(COUNTIFS(T_SelfStock_Log[Part Name],$A29,T_SelfStock_Log[WeekIndex],12)=0,"",SUMIFS(T_SelfStock_Log[Self_Qty],T_SelfStock_Log[Part Name],$A29,T_SelfStock_Log[WeekIndex],12))</f>
        <v/>
      </c>
      <c r="N29" s="19">
        <f>IF(COUNTIFS(T_SelfStock_Log[Part Name],$A29,T_SelfStock_Log[WeekIndex],13)=0,"",SUMIFS(T_SelfStock_Log[Self_Qty],T_SelfStock_Log[Part Name],$A29,T_SelfStock_Log[WeekIndex],13))</f>
        <v/>
      </c>
      <c r="O29" s="19">
        <f>IF(COUNTIFS(T_SelfStock_Log[Part Name],$A29,T_SelfStock_Log[WeekIndex],14)=0,"",SUMIFS(T_SelfStock_Log[Self_Qty],T_SelfStock_Log[Part Name],$A29,T_SelfStock_Log[WeekIndex],14))</f>
        <v/>
      </c>
      <c r="P29" s="19">
        <f>IF(COUNTIFS(T_SelfStock_Log[Part Name],$A29,T_SelfStock_Log[WeekIndex],15)=0,"",SUMIFS(T_SelfStock_Log[Self_Qty],T_SelfStock_Log[Part Name],$A29,T_SelfStock_Log[WeekIndex],15))</f>
        <v/>
      </c>
      <c r="Q29" s="19">
        <f>IF(COUNTIFS(T_SelfStock_Log[Part Name],$A29,T_SelfStock_Log[WeekIndex],16)=0,"",SUMIFS(T_SelfStock_Log[Self_Qty],T_SelfStock_Log[Part Name],$A29,T_SelfStock_Log[WeekIndex],16))</f>
        <v/>
      </c>
      <c r="R29" s="19">
        <f>IF(COUNTIFS(T_SelfStock_Log[Part Name],$A29,T_SelfStock_Log[WeekIndex],17)=0,"",SUMIFS(T_SelfStock_Log[Self_Qty],T_SelfStock_Log[Part Name],$A29,T_SelfStock_Log[WeekIndex],17))</f>
        <v/>
      </c>
      <c r="S29" s="19">
        <f>IF(COUNTIFS(T_SelfStock_Log[Part Name],$A29,T_SelfStock_Log[WeekIndex],18)=0,"",SUMIFS(T_SelfStock_Log[Self_Qty],T_SelfStock_Log[Part Name],$A29,T_SelfStock_Log[WeekIndex],18))</f>
        <v/>
      </c>
      <c r="T29" s="19">
        <f>IF(COUNTIFS(T_SelfStock_Log[Part Name],$A29,T_SelfStock_Log[WeekIndex],19)=0,"",SUMIFS(T_SelfStock_Log[Self_Qty],T_SelfStock_Log[Part Name],$A29,T_SelfStock_Log[WeekIndex],19))</f>
        <v/>
      </c>
      <c r="U29" s="19">
        <f>IF(COUNTIFS(T_SelfStock_Log[Part Name],$A29,T_SelfStock_Log[WeekIndex],20)=0,"",SUMIFS(T_SelfStock_Log[Self_Qty],T_SelfStock_Log[Part Name],$A29,T_SelfStock_Log[WeekIndex],20))</f>
        <v/>
      </c>
      <c r="V29" s="19">
        <f>IF(COUNTIFS(T_SelfStock_Log[Part Name],$A29,T_SelfStock_Log[WeekIndex],21)=0,"",SUMIFS(T_SelfStock_Log[Self_Qty],T_SelfStock_Log[Part Name],$A29,T_SelfStock_Log[WeekIndex],21))</f>
        <v/>
      </c>
      <c r="W29" s="19">
        <f>IF(COUNTIFS(T_SelfStock_Log[Part Name],$A29,T_SelfStock_Log[WeekIndex],22)=0,"",SUMIFS(T_SelfStock_Log[Self_Qty],T_SelfStock_Log[Part Name],$A29,T_SelfStock_Log[WeekIndex],22))</f>
        <v/>
      </c>
      <c r="X29" s="19">
        <f>IF(COUNTIFS(T_SelfStock_Log[Part Name],$A29,T_SelfStock_Log[WeekIndex],23)=0,"",SUMIFS(T_SelfStock_Log[Self_Qty],T_SelfStock_Log[Part Name],$A29,T_SelfStock_Log[WeekIndex],23))</f>
        <v/>
      </c>
      <c r="Y29" s="19">
        <f>IF(COUNTIFS(T_SelfStock_Log[Part Name],$A29,T_SelfStock_Log[WeekIndex],24)=0,"",SUMIFS(T_SelfStock_Log[Self_Qty],T_SelfStock_Log[Part Name],$A29,T_SelfStock_Log[WeekIndex],24))</f>
        <v/>
      </c>
      <c r="Z29" s="19">
        <f>IF(COUNTIFS(T_SelfStock_Log[Part Name],$A29,T_SelfStock_Log[WeekIndex],25)=0,"",SUMIFS(T_SelfStock_Log[Self_Qty],T_SelfStock_Log[Part Name],$A29,T_SelfStock_Log[WeekIndex],25))</f>
        <v/>
      </c>
      <c r="AA29" s="19">
        <f>IF(COUNTIFS(T_SelfStock_Log[Part Name],$A29,T_SelfStock_Log[WeekIndex],26)=0,"",SUMIFS(T_SelfStock_Log[Self_Qty],T_SelfStock_Log[Part Name],$A29,T_SelfStock_Log[WeekIndex],26))</f>
        <v/>
      </c>
      <c r="AB29" s="19">
        <f>IF(COUNTIFS(T_SelfStock_Log[Part Name],$A29,T_SelfStock_Log[WeekIndex],27)=0,"",SUMIFS(T_SelfStock_Log[Self_Qty],T_SelfStock_Log[Part Name],$A29,T_SelfStock_Log[WeekIndex],27))</f>
        <v/>
      </c>
      <c r="AC29" s="19">
        <f>IF(COUNTIFS(T_SelfStock_Log[Part Name],$A29,T_SelfStock_Log[WeekIndex],28)=0,"",SUMIFS(T_SelfStock_Log[Self_Qty],T_SelfStock_Log[Part Name],$A29,T_SelfStock_Log[WeekIndex],28))</f>
        <v/>
      </c>
      <c r="AD29" s="19">
        <f>IF(COUNTIFS(T_SelfStock_Log[Part Name],$A29,T_SelfStock_Log[WeekIndex],29)=0,"",SUMIFS(T_SelfStock_Log[Self_Qty],T_SelfStock_Log[Part Name],$A29,T_SelfStock_Log[WeekIndex],29))</f>
        <v/>
      </c>
      <c r="AE29" s="19">
        <f>IF(COUNTIFS(T_SelfStock_Log[Part Name],$A29,T_SelfStock_Log[WeekIndex],30)=0,"",SUMIFS(T_SelfStock_Log[Self_Qty],T_SelfStock_Log[Part Name],$A29,T_SelfStock_Log[WeekIndex],30))</f>
        <v/>
      </c>
      <c r="AF29" s="19">
        <f>IF(COUNTIFS(T_SelfStock_Log[Part Name],$A29,T_SelfStock_Log[WeekIndex],31)=0,"",SUMIFS(T_SelfStock_Log[Self_Qty],T_SelfStock_Log[Part Name],$A29,T_SelfStock_Log[WeekIndex],31))</f>
        <v/>
      </c>
      <c r="AG29" s="19">
        <f>IF(COUNTIFS(T_SelfStock_Log[Part Name],$A29,T_SelfStock_Log[WeekIndex],32)=0,"",SUMIFS(T_SelfStock_Log[Self_Qty],T_SelfStock_Log[Part Name],$A29,T_SelfStock_Log[WeekIndex],32))</f>
        <v/>
      </c>
      <c r="AH29" s="19">
        <f>IF(COUNTIFS(T_SelfStock_Log[Part Name],$A29,T_SelfStock_Log[WeekIndex],33)=0,"",SUMIFS(T_SelfStock_Log[Self_Qty],T_SelfStock_Log[Part Name],$A29,T_SelfStock_Log[WeekIndex],33))</f>
        <v/>
      </c>
      <c r="AI29" s="19">
        <f>IF(COUNTIFS(T_SelfStock_Log[Part Name],$A29,T_SelfStock_Log[WeekIndex],34)=0,"",SUMIFS(T_SelfStock_Log[Self_Qty],T_SelfStock_Log[Part Name],$A29,T_SelfStock_Log[WeekIndex],34))</f>
        <v/>
      </c>
      <c r="AJ29" s="19">
        <f>IF(COUNTIFS(T_SelfStock_Log[Part Name],$A29,T_SelfStock_Log[WeekIndex],35)=0,"",SUMIFS(T_SelfStock_Log[Self_Qty],T_SelfStock_Log[Part Name],$A29,T_SelfStock_Log[WeekIndex],35))</f>
        <v/>
      </c>
      <c r="AK29" s="19">
        <f>IF(COUNTIFS(T_SelfStock_Log[Part Name],$A29,T_SelfStock_Log[WeekIndex],36)=0,"",SUMIFS(T_SelfStock_Log[Self_Qty],T_SelfStock_Log[Part Name],$A29,T_SelfStock_Log[WeekIndex],36))</f>
        <v/>
      </c>
      <c r="AL29" s="19">
        <f>IF(COUNTIFS(T_SelfStock_Log[Part Name],$A29,T_SelfStock_Log[WeekIndex],37)=0,"",SUMIFS(T_SelfStock_Log[Self_Qty],T_SelfStock_Log[Part Name],$A29,T_SelfStock_Log[WeekIndex],37))</f>
        <v/>
      </c>
      <c r="AM29" s="19">
        <f>IF(COUNTIFS(T_SelfStock_Log[Part Name],$A29,T_SelfStock_Log[WeekIndex],38)=0,"",SUMIFS(T_SelfStock_Log[Self_Qty],T_SelfStock_Log[Part Name],$A29,T_SelfStock_Log[WeekIndex],38))</f>
        <v/>
      </c>
      <c r="AN29" s="19">
        <f>IF(COUNTIFS(T_SelfStock_Log[Part Name],$A29,T_SelfStock_Log[WeekIndex],39)=0,"",SUMIFS(T_SelfStock_Log[Self_Qty],T_SelfStock_Log[Part Name],$A29,T_SelfStock_Log[WeekIndex],39))</f>
        <v/>
      </c>
      <c r="AO29" s="19">
        <f>IF(COUNTIFS(T_SelfStock_Log[Part Name],$A29,T_SelfStock_Log[WeekIndex],40)=0,"",SUMIFS(T_SelfStock_Log[Self_Qty],T_SelfStock_Log[Part Name],$A29,T_SelfStock_Log[WeekIndex],40))</f>
        <v/>
      </c>
      <c r="AP29" s="19">
        <f>IF(COUNTIFS(T_SelfStock_Log[Part Name],$A29,T_SelfStock_Log[WeekIndex],41)=0,"",SUMIFS(T_SelfStock_Log[Self_Qty],T_SelfStock_Log[Part Name],$A29,T_SelfStock_Log[WeekIndex],41))</f>
        <v/>
      </c>
      <c r="AQ29" s="19">
        <f>IF(COUNTIFS(T_SelfStock_Log[Part Name],$A29,T_SelfStock_Log[WeekIndex],42)=0,"",SUMIFS(T_SelfStock_Log[Self_Qty],T_SelfStock_Log[Part Name],$A29,T_SelfStock_Log[WeekIndex],42))</f>
        <v/>
      </c>
      <c r="AR29" s="19">
        <f>IF(COUNTIFS(T_SelfStock_Log[Part Name],$A29,T_SelfStock_Log[WeekIndex],43)=0,"",SUMIFS(T_SelfStock_Log[Self_Qty],T_SelfStock_Log[Part Name],$A29,T_SelfStock_Log[WeekIndex],43))</f>
        <v/>
      </c>
      <c r="AS29" s="19">
        <f>IF(COUNTIFS(T_SelfStock_Log[Part Name],$A29,T_SelfStock_Log[WeekIndex],44)=0,"",SUMIFS(T_SelfStock_Log[Self_Qty],T_SelfStock_Log[Part Name],$A29,T_SelfStock_Log[WeekIndex],44))</f>
        <v/>
      </c>
      <c r="AT29" s="19">
        <f>IF(COUNTIFS(T_SelfStock_Log[Part Name],$A29,T_SelfStock_Log[WeekIndex],45)=0,"",SUMIFS(T_SelfStock_Log[Self_Qty],T_SelfStock_Log[Part Name],$A29,T_SelfStock_Log[WeekIndex],45))</f>
        <v/>
      </c>
      <c r="AU29" s="19">
        <f>IF(COUNTIFS(T_SelfStock_Log[Part Name],$A29,T_SelfStock_Log[WeekIndex],46)=0,"",SUMIFS(T_SelfStock_Log[Self_Qty],T_SelfStock_Log[Part Name],$A29,T_SelfStock_Log[WeekIndex],46))</f>
        <v/>
      </c>
      <c r="AV29" s="19">
        <f>IF(COUNTIFS(T_SelfStock_Log[Part Name],$A29,T_SelfStock_Log[WeekIndex],47)=0,"",SUMIFS(T_SelfStock_Log[Self_Qty],T_SelfStock_Log[Part Name],$A29,T_SelfStock_Log[WeekIndex],47))</f>
        <v/>
      </c>
      <c r="AW29" s="19">
        <f>IF(COUNTIFS(T_SelfStock_Log[Part Name],$A29,T_SelfStock_Log[WeekIndex],48)=0,"",SUMIFS(T_SelfStock_Log[Self_Qty],T_SelfStock_Log[Part Name],$A29,T_SelfStock_Log[WeekIndex],48))</f>
        <v/>
      </c>
      <c r="AX29" s="19">
        <f>IF(COUNTIFS(T_SelfStock_Log[Part Name],$A29,T_SelfStock_Log[WeekIndex],49)=0,"",SUMIFS(T_SelfStock_Log[Self_Qty],T_SelfStock_Log[Part Name],$A29,T_SelfStock_Log[WeekIndex],49))</f>
        <v/>
      </c>
      <c r="AY29" s="19">
        <f>IF(COUNTIFS(T_SelfStock_Log[Part Name],$A29,T_SelfStock_Log[WeekIndex],50)=0,"",SUMIFS(T_SelfStock_Log[Self_Qty],T_SelfStock_Log[Part Name],$A29,T_SelfStock_Log[WeekIndex],50))</f>
        <v/>
      </c>
      <c r="AZ29" s="19">
        <f>IF(COUNTIFS(T_SelfStock_Log[Part Name],$A29,T_SelfStock_Log[WeekIndex],51)=0,"",SUMIFS(T_SelfStock_Log[Self_Qty],T_SelfStock_Log[Part Name],$A29,T_SelfStock_Log[WeekIndex],51))</f>
        <v/>
      </c>
      <c r="BA29" s="19">
        <f>IF(COUNTIFS(T_SelfStock_Log[Part Name],$A29,T_SelfStock_Log[WeekIndex],52)=0,"",SUMIFS(T_SelfStock_Log[Self_Qty],T_SelfStock_Log[Part Name],$A29,T_SelfStock_Log[WeekIndex],52))</f>
        <v/>
      </c>
      <c r="BB29" s="19">
        <f>IF(COUNTIFS(T_SelfStock_Log[Part Name],$A29,T_SelfStock_Log[WeekIndex],53)=0,"",SUMIFS(T_SelfStock_Log[Self_Qty],T_SelfStock_Log[Part Name],$A29,T_SelfStock_Log[WeekIndex],53))</f>
        <v/>
      </c>
      <c r="BC29" s="19">
        <f>IF(COUNTIFS(T_SelfStock_Log[Part Name],$A29,T_SelfStock_Log[WeekIndex],54)=0,"",SUMIFS(T_SelfStock_Log[Self_Qty],T_SelfStock_Log[Part Name],$A29,T_SelfStock_Log[WeekIndex],54))</f>
        <v/>
      </c>
      <c r="BD29" s="19">
        <f>IF(COUNTIFS(T_SelfStock_Log[Part Name],$A29,T_SelfStock_Log[WeekIndex],55)=0,"",SUMIFS(T_SelfStock_Log[Self_Qty],T_SelfStock_Log[Part Name],$A29,T_SelfStock_Log[WeekIndex],55))</f>
        <v/>
      </c>
      <c r="BE29" s="19">
        <f>IF(COUNTIFS(T_SelfStock_Log[Part Name],$A29,T_SelfStock_Log[WeekIndex],56)=0,"",SUMIFS(T_SelfStock_Log[Self_Qty],T_SelfStock_Log[Part Name],$A29,T_SelfStock_Log[WeekIndex],56))</f>
        <v/>
      </c>
      <c r="BF29" s="19">
        <f>IF(COUNTIFS(T_SelfStock_Log[Part Name],$A29,T_SelfStock_Log[WeekIndex],57)=0,"",SUMIFS(T_SelfStock_Log[Self_Qty],T_SelfStock_Log[Part Name],$A29,T_SelfStock_Log[WeekIndex],57))</f>
        <v/>
      </c>
      <c r="BG29" s="19">
        <f>IF(COUNTIFS(T_SelfStock_Log[Part Name],$A29,T_SelfStock_Log[WeekIndex],58)=0,"",SUMIFS(T_SelfStock_Log[Self_Qty],T_SelfStock_Log[Part Name],$A29,T_SelfStock_Log[WeekIndex],58))</f>
        <v/>
      </c>
      <c r="BH29" s="19">
        <f>IF(COUNTIFS(T_SelfStock_Log[Part Name],$A29,T_SelfStock_Log[WeekIndex],59)=0,"",SUMIFS(T_SelfStock_Log[Self_Qty],T_SelfStock_Log[Part Name],$A29,T_SelfStock_Log[WeekIndex],59))</f>
        <v/>
      </c>
      <c r="BI29" s="19">
        <f>IF(COUNTIFS(T_SelfStock_Log[Part Name],$A29,T_SelfStock_Log[WeekIndex],60)=0,"",SUMIFS(T_SelfStock_Log[Self_Qty],T_SelfStock_Log[Part Name],$A29,T_SelfStock_Log[WeekIndex],60))</f>
        <v/>
      </c>
      <c r="BJ29" s="19">
        <f>IF(COUNTIFS(T_SelfStock_Log[Part Name],$A29,T_SelfStock_Log[WeekIndex],61)=0,"",SUMIFS(T_SelfStock_Log[Self_Qty],T_SelfStock_Log[Part Name],$A29,T_SelfStock_Log[WeekIndex],61))</f>
        <v/>
      </c>
      <c r="BK29" s="19">
        <f>IF(COUNTIFS(T_SelfStock_Log[Part Name],$A29,T_SelfStock_Log[WeekIndex],62)=0,"",SUMIFS(T_SelfStock_Log[Self_Qty],T_SelfStock_Log[Part Name],$A29,T_SelfStock_Log[WeekIndex],62))</f>
        <v/>
      </c>
      <c r="BL29" s="19">
        <f>IF(COUNTIFS(T_SelfStock_Log[Part Name],$A29,T_SelfStock_Log[WeekIndex],63)=0,"",SUMIFS(T_SelfStock_Log[Self_Qty],T_SelfStock_Log[Part Name],$A29,T_SelfStock_Log[WeekIndex],63))</f>
        <v/>
      </c>
      <c r="BM29" s="19">
        <f>IF(COUNTIFS(T_SelfStock_Log[Part Name],$A29,T_SelfStock_Log[WeekIndex],64)=0,"",SUMIFS(T_SelfStock_Log[Self_Qty],T_SelfStock_Log[Part Name],$A29,T_SelfStock_Log[WeekIndex],64))</f>
        <v/>
      </c>
      <c r="BN29" s="19">
        <f>IF(COUNTIFS(T_SelfStock_Log[Part Name],$A29,T_SelfStock_Log[WeekIndex],65)=0,"",SUMIFS(T_SelfStock_Log[Self_Qty],T_SelfStock_Log[Part Name],$A29,T_SelfStock_Log[WeekIndex],65))</f>
        <v/>
      </c>
      <c r="BO29" s="19">
        <f>IF(COUNTIFS(T_SelfStock_Log[Part Name],$A29,T_SelfStock_Log[WeekIndex],66)=0,"",SUMIFS(T_SelfStock_Log[Self_Qty],T_SelfStock_Log[Part Name],$A29,T_SelfStock_Log[WeekIndex],66))</f>
        <v/>
      </c>
      <c r="BP29" s="19">
        <f>IF(COUNTIFS(T_SelfStock_Log[Part Name],$A29,T_SelfStock_Log[WeekIndex],67)=0,"",SUMIFS(T_SelfStock_Log[Self_Qty],T_SelfStock_Log[Part Name],$A29,T_SelfStock_Log[WeekIndex],67))</f>
        <v/>
      </c>
      <c r="BQ29" s="19">
        <f>IF(COUNTIFS(T_SelfStock_Log[Part Name],$A29,T_SelfStock_Log[WeekIndex],68)=0,"",SUMIFS(T_SelfStock_Log[Self_Qty],T_SelfStock_Log[Part Name],$A29,T_SelfStock_Log[WeekIndex],68))</f>
        <v/>
      </c>
      <c r="BR29" s="19">
        <f>IF(COUNTIFS(T_SelfStock_Log[Part Name],$A29,T_SelfStock_Log[WeekIndex],69)=0,"",SUMIFS(T_SelfStock_Log[Self_Qty],T_SelfStock_Log[Part Name],$A29,T_SelfStock_Log[WeekIndex],69))</f>
        <v/>
      </c>
      <c r="BS29" s="19">
        <f>IF(COUNTIFS(T_SelfStock_Log[Part Name],$A29,T_SelfStock_Log[WeekIndex],70)=0,"",SUMIFS(T_SelfStock_Log[Self_Qty],T_SelfStock_Log[Part Name],$A29,T_SelfStock_Log[WeekIndex],70))</f>
        <v/>
      </c>
      <c r="BT29" s="19">
        <f>IF(COUNTIFS(T_SelfStock_Log[Part Name],$A29,T_SelfStock_Log[WeekIndex],71)=0,"",SUMIFS(T_SelfStock_Log[Self_Qty],T_SelfStock_Log[Part Name],$A29,T_SelfStock_Log[WeekIndex],71))</f>
        <v/>
      </c>
      <c r="BU29" s="19">
        <f>IF(COUNTIFS(T_SelfStock_Log[Part Name],$A29,T_SelfStock_Log[WeekIndex],72)=0,"",SUMIFS(T_SelfStock_Log[Self_Qty],T_SelfStock_Log[Part Name],$A29,T_SelfStock_Log[WeekIndex],72))</f>
        <v/>
      </c>
      <c r="BV29" s="19">
        <f>IF(COUNTIFS(T_SelfStock_Log[Part Name],$A29,T_SelfStock_Log[WeekIndex],73)=0,"",SUMIFS(T_SelfStock_Log[Self_Qty],T_SelfStock_Log[Part Name],$A29,T_SelfStock_Log[WeekIndex],73))</f>
        <v/>
      </c>
      <c r="BW29" s="19">
        <f>IF(COUNTIFS(T_SelfStock_Log[Part Name],$A29,T_SelfStock_Log[WeekIndex],74)=0,"",SUMIFS(T_SelfStock_Log[Self_Qty],T_SelfStock_Log[Part Name],$A29,T_SelfStock_Log[WeekIndex],74))</f>
        <v/>
      </c>
      <c r="BX29" s="19">
        <f>IF(COUNTIFS(T_SelfStock_Log[Part Name],$A29,T_SelfStock_Log[WeekIndex],75)=0,"",SUMIFS(T_SelfStock_Log[Self_Qty],T_SelfStock_Log[Part Name],$A29,T_SelfStock_Log[WeekIndex],75))</f>
        <v/>
      </c>
      <c r="BY29" s="19">
        <f>IF(COUNTIFS(T_SelfStock_Log[Part Name],$A29,T_SelfStock_Log[WeekIndex],76)=0,"",SUMIFS(T_SelfStock_Log[Self_Qty],T_SelfStock_Log[Part Name],$A29,T_SelfStock_Log[WeekIndex],76))</f>
        <v/>
      </c>
      <c r="BZ29" s="19">
        <f>IF(COUNTIFS(T_SelfStock_Log[Part Name],$A29,T_SelfStock_Log[WeekIndex],77)=0,"",SUMIFS(T_SelfStock_Log[Self_Qty],T_SelfStock_Log[Part Name],$A29,T_SelfStock_Log[WeekIndex],77))</f>
        <v/>
      </c>
      <c r="CA29" s="19">
        <f>IF(COUNTIFS(T_SelfStock_Log[Part Name],$A29,T_SelfStock_Log[WeekIndex],78)=0,"",SUMIFS(T_SelfStock_Log[Self_Qty],T_SelfStock_Log[Part Name],$A29,T_SelfStock_Log[WeekIndex],78))</f>
        <v/>
      </c>
      <c r="CB29" s="19">
        <f>IF(COUNTIFS(T_SelfStock_Log[Part Name],$A29,T_SelfStock_Log[WeekIndex],79)=0,"",SUMIFS(T_SelfStock_Log[Self_Qty],T_SelfStock_Log[Part Name],$A29,T_SelfStock_Log[WeekIndex],79))</f>
        <v/>
      </c>
      <c r="CC29" s="19">
        <f>IF(COUNTIFS(T_SelfStock_Log[Part Name],$A29,T_SelfStock_Log[WeekIndex],80)=0,"",SUMIFS(T_SelfStock_Log[Self_Qty],T_SelfStock_Log[Part Name],$A29,T_SelfStock_Log[WeekIndex],80))</f>
        <v/>
      </c>
      <c r="CD29" s="19">
        <f>IF(COUNTIFS(T_SelfStock_Log[Part Name],$A29,T_SelfStock_Log[WeekIndex],81)=0,"",SUMIFS(T_SelfStock_Log[Self_Qty],T_SelfStock_Log[Part Name],$A29,T_SelfStock_Log[WeekIndex],81))</f>
        <v/>
      </c>
      <c r="CE29" s="19">
        <f>IF(COUNTIFS(T_SelfStock_Log[Part Name],$A29,T_SelfStock_Log[WeekIndex],82)=0,"",SUMIFS(T_SelfStock_Log[Self_Qty],T_SelfStock_Log[Part Name],$A29,T_SelfStock_Log[WeekIndex],82))</f>
        <v/>
      </c>
      <c r="CF29" s="19">
        <f>IF(COUNTIFS(T_SelfStock_Log[Part Name],$A29,T_SelfStock_Log[WeekIndex],83)=0,"",SUMIFS(T_SelfStock_Log[Self_Qty],T_SelfStock_Log[Part Name],$A29,T_SelfStock_Log[WeekIndex],83))</f>
        <v/>
      </c>
      <c r="CG29" s="19">
        <f>IF(COUNTIFS(T_SelfStock_Log[Part Name],$A29,T_SelfStock_Log[WeekIndex],84)=0,"",SUMIFS(T_SelfStock_Log[Self_Qty],T_SelfStock_Log[Part Name],$A29,T_SelfStock_Log[WeekIndex],84))</f>
        <v/>
      </c>
      <c r="CH29" s="19">
        <f>IF(COUNTIFS(T_SelfStock_Log[Part Name],$A29,T_SelfStock_Log[WeekIndex],85)=0,"",SUMIFS(T_SelfStock_Log[Self_Qty],T_SelfStock_Log[Part Name],$A29,T_SelfStock_Log[WeekIndex],85))</f>
        <v/>
      </c>
      <c r="CI29" s="19">
        <f>IF(COUNTIFS(T_SelfStock_Log[Part Name],$A29,T_SelfStock_Log[WeekIndex],86)=0,"",SUMIFS(T_SelfStock_Log[Self_Qty],T_SelfStock_Log[Part Name],$A29,T_SelfStock_Log[WeekIndex],86))</f>
        <v/>
      </c>
      <c r="CJ29" s="19">
        <f>IF(COUNTIFS(T_SelfStock_Log[Part Name],$A29,T_SelfStock_Log[WeekIndex],87)=0,"",SUMIFS(T_SelfStock_Log[Self_Qty],T_SelfStock_Log[Part Name],$A29,T_SelfStock_Log[WeekIndex],87))</f>
        <v/>
      </c>
      <c r="CK29" s="19">
        <f>IF(COUNTIFS(T_SelfStock_Log[Part Name],$A29,T_SelfStock_Log[WeekIndex],88)=0,"",SUMIFS(T_SelfStock_Log[Self_Qty],T_SelfStock_Log[Part Name],$A29,T_SelfStock_Log[WeekIndex],88))</f>
        <v/>
      </c>
      <c r="CL29" s="19">
        <f>IF(COUNTIFS(T_SelfStock_Log[Part Name],$A29,T_SelfStock_Log[WeekIndex],89)=0,"",SUMIFS(T_SelfStock_Log[Self_Qty],T_SelfStock_Log[Part Name],$A29,T_SelfStock_Log[WeekIndex],89))</f>
        <v/>
      </c>
      <c r="CM29" s="19">
        <f>IF(COUNTIFS(T_SelfStock_Log[Part Name],$A29,T_SelfStock_Log[WeekIndex],90)=0,"",SUMIFS(T_SelfStock_Log[Self_Qty],T_SelfStock_Log[Part Name],$A29,T_SelfStock_Log[WeekIndex],90))</f>
        <v/>
      </c>
      <c r="CN29" s="19">
        <f>IF(COUNTIFS(T_SelfStock_Log[Part Name],$A29,T_SelfStock_Log[WeekIndex],91)=0,"",SUMIFS(T_SelfStock_Log[Self_Qty],T_SelfStock_Log[Part Name],$A29,T_SelfStock_Log[WeekIndex],91))</f>
        <v/>
      </c>
      <c r="CO29" s="19">
        <f>IF(COUNTIFS(T_SelfStock_Log[Part Name],$A29,T_SelfStock_Log[WeekIndex],92)=0,"",SUMIFS(T_SelfStock_Log[Self_Qty],T_SelfStock_Log[Part Name],$A29,T_SelfStock_Log[WeekIndex],92))</f>
        <v/>
      </c>
      <c r="CP29" s="19">
        <f>IF(COUNTIFS(T_SelfStock_Log[Part Name],$A29,T_SelfStock_Log[WeekIndex],93)=0,"",SUMIFS(T_SelfStock_Log[Self_Qty],T_SelfStock_Log[Part Name],$A29,T_SelfStock_Log[WeekIndex],93))</f>
        <v/>
      </c>
      <c r="CQ29" s="19">
        <f>IF(COUNTIFS(T_SelfStock_Log[Part Name],$A29,T_SelfStock_Log[WeekIndex],94)=0,"",SUMIFS(T_SelfStock_Log[Self_Qty],T_SelfStock_Log[Part Name],$A29,T_SelfStock_Log[WeekIndex],94))</f>
        <v/>
      </c>
      <c r="CR29" s="19">
        <f>IF(COUNTIFS(T_SelfStock_Log[Part Name],$A29,T_SelfStock_Log[WeekIndex],95)=0,"",SUMIFS(T_SelfStock_Log[Self_Qty],T_SelfStock_Log[Part Name],$A29,T_SelfStock_Log[WeekIndex],95))</f>
        <v/>
      </c>
      <c r="CS29" s="19">
        <f>IF(COUNTIFS(T_SelfStock_Log[Part Name],$A29,T_SelfStock_Log[WeekIndex],96)=0,"",SUMIFS(T_SelfStock_Log[Self_Qty],T_SelfStock_Log[Part Name],$A29,T_SelfStock_Log[WeekIndex],96))</f>
        <v/>
      </c>
      <c r="CT29" s="19">
        <f>IF(COUNTIFS(T_SelfStock_Log[Part Name],$A29,T_SelfStock_Log[WeekIndex],97)=0,"",SUMIFS(T_SelfStock_Log[Self_Qty],T_SelfStock_Log[Part Name],$A29,T_SelfStock_Log[WeekIndex],97))</f>
        <v/>
      </c>
      <c r="CU29" s="19">
        <f>IF(COUNTIFS(T_SelfStock_Log[Part Name],$A29,T_SelfStock_Log[WeekIndex],98)=0,"",SUMIFS(T_SelfStock_Log[Self_Qty],T_SelfStock_Log[Part Name],$A29,T_SelfStock_Log[WeekIndex],98))</f>
        <v/>
      </c>
      <c r="CV29" s="19">
        <f>IF(COUNTIFS(T_SelfStock_Log[Part Name],$A29,T_SelfStock_Log[WeekIndex],99)=0,"",SUMIFS(T_SelfStock_Log[Self_Qty],T_SelfStock_Log[Part Name],$A29,T_SelfStock_Log[WeekIndex],99))</f>
        <v/>
      </c>
      <c r="CW29" s="19">
        <f>IF(COUNTIFS(T_SelfStock_Log[Part Name],$A29,T_SelfStock_Log[WeekIndex],100)=0,"",SUMIFS(T_SelfStock_Log[Self_Qty],T_SelfStock_Log[Part Name],$A29,T_SelfStock_Log[WeekIndex],100))</f>
        <v/>
      </c>
      <c r="CX29" s="19">
        <f>IF(COUNTIFS(T_SelfStock_Log[Part Name],$A29,T_SelfStock_Log[WeekIndex],101)=0,"",SUMIFS(T_SelfStock_Log[Self_Qty],T_SelfStock_Log[Part Name],$A29,T_SelfStock_Log[WeekIndex],101))</f>
        <v/>
      </c>
      <c r="CY29" s="19">
        <f>IF(COUNTIFS(T_SelfStock_Log[Part Name],$A29,T_SelfStock_Log[WeekIndex],102)=0,"",SUMIFS(T_SelfStock_Log[Self_Qty],T_SelfStock_Log[Part Name],$A29,T_SelfStock_Log[WeekIndex],102))</f>
        <v/>
      </c>
      <c r="CZ29" s="19">
        <f>IF(COUNTIFS(T_SelfStock_Log[Part Name],$A29,T_SelfStock_Log[WeekIndex],103)=0,"",SUMIFS(T_SelfStock_Log[Self_Qty],T_SelfStock_Log[Part Name],$A29,T_SelfStock_Log[WeekIndex],103))</f>
        <v/>
      </c>
      <c r="DA29" s="19">
        <f>IF(COUNTIFS(T_SelfStock_Log[Part Name],$A29,T_SelfStock_Log[WeekIndex],104)=0,"",SUMIFS(T_SelfStock_Log[Self_Qty],T_SelfStock_Log[Part Name],$A29,T_SelfStock_Log[WeekIndex],104))</f>
        <v/>
      </c>
    </row>
    <row r="30">
      <c r="A30" s="17" t="inlineStr">
        <is>
          <t>CHEM-1580</t>
        </is>
      </c>
      <c r="B30" s="17">
        <f>IF(COUNTIFS(T_SelfStock_Log[Part Name],$A30,T_SelfStock_Log[WeekIndex],1)=0,"",SUMIFS(T_SelfStock_Log[Self_Qty],T_SelfStock_Log[Part Name],$A30,T_SelfStock_Log[WeekIndex],1))</f>
        <v/>
      </c>
      <c r="C30" s="17">
        <f>IF(COUNTIFS(T_SelfStock_Log[Part Name],$A30,T_SelfStock_Log[WeekIndex],2)=0,"",SUMIFS(T_SelfStock_Log[Self_Qty],T_SelfStock_Log[Part Name],$A30,T_SelfStock_Log[WeekIndex],2))</f>
        <v/>
      </c>
      <c r="D30" s="17">
        <f>IF(COUNTIFS(T_SelfStock_Log[Part Name],$A30,T_SelfStock_Log[WeekIndex],3)=0,"",SUMIFS(T_SelfStock_Log[Self_Qty],T_SelfStock_Log[Part Name],$A30,T_SelfStock_Log[WeekIndex],3))</f>
        <v/>
      </c>
      <c r="E30" s="17">
        <f>IF(COUNTIFS(T_SelfStock_Log[Part Name],$A30,T_SelfStock_Log[WeekIndex],4)=0,"",SUMIFS(T_SelfStock_Log[Self_Qty],T_SelfStock_Log[Part Name],$A30,T_SelfStock_Log[WeekIndex],4))</f>
        <v/>
      </c>
      <c r="F30" s="17">
        <f>IF(COUNTIFS(T_SelfStock_Log[Part Name],$A30,T_SelfStock_Log[WeekIndex],5)=0,"",SUMIFS(T_SelfStock_Log[Self_Qty],T_SelfStock_Log[Part Name],$A30,T_SelfStock_Log[WeekIndex],5))</f>
        <v/>
      </c>
      <c r="G30" s="17">
        <f>IF(COUNTIFS(T_SelfStock_Log[Part Name],$A30,T_SelfStock_Log[WeekIndex],6)=0,"",SUMIFS(T_SelfStock_Log[Self_Qty],T_SelfStock_Log[Part Name],$A30,T_SelfStock_Log[WeekIndex],6))</f>
        <v/>
      </c>
      <c r="H30" s="17">
        <f>IF(COUNTIFS(T_SelfStock_Log[Part Name],$A30,T_SelfStock_Log[WeekIndex],7)=0,"",SUMIFS(T_SelfStock_Log[Self_Qty],T_SelfStock_Log[Part Name],$A30,T_SelfStock_Log[WeekIndex],7))</f>
        <v/>
      </c>
      <c r="I30" s="17">
        <f>IF(COUNTIFS(T_SelfStock_Log[Part Name],$A30,T_SelfStock_Log[WeekIndex],8)=0,"",SUMIFS(T_SelfStock_Log[Self_Qty],T_SelfStock_Log[Part Name],$A30,T_SelfStock_Log[WeekIndex],8))</f>
        <v/>
      </c>
      <c r="J30" s="17">
        <f>IF(COUNTIFS(T_SelfStock_Log[Part Name],$A30,T_SelfStock_Log[WeekIndex],9)=0,"",SUMIFS(T_SelfStock_Log[Self_Qty],T_SelfStock_Log[Part Name],$A30,T_SelfStock_Log[WeekIndex],9))</f>
        <v/>
      </c>
      <c r="K30" s="17">
        <f>IF(COUNTIFS(T_SelfStock_Log[Part Name],$A30,T_SelfStock_Log[WeekIndex],10)=0,"",SUMIFS(T_SelfStock_Log[Self_Qty],T_SelfStock_Log[Part Name],$A30,T_SelfStock_Log[WeekIndex],10))</f>
        <v/>
      </c>
      <c r="L30" s="17">
        <f>IF(COUNTIFS(T_SelfStock_Log[Part Name],$A30,T_SelfStock_Log[WeekIndex],11)=0,"",SUMIFS(T_SelfStock_Log[Self_Qty],T_SelfStock_Log[Part Name],$A30,T_SelfStock_Log[WeekIndex],11))</f>
        <v/>
      </c>
      <c r="M30" s="17">
        <f>IF(COUNTIFS(T_SelfStock_Log[Part Name],$A30,T_SelfStock_Log[WeekIndex],12)=0,"",SUMIFS(T_SelfStock_Log[Self_Qty],T_SelfStock_Log[Part Name],$A30,T_SelfStock_Log[WeekIndex],12))</f>
        <v/>
      </c>
      <c r="N30" s="17">
        <f>IF(COUNTIFS(T_SelfStock_Log[Part Name],$A30,T_SelfStock_Log[WeekIndex],13)=0,"",SUMIFS(T_SelfStock_Log[Self_Qty],T_SelfStock_Log[Part Name],$A30,T_SelfStock_Log[WeekIndex],13))</f>
        <v/>
      </c>
      <c r="O30" s="17">
        <f>IF(COUNTIFS(T_SelfStock_Log[Part Name],$A30,T_SelfStock_Log[WeekIndex],14)=0,"",SUMIFS(T_SelfStock_Log[Self_Qty],T_SelfStock_Log[Part Name],$A30,T_SelfStock_Log[WeekIndex],14))</f>
        <v/>
      </c>
      <c r="P30" s="17">
        <f>IF(COUNTIFS(T_SelfStock_Log[Part Name],$A30,T_SelfStock_Log[WeekIndex],15)=0,"",SUMIFS(T_SelfStock_Log[Self_Qty],T_SelfStock_Log[Part Name],$A30,T_SelfStock_Log[WeekIndex],15))</f>
        <v/>
      </c>
      <c r="Q30" s="17">
        <f>IF(COUNTIFS(T_SelfStock_Log[Part Name],$A30,T_SelfStock_Log[WeekIndex],16)=0,"",SUMIFS(T_SelfStock_Log[Self_Qty],T_SelfStock_Log[Part Name],$A30,T_SelfStock_Log[WeekIndex],16))</f>
        <v/>
      </c>
      <c r="R30" s="17">
        <f>IF(COUNTIFS(T_SelfStock_Log[Part Name],$A30,T_SelfStock_Log[WeekIndex],17)=0,"",SUMIFS(T_SelfStock_Log[Self_Qty],T_SelfStock_Log[Part Name],$A30,T_SelfStock_Log[WeekIndex],17))</f>
        <v/>
      </c>
      <c r="S30" s="17">
        <f>IF(COUNTIFS(T_SelfStock_Log[Part Name],$A30,T_SelfStock_Log[WeekIndex],18)=0,"",SUMIFS(T_SelfStock_Log[Self_Qty],T_SelfStock_Log[Part Name],$A30,T_SelfStock_Log[WeekIndex],18))</f>
        <v/>
      </c>
      <c r="T30" s="17">
        <f>IF(COUNTIFS(T_SelfStock_Log[Part Name],$A30,T_SelfStock_Log[WeekIndex],19)=0,"",SUMIFS(T_SelfStock_Log[Self_Qty],T_SelfStock_Log[Part Name],$A30,T_SelfStock_Log[WeekIndex],19))</f>
        <v/>
      </c>
      <c r="U30" s="17">
        <f>IF(COUNTIFS(T_SelfStock_Log[Part Name],$A30,T_SelfStock_Log[WeekIndex],20)=0,"",SUMIFS(T_SelfStock_Log[Self_Qty],T_SelfStock_Log[Part Name],$A30,T_SelfStock_Log[WeekIndex],20))</f>
        <v/>
      </c>
      <c r="V30" s="17">
        <f>IF(COUNTIFS(T_SelfStock_Log[Part Name],$A30,T_SelfStock_Log[WeekIndex],21)=0,"",SUMIFS(T_SelfStock_Log[Self_Qty],T_SelfStock_Log[Part Name],$A30,T_SelfStock_Log[WeekIndex],21))</f>
        <v/>
      </c>
      <c r="W30" s="17">
        <f>IF(COUNTIFS(T_SelfStock_Log[Part Name],$A30,T_SelfStock_Log[WeekIndex],22)=0,"",SUMIFS(T_SelfStock_Log[Self_Qty],T_SelfStock_Log[Part Name],$A30,T_SelfStock_Log[WeekIndex],22))</f>
        <v/>
      </c>
      <c r="X30" s="17">
        <f>IF(COUNTIFS(T_SelfStock_Log[Part Name],$A30,T_SelfStock_Log[WeekIndex],23)=0,"",SUMIFS(T_SelfStock_Log[Self_Qty],T_SelfStock_Log[Part Name],$A30,T_SelfStock_Log[WeekIndex],23))</f>
        <v/>
      </c>
      <c r="Y30" s="17">
        <f>IF(COUNTIFS(T_SelfStock_Log[Part Name],$A30,T_SelfStock_Log[WeekIndex],24)=0,"",SUMIFS(T_SelfStock_Log[Self_Qty],T_SelfStock_Log[Part Name],$A30,T_SelfStock_Log[WeekIndex],24))</f>
        <v/>
      </c>
      <c r="Z30" s="17">
        <f>IF(COUNTIFS(T_SelfStock_Log[Part Name],$A30,T_SelfStock_Log[WeekIndex],25)=0,"",SUMIFS(T_SelfStock_Log[Self_Qty],T_SelfStock_Log[Part Name],$A30,T_SelfStock_Log[WeekIndex],25))</f>
        <v/>
      </c>
      <c r="AA30" s="17">
        <f>IF(COUNTIFS(T_SelfStock_Log[Part Name],$A30,T_SelfStock_Log[WeekIndex],26)=0,"",SUMIFS(T_SelfStock_Log[Self_Qty],T_SelfStock_Log[Part Name],$A30,T_SelfStock_Log[WeekIndex],26))</f>
        <v/>
      </c>
      <c r="AB30" s="17">
        <f>IF(COUNTIFS(T_SelfStock_Log[Part Name],$A30,T_SelfStock_Log[WeekIndex],27)=0,"",SUMIFS(T_SelfStock_Log[Self_Qty],T_SelfStock_Log[Part Name],$A30,T_SelfStock_Log[WeekIndex],27))</f>
        <v/>
      </c>
      <c r="AC30" s="17">
        <f>IF(COUNTIFS(T_SelfStock_Log[Part Name],$A30,T_SelfStock_Log[WeekIndex],28)=0,"",SUMIFS(T_SelfStock_Log[Self_Qty],T_SelfStock_Log[Part Name],$A30,T_SelfStock_Log[WeekIndex],28))</f>
        <v/>
      </c>
      <c r="AD30" s="17">
        <f>IF(COUNTIFS(T_SelfStock_Log[Part Name],$A30,T_SelfStock_Log[WeekIndex],29)=0,"",SUMIFS(T_SelfStock_Log[Self_Qty],T_SelfStock_Log[Part Name],$A30,T_SelfStock_Log[WeekIndex],29))</f>
        <v/>
      </c>
      <c r="AE30" s="17">
        <f>IF(COUNTIFS(T_SelfStock_Log[Part Name],$A30,T_SelfStock_Log[WeekIndex],30)=0,"",SUMIFS(T_SelfStock_Log[Self_Qty],T_SelfStock_Log[Part Name],$A30,T_SelfStock_Log[WeekIndex],30))</f>
        <v/>
      </c>
      <c r="AF30" s="17">
        <f>IF(COUNTIFS(T_SelfStock_Log[Part Name],$A30,T_SelfStock_Log[WeekIndex],31)=0,"",SUMIFS(T_SelfStock_Log[Self_Qty],T_SelfStock_Log[Part Name],$A30,T_SelfStock_Log[WeekIndex],31))</f>
        <v/>
      </c>
      <c r="AG30" s="17">
        <f>IF(COUNTIFS(T_SelfStock_Log[Part Name],$A30,T_SelfStock_Log[WeekIndex],32)=0,"",SUMIFS(T_SelfStock_Log[Self_Qty],T_SelfStock_Log[Part Name],$A30,T_SelfStock_Log[WeekIndex],32))</f>
        <v/>
      </c>
      <c r="AH30" s="17">
        <f>IF(COUNTIFS(T_SelfStock_Log[Part Name],$A30,T_SelfStock_Log[WeekIndex],33)=0,"",SUMIFS(T_SelfStock_Log[Self_Qty],T_SelfStock_Log[Part Name],$A30,T_SelfStock_Log[WeekIndex],33))</f>
        <v/>
      </c>
      <c r="AI30" s="17">
        <f>IF(COUNTIFS(T_SelfStock_Log[Part Name],$A30,T_SelfStock_Log[WeekIndex],34)=0,"",SUMIFS(T_SelfStock_Log[Self_Qty],T_SelfStock_Log[Part Name],$A30,T_SelfStock_Log[WeekIndex],34))</f>
        <v/>
      </c>
      <c r="AJ30" s="17">
        <f>IF(COUNTIFS(T_SelfStock_Log[Part Name],$A30,T_SelfStock_Log[WeekIndex],35)=0,"",SUMIFS(T_SelfStock_Log[Self_Qty],T_SelfStock_Log[Part Name],$A30,T_SelfStock_Log[WeekIndex],35))</f>
        <v/>
      </c>
      <c r="AK30" s="17">
        <f>IF(COUNTIFS(T_SelfStock_Log[Part Name],$A30,T_SelfStock_Log[WeekIndex],36)=0,"",SUMIFS(T_SelfStock_Log[Self_Qty],T_SelfStock_Log[Part Name],$A30,T_SelfStock_Log[WeekIndex],36))</f>
        <v/>
      </c>
      <c r="AL30" s="17">
        <f>IF(COUNTIFS(T_SelfStock_Log[Part Name],$A30,T_SelfStock_Log[WeekIndex],37)=0,"",SUMIFS(T_SelfStock_Log[Self_Qty],T_SelfStock_Log[Part Name],$A30,T_SelfStock_Log[WeekIndex],37))</f>
        <v/>
      </c>
      <c r="AM30" s="17">
        <f>IF(COUNTIFS(T_SelfStock_Log[Part Name],$A30,T_SelfStock_Log[WeekIndex],38)=0,"",SUMIFS(T_SelfStock_Log[Self_Qty],T_SelfStock_Log[Part Name],$A30,T_SelfStock_Log[WeekIndex],38))</f>
        <v/>
      </c>
      <c r="AN30" s="17">
        <f>IF(COUNTIFS(T_SelfStock_Log[Part Name],$A30,T_SelfStock_Log[WeekIndex],39)=0,"",SUMIFS(T_SelfStock_Log[Self_Qty],T_SelfStock_Log[Part Name],$A30,T_SelfStock_Log[WeekIndex],39))</f>
        <v/>
      </c>
      <c r="AO30" s="17">
        <f>IF(COUNTIFS(T_SelfStock_Log[Part Name],$A30,T_SelfStock_Log[WeekIndex],40)=0,"",SUMIFS(T_SelfStock_Log[Self_Qty],T_SelfStock_Log[Part Name],$A30,T_SelfStock_Log[WeekIndex],40))</f>
        <v/>
      </c>
      <c r="AP30" s="17">
        <f>IF(COUNTIFS(T_SelfStock_Log[Part Name],$A30,T_SelfStock_Log[WeekIndex],41)=0,"",SUMIFS(T_SelfStock_Log[Self_Qty],T_SelfStock_Log[Part Name],$A30,T_SelfStock_Log[WeekIndex],41))</f>
        <v/>
      </c>
      <c r="AQ30" s="17">
        <f>IF(COUNTIFS(T_SelfStock_Log[Part Name],$A30,T_SelfStock_Log[WeekIndex],42)=0,"",SUMIFS(T_SelfStock_Log[Self_Qty],T_SelfStock_Log[Part Name],$A30,T_SelfStock_Log[WeekIndex],42))</f>
        <v/>
      </c>
      <c r="AR30" s="17">
        <f>IF(COUNTIFS(T_SelfStock_Log[Part Name],$A30,T_SelfStock_Log[WeekIndex],43)=0,"",SUMIFS(T_SelfStock_Log[Self_Qty],T_SelfStock_Log[Part Name],$A30,T_SelfStock_Log[WeekIndex],43))</f>
        <v/>
      </c>
      <c r="AS30" s="17">
        <f>IF(COUNTIFS(T_SelfStock_Log[Part Name],$A30,T_SelfStock_Log[WeekIndex],44)=0,"",SUMIFS(T_SelfStock_Log[Self_Qty],T_SelfStock_Log[Part Name],$A30,T_SelfStock_Log[WeekIndex],44))</f>
        <v/>
      </c>
      <c r="AT30" s="17">
        <f>IF(COUNTIFS(T_SelfStock_Log[Part Name],$A30,T_SelfStock_Log[WeekIndex],45)=0,"",SUMIFS(T_SelfStock_Log[Self_Qty],T_SelfStock_Log[Part Name],$A30,T_SelfStock_Log[WeekIndex],45))</f>
        <v/>
      </c>
      <c r="AU30" s="17">
        <f>IF(COUNTIFS(T_SelfStock_Log[Part Name],$A30,T_SelfStock_Log[WeekIndex],46)=0,"",SUMIFS(T_SelfStock_Log[Self_Qty],T_SelfStock_Log[Part Name],$A30,T_SelfStock_Log[WeekIndex],46))</f>
        <v/>
      </c>
      <c r="AV30" s="17">
        <f>IF(COUNTIFS(T_SelfStock_Log[Part Name],$A30,T_SelfStock_Log[WeekIndex],47)=0,"",SUMIFS(T_SelfStock_Log[Self_Qty],T_SelfStock_Log[Part Name],$A30,T_SelfStock_Log[WeekIndex],47))</f>
        <v/>
      </c>
      <c r="AW30" s="17">
        <f>IF(COUNTIFS(T_SelfStock_Log[Part Name],$A30,T_SelfStock_Log[WeekIndex],48)=0,"",SUMIFS(T_SelfStock_Log[Self_Qty],T_SelfStock_Log[Part Name],$A30,T_SelfStock_Log[WeekIndex],48))</f>
        <v/>
      </c>
      <c r="AX30" s="17">
        <f>IF(COUNTIFS(T_SelfStock_Log[Part Name],$A30,T_SelfStock_Log[WeekIndex],49)=0,"",SUMIFS(T_SelfStock_Log[Self_Qty],T_SelfStock_Log[Part Name],$A30,T_SelfStock_Log[WeekIndex],49))</f>
        <v/>
      </c>
      <c r="AY30" s="17">
        <f>IF(COUNTIFS(T_SelfStock_Log[Part Name],$A30,T_SelfStock_Log[WeekIndex],50)=0,"",SUMIFS(T_SelfStock_Log[Self_Qty],T_SelfStock_Log[Part Name],$A30,T_SelfStock_Log[WeekIndex],50))</f>
        <v/>
      </c>
      <c r="AZ30" s="17">
        <f>IF(COUNTIFS(T_SelfStock_Log[Part Name],$A30,T_SelfStock_Log[WeekIndex],51)=0,"",SUMIFS(T_SelfStock_Log[Self_Qty],T_SelfStock_Log[Part Name],$A30,T_SelfStock_Log[WeekIndex],51))</f>
        <v/>
      </c>
      <c r="BA30" s="17">
        <f>IF(COUNTIFS(T_SelfStock_Log[Part Name],$A30,T_SelfStock_Log[WeekIndex],52)=0,"",SUMIFS(T_SelfStock_Log[Self_Qty],T_SelfStock_Log[Part Name],$A30,T_SelfStock_Log[WeekIndex],52))</f>
        <v/>
      </c>
      <c r="BB30" s="17">
        <f>IF(COUNTIFS(T_SelfStock_Log[Part Name],$A30,T_SelfStock_Log[WeekIndex],53)=0,"",SUMIFS(T_SelfStock_Log[Self_Qty],T_SelfStock_Log[Part Name],$A30,T_SelfStock_Log[WeekIndex],53))</f>
        <v/>
      </c>
      <c r="BC30" s="17">
        <f>IF(COUNTIFS(T_SelfStock_Log[Part Name],$A30,T_SelfStock_Log[WeekIndex],54)=0,"",SUMIFS(T_SelfStock_Log[Self_Qty],T_SelfStock_Log[Part Name],$A30,T_SelfStock_Log[WeekIndex],54))</f>
        <v/>
      </c>
      <c r="BD30" s="17">
        <f>IF(COUNTIFS(T_SelfStock_Log[Part Name],$A30,T_SelfStock_Log[WeekIndex],55)=0,"",SUMIFS(T_SelfStock_Log[Self_Qty],T_SelfStock_Log[Part Name],$A30,T_SelfStock_Log[WeekIndex],55))</f>
        <v/>
      </c>
      <c r="BE30" s="17">
        <f>IF(COUNTIFS(T_SelfStock_Log[Part Name],$A30,T_SelfStock_Log[WeekIndex],56)=0,"",SUMIFS(T_SelfStock_Log[Self_Qty],T_SelfStock_Log[Part Name],$A30,T_SelfStock_Log[WeekIndex],56))</f>
        <v/>
      </c>
      <c r="BF30" s="17">
        <f>IF(COUNTIFS(T_SelfStock_Log[Part Name],$A30,T_SelfStock_Log[WeekIndex],57)=0,"",SUMIFS(T_SelfStock_Log[Self_Qty],T_SelfStock_Log[Part Name],$A30,T_SelfStock_Log[WeekIndex],57))</f>
        <v/>
      </c>
      <c r="BG30" s="17">
        <f>IF(COUNTIFS(T_SelfStock_Log[Part Name],$A30,T_SelfStock_Log[WeekIndex],58)=0,"",SUMIFS(T_SelfStock_Log[Self_Qty],T_SelfStock_Log[Part Name],$A30,T_SelfStock_Log[WeekIndex],58))</f>
        <v/>
      </c>
      <c r="BH30" s="17">
        <f>IF(COUNTIFS(T_SelfStock_Log[Part Name],$A30,T_SelfStock_Log[WeekIndex],59)=0,"",SUMIFS(T_SelfStock_Log[Self_Qty],T_SelfStock_Log[Part Name],$A30,T_SelfStock_Log[WeekIndex],59))</f>
        <v/>
      </c>
      <c r="BI30" s="17">
        <f>IF(COUNTIFS(T_SelfStock_Log[Part Name],$A30,T_SelfStock_Log[WeekIndex],60)=0,"",SUMIFS(T_SelfStock_Log[Self_Qty],T_SelfStock_Log[Part Name],$A30,T_SelfStock_Log[WeekIndex],60))</f>
        <v/>
      </c>
      <c r="BJ30" s="17">
        <f>IF(COUNTIFS(T_SelfStock_Log[Part Name],$A30,T_SelfStock_Log[WeekIndex],61)=0,"",SUMIFS(T_SelfStock_Log[Self_Qty],T_SelfStock_Log[Part Name],$A30,T_SelfStock_Log[WeekIndex],61))</f>
        <v/>
      </c>
      <c r="BK30" s="17">
        <f>IF(COUNTIFS(T_SelfStock_Log[Part Name],$A30,T_SelfStock_Log[WeekIndex],62)=0,"",SUMIFS(T_SelfStock_Log[Self_Qty],T_SelfStock_Log[Part Name],$A30,T_SelfStock_Log[WeekIndex],62))</f>
        <v/>
      </c>
      <c r="BL30" s="17">
        <f>IF(COUNTIFS(T_SelfStock_Log[Part Name],$A30,T_SelfStock_Log[WeekIndex],63)=0,"",SUMIFS(T_SelfStock_Log[Self_Qty],T_SelfStock_Log[Part Name],$A30,T_SelfStock_Log[WeekIndex],63))</f>
        <v/>
      </c>
      <c r="BM30" s="17">
        <f>IF(COUNTIFS(T_SelfStock_Log[Part Name],$A30,T_SelfStock_Log[WeekIndex],64)=0,"",SUMIFS(T_SelfStock_Log[Self_Qty],T_SelfStock_Log[Part Name],$A30,T_SelfStock_Log[WeekIndex],64))</f>
        <v/>
      </c>
      <c r="BN30" s="17">
        <f>IF(COUNTIFS(T_SelfStock_Log[Part Name],$A30,T_SelfStock_Log[WeekIndex],65)=0,"",SUMIFS(T_SelfStock_Log[Self_Qty],T_SelfStock_Log[Part Name],$A30,T_SelfStock_Log[WeekIndex],65))</f>
        <v/>
      </c>
      <c r="BO30" s="17">
        <f>IF(COUNTIFS(T_SelfStock_Log[Part Name],$A30,T_SelfStock_Log[WeekIndex],66)=0,"",SUMIFS(T_SelfStock_Log[Self_Qty],T_SelfStock_Log[Part Name],$A30,T_SelfStock_Log[WeekIndex],66))</f>
        <v/>
      </c>
      <c r="BP30" s="17">
        <f>IF(COUNTIFS(T_SelfStock_Log[Part Name],$A30,T_SelfStock_Log[WeekIndex],67)=0,"",SUMIFS(T_SelfStock_Log[Self_Qty],T_SelfStock_Log[Part Name],$A30,T_SelfStock_Log[WeekIndex],67))</f>
        <v/>
      </c>
      <c r="BQ30" s="17">
        <f>IF(COUNTIFS(T_SelfStock_Log[Part Name],$A30,T_SelfStock_Log[WeekIndex],68)=0,"",SUMIFS(T_SelfStock_Log[Self_Qty],T_SelfStock_Log[Part Name],$A30,T_SelfStock_Log[WeekIndex],68))</f>
        <v/>
      </c>
      <c r="BR30" s="17">
        <f>IF(COUNTIFS(T_SelfStock_Log[Part Name],$A30,T_SelfStock_Log[WeekIndex],69)=0,"",SUMIFS(T_SelfStock_Log[Self_Qty],T_SelfStock_Log[Part Name],$A30,T_SelfStock_Log[WeekIndex],69))</f>
        <v/>
      </c>
      <c r="BS30" s="17">
        <f>IF(COUNTIFS(T_SelfStock_Log[Part Name],$A30,T_SelfStock_Log[WeekIndex],70)=0,"",SUMIFS(T_SelfStock_Log[Self_Qty],T_SelfStock_Log[Part Name],$A30,T_SelfStock_Log[WeekIndex],70))</f>
        <v/>
      </c>
      <c r="BT30" s="17">
        <f>IF(COUNTIFS(T_SelfStock_Log[Part Name],$A30,T_SelfStock_Log[WeekIndex],71)=0,"",SUMIFS(T_SelfStock_Log[Self_Qty],T_SelfStock_Log[Part Name],$A30,T_SelfStock_Log[WeekIndex],71))</f>
        <v/>
      </c>
      <c r="BU30" s="17">
        <f>IF(COUNTIFS(T_SelfStock_Log[Part Name],$A30,T_SelfStock_Log[WeekIndex],72)=0,"",SUMIFS(T_SelfStock_Log[Self_Qty],T_SelfStock_Log[Part Name],$A30,T_SelfStock_Log[WeekIndex],72))</f>
        <v/>
      </c>
      <c r="BV30" s="17">
        <f>IF(COUNTIFS(T_SelfStock_Log[Part Name],$A30,T_SelfStock_Log[WeekIndex],73)=0,"",SUMIFS(T_SelfStock_Log[Self_Qty],T_SelfStock_Log[Part Name],$A30,T_SelfStock_Log[WeekIndex],73))</f>
        <v/>
      </c>
      <c r="BW30" s="17">
        <f>IF(COUNTIFS(T_SelfStock_Log[Part Name],$A30,T_SelfStock_Log[WeekIndex],74)=0,"",SUMIFS(T_SelfStock_Log[Self_Qty],T_SelfStock_Log[Part Name],$A30,T_SelfStock_Log[WeekIndex],74))</f>
        <v/>
      </c>
      <c r="BX30" s="17">
        <f>IF(COUNTIFS(T_SelfStock_Log[Part Name],$A30,T_SelfStock_Log[WeekIndex],75)=0,"",SUMIFS(T_SelfStock_Log[Self_Qty],T_SelfStock_Log[Part Name],$A30,T_SelfStock_Log[WeekIndex],75))</f>
        <v/>
      </c>
      <c r="BY30" s="17">
        <f>IF(COUNTIFS(T_SelfStock_Log[Part Name],$A30,T_SelfStock_Log[WeekIndex],76)=0,"",SUMIFS(T_SelfStock_Log[Self_Qty],T_SelfStock_Log[Part Name],$A30,T_SelfStock_Log[WeekIndex],76))</f>
        <v/>
      </c>
      <c r="BZ30" s="17">
        <f>IF(COUNTIFS(T_SelfStock_Log[Part Name],$A30,T_SelfStock_Log[WeekIndex],77)=0,"",SUMIFS(T_SelfStock_Log[Self_Qty],T_SelfStock_Log[Part Name],$A30,T_SelfStock_Log[WeekIndex],77))</f>
        <v/>
      </c>
      <c r="CA30" s="17">
        <f>IF(COUNTIFS(T_SelfStock_Log[Part Name],$A30,T_SelfStock_Log[WeekIndex],78)=0,"",SUMIFS(T_SelfStock_Log[Self_Qty],T_SelfStock_Log[Part Name],$A30,T_SelfStock_Log[WeekIndex],78))</f>
        <v/>
      </c>
      <c r="CB30" s="17">
        <f>IF(COUNTIFS(T_SelfStock_Log[Part Name],$A30,T_SelfStock_Log[WeekIndex],79)=0,"",SUMIFS(T_SelfStock_Log[Self_Qty],T_SelfStock_Log[Part Name],$A30,T_SelfStock_Log[WeekIndex],79))</f>
        <v/>
      </c>
      <c r="CC30" s="17">
        <f>IF(COUNTIFS(T_SelfStock_Log[Part Name],$A30,T_SelfStock_Log[WeekIndex],80)=0,"",SUMIFS(T_SelfStock_Log[Self_Qty],T_SelfStock_Log[Part Name],$A30,T_SelfStock_Log[WeekIndex],80))</f>
        <v/>
      </c>
      <c r="CD30" s="17">
        <f>IF(COUNTIFS(T_SelfStock_Log[Part Name],$A30,T_SelfStock_Log[WeekIndex],81)=0,"",SUMIFS(T_SelfStock_Log[Self_Qty],T_SelfStock_Log[Part Name],$A30,T_SelfStock_Log[WeekIndex],81))</f>
        <v/>
      </c>
      <c r="CE30" s="17">
        <f>IF(COUNTIFS(T_SelfStock_Log[Part Name],$A30,T_SelfStock_Log[WeekIndex],82)=0,"",SUMIFS(T_SelfStock_Log[Self_Qty],T_SelfStock_Log[Part Name],$A30,T_SelfStock_Log[WeekIndex],82))</f>
        <v/>
      </c>
      <c r="CF30" s="17">
        <f>IF(COUNTIFS(T_SelfStock_Log[Part Name],$A30,T_SelfStock_Log[WeekIndex],83)=0,"",SUMIFS(T_SelfStock_Log[Self_Qty],T_SelfStock_Log[Part Name],$A30,T_SelfStock_Log[WeekIndex],83))</f>
        <v/>
      </c>
      <c r="CG30" s="17">
        <f>IF(COUNTIFS(T_SelfStock_Log[Part Name],$A30,T_SelfStock_Log[WeekIndex],84)=0,"",SUMIFS(T_SelfStock_Log[Self_Qty],T_SelfStock_Log[Part Name],$A30,T_SelfStock_Log[WeekIndex],84))</f>
        <v/>
      </c>
      <c r="CH30" s="17">
        <f>IF(COUNTIFS(T_SelfStock_Log[Part Name],$A30,T_SelfStock_Log[WeekIndex],85)=0,"",SUMIFS(T_SelfStock_Log[Self_Qty],T_SelfStock_Log[Part Name],$A30,T_SelfStock_Log[WeekIndex],85))</f>
        <v/>
      </c>
      <c r="CI30" s="17">
        <f>IF(COUNTIFS(T_SelfStock_Log[Part Name],$A30,T_SelfStock_Log[WeekIndex],86)=0,"",SUMIFS(T_SelfStock_Log[Self_Qty],T_SelfStock_Log[Part Name],$A30,T_SelfStock_Log[WeekIndex],86))</f>
        <v/>
      </c>
      <c r="CJ30" s="17">
        <f>IF(COUNTIFS(T_SelfStock_Log[Part Name],$A30,T_SelfStock_Log[WeekIndex],87)=0,"",SUMIFS(T_SelfStock_Log[Self_Qty],T_SelfStock_Log[Part Name],$A30,T_SelfStock_Log[WeekIndex],87))</f>
        <v/>
      </c>
      <c r="CK30" s="17">
        <f>IF(COUNTIFS(T_SelfStock_Log[Part Name],$A30,T_SelfStock_Log[WeekIndex],88)=0,"",SUMIFS(T_SelfStock_Log[Self_Qty],T_SelfStock_Log[Part Name],$A30,T_SelfStock_Log[WeekIndex],88))</f>
        <v/>
      </c>
      <c r="CL30" s="17">
        <f>IF(COUNTIFS(T_SelfStock_Log[Part Name],$A30,T_SelfStock_Log[WeekIndex],89)=0,"",SUMIFS(T_SelfStock_Log[Self_Qty],T_SelfStock_Log[Part Name],$A30,T_SelfStock_Log[WeekIndex],89))</f>
        <v/>
      </c>
      <c r="CM30" s="17">
        <f>IF(COUNTIFS(T_SelfStock_Log[Part Name],$A30,T_SelfStock_Log[WeekIndex],90)=0,"",SUMIFS(T_SelfStock_Log[Self_Qty],T_SelfStock_Log[Part Name],$A30,T_SelfStock_Log[WeekIndex],90))</f>
        <v/>
      </c>
      <c r="CN30" s="17">
        <f>IF(COUNTIFS(T_SelfStock_Log[Part Name],$A30,T_SelfStock_Log[WeekIndex],91)=0,"",SUMIFS(T_SelfStock_Log[Self_Qty],T_SelfStock_Log[Part Name],$A30,T_SelfStock_Log[WeekIndex],91))</f>
        <v/>
      </c>
      <c r="CO30" s="17">
        <f>IF(COUNTIFS(T_SelfStock_Log[Part Name],$A30,T_SelfStock_Log[WeekIndex],92)=0,"",SUMIFS(T_SelfStock_Log[Self_Qty],T_SelfStock_Log[Part Name],$A30,T_SelfStock_Log[WeekIndex],92))</f>
        <v/>
      </c>
      <c r="CP30" s="17">
        <f>IF(COUNTIFS(T_SelfStock_Log[Part Name],$A30,T_SelfStock_Log[WeekIndex],93)=0,"",SUMIFS(T_SelfStock_Log[Self_Qty],T_SelfStock_Log[Part Name],$A30,T_SelfStock_Log[WeekIndex],93))</f>
        <v/>
      </c>
      <c r="CQ30" s="17">
        <f>IF(COUNTIFS(T_SelfStock_Log[Part Name],$A30,T_SelfStock_Log[WeekIndex],94)=0,"",SUMIFS(T_SelfStock_Log[Self_Qty],T_SelfStock_Log[Part Name],$A30,T_SelfStock_Log[WeekIndex],94))</f>
        <v/>
      </c>
      <c r="CR30" s="17">
        <f>IF(COUNTIFS(T_SelfStock_Log[Part Name],$A30,T_SelfStock_Log[WeekIndex],95)=0,"",SUMIFS(T_SelfStock_Log[Self_Qty],T_SelfStock_Log[Part Name],$A30,T_SelfStock_Log[WeekIndex],95))</f>
        <v/>
      </c>
      <c r="CS30" s="17">
        <f>IF(COUNTIFS(T_SelfStock_Log[Part Name],$A30,T_SelfStock_Log[WeekIndex],96)=0,"",SUMIFS(T_SelfStock_Log[Self_Qty],T_SelfStock_Log[Part Name],$A30,T_SelfStock_Log[WeekIndex],96))</f>
        <v/>
      </c>
      <c r="CT30" s="17">
        <f>IF(COUNTIFS(T_SelfStock_Log[Part Name],$A30,T_SelfStock_Log[WeekIndex],97)=0,"",SUMIFS(T_SelfStock_Log[Self_Qty],T_SelfStock_Log[Part Name],$A30,T_SelfStock_Log[WeekIndex],97))</f>
        <v/>
      </c>
      <c r="CU30" s="17">
        <f>IF(COUNTIFS(T_SelfStock_Log[Part Name],$A30,T_SelfStock_Log[WeekIndex],98)=0,"",SUMIFS(T_SelfStock_Log[Self_Qty],T_SelfStock_Log[Part Name],$A30,T_SelfStock_Log[WeekIndex],98))</f>
        <v/>
      </c>
      <c r="CV30" s="17">
        <f>IF(COUNTIFS(T_SelfStock_Log[Part Name],$A30,T_SelfStock_Log[WeekIndex],99)=0,"",SUMIFS(T_SelfStock_Log[Self_Qty],T_SelfStock_Log[Part Name],$A30,T_SelfStock_Log[WeekIndex],99))</f>
        <v/>
      </c>
      <c r="CW30" s="17">
        <f>IF(COUNTIFS(T_SelfStock_Log[Part Name],$A30,T_SelfStock_Log[WeekIndex],100)=0,"",SUMIFS(T_SelfStock_Log[Self_Qty],T_SelfStock_Log[Part Name],$A30,T_SelfStock_Log[WeekIndex],100))</f>
        <v/>
      </c>
      <c r="CX30" s="17">
        <f>IF(COUNTIFS(T_SelfStock_Log[Part Name],$A30,T_SelfStock_Log[WeekIndex],101)=0,"",SUMIFS(T_SelfStock_Log[Self_Qty],T_SelfStock_Log[Part Name],$A30,T_SelfStock_Log[WeekIndex],101))</f>
        <v/>
      </c>
      <c r="CY30" s="17">
        <f>IF(COUNTIFS(T_SelfStock_Log[Part Name],$A30,T_SelfStock_Log[WeekIndex],102)=0,"",SUMIFS(T_SelfStock_Log[Self_Qty],T_SelfStock_Log[Part Name],$A30,T_SelfStock_Log[WeekIndex],102))</f>
        <v/>
      </c>
      <c r="CZ30" s="17">
        <f>IF(COUNTIFS(T_SelfStock_Log[Part Name],$A30,T_SelfStock_Log[WeekIndex],103)=0,"",SUMIFS(T_SelfStock_Log[Self_Qty],T_SelfStock_Log[Part Name],$A30,T_SelfStock_Log[WeekIndex],103))</f>
        <v/>
      </c>
      <c r="DA30" s="17">
        <f>IF(COUNTIFS(T_SelfStock_Log[Part Name],$A30,T_SelfStock_Log[WeekIndex],104)=0,"",SUMIFS(T_SelfStock_Log[Self_Qty],T_SelfStock_Log[Part Name],$A30,T_SelfStock_Log[WeekIndex],104))</f>
        <v/>
      </c>
    </row>
    <row r="31">
      <c r="A31" s="19" t="inlineStr">
        <is>
          <t>CHEM-1250</t>
        </is>
      </c>
      <c r="B31" s="19">
        <f>IF(COUNTIFS(T_SelfStock_Log[Part Name],$A31,T_SelfStock_Log[WeekIndex],1)=0,"",SUMIFS(T_SelfStock_Log[Self_Qty],T_SelfStock_Log[Part Name],$A31,T_SelfStock_Log[WeekIndex],1))</f>
        <v/>
      </c>
      <c r="C31" s="19">
        <f>IF(COUNTIFS(T_SelfStock_Log[Part Name],$A31,T_SelfStock_Log[WeekIndex],2)=0,"",SUMIFS(T_SelfStock_Log[Self_Qty],T_SelfStock_Log[Part Name],$A31,T_SelfStock_Log[WeekIndex],2))</f>
        <v/>
      </c>
      <c r="D31" s="19">
        <f>IF(COUNTIFS(T_SelfStock_Log[Part Name],$A31,T_SelfStock_Log[WeekIndex],3)=0,"",SUMIFS(T_SelfStock_Log[Self_Qty],T_SelfStock_Log[Part Name],$A31,T_SelfStock_Log[WeekIndex],3))</f>
        <v/>
      </c>
      <c r="E31" s="19">
        <f>IF(COUNTIFS(T_SelfStock_Log[Part Name],$A31,T_SelfStock_Log[WeekIndex],4)=0,"",SUMIFS(T_SelfStock_Log[Self_Qty],T_SelfStock_Log[Part Name],$A31,T_SelfStock_Log[WeekIndex],4))</f>
        <v/>
      </c>
      <c r="F31" s="19">
        <f>IF(COUNTIFS(T_SelfStock_Log[Part Name],$A31,T_SelfStock_Log[WeekIndex],5)=0,"",SUMIFS(T_SelfStock_Log[Self_Qty],T_SelfStock_Log[Part Name],$A31,T_SelfStock_Log[WeekIndex],5))</f>
        <v/>
      </c>
      <c r="G31" s="19">
        <f>IF(COUNTIFS(T_SelfStock_Log[Part Name],$A31,T_SelfStock_Log[WeekIndex],6)=0,"",SUMIFS(T_SelfStock_Log[Self_Qty],T_SelfStock_Log[Part Name],$A31,T_SelfStock_Log[WeekIndex],6))</f>
        <v/>
      </c>
      <c r="H31" s="19">
        <f>IF(COUNTIFS(T_SelfStock_Log[Part Name],$A31,T_SelfStock_Log[WeekIndex],7)=0,"",SUMIFS(T_SelfStock_Log[Self_Qty],T_SelfStock_Log[Part Name],$A31,T_SelfStock_Log[WeekIndex],7))</f>
        <v/>
      </c>
      <c r="I31" s="19">
        <f>IF(COUNTIFS(T_SelfStock_Log[Part Name],$A31,T_SelfStock_Log[WeekIndex],8)=0,"",SUMIFS(T_SelfStock_Log[Self_Qty],T_SelfStock_Log[Part Name],$A31,T_SelfStock_Log[WeekIndex],8))</f>
        <v/>
      </c>
      <c r="J31" s="19">
        <f>IF(COUNTIFS(T_SelfStock_Log[Part Name],$A31,T_SelfStock_Log[WeekIndex],9)=0,"",SUMIFS(T_SelfStock_Log[Self_Qty],T_SelfStock_Log[Part Name],$A31,T_SelfStock_Log[WeekIndex],9))</f>
        <v/>
      </c>
      <c r="K31" s="19">
        <f>IF(COUNTIFS(T_SelfStock_Log[Part Name],$A31,T_SelfStock_Log[WeekIndex],10)=0,"",SUMIFS(T_SelfStock_Log[Self_Qty],T_SelfStock_Log[Part Name],$A31,T_SelfStock_Log[WeekIndex],10))</f>
        <v/>
      </c>
      <c r="L31" s="19">
        <f>IF(COUNTIFS(T_SelfStock_Log[Part Name],$A31,T_SelfStock_Log[WeekIndex],11)=0,"",SUMIFS(T_SelfStock_Log[Self_Qty],T_SelfStock_Log[Part Name],$A31,T_SelfStock_Log[WeekIndex],11))</f>
        <v/>
      </c>
      <c r="M31" s="19">
        <f>IF(COUNTIFS(T_SelfStock_Log[Part Name],$A31,T_SelfStock_Log[WeekIndex],12)=0,"",SUMIFS(T_SelfStock_Log[Self_Qty],T_SelfStock_Log[Part Name],$A31,T_SelfStock_Log[WeekIndex],12))</f>
        <v/>
      </c>
      <c r="N31" s="19">
        <f>IF(COUNTIFS(T_SelfStock_Log[Part Name],$A31,T_SelfStock_Log[WeekIndex],13)=0,"",SUMIFS(T_SelfStock_Log[Self_Qty],T_SelfStock_Log[Part Name],$A31,T_SelfStock_Log[WeekIndex],13))</f>
        <v/>
      </c>
      <c r="O31" s="19">
        <f>IF(COUNTIFS(T_SelfStock_Log[Part Name],$A31,T_SelfStock_Log[WeekIndex],14)=0,"",SUMIFS(T_SelfStock_Log[Self_Qty],T_SelfStock_Log[Part Name],$A31,T_SelfStock_Log[WeekIndex],14))</f>
        <v/>
      </c>
      <c r="P31" s="19">
        <f>IF(COUNTIFS(T_SelfStock_Log[Part Name],$A31,T_SelfStock_Log[WeekIndex],15)=0,"",SUMIFS(T_SelfStock_Log[Self_Qty],T_SelfStock_Log[Part Name],$A31,T_SelfStock_Log[WeekIndex],15))</f>
        <v/>
      </c>
      <c r="Q31" s="19">
        <f>IF(COUNTIFS(T_SelfStock_Log[Part Name],$A31,T_SelfStock_Log[WeekIndex],16)=0,"",SUMIFS(T_SelfStock_Log[Self_Qty],T_SelfStock_Log[Part Name],$A31,T_SelfStock_Log[WeekIndex],16))</f>
        <v/>
      </c>
      <c r="R31" s="19">
        <f>IF(COUNTIFS(T_SelfStock_Log[Part Name],$A31,T_SelfStock_Log[WeekIndex],17)=0,"",SUMIFS(T_SelfStock_Log[Self_Qty],T_SelfStock_Log[Part Name],$A31,T_SelfStock_Log[WeekIndex],17))</f>
        <v/>
      </c>
      <c r="S31" s="19">
        <f>IF(COUNTIFS(T_SelfStock_Log[Part Name],$A31,T_SelfStock_Log[WeekIndex],18)=0,"",SUMIFS(T_SelfStock_Log[Self_Qty],T_SelfStock_Log[Part Name],$A31,T_SelfStock_Log[WeekIndex],18))</f>
        <v/>
      </c>
      <c r="T31" s="19">
        <f>IF(COUNTIFS(T_SelfStock_Log[Part Name],$A31,T_SelfStock_Log[WeekIndex],19)=0,"",SUMIFS(T_SelfStock_Log[Self_Qty],T_SelfStock_Log[Part Name],$A31,T_SelfStock_Log[WeekIndex],19))</f>
        <v/>
      </c>
      <c r="U31" s="19">
        <f>IF(COUNTIFS(T_SelfStock_Log[Part Name],$A31,T_SelfStock_Log[WeekIndex],20)=0,"",SUMIFS(T_SelfStock_Log[Self_Qty],T_SelfStock_Log[Part Name],$A31,T_SelfStock_Log[WeekIndex],20))</f>
        <v/>
      </c>
      <c r="V31" s="19">
        <f>IF(COUNTIFS(T_SelfStock_Log[Part Name],$A31,T_SelfStock_Log[WeekIndex],21)=0,"",SUMIFS(T_SelfStock_Log[Self_Qty],T_SelfStock_Log[Part Name],$A31,T_SelfStock_Log[WeekIndex],21))</f>
        <v/>
      </c>
      <c r="W31" s="19">
        <f>IF(COUNTIFS(T_SelfStock_Log[Part Name],$A31,T_SelfStock_Log[WeekIndex],22)=0,"",SUMIFS(T_SelfStock_Log[Self_Qty],T_SelfStock_Log[Part Name],$A31,T_SelfStock_Log[WeekIndex],22))</f>
        <v/>
      </c>
      <c r="X31" s="19">
        <f>IF(COUNTIFS(T_SelfStock_Log[Part Name],$A31,T_SelfStock_Log[WeekIndex],23)=0,"",SUMIFS(T_SelfStock_Log[Self_Qty],T_SelfStock_Log[Part Name],$A31,T_SelfStock_Log[WeekIndex],23))</f>
        <v/>
      </c>
      <c r="Y31" s="19">
        <f>IF(COUNTIFS(T_SelfStock_Log[Part Name],$A31,T_SelfStock_Log[WeekIndex],24)=0,"",SUMIFS(T_SelfStock_Log[Self_Qty],T_SelfStock_Log[Part Name],$A31,T_SelfStock_Log[WeekIndex],24))</f>
        <v/>
      </c>
      <c r="Z31" s="19">
        <f>IF(COUNTIFS(T_SelfStock_Log[Part Name],$A31,T_SelfStock_Log[WeekIndex],25)=0,"",SUMIFS(T_SelfStock_Log[Self_Qty],T_SelfStock_Log[Part Name],$A31,T_SelfStock_Log[WeekIndex],25))</f>
        <v/>
      </c>
      <c r="AA31" s="19">
        <f>IF(COUNTIFS(T_SelfStock_Log[Part Name],$A31,T_SelfStock_Log[WeekIndex],26)=0,"",SUMIFS(T_SelfStock_Log[Self_Qty],T_SelfStock_Log[Part Name],$A31,T_SelfStock_Log[WeekIndex],26))</f>
        <v/>
      </c>
      <c r="AB31" s="19">
        <f>IF(COUNTIFS(T_SelfStock_Log[Part Name],$A31,T_SelfStock_Log[WeekIndex],27)=0,"",SUMIFS(T_SelfStock_Log[Self_Qty],T_SelfStock_Log[Part Name],$A31,T_SelfStock_Log[WeekIndex],27))</f>
        <v/>
      </c>
      <c r="AC31" s="19">
        <f>IF(COUNTIFS(T_SelfStock_Log[Part Name],$A31,T_SelfStock_Log[WeekIndex],28)=0,"",SUMIFS(T_SelfStock_Log[Self_Qty],T_SelfStock_Log[Part Name],$A31,T_SelfStock_Log[WeekIndex],28))</f>
        <v/>
      </c>
      <c r="AD31" s="19">
        <f>IF(COUNTIFS(T_SelfStock_Log[Part Name],$A31,T_SelfStock_Log[WeekIndex],29)=0,"",SUMIFS(T_SelfStock_Log[Self_Qty],T_SelfStock_Log[Part Name],$A31,T_SelfStock_Log[WeekIndex],29))</f>
        <v/>
      </c>
      <c r="AE31" s="19">
        <f>IF(COUNTIFS(T_SelfStock_Log[Part Name],$A31,T_SelfStock_Log[WeekIndex],30)=0,"",SUMIFS(T_SelfStock_Log[Self_Qty],T_SelfStock_Log[Part Name],$A31,T_SelfStock_Log[WeekIndex],30))</f>
        <v/>
      </c>
      <c r="AF31" s="19">
        <f>IF(COUNTIFS(T_SelfStock_Log[Part Name],$A31,T_SelfStock_Log[WeekIndex],31)=0,"",SUMIFS(T_SelfStock_Log[Self_Qty],T_SelfStock_Log[Part Name],$A31,T_SelfStock_Log[WeekIndex],31))</f>
        <v/>
      </c>
      <c r="AG31" s="19">
        <f>IF(COUNTIFS(T_SelfStock_Log[Part Name],$A31,T_SelfStock_Log[WeekIndex],32)=0,"",SUMIFS(T_SelfStock_Log[Self_Qty],T_SelfStock_Log[Part Name],$A31,T_SelfStock_Log[WeekIndex],32))</f>
        <v/>
      </c>
      <c r="AH31" s="19">
        <f>IF(COUNTIFS(T_SelfStock_Log[Part Name],$A31,T_SelfStock_Log[WeekIndex],33)=0,"",SUMIFS(T_SelfStock_Log[Self_Qty],T_SelfStock_Log[Part Name],$A31,T_SelfStock_Log[WeekIndex],33))</f>
        <v/>
      </c>
      <c r="AI31" s="19">
        <f>IF(COUNTIFS(T_SelfStock_Log[Part Name],$A31,T_SelfStock_Log[WeekIndex],34)=0,"",SUMIFS(T_SelfStock_Log[Self_Qty],T_SelfStock_Log[Part Name],$A31,T_SelfStock_Log[WeekIndex],34))</f>
        <v/>
      </c>
      <c r="AJ31" s="19">
        <f>IF(COUNTIFS(T_SelfStock_Log[Part Name],$A31,T_SelfStock_Log[WeekIndex],35)=0,"",SUMIFS(T_SelfStock_Log[Self_Qty],T_SelfStock_Log[Part Name],$A31,T_SelfStock_Log[WeekIndex],35))</f>
        <v/>
      </c>
      <c r="AK31" s="19">
        <f>IF(COUNTIFS(T_SelfStock_Log[Part Name],$A31,T_SelfStock_Log[WeekIndex],36)=0,"",SUMIFS(T_SelfStock_Log[Self_Qty],T_SelfStock_Log[Part Name],$A31,T_SelfStock_Log[WeekIndex],36))</f>
        <v/>
      </c>
      <c r="AL31" s="19">
        <f>IF(COUNTIFS(T_SelfStock_Log[Part Name],$A31,T_SelfStock_Log[WeekIndex],37)=0,"",SUMIFS(T_SelfStock_Log[Self_Qty],T_SelfStock_Log[Part Name],$A31,T_SelfStock_Log[WeekIndex],37))</f>
        <v/>
      </c>
      <c r="AM31" s="19">
        <f>IF(COUNTIFS(T_SelfStock_Log[Part Name],$A31,T_SelfStock_Log[WeekIndex],38)=0,"",SUMIFS(T_SelfStock_Log[Self_Qty],T_SelfStock_Log[Part Name],$A31,T_SelfStock_Log[WeekIndex],38))</f>
        <v/>
      </c>
      <c r="AN31" s="19">
        <f>IF(COUNTIFS(T_SelfStock_Log[Part Name],$A31,T_SelfStock_Log[WeekIndex],39)=0,"",SUMIFS(T_SelfStock_Log[Self_Qty],T_SelfStock_Log[Part Name],$A31,T_SelfStock_Log[WeekIndex],39))</f>
        <v/>
      </c>
      <c r="AO31" s="19">
        <f>IF(COUNTIFS(T_SelfStock_Log[Part Name],$A31,T_SelfStock_Log[WeekIndex],40)=0,"",SUMIFS(T_SelfStock_Log[Self_Qty],T_SelfStock_Log[Part Name],$A31,T_SelfStock_Log[WeekIndex],40))</f>
        <v/>
      </c>
      <c r="AP31" s="19">
        <f>IF(COUNTIFS(T_SelfStock_Log[Part Name],$A31,T_SelfStock_Log[WeekIndex],41)=0,"",SUMIFS(T_SelfStock_Log[Self_Qty],T_SelfStock_Log[Part Name],$A31,T_SelfStock_Log[WeekIndex],41))</f>
        <v/>
      </c>
      <c r="AQ31" s="19">
        <f>IF(COUNTIFS(T_SelfStock_Log[Part Name],$A31,T_SelfStock_Log[WeekIndex],42)=0,"",SUMIFS(T_SelfStock_Log[Self_Qty],T_SelfStock_Log[Part Name],$A31,T_SelfStock_Log[WeekIndex],42))</f>
        <v/>
      </c>
      <c r="AR31" s="19">
        <f>IF(COUNTIFS(T_SelfStock_Log[Part Name],$A31,T_SelfStock_Log[WeekIndex],43)=0,"",SUMIFS(T_SelfStock_Log[Self_Qty],T_SelfStock_Log[Part Name],$A31,T_SelfStock_Log[WeekIndex],43))</f>
        <v/>
      </c>
      <c r="AS31" s="19">
        <f>IF(COUNTIFS(T_SelfStock_Log[Part Name],$A31,T_SelfStock_Log[WeekIndex],44)=0,"",SUMIFS(T_SelfStock_Log[Self_Qty],T_SelfStock_Log[Part Name],$A31,T_SelfStock_Log[WeekIndex],44))</f>
        <v/>
      </c>
      <c r="AT31" s="19">
        <f>IF(COUNTIFS(T_SelfStock_Log[Part Name],$A31,T_SelfStock_Log[WeekIndex],45)=0,"",SUMIFS(T_SelfStock_Log[Self_Qty],T_SelfStock_Log[Part Name],$A31,T_SelfStock_Log[WeekIndex],45))</f>
        <v/>
      </c>
      <c r="AU31" s="19">
        <f>IF(COUNTIFS(T_SelfStock_Log[Part Name],$A31,T_SelfStock_Log[WeekIndex],46)=0,"",SUMIFS(T_SelfStock_Log[Self_Qty],T_SelfStock_Log[Part Name],$A31,T_SelfStock_Log[WeekIndex],46))</f>
        <v/>
      </c>
      <c r="AV31" s="19">
        <f>IF(COUNTIFS(T_SelfStock_Log[Part Name],$A31,T_SelfStock_Log[WeekIndex],47)=0,"",SUMIFS(T_SelfStock_Log[Self_Qty],T_SelfStock_Log[Part Name],$A31,T_SelfStock_Log[WeekIndex],47))</f>
        <v/>
      </c>
      <c r="AW31" s="19">
        <f>IF(COUNTIFS(T_SelfStock_Log[Part Name],$A31,T_SelfStock_Log[WeekIndex],48)=0,"",SUMIFS(T_SelfStock_Log[Self_Qty],T_SelfStock_Log[Part Name],$A31,T_SelfStock_Log[WeekIndex],48))</f>
        <v/>
      </c>
      <c r="AX31" s="19">
        <f>IF(COUNTIFS(T_SelfStock_Log[Part Name],$A31,T_SelfStock_Log[WeekIndex],49)=0,"",SUMIFS(T_SelfStock_Log[Self_Qty],T_SelfStock_Log[Part Name],$A31,T_SelfStock_Log[WeekIndex],49))</f>
        <v/>
      </c>
      <c r="AY31" s="19">
        <f>IF(COUNTIFS(T_SelfStock_Log[Part Name],$A31,T_SelfStock_Log[WeekIndex],50)=0,"",SUMIFS(T_SelfStock_Log[Self_Qty],T_SelfStock_Log[Part Name],$A31,T_SelfStock_Log[WeekIndex],50))</f>
        <v/>
      </c>
      <c r="AZ31" s="19">
        <f>IF(COUNTIFS(T_SelfStock_Log[Part Name],$A31,T_SelfStock_Log[WeekIndex],51)=0,"",SUMIFS(T_SelfStock_Log[Self_Qty],T_SelfStock_Log[Part Name],$A31,T_SelfStock_Log[WeekIndex],51))</f>
        <v/>
      </c>
      <c r="BA31" s="19">
        <f>IF(COUNTIFS(T_SelfStock_Log[Part Name],$A31,T_SelfStock_Log[WeekIndex],52)=0,"",SUMIFS(T_SelfStock_Log[Self_Qty],T_SelfStock_Log[Part Name],$A31,T_SelfStock_Log[WeekIndex],52))</f>
        <v/>
      </c>
      <c r="BB31" s="19">
        <f>IF(COUNTIFS(T_SelfStock_Log[Part Name],$A31,T_SelfStock_Log[WeekIndex],53)=0,"",SUMIFS(T_SelfStock_Log[Self_Qty],T_SelfStock_Log[Part Name],$A31,T_SelfStock_Log[WeekIndex],53))</f>
        <v/>
      </c>
      <c r="BC31" s="19">
        <f>IF(COUNTIFS(T_SelfStock_Log[Part Name],$A31,T_SelfStock_Log[WeekIndex],54)=0,"",SUMIFS(T_SelfStock_Log[Self_Qty],T_SelfStock_Log[Part Name],$A31,T_SelfStock_Log[WeekIndex],54))</f>
        <v/>
      </c>
      <c r="BD31" s="19">
        <f>IF(COUNTIFS(T_SelfStock_Log[Part Name],$A31,T_SelfStock_Log[WeekIndex],55)=0,"",SUMIFS(T_SelfStock_Log[Self_Qty],T_SelfStock_Log[Part Name],$A31,T_SelfStock_Log[WeekIndex],55))</f>
        <v/>
      </c>
      <c r="BE31" s="19">
        <f>IF(COUNTIFS(T_SelfStock_Log[Part Name],$A31,T_SelfStock_Log[WeekIndex],56)=0,"",SUMIFS(T_SelfStock_Log[Self_Qty],T_SelfStock_Log[Part Name],$A31,T_SelfStock_Log[WeekIndex],56))</f>
        <v/>
      </c>
      <c r="BF31" s="19">
        <f>IF(COUNTIFS(T_SelfStock_Log[Part Name],$A31,T_SelfStock_Log[WeekIndex],57)=0,"",SUMIFS(T_SelfStock_Log[Self_Qty],T_SelfStock_Log[Part Name],$A31,T_SelfStock_Log[WeekIndex],57))</f>
        <v/>
      </c>
      <c r="BG31" s="19">
        <f>IF(COUNTIFS(T_SelfStock_Log[Part Name],$A31,T_SelfStock_Log[WeekIndex],58)=0,"",SUMIFS(T_SelfStock_Log[Self_Qty],T_SelfStock_Log[Part Name],$A31,T_SelfStock_Log[WeekIndex],58))</f>
        <v/>
      </c>
      <c r="BH31" s="19">
        <f>IF(COUNTIFS(T_SelfStock_Log[Part Name],$A31,T_SelfStock_Log[WeekIndex],59)=0,"",SUMIFS(T_SelfStock_Log[Self_Qty],T_SelfStock_Log[Part Name],$A31,T_SelfStock_Log[WeekIndex],59))</f>
        <v/>
      </c>
      <c r="BI31" s="19">
        <f>IF(COUNTIFS(T_SelfStock_Log[Part Name],$A31,T_SelfStock_Log[WeekIndex],60)=0,"",SUMIFS(T_SelfStock_Log[Self_Qty],T_SelfStock_Log[Part Name],$A31,T_SelfStock_Log[WeekIndex],60))</f>
        <v/>
      </c>
      <c r="BJ31" s="19">
        <f>IF(COUNTIFS(T_SelfStock_Log[Part Name],$A31,T_SelfStock_Log[WeekIndex],61)=0,"",SUMIFS(T_SelfStock_Log[Self_Qty],T_SelfStock_Log[Part Name],$A31,T_SelfStock_Log[WeekIndex],61))</f>
        <v/>
      </c>
      <c r="BK31" s="19">
        <f>IF(COUNTIFS(T_SelfStock_Log[Part Name],$A31,T_SelfStock_Log[WeekIndex],62)=0,"",SUMIFS(T_SelfStock_Log[Self_Qty],T_SelfStock_Log[Part Name],$A31,T_SelfStock_Log[WeekIndex],62))</f>
        <v/>
      </c>
      <c r="BL31" s="19">
        <f>IF(COUNTIFS(T_SelfStock_Log[Part Name],$A31,T_SelfStock_Log[WeekIndex],63)=0,"",SUMIFS(T_SelfStock_Log[Self_Qty],T_SelfStock_Log[Part Name],$A31,T_SelfStock_Log[WeekIndex],63))</f>
        <v/>
      </c>
      <c r="BM31" s="19">
        <f>IF(COUNTIFS(T_SelfStock_Log[Part Name],$A31,T_SelfStock_Log[WeekIndex],64)=0,"",SUMIFS(T_SelfStock_Log[Self_Qty],T_SelfStock_Log[Part Name],$A31,T_SelfStock_Log[WeekIndex],64))</f>
        <v/>
      </c>
      <c r="BN31" s="19">
        <f>IF(COUNTIFS(T_SelfStock_Log[Part Name],$A31,T_SelfStock_Log[WeekIndex],65)=0,"",SUMIFS(T_SelfStock_Log[Self_Qty],T_SelfStock_Log[Part Name],$A31,T_SelfStock_Log[WeekIndex],65))</f>
        <v/>
      </c>
      <c r="BO31" s="19">
        <f>IF(COUNTIFS(T_SelfStock_Log[Part Name],$A31,T_SelfStock_Log[WeekIndex],66)=0,"",SUMIFS(T_SelfStock_Log[Self_Qty],T_SelfStock_Log[Part Name],$A31,T_SelfStock_Log[WeekIndex],66))</f>
        <v/>
      </c>
      <c r="BP31" s="19">
        <f>IF(COUNTIFS(T_SelfStock_Log[Part Name],$A31,T_SelfStock_Log[WeekIndex],67)=0,"",SUMIFS(T_SelfStock_Log[Self_Qty],T_SelfStock_Log[Part Name],$A31,T_SelfStock_Log[WeekIndex],67))</f>
        <v/>
      </c>
      <c r="BQ31" s="19">
        <f>IF(COUNTIFS(T_SelfStock_Log[Part Name],$A31,T_SelfStock_Log[WeekIndex],68)=0,"",SUMIFS(T_SelfStock_Log[Self_Qty],T_SelfStock_Log[Part Name],$A31,T_SelfStock_Log[WeekIndex],68))</f>
        <v/>
      </c>
      <c r="BR31" s="19">
        <f>IF(COUNTIFS(T_SelfStock_Log[Part Name],$A31,T_SelfStock_Log[WeekIndex],69)=0,"",SUMIFS(T_SelfStock_Log[Self_Qty],T_SelfStock_Log[Part Name],$A31,T_SelfStock_Log[WeekIndex],69))</f>
        <v/>
      </c>
      <c r="BS31" s="19">
        <f>IF(COUNTIFS(T_SelfStock_Log[Part Name],$A31,T_SelfStock_Log[WeekIndex],70)=0,"",SUMIFS(T_SelfStock_Log[Self_Qty],T_SelfStock_Log[Part Name],$A31,T_SelfStock_Log[WeekIndex],70))</f>
        <v/>
      </c>
      <c r="BT31" s="19">
        <f>IF(COUNTIFS(T_SelfStock_Log[Part Name],$A31,T_SelfStock_Log[WeekIndex],71)=0,"",SUMIFS(T_SelfStock_Log[Self_Qty],T_SelfStock_Log[Part Name],$A31,T_SelfStock_Log[WeekIndex],71))</f>
        <v/>
      </c>
      <c r="BU31" s="19">
        <f>IF(COUNTIFS(T_SelfStock_Log[Part Name],$A31,T_SelfStock_Log[WeekIndex],72)=0,"",SUMIFS(T_SelfStock_Log[Self_Qty],T_SelfStock_Log[Part Name],$A31,T_SelfStock_Log[WeekIndex],72))</f>
        <v/>
      </c>
      <c r="BV31" s="19">
        <f>IF(COUNTIFS(T_SelfStock_Log[Part Name],$A31,T_SelfStock_Log[WeekIndex],73)=0,"",SUMIFS(T_SelfStock_Log[Self_Qty],T_SelfStock_Log[Part Name],$A31,T_SelfStock_Log[WeekIndex],73))</f>
        <v/>
      </c>
      <c r="BW31" s="19">
        <f>IF(COUNTIFS(T_SelfStock_Log[Part Name],$A31,T_SelfStock_Log[WeekIndex],74)=0,"",SUMIFS(T_SelfStock_Log[Self_Qty],T_SelfStock_Log[Part Name],$A31,T_SelfStock_Log[WeekIndex],74))</f>
        <v/>
      </c>
      <c r="BX31" s="19">
        <f>IF(COUNTIFS(T_SelfStock_Log[Part Name],$A31,T_SelfStock_Log[WeekIndex],75)=0,"",SUMIFS(T_SelfStock_Log[Self_Qty],T_SelfStock_Log[Part Name],$A31,T_SelfStock_Log[WeekIndex],75))</f>
        <v/>
      </c>
      <c r="BY31" s="19">
        <f>IF(COUNTIFS(T_SelfStock_Log[Part Name],$A31,T_SelfStock_Log[WeekIndex],76)=0,"",SUMIFS(T_SelfStock_Log[Self_Qty],T_SelfStock_Log[Part Name],$A31,T_SelfStock_Log[WeekIndex],76))</f>
        <v/>
      </c>
      <c r="BZ31" s="19">
        <f>IF(COUNTIFS(T_SelfStock_Log[Part Name],$A31,T_SelfStock_Log[WeekIndex],77)=0,"",SUMIFS(T_SelfStock_Log[Self_Qty],T_SelfStock_Log[Part Name],$A31,T_SelfStock_Log[WeekIndex],77))</f>
        <v/>
      </c>
      <c r="CA31" s="19">
        <f>IF(COUNTIFS(T_SelfStock_Log[Part Name],$A31,T_SelfStock_Log[WeekIndex],78)=0,"",SUMIFS(T_SelfStock_Log[Self_Qty],T_SelfStock_Log[Part Name],$A31,T_SelfStock_Log[WeekIndex],78))</f>
        <v/>
      </c>
      <c r="CB31" s="19">
        <f>IF(COUNTIFS(T_SelfStock_Log[Part Name],$A31,T_SelfStock_Log[WeekIndex],79)=0,"",SUMIFS(T_SelfStock_Log[Self_Qty],T_SelfStock_Log[Part Name],$A31,T_SelfStock_Log[WeekIndex],79))</f>
        <v/>
      </c>
      <c r="CC31" s="19">
        <f>IF(COUNTIFS(T_SelfStock_Log[Part Name],$A31,T_SelfStock_Log[WeekIndex],80)=0,"",SUMIFS(T_SelfStock_Log[Self_Qty],T_SelfStock_Log[Part Name],$A31,T_SelfStock_Log[WeekIndex],80))</f>
        <v/>
      </c>
      <c r="CD31" s="19">
        <f>IF(COUNTIFS(T_SelfStock_Log[Part Name],$A31,T_SelfStock_Log[WeekIndex],81)=0,"",SUMIFS(T_SelfStock_Log[Self_Qty],T_SelfStock_Log[Part Name],$A31,T_SelfStock_Log[WeekIndex],81))</f>
        <v/>
      </c>
      <c r="CE31" s="19">
        <f>IF(COUNTIFS(T_SelfStock_Log[Part Name],$A31,T_SelfStock_Log[WeekIndex],82)=0,"",SUMIFS(T_SelfStock_Log[Self_Qty],T_SelfStock_Log[Part Name],$A31,T_SelfStock_Log[WeekIndex],82))</f>
        <v/>
      </c>
      <c r="CF31" s="19">
        <f>IF(COUNTIFS(T_SelfStock_Log[Part Name],$A31,T_SelfStock_Log[WeekIndex],83)=0,"",SUMIFS(T_SelfStock_Log[Self_Qty],T_SelfStock_Log[Part Name],$A31,T_SelfStock_Log[WeekIndex],83))</f>
        <v/>
      </c>
      <c r="CG31" s="19">
        <f>IF(COUNTIFS(T_SelfStock_Log[Part Name],$A31,T_SelfStock_Log[WeekIndex],84)=0,"",SUMIFS(T_SelfStock_Log[Self_Qty],T_SelfStock_Log[Part Name],$A31,T_SelfStock_Log[WeekIndex],84))</f>
        <v/>
      </c>
      <c r="CH31" s="19">
        <f>IF(COUNTIFS(T_SelfStock_Log[Part Name],$A31,T_SelfStock_Log[WeekIndex],85)=0,"",SUMIFS(T_SelfStock_Log[Self_Qty],T_SelfStock_Log[Part Name],$A31,T_SelfStock_Log[WeekIndex],85))</f>
        <v/>
      </c>
      <c r="CI31" s="19">
        <f>IF(COUNTIFS(T_SelfStock_Log[Part Name],$A31,T_SelfStock_Log[WeekIndex],86)=0,"",SUMIFS(T_SelfStock_Log[Self_Qty],T_SelfStock_Log[Part Name],$A31,T_SelfStock_Log[WeekIndex],86))</f>
        <v/>
      </c>
      <c r="CJ31" s="19">
        <f>IF(COUNTIFS(T_SelfStock_Log[Part Name],$A31,T_SelfStock_Log[WeekIndex],87)=0,"",SUMIFS(T_SelfStock_Log[Self_Qty],T_SelfStock_Log[Part Name],$A31,T_SelfStock_Log[WeekIndex],87))</f>
        <v/>
      </c>
      <c r="CK31" s="19">
        <f>IF(COUNTIFS(T_SelfStock_Log[Part Name],$A31,T_SelfStock_Log[WeekIndex],88)=0,"",SUMIFS(T_SelfStock_Log[Self_Qty],T_SelfStock_Log[Part Name],$A31,T_SelfStock_Log[WeekIndex],88))</f>
        <v/>
      </c>
      <c r="CL31" s="19">
        <f>IF(COUNTIFS(T_SelfStock_Log[Part Name],$A31,T_SelfStock_Log[WeekIndex],89)=0,"",SUMIFS(T_SelfStock_Log[Self_Qty],T_SelfStock_Log[Part Name],$A31,T_SelfStock_Log[WeekIndex],89))</f>
        <v/>
      </c>
      <c r="CM31" s="19">
        <f>IF(COUNTIFS(T_SelfStock_Log[Part Name],$A31,T_SelfStock_Log[WeekIndex],90)=0,"",SUMIFS(T_SelfStock_Log[Self_Qty],T_SelfStock_Log[Part Name],$A31,T_SelfStock_Log[WeekIndex],90))</f>
        <v/>
      </c>
      <c r="CN31" s="19">
        <f>IF(COUNTIFS(T_SelfStock_Log[Part Name],$A31,T_SelfStock_Log[WeekIndex],91)=0,"",SUMIFS(T_SelfStock_Log[Self_Qty],T_SelfStock_Log[Part Name],$A31,T_SelfStock_Log[WeekIndex],91))</f>
        <v/>
      </c>
      <c r="CO31" s="19">
        <f>IF(COUNTIFS(T_SelfStock_Log[Part Name],$A31,T_SelfStock_Log[WeekIndex],92)=0,"",SUMIFS(T_SelfStock_Log[Self_Qty],T_SelfStock_Log[Part Name],$A31,T_SelfStock_Log[WeekIndex],92))</f>
        <v/>
      </c>
      <c r="CP31" s="19">
        <f>IF(COUNTIFS(T_SelfStock_Log[Part Name],$A31,T_SelfStock_Log[WeekIndex],93)=0,"",SUMIFS(T_SelfStock_Log[Self_Qty],T_SelfStock_Log[Part Name],$A31,T_SelfStock_Log[WeekIndex],93))</f>
        <v/>
      </c>
      <c r="CQ31" s="19">
        <f>IF(COUNTIFS(T_SelfStock_Log[Part Name],$A31,T_SelfStock_Log[WeekIndex],94)=0,"",SUMIFS(T_SelfStock_Log[Self_Qty],T_SelfStock_Log[Part Name],$A31,T_SelfStock_Log[WeekIndex],94))</f>
        <v/>
      </c>
      <c r="CR31" s="19">
        <f>IF(COUNTIFS(T_SelfStock_Log[Part Name],$A31,T_SelfStock_Log[WeekIndex],95)=0,"",SUMIFS(T_SelfStock_Log[Self_Qty],T_SelfStock_Log[Part Name],$A31,T_SelfStock_Log[WeekIndex],95))</f>
        <v/>
      </c>
      <c r="CS31" s="19">
        <f>IF(COUNTIFS(T_SelfStock_Log[Part Name],$A31,T_SelfStock_Log[WeekIndex],96)=0,"",SUMIFS(T_SelfStock_Log[Self_Qty],T_SelfStock_Log[Part Name],$A31,T_SelfStock_Log[WeekIndex],96))</f>
        <v/>
      </c>
      <c r="CT31" s="19">
        <f>IF(COUNTIFS(T_SelfStock_Log[Part Name],$A31,T_SelfStock_Log[WeekIndex],97)=0,"",SUMIFS(T_SelfStock_Log[Self_Qty],T_SelfStock_Log[Part Name],$A31,T_SelfStock_Log[WeekIndex],97))</f>
        <v/>
      </c>
      <c r="CU31" s="19">
        <f>IF(COUNTIFS(T_SelfStock_Log[Part Name],$A31,T_SelfStock_Log[WeekIndex],98)=0,"",SUMIFS(T_SelfStock_Log[Self_Qty],T_SelfStock_Log[Part Name],$A31,T_SelfStock_Log[WeekIndex],98))</f>
        <v/>
      </c>
      <c r="CV31" s="19">
        <f>IF(COUNTIFS(T_SelfStock_Log[Part Name],$A31,T_SelfStock_Log[WeekIndex],99)=0,"",SUMIFS(T_SelfStock_Log[Self_Qty],T_SelfStock_Log[Part Name],$A31,T_SelfStock_Log[WeekIndex],99))</f>
        <v/>
      </c>
      <c r="CW31" s="19">
        <f>IF(COUNTIFS(T_SelfStock_Log[Part Name],$A31,T_SelfStock_Log[WeekIndex],100)=0,"",SUMIFS(T_SelfStock_Log[Self_Qty],T_SelfStock_Log[Part Name],$A31,T_SelfStock_Log[WeekIndex],100))</f>
        <v/>
      </c>
      <c r="CX31" s="19">
        <f>IF(COUNTIFS(T_SelfStock_Log[Part Name],$A31,T_SelfStock_Log[WeekIndex],101)=0,"",SUMIFS(T_SelfStock_Log[Self_Qty],T_SelfStock_Log[Part Name],$A31,T_SelfStock_Log[WeekIndex],101))</f>
        <v/>
      </c>
      <c r="CY31" s="19">
        <f>IF(COUNTIFS(T_SelfStock_Log[Part Name],$A31,T_SelfStock_Log[WeekIndex],102)=0,"",SUMIFS(T_SelfStock_Log[Self_Qty],T_SelfStock_Log[Part Name],$A31,T_SelfStock_Log[WeekIndex],102))</f>
        <v/>
      </c>
      <c r="CZ31" s="19">
        <f>IF(COUNTIFS(T_SelfStock_Log[Part Name],$A31,T_SelfStock_Log[WeekIndex],103)=0,"",SUMIFS(T_SelfStock_Log[Self_Qty],T_SelfStock_Log[Part Name],$A31,T_SelfStock_Log[WeekIndex],103))</f>
        <v/>
      </c>
      <c r="DA31" s="19">
        <f>IF(COUNTIFS(T_SelfStock_Log[Part Name],$A31,T_SelfStock_Log[WeekIndex],104)=0,"",SUMIFS(T_SelfStock_Log[Self_Qty],T_SelfStock_Log[Part Name],$A31,T_SelfStock_Log[WeekIndex],104))</f>
        <v/>
      </c>
    </row>
    <row r="32">
      <c r="A32" s="17" t="inlineStr">
        <is>
          <t>CHEM-1600</t>
        </is>
      </c>
      <c r="B32" s="17">
        <f>IF(COUNTIFS(T_SelfStock_Log[Part Name],$A32,T_SelfStock_Log[WeekIndex],1)=0,"",SUMIFS(T_SelfStock_Log[Self_Qty],T_SelfStock_Log[Part Name],$A32,T_SelfStock_Log[WeekIndex],1))</f>
        <v/>
      </c>
      <c r="C32" s="17">
        <f>IF(COUNTIFS(T_SelfStock_Log[Part Name],$A32,T_SelfStock_Log[WeekIndex],2)=0,"",SUMIFS(T_SelfStock_Log[Self_Qty],T_SelfStock_Log[Part Name],$A32,T_SelfStock_Log[WeekIndex],2))</f>
        <v/>
      </c>
      <c r="D32" s="17">
        <f>IF(COUNTIFS(T_SelfStock_Log[Part Name],$A32,T_SelfStock_Log[WeekIndex],3)=0,"",SUMIFS(T_SelfStock_Log[Self_Qty],T_SelfStock_Log[Part Name],$A32,T_SelfStock_Log[WeekIndex],3))</f>
        <v/>
      </c>
      <c r="E32" s="17">
        <f>IF(COUNTIFS(T_SelfStock_Log[Part Name],$A32,T_SelfStock_Log[WeekIndex],4)=0,"",SUMIFS(T_SelfStock_Log[Self_Qty],T_SelfStock_Log[Part Name],$A32,T_SelfStock_Log[WeekIndex],4))</f>
        <v/>
      </c>
      <c r="F32" s="17">
        <f>IF(COUNTIFS(T_SelfStock_Log[Part Name],$A32,T_SelfStock_Log[WeekIndex],5)=0,"",SUMIFS(T_SelfStock_Log[Self_Qty],T_SelfStock_Log[Part Name],$A32,T_SelfStock_Log[WeekIndex],5))</f>
        <v/>
      </c>
      <c r="G32" s="17">
        <f>IF(COUNTIFS(T_SelfStock_Log[Part Name],$A32,T_SelfStock_Log[WeekIndex],6)=0,"",SUMIFS(T_SelfStock_Log[Self_Qty],T_SelfStock_Log[Part Name],$A32,T_SelfStock_Log[WeekIndex],6))</f>
        <v/>
      </c>
      <c r="H32" s="17">
        <f>IF(COUNTIFS(T_SelfStock_Log[Part Name],$A32,T_SelfStock_Log[WeekIndex],7)=0,"",SUMIFS(T_SelfStock_Log[Self_Qty],T_SelfStock_Log[Part Name],$A32,T_SelfStock_Log[WeekIndex],7))</f>
        <v/>
      </c>
      <c r="I32" s="17">
        <f>IF(COUNTIFS(T_SelfStock_Log[Part Name],$A32,T_SelfStock_Log[WeekIndex],8)=0,"",SUMIFS(T_SelfStock_Log[Self_Qty],T_SelfStock_Log[Part Name],$A32,T_SelfStock_Log[WeekIndex],8))</f>
        <v/>
      </c>
      <c r="J32" s="17">
        <f>IF(COUNTIFS(T_SelfStock_Log[Part Name],$A32,T_SelfStock_Log[WeekIndex],9)=0,"",SUMIFS(T_SelfStock_Log[Self_Qty],T_SelfStock_Log[Part Name],$A32,T_SelfStock_Log[WeekIndex],9))</f>
        <v/>
      </c>
      <c r="K32" s="17">
        <f>IF(COUNTIFS(T_SelfStock_Log[Part Name],$A32,T_SelfStock_Log[WeekIndex],10)=0,"",SUMIFS(T_SelfStock_Log[Self_Qty],T_SelfStock_Log[Part Name],$A32,T_SelfStock_Log[WeekIndex],10))</f>
        <v/>
      </c>
      <c r="L32" s="17">
        <f>IF(COUNTIFS(T_SelfStock_Log[Part Name],$A32,T_SelfStock_Log[WeekIndex],11)=0,"",SUMIFS(T_SelfStock_Log[Self_Qty],T_SelfStock_Log[Part Name],$A32,T_SelfStock_Log[WeekIndex],11))</f>
        <v/>
      </c>
      <c r="M32" s="17">
        <f>IF(COUNTIFS(T_SelfStock_Log[Part Name],$A32,T_SelfStock_Log[WeekIndex],12)=0,"",SUMIFS(T_SelfStock_Log[Self_Qty],T_SelfStock_Log[Part Name],$A32,T_SelfStock_Log[WeekIndex],12))</f>
        <v/>
      </c>
      <c r="N32" s="17">
        <f>IF(COUNTIFS(T_SelfStock_Log[Part Name],$A32,T_SelfStock_Log[WeekIndex],13)=0,"",SUMIFS(T_SelfStock_Log[Self_Qty],T_SelfStock_Log[Part Name],$A32,T_SelfStock_Log[WeekIndex],13))</f>
        <v/>
      </c>
      <c r="O32" s="17">
        <f>IF(COUNTIFS(T_SelfStock_Log[Part Name],$A32,T_SelfStock_Log[WeekIndex],14)=0,"",SUMIFS(T_SelfStock_Log[Self_Qty],T_SelfStock_Log[Part Name],$A32,T_SelfStock_Log[WeekIndex],14))</f>
        <v/>
      </c>
      <c r="P32" s="17">
        <f>IF(COUNTIFS(T_SelfStock_Log[Part Name],$A32,T_SelfStock_Log[WeekIndex],15)=0,"",SUMIFS(T_SelfStock_Log[Self_Qty],T_SelfStock_Log[Part Name],$A32,T_SelfStock_Log[WeekIndex],15))</f>
        <v/>
      </c>
      <c r="Q32" s="17">
        <f>IF(COUNTIFS(T_SelfStock_Log[Part Name],$A32,T_SelfStock_Log[WeekIndex],16)=0,"",SUMIFS(T_SelfStock_Log[Self_Qty],T_SelfStock_Log[Part Name],$A32,T_SelfStock_Log[WeekIndex],16))</f>
        <v/>
      </c>
      <c r="R32" s="17">
        <f>IF(COUNTIFS(T_SelfStock_Log[Part Name],$A32,T_SelfStock_Log[WeekIndex],17)=0,"",SUMIFS(T_SelfStock_Log[Self_Qty],T_SelfStock_Log[Part Name],$A32,T_SelfStock_Log[WeekIndex],17))</f>
        <v/>
      </c>
      <c r="S32" s="17">
        <f>IF(COUNTIFS(T_SelfStock_Log[Part Name],$A32,T_SelfStock_Log[WeekIndex],18)=0,"",SUMIFS(T_SelfStock_Log[Self_Qty],T_SelfStock_Log[Part Name],$A32,T_SelfStock_Log[WeekIndex],18))</f>
        <v/>
      </c>
      <c r="T32" s="17">
        <f>IF(COUNTIFS(T_SelfStock_Log[Part Name],$A32,T_SelfStock_Log[WeekIndex],19)=0,"",SUMIFS(T_SelfStock_Log[Self_Qty],T_SelfStock_Log[Part Name],$A32,T_SelfStock_Log[WeekIndex],19))</f>
        <v/>
      </c>
      <c r="U32" s="17">
        <f>IF(COUNTIFS(T_SelfStock_Log[Part Name],$A32,T_SelfStock_Log[WeekIndex],20)=0,"",SUMIFS(T_SelfStock_Log[Self_Qty],T_SelfStock_Log[Part Name],$A32,T_SelfStock_Log[WeekIndex],20))</f>
        <v/>
      </c>
      <c r="V32" s="17">
        <f>IF(COUNTIFS(T_SelfStock_Log[Part Name],$A32,T_SelfStock_Log[WeekIndex],21)=0,"",SUMIFS(T_SelfStock_Log[Self_Qty],T_SelfStock_Log[Part Name],$A32,T_SelfStock_Log[WeekIndex],21))</f>
        <v/>
      </c>
      <c r="W32" s="17">
        <f>IF(COUNTIFS(T_SelfStock_Log[Part Name],$A32,T_SelfStock_Log[WeekIndex],22)=0,"",SUMIFS(T_SelfStock_Log[Self_Qty],T_SelfStock_Log[Part Name],$A32,T_SelfStock_Log[WeekIndex],22))</f>
        <v/>
      </c>
      <c r="X32" s="17">
        <f>IF(COUNTIFS(T_SelfStock_Log[Part Name],$A32,T_SelfStock_Log[WeekIndex],23)=0,"",SUMIFS(T_SelfStock_Log[Self_Qty],T_SelfStock_Log[Part Name],$A32,T_SelfStock_Log[WeekIndex],23))</f>
        <v/>
      </c>
      <c r="Y32" s="17">
        <f>IF(COUNTIFS(T_SelfStock_Log[Part Name],$A32,T_SelfStock_Log[WeekIndex],24)=0,"",SUMIFS(T_SelfStock_Log[Self_Qty],T_SelfStock_Log[Part Name],$A32,T_SelfStock_Log[WeekIndex],24))</f>
        <v/>
      </c>
      <c r="Z32" s="17">
        <f>IF(COUNTIFS(T_SelfStock_Log[Part Name],$A32,T_SelfStock_Log[WeekIndex],25)=0,"",SUMIFS(T_SelfStock_Log[Self_Qty],T_SelfStock_Log[Part Name],$A32,T_SelfStock_Log[WeekIndex],25))</f>
        <v/>
      </c>
      <c r="AA32" s="17">
        <f>IF(COUNTIFS(T_SelfStock_Log[Part Name],$A32,T_SelfStock_Log[WeekIndex],26)=0,"",SUMIFS(T_SelfStock_Log[Self_Qty],T_SelfStock_Log[Part Name],$A32,T_SelfStock_Log[WeekIndex],26))</f>
        <v/>
      </c>
      <c r="AB32" s="17">
        <f>IF(COUNTIFS(T_SelfStock_Log[Part Name],$A32,T_SelfStock_Log[WeekIndex],27)=0,"",SUMIFS(T_SelfStock_Log[Self_Qty],T_SelfStock_Log[Part Name],$A32,T_SelfStock_Log[WeekIndex],27))</f>
        <v/>
      </c>
      <c r="AC32" s="17">
        <f>IF(COUNTIFS(T_SelfStock_Log[Part Name],$A32,T_SelfStock_Log[WeekIndex],28)=0,"",SUMIFS(T_SelfStock_Log[Self_Qty],T_SelfStock_Log[Part Name],$A32,T_SelfStock_Log[WeekIndex],28))</f>
        <v/>
      </c>
      <c r="AD32" s="17">
        <f>IF(COUNTIFS(T_SelfStock_Log[Part Name],$A32,T_SelfStock_Log[WeekIndex],29)=0,"",SUMIFS(T_SelfStock_Log[Self_Qty],T_SelfStock_Log[Part Name],$A32,T_SelfStock_Log[WeekIndex],29))</f>
        <v/>
      </c>
      <c r="AE32" s="17">
        <f>IF(COUNTIFS(T_SelfStock_Log[Part Name],$A32,T_SelfStock_Log[WeekIndex],30)=0,"",SUMIFS(T_SelfStock_Log[Self_Qty],T_SelfStock_Log[Part Name],$A32,T_SelfStock_Log[WeekIndex],30))</f>
        <v/>
      </c>
      <c r="AF32" s="17">
        <f>IF(COUNTIFS(T_SelfStock_Log[Part Name],$A32,T_SelfStock_Log[WeekIndex],31)=0,"",SUMIFS(T_SelfStock_Log[Self_Qty],T_SelfStock_Log[Part Name],$A32,T_SelfStock_Log[WeekIndex],31))</f>
        <v/>
      </c>
      <c r="AG32" s="17">
        <f>IF(COUNTIFS(T_SelfStock_Log[Part Name],$A32,T_SelfStock_Log[WeekIndex],32)=0,"",SUMIFS(T_SelfStock_Log[Self_Qty],T_SelfStock_Log[Part Name],$A32,T_SelfStock_Log[WeekIndex],32))</f>
        <v/>
      </c>
      <c r="AH32" s="17">
        <f>IF(COUNTIFS(T_SelfStock_Log[Part Name],$A32,T_SelfStock_Log[WeekIndex],33)=0,"",SUMIFS(T_SelfStock_Log[Self_Qty],T_SelfStock_Log[Part Name],$A32,T_SelfStock_Log[WeekIndex],33))</f>
        <v/>
      </c>
      <c r="AI32" s="17">
        <f>IF(COUNTIFS(T_SelfStock_Log[Part Name],$A32,T_SelfStock_Log[WeekIndex],34)=0,"",SUMIFS(T_SelfStock_Log[Self_Qty],T_SelfStock_Log[Part Name],$A32,T_SelfStock_Log[WeekIndex],34))</f>
        <v/>
      </c>
      <c r="AJ32" s="17">
        <f>IF(COUNTIFS(T_SelfStock_Log[Part Name],$A32,T_SelfStock_Log[WeekIndex],35)=0,"",SUMIFS(T_SelfStock_Log[Self_Qty],T_SelfStock_Log[Part Name],$A32,T_SelfStock_Log[WeekIndex],35))</f>
        <v/>
      </c>
      <c r="AK32" s="17">
        <f>IF(COUNTIFS(T_SelfStock_Log[Part Name],$A32,T_SelfStock_Log[WeekIndex],36)=0,"",SUMIFS(T_SelfStock_Log[Self_Qty],T_SelfStock_Log[Part Name],$A32,T_SelfStock_Log[WeekIndex],36))</f>
        <v/>
      </c>
      <c r="AL32" s="17">
        <f>IF(COUNTIFS(T_SelfStock_Log[Part Name],$A32,T_SelfStock_Log[WeekIndex],37)=0,"",SUMIFS(T_SelfStock_Log[Self_Qty],T_SelfStock_Log[Part Name],$A32,T_SelfStock_Log[WeekIndex],37))</f>
        <v/>
      </c>
      <c r="AM32" s="17">
        <f>IF(COUNTIFS(T_SelfStock_Log[Part Name],$A32,T_SelfStock_Log[WeekIndex],38)=0,"",SUMIFS(T_SelfStock_Log[Self_Qty],T_SelfStock_Log[Part Name],$A32,T_SelfStock_Log[WeekIndex],38))</f>
        <v/>
      </c>
      <c r="AN32" s="17">
        <f>IF(COUNTIFS(T_SelfStock_Log[Part Name],$A32,T_SelfStock_Log[WeekIndex],39)=0,"",SUMIFS(T_SelfStock_Log[Self_Qty],T_SelfStock_Log[Part Name],$A32,T_SelfStock_Log[WeekIndex],39))</f>
        <v/>
      </c>
      <c r="AO32" s="17">
        <f>IF(COUNTIFS(T_SelfStock_Log[Part Name],$A32,T_SelfStock_Log[WeekIndex],40)=0,"",SUMIFS(T_SelfStock_Log[Self_Qty],T_SelfStock_Log[Part Name],$A32,T_SelfStock_Log[WeekIndex],40))</f>
        <v/>
      </c>
      <c r="AP32" s="17">
        <f>IF(COUNTIFS(T_SelfStock_Log[Part Name],$A32,T_SelfStock_Log[WeekIndex],41)=0,"",SUMIFS(T_SelfStock_Log[Self_Qty],T_SelfStock_Log[Part Name],$A32,T_SelfStock_Log[WeekIndex],41))</f>
        <v/>
      </c>
      <c r="AQ32" s="17">
        <f>IF(COUNTIFS(T_SelfStock_Log[Part Name],$A32,T_SelfStock_Log[WeekIndex],42)=0,"",SUMIFS(T_SelfStock_Log[Self_Qty],T_SelfStock_Log[Part Name],$A32,T_SelfStock_Log[WeekIndex],42))</f>
        <v/>
      </c>
      <c r="AR32" s="17">
        <f>IF(COUNTIFS(T_SelfStock_Log[Part Name],$A32,T_SelfStock_Log[WeekIndex],43)=0,"",SUMIFS(T_SelfStock_Log[Self_Qty],T_SelfStock_Log[Part Name],$A32,T_SelfStock_Log[WeekIndex],43))</f>
        <v/>
      </c>
      <c r="AS32" s="17">
        <f>IF(COUNTIFS(T_SelfStock_Log[Part Name],$A32,T_SelfStock_Log[WeekIndex],44)=0,"",SUMIFS(T_SelfStock_Log[Self_Qty],T_SelfStock_Log[Part Name],$A32,T_SelfStock_Log[WeekIndex],44))</f>
        <v/>
      </c>
      <c r="AT32" s="17">
        <f>IF(COUNTIFS(T_SelfStock_Log[Part Name],$A32,T_SelfStock_Log[WeekIndex],45)=0,"",SUMIFS(T_SelfStock_Log[Self_Qty],T_SelfStock_Log[Part Name],$A32,T_SelfStock_Log[WeekIndex],45))</f>
        <v/>
      </c>
      <c r="AU32" s="17">
        <f>IF(COUNTIFS(T_SelfStock_Log[Part Name],$A32,T_SelfStock_Log[WeekIndex],46)=0,"",SUMIFS(T_SelfStock_Log[Self_Qty],T_SelfStock_Log[Part Name],$A32,T_SelfStock_Log[WeekIndex],46))</f>
        <v/>
      </c>
      <c r="AV32" s="17">
        <f>IF(COUNTIFS(T_SelfStock_Log[Part Name],$A32,T_SelfStock_Log[WeekIndex],47)=0,"",SUMIFS(T_SelfStock_Log[Self_Qty],T_SelfStock_Log[Part Name],$A32,T_SelfStock_Log[WeekIndex],47))</f>
        <v/>
      </c>
      <c r="AW32" s="17">
        <f>IF(COUNTIFS(T_SelfStock_Log[Part Name],$A32,T_SelfStock_Log[WeekIndex],48)=0,"",SUMIFS(T_SelfStock_Log[Self_Qty],T_SelfStock_Log[Part Name],$A32,T_SelfStock_Log[WeekIndex],48))</f>
        <v/>
      </c>
      <c r="AX32" s="17">
        <f>IF(COUNTIFS(T_SelfStock_Log[Part Name],$A32,T_SelfStock_Log[WeekIndex],49)=0,"",SUMIFS(T_SelfStock_Log[Self_Qty],T_SelfStock_Log[Part Name],$A32,T_SelfStock_Log[WeekIndex],49))</f>
        <v/>
      </c>
      <c r="AY32" s="17">
        <f>IF(COUNTIFS(T_SelfStock_Log[Part Name],$A32,T_SelfStock_Log[WeekIndex],50)=0,"",SUMIFS(T_SelfStock_Log[Self_Qty],T_SelfStock_Log[Part Name],$A32,T_SelfStock_Log[WeekIndex],50))</f>
        <v/>
      </c>
      <c r="AZ32" s="17">
        <f>IF(COUNTIFS(T_SelfStock_Log[Part Name],$A32,T_SelfStock_Log[WeekIndex],51)=0,"",SUMIFS(T_SelfStock_Log[Self_Qty],T_SelfStock_Log[Part Name],$A32,T_SelfStock_Log[WeekIndex],51))</f>
        <v/>
      </c>
      <c r="BA32" s="17">
        <f>IF(COUNTIFS(T_SelfStock_Log[Part Name],$A32,T_SelfStock_Log[WeekIndex],52)=0,"",SUMIFS(T_SelfStock_Log[Self_Qty],T_SelfStock_Log[Part Name],$A32,T_SelfStock_Log[WeekIndex],52))</f>
        <v/>
      </c>
      <c r="BB32" s="17">
        <f>IF(COUNTIFS(T_SelfStock_Log[Part Name],$A32,T_SelfStock_Log[WeekIndex],53)=0,"",SUMIFS(T_SelfStock_Log[Self_Qty],T_SelfStock_Log[Part Name],$A32,T_SelfStock_Log[WeekIndex],53))</f>
        <v/>
      </c>
      <c r="BC32" s="17">
        <f>IF(COUNTIFS(T_SelfStock_Log[Part Name],$A32,T_SelfStock_Log[WeekIndex],54)=0,"",SUMIFS(T_SelfStock_Log[Self_Qty],T_SelfStock_Log[Part Name],$A32,T_SelfStock_Log[WeekIndex],54))</f>
        <v/>
      </c>
      <c r="BD32" s="17">
        <f>IF(COUNTIFS(T_SelfStock_Log[Part Name],$A32,T_SelfStock_Log[WeekIndex],55)=0,"",SUMIFS(T_SelfStock_Log[Self_Qty],T_SelfStock_Log[Part Name],$A32,T_SelfStock_Log[WeekIndex],55))</f>
        <v/>
      </c>
      <c r="BE32" s="17">
        <f>IF(COUNTIFS(T_SelfStock_Log[Part Name],$A32,T_SelfStock_Log[WeekIndex],56)=0,"",SUMIFS(T_SelfStock_Log[Self_Qty],T_SelfStock_Log[Part Name],$A32,T_SelfStock_Log[WeekIndex],56))</f>
        <v/>
      </c>
      <c r="BF32" s="17">
        <f>IF(COUNTIFS(T_SelfStock_Log[Part Name],$A32,T_SelfStock_Log[WeekIndex],57)=0,"",SUMIFS(T_SelfStock_Log[Self_Qty],T_SelfStock_Log[Part Name],$A32,T_SelfStock_Log[WeekIndex],57))</f>
        <v/>
      </c>
      <c r="BG32" s="17">
        <f>IF(COUNTIFS(T_SelfStock_Log[Part Name],$A32,T_SelfStock_Log[WeekIndex],58)=0,"",SUMIFS(T_SelfStock_Log[Self_Qty],T_SelfStock_Log[Part Name],$A32,T_SelfStock_Log[WeekIndex],58))</f>
        <v/>
      </c>
      <c r="BH32" s="17">
        <f>IF(COUNTIFS(T_SelfStock_Log[Part Name],$A32,T_SelfStock_Log[WeekIndex],59)=0,"",SUMIFS(T_SelfStock_Log[Self_Qty],T_SelfStock_Log[Part Name],$A32,T_SelfStock_Log[WeekIndex],59))</f>
        <v/>
      </c>
      <c r="BI32" s="17">
        <f>IF(COUNTIFS(T_SelfStock_Log[Part Name],$A32,T_SelfStock_Log[WeekIndex],60)=0,"",SUMIFS(T_SelfStock_Log[Self_Qty],T_SelfStock_Log[Part Name],$A32,T_SelfStock_Log[WeekIndex],60))</f>
        <v/>
      </c>
      <c r="BJ32" s="17">
        <f>IF(COUNTIFS(T_SelfStock_Log[Part Name],$A32,T_SelfStock_Log[WeekIndex],61)=0,"",SUMIFS(T_SelfStock_Log[Self_Qty],T_SelfStock_Log[Part Name],$A32,T_SelfStock_Log[WeekIndex],61))</f>
        <v/>
      </c>
      <c r="BK32" s="17">
        <f>IF(COUNTIFS(T_SelfStock_Log[Part Name],$A32,T_SelfStock_Log[WeekIndex],62)=0,"",SUMIFS(T_SelfStock_Log[Self_Qty],T_SelfStock_Log[Part Name],$A32,T_SelfStock_Log[WeekIndex],62))</f>
        <v/>
      </c>
      <c r="BL32" s="17">
        <f>IF(COUNTIFS(T_SelfStock_Log[Part Name],$A32,T_SelfStock_Log[WeekIndex],63)=0,"",SUMIFS(T_SelfStock_Log[Self_Qty],T_SelfStock_Log[Part Name],$A32,T_SelfStock_Log[WeekIndex],63))</f>
        <v/>
      </c>
      <c r="BM32" s="17">
        <f>IF(COUNTIFS(T_SelfStock_Log[Part Name],$A32,T_SelfStock_Log[WeekIndex],64)=0,"",SUMIFS(T_SelfStock_Log[Self_Qty],T_SelfStock_Log[Part Name],$A32,T_SelfStock_Log[WeekIndex],64))</f>
        <v/>
      </c>
      <c r="BN32" s="17">
        <f>IF(COUNTIFS(T_SelfStock_Log[Part Name],$A32,T_SelfStock_Log[WeekIndex],65)=0,"",SUMIFS(T_SelfStock_Log[Self_Qty],T_SelfStock_Log[Part Name],$A32,T_SelfStock_Log[WeekIndex],65))</f>
        <v/>
      </c>
      <c r="BO32" s="17">
        <f>IF(COUNTIFS(T_SelfStock_Log[Part Name],$A32,T_SelfStock_Log[WeekIndex],66)=0,"",SUMIFS(T_SelfStock_Log[Self_Qty],T_SelfStock_Log[Part Name],$A32,T_SelfStock_Log[WeekIndex],66))</f>
        <v/>
      </c>
      <c r="BP32" s="17">
        <f>IF(COUNTIFS(T_SelfStock_Log[Part Name],$A32,T_SelfStock_Log[WeekIndex],67)=0,"",SUMIFS(T_SelfStock_Log[Self_Qty],T_SelfStock_Log[Part Name],$A32,T_SelfStock_Log[WeekIndex],67))</f>
        <v/>
      </c>
      <c r="BQ32" s="17">
        <f>IF(COUNTIFS(T_SelfStock_Log[Part Name],$A32,T_SelfStock_Log[WeekIndex],68)=0,"",SUMIFS(T_SelfStock_Log[Self_Qty],T_SelfStock_Log[Part Name],$A32,T_SelfStock_Log[WeekIndex],68))</f>
        <v/>
      </c>
      <c r="BR32" s="17">
        <f>IF(COUNTIFS(T_SelfStock_Log[Part Name],$A32,T_SelfStock_Log[WeekIndex],69)=0,"",SUMIFS(T_SelfStock_Log[Self_Qty],T_SelfStock_Log[Part Name],$A32,T_SelfStock_Log[WeekIndex],69))</f>
        <v/>
      </c>
      <c r="BS32" s="17">
        <f>IF(COUNTIFS(T_SelfStock_Log[Part Name],$A32,T_SelfStock_Log[WeekIndex],70)=0,"",SUMIFS(T_SelfStock_Log[Self_Qty],T_SelfStock_Log[Part Name],$A32,T_SelfStock_Log[WeekIndex],70))</f>
        <v/>
      </c>
      <c r="BT32" s="17">
        <f>IF(COUNTIFS(T_SelfStock_Log[Part Name],$A32,T_SelfStock_Log[WeekIndex],71)=0,"",SUMIFS(T_SelfStock_Log[Self_Qty],T_SelfStock_Log[Part Name],$A32,T_SelfStock_Log[WeekIndex],71))</f>
        <v/>
      </c>
      <c r="BU32" s="17">
        <f>IF(COUNTIFS(T_SelfStock_Log[Part Name],$A32,T_SelfStock_Log[WeekIndex],72)=0,"",SUMIFS(T_SelfStock_Log[Self_Qty],T_SelfStock_Log[Part Name],$A32,T_SelfStock_Log[WeekIndex],72))</f>
        <v/>
      </c>
      <c r="BV32" s="17">
        <f>IF(COUNTIFS(T_SelfStock_Log[Part Name],$A32,T_SelfStock_Log[WeekIndex],73)=0,"",SUMIFS(T_SelfStock_Log[Self_Qty],T_SelfStock_Log[Part Name],$A32,T_SelfStock_Log[WeekIndex],73))</f>
        <v/>
      </c>
      <c r="BW32" s="17">
        <f>IF(COUNTIFS(T_SelfStock_Log[Part Name],$A32,T_SelfStock_Log[WeekIndex],74)=0,"",SUMIFS(T_SelfStock_Log[Self_Qty],T_SelfStock_Log[Part Name],$A32,T_SelfStock_Log[WeekIndex],74))</f>
        <v/>
      </c>
      <c r="BX32" s="17">
        <f>IF(COUNTIFS(T_SelfStock_Log[Part Name],$A32,T_SelfStock_Log[WeekIndex],75)=0,"",SUMIFS(T_SelfStock_Log[Self_Qty],T_SelfStock_Log[Part Name],$A32,T_SelfStock_Log[WeekIndex],75))</f>
        <v/>
      </c>
      <c r="BY32" s="17">
        <f>IF(COUNTIFS(T_SelfStock_Log[Part Name],$A32,T_SelfStock_Log[WeekIndex],76)=0,"",SUMIFS(T_SelfStock_Log[Self_Qty],T_SelfStock_Log[Part Name],$A32,T_SelfStock_Log[WeekIndex],76))</f>
        <v/>
      </c>
      <c r="BZ32" s="17">
        <f>IF(COUNTIFS(T_SelfStock_Log[Part Name],$A32,T_SelfStock_Log[WeekIndex],77)=0,"",SUMIFS(T_SelfStock_Log[Self_Qty],T_SelfStock_Log[Part Name],$A32,T_SelfStock_Log[WeekIndex],77))</f>
        <v/>
      </c>
      <c r="CA32" s="17">
        <f>IF(COUNTIFS(T_SelfStock_Log[Part Name],$A32,T_SelfStock_Log[WeekIndex],78)=0,"",SUMIFS(T_SelfStock_Log[Self_Qty],T_SelfStock_Log[Part Name],$A32,T_SelfStock_Log[WeekIndex],78))</f>
        <v/>
      </c>
      <c r="CB32" s="17">
        <f>IF(COUNTIFS(T_SelfStock_Log[Part Name],$A32,T_SelfStock_Log[WeekIndex],79)=0,"",SUMIFS(T_SelfStock_Log[Self_Qty],T_SelfStock_Log[Part Name],$A32,T_SelfStock_Log[WeekIndex],79))</f>
        <v/>
      </c>
      <c r="CC32" s="17">
        <f>IF(COUNTIFS(T_SelfStock_Log[Part Name],$A32,T_SelfStock_Log[WeekIndex],80)=0,"",SUMIFS(T_SelfStock_Log[Self_Qty],T_SelfStock_Log[Part Name],$A32,T_SelfStock_Log[WeekIndex],80))</f>
        <v/>
      </c>
      <c r="CD32" s="17">
        <f>IF(COUNTIFS(T_SelfStock_Log[Part Name],$A32,T_SelfStock_Log[WeekIndex],81)=0,"",SUMIFS(T_SelfStock_Log[Self_Qty],T_SelfStock_Log[Part Name],$A32,T_SelfStock_Log[WeekIndex],81))</f>
        <v/>
      </c>
      <c r="CE32" s="17">
        <f>IF(COUNTIFS(T_SelfStock_Log[Part Name],$A32,T_SelfStock_Log[WeekIndex],82)=0,"",SUMIFS(T_SelfStock_Log[Self_Qty],T_SelfStock_Log[Part Name],$A32,T_SelfStock_Log[WeekIndex],82))</f>
        <v/>
      </c>
      <c r="CF32" s="17">
        <f>IF(COUNTIFS(T_SelfStock_Log[Part Name],$A32,T_SelfStock_Log[WeekIndex],83)=0,"",SUMIFS(T_SelfStock_Log[Self_Qty],T_SelfStock_Log[Part Name],$A32,T_SelfStock_Log[WeekIndex],83))</f>
        <v/>
      </c>
      <c r="CG32" s="17">
        <f>IF(COUNTIFS(T_SelfStock_Log[Part Name],$A32,T_SelfStock_Log[WeekIndex],84)=0,"",SUMIFS(T_SelfStock_Log[Self_Qty],T_SelfStock_Log[Part Name],$A32,T_SelfStock_Log[WeekIndex],84))</f>
        <v/>
      </c>
      <c r="CH32" s="17">
        <f>IF(COUNTIFS(T_SelfStock_Log[Part Name],$A32,T_SelfStock_Log[WeekIndex],85)=0,"",SUMIFS(T_SelfStock_Log[Self_Qty],T_SelfStock_Log[Part Name],$A32,T_SelfStock_Log[WeekIndex],85))</f>
        <v/>
      </c>
      <c r="CI32" s="17">
        <f>IF(COUNTIFS(T_SelfStock_Log[Part Name],$A32,T_SelfStock_Log[WeekIndex],86)=0,"",SUMIFS(T_SelfStock_Log[Self_Qty],T_SelfStock_Log[Part Name],$A32,T_SelfStock_Log[WeekIndex],86))</f>
        <v/>
      </c>
      <c r="CJ32" s="17">
        <f>IF(COUNTIFS(T_SelfStock_Log[Part Name],$A32,T_SelfStock_Log[WeekIndex],87)=0,"",SUMIFS(T_SelfStock_Log[Self_Qty],T_SelfStock_Log[Part Name],$A32,T_SelfStock_Log[WeekIndex],87))</f>
        <v/>
      </c>
      <c r="CK32" s="17">
        <f>IF(COUNTIFS(T_SelfStock_Log[Part Name],$A32,T_SelfStock_Log[WeekIndex],88)=0,"",SUMIFS(T_SelfStock_Log[Self_Qty],T_SelfStock_Log[Part Name],$A32,T_SelfStock_Log[WeekIndex],88))</f>
        <v/>
      </c>
      <c r="CL32" s="17">
        <f>IF(COUNTIFS(T_SelfStock_Log[Part Name],$A32,T_SelfStock_Log[WeekIndex],89)=0,"",SUMIFS(T_SelfStock_Log[Self_Qty],T_SelfStock_Log[Part Name],$A32,T_SelfStock_Log[WeekIndex],89))</f>
        <v/>
      </c>
      <c r="CM32" s="17">
        <f>IF(COUNTIFS(T_SelfStock_Log[Part Name],$A32,T_SelfStock_Log[WeekIndex],90)=0,"",SUMIFS(T_SelfStock_Log[Self_Qty],T_SelfStock_Log[Part Name],$A32,T_SelfStock_Log[WeekIndex],90))</f>
        <v/>
      </c>
      <c r="CN32" s="17">
        <f>IF(COUNTIFS(T_SelfStock_Log[Part Name],$A32,T_SelfStock_Log[WeekIndex],91)=0,"",SUMIFS(T_SelfStock_Log[Self_Qty],T_SelfStock_Log[Part Name],$A32,T_SelfStock_Log[WeekIndex],91))</f>
        <v/>
      </c>
      <c r="CO32" s="17">
        <f>IF(COUNTIFS(T_SelfStock_Log[Part Name],$A32,T_SelfStock_Log[WeekIndex],92)=0,"",SUMIFS(T_SelfStock_Log[Self_Qty],T_SelfStock_Log[Part Name],$A32,T_SelfStock_Log[WeekIndex],92))</f>
        <v/>
      </c>
      <c r="CP32" s="17">
        <f>IF(COUNTIFS(T_SelfStock_Log[Part Name],$A32,T_SelfStock_Log[WeekIndex],93)=0,"",SUMIFS(T_SelfStock_Log[Self_Qty],T_SelfStock_Log[Part Name],$A32,T_SelfStock_Log[WeekIndex],93))</f>
        <v/>
      </c>
      <c r="CQ32" s="17">
        <f>IF(COUNTIFS(T_SelfStock_Log[Part Name],$A32,T_SelfStock_Log[WeekIndex],94)=0,"",SUMIFS(T_SelfStock_Log[Self_Qty],T_SelfStock_Log[Part Name],$A32,T_SelfStock_Log[WeekIndex],94))</f>
        <v/>
      </c>
      <c r="CR32" s="17">
        <f>IF(COUNTIFS(T_SelfStock_Log[Part Name],$A32,T_SelfStock_Log[WeekIndex],95)=0,"",SUMIFS(T_SelfStock_Log[Self_Qty],T_SelfStock_Log[Part Name],$A32,T_SelfStock_Log[WeekIndex],95))</f>
        <v/>
      </c>
      <c r="CS32" s="17">
        <f>IF(COUNTIFS(T_SelfStock_Log[Part Name],$A32,T_SelfStock_Log[WeekIndex],96)=0,"",SUMIFS(T_SelfStock_Log[Self_Qty],T_SelfStock_Log[Part Name],$A32,T_SelfStock_Log[WeekIndex],96))</f>
        <v/>
      </c>
      <c r="CT32" s="17">
        <f>IF(COUNTIFS(T_SelfStock_Log[Part Name],$A32,T_SelfStock_Log[WeekIndex],97)=0,"",SUMIFS(T_SelfStock_Log[Self_Qty],T_SelfStock_Log[Part Name],$A32,T_SelfStock_Log[WeekIndex],97))</f>
        <v/>
      </c>
      <c r="CU32" s="17">
        <f>IF(COUNTIFS(T_SelfStock_Log[Part Name],$A32,T_SelfStock_Log[WeekIndex],98)=0,"",SUMIFS(T_SelfStock_Log[Self_Qty],T_SelfStock_Log[Part Name],$A32,T_SelfStock_Log[WeekIndex],98))</f>
        <v/>
      </c>
      <c r="CV32" s="17">
        <f>IF(COUNTIFS(T_SelfStock_Log[Part Name],$A32,T_SelfStock_Log[WeekIndex],99)=0,"",SUMIFS(T_SelfStock_Log[Self_Qty],T_SelfStock_Log[Part Name],$A32,T_SelfStock_Log[WeekIndex],99))</f>
        <v/>
      </c>
      <c r="CW32" s="17">
        <f>IF(COUNTIFS(T_SelfStock_Log[Part Name],$A32,T_SelfStock_Log[WeekIndex],100)=0,"",SUMIFS(T_SelfStock_Log[Self_Qty],T_SelfStock_Log[Part Name],$A32,T_SelfStock_Log[WeekIndex],100))</f>
        <v/>
      </c>
      <c r="CX32" s="17">
        <f>IF(COUNTIFS(T_SelfStock_Log[Part Name],$A32,T_SelfStock_Log[WeekIndex],101)=0,"",SUMIFS(T_SelfStock_Log[Self_Qty],T_SelfStock_Log[Part Name],$A32,T_SelfStock_Log[WeekIndex],101))</f>
        <v/>
      </c>
      <c r="CY32" s="17">
        <f>IF(COUNTIFS(T_SelfStock_Log[Part Name],$A32,T_SelfStock_Log[WeekIndex],102)=0,"",SUMIFS(T_SelfStock_Log[Self_Qty],T_SelfStock_Log[Part Name],$A32,T_SelfStock_Log[WeekIndex],102))</f>
        <v/>
      </c>
      <c r="CZ32" s="17">
        <f>IF(COUNTIFS(T_SelfStock_Log[Part Name],$A32,T_SelfStock_Log[WeekIndex],103)=0,"",SUMIFS(T_SelfStock_Log[Self_Qty],T_SelfStock_Log[Part Name],$A32,T_SelfStock_Log[WeekIndex],103))</f>
        <v/>
      </c>
      <c r="DA32" s="17">
        <f>IF(COUNTIFS(T_SelfStock_Log[Part Name],$A32,T_SelfStock_Log[WeekIndex],104)=0,"",SUMIFS(T_SelfStock_Log[Self_Qty],T_SelfStock_Log[Part Name],$A32,T_SelfStock_Log[WeekIndex],104))</f>
        <v/>
      </c>
    </row>
    <row r="33">
      <c r="A33" s="19" t="inlineStr">
        <is>
          <t>CHEM-1120</t>
        </is>
      </c>
      <c r="B33" s="19">
        <f>IF(COUNTIFS(T_SelfStock_Log[Part Name],$A33,T_SelfStock_Log[WeekIndex],1)=0,"",SUMIFS(T_SelfStock_Log[Self_Qty],T_SelfStock_Log[Part Name],$A33,T_SelfStock_Log[WeekIndex],1))</f>
        <v/>
      </c>
      <c r="C33" s="19">
        <f>IF(COUNTIFS(T_SelfStock_Log[Part Name],$A33,T_SelfStock_Log[WeekIndex],2)=0,"",SUMIFS(T_SelfStock_Log[Self_Qty],T_SelfStock_Log[Part Name],$A33,T_SelfStock_Log[WeekIndex],2))</f>
        <v/>
      </c>
      <c r="D33" s="19">
        <f>IF(COUNTIFS(T_SelfStock_Log[Part Name],$A33,T_SelfStock_Log[WeekIndex],3)=0,"",SUMIFS(T_SelfStock_Log[Self_Qty],T_SelfStock_Log[Part Name],$A33,T_SelfStock_Log[WeekIndex],3))</f>
        <v/>
      </c>
      <c r="E33" s="19">
        <f>IF(COUNTIFS(T_SelfStock_Log[Part Name],$A33,T_SelfStock_Log[WeekIndex],4)=0,"",SUMIFS(T_SelfStock_Log[Self_Qty],T_SelfStock_Log[Part Name],$A33,T_SelfStock_Log[WeekIndex],4))</f>
        <v/>
      </c>
      <c r="F33" s="19">
        <f>IF(COUNTIFS(T_SelfStock_Log[Part Name],$A33,T_SelfStock_Log[WeekIndex],5)=0,"",SUMIFS(T_SelfStock_Log[Self_Qty],T_SelfStock_Log[Part Name],$A33,T_SelfStock_Log[WeekIndex],5))</f>
        <v/>
      </c>
      <c r="G33" s="19">
        <f>IF(COUNTIFS(T_SelfStock_Log[Part Name],$A33,T_SelfStock_Log[WeekIndex],6)=0,"",SUMIFS(T_SelfStock_Log[Self_Qty],T_SelfStock_Log[Part Name],$A33,T_SelfStock_Log[WeekIndex],6))</f>
        <v/>
      </c>
      <c r="H33" s="19">
        <f>IF(COUNTIFS(T_SelfStock_Log[Part Name],$A33,T_SelfStock_Log[WeekIndex],7)=0,"",SUMIFS(T_SelfStock_Log[Self_Qty],T_SelfStock_Log[Part Name],$A33,T_SelfStock_Log[WeekIndex],7))</f>
        <v/>
      </c>
      <c r="I33" s="19">
        <f>IF(COUNTIFS(T_SelfStock_Log[Part Name],$A33,T_SelfStock_Log[WeekIndex],8)=0,"",SUMIFS(T_SelfStock_Log[Self_Qty],T_SelfStock_Log[Part Name],$A33,T_SelfStock_Log[WeekIndex],8))</f>
        <v/>
      </c>
      <c r="J33" s="19">
        <f>IF(COUNTIFS(T_SelfStock_Log[Part Name],$A33,T_SelfStock_Log[WeekIndex],9)=0,"",SUMIFS(T_SelfStock_Log[Self_Qty],T_SelfStock_Log[Part Name],$A33,T_SelfStock_Log[WeekIndex],9))</f>
        <v/>
      </c>
      <c r="K33" s="19">
        <f>IF(COUNTIFS(T_SelfStock_Log[Part Name],$A33,T_SelfStock_Log[WeekIndex],10)=0,"",SUMIFS(T_SelfStock_Log[Self_Qty],T_SelfStock_Log[Part Name],$A33,T_SelfStock_Log[WeekIndex],10))</f>
        <v/>
      </c>
      <c r="L33" s="19">
        <f>IF(COUNTIFS(T_SelfStock_Log[Part Name],$A33,T_SelfStock_Log[WeekIndex],11)=0,"",SUMIFS(T_SelfStock_Log[Self_Qty],T_SelfStock_Log[Part Name],$A33,T_SelfStock_Log[WeekIndex],11))</f>
        <v/>
      </c>
      <c r="M33" s="19">
        <f>IF(COUNTIFS(T_SelfStock_Log[Part Name],$A33,T_SelfStock_Log[WeekIndex],12)=0,"",SUMIFS(T_SelfStock_Log[Self_Qty],T_SelfStock_Log[Part Name],$A33,T_SelfStock_Log[WeekIndex],12))</f>
        <v/>
      </c>
      <c r="N33" s="19">
        <f>IF(COUNTIFS(T_SelfStock_Log[Part Name],$A33,T_SelfStock_Log[WeekIndex],13)=0,"",SUMIFS(T_SelfStock_Log[Self_Qty],T_SelfStock_Log[Part Name],$A33,T_SelfStock_Log[WeekIndex],13))</f>
        <v/>
      </c>
      <c r="O33" s="19">
        <f>IF(COUNTIFS(T_SelfStock_Log[Part Name],$A33,T_SelfStock_Log[WeekIndex],14)=0,"",SUMIFS(T_SelfStock_Log[Self_Qty],T_SelfStock_Log[Part Name],$A33,T_SelfStock_Log[WeekIndex],14))</f>
        <v/>
      </c>
      <c r="P33" s="19">
        <f>IF(COUNTIFS(T_SelfStock_Log[Part Name],$A33,T_SelfStock_Log[WeekIndex],15)=0,"",SUMIFS(T_SelfStock_Log[Self_Qty],T_SelfStock_Log[Part Name],$A33,T_SelfStock_Log[WeekIndex],15))</f>
        <v/>
      </c>
      <c r="Q33" s="19">
        <f>IF(COUNTIFS(T_SelfStock_Log[Part Name],$A33,T_SelfStock_Log[WeekIndex],16)=0,"",SUMIFS(T_SelfStock_Log[Self_Qty],T_SelfStock_Log[Part Name],$A33,T_SelfStock_Log[WeekIndex],16))</f>
        <v/>
      </c>
      <c r="R33" s="19">
        <f>IF(COUNTIFS(T_SelfStock_Log[Part Name],$A33,T_SelfStock_Log[WeekIndex],17)=0,"",SUMIFS(T_SelfStock_Log[Self_Qty],T_SelfStock_Log[Part Name],$A33,T_SelfStock_Log[WeekIndex],17))</f>
        <v/>
      </c>
      <c r="S33" s="19">
        <f>IF(COUNTIFS(T_SelfStock_Log[Part Name],$A33,T_SelfStock_Log[WeekIndex],18)=0,"",SUMIFS(T_SelfStock_Log[Self_Qty],T_SelfStock_Log[Part Name],$A33,T_SelfStock_Log[WeekIndex],18))</f>
        <v/>
      </c>
      <c r="T33" s="19">
        <f>IF(COUNTIFS(T_SelfStock_Log[Part Name],$A33,T_SelfStock_Log[WeekIndex],19)=0,"",SUMIFS(T_SelfStock_Log[Self_Qty],T_SelfStock_Log[Part Name],$A33,T_SelfStock_Log[WeekIndex],19))</f>
        <v/>
      </c>
      <c r="U33" s="19">
        <f>IF(COUNTIFS(T_SelfStock_Log[Part Name],$A33,T_SelfStock_Log[WeekIndex],20)=0,"",SUMIFS(T_SelfStock_Log[Self_Qty],T_SelfStock_Log[Part Name],$A33,T_SelfStock_Log[WeekIndex],20))</f>
        <v/>
      </c>
      <c r="V33" s="19">
        <f>IF(COUNTIFS(T_SelfStock_Log[Part Name],$A33,T_SelfStock_Log[WeekIndex],21)=0,"",SUMIFS(T_SelfStock_Log[Self_Qty],T_SelfStock_Log[Part Name],$A33,T_SelfStock_Log[WeekIndex],21))</f>
        <v/>
      </c>
      <c r="W33" s="19">
        <f>IF(COUNTIFS(T_SelfStock_Log[Part Name],$A33,T_SelfStock_Log[WeekIndex],22)=0,"",SUMIFS(T_SelfStock_Log[Self_Qty],T_SelfStock_Log[Part Name],$A33,T_SelfStock_Log[WeekIndex],22))</f>
        <v/>
      </c>
      <c r="X33" s="19">
        <f>IF(COUNTIFS(T_SelfStock_Log[Part Name],$A33,T_SelfStock_Log[WeekIndex],23)=0,"",SUMIFS(T_SelfStock_Log[Self_Qty],T_SelfStock_Log[Part Name],$A33,T_SelfStock_Log[WeekIndex],23))</f>
        <v/>
      </c>
      <c r="Y33" s="19">
        <f>IF(COUNTIFS(T_SelfStock_Log[Part Name],$A33,T_SelfStock_Log[WeekIndex],24)=0,"",SUMIFS(T_SelfStock_Log[Self_Qty],T_SelfStock_Log[Part Name],$A33,T_SelfStock_Log[WeekIndex],24))</f>
        <v/>
      </c>
      <c r="Z33" s="19">
        <f>IF(COUNTIFS(T_SelfStock_Log[Part Name],$A33,T_SelfStock_Log[WeekIndex],25)=0,"",SUMIFS(T_SelfStock_Log[Self_Qty],T_SelfStock_Log[Part Name],$A33,T_SelfStock_Log[WeekIndex],25))</f>
        <v/>
      </c>
      <c r="AA33" s="19">
        <f>IF(COUNTIFS(T_SelfStock_Log[Part Name],$A33,T_SelfStock_Log[WeekIndex],26)=0,"",SUMIFS(T_SelfStock_Log[Self_Qty],T_SelfStock_Log[Part Name],$A33,T_SelfStock_Log[WeekIndex],26))</f>
        <v/>
      </c>
      <c r="AB33" s="19">
        <f>IF(COUNTIFS(T_SelfStock_Log[Part Name],$A33,T_SelfStock_Log[WeekIndex],27)=0,"",SUMIFS(T_SelfStock_Log[Self_Qty],T_SelfStock_Log[Part Name],$A33,T_SelfStock_Log[WeekIndex],27))</f>
        <v/>
      </c>
      <c r="AC33" s="19">
        <f>IF(COUNTIFS(T_SelfStock_Log[Part Name],$A33,T_SelfStock_Log[WeekIndex],28)=0,"",SUMIFS(T_SelfStock_Log[Self_Qty],T_SelfStock_Log[Part Name],$A33,T_SelfStock_Log[WeekIndex],28))</f>
        <v/>
      </c>
      <c r="AD33" s="19">
        <f>IF(COUNTIFS(T_SelfStock_Log[Part Name],$A33,T_SelfStock_Log[WeekIndex],29)=0,"",SUMIFS(T_SelfStock_Log[Self_Qty],T_SelfStock_Log[Part Name],$A33,T_SelfStock_Log[WeekIndex],29))</f>
        <v/>
      </c>
      <c r="AE33" s="19">
        <f>IF(COUNTIFS(T_SelfStock_Log[Part Name],$A33,T_SelfStock_Log[WeekIndex],30)=0,"",SUMIFS(T_SelfStock_Log[Self_Qty],T_SelfStock_Log[Part Name],$A33,T_SelfStock_Log[WeekIndex],30))</f>
        <v/>
      </c>
      <c r="AF33" s="19">
        <f>IF(COUNTIFS(T_SelfStock_Log[Part Name],$A33,T_SelfStock_Log[WeekIndex],31)=0,"",SUMIFS(T_SelfStock_Log[Self_Qty],T_SelfStock_Log[Part Name],$A33,T_SelfStock_Log[WeekIndex],31))</f>
        <v/>
      </c>
      <c r="AG33" s="19">
        <f>IF(COUNTIFS(T_SelfStock_Log[Part Name],$A33,T_SelfStock_Log[WeekIndex],32)=0,"",SUMIFS(T_SelfStock_Log[Self_Qty],T_SelfStock_Log[Part Name],$A33,T_SelfStock_Log[WeekIndex],32))</f>
        <v/>
      </c>
      <c r="AH33" s="19">
        <f>IF(COUNTIFS(T_SelfStock_Log[Part Name],$A33,T_SelfStock_Log[WeekIndex],33)=0,"",SUMIFS(T_SelfStock_Log[Self_Qty],T_SelfStock_Log[Part Name],$A33,T_SelfStock_Log[WeekIndex],33))</f>
        <v/>
      </c>
      <c r="AI33" s="19">
        <f>IF(COUNTIFS(T_SelfStock_Log[Part Name],$A33,T_SelfStock_Log[WeekIndex],34)=0,"",SUMIFS(T_SelfStock_Log[Self_Qty],T_SelfStock_Log[Part Name],$A33,T_SelfStock_Log[WeekIndex],34))</f>
        <v/>
      </c>
      <c r="AJ33" s="19">
        <f>IF(COUNTIFS(T_SelfStock_Log[Part Name],$A33,T_SelfStock_Log[WeekIndex],35)=0,"",SUMIFS(T_SelfStock_Log[Self_Qty],T_SelfStock_Log[Part Name],$A33,T_SelfStock_Log[WeekIndex],35))</f>
        <v/>
      </c>
      <c r="AK33" s="19">
        <f>IF(COUNTIFS(T_SelfStock_Log[Part Name],$A33,T_SelfStock_Log[WeekIndex],36)=0,"",SUMIFS(T_SelfStock_Log[Self_Qty],T_SelfStock_Log[Part Name],$A33,T_SelfStock_Log[WeekIndex],36))</f>
        <v/>
      </c>
      <c r="AL33" s="19">
        <f>IF(COUNTIFS(T_SelfStock_Log[Part Name],$A33,T_SelfStock_Log[WeekIndex],37)=0,"",SUMIFS(T_SelfStock_Log[Self_Qty],T_SelfStock_Log[Part Name],$A33,T_SelfStock_Log[WeekIndex],37))</f>
        <v/>
      </c>
      <c r="AM33" s="19">
        <f>IF(COUNTIFS(T_SelfStock_Log[Part Name],$A33,T_SelfStock_Log[WeekIndex],38)=0,"",SUMIFS(T_SelfStock_Log[Self_Qty],T_SelfStock_Log[Part Name],$A33,T_SelfStock_Log[WeekIndex],38))</f>
        <v/>
      </c>
      <c r="AN33" s="19">
        <f>IF(COUNTIFS(T_SelfStock_Log[Part Name],$A33,T_SelfStock_Log[WeekIndex],39)=0,"",SUMIFS(T_SelfStock_Log[Self_Qty],T_SelfStock_Log[Part Name],$A33,T_SelfStock_Log[WeekIndex],39))</f>
        <v/>
      </c>
      <c r="AO33" s="19">
        <f>IF(COUNTIFS(T_SelfStock_Log[Part Name],$A33,T_SelfStock_Log[WeekIndex],40)=0,"",SUMIFS(T_SelfStock_Log[Self_Qty],T_SelfStock_Log[Part Name],$A33,T_SelfStock_Log[WeekIndex],40))</f>
        <v/>
      </c>
      <c r="AP33" s="19">
        <f>IF(COUNTIFS(T_SelfStock_Log[Part Name],$A33,T_SelfStock_Log[WeekIndex],41)=0,"",SUMIFS(T_SelfStock_Log[Self_Qty],T_SelfStock_Log[Part Name],$A33,T_SelfStock_Log[WeekIndex],41))</f>
        <v/>
      </c>
      <c r="AQ33" s="19">
        <f>IF(COUNTIFS(T_SelfStock_Log[Part Name],$A33,T_SelfStock_Log[WeekIndex],42)=0,"",SUMIFS(T_SelfStock_Log[Self_Qty],T_SelfStock_Log[Part Name],$A33,T_SelfStock_Log[WeekIndex],42))</f>
        <v/>
      </c>
      <c r="AR33" s="19">
        <f>IF(COUNTIFS(T_SelfStock_Log[Part Name],$A33,T_SelfStock_Log[WeekIndex],43)=0,"",SUMIFS(T_SelfStock_Log[Self_Qty],T_SelfStock_Log[Part Name],$A33,T_SelfStock_Log[WeekIndex],43))</f>
        <v/>
      </c>
      <c r="AS33" s="19">
        <f>IF(COUNTIFS(T_SelfStock_Log[Part Name],$A33,T_SelfStock_Log[WeekIndex],44)=0,"",SUMIFS(T_SelfStock_Log[Self_Qty],T_SelfStock_Log[Part Name],$A33,T_SelfStock_Log[WeekIndex],44))</f>
        <v/>
      </c>
      <c r="AT33" s="19">
        <f>IF(COUNTIFS(T_SelfStock_Log[Part Name],$A33,T_SelfStock_Log[WeekIndex],45)=0,"",SUMIFS(T_SelfStock_Log[Self_Qty],T_SelfStock_Log[Part Name],$A33,T_SelfStock_Log[WeekIndex],45))</f>
        <v/>
      </c>
      <c r="AU33" s="19">
        <f>IF(COUNTIFS(T_SelfStock_Log[Part Name],$A33,T_SelfStock_Log[WeekIndex],46)=0,"",SUMIFS(T_SelfStock_Log[Self_Qty],T_SelfStock_Log[Part Name],$A33,T_SelfStock_Log[WeekIndex],46))</f>
        <v/>
      </c>
      <c r="AV33" s="19">
        <f>IF(COUNTIFS(T_SelfStock_Log[Part Name],$A33,T_SelfStock_Log[WeekIndex],47)=0,"",SUMIFS(T_SelfStock_Log[Self_Qty],T_SelfStock_Log[Part Name],$A33,T_SelfStock_Log[WeekIndex],47))</f>
        <v/>
      </c>
      <c r="AW33" s="19">
        <f>IF(COUNTIFS(T_SelfStock_Log[Part Name],$A33,T_SelfStock_Log[WeekIndex],48)=0,"",SUMIFS(T_SelfStock_Log[Self_Qty],T_SelfStock_Log[Part Name],$A33,T_SelfStock_Log[WeekIndex],48))</f>
        <v/>
      </c>
      <c r="AX33" s="19">
        <f>IF(COUNTIFS(T_SelfStock_Log[Part Name],$A33,T_SelfStock_Log[WeekIndex],49)=0,"",SUMIFS(T_SelfStock_Log[Self_Qty],T_SelfStock_Log[Part Name],$A33,T_SelfStock_Log[WeekIndex],49))</f>
        <v/>
      </c>
      <c r="AY33" s="19">
        <f>IF(COUNTIFS(T_SelfStock_Log[Part Name],$A33,T_SelfStock_Log[WeekIndex],50)=0,"",SUMIFS(T_SelfStock_Log[Self_Qty],T_SelfStock_Log[Part Name],$A33,T_SelfStock_Log[WeekIndex],50))</f>
        <v/>
      </c>
      <c r="AZ33" s="19">
        <f>IF(COUNTIFS(T_SelfStock_Log[Part Name],$A33,T_SelfStock_Log[WeekIndex],51)=0,"",SUMIFS(T_SelfStock_Log[Self_Qty],T_SelfStock_Log[Part Name],$A33,T_SelfStock_Log[WeekIndex],51))</f>
        <v/>
      </c>
      <c r="BA33" s="19">
        <f>IF(COUNTIFS(T_SelfStock_Log[Part Name],$A33,T_SelfStock_Log[WeekIndex],52)=0,"",SUMIFS(T_SelfStock_Log[Self_Qty],T_SelfStock_Log[Part Name],$A33,T_SelfStock_Log[WeekIndex],52))</f>
        <v/>
      </c>
      <c r="BB33" s="19">
        <f>IF(COUNTIFS(T_SelfStock_Log[Part Name],$A33,T_SelfStock_Log[WeekIndex],53)=0,"",SUMIFS(T_SelfStock_Log[Self_Qty],T_SelfStock_Log[Part Name],$A33,T_SelfStock_Log[WeekIndex],53))</f>
        <v/>
      </c>
      <c r="BC33" s="19">
        <f>IF(COUNTIFS(T_SelfStock_Log[Part Name],$A33,T_SelfStock_Log[WeekIndex],54)=0,"",SUMIFS(T_SelfStock_Log[Self_Qty],T_SelfStock_Log[Part Name],$A33,T_SelfStock_Log[WeekIndex],54))</f>
        <v/>
      </c>
      <c r="BD33" s="19">
        <f>IF(COUNTIFS(T_SelfStock_Log[Part Name],$A33,T_SelfStock_Log[WeekIndex],55)=0,"",SUMIFS(T_SelfStock_Log[Self_Qty],T_SelfStock_Log[Part Name],$A33,T_SelfStock_Log[WeekIndex],55))</f>
        <v/>
      </c>
      <c r="BE33" s="19">
        <f>IF(COUNTIFS(T_SelfStock_Log[Part Name],$A33,T_SelfStock_Log[WeekIndex],56)=0,"",SUMIFS(T_SelfStock_Log[Self_Qty],T_SelfStock_Log[Part Name],$A33,T_SelfStock_Log[WeekIndex],56))</f>
        <v/>
      </c>
      <c r="BF33" s="19">
        <f>IF(COUNTIFS(T_SelfStock_Log[Part Name],$A33,T_SelfStock_Log[WeekIndex],57)=0,"",SUMIFS(T_SelfStock_Log[Self_Qty],T_SelfStock_Log[Part Name],$A33,T_SelfStock_Log[WeekIndex],57))</f>
        <v/>
      </c>
      <c r="BG33" s="19">
        <f>IF(COUNTIFS(T_SelfStock_Log[Part Name],$A33,T_SelfStock_Log[WeekIndex],58)=0,"",SUMIFS(T_SelfStock_Log[Self_Qty],T_SelfStock_Log[Part Name],$A33,T_SelfStock_Log[WeekIndex],58))</f>
        <v/>
      </c>
      <c r="BH33" s="19">
        <f>IF(COUNTIFS(T_SelfStock_Log[Part Name],$A33,T_SelfStock_Log[WeekIndex],59)=0,"",SUMIFS(T_SelfStock_Log[Self_Qty],T_SelfStock_Log[Part Name],$A33,T_SelfStock_Log[WeekIndex],59))</f>
        <v/>
      </c>
      <c r="BI33" s="19">
        <f>IF(COUNTIFS(T_SelfStock_Log[Part Name],$A33,T_SelfStock_Log[WeekIndex],60)=0,"",SUMIFS(T_SelfStock_Log[Self_Qty],T_SelfStock_Log[Part Name],$A33,T_SelfStock_Log[WeekIndex],60))</f>
        <v/>
      </c>
      <c r="BJ33" s="19">
        <f>IF(COUNTIFS(T_SelfStock_Log[Part Name],$A33,T_SelfStock_Log[WeekIndex],61)=0,"",SUMIFS(T_SelfStock_Log[Self_Qty],T_SelfStock_Log[Part Name],$A33,T_SelfStock_Log[WeekIndex],61))</f>
        <v/>
      </c>
      <c r="BK33" s="19">
        <f>IF(COUNTIFS(T_SelfStock_Log[Part Name],$A33,T_SelfStock_Log[WeekIndex],62)=0,"",SUMIFS(T_SelfStock_Log[Self_Qty],T_SelfStock_Log[Part Name],$A33,T_SelfStock_Log[WeekIndex],62))</f>
        <v/>
      </c>
      <c r="BL33" s="19">
        <f>IF(COUNTIFS(T_SelfStock_Log[Part Name],$A33,T_SelfStock_Log[WeekIndex],63)=0,"",SUMIFS(T_SelfStock_Log[Self_Qty],T_SelfStock_Log[Part Name],$A33,T_SelfStock_Log[WeekIndex],63))</f>
        <v/>
      </c>
      <c r="BM33" s="19">
        <f>IF(COUNTIFS(T_SelfStock_Log[Part Name],$A33,T_SelfStock_Log[WeekIndex],64)=0,"",SUMIFS(T_SelfStock_Log[Self_Qty],T_SelfStock_Log[Part Name],$A33,T_SelfStock_Log[WeekIndex],64))</f>
        <v/>
      </c>
      <c r="BN33" s="19">
        <f>IF(COUNTIFS(T_SelfStock_Log[Part Name],$A33,T_SelfStock_Log[WeekIndex],65)=0,"",SUMIFS(T_SelfStock_Log[Self_Qty],T_SelfStock_Log[Part Name],$A33,T_SelfStock_Log[WeekIndex],65))</f>
        <v/>
      </c>
      <c r="BO33" s="19">
        <f>IF(COUNTIFS(T_SelfStock_Log[Part Name],$A33,T_SelfStock_Log[WeekIndex],66)=0,"",SUMIFS(T_SelfStock_Log[Self_Qty],T_SelfStock_Log[Part Name],$A33,T_SelfStock_Log[WeekIndex],66))</f>
        <v/>
      </c>
      <c r="BP33" s="19">
        <f>IF(COUNTIFS(T_SelfStock_Log[Part Name],$A33,T_SelfStock_Log[WeekIndex],67)=0,"",SUMIFS(T_SelfStock_Log[Self_Qty],T_SelfStock_Log[Part Name],$A33,T_SelfStock_Log[WeekIndex],67))</f>
        <v/>
      </c>
      <c r="BQ33" s="19">
        <f>IF(COUNTIFS(T_SelfStock_Log[Part Name],$A33,T_SelfStock_Log[WeekIndex],68)=0,"",SUMIFS(T_SelfStock_Log[Self_Qty],T_SelfStock_Log[Part Name],$A33,T_SelfStock_Log[WeekIndex],68))</f>
        <v/>
      </c>
      <c r="BR33" s="19">
        <f>IF(COUNTIFS(T_SelfStock_Log[Part Name],$A33,T_SelfStock_Log[WeekIndex],69)=0,"",SUMIFS(T_SelfStock_Log[Self_Qty],T_SelfStock_Log[Part Name],$A33,T_SelfStock_Log[WeekIndex],69))</f>
        <v/>
      </c>
      <c r="BS33" s="19">
        <f>IF(COUNTIFS(T_SelfStock_Log[Part Name],$A33,T_SelfStock_Log[WeekIndex],70)=0,"",SUMIFS(T_SelfStock_Log[Self_Qty],T_SelfStock_Log[Part Name],$A33,T_SelfStock_Log[WeekIndex],70))</f>
        <v/>
      </c>
      <c r="BT33" s="19">
        <f>IF(COUNTIFS(T_SelfStock_Log[Part Name],$A33,T_SelfStock_Log[WeekIndex],71)=0,"",SUMIFS(T_SelfStock_Log[Self_Qty],T_SelfStock_Log[Part Name],$A33,T_SelfStock_Log[WeekIndex],71))</f>
        <v/>
      </c>
      <c r="BU33" s="19">
        <f>IF(COUNTIFS(T_SelfStock_Log[Part Name],$A33,T_SelfStock_Log[WeekIndex],72)=0,"",SUMIFS(T_SelfStock_Log[Self_Qty],T_SelfStock_Log[Part Name],$A33,T_SelfStock_Log[WeekIndex],72))</f>
        <v/>
      </c>
      <c r="BV33" s="19">
        <f>IF(COUNTIFS(T_SelfStock_Log[Part Name],$A33,T_SelfStock_Log[WeekIndex],73)=0,"",SUMIFS(T_SelfStock_Log[Self_Qty],T_SelfStock_Log[Part Name],$A33,T_SelfStock_Log[WeekIndex],73))</f>
        <v/>
      </c>
      <c r="BW33" s="19">
        <f>IF(COUNTIFS(T_SelfStock_Log[Part Name],$A33,T_SelfStock_Log[WeekIndex],74)=0,"",SUMIFS(T_SelfStock_Log[Self_Qty],T_SelfStock_Log[Part Name],$A33,T_SelfStock_Log[WeekIndex],74))</f>
        <v/>
      </c>
      <c r="BX33" s="19">
        <f>IF(COUNTIFS(T_SelfStock_Log[Part Name],$A33,T_SelfStock_Log[WeekIndex],75)=0,"",SUMIFS(T_SelfStock_Log[Self_Qty],T_SelfStock_Log[Part Name],$A33,T_SelfStock_Log[WeekIndex],75))</f>
        <v/>
      </c>
      <c r="BY33" s="19">
        <f>IF(COUNTIFS(T_SelfStock_Log[Part Name],$A33,T_SelfStock_Log[WeekIndex],76)=0,"",SUMIFS(T_SelfStock_Log[Self_Qty],T_SelfStock_Log[Part Name],$A33,T_SelfStock_Log[WeekIndex],76))</f>
        <v/>
      </c>
      <c r="BZ33" s="19">
        <f>IF(COUNTIFS(T_SelfStock_Log[Part Name],$A33,T_SelfStock_Log[WeekIndex],77)=0,"",SUMIFS(T_SelfStock_Log[Self_Qty],T_SelfStock_Log[Part Name],$A33,T_SelfStock_Log[WeekIndex],77))</f>
        <v/>
      </c>
      <c r="CA33" s="19">
        <f>IF(COUNTIFS(T_SelfStock_Log[Part Name],$A33,T_SelfStock_Log[WeekIndex],78)=0,"",SUMIFS(T_SelfStock_Log[Self_Qty],T_SelfStock_Log[Part Name],$A33,T_SelfStock_Log[WeekIndex],78))</f>
        <v/>
      </c>
      <c r="CB33" s="19">
        <f>IF(COUNTIFS(T_SelfStock_Log[Part Name],$A33,T_SelfStock_Log[WeekIndex],79)=0,"",SUMIFS(T_SelfStock_Log[Self_Qty],T_SelfStock_Log[Part Name],$A33,T_SelfStock_Log[WeekIndex],79))</f>
        <v/>
      </c>
      <c r="CC33" s="19">
        <f>IF(COUNTIFS(T_SelfStock_Log[Part Name],$A33,T_SelfStock_Log[WeekIndex],80)=0,"",SUMIFS(T_SelfStock_Log[Self_Qty],T_SelfStock_Log[Part Name],$A33,T_SelfStock_Log[WeekIndex],80))</f>
        <v/>
      </c>
      <c r="CD33" s="19">
        <f>IF(COUNTIFS(T_SelfStock_Log[Part Name],$A33,T_SelfStock_Log[WeekIndex],81)=0,"",SUMIFS(T_SelfStock_Log[Self_Qty],T_SelfStock_Log[Part Name],$A33,T_SelfStock_Log[WeekIndex],81))</f>
        <v/>
      </c>
      <c r="CE33" s="19">
        <f>IF(COUNTIFS(T_SelfStock_Log[Part Name],$A33,T_SelfStock_Log[WeekIndex],82)=0,"",SUMIFS(T_SelfStock_Log[Self_Qty],T_SelfStock_Log[Part Name],$A33,T_SelfStock_Log[WeekIndex],82))</f>
        <v/>
      </c>
      <c r="CF33" s="19">
        <f>IF(COUNTIFS(T_SelfStock_Log[Part Name],$A33,T_SelfStock_Log[WeekIndex],83)=0,"",SUMIFS(T_SelfStock_Log[Self_Qty],T_SelfStock_Log[Part Name],$A33,T_SelfStock_Log[WeekIndex],83))</f>
        <v/>
      </c>
      <c r="CG33" s="19">
        <f>IF(COUNTIFS(T_SelfStock_Log[Part Name],$A33,T_SelfStock_Log[WeekIndex],84)=0,"",SUMIFS(T_SelfStock_Log[Self_Qty],T_SelfStock_Log[Part Name],$A33,T_SelfStock_Log[WeekIndex],84))</f>
        <v/>
      </c>
      <c r="CH33" s="19">
        <f>IF(COUNTIFS(T_SelfStock_Log[Part Name],$A33,T_SelfStock_Log[WeekIndex],85)=0,"",SUMIFS(T_SelfStock_Log[Self_Qty],T_SelfStock_Log[Part Name],$A33,T_SelfStock_Log[WeekIndex],85))</f>
        <v/>
      </c>
      <c r="CI33" s="19">
        <f>IF(COUNTIFS(T_SelfStock_Log[Part Name],$A33,T_SelfStock_Log[WeekIndex],86)=0,"",SUMIFS(T_SelfStock_Log[Self_Qty],T_SelfStock_Log[Part Name],$A33,T_SelfStock_Log[WeekIndex],86))</f>
        <v/>
      </c>
      <c r="CJ33" s="19">
        <f>IF(COUNTIFS(T_SelfStock_Log[Part Name],$A33,T_SelfStock_Log[WeekIndex],87)=0,"",SUMIFS(T_SelfStock_Log[Self_Qty],T_SelfStock_Log[Part Name],$A33,T_SelfStock_Log[WeekIndex],87))</f>
        <v/>
      </c>
      <c r="CK33" s="19">
        <f>IF(COUNTIFS(T_SelfStock_Log[Part Name],$A33,T_SelfStock_Log[WeekIndex],88)=0,"",SUMIFS(T_SelfStock_Log[Self_Qty],T_SelfStock_Log[Part Name],$A33,T_SelfStock_Log[WeekIndex],88))</f>
        <v/>
      </c>
      <c r="CL33" s="19">
        <f>IF(COUNTIFS(T_SelfStock_Log[Part Name],$A33,T_SelfStock_Log[WeekIndex],89)=0,"",SUMIFS(T_SelfStock_Log[Self_Qty],T_SelfStock_Log[Part Name],$A33,T_SelfStock_Log[WeekIndex],89))</f>
        <v/>
      </c>
      <c r="CM33" s="19">
        <f>IF(COUNTIFS(T_SelfStock_Log[Part Name],$A33,T_SelfStock_Log[WeekIndex],90)=0,"",SUMIFS(T_SelfStock_Log[Self_Qty],T_SelfStock_Log[Part Name],$A33,T_SelfStock_Log[WeekIndex],90))</f>
        <v/>
      </c>
      <c r="CN33" s="19">
        <f>IF(COUNTIFS(T_SelfStock_Log[Part Name],$A33,T_SelfStock_Log[WeekIndex],91)=0,"",SUMIFS(T_SelfStock_Log[Self_Qty],T_SelfStock_Log[Part Name],$A33,T_SelfStock_Log[WeekIndex],91))</f>
        <v/>
      </c>
      <c r="CO33" s="19">
        <f>IF(COUNTIFS(T_SelfStock_Log[Part Name],$A33,T_SelfStock_Log[WeekIndex],92)=0,"",SUMIFS(T_SelfStock_Log[Self_Qty],T_SelfStock_Log[Part Name],$A33,T_SelfStock_Log[WeekIndex],92))</f>
        <v/>
      </c>
      <c r="CP33" s="19">
        <f>IF(COUNTIFS(T_SelfStock_Log[Part Name],$A33,T_SelfStock_Log[WeekIndex],93)=0,"",SUMIFS(T_SelfStock_Log[Self_Qty],T_SelfStock_Log[Part Name],$A33,T_SelfStock_Log[WeekIndex],93))</f>
        <v/>
      </c>
      <c r="CQ33" s="19">
        <f>IF(COUNTIFS(T_SelfStock_Log[Part Name],$A33,T_SelfStock_Log[WeekIndex],94)=0,"",SUMIFS(T_SelfStock_Log[Self_Qty],T_SelfStock_Log[Part Name],$A33,T_SelfStock_Log[WeekIndex],94))</f>
        <v/>
      </c>
      <c r="CR33" s="19">
        <f>IF(COUNTIFS(T_SelfStock_Log[Part Name],$A33,T_SelfStock_Log[WeekIndex],95)=0,"",SUMIFS(T_SelfStock_Log[Self_Qty],T_SelfStock_Log[Part Name],$A33,T_SelfStock_Log[WeekIndex],95))</f>
        <v/>
      </c>
      <c r="CS33" s="19">
        <f>IF(COUNTIFS(T_SelfStock_Log[Part Name],$A33,T_SelfStock_Log[WeekIndex],96)=0,"",SUMIFS(T_SelfStock_Log[Self_Qty],T_SelfStock_Log[Part Name],$A33,T_SelfStock_Log[WeekIndex],96))</f>
        <v/>
      </c>
      <c r="CT33" s="19">
        <f>IF(COUNTIFS(T_SelfStock_Log[Part Name],$A33,T_SelfStock_Log[WeekIndex],97)=0,"",SUMIFS(T_SelfStock_Log[Self_Qty],T_SelfStock_Log[Part Name],$A33,T_SelfStock_Log[WeekIndex],97))</f>
        <v/>
      </c>
      <c r="CU33" s="19">
        <f>IF(COUNTIFS(T_SelfStock_Log[Part Name],$A33,T_SelfStock_Log[WeekIndex],98)=0,"",SUMIFS(T_SelfStock_Log[Self_Qty],T_SelfStock_Log[Part Name],$A33,T_SelfStock_Log[WeekIndex],98))</f>
        <v/>
      </c>
      <c r="CV33" s="19">
        <f>IF(COUNTIFS(T_SelfStock_Log[Part Name],$A33,T_SelfStock_Log[WeekIndex],99)=0,"",SUMIFS(T_SelfStock_Log[Self_Qty],T_SelfStock_Log[Part Name],$A33,T_SelfStock_Log[WeekIndex],99))</f>
        <v/>
      </c>
      <c r="CW33" s="19">
        <f>IF(COUNTIFS(T_SelfStock_Log[Part Name],$A33,T_SelfStock_Log[WeekIndex],100)=0,"",SUMIFS(T_SelfStock_Log[Self_Qty],T_SelfStock_Log[Part Name],$A33,T_SelfStock_Log[WeekIndex],100))</f>
        <v/>
      </c>
      <c r="CX33" s="19">
        <f>IF(COUNTIFS(T_SelfStock_Log[Part Name],$A33,T_SelfStock_Log[WeekIndex],101)=0,"",SUMIFS(T_SelfStock_Log[Self_Qty],T_SelfStock_Log[Part Name],$A33,T_SelfStock_Log[WeekIndex],101))</f>
        <v/>
      </c>
      <c r="CY33" s="19">
        <f>IF(COUNTIFS(T_SelfStock_Log[Part Name],$A33,T_SelfStock_Log[WeekIndex],102)=0,"",SUMIFS(T_SelfStock_Log[Self_Qty],T_SelfStock_Log[Part Name],$A33,T_SelfStock_Log[WeekIndex],102))</f>
        <v/>
      </c>
      <c r="CZ33" s="19">
        <f>IF(COUNTIFS(T_SelfStock_Log[Part Name],$A33,T_SelfStock_Log[WeekIndex],103)=0,"",SUMIFS(T_SelfStock_Log[Self_Qty],T_SelfStock_Log[Part Name],$A33,T_SelfStock_Log[WeekIndex],103))</f>
        <v/>
      </c>
      <c r="DA33" s="19">
        <f>IF(COUNTIFS(T_SelfStock_Log[Part Name],$A33,T_SelfStock_Log[WeekIndex],104)=0,"",SUMIFS(T_SelfStock_Log[Self_Qty],T_SelfStock_Log[Part Name],$A33,T_SelfStock_Log[WeekIndex],104))</f>
        <v/>
      </c>
    </row>
    <row r="34">
      <c r="A34" s="17" t="inlineStr">
        <is>
          <t>CHEM-1550</t>
        </is>
      </c>
      <c r="B34" s="17">
        <f>IF(COUNTIFS(T_SelfStock_Log[Part Name],$A34,T_SelfStock_Log[WeekIndex],1)=0,"",SUMIFS(T_SelfStock_Log[Self_Qty],T_SelfStock_Log[Part Name],$A34,T_SelfStock_Log[WeekIndex],1))</f>
        <v/>
      </c>
      <c r="C34" s="17">
        <f>IF(COUNTIFS(T_SelfStock_Log[Part Name],$A34,T_SelfStock_Log[WeekIndex],2)=0,"",SUMIFS(T_SelfStock_Log[Self_Qty],T_SelfStock_Log[Part Name],$A34,T_SelfStock_Log[WeekIndex],2))</f>
        <v/>
      </c>
      <c r="D34" s="17">
        <f>IF(COUNTIFS(T_SelfStock_Log[Part Name],$A34,T_SelfStock_Log[WeekIndex],3)=0,"",SUMIFS(T_SelfStock_Log[Self_Qty],T_SelfStock_Log[Part Name],$A34,T_SelfStock_Log[WeekIndex],3))</f>
        <v/>
      </c>
      <c r="E34" s="17">
        <f>IF(COUNTIFS(T_SelfStock_Log[Part Name],$A34,T_SelfStock_Log[WeekIndex],4)=0,"",SUMIFS(T_SelfStock_Log[Self_Qty],T_SelfStock_Log[Part Name],$A34,T_SelfStock_Log[WeekIndex],4))</f>
        <v/>
      </c>
      <c r="F34" s="17">
        <f>IF(COUNTIFS(T_SelfStock_Log[Part Name],$A34,T_SelfStock_Log[WeekIndex],5)=0,"",SUMIFS(T_SelfStock_Log[Self_Qty],T_SelfStock_Log[Part Name],$A34,T_SelfStock_Log[WeekIndex],5))</f>
        <v/>
      </c>
      <c r="G34" s="17">
        <f>IF(COUNTIFS(T_SelfStock_Log[Part Name],$A34,T_SelfStock_Log[WeekIndex],6)=0,"",SUMIFS(T_SelfStock_Log[Self_Qty],T_SelfStock_Log[Part Name],$A34,T_SelfStock_Log[WeekIndex],6))</f>
        <v/>
      </c>
      <c r="H34" s="17">
        <f>IF(COUNTIFS(T_SelfStock_Log[Part Name],$A34,T_SelfStock_Log[WeekIndex],7)=0,"",SUMIFS(T_SelfStock_Log[Self_Qty],T_SelfStock_Log[Part Name],$A34,T_SelfStock_Log[WeekIndex],7))</f>
        <v/>
      </c>
      <c r="I34" s="17">
        <f>IF(COUNTIFS(T_SelfStock_Log[Part Name],$A34,T_SelfStock_Log[WeekIndex],8)=0,"",SUMIFS(T_SelfStock_Log[Self_Qty],T_SelfStock_Log[Part Name],$A34,T_SelfStock_Log[WeekIndex],8))</f>
        <v/>
      </c>
      <c r="J34" s="17">
        <f>IF(COUNTIFS(T_SelfStock_Log[Part Name],$A34,T_SelfStock_Log[WeekIndex],9)=0,"",SUMIFS(T_SelfStock_Log[Self_Qty],T_SelfStock_Log[Part Name],$A34,T_SelfStock_Log[WeekIndex],9))</f>
        <v/>
      </c>
      <c r="K34" s="17">
        <f>IF(COUNTIFS(T_SelfStock_Log[Part Name],$A34,T_SelfStock_Log[WeekIndex],10)=0,"",SUMIFS(T_SelfStock_Log[Self_Qty],T_SelfStock_Log[Part Name],$A34,T_SelfStock_Log[WeekIndex],10))</f>
        <v/>
      </c>
      <c r="L34" s="17">
        <f>IF(COUNTIFS(T_SelfStock_Log[Part Name],$A34,T_SelfStock_Log[WeekIndex],11)=0,"",SUMIFS(T_SelfStock_Log[Self_Qty],T_SelfStock_Log[Part Name],$A34,T_SelfStock_Log[WeekIndex],11))</f>
        <v/>
      </c>
      <c r="M34" s="17">
        <f>IF(COUNTIFS(T_SelfStock_Log[Part Name],$A34,T_SelfStock_Log[WeekIndex],12)=0,"",SUMIFS(T_SelfStock_Log[Self_Qty],T_SelfStock_Log[Part Name],$A34,T_SelfStock_Log[WeekIndex],12))</f>
        <v/>
      </c>
      <c r="N34" s="17">
        <f>IF(COUNTIFS(T_SelfStock_Log[Part Name],$A34,T_SelfStock_Log[WeekIndex],13)=0,"",SUMIFS(T_SelfStock_Log[Self_Qty],T_SelfStock_Log[Part Name],$A34,T_SelfStock_Log[WeekIndex],13))</f>
        <v/>
      </c>
      <c r="O34" s="17">
        <f>IF(COUNTIFS(T_SelfStock_Log[Part Name],$A34,T_SelfStock_Log[WeekIndex],14)=0,"",SUMIFS(T_SelfStock_Log[Self_Qty],T_SelfStock_Log[Part Name],$A34,T_SelfStock_Log[WeekIndex],14))</f>
        <v/>
      </c>
      <c r="P34" s="17">
        <f>IF(COUNTIFS(T_SelfStock_Log[Part Name],$A34,T_SelfStock_Log[WeekIndex],15)=0,"",SUMIFS(T_SelfStock_Log[Self_Qty],T_SelfStock_Log[Part Name],$A34,T_SelfStock_Log[WeekIndex],15))</f>
        <v/>
      </c>
      <c r="Q34" s="17">
        <f>IF(COUNTIFS(T_SelfStock_Log[Part Name],$A34,T_SelfStock_Log[WeekIndex],16)=0,"",SUMIFS(T_SelfStock_Log[Self_Qty],T_SelfStock_Log[Part Name],$A34,T_SelfStock_Log[WeekIndex],16))</f>
        <v/>
      </c>
      <c r="R34" s="17">
        <f>IF(COUNTIFS(T_SelfStock_Log[Part Name],$A34,T_SelfStock_Log[WeekIndex],17)=0,"",SUMIFS(T_SelfStock_Log[Self_Qty],T_SelfStock_Log[Part Name],$A34,T_SelfStock_Log[WeekIndex],17))</f>
        <v/>
      </c>
      <c r="S34" s="17">
        <f>IF(COUNTIFS(T_SelfStock_Log[Part Name],$A34,T_SelfStock_Log[WeekIndex],18)=0,"",SUMIFS(T_SelfStock_Log[Self_Qty],T_SelfStock_Log[Part Name],$A34,T_SelfStock_Log[WeekIndex],18))</f>
        <v/>
      </c>
      <c r="T34" s="17">
        <f>IF(COUNTIFS(T_SelfStock_Log[Part Name],$A34,T_SelfStock_Log[WeekIndex],19)=0,"",SUMIFS(T_SelfStock_Log[Self_Qty],T_SelfStock_Log[Part Name],$A34,T_SelfStock_Log[WeekIndex],19))</f>
        <v/>
      </c>
      <c r="U34" s="17">
        <f>IF(COUNTIFS(T_SelfStock_Log[Part Name],$A34,T_SelfStock_Log[WeekIndex],20)=0,"",SUMIFS(T_SelfStock_Log[Self_Qty],T_SelfStock_Log[Part Name],$A34,T_SelfStock_Log[WeekIndex],20))</f>
        <v/>
      </c>
      <c r="V34" s="17">
        <f>IF(COUNTIFS(T_SelfStock_Log[Part Name],$A34,T_SelfStock_Log[WeekIndex],21)=0,"",SUMIFS(T_SelfStock_Log[Self_Qty],T_SelfStock_Log[Part Name],$A34,T_SelfStock_Log[WeekIndex],21))</f>
        <v/>
      </c>
      <c r="W34" s="17">
        <f>IF(COUNTIFS(T_SelfStock_Log[Part Name],$A34,T_SelfStock_Log[WeekIndex],22)=0,"",SUMIFS(T_SelfStock_Log[Self_Qty],T_SelfStock_Log[Part Name],$A34,T_SelfStock_Log[WeekIndex],22))</f>
        <v/>
      </c>
      <c r="X34" s="17">
        <f>IF(COUNTIFS(T_SelfStock_Log[Part Name],$A34,T_SelfStock_Log[WeekIndex],23)=0,"",SUMIFS(T_SelfStock_Log[Self_Qty],T_SelfStock_Log[Part Name],$A34,T_SelfStock_Log[WeekIndex],23))</f>
        <v/>
      </c>
      <c r="Y34" s="17">
        <f>IF(COUNTIFS(T_SelfStock_Log[Part Name],$A34,T_SelfStock_Log[WeekIndex],24)=0,"",SUMIFS(T_SelfStock_Log[Self_Qty],T_SelfStock_Log[Part Name],$A34,T_SelfStock_Log[WeekIndex],24))</f>
        <v/>
      </c>
      <c r="Z34" s="17">
        <f>IF(COUNTIFS(T_SelfStock_Log[Part Name],$A34,T_SelfStock_Log[WeekIndex],25)=0,"",SUMIFS(T_SelfStock_Log[Self_Qty],T_SelfStock_Log[Part Name],$A34,T_SelfStock_Log[WeekIndex],25))</f>
        <v/>
      </c>
      <c r="AA34" s="17">
        <f>IF(COUNTIFS(T_SelfStock_Log[Part Name],$A34,T_SelfStock_Log[WeekIndex],26)=0,"",SUMIFS(T_SelfStock_Log[Self_Qty],T_SelfStock_Log[Part Name],$A34,T_SelfStock_Log[WeekIndex],26))</f>
        <v/>
      </c>
      <c r="AB34" s="17">
        <f>IF(COUNTIFS(T_SelfStock_Log[Part Name],$A34,T_SelfStock_Log[WeekIndex],27)=0,"",SUMIFS(T_SelfStock_Log[Self_Qty],T_SelfStock_Log[Part Name],$A34,T_SelfStock_Log[WeekIndex],27))</f>
        <v/>
      </c>
      <c r="AC34" s="17">
        <f>IF(COUNTIFS(T_SelfStock_Log[Part Name],$A34,T_SelfStock_Log[WeekIndex],28)=0,"",SUMIFS(T_SelfStock_Log[Self_Qty],T_SelfStock_Log[Part Name],$A34,T_SelfStock_Log[WeekIndex],28))</f>
        <v/>
      </c>
      <c r="AD34" s="17">
        <f>IF(COUNTIFS(T_SelfStock_Log[Part Name],$A34,T_SelfStock_Log[WeekIndex],29)=0,"",SUMIFS(T_SelfStock_Log[Self_Qty],T_SelfStock_Log[Part Name],$A34,T_SelfStock_Log[WeekIndex],29))</f>
        <v/>
      </c>
      <c r="AE34" s="17">
        <f>IF(COUNTIFS(T_SelfStock_Log[Part Name],$A34,T_SelfStock_Log[WeekIndex],30)=0,"",SUMIFS(T_SelfStock_Log[Self_Qty],T_SelfStock_Log[Part Name],$A34,T_SelfStock_Log[WeekIndex],30))</f>
        <v/>
      </c>
      <c r="AF34" s="17">
        <f>IF(COUNTIFS(T_SelfStock_Log[Part Name],$A34,T_SelfStock_Log[WeekIndex],31)=0,"",SUMIFS(T_SelfStock_Log[Self_Qty],T_SelfStock_Log[Part Name],$A34,T_SelfStock_Log[WeekIndex],31))</f>
        <v/>
      </c>
      <c r="AG34" s="17">
        <f>IF(COUNTIFS(T_SelfStock_Log[Part Name],$A34,T_SelfStock_Log[WeekIndex],32)=0,"",SUMIFS(T_SelfStock_Log[Self_Qty],T_SelfStock_Log[Part Name],$A34,T_SelfStock_Log[WeekIndex],32))</f>
        <v/>
      </c>
      <c r="AH34" s="17">
        <f>IF(COUNTIFS(T_SelfStock_Log[Part Name],$A34,T_SelfStock_Log[WeekIndex],33)=0,"",SUMIFS(T_SelfStock_Log[Self_Qty],T_SelfStock_Log[Part Name],$A34,T_SelfStock_Log[WeekIndex],33))</f>
        <v/>
      </c>
      <c r="AI34" s="17">
        <f>IF(COUNTIFS(T_SelfStock_Log[Part Name],$A34,T_SelfStock_Log[WeekIndex],34)=0,"",SUMIFS(T_SelfStock_Log[Self_Qty],T_SelfStock_Log[Part Name],$A34,T_SelfStock_Log[WeekIndex],34))</f>
        <v/>
      </c>
      <c r="AJ34" s="17">
        <f>IF(COUNTIFS(T_SelfStock_Log[Part Name],$A34,T_SelfStock_Log[WeekIndex],35)=0,"",SUMIFS(T_SelfStock_Log[Self_Qty],T_SelfStock_Log[Part Name],$A34,T_SelfStock_Log[WeekIndex],35))</f>
        <v/>
      </c>
      <c r="AK34" s="17">
        <f>IF(COUNTIFS(T_SelfStock_Log[Part Name],$A34,T_SelfStock_Log[WeekIndex],36)=0,"",SUMIFS(T_SelfStock_Log[Self_Qty],T_SelfStock_Log[Part Name],$A34,T_SelfStock_Log[WeekIndex],36))</f>
        <v/>
      </c>
      <c r="AL34" s="17">
        <f>IF(COUNTIFS(T_SelfStock_Log[Part Name],$A34,T_SelfStock_Log[WeekIndex],37)=0,"",SUMIFS(T_SelfStock_Log[Self_Qty],T_SelfStock_Log[Part Name],$A34,T_SelfStock_Log[WeekIndex],37))</f>
        <v/>
      </c>
      <c r="AM34" s="17">
        <f>IF(COUNTIFS(T_SelfStock_Log[Part Name],$A34,T_SelfStock_Log[WeekIndex],38)=0,"",SUMIFS(T_SelfStock_Log[Self_Qty],T_SelfStock_Log[Part Name],$A34,T_SelfStock_Log[WeekIndex],38))</f>
        <v/>
      </c>
      <c r="AN34" s="17">
        <f>IF(COUNTIFS(T_SelfStock_Log[Part Name],$A34,T_SelfStock_Log[WeekIndex],39)=0,"",SUMIFS(T_SelfStock_Log[Self_Qty],T_SelfStock_Log[Part Name],$A34,T_SelfStock_Log[WeekIndex],39))</f>
        <v/>
      </c>
      <c r="AO34" s="17">
        <f>IF(COUNTIFS(T_SelfStock_Log[Part Name],$A34,T_SelfStock_Log[WeekIndex],40)=0,"",SUMIFS(T_SelfStock_Log[Self_Qty],T_SelfStock_Log[Part Name],$A34,T_SelfStock_Log[WeekIndex],40))</f>
        <v/>
      </c>
      <c r="AP34" s="17">
        <f>IF(COUNTIFS(T_SelfStock_Log[Part Name],$A34,T_SelfStock_Log[WeekIndex],41)=0,"",SUMIFS(T_SelfStock_Log[Self_Qty],T_SelfStock_Log[Part Name],$A34,T_SelfStock_Log[WeekIndex],41))</f>
        <v/>
      </c>
      <c r="AQ34" s="17">
        <f>IF(COUNTIFS(T_SelfStock_Log[Part Name],$A34,T_SelfStock_Log[WeekIndex],42)=0,"",SUMIFS(T_SelfStock_Log[Self_Qty],T_SelfStock_Log[Part Name],$A34,T_SelfStock_Log[WeekIndex],42))</f>
        <v/>
      </c>
      <c r="AR34" s="17">
        <f>IF(COUNTIFS(T_SelfStock_Log[Part Name],$A34,T_SelfStock_Log[WeekIndex],43)=0,"",SUMIFS(T_SelfStock_Log[Self_Qty],T_SelfStock_Log[Part Name],$A34,T_SelfStock_Log[WeekIndex],43))</f>
        <v/>
      </c>
      <c r="AS34" s="17">
        <f>IF(COUNTIFS(T_SelfStock_Log[Part Name],$A34,T_SelfStock_Log[WeekIndex],44)=0,"",SUMIFS(T_SelfStock_Log[Self_Qty],T_SelfStock_Log[Part Name],$A34,T_SelfStock_Log[WeekIndex],44))</f>
        <v/>
      </c>
      <c r="AT34" s="17">
        <f>IF(COUNTIFS(T_SelfStock_Log[Part Name],$A34,T_SelfStock_Log[WeekIndex],45)=0,"",SUMIFS(T_SelfStock_Log[Self_Qty],T_SelfStock_Log[Part Name],$A34,T_SelfStock_Log[WeekIndex],45))</f>
        <v/>
      </c>
      <c r="AU34" s="17">
        <f>IF(COUNTIFS(T_SelfStock_Log[Part Name],$A34,T_SelfStock_Log[WeekIndex],46)=0,"",SUMIFS(T_SelfStock_Log[Self_Qty],T_SelfStock_Log[Part Name],$A34,T_SelfStock_Log[WeekIndex],46))</f>
        <v/>
      </c>
      <c r="AV34" s="17">
        <f>IF(COUNTIFS(T_SelfStock_Log[Part Name],$A34,T_SelfStock_Log[WeekIndex],47)=0,"",SUMIFS(T_SelfStock_Log[Self_Qty],T_SelfStock_Log[Part Name],$A34,T_SelfStock_Log[WeekIndex],47))</f>
        <v/>
      </c>
      <c r="AW34" s="17">
        <f>IF(COUNTIFS(T_SelfStock_Log[Part Name],$A34,T_SelfStock_Log[WeekIndex],48)=0,"",SUMIFS(T_SelfStock_Log[Self_Qty],T_SelfStock_Log[Part Name],$A34,T_SelfStock_Log[WeekIndex],48))</f>
        <v/>
      </c>
      <c r="AX34" s="17">
        <f>IF(COUNTIFS(T_SelfStock_Log[Part Name],$A34,T_SelfStock_Log[WeekIndex],49)=0,"",SUMIFS(T_SelfStock_Log[Self_Qty],T_SelfStock_Log[Part Name],$A34,T_SelfStock_Log[WeekIndex],49))</f>
        <v/>
      </c>
      <c r="AY34" s="17">
        <f>IF(COUNTIFS(T_SelfStock_Log[Part Name],$A34,T_SelfStock_Log[WeekIndex],50)=0,"",SUMIFS(T_SelfStock_Log[Self_Qty],T_SelfStock_Log[Part Name],$A34,T_SelfStock_Log[WeekIndex],50))</f>
        <v/>
      </c>
      <c r="AZ34" s="17">
        <f>IF(COUNTIFS(T_SelfStock_Log[Part Name],$A34,T_SelfStock_Log[WeekIndex],51)=0,"",SUMIFS(T_SelfStock_Log[Self_Qty],T_SelfStock_Log[Part Name],$A34,T_SelfStock_Log[WeekIndex],51))</f>
        <v/>
      </c>
      <c r="BA34" s="17">
        <f>IF(COUNTIFS(T_SelfStock_Log[Part Name],$A34,T_SelfStock_Log[WeekIndex],52)=0,"",SUMIFS(T_SelfStock_Log[Self_Qty],T_SelfStock_Log[Part Name],$A34,T_SelfStock_Log[WeekIndex],52))</f>
        <v/>
      </c>
      <c r="BB34" s="17">
        <f>IF(COUNTIFS(T_SelfStock_Log[Part Name],$A34,T_SelfStock_Log[WeekIndex],53)=0,"",SUMIFS(T_SelfStock_Log[Self_Qty],T_SelfStock_Log[Part Name],$A34,T_SelfStock_Log[WeekIndex],53))</f>
        <v/>
      </c>
      <c r="BC34" s="17">
        <f>IF(COUNTIFS(T_SelfStock_Log[Part Name],$A34,T_SelfStock_Log[WeekIndex],54)=0,"",SUMIFS(T_SelfStock_Log[Self_Qty],T_SelfStock_Log[Part Name],$A34,T_SelfStock_Log[WeekIndex],54))</f>
        <v/>
      </c>
      <c r="BD34" s="17">
        <f>IF(COUNTIFS(T_SelfStock_Log[Part Name],$A34,T_SelfStock_Log[WeekIndex],55)=0,"",SUMIFS(T_SelfStock_Log[Self_Qty],T_SelfStock_Log[Part Name],$A34,T_SelfStock_Log[WeekIndex],55))</f>
        <v/>
      </c>
      <c r="BE34" s="17">
        <f>IF(COUNTIFS(T_SelfStock_Log[Part Name],$A34,T_SelfStock_Log[WeekIndex],56)=0,"",SUMIFS(T_SelfStock_Log[Self_Qty],T_SelfStock_Log[Part Name],$A34,T_SelfStock_Log[WeekIndex],56))</f>
        <v/>
      </c>
      <c r="BF34" s="17">
        <f>IF(COUNTIFS(T_SelfStock_Log[Part Name],$A34,T_SelfStock_Log[WeekIndex],57)=0,"",SUMIFS(T_SelfStock_Log[Self_Qty],T_SelfStock_Log[Part Name],$A34,T_SelfStock_Log[WeekIndex],57))</f>
        <v/>
      </c>
      <c r="BG34" s="17">
        <f>IF(COUNTIFS(T_SelfStock_Log[Part Name],$A34,T_SelfStock_Log[WeekIndex],58)=0,"",SUMIFS(T_SelfStock_Log[Self_Qty],T_SelfStock_Log[Part Name],$A34,T_SelfStock_Log[WeekIndex],58))</f>
        <v/>
      </c>
      <c r="BH34" s="17">
        <f>IF(COUNTIFS(T_SelfStock_Log[Part Name],$A34,T_SelfStock_Log[WeekIndex],59)=0,"",SUMIFS(T_SelfStock_Log[Self_Qty],T_SelfStock_Log[Part Name],$A34,T_SelfStock_Log[WeekIndex],59))</f>
        <v/>
      </c>
      <c r="BI34" s="17">
        <f>IF(COUNTIFS(T_SelfStock_Log[Part Name],$A34,T_SelfStock_Log[WeekIndex],60)=0,"",SUMIFS(T_SelfStock_Log[Self_Qty],T_SelfStock_Log[Part Name],$A34,T_SelfStock_Log[WeekIndex],60))</f>
        <v/>
      </c>
      <c r="BJ34" s="17">
        <f>IF(COUNTIFS(T_SelfStock_Log[Part Name],$A34,T_SelfStock_Log[WeekIndex],61)=0,"",SUMIFS(T_SelfStock_Log[Self_Qty],T_SelfStock_Log[Part Name],$A34,T_SelfStock_Log[WeekIndex],61))</f>
        <v/>
      </c>
      <c r="BK34" s="17">
        <f>IF(COUNTIFS(T_SelfStock_Log[Part Name],$A34,T_SelfStock_Log[WeekIndex],62)=0,"",SUMIFS(T_SelfStock_Log[Self_Qty],T_SelfStock_Log[Part Name],$A34,T_SelfStock_Log[WeekIndex],62))</f>
        <v/>
      </c>
      <c r="BL34" s="17">
        <f>IF(COUNTIFS(T_SelfStock_Log[Part Name],$A34,T_SelfStock_Log[WeekIndex],63)=0,"",SUMIFS(T_SelfStock_Log[Self_Qty],T_SelfStock_Log[Part Name],$A34,T_SelfStock_Log[WeekIndex],63))</f>
        <v/>
      </c>
      <c r="BM34" s="17">
        <f>IF(COUNTIFS(T_SelfStock_Log[Part Name],$A34,T_SelfStock_Log[WeekIndex],64)=0,"",SUMIFS(T_SelfStock_Log[Self_Qty],T_SelfStock_Log[Part Name],$A34,T_SelfStock_Log[WeekIndex],64))</f>
        <v/>
      </c>
      <c r="BN34" s="17">
        <f>IF(COUNTIFS(T_SelfStock_Log[Part Name],$A34,T_SelfStock_Log[WeekIndex],65)=0,"",SUMIFS(T_SelfStock_Log[Self_Qty],T_SelfStock_Log[Part Name],$A34,T_SelfStock_Log[WeekIndex],65))</f>
        <v/>
      </c>
      <c r="BO34" s="17">
        <f>IF(COUNTIFS(T_SelfStock_Log[Part Name],$A34,T_SelfStock_Log[WeekIndex],66)=0,"",SUMIFS(T_SelfStock_Log[Self_Qty],T_SelfStock_Log[Part Name],$A34,T_SelfStock_Log[WeekIndex],66))</f>
        <v/>
      </c>
      <c r="BP34" s="17">
        <f>IF(COUNTIFS(T_SelfStock_Log[Part Name],$A34,T_SelfStock_Log[WeekIndex],67)=0,"",SUMIFS(T_SelfStock_Log[Self_Qty],T_SelfStock_Log[Part Name],$A34,T_SelfStock_Log[WeekIndex],67))</f>
        <v/>
      </c>
      <c r="BQ34" s="17">
        <f>IF(COUNTIFS(T_SelfStock_Log[Part Name],$A34,T_SelfStock_Log[WeekIndex],68)=0,"",SUMIFS(T_SelfStock_Log[Self_Qty],T_SelfStock_Log[Part Name],$A34,T_SelfStock_Log[WeekIndex],68))</f>
        <v/>
      </c>
      <c r="BR34" s="17">
        <f>IF(COUNTIFS(T_SelfStock_Log[Part Name],$A34,T_SelfStock_Log[WeekIndex],69)=0,"",SUMIFS(T_SelfStock_Log[Self_Qty],T_SelfStock_Log[Part Name],$A34,T_SelfStock_Log[WeekIndex],69))</f>
        <v/>
      </c>
      <c r="BS34" s="17">
        <f>IF(COUNTIFS(T_SelfStock_Log[Part Name],$A34,T_SelfStock_Log[WeekIndex],70)=0,"",SUMIFS(T_SelfStock_Log[Self_Qty],T_SelfStock_Log[Part Name],$A34,T_SelfStock_Log[WeekIndex],70))</f>
        <v/>
      </c>
      <c r="BT34" s="17">
        <f>IF(COUNTIFS(T_SelfStock_Log[Part Name],$A34,T_SelfStock_Log[WeekIndex],71)=0,"",SUMIFS(T_SelfStock_Log[Self_Qty],T_SelfStock_Log[Part Name],$A34,T_SelfStock_Log[WeekIndex],71))</f>
        <v/>
      </c>
      <c r="BU34" s="17">
        <f>IF(COUNTIFS(T_SelfStock_Log[Part Name],$A34,T_SelfStock_Log[WeekIndex],72)=0,"",SUMIFS(T_SelfStock_Log[Self_Qty],T_SelfStock_Log[Part Name],$A34,T_SelfStock_Log[WeekIndex],72))</f>
        <v/>
      </c>
      <c r="BV34" s="17">
        <f>IF(COUNTIFS(T_SelfStock_Log[Part Name],$A34,T_SelfStock_Log[WeekIndex],73)=0,"",SUMIFS(T_SelfStock_Log[Self_Qty],T_SelfStock_Log[Part Name],$A34,T_SelfStock_Log[WeekIndex],73))</f>
        <v/>
      </c>
      <c r="BW34" s="17">
        <f>IF(COUNTIFS(T_SelfStock_Log[Part Name],$A34,T_SelfStock_Log[WeekIndex],74)=0,"",SUMIFS(T_SelfStock_Log[Self_Qty],T_SelfStock_Log[Part Name],$A34,T_SelfStock_Log[WeekIndex],74))</f>
        <v/>
      </c>
      <c r="BX34" s="17">
        <f>IF(COUNTIFS(T_SelfStock_Log[Part Name],$A34,T_SelfStock_Log[WeekIndex],75)=0,"",SUMIFS(T_SelfStock_Log[Self_Qty],T_SelfStock_Log[Part Name],$A34,T_SelfStock_Log[WeekIndex],75))</f>
        <v/>
      </c>
      <c r="BY34" s="17">
        <f>IF(COUNTIFS(T_SelfStock_Log[Part Name],$A34,T_SelfStock_Log[WeekIndex],76)=0,"",SUMIFS(T_SelfStock_Log[Self_Qty],T_SelfStock_Log[Part Name],$A34,T_SelfStock_Log[WeekIndex],76))</f>
        <v/>
      </c>
      <c r="BZ34" s="17">
        <f>IF(COUNTIFS(T_SelfStock_Log[Part Name],$A34,T_SelfStock_Log[WeekIndex],77)=0,"",SUMIFS(T_SelfStock_Log[Self_Qty],T_SelfStock_Log[Part Name],$A34,T_SelfStock_Log[WeekIndex],77))</f>
        <v/>
      </c>
      <c r="CA34" s="17">
        <f>IF(COUNTIFS(T_SelfStock_Log[Part Name],$A34,T_SelfStock_Log[WeekIndex],78)=0,"",SUMIFS(T_SelfStock_Log[Self_Qty],T_SelfStock_Log[Part Name],$A34,T_SelfStock_Log[WeekIndex],78))</f>
        <v/>
      </c>
      <c r="CB34" s="17">
        <f>IF(COUNTIFS(T_SelfStock_Log[Part Name],$A34,T_SelfStock_Log[WeekIndex],79)=0,"",SUMIFS(T_SelfStock_Log[Self_Qty],T_SelfStock_Log[Part Name],$A34,T_SelfStock_Log[WeekIndex],79))</f>
        <v/>
      </c>
      <c r="CC34" s="17">
        <f>IF(COUNTIFS(T_SelfStock_Log[Part Name],$A34,T_SelfStock_Log[WeekIndex],80)=0,"",SUMIFS(T_SelfStock_Log[Self_Qty],T_SelfStock_Log[Part Name],$A34,T_SelfStock_Log[WeekIndex],80))</f>
        <v/>
      </c>
      <c r="CD34" s="17">
        <f>IF(COUNTIFS(T_SelfStock_Log[Part Name],$A34,T_SelfStock_Log[WeekIndex],81)=0,"",SUMIFS(T_SelfStock_Log[Self_Qty],T_SelfStock_Log[Part Name],$A34,T_SelfStock_Log[WeekIndex],81))</f>
        <v/>
      </c>
      <c r="CE34" s="17">
        <f>IF(COUNTIFS(T_SelfStock_Log[Part Name],$A34,T_SelfStock_Log[WeekIndex],82)=0,"",SUMIFS(T_SelfStock_Log[Self_Qty],T_SelfStock_Log[Part Name],$A34,T_SelfStock_Log[WeekIndex],82))</f>
        <v/>
      </c>
      <c r="CF34" s="17">
        <f>IF(COUNTIFS(T_SelfStock_Log[Part Name],$A34,T_SelfStock_Log[WeekIndex],83)=0,"",SUMIFS(T_SelfStock_Log[Self_Qty],T_SelfStock_Log[Part Name],$A34,T_SelfStock_Log[WeekIndex],83))</f>
        <v/>
      </c>
      <c r="CG34" s="17">
        <f>IF(COUNTIFS(T_SelfStock_Log[Part Name],$A34,T_SelfStock_Log[WeekIndex],84)=0,"",SUMIFS(T_SelfStock_Log[Self_Qty],T_SelfStock_Log[Part Name],$A34,T_SelfStock_Log[WeekIndex],84))</f>
        <v/>
      </c>
      <c r="CH34" s="17">
        <f>IF(COUNTIFS(T_SelfStock_Log[Part Name],$A34,T_SelfStock_Log[WeekIndex],85)=0,"",SUMIFS(T_SelfStock_Log[Self_Qty],T_SelfStock_Log[Part Name],$A34,T_SelfStock_Log[WeekIndex],85))</f>
        <v/>
      </c>
      <c r="CI34" s="17">
        <f>IF(COUNTIFS(T_SelfStock_Log[Part Name],$A34,T_SelfStock_Log[WeekIndex],86)=0,"",SUMIFS(T_SelfStock_Log[Self_Qty],T_SelfStock_Log[Part Name],$A34,T_SelfStock_Log[WeekIndex],86))</f>
        <v/>
      </c>
      <c r="CJ34" s="17">
        <f>IF(COUNTIFS(T_SelfStock_Log[Part Name],$A34,T_SelfStock_Log[WeekIndex],87)=0,"",SUMIFS(T_SelfStock_Log[Self_Qty],T_SelfStock_Log[Part Name],$A34,T_SelfStock_Log[WeekIndex],87))</f>
        <v/>
      </c>
      <c r="CK34" s="17">
        <f>IF(COUNTIFS(T_SelfStock_Log[Part Name],$A34,T_SelfStock_Log[WeekIndex],88)=0,"",SUMIFS(T_SelfStock_Log[Self_Qty],T_SelfStock_Log[Part Name],$A34,T_SelfStock_Log[WeekIndex],88))</f>
        <v/>
      </c>
      <c r="CL34" s="17">
        <f>IF(COUNTIFS(T_SelfStock_Log[Part Name],$A34,T_SelfStock_Log[WeekIndex],89)=0,"",SUMIFS(T_SelfStock_Log[Self_Qty],T_SelfStock_Log[Part Name],$A34,T_SelfStock_Log[WeekIndex],89))</f>
        <v/>
      </c>
      <c r="CM34" s="17">
        <f>IF(COUNTIFS(T_SelfStock_Log[Part Name],$A34,T_SelfStock_Log[WeekIndex],90)=0,"",SUMIFS(T_SelfStock_Log[Self_Qty],T_SelfStock_Log[Part Name],$A34,T_SelfStock_Log[WeekIndex],90))</f>
        <v/>
      </c>
      <c r="CN34" s="17">
        <f>IF(COUNTIFS(T_SelfStock_Log[Part Name],$A34,T_SelfStock_Log[WeekIndex],91)=0,"",SUMIFS(T_SelfStock_Log[Self_Qty],T_SelfStock_Log[Part Name],$A34,T_SelfStock_Log[WeekIndex],91))</f>
        <v/>
      </c>
      <c r="CO34" s="17">
        <f>IF(COUNTIFS(T_SelfStock_Log[Part Name],$A34,T_SelfStock_Log[WeekIndex],92)=0,"",SUMIFS(T_SelfStock_Log[Self_Qty],T_SelfStock_Log[Part Name],$A34,T_SelfStock_Log[WeekIndex],92))</f>
        <v/>
      </c>
      <c r="CP34" s="17">
        <f>IF(COUNTIFS(T_SelfStock_Log[Part Name],$A34,T_SelfStock_Log[WeekIndex],93)=0,"",SUMIFS(T_SelfStock_Log[Self_Qty],T_SelfStock_Log[Part Name],$A34,T_SelfStock_Log[WeekIndex],93))</f>
        <v/>
      </c>
      <c r="CQ34" s="17">
        <f>IF(COUNTIFS(T_SelfStock_Log[Part Name],$A34,T_SelfStock_Log[WeekIndex],94)=0,"",SUMIFS(T_SelfStock_Log[Self_Qty],T_SelfStock_Log[Part Name],$A34,T_SelfStock_Log[WeekIndex],94))</f>
        <v/>
      </c>
      <c r="CR34" s="17">
        <f>IF(COUNTIFS(T_SelfStock_Log[Part Name],$A34,T_SelfStock_Log[WeekIndex],95)=0,"",SUMIFS(T_SelfStock_Log[Self_Qty],T_SelfStock_Log[Part Name],$A34,T_SelfStock_Log[WeekIndex],95))</f>
        <v/>
      </c>
      <c r="CS34" s="17">
        <f>IF(COUNTIFS(T_SelfStock_Log[Part Name],$A34,T_SelfStock_Log[WeekIndex],96)=0,"",SUMIFS(T_SelfStock_Log[Self_Qty],T_SelfStock_Log[Part Name],$A34,T_SelfStock_Log[WeekIndex],96))</f>
        <v/>
      </c>
      <c r="CT34" s="17">
        <f>IF(COUNTIFS(T_SelfStock_Log[Part Name],$A34,T_SelfStock_Log[WeekIndex],97)=0,"",SUMIFS(T_SelfStock_Log[Self_Qty],T_SelfStock_Log[Part Name],$A34,T_SelfStock_Log[WeekIndex],97))</f>
        <v/>
      </c>
      <c r="CU34" s="17">
        <f>IF(COUNTIFS(T_SelfStock_Log[Part Name],$A34,T_SelfStock_Log[WeekIndex],98)=0,"",SUMIFS(T_SelfStock_Log[Self_Qty],T_SelfStock_Log[Part Name],$A34,T_SelfStock_Log[WeekIndex],98))</f>
        <v/>
      </c>
      <c r="CV34" s="17">
        <f>IF(COUNTIFS(T_SelfStock_Log[Part Name],$A34,T_SelfStock_Log[WeekIndex],99)=0,"",SUMIFS(T_SelfStock_Log[Self_Qty],T_SelfStock_Log[Part Name],$A34,T_SelfStock_Log[WeekIndex],99))</f>
        <v/>
      </c>
      <c r="CW34" s="17">
        <f>IF(COUNTIFS(T_SelfStock_Log[Part Name],$A34,T_SelfStock_Log[WeekIndex],100)=0,"",SUMIFS(T_SelfStock_Log[Self_Qty],T_SelfStock_Log[Part Name],$A34,T_SelfStock_Log[WeekIndex],100))</f>
        <v/>
      </c>
      <c r="CX34" s="17">
        <f>IF(COUNTIFS(T_SelfStock_Log[Part Name],$A34,T_SelfStock_Log[WeekIndex],101)=0,"",SUMIFS(T_SelfStock_Log[Self_Qty],T_SelfStock_Log[Part Name],$A34,T_SelfStock_Log[WeekIndex],101))</f>
        <v/>
      </c>
      <c r="CY34" s="17">
        <f>IF(COUNTIFS(T_SelfStock_Log[Part Name],$A34,T_SelfStock_Log[WeekIndex],102)=0,"",SUMIFS(T_SelfStock_Log[Self_Qty],T_SelfStock_Log[Part Name],$A34,T_SelfStock_Log[WeekIndex],102))</f>
        <v/>
      </c>
      <c r="CZ34" s="17">
        <f>IF(COUNTIFS(T_SelfStock_Log[Part Name],$A34,T_SelfStock_Log[WeekIndex],103)=0,"",SUMIFS(T_SelfStock_Log[Self_Qty],T_SelfStock_Log[Part Name],$A34,T_SelfStock_Log[WeekIndex],103))</f>
        <v/>
      </c>
      <c r="DA34" s="17">
        <f>IF(COUNTIFS(T_SelfStock_Log[Part Name],$A34,T_SelfStock_Log[WeekIndex],104)=0,"",SUMIFS(T_SelfStock_Log[Self_Qty],T_SelfStock_Log[Part Name],$A34,T_SelfStock_Log[WeekIndex],104))</f>
        <v/>
      </c>
    </row>
    <row r="35">
      <c r="A35" s="19" t="inlineStr">
        <is>
          <t>CHEM-1440</t>
        </is>
      </c>
      <c r="B35" s="19">
        <f>IF(COUNTIFS(T_SelfStock_Log[Part Name],$A35,T_SelfStock_Log[WeekIndex],1)=0,"",SUMIFS(T_SelfStock_Log[Self_Qty],T_SelfStock_Log[Part Name],$A35,T_SelfStock_Log[WeekIndex],1))</f>
        <v/>
      </c>
      <c r="C35" s="19">
        <f>IF(COUNTIFS(T_SelfStock_Log[Part Name],$A35,T_SelfStock_Log[WeekIndex],2)=0,"",SUMIFS(T_SelfStock_Log[Self_Qty],T_SelfStock_Log[Part Name],$A35,T_SelfStock_Log[WeekIndex],2))</f>
        <v/>
      </c>
      <c r="D35" s="19">
        <f>IF(COUNTIFS(T_SelfStock_Log[Part Name],$A35,T_SelfStock_Log[WeekIndex],3)=0,"",SUMIFS(T_SelfStock_Log[Self_Qty],T_SelfStock_Log[Part Name],$A35,T_SelfStock_Log[WeekIndex],3))</f>
        <v/>
      </c>
      <c r="E35" s="19">
        <f>IF(COUNTIFS(T_SelfStock_Log[Part Name],$A35,T_SelfStock_Log[WeekIndex],4)=0,"",SUMIFS(T_SelfStock_Log[Self_Qty],T_SelfStock_Log[Part Name],$A35,T_SelfStock_Log[WeekIndex],4))</f>
        <v/>
      </c>
      <c r="F35" s="19">
        <f>IF(COUNTIFS(T_SelfStock_Log[Part Name],$A35,T_SelfStock_Log[WeekIndex],5)=0,"",SUMIFS(T_SelfStock_Log[Self_Qty],T_SelfStock_Log[Part Name],$A35,T_SelfStock_Log[WeekIndex],5))</f>
        <v/>
      </c>
      <c r="G35" s="19">
        <f>IF(COUNTIFS(T_SelfStock_Log[Part Name],$A35,T_SelfStock_Log[WeekIndex],6)=0,"",SUMIFS(T_SelfStock_Log[Self_Qty],T_SelfStock_Log[Part Name],$A35,T_SelfStock_Log[WeekIndex],6))</f>
        <v/>
      </c>
      <c r="H35" s="19">
        <f>IF(COUNTIFS(T_SelfStock_Log[Part Name],$A35,T_SelfStock_Log[WeekIndex],7)=0,"",SUMIFS(T_SelfStock_Log[Self_Qty],T_SelfStock_Log[Part Name],$A35,T_SelfStock_Log[WeekIndex],7))</f>
        <v/>
      </c>
      <c r="I35" s="19">
        <f>IF(COUNTIFS(T_SelfStock_Log[Part Name],$A35,T_SelfStock_Log[WeekIndex],8)=0,"",SUMIFS(T_SelfStock_Log[Self_Qty],T_SelfStock_Log[Part Name],$A35,T_SelfStock_Log[WeekIndex],8))</f>
        <v/>
      </c>
      <c r="J35" s="19">
        <f>IF(COUNTIFS(T_SelfStock_Log[Part Name],$A35,T_SelfStock_Log[WeekIndex],9)=0,"",SUMIFS(T_SelfStock_Log[Self_Qty],T_SelfStock_Log[Part Name],$A35,T_SelfStock_Log[WeekIndex],9))</f>
        <v/>
      </c>
      <c r="K35" s="19">
        <f>IF(COUNTIFS(T_SelfStock_Log[Part Name],$A35,T_SelfStock_Log[WeekIndex],10)=0,"",SUMIFS(T_SelfStock_Log[Self_Qty],T_SelfStock_Log[Part Name],$A35,T_SelfStock_Log[WeekIndex],10))</f>
        <v/>
      </c>
      <c r="L35" s="19">
        <f>IF(COUNTIFS(T_SelfStock_Log[Part Name],$A35,T_SelfStock_Log[WeekIndex],11)=0,"",SUMIFS(T_SelfStock_Log[Self_Qty],T_SelfStock_Log[Part Name],$A35,T_SelfStock_Log[WeekIndex],11))</f>
        <v/>
      </c>
      <c r="M35" s="19">
        <f>IF(COUNTIFS(T_SelfStock_Log[Part Name],$A35,T_SelfStock_Log[WeekIndex],12)=0,"",SUMIFS(T_SelfStock_Log[Self_Qty],T_SelfStock_Log[Part Name],$A35,T_SelfStock_Log[WeekIndex],12))</f>
        <v/>
      </c>
      <c r="N35" s="19">
        <f>IF(COUNTIFS(T_SelfStock_Log[Part Name],$A35,T_SelfStock_Log[WeekIndex],13)=0,"",SUMIFS(T_SelfStock_Log[Self_Qty],T_SelfStock_Log[Part Name],$A35,T_SelfStock_Log[WeekIndex],13))</f>
        <v/>
      </c>
      <c r="O35" s="19">
        <f>IF(COUNTIFS(T_SelfStock_Log[Part Name],$A35,T_SelfStock_Log[WeekIndex],14)=0,"",SUMIFS(T_SelfStock_Log[Self_Qty],T_SelfStock_Log[Part Name],$A35,T_SelfStock_Log[WeekIndex],14))</f>
        <v/>
      </c>
      <c r="P35" s="19">
        <f>IF(COUNTIFS(T_SelfStock_Log[Part Name],$A35,T_SelfStock_Log[WeekIndex],15)=0,"",SUMIFS(T_SelfStock_Log[Self_Qty],T_SelfStock_Log[Part Name],$A35,T_SelfStock_Log[WeekIndex],15))</f>
        <v/>
      </c>
      <c r="Q35" s="19">
        <f>IF(COUNTIFS(T_SelfStock_Log[Part Name],$A35,T_SelfStock_Log[WeekIndex],16)=0,"",SUMIFS(T_SelfStock_Log[Self_Qty],T_SelfStock_Log[Part Name],$A35,T_SelfStock_Log[WeekIndex],16))</f>
        <v/>
      </c>
      <c r="R35" s="19">
        <f>IF(COUNTIFS(T_SelfStock_Log[Part Name],$A35,T_SelfStock_Log[WeekIndex],17)=0,"",SUMIFS(T_SelfStock_Log[Self_Qty],T_SelfStock_Log[Part Name],$A35,T_SelfStock_Log[WeekIndex],17))</f>
        <v/>
      </c>
      <c r="S35" s="19">
        <f>IF(COUNTIFS(T_SelfStock_Log[Part Name],$A35,T_SelfStock_Log[WeekIndex],18)=0,"",SUMIFS(T_SelfStock_Log[Self_Qty],T_SelfStock_Log[Part Name],$A35,T_SelfStock_Log[WeekIndex],18))</f>
        <v/>
      </c>
      <c r="T35" s="19">
        <f>IF(COUNTIFS(T_SelfStock_Log[Part Name],$A35,T_SelfStock_Log[WeekIndex],19)=0,"",SUMIFS(T_SelfStock_Log[Self_Qty],T_SelfStock_Log[Part Name],$A35,T_SelfStock_Log[WeekIndex],19))</f>
        <v/>
      </c>
      <c r="U35" s="19">
        <f>IF(COUNTIFS(T_SelfStock_Log[Part Name],$A35,T_SelfStock_Log[WeekIndex],20)=0,"",SUMIFS(T_SelfStock_Log[Self_Qty],T_SelfStock_Log[Part Name],$A35,T_SelfStock_Log[WeekIndex],20))</f>
        <v/>
      </c>
      <c r="V35" s="19">
        <f>IF(COUNTIFS(T_SelfStock_Log[Part Name],$A35,T_SelfStock_Log[WeekIndex],21)=0,"",SUMIFS(T_SelfStock_Log[Self_Qty],T_SelfStock_Log[Part Name],$A35,T_SelfStock_Log[WeekIndex],21))</f>
        <v/>
      </c>
      <c r="W35" s="19">
        <f>IF(COUNTIFS(T_SelfStock_Log[Part Name],$A35,T_SelfStock_Log[WeekIndex],22)=0,"",SUMIFS(T_SelfStock_Log[Self_Qty],T_SelfStock_Log[Part Name],$A35,T_SelfStock_Log[WeekIndex],22))</f>
        <v/>
      </c>
      <c r="X35" s="19">
        <f>IF(COUNTIFS(T_SelfStock_Log[Part Name],$A35,T_SelfStock_Log[WeekIndex],23)=0,"",SUMIFS(T_SelfStock_Log[Self_Qty],T_SelfStock_Log[Part Name],$A35,T_SelfStock_Log[WeekIndex],23))</f>
        <v/>
      </c>
      <c r="Y35" s="19">
        <f>IF(COUNTIFS(T_SelfStock_Log[Part Name],$A35,T_SelfStock_Log[WeekIndex],24)=0,"",SUMIFS(T_SelfStock_Log[Self_Qty],T_SelfStock_Log[Part Name],$A35,T_SelfStock_Log[WeekIndex],24))</f>
        <v/>
      </c>
      <c r="Z35" s="19">
        <f>IF(COUNTIFS(T_SelfStock_Log[Part Name],$A35,T_SelfStock_Log[WeekIndex],25)=0,"",SUMIFS(T_SelfStock_Log[Self_Qty],T_SelfStock_Log[Part Name],$A35,T_SelfStock_Log[WeekIndex],25))</f>
        <v/>
      </c>
      <c r="AA35" s="19">
        <f>IF(COUNTIFS(T_SelfStock_Log[Part Name],$A35,T_SelfStock_Log[WeekIndex],26)=0,"",SUMIFS(T_SelfStock_Log[Self_Qty],T_SelfStock_Log[Part Name],$A35,T_SelfStock_Log[WeekIndex],26))</f>
        <v/>
      </c>
      <c r="AB35" s="19">
        <f>IF(COUNTIFS(T_SelfStock_Log[Part Name],$A35,T_SelfStock_Log[WeekIndex],27)=0,"",SUMIFS(T_SelfStock_Log[Self_Qty],T_SelfStock_Log[Part Name],$A35,T_SelfStock_Log[WeekIndex],27))</f>
        <v/>
      </c>
      <c r="AC35" s="19">
        <f>IF(COUNTIFS(T_SelfStock_Log[Part Name],$A35,T_SelfStock_Log[WeekIndex],28)=0,"",SUMIFS(T_SelfStock_Log[Self_Qty],T_SelfStock_Log[Part Name],$A35,T_SelfStock_Log[WeekIndex],28))</f>
        <v/>
      </c>
      <c r="AD35" s="19">
        <f>IF(COUNTIFS(T_SelfStock_Log[Part Name],$A35,T_SelfStock_Log[WeekIndex],29)=0,"",SUMIFS(T_SelfStock_Log[Self_Qty],T_SelfStock_Log[Part Name],$A35,T_SelfStock_Log[WeekIndex],29))</f>
        <v/>
      </c>
      <c r="AE35" s="19">
        <f>IF(COUNTIFS(T_SelfStock_Log[Part Name],$A35,T_SelfStock_Log[WeekIndex],30)=0,"",SUMIFS(T_SelfStock_Log[Self_Qty],T_SelfStock_Log[Part Name],$A35,T_SelfStock_Log[WeekIndex],30))</f>
        <v/>
      </c>
      <c r="AF35" s="19">
        <f>IF(COUNTIFS(T_SelfStock_Log[Part Name],$A35,T_SelfStock_Log[WeekIndex],31)=0,"",SUMIFS(T_SelfStock_Log[Self_Qty],T_SelfStock_Log[Part Name],$A35,T_SelfStock_Log[WeekIndex],31))</f>
        <v/>
      </c>
      <c r="AG35" s="19">
        <f>IF(COUNTIFS(T_SelfStock_Log[Part Name],$A35,T_SelfStock_Log[WeekIndex],32)=0,"",SUMIFS(T_SelfStock_Log[Self_Qty],T_SelfStock_Log[Part Name],$A35,T_SelfStock_Log[WeekIndex],32))</f>
        <v/>
      </c>
      <c r="AH35" s="19">
        <f>IF(COUNTIFS(T_SelfStock_Log[Part Name],$A35,T_SelfStock_Log[WeekIndex],33)=0,"",SUMIFS(T_SelfStock_Log[Self_Qty],T_SelfStock_Log[Part Name],$A35,T_SelfStock_Log[WeekIndex],33))</f>
        <v/>
      </c>
      <c r="AI35" s="19">
        <f>IF(COUNTIFS(T_SelfStock_Log[Part Name],$A35,T_SelfStock_Log[WeekIndex],34)=0,"",SUMIFS(T_SelfStock_Log[Self_Qty],T_SelfStock_Log[Part Name],$A35,T_SelfStock_Log[WeekIndex],34))</f>
        <v/>
      </c>
      <c r="AJ35" s="19">
        <f>IF(COUNTIFS(T_SelfStock_Log[Part Name],$A35,T_SelfStock_Log[WeekIndex],35)=0,"",SUMIFS(T_SelfStock_Log[Self_Qty],T_SelfStock_Log[Part Name],$A35,T_SelfStock_Log[WeekIndex],35))</f>
        <v/>
      </c>
      <c r="AK35" s="19">
        <f>IF(COUNTIFS(T_SelfStock_Log[Part Name],$A35,T_SelfStock_Log[WeekIndex],36)=0,"",SUMIFS(T_SelfStock_Log[Self_Qty],T_SelfStock_Log[Part Name],$A35,T_SelfStock_Log[WeekIndex],36))</f>
        <v/>
      </c>
      <c r="AL35" s="19">
        <f>IF(COUNTIFS(T_SelfStock_Log[Part Name],$A35,T_SelfStock_Log[WeekIndex],37)=0,"",SUMIFS(T_SelfStock_Log[Self_Qty],T_SelfStock_Log[Part Name],$A35,T_SelfStock_Log[WeekIndex],37))</f>
        <v/>
      </c>
      <c r="AM35" s="19">
        <f>IF(COUNTIFS(T_SelfStock_Log[Part Name],$A35,T_SelfStock_Log[WeekIndex],38)=0,"",SUMIFS(T_SelfStock_Log[Self_Qty],T_SelfStock_Log[Part Name],$A35,T_SelfStock_Log[WeekIndex],38))</f>
        <v/>
      </c>
      <c r="AN35" s="19">
        <f>IF(COUNTIFS(T_SelfStock_Log[Part Name],$A35,T_SelfStock_Log[WeekIndex],39)=0,"",SUMIFS(T_SelfStock_Log[Self_Qty],T_SelfStock_Log[Part Name],$A35,T_SelfStock_Log[WeekIndex],39))</f>
        <v/>
      </c>
      <c r="AO35" s="19">
        <f>IF(COUNTIFS(T_SelfStock_Log[Part Name],$A35,T_SelfStock_Log[WeekIndex],40)=0,"",SUMIFS(T_SelfStock_Log[Self_Qty],T_SelfStock_Log[Part Name],$A35,T_SelfStock_Log[WeekIndex],40))</f>
        <v/>
      </c>
      <c r="AP35" s="19">
        <f>IF(COUNTIFS(T_SelfStock_Log[Part Name],$A35,T_SelfStock_Log[WeekIndex],41)=0,"",SUMIFS(T_SelfStock_Log[Self_Qty],T_SelfStock_Log[Part Name],$A35,T_SelfStock_Log[WeekIndex],41))</f>
        <v/>
      </c>
      <c r="AQ35" s="19">
        <f>IF(COUNTIFS(T_SelfStock_Log[Part Name],$A35,T_SelfStock_Log[WeekIndex],42)=0,"",SUMIFS(T_SelfStock_Log[Self_Qty],T_SelfStock_Log[Part Name],$A35,T_SelfStock_Log[WeekIndex],42))</f>
        <v/>
      </c>
      <c r="AR35" s="19">
        <f>IF(COUNTIFS(T_SelfStock_Log[Part Name],$A35,T_SelfStock_Log[WeekIndex],43)=0,"",SUMIFS(T_SelfStock_Log[Self_Qty],T_SelfStock_Log[Part Name],$A35,T_SelfStock_Log[WeekIndex],43))</f>
        <v/>
      </c>
      <c r="AS35" s="19">
        <f>IF(COUNTIFS(T_SelfStock_Log[Part Name],$A35,T_SelfStock_Log[WeekIndex],44)=0,"",SUMIFS(T_SelfStock_Log[Self_Qty],T_SelfStock_Log[Part Name],$A35,T_SelfStock_Log[WeekIndex],44))</f>
        <v/>
      </c>
      <c r="AT35" s="19">
        <f>IF(COUNTIFS(T_SelfStock_Log[Part Name],$A35,T_SelfStock_Log[WeekIndex],45)=0,"",SUMIFS(T_SelfStock_Log[Self_Qty],T_SelfStock_Log[Part Name],$A35,T_SelfStock_Log[WeekIndex],45))</f>
        <v/>
      </c>
      <c r="AU35" s="19">
        <f>IF(COUNTIFS(T_SelfStock_Log[Part Name],$A35,T_SelfStock_Log[WeekIndex],46)=0,"",SUMIFS(T_SelfStock_Log[Self_Qty],T_SelfStock_Log[Part Name],$A35,T_SelfStock_Log[WeekIndex],46))</f>
        <v/>
      </c>
      <c r="AV35" s="19">
        <f>IF(COUNTIFS(T_SelfStock_Log[Part Name],$A35,T_SelfStock_Log[WeekIndex],47)=0,"",SUMIFS(T_SelfStock_Log[Self_Qty],T_SelfStock_Log[Part Name],$A35,T_SelfStock_Log[WeekIndex],47))</f>
        <v/>
      </c>
      <c r="AW35" s="19">
        <f>IF(COUNTIFS(T_SelfStock_Log[Part Name],$A35,T_SelfStock_Log[WeekIndex],48)=0,"",SUMIFS(T_SelfStock_Log[Self_Qty],T_SelfStock_Log[Part Name],$A35,T_SelfStock_Log[WeekIndex],48))</f>
        <v/>
      </c>
      <c r="AX35" s="19">
        <f>IF(COUNTIFS(T_SelfStock_Log[Part Name],$A35,T_SelfStock_Log[WeekIndex],49)=0,"",SUMIFS(T_SelfStock_Log[Self_Qty],T_SelfStock_Log[Part Name],$A35,T_SelfStock_Log[WeekIndex],49))</f>
        <v/>
      </c>
      <c r="AY35" s="19">
        <f>IF(COUNTIFS(T_SelfStock_Log[Part Name],$A35,T_SelfStock_Log[WeekIndex],50)=0,"",SUMIFS(T_SelfStock_Log[Self_Qty],T_SelfStock_Log[Part Name],$A35,T_SelfStock_Log[WeekIndex],50))</f>
        <v/>
      </c>
      <c r="AZ35" s="19">
        <f>IF(COUNTIFS(T_SelfStock_Log[Part Name],$A35,T_SelfStock_Log[WeekIndex],51)=0,"",SUMIFS(T_SelfStock_Log[Self_Qty],T_SelfStock_Log[Part Name],$A35,T_SelfStock_Log[WeekIndex],51))</f>
        <v/>
      </c>
      <c r="BA35" s="19">
        <f>IF(COUNTIFS(T_SelfStock_Log[Part Name],$A35,T_SelfStock_Log[WeekIndex],52)=0,"",SUMIFS(T_SelfStock_Log[Self_Qty],T_SelfStock_Log[Part Name],$A35,T_SelfStock_Log[WeekIndex],52))</f>
        <v/>
      </c>
      <c r="BB35" s="19">
        <f>IF(COUNTIFS(T_SelfStock_Log[Part Name],$A35,T_SelfStock_Log[WeekIndex],53)=0,"",SUMIFS(T_SelfStock_Log[Self_Qty],T_SelfStock_Log[Part Name],$A35,T_SelfStock_Log[WeekIndex],53))</f>
        <v/>
      </c>
      <c r="BC35" s="19">
        <f>IF(COUNTIFS(T_SelfStock_Log[Part Name],$A35,T_SelfStock_Log[WeekIndex],54)=0,"",SUMIFS(T_SelfStock_Log[Self_Qty],T_SelfStock_Log[Part Name],$A35,T_SelfStock_Log[WeekIndex],54))</f>
        <v/>
      </c>
      <c r="BD35" s="19">
        <f>IF(COUNTIFS(T_SelfStock_Log[Part Name],$A35,T_SelfStock_Log[WeekIndex],55)=0,"",SUMIFS(T_SelfStock_Log[Self_Qty],T_SelfStock_Log[Part Name],$A35,T_SelfStock_Log[WeekIndex],55))</f>
        <v/>
      </c>
      <c r="BE35" s="19">
        <f>IF(COUNTIFS(T_SelfStock_Log[Part Name],$A35,T_SelfStock_Log[WeekIndex],56)=0,"",SUMIFS(T_SelfStock_Log[Self_Qty],T_SelfStock_Log[Part Name],$A35,T_SelfStock_Log[WeekIndex],56))</f>
        <v/>
      </c>
      <c r="BF35" s="19">
        <f>IF(COUNTIFS(T_SelfStock_Log[Part Name],$A35,T_SelfStock_Log[WeekIndex],57)=0,"",SUMIFS(T_SelfStock_Log[Self_Qty],T_SelfStock_Log[Part Name],$A35,T_SelfStock_Log[WeekIndex],57))</f>
        <v/>
      </c>
      <c r="BG35" s="19">
        <f>IF(COUNTIFS(T_SelfStock_Log[Part Name],$A35,T_SelfStock_Log[WeekIndex],58)=0,"",SUMIFS(T_SelfStock_Log[Self_Qty],T_SelfStock_Log[Part Name],$A35,T_SelfStock_Log[WeekIndex],58))</f>
        <v/>
      </c>
      <c r="BH35" s="19">
        <f>IF(COUNTIFS(T_SelfStock_Log[Part Name],$A35,T_SelfStock_Log[WeekIndex],59)=0,"",SUMIFS(T_SelfStock_Log[Self_Qty],T_SelfStock_Log[Part Name],$A35,T_SelfStock_Log[WeekIndex],59))</f>
        <v/>
      </c>
      <c r="BI35" s="19">
        <f>IF(COUNTIFS(T_SelfStock_Log[Part Name],$A35,T_SelfStock_Log[WeekIndex],60)=0,"",SUMIFS(T_SelfStock_Log[Self_Qty],T_SelfStock_Log[Part Name],$A35,T_SelfStock_Log[WeekIndex],60))</f>
        <v/>
      </c>
      <c r="BJ35" s="19">
        <f>IF(COUNTIFS(T_SelfStock_Log[Part Name],$A35,T_SelfStock_Log[WeekIndex],61)=0,"",SUMIFS(T_SelfStock_Log[Self_Qty],T_SelfStock_Log[Part Name],$A35,T_SelfStock_Log[WeekIndex],61))</f>
        <v/>
      </c>
      <c r="BK35" s="19">
        <f>IF(COUNTIFS(T_SelfStock_Log[Part Name],$A35,T_SelfStock_Log[WeekIndex],62)=0,"",SUMIFS(T_SelfStock_Log[Self_Qty],T_SelfStock_Log[Part Name],$A35,T_SelfStock_Log[WeekIndex],62))</f>
        <v/>
      </c>
      <c r="BL35" s="19">
        <f>IF(COUNTIFS(T_SelfStock_Log[Part Name],$A35,T_SelfStock_Log[WeekIndex],63)=0,"",SUMIFS(T_SelfStock_Log[Self_Qty],T_SelfStock_Log[Part Name],$A35,T_SelfStock_Log[WeekIndex],63))</f>
        <v/>
      </c>
      <c r="BM35" s="19">
        <f>IF(COUNTIFS(T_SelfStock_Log[Part Name],$A35,T_SelfStock_Log[WeekIndex],64)=0,"",SUMIFS(T_SelfStock_Log[Self_Qty],T_SelfStock_Log[Part Name],$A35,T_SelfStock_Log[WeekIndex],64))</f>
        <v/>
      </c>
      <c r="BN35" s="19">
        <f>IF(COUNTIFS(T_SelfStock_Log[Part Name],$A35,T_SelfStock_Log[WeekIndex],65)=0,"",SUMIFS(T_SelfStock_Log[Self_Qty],T_SelfStock_Log[Part Name],$A35,T_SelfStock_Log[WeekIndex],65))</f>
        <v/>
      </c>
      <c r="BO35" s="19">
        <f>IF(COUNTIFS(T_SelfStock_Log[Part Name],$A35,T_SelfStock_Log[WeekIndex],66)=0,"",SUMIFS(T_SelfStock_Log[Self_Qty],T_SelfStock_Log[Part Name],$A35,T_SelfStock_Log[WeekIndex],66))</f>
        <v/>
      </c>
      <c r="BP35" s="19">
        <f>IF(COUNTIFS(T_SelfStock_Log[Part Name],$A35,T_SelfStock_Log[WeekIndex],67)=0,"",SUMIFS(T_SelfStock_Log[Self_Qty],T_SelfStock_Log[Part Name],$A35,T_SelfStock_Log[WeekIndex],67))</f>
        <v/>
      </c>
      <c r="BQ35" s="19">
        <f>IF(COUNTIFS(T_SelfStock_Log[Part Name],$A35,T_SelfStock_Log[WeekIndex],68)=0,"",SUMIFS(T_SelfStock_Log[Self_Qty],T_SelfStock_Log[Part Name],$A35,T_SelfStock_Log[WeekIndex],68))</f>
        <v/>
      </c>
      <c r="BR35" s="19">
        <f>IF(COUNTIFS(T_SelfStock_Log[Part Name],$A35,T_SelfStock_Log[WeekIndex],69)=0,"",SUMIFS(T_SelfStock_Log[Self_Qty],T_SelfStock_Log[Part Name],$A35,T_SelfStock_Log[WeekIndex],69))</f>
        <v/>
      </c>
      <c r="BS35" s="19">
        <f>IF(COUNTIFS(T_SelfStock_Log[Part Name],$A35,T_SelfStock_Log[WeekIndex],70)=0,"",SUMIFS(T_SelfStock_Log[Self_Qty],T_SelfStock_Log[Part Name],$A35,T_SelfStock_Log[WeekIndex],70))</f>
        <v/>
      </c>
      <c r="BT35" s="19">
        <f>IF(COUNTIFS(T_SelfStock_Log[Part Name],$A35,T_SelfStock_Log[WeekIndex],71)=0,"",SUMIFS(T_SelfStock_Log[Self_Qty],T_SelfStock_Log[Part Name],$A35,T_SelfStock_Log[WeekIndex],71))</f>
        <v/>
      </c>
      <c r="BU35" s="19">
        <f>IF(COUNTIFS(T_SelfStock_Log[Part Name],$A35,T_SelfStock_Log[WeekIndex],72)=0,"",SUMIFS(T_SelfStock_Log[Self_Qty],T_SelfStock_Log[Part Name],$A35,T_SelfStock_Log[WeekIndex],72))</f>
        <v/>
      </c>
      <c r="BV35" s="19">
        <f>IF(COUNTIFS(T_SelfStock_Log[Part Name],$A35,T_SelfStock_Log[WeekIndex],73)=0,"",SUMIFS(T_SelfStock_Log[Self_Qty],T_SelfStock_Log[Part Name],$A35,T_SelfStock_Log[WeekIndex],73))</f>
        <v/>
      </c>
      <c r="BW35" s="19">
        <f>IF(COUNTIFS(T_SelfStock_Log[Part Name],$A35,T_SelfStock_Log[WeekIndex],74)=0,"",SUMIFS(T_SelfStock_Log[Self_Qty],T_SelfStock_Log[Part Name],$A35,T_SelfStock_Log[WeekIndex],74))</f>
        <v/>
      </c>
      <c r="BX35" s="19">
        <f>IF(COUNTIFS(T_SelfStock_Log[Part Name],$A35,T_SelfStock_Log[WeekIndex],75)=0,"",SUMIFS(T_SelfStock_Log[Self_Qty],T_SelfStock_Log[Part Name],$A35,T_SelfStock_Log[WeekIndex],75))</f>
        <v/>
      </c>
      <c r="BY35" s="19">
        <f>IF(COUNTIFS(T_SelfStock_Log[Part Name],$A35,T_SelfStock_Log[WeekIndex],76)=0,"",SUMIFS(T_SelfStock_Log[Self_Qty],T_SelfStock_Log[Part Name],$A35,T_SelfStock_Log[WeekIndex],76))</f>
        <v/>
      </c>
      <c r="BZ35" s="19">
        <f>IF(COUNTIFS(T_SelfStock_Log[Part Name],$A35,T_SelfStock_Log[WeekIndex],77)=0,"",SUMIFS(T_SelfStock_Log[Self_Qty],T_SelfStock_Log[Part Name],$A35,T_SelfStock_Log[WeekIndex],77))</f>
        <v/>
      </c>
      <c r="CA35" s="19">
        <f>IF(COUNTIFS(T_SelfStock_Log[Part Name],$A35,T_SelfStock_Log[WeekIndex],78)=0,"",SUMIFS(T_SelfStock_Log[Self_Qty],T_SelfStock_Log[Part Name],$A35,T_SelfStock_Log[WeekIndex],78))</f>
        <v/>
      </c>
      <c r="CB35" s="19">
        <f>IF(COUNTIFS(T_SelfStock_Log[Part Name],$A35,T_SelfStock_Log[WeekIndex],79)=0,"",SUMIFS(T_SelfStock_Log[Self_Qty],T_SelfStock_Log[Part Name],$A35,T_SelfStock_Log[WeekIndex],79))</f>
        <v/>
      </c>
      <c r="CC35" s="19">
        <f>IF(COUNTIFS(T_SelfStock_Log[Part Name],$A35,T_SelfStock_Log[WeekIndex],80)=0,"",SUMIFS(T_SelfStock_Log[Self_Qty],T_SelfStock_Log[Part Name],$A35,T_SelfStock_Log[WeekIndex],80))</f>
        <v/>
      </c>
      <c r="CD35" s="19">
        <f>IF(COUNTIFS(T_SelfStock_Log[Part Name],$A35,T_SelfStock_Log[WeekIndex],81)=0,"",SUMIFS(T_SelfStock_Log[Self_Qty],T_SelfStock_Log[Part Name],$A35,T_SelfStock_Log[WeekIndex],81))</f>
        <v/>
      </c>
      <c r="CE35" s="19">
        <f>IF(COUNTIFS(T_SelfStock_Log[Part Name],$A35,T_SelfStock_Log[WeekIndex],82)=0,"",SUMIFS(T_SelfStock_Log[Self_Qty],T_SelfStock_Log[Part Name],$A35,T_SelfStock_Log[WeekIndex],82))</f>
        <v/>
      </c>
      <c r="CF35" s="19">
        <f>IF(COUNTIFS(T_SelfStock_Log[Part Name],$A35,T_SelfStock_Log[WeekIndex],83)=0,"",SUMIFS(T_SelfStock_Log[Self_Qty],T_SelfStock_Log[Part Name],$A35,T_SelfStock_Log[WeekIndex],83))</f>
        <v/>
      </c>
      <c r="CG35" s="19">
        <f>IF(COUNTIFS(T_SelfStock_Log[Part Name],$A35,T_SelfStock_Log[WeekIndex],84)=0,"",SUMIFS(T_SelfStock_Log[Self_Qty],T_SelfStock_Log[Part Name],$A35,T_SelfStock_Log[WeekIndex],84))</f>
        <v/>
      </c>
      <c r="CH35" s="19">
        <f>IF(COUNTIFS(T_SelfStock_Log[Part Name],$A35,T_SelfStock_Log[WeekIndex],85)=0,"",SUMIFS(T_SelfStock_Log[Self_Qty],T_SelfStock_Log[Part Name],$A35,T_SelfStock_Log[WeekIndex],85))</f>
        <v/>
      </c>
      <c r="CI35" s="19">
        <f>IF(COUNTIFS(T_SelfStock_Log[Part Name],$A35,T_SelfStock_Log[WeekIndex],86)=0,"",SUMIFS(T_SelfStock_Log[Self_Qty],T_SelfStock_Log[Part Name],$A35,T_SelfStock_Log[WeekIndex],86))</f>
        <v/>
      </c>
      <c r="CJ35" s="19">
        <f>IF(COUNTIFS(T_SelfStock_Log[Part Name],$A35,T_SelfStock_Log[WeekIndex],87)=0,"",SUMIFS(T_SelfStock_Log[Self_Qty],T_SelfStock_Log[Part Name],$A35,T_SelfStock_Log[WeekIndex],87))</f>
        <v/>
      </c>
      <c r="CK35" s="19">
        <f>IF(COUNTIFS(T_SelfStock_Log[Part Name],$A35,T_SelfStock_Log[WeekIndex],88)=0,"",SUMIFS(T_SelfStock_Log[Self_Qty],T_SelfStock_Log[Part Name],$A35,T_SelfStock_Log[WeekIndex],88))</f>
        <v/>
      </c>
      <c r="CL35" s="19">
        <f>IF(COUNTIFS(T_SelfStock_Log[Part Name],$A35,T_SelfStock_Log[WeekIndex],89)=0,"",SUMIFS(T_SelfStock_Log[Self_Qty],T_SelfStock_Log[Part Name],$A35,T_SelfStock_Log[WeekIndex],89))</f>
        <v/>
      </c>
      <c r="CM35" s="19">
        <f>IF(COUNTIFS(T_SelfStock_Log[Part Name],$A35,T_SelfStock_Log[WeekIndex],90)=0,"",SUMIFS(T_SelfStock_Log[Self_Qty],T_SelfStock_Log[Part Name],$A35,T_SelfStock_Log[WeekIndex],90))</f>
        <v/>
      </c>
      <c r="CN35" s="19">
        <f>IF(COUNTIFS(T_SelfStock_Log[Part Name],$A35,T_SelfStock_Log[WeekIndex],91)=0,"",SUMIFS(T_SelfStock_Log[Self_Qty],T_SelfStock_Log[Part Name],$A35,T_SelfStock_Log[WeekIndex],91))</f>
        <v/>
      </c>
      <c r="CO35" s="19">
        <f>IF(COUNTIFS(T_SelfStock_Log[Part Name],$A35,T_SelfStock_Log[WeekIndex],92)=0,"",SUMIFS(T_SelfStock_Log[Self_Qty],T_SelfStock_Log[Part Name],$A35,T_SelfStock_Log[WeekIndex],92))</f>
        <v/>
      </c>
      <c r="CP35" s="19">
        <f>IF(COUNTIFS(T_SelfStock_Log[Part Name],$A35,T_SelfStock_Log[WeekIndex],93)=0,"",SUMIFS(T_SelfStock_Log[Self_Qty],T_SelfStock_Log[Part Name],$A35,T_SelfStock_Log[WeekIndex],93))</f>
        <v/>
      </c>
      <c r="CQ35" s="19">
        <f>IF(COUNTIFS(T_SelfStock_Log[Part Name],$A35,T_SelfStock_Log[WeekIndex],94)=0,"",SUMIFS(T_SelfStock_Log[Self_Qty],T_SelfStock_Log[Part Name],$A35,T_SelfStock_Log[WeekIndex],94))</f>
        <v/>
      </c>
      <c r="CR35" s="19">
        <f>IF(COUNTIFS(T_SelfStock_Log[Part Name],$A35,T_SelfStock_Log[WeekIndex],95)=0,"",SUMIFS(T_SelfStock_Log[Self_Qty],T_SelfStock_Log[Part Name],$A35,T_SelfStock_Log[WeekIndex],95))</f>
        <v/>
      </c>
      <c r="CS35" s="19">
        <f>IF(COUNTIFS(T_SelfStock_Log[Part Name],$A35,T_SelfStock_Log[WeekIndex],96)=0,"",SUMIFS(T_SelfStock_Log[Self_Qty],T_SelfStock_Log[Part Name],$A35,T_SelfStock_Log[WeekIndex],96))</f>
        <v/>
      </c>
      <c r="CT35" s="19">
        <f>IF(COUNTIFS(T_SelfStock_Log[Part Name],$A35,T_SelfStock_Log[WeekIndex],97)=0,"",SUMIFS(T_SelfStock_Log[Self_Qty],T_SelfStock_Log[Part Name],$A35,T_SelfStock_Log[WeekIndex],97))</f>
        <v/>
      </c>
      <c r="CU35" s="19">
        <f>IF(COUNTIFS(T_SelfStock_Log[Part Name],$A35,T_SelfStock_Log[WeekIndex],98)=0,"",SUMIFS(T_SelfStock_Log[Self_Qty],T_SelfStock_Log[Part Name],$A35,T_SelfStock_Log[WeekIndex],98))</f>
        <v/>
      </c>
      <c r="CV35" s="19">
        <f>IF(COUNTIFS(T_SelfStock_Log[Part Name],$A35,T_SelfStock_Log[WeekIndex],99)=0,"",SUMIFS(T_SelfStock_Log[Self_Qty],T_SelfStock_Log[Part Name],$A35,T_SelfStock_Log[WeekIndex],99))</f>
        <v/>
      </c>
      <c r="CW35" s="19">
        <f>IF(COUNTIFS(T_SelfStock_Log[Part Name],$A35,T_SelfStock_Log[WeekIndex],100)=0,"",SUMIFS(T_SelfStock_Log[Self_Qty],T_SelfStock_Log[Part Name],$A35,T_SelfStock_Log[WeekIndex],100))</f>
        <v/>
      </c>
      <c r="CX35" s="19">
        <f>IF(COUNTIFS(T_SelfStock_Log[Part Name],$A35,T_SelfStock_Log[WeekIndex],101)=0,"",SUMIFS(T_SelfStock_Log[Self_Qty],T_SelfStock_Log[Part Name],$A35,T_SelfStock_Log[WeekIndex],101))</f>
        <v/>
      </c>
      <c r="CY35" s="19">
        <f>IF(COUNTIFS(T_SelfStock_Log[Part Name],$A35,T_SelfStock_Log[WeekIndex],102)=0,"",SUMIFS(T_SelfStock_Log[Self_Qty],T_SelfStock_Log[Part Name],$A35,T_SelfStock_Log[WeekIndex],102))</f>
        <v/>
      </c>
      <c r="CZ35" s="19">
        <f>IF(COUNTIFS(T_SelfStock_Log[Part Name],$A35,T_SelfStock_Log[WeekIndex],103)=0,"",SUMIFS(T_SelfStock_Log[Self_Qty],T_SelfStock_Log[Part Name],$A35,T_SelfStock_Log[WeekIndex],103))</f>
        <v/>
      </c>
      <c r="DA35" s="19">
        <f>IF(COUNTIFS(T_SelfStock_Log[Part Name],$A35,T_SelfStock_Log[WeekIndex],104)=0,"",SUMIFS(T_SelfStock_Log[Self_Qty],T_SelfStock_Log[Part Name],$A35,T_SelfStock_Log[WeekIndex],104))</f>
        <v/>
      </c>
    </row>
    <row r="36">
      <c r="A36" s="17" t="inlineStr">
        <is>
          <t>CHEM-1780</t>
        </is>
      </c>
      <c r="B36" s="17">
        <f>IF(COUNTIFS(T_SelfStock_Log[Part Name],$A36,T_SelfStock_Log[WeekIndex],1)=0,"",SUMIFS(T_SelfStock_Log[Self_Qty],T_SelfStock_Log[Part Name],$A36,T_SelfStock_Log[WeekIndex],1))</f>
        <v/>
      </c>
      <c r="C36" s="17">
        <f>IF(COUNTIFS(T_SelfStock_Log[Part Name],$A36,T_SelfStock_Log[WeekIndex],2)=0,"",SUMIFS(T_SelfStock_Log[Self_Qty],T_SelfStock_Log[Part Name],$A36,T_SelfStock_Log[WeekIndex],2))</f>
        <v/>
      </c>
      <c r="D36" s="17">
        <f>IF(COUNTIFS(T_SelfStock_Log[Part Name],$A36,T_SelfStock_Log[WeekIndex],3)=0,"",SUMIFS(T_SelfStock_Log[Self_Qty],T_SelfStock_Log[Part Name],$A36,T_SelfStock_Log[WeekIndex],3))</f>
        <v/>
      </c>
      <c r="E36" s="17">
        <f>IF(COUNTIFS(T_SelfStock_Log[Part Name],$A36,T_SelfStock_Log[WeekIndex],4)=0,"",SUMIFS(T_SelfStock_Log[Self_Qty],T_SelfStock_Log[Part Name],$A36,T_SelfStock_Log[WeekIndex],4))</f>
        <v/>
      </c>
      <c r="F36" s="17">
        <f>IF(COUNTIFS(T_SelfStock_Log[Part Name],$A36,T_SelfStock_Log[WeekIndex],5)=0,"",SUMIFS(T_SelfStock_Log[Self_Qty],T_SelfStock_Log[Part Name],$A36,T_SelfStock_Log[WeekIndex],5))</f>
        <v/>
      </c>
      <c r="G36" s="17">
        <f>IF(COUNTIFS(T_SelfStock_Log[Part Name],$A36,T_SelfStock_Log[WeekIndex],6)=0,"",SUMIFS(T_SelfStock_Log[Self_Qty],T_SelfStock_Log[Part Name],$A36,T_SelfStock_Log[WeekIndex],6))</f>
        <v/>
      </c>
      <c r="H36" s="17">
        <f>IF(COUNTIFS(T_SelfStock_Log[Part Name],$A36,T_SelfStock_Log[WeekIndex],7)=0,"",SUMIFS(T_SelfStock_Log[Self_Qty],T_SelfStock_Log[Part Name],$A36,T_SelfStock_Log[WeekIndex],7))</f>
        <v/>
      </c>
      <c r="I36" s="17">
        <f>IF(COUNTIFS(T_SelfStock_Log[Part Name],$A36,T_SelfStock_Log[WeekIndex],8)=0,"",SUMIFS(T_SelfStock_Log[Self_Qty],T_SelfStock_Log[Part Name],$A36,T_SelfStock_Log[WeekIndex],8))</f>
        <v/>
      </c>
      <c r="J36" s="17">
        <f>IF(COUNTIFS(T_SelfStock_Log[Part Name],$A36,T_SelfStock_Log[WeekIndex],9)=0,"",SUMIFS(T_SelfStock_Log[Self_Qty],T_SelfStock_Log[Part Name],$A36,T_SelfStock_Log[WeekIndex],9))</f>
        <v/>
      </c>
      <c r="K36" s="17">
        <f>IF(COUNTIFS(T_SelfStock_Log[Part Name],$A36,T_SelfStock_Log[WeekIndex],10)=0,"",SUMIFS(T_SelfStock_Log[Self_Qty],T_SelfStock_Log[Part Name],$A36,T_SelfStock_Log[WeekIndex],10))</f>
        <v/>
      </c>
      <c r="L36" s="17">
        <f>IF(COUNTIFS(T_SelfStock_Log[Part Name],$A36,T_SelfStock_Log[WeekIndex],11)=0,"",SUMIFS(T_SelfStock_Log[Self_Qty],T_SelfStock_Log[Part Name],$A36,T_SelfStock_Log[WeekIndex],11))</f>
        <v/>
      </c>
      <c r="M36" s="17">
        <f>IF(COUNTIFS(T_SelfStock_Log[Part Name],$A36,T_SelfStock_Log[WeekIndex],12)=0,"",SUMIFS(T_SelfStock_Log[Self_Qty],T_SelfStock_Log[Part Name],$A36,T_SelfStock_Log[WeekIndex],12))</f>
        <v/>
      </c>
      <c r="N36" s="17">
        <f>IF(COUNTIFS(T_SelfStock_Log[Part Name],$A36,T_SelfStock_Log[WeekIndex],13)=0,"",SUMIFS(T_SelfStock_Log[Self_Qty],T_SelfStock_Log[Part Name],$A36,T_SelfStock_Log[WeekIndex],13))</f>
        <v/>
      </c>
      <c r="O36" s="17">
        <f>IF(COUNTIFS(T_SelfStock_Log[Part Name],$A36,T_SelfStock_Log[WeekIndex],14)=0,"",SUMIFS(T_SelfStock_Log[Self_Qty],T_SelfStock_Log[Part Name],$A36,T_SelfStock_Log[WeekIndex],14))</f>
        <v/>
      </c>
      <c r="P36" s="17">
        <f>IF(COUNTIFS(T_SelfStock_Log[Part Name],$A36,T_SelfStock_Log[WeekIndex],15)=0,"",SUMIFS(T_SelfStock_Log[Self_Qty],T_SelfStock_Log[Part Name],$A36,T_SelfStock_Log[WeekIndex],15))</f>
        <v/>
      </c>
      <c r="Q36" s="17">
        <f>IF(COUNTIFS(T_SelfStock_Log[Part Name],$A36,T_SelfStock_Log[WeekIndex],16)=0,"",SUMIFS(T_SelfStock_Log[Self_Qty],T_SelfStock_Log[Part Name],$A36,T_SelfStock_Log[WeekIndex],16))</f>
        <v/>
      </c>
      <c r="R36" s="17">
        <f>IF(COUNTIFS(T_SelfStock_Log[Part Name],$A36,T_SelfStock_Log[WeekIndex],17)=0,"",SUMIFS(T_SelfStock_Log[Self_Qty],T_SelfStock_Log[Part Name],$A36,T_SelfStock_Log[WeekIndex],17))</f>
        <v/>
      </c>
      <c r="S36" s="17">
        <f>IF(COUNTIFS(T_SelfStock_Log[Part Name],$A36,T_SelfStock_Log[WeekIndex],18)=0,"",SUMIFS(T_SelfStock_Log[Self_Qty],T_SelfStock_Log[Part Name],$A36,T_SelfStock_Log[WeekIndex],18))</f>
        <v/>
      </c>
      <c r="T36" s="17">
        <f>IF(COUNTIFS(T_SelfStock_Log[Part Name],$A36,T_SelfStock_Log[WeekIndex],19)=0,"",SUMIFS(T_SelfStock_Log[Self_Qty],T_SelfStock_Log[Part Name],$A36,T_SelfStock_Log[WeekIndex],19))</f>
        <v/>
      </c>
      <c r="U36" s="17">
        <f>IF(COUNTIFS(T_SelfStock_Log[Part Name],$A36,T_SelfStock_Log[WeekIndex],20)=0,"",SUMIFS(T_SelfStock_Log[Self_Qty],T_SelfStock_Log[Part Name],$A36,T_SelfStock_Log[WeekIndex],20))</f>
        <v/>
      </c>
      <c r="V36" s="17">
        <f>IF(COUNTIFS(T_SelfStock_Log[Part Name],$A36,T_SelfStock_Log[WeekIndex],21)=0,"",SUMIFS(T_SelfStock_Log[Self_Qty],T_SelfStock_Log[Part Name],$A36,T_SelfStock_Log[WeekIndex],21))</f>
        <v/>
      </c>
      <c r="W36" s="17">
        <f>IF(COUNTIFS(T_SelfStock_Log[Part Name],$A36,T_SelfStock_Log[WeekIndex],22)=0,"",SUMIFS(T_SelfStock_Log[Self_Qty],T_SelfStock_Log[Part Name],$A36,T_SelfStock_Log[WeekIndex],22))</f>
        <v/>
      </c>
      <c r="X36" s="17">
        <f>IF(COUNTIFS(T_SelfStock_Log[Part Name],$A36,T_SelfStock_Log[WeekIndex],23)=0,"",SUMIFS(T_SelfStock_Log[Self_Qty],T_SelfStock_Log[Part Name],$A36,T_SelfStock_Log[WeekIndex],23))</f>
        <v/>
      </c>
      <c r="Y36" s="17">
        <f>IF(COUNTIFS(T_SelfStock_Log[Part Name],$A36,T_SelfStock_Log[WeekIndex],24)=0,"",SUMIFS(T_SelfStock_Log[Self_Qty],T_SelfStock_Log[Part Name],$A36,T_SelfStock_Log[WeekIndex],24))</f>
        <v/>
      </c>
      <c r="Z36" s="17">
        <f>IF(COUNTIFS(T_SelfStock_Log[Part Name],$A36,T_SelfStock_Log[WeekIndex],25)=0,"",SUMIFS(T_SelfStock_Log[Self_Qty],T_SelfStock_Log[Part Name],$A36,T_SelfStock_Log[WeekIndex],25))</f>
        <v/>
      </c>
      <c r="AA36" s="17">
        <f>IF(COUNTIFS(T_SelfStock_Log[Part Name],$A36,T_SelfStock_Log[WeekIndex],26)=0,"",SUMIFS(T_SelfStock_Log[Self_Qty],T_SelfStock_Log[Part Name],$A36,T_SelfStock_Log[WeekIndex],26))</f>
        <v/>
      </c>
      <c r="AB36" s="17">
        <f>IF(COUNTIFS(T_SelfStock_Log[Part Name],$A36,T_SelfStock_Log[WeekIndex],27)=0,"",SUMIFS(T_SelfStock_Log[Self_Qty],T_SelfStock_Log[Part Name],$A36,T_SelfStock_Log[WeekIndex],27))</f>
        <v/>
      </c>
      <c r="AC36" s="17">
        <f>IF(COUNTIFS(T_SelfStock_Log[Part Name],$A36,T_SelfStock_Log[WeekIndex],28)=0,"",SUMIFS(T_SelfStock_Log[Self_Qty],T_SelfStock_Log[Part Name],$A36,T_SelfStock_Log[WeekIndex],28))</f>
        <v/>
      </c>
      <c r="AD36" s="17">
        <f>IF(COUNTIFS(T_SelfStock_Log[Part Name],$A36,T_SelfStock_Log[WeekIndex],29)=0,"",SUMIFS(T_SelfStock_Log[Self_Qty],T_SelfStock_Log[Part Name],$A36,T_SelfStock_Log[WeekIndex],29))</f>
        <v/>
      </c>
      <c r="AE36" s="17">
        <f>IF(COUNTIFS(T_SelfStock_Log[Part Name],$A36,T_SelfStock_Log[WeekIndex],30)=0,"",SUMIFS(T_SelfStock_Log[Self_Qty],T_SelfStock_Log[Part Name],$A36,T_SelfStock_Log[WeekIndex],30))</f>
        <v/>
      </c>
      <c r="AF36" s="17">
        <f>IF(COUNTIFS(T_SelfStock_Log[Part Name],$A36,T_SelfStock_Log[WeekIndex],31)=0,"",SUMIFS(T_SelfStock_Log[Self_Qty],T_SelfStock_Log[Part Name],$A36,T_SelfStock_Log[WeekIndex],31))</f>
        <v/>
      </c>
      <c r="AG36" s="17">
        <f>IF(COUNTIFS(T_SelfStock_Log[Part Name],$A36,T_SelfStock_Log[WeekIndex],32)=0,"",SUMIFS(T_SelfStock_Log[Self_Qty],T_SelfStock_Log[Part Name],$A36,T_SelfStock_Log[WeekIndex],32))</f>
        <v/>
      </c>
      <c r="AH36" s="17">
        <f>IF(COUNTIFS(T_SelfStock_Log[Part Name],$A36,T_SelfStock_Log[WeekIndex],33)=0,"",SUMIFS(T_SelfStock_Log[Self_Qty],T_SelfStock_Log[Part Name],$A36,T_SelfStock_Log[WeekIndex],33))</f>
        <v/>
      </c>
      <c r="AI36" s="17">
        <f>IF(COUNTIFS(T_SelfStock_Log[Part Name],$A36,T_SelfStock_Log[WeekIndex],34)=0,"",SUMIFS(T_SelfStock_Log[Self_Qty],T_SelfStock_Log[Part Name],$A36,T_SelfStock_Log[WeekIndex],34))</f>
        <v/>
      </c>
      <c r="AJ36" s="17">
        <f>IF(COUNTIFS(T_SelfStock_Log[Part Name],$A36,T_SelfStock_Log[WeekIndex],35)=0,"",SUMIFS(T_SelfStock_Log[Self_Qty],T_SelfStock_Log[Part Name],$A36,T_SelfStock_Log[WeekIndex],35))</f>
        <v/>
      </c>
      <c r="AK36" s="17">
        <f>IF(COUNTIFS(T_SelfStock_Log[Part Name],$A36,T_SelfStock_Log[WeekIndex],36)=0,"",SUMIFS(T_SelfStock_Log[Self_Qty],T_SelfStock_Log[Part Name],$A36,T_SelfStock_Log[WeekIndex],36))</f>
        <v/>
      </c>
      <c r="AL36" s="17">
        <f>IF(COUNTIFS(T_SelfStock_Log[Part Name],$A36,T_SelfStock_Log[WeekIndex],37)=0,"",SUMIFS(T_SelfStock_Log[Self_Qty],T_SelfStock_Log[Part Name],$A36,T_SelfStock_Log[WeekIndex],37))</f>
        <v/>
      </c>
      <c r="AM36" s="17">
        <f>IF(COUNTIFS(T_SelfStock_Log[Part Name],$A36,T_SelfStock_Log[WeekIndex],38)=0,"",SUMIFS(T_SelfStock_Log[Self_Qty],T_SelfStock_Log[Part Name],$A36,T_SelfStock_Log[WeekIndex],38))</f>
        <v/>
      </c>
      <c r="AN36" s="17">
        <f>IF(COUNTIFS(T_SelfStock_Log[Part Name],$A36,T_SelfStock_Log[WeekIndex],39)=0,"",SUMIFS(T_SelfStock_Log[Self_Qty],T_SelfStock_Log[Part Name],$A36,T_SelfStock_Log[WeekIndex],39))</f>
        <v/>
      </c>
      <c r="AO36" s="17">
        <f>IF(COUNTIFS(T_SelfStock_Log[Part Name],$A36,T_SelfStock_Log[WeekIndex],40)=0,"",SUMIFS(T_SelfStock_Log[Self_Qty],T_SelfStock_Log[Part Name],$A36,T_SelfStock_Log[WeekIndex],40))</f>
        <v/>
      </c>
      <c r="AP36" s="17">
        <f>IF(COUNTIFS(T_SelfStock_Log[Part Name],$A36,T_SelfStock_Log[WeekIndex],41)=0,"",SUMIFS(T_SelfStock_Log[Self_Qty],T_SelfStock_Log[Part Name],$A36,T_SelfStock_Log[WeekIndex],41))</f>
        <v/>
      </c>
      <c r="AQ36" s="17">
        <f>IF(COUNTIFS(T_SelfStock_Log[Part Name],$A36,T_SelfStock_Log[WeekIndex],42)=0,"",SUMIFS(T_SelfStock_Log[Self_Qty],T_SelfStock_Log[Part Name],$A36,T_SelfStock_Log[WeekIndex],42))</f>
        <v/>
      </c>
      <c r="AR36" s="17">
        <f>IF(COUNTIFS(T_SelfStock_Log[Part Name],$A36,T_SelfStock_Log[WeekIndex],43)=0,"",SUMIFS(T_SelfStock_Log[Self_Qty],T_SelfStock_Log[Part Name],$A36,T_SelfStock_Log[WeekIndex],43))</f>
        <v/>
      </c>
      <c r="AS36" s="17">
        <f>IF(COUNTIFS(T_SelfStock_Log[Part Name],$A36,T_SelfStock_Log[WeekIndex],44)=0,"",SUMIFS(T_SelfStock_Log[Self_Qty],T_SelfStock_Log[Part Name],$A36,T_SelfStock_Log[WeekIndex],44))</f>
        <v/>
      </c>
      <c r="AT36" s="17">
        <f>IF(COUNTIFS(T_SelfStock_Log[Part Name],$A36,T_SelfStock_Log[WeekIndex],45)=0,"",SUMIFS(T_SelfStock_Log[Self_Qty],T_SelfStock_Log[Part Name],$A36,T_SelfStock_Log[WeekIndex],45))</f>
        <v/>
      </c>
      <c r="AU36" s="17">
        <f>IF(COUNTIFS(T_SelfStock_Log[Part Name],$A36,T_SelfStock_Log[WeekIndex],46)=0,"",SUMIFS(T_SelfStock_Log[Self_Qty],T_SelfStock_Log[Part Name],$A36,T_SelfStock_Log[WeekIndex],46))</f>
        <v/>
      </c>
      <c r="AV36" s="17">
        <f>IF(COUNTIFS(T_SelfStock_Log[Part Name],$A36,T_SelfStock_Log[WeekIndex],47)=0,"",SUMIFS(T_SelfStock_Log[Self_Qty],T_SelfStock_Log[Part Name],$A36,T_SelfStock_Log[WeekIndex],47))</f>
        <v/>
      </c>
      <c r="AW36" s="17">
        <f>IF(COUNTIFS(T_SelfStock_Log[Part Name],$A36,T_SelfStock_Log[WeekIndex],48)=0,"",SUMIFS(T_SelfStock_Log[Self_Qty],T_SelfStock_Log[Part Name],$A36,T_SelfStock_Log[WeekIndex],48))</f>
        <v/>
      </c>
      <c r="AX36" s="17">
        <f>IF(COUNTIFS(T_SelfStock_Log[Part Name],$A36,T_SelfStock_Log[WeekIndex],49)=0,"",SUMIFS(T_SelfStock_Log[Self_Qty],T_SelfStock_Log[Part Name],$A36,T_SelfStock_Log[WeekIndex],49))</f>
        <v/>
      </c>
      <c r="AY36" s="17">
        <f>IF(COUNTIFS(T_SelfStock_Log[Part Name],$A36,T_SelfStock_Log[WeekIndex],50)=0,"",SUMIFS(T_SelfStock_Log[Self_Qty],T_SelfStock_Log[Part Name],$A36,T_SelfStock_Log[WeekIndex],50))</f>
        <v/>
      </c>
      <c r="AZ36" s="17">
        <f>IF(COUNTIFS(T_SelfStock_Log[Part Name],$A36,T_SelfStock_Log[WeekIndex],51)=0,"",SUMIFS(T_SelfStock_Log[Self_Qty],T_SelfStock_Log[Part Name],$A36,T_SelfStock_Log[WeekIndex],51))</f>
        <v/>
      </c>
      <c r="BA36" s="17">
        <f>IF(COUNTIFS(T_SelfStock_Log[Part Name],$A36,T_SelfStock_Log[WeekIndex],52)=0,"",SUMIFS(T_SelfStock_Log[Self_Qty],T_SelfStock_Log[Part Name],$A36,T_SelfStock_Log[WeekIndex],52))</f>
        <v/>
      </c>
      <c r="BB36" s="17">
        <f>IF(COUNTIFS(T_SelfStock_Log[Part Name],$A36,T_SelfStock_Log[WeekIndex],53)=0,"",SUMIFS(T_SelfStock_Log[Self_Qty],T_SelfStock_Log[Part Name],$A36,T_SelfStock_Log[WeekIndex],53))</f>
        <v/>
      </c>
      <c r="BC36" s="17">
        <f>IF(COUNTIFS(T_SelfStock_Log[Part Name],$A36,T_SelfStock_Log[WeekIndex],54)=0,"",SUMIFS(T_SelfStock_Log[Self_Qty],T_SelfStock_Log[Part Name],$A36,T_SelfStock_Log[WeekIndex],54))</f>
        <v/>
      </c>
      <c r="BD36" s="17">
        <f>IF(COUNTIFS(T_SelfStock_Log[Part Name],$A36,T_SelfStock_Log[WeekIndex],55)=0,"",SUMIFS(T_SelfStock_Log[Self_Qty],T_SelfStock_Log[Part Name],$A36,T_SelfStock_Log[WeekIndex],55))</f>
        <v/>
      </c>
      <c r="BE36" s="17">
        <f>IF(COUNTIFS(T_SelfStock_Log[Part Name],$A36,T_SelfStock_Log[WeekIndex],56)=0,"",SUMIFS(T_SelfStock_Log[Self_Qty],T_SelfStock_Log[Part Name],$A36,T_SelfStock_Log[WeekIndex],56))</f>
        <v/>
      </c>
      <c r="BF36" s="17">
        <f>IF(COUNTIFS(T_SelfStock_Log[Part Name],$A36,T_SelfStock_Log[WeekIndex],57)=0,"",SUMIFS(T_SelfStock_Log[Self_Qty],T_SelfStock_Log[Part Name],$A36,T_SelfStock_Log[WeekIndex],57))</f>
        <v/>
      </c>
      <c r="BG36" s="17">
        <f>IF(COUNTIFS(T_SelfStock_Log[Part Name],$A36,T_SelfStock_Log[WeekIndex],58)=0,"",SUMIFS(T_SelfStock_Log[Self_Qty],T_SelfStock_Log[Part Name],$A36,T_SelfStock_Log[WeekIndex],58))</f>
        <v/>
      </c>
      <c r="BH36" s="17">
        <f>IF(COUNTIFS(T_SelfStock_Log[Part Name],$A36,T_SelfStock_Log[WeekIndex],59)=0,"",SUMIFS(T_SelfStock_Log[Self_Qty],T_SelfStock_Log[Part Name],$A36,T_SelfStock_Log[WeekIndex],59))</f>
        <v/>
      </c>
      <c r="BI36" s="17">
        <f>IF(COUNTIFS(T_SelfStock_Log[Part Name],$A36,T_SelfStock_Log[WeekIndex],60)=0,"",SUMIFS(T_SelfStock_Log[Self_Qty],T_SelfStock_Log[Part Name],$A36,T_SelfStock_Log[WeekIndex],60))</f>
        <v/>
      </c>
      <c r="BJ36" s="17">
        <f>IF(COUNTIFS(T_SelfStock_Log[Part Name],$A36,T_SelfStock_Log[WeekIndex],61)=0,"",SUMIFS(T_SelfStock_Log[Self_Qty],T_SelfStock_Log[Part Name],$A36,T_SelfStock_Log[WeekIndex],61))</f>
        <v/>
      </c>
      <c r="BK36" s="17">
        <f>IF(COUNTIFS(T_SelfStock_Log[Part Name],$A36,T_SelfStock_Log[WeekIndex],62)=0,"",SUMIFS(T_SelfStock_Log[Self_Qty],T_SelfStock_Log[Part Name],$A36,T_SelfStock_Log[WeekIndex],62))</f>
        <v/>
      </c>
      <c r="BL36" s="17">
        <f>IF(COUNTIFS(T_SelfStock_Log[Part Name],$A36,T_SelfStock_Log[WeekIndex],63)=0,"",SUMIFS(T_SelfStock_Log[Self_Qty],T_SelfStock_Log[Part Name],$A36,T_SelfStock_Log[WeekIndex],63))</f>
        <v/>
      </c>
      <c r="BM36" s="17">
        <f>IF(COUNTIFS(T_SelfStock_Log[Part Name],$A36,T_SelfStock_Log[WeekIndex],64)=0,"",SUMIFS(T_SelfStock_Log[Self_Qty],T_SelfStock_Log[Part Name],$A36,T_SelfStock_Log[WeekIndex],64))</f>
        <v/>
      </c>
      <c r="BN36" s="17">
        <f>IF(COUNTIFS(T_SelfStock_Log[Part Name],$A36,T_SelfStock_Log[WeekIndex],65)=0,"",SUMIFS(T_SelfStock_Log[Self_Qty],T_SelfStock_Log[Part Name],$A36,T_SelfStock_Log[WeekIndex],65))</f>
        <v/>
      </c>
      <c r="BO36" s="17">
        <f>IF(COUNTIFS(T_SelfStock_Log[Part Name],$A36,T_SelfStock_Log[WeekIndex],66)=0,"",SUMIFS(T_SelfStock_Log[Self_Qty],T_SelfStock_Log[Part Name],$A36,T_SelfStock_Log[WeekIndex],66))</f>
        <v/>
      </c>
      <c r="BP36" s="17">
        <f>IF(COUNTIFS(T_SelfStock_Log[Part Name],$A36,T_SelfStock_Log[WeekIndex],67)=0,"",SUMIFS(T_SelfStock_Log[Self_Qty],T_SelfStock_Log[Part Name],$A36,T_SelfStock_Log[WeekIndex],67))</f>
        <v/>
      </c>
      <c r="BQ36" s="17">
        <f>IF(COUNTIFS(T_SelfStock_Log[Part Name],$A36,T_SelfStock_Log[WeekIndex],68)=0,"",SUMIFS(T_SelfStock_Log[Self_Qty],T_SelfStock_Log[Part Name],$A36,T_SelfStock_Log[WeekIndex],68))</f>
        <v/>
      </c>
      <c r="BR36" s="17">
        <f>IF(COUNTIFS(T_SelfStock_Log[Part Name],$A36,T_SelfStock_Log[WeekIndex],69)=0,"",SUMIFS(T_SelfStock_Log[Self_Qty],T_SelfStock_Log[Part Name],$A36,T_SelfStock_Log[WeekIndex],69))</f>
        <v/>
      </c>
      <c r="BS36" s="17">
        <f>IF(COUNTIFS(T_SelfStock_Log[Part Name],$A36,T_SelfStock_Log[WeekIndex],70)=0,"",SUMIFS(T_SelfStock_Log[Self_Qty],T_SelfStock_Log[Part Name],$A36,T_SelfStock_Log[WeekIndex],70))</f>
        <v/>
      </c>
      <c r="BT36" s="17">
        <f>IF(COUNTIFS(T_SelfStock_Log[Part Name],$A36,T_SelfStock_Log[WeekIndex],71)=0,"",SUMIFS(T_SelfStock_Log[Self_Qty],T_SelfStock_Log[Part Name],$A36,T_SelfStock_Log[WeekIndex],71))</f>
        <v/>
      </c>
      <c r="BU36" s="17">
        <f>IF(COUNTIFS(T_SelfStock_Log[Part Name],$A36,T_SelfStock_Log[WeekIndex],72)=0,"",SUMIFS(T_SelfStock_Log[Self_Qty],T_SelfStock_Log[Part Name],$A36,T_SelfStock_Log[WeekIndex],72))</f>
        <v/>
      </c>
      <c r="BV36" s="17">
        <f>IF(COUNTIFS(T_SelfStock_Log[Part Name],$A36,T_SelfStock_Log[WeekIndex],73)=0,"",SUMIFS(T_SelfStock_Log[Self_Qty],T_SelfStock_Log[Part Name],$A36,T_SelfStock_Log[WeekIndex],73))</f>
        <v/>
      </c>
      <c r="BW36" s="17">
        <f>IF(COUNTIFS(T_SelfStock_Log[Part Name],$A36,T_SelfStock_Log[WeekIndex],74)=0,"",SUMIFS(T_SelfStock_Log[Self_Qty],T_SelfStock_Log[Part Name],$A36,T_SelfStock_Log[WeekIndex],74))</f>
        <v/>
      </c>
      <c r="BX36" s="17">
        <f>IF(COUNTIFS(T_SelfStock_Log[Part Name],$A36,T_SelfStock_Log[WeekIndex],75)=0,"",SUMIFS(T_SelfStock_Log[Self_Qty],T_SelfStock_Log[Part Name],$A36,T_SelfStock_Log[WeekIndex],75))</f>
        <v/>
      </c>
      <c r="BY36" s="17">
        <f>IF(COUNTIFS(T_SelfStock_Log[Part Name],$A36,T_SelfStock_Log[WeekIndex],76)=0,"",SUMIFS(T_SelfStock_Log[Self_Qty],T_SelfStock_Log[Part Name],$A36,T_SelfStock_Log[WeekIndex],76))</f>
        <v/>
      </c>
      <c r="BZ36" s="17">
        <f>IF(COUNTIFS(T_SelfStock_Log[Part Name],$A36,T_SelfStock_Log[WeekIndex],77)=0,"",SUMIFS(T_SelfStock_Log[Self_Qty],T_SelfStock_Log[Part Name],$A36,T_SelfStock_Log[WeekIndex],77))</f>
        <v/>
      </c>
      <c r="CA36" s="17">
        <f>IF(COUNTIFS(T_SelfStock_Log[Part Name],$A36,T_SelfStock_Log[WeekIndex],78)=0,"",SUMIFS(T_SelfStock_Log[Self_Qty],T_SelfStock_Log[Part Name],$A36,T_SelfStock_Log[WeekIndex],78))</f>
        <v/>
      </c>
      <c r="CB36" s="17">
        <f>IF(COUNTIFS(T_SelfStock_Log[Part Name],$A36,T_SelfStock_Log[WeekIndex],79)=0,"",SUMIFS(T_SelfStock_Log[Self_Qty],T_SelfStock_Log[Part Name],$A36,T_SelfStock_Log[WeekIndex],79))</f>
        <v/>
      </c>
      <c r="CC36" s="17">
        <f>IF(COUNTIFS(T_SelfStock_Log[Part Name],$A36,T_SelfStock_Log[WeekIndex],80)=0,"",SUMIFS(T_SelfStock_Log[Self_Qty],T_SelfStock_Log[Part Name],$A36,T_SelfStock_Log[WeekIndex],80))</f>
        <v/>
      </c>
      <c r="CD36" s="17">
        <f>IF(COUNTIFS(T_SelfStock_Log[Part Name],$A36,T_SelfStock_Log[WeekIndex],81)=0,"",SUMIFS(T_SelfStock_Log[Self_Qty],T_SelfStock_Log[Part Name],$A36,T_SelfStock_Log[WeekIndex],81))</f>
        <v/>
      </c>
      <c r="CE36" s="17">
        <f>IF(COUNTIFS(T_SelfStock_Log[Part Name],$A36,T_SelfStock_Log[WeekIndex],82)=0,"",SUMIFS(T_SelfStock_Log[Self_Qty],T_SelfStock_Log[Part Name],$A36,T_SelfStock_Log[WeekIndex],82))</f>
        <v/>
      </c>
      <c r="CF36" s="17">
        <f>IF(COUNTIFS(T_SelfStock_Log[Part Name],$A36,T_SelfStock_Log[WeekIndex],83)=0,"",SUMIFS(T_SelfStock_Log[Self_Qty],T_SelfStock_Log[Part Name],$A36,T_SelfStock_Log[WeekIndex],83))</f>
        <v/>
      </c>
      <c r="CG36" s="17">
        <f>IF(COUNTIFS(T_SelfStock_Log[Part Name],$A36,T_SelfStock_Log[WeekIndex],84)=0,"",SUMIFS(T_SelfStock_Log[Self_Qty],T_SelfStock_Log[Part Name],$A36,T_SelfStock_Log[WeekIndex],84))</f>
        <v/>
      </c>
      <c r="CH36" s="17">
        <f>IF(COUNTIFS(T_SelfStock_Log[Part Name],$A36,T_SelfStock_Log[WeekIndex],85)=0,"",SUMIFS(T_SelfStock_Log[Self_Qty],T_SelfStock_Log[Part Name],$A36,T_SelfStock_Log[WeekIndex],85))</f>
        <v/>
      </c>
      <c r="CI36" s="17">
        <f>IF(COUNTIFS(T_SelfStock_Log[Part Name],$A36,T_SelfStock_Log[WeekIndex],86)=0,"",SUMIFS(T_SelfStock_Log[Self_Qty],T_SelfStock_Log[Part Name],$A36,T_SelfStock_Log[WeekIndex],86))</f>
        <v/>
      </c>
      <c r="CJ36" s="17">
        <f>IF(COUNTIFS(T_SelfStock_Log[Part Name],$A36,T_SelfStock_Log[WeekIndex],87)=0,"",SUMIFS(T_SelfStock_Log[Self_Qty],T_SelfStock_Log[Part Name],$A36,T_SelfStock_Log[WeekIndex],87))</f>
        <v/>
      </c>
      <c r="CK36" s="17">
        <f>IF(COUNTIFS(T_SelfStock_Log[Part Name],$A36,T_SelfStock_Log[WeekIndex],88)=0,"",SUMIFS(T_SelfStock_Log[Self_Qty],T_SelfStock_Log[Part Name],$A36,T_SelfStock_Log[WeekIndex],88))</f>
        <v/>
      </c>
      <c r="CL36" s="17">
        <f>IF(COUNTIFS(T_SelfStock_Log[Part Name],$A36,T_SelfStock_Log[WeekIndex],89)=0,"",SUMIFS(T_SelfStock_Log[Self_Qty],T_SelfStock_Log[Part Name],$A36,T_SelfStock_Log[WeekIndex],89))</f>
        <v/>
      </c>
      <c r="CM36" s="17">
        <f>IF(COUNTIFS(T_SelfStock_Log[Part Name],$A36,T_SelfStock_Log[WeekIndex],90)=0,"",SUMIFS(T_SelfStock_Log[Self_Qty],T_SelfStock_Log[Part Name],$A36,T_SelfStock_Log[WeekIndex],90))</f>
        <v/>
      </c>
      <c r="CN36" s="17">
        <f>IF(COUNTIFS(T_SelfStock_Log[Part Name],$A36,T_SelfStock_Log[WeekIndex],91)=0,"",SUMIFS(T_SelfStock_Log[Self_Qty],T_SelfStock_Log[Part Name],$A36,T_SelfStock_Log[WeekIndex],91))</f>
        <v/>
      </c>
      <c r="CO36" s="17">
        <f>IF(COUNTIFS(T_SelfStock_Log[Part Name],$A36,T_SelfStock_Log[WeekIndex],92)=0,"",SUMIFS(T_SelfStock_Log[Self_Qty],T_SelfStock_Log[Part Name],$A36,T_SelfStock_Log[WeekIndex],92))</f>
        <v/>
      </c>
      <c r="CP36" s="17">
        <f>IF(COUNTIFS(T_SelfStock_Log[Part Name],$A36,T_SelfStock_Log[WeekIndex],93)=0,"",SUMIFS(T_SelfStock_Log[Self_Qty],T_SelfStock_Log[Part Name],$A36,T_SelfStock_Log[WeekIndex],93))</f>
        <v/>
      </c>
      <c r="CQ36" s="17">
        <f>IF(COUNTIFS(T_SelfStock_Log[Part Name],$A36,T_SelfStock_Log[WeekIndex],94)=0,"",SUMIFS(T_SelfStock_Log[Self_Qty],T_SelfStock_Log[Part Name],$A36,T_SelfStock_Log[WeekIndex],94))</f>
        <v/>
      </c>
      <c r="CR36" s="17">
        <f>IF(COUNTIFS(T_SelfStock_Log[Part Name],$A36,T_SelfStock_Log[WeekIndex],95)=0,"",SUMIFS(T_SelfStock_Log[Self_Qty],T_SelfStock_Log[Part Name],$A36,T_SelfStock_Log[WeekIndex],95))</f>
        <v/>
      </c>
      <c r="CS36" s="17">
        <f>IF(COUNTIFS(T_SelfStock_Log[Part Name],$A36,T_SelfStock_Log[WeekIndex],96)=0,"",SUMIFS(T_SelfStock_Log[Self_Qty],T_SelfStock_Log[Part Name],$A36,T_SelfStock_Log[WeekIndex],96))</f>
        <v/>
      </c>
      <c r="CT36" s="17">
        <f>IF(COUNTIFS(T_SelfStock_Log[Part Name],$A36,T_SelfStock_Log[WeekIndex],97)=0,"",SUMIFS(T_SelfStock_Log[Self_Qty],T_SelfStock_Log[Part Name],$A36,T_SelfStock_Log[WeekIndex],97))</f>
        <v/>
      </c>
      <c r="CU36" s="17">
        <f>IF(COUNTIFS(T_SelfStock_Log[Part Name],$A36,T_SelfStock_Log[WeekIndex],98)=0,"",SUMIFS(T_SelfStock_Log[Self_Qty],T_SelfStock_Log[Part Name],$A36,T_SelfStock_Log[WeekIndex],98))</f>
        <v/>
      </c>
      <c r="CV36" s="17">
        <f>IF(COUNTIFS(T_SelfStock_Log[Part Name],$A36,T_SelfStock_Log[WeekIndex],99)=0,"",SUMIFS(T_SelfStock_Log[Self_Qty],T_SelfStock_Log[Part Name],$A36,T_SelfStock_Log[WeekIndex],99))</f>
        <v/>
      </c>
      <c r="CW36" s="17">
        <f>IF(COUNTIFS(T_SelfStock_Log[Part Name],$A36,T_SelfStock_Log[WeekIndex],100)=0,"",SUMIFS(T_SelfStock_Log[Self_Qty],T_SelfStock_Log[Part Name],$A36,T_SelfStock_Log[WeekIndex],100))</f>
        <v/>
      </c>
      <c r="CX36" s="17">
        <f>IF(COUNTIFS(T_SelfStock_Log[Part Name],$A36,T_SelfStock_Log[WeekIndex],101)=0,"",SUMIFS(T_SelfStock_Log[Self_Qty],T_SelfStock_Log[Part Name],$A36,T_SelfStock_Log[WeekIndex],101))</f>
        <v/>
      </c>
      <c r="CY36" s="17">
        <f>IF(COUNTIFS(T_SelfStock_Log[Part Name],$A36,T_SelfStock_Log[WeekIndex],102)=0,"",SUMIFS(T_SelfStock_Log[Self_Qty],T_SelfStock_Log[Part Name],$A36,T_SelfStock_Log[WeekIndex],102))</f>
        <v/>
      </c>
      <c r="CZ36" s="17">
        <f>IF(COUNTIFS(T_SelfStock_Log[Part Name],$A36,T_SelfStock_Log[WeekIndex],103)=0,"",SUMIFS(T_SelfStock_Log[Self_Qty],T_SelfStock_Log[Part Name],$A36,T_SelfStock_Log[WeekIndex],103))</f>
        <v/>
      </c>
      <c r="DA36" s="17">
        <f>IF(COUNTIFS(T_SelfStock_Log[Part Name],$A36,T_SelfStock_Log[WeekIndex],104)=0,"",SUMIFS(T_SelfStock_Log[Self_Qty],T_SelfStock_Log[Part Name],$A36,T_SelfStock_Log[WeekIndex],104))</f>
        <v/>
      </c>
    </row>
    <row r="37">
      <c r="A37" s="19" t="inlineStr">
        <is>
          <t>CHEM-1400</t>
        </is>
      </c>
      <c r="B37" s="19">
        <f>IF(COUNTIFS(T_SelfStock_Log[Part Name],$A37,T_SelfStock_Log[WeekIndex],1)=0,"",SUMIFS(T_SelfStock_Log[Self_Qty],T_SelfStock_Log[Part Name],$A37,T_SelfStock_Log[WeekIndex],1))</f>
        <v/>
      </c>
      <c r="C37" s="19">
        <f>IF(COUNTIFS(T_SelfStock_Log[Part Name],$A37,T_SelfStock_Log[WeekIndex],2)=0,"",SUMIFS(T_SelfStock_Log[Self_Qty],T_SelfStock_Log[Part Name],$A37,T_SelfStock_Log[WeekIndex],2))</f>
        <v/>
      </c>
      <c r="D37" s="19">
        <f>IF(COUNTIFS(T_SelfStock_Log[Part Name],$A37,T_SelfStock_Log[WeekIndex],3)=0,"",SUMIFS(T_SelfStock_Log[Self_Qty],T_SelfStock_Log[Part Name],$A37,T_SelfStock_Log[WeekIndex],3))</f>
        <v/>
      </c>
      <c r="E37" s="19">
        <f>IF(COUNTIFS(T_SelfStock_Log[Part Name],$A37,T_SelfStock_Log[WeekIndex],4)=0,"",SUMIFS(T_SelfStock_Log[Self_Qty],T_SelfStock_Log[Part Name],$A37,T_SelfStock_Log[WeekIndex],4))</f>
        <v/>
      </c>
      <c r="F37" s="19">
        <f>IF(COUNTIFS(T_SelfStock_Log[Part Name],$A37,T_SelfStock_Log[WeekIndex],5)=0,"",SUMIFS(T_SelfStock_Log[Self_Qty],T_SelfStock_Log[Part Name],$A37,T_SelfStock_Log[WeekIndex],5))</f>
        <v/>
      </c>
      <c r="G37" s="19">
        <f>IF(COUNTIFS(T_SelfStock_Log[Part Name],$A37,T_SelfStock_Log[WeekIndex],6)=0,"",SUMIFS(T_SelfStock_Log[Self_Qty],T_SelfStock_Log[Part Name],$A37,T_SelfStock_Log[WeekIndex],6))</f>
        <v/>
      </c>
      <c r="H37" s="19">
        <f>IF(COUNTIFS(T_SelfStock_Log[Part Name],$A37,T_SelfStock_Log[WeekIndex],7)=0,"",SUMIFS(T_SelfStock_Log[Self_Qty],T_SelfStock_Log[Part Name],$A37,T_SelfStock_Log[WeekIndex],7))</f>
        <v/>
      </c>
      <c r="I37" s="19">
        <f>IF(COUNTIFS(T_SelfStock_Log[Part Name],$A37,T_SelfStock_Log[WeekIndex],8)=0,"",SUMIFS(T_SelfStock_Log[Self_Qty],T_SelfStock_Log[Part Name],$A37,T_SelfStock_Log[WeekIndex],8))</f>
        <v/>
      </c>
      <c r="J37" s="19">
        <f>IF(COUNTIFS(T_SelfStock_Log[Part Name],$A37,T_SelfStock_Log[WeekIndex],9)=0,"",SUMIFS(T_SelfStock_Log[Self_Qty],T_SelfStock_Log[Part Name],$A37,T_SelfStock_Log[WeekIndex],9))</f>
        <v/>
      </c>
      <c r="K37" s="19">
        <f>IF(COUNTIFS(T_SelfStock_Log[Part Name],$A37,T_SelfStock_Log[WeekIndex],10)=0,"",SUMIFS(T_SelfStock_Log[Self_Qty],T_SelfStock_Log[Part Name],$A37,T_SelfStock_Log[WeekIndex],10))</f>
        <v/>
      </c>
      <c r="L37" s="19">
        <f>IF(COUNTIFS(T_SelfStock_Log[Part Name],$A37,T_SelfStock_Log[WeekIndex],11)=0,"",SUMIFS(T_SelfStock_Log[Self_Qty],T_SelfStock_Log[Part Name],$A37,T_SelfStock_Log[WeekIndex],11))</f>
        <v/>
      </c>
      <c r="M37" s="19">
        <f>IF(COUNTIFS(T_SelfStock_Log[Part Name],$A37,T_SelfStock_Log[WeekIndex],12)=0,"",SUMIFS(T_SelfStock_Log[Self_Qty],T_SelfStock_Log[Part Name],$A37,T_SelfStock_Log[WeekIndex],12))</f>
        <v/>
      </c>
      <c r="N37" s="19">
        <f>IF(COUNTIFS(T_SelfStock_Log[Part Name],$A37,T_SelfStock_Log[WeekIndex],13)=0,"",SUMIFS(T_SelfStock_Log[Self_Qty],T_SelfStock_Log[Part Name],$A37,T_SelfStock_Log[WeekIndex],13))</f>
        <v/>
      </c>
      <c r="O37" s="19">
        <f>IF(COUNTIFS(T_SelfStock_Log[Part Name],$A37,T_SelfStock_Log[WeekIndex],14)=0,"",SUMIFS(T_SelfStock_Log[Self_Qty],T_SelfStock_Log[Part Name],$A37,T_SelfStock_Log[WeekIndex],14))</f>
        <v/>
      </c>
      <c r="P37" s="19">
        <f>IF(COUNTIFS(T_SelfStock_Log[Part Name],$A37,T_SelfStock_Log[WeekIndex],15)=0,"",SUMIFS(T_SelfStock_Log[Self_Qty],T_SelfStock_Log[Part Name],$A37,T_SelfStock_Log[WeekIndex],15))</f>
        <v/>
      </c>
      <c r="Q37" s="19">
        <f>IF(COUNTIFS(T_SelfStock_Log[Part Name],$A37,T_SelfStock_Log[WeekIndex],16)=0,"",SUMIFS(T_SelfStock_Log[Self_Qty],T_SelfStock_Log[Part Name],$A37,T_SelfStock_Log[WeekIndex],16))</f>
        <v/>
      </c>
      <c r="R37" s="19">
        <f>IF(COUNTIFS(T_SelfStock_Log[Part Name],$A37,T_SelfStock_Log[WeekIndex],17)=0,"",SUMIFS(T_SelfStock_Log[Self_Qty],T_SelfStock_Log[Part Name],$A37,T_SelfStock_Log[WeekIndex],17))</f>
        <v/>
      </c>
      <c r="S37" s="19">
        <f>IF(COUNTIFS(T_SelfStock_Log[Part Name],$A37,T_SelfStock_Log[WeekIndex],18)=0,"",SUMIFS(T_SelfStock_Log[Self_Qty],T_SelfStock_Log[Part Name],$A37,T_SelfStock_Log[WeekIndex],18))</f>
        <v/>
      </c>
      <c r="T37" s="19">
        <f>IF(COUNTIFS(T_SelfStock_Log[Part Name],$A37,T_SelfStock_Log[WeekIndex],19)=0,"",SUMIFS(T_SelfStock_Log[Self_Qty],T_SelfStock_Log[Part Name],$A37,T_SelfStock_Log[WeekIndex],19))</f>
        <v/>
      </c>
      <c r="U37" s="19">
        <f>IF(COUNTIFS(T_SelfStock_Log[Part Name],$A37,T_SelfStock_Log[WeekIndex],20)=0,"",SUMIFS(T_SelfStock_Log[Self_Qty],T_SelfStock_Log[Part Name],$A37,T_SelfStock_Log[WeekIndex],20))</f>
        <v/>
      </c>
      <c r="V37" s="19">
        <f>IF(COUNTIFS(T_SelfStock_Log[Part Name],$A37,T_SelfStock_Log[WeekIndex],21)=0,"",SUMIFS(T_SelfStock_Log[Self_Qty],T_SelfStock_Log[Part Name],$A37,T_SelfStock_Log[WeekIndex],21))</f>
        <v/>
      </c>
      <c r="W37" s="19">
        <f>IF(COUNTIFS(T_SelfStock_Log[Part Name],$A37,T_SelfStock_Log[WeekIndex],22)=0,"",SUMIFS(T_SelfStock_Log[Self_Qty],T_SelfStock_Log[Part Name],$A37,T_SelfStock_Log[WeekIndex],22))</f>
        <v/>
      </c>
      <c r="X37" s="19">
        <f>IF(COUNTIFS(T_SelfStock_Log[Part Name],$A37,T_SelfStock_Log[WeekIndex],23)=0,"",SUMIFS(T_SelfStock_Log[Self_Qty],T_SelfStock_Log[Part Name],$A37,T_SelfStock_Log[WeekIndex],23))</f>
        <v/>
      </c>
      <c r="Y37" s="19">
        <f>IF(COUNTIFS(T_SelfStock_Log[Part Name],$A37,T_SelfStock_Log[WeekIndex],24)=0,"",SUMIFS(T_SelfStock_Log[Self_Qty],T_SelfStock_Log[Part Name],$A37,T_SelfStock_Log[WeekIndex],24))</f>
        <v/>
      </c>
      <c r="Z37" s="19">
        <f>IF(COUNTIFS(T_SelfStock_Log[Part Name],$A37,T_SelfStock_Log[WeekIndex],25)=0,"",SUMIFS(T_SelfStock_Log[Self_Qty],T_SelfStock_Log[Part Name],$A37,T_SelfStock_Log[WeekIndex],25))</f>
        <v/>
      </c>
      <c r="AA37" s="19">
        <f>IF(COUNTIFS(T_SelfStock_Log[Part Name],$A37,T_SelfStock_Log[WeekIndex],26)=0,"",SUMIFS(T_SelfStock_Log[Self_Qty],T_SelfStock_Log[Part Name],$A37,T_SelfStock_Log[WeekIndex],26))</f>
        <v/>
      </c>
      <c r="AB37" s="19">
        <f>IF(COUNTIFS(T_SelfStock_Log[Part Name],$A37,T_SelfStock_Log[WeekIndex],27)=0,"",SUMIFS(T_SelfStock_Log[Self_Qty],T_SelfStock_Log[Part Name],$A37,T_SelfStock_Log[WeekIndex],27))</f>
        <v/>
      </c>
      <c r="AC37" s="19">
        <f>IF(COUNTIFS(T_SelfStock_Log[Part Name],$A37,T_SelfStock_Log[WeekIndex],28)=0,"",SUMIFS(T_SelfStock_Log[Self_Qty],T_SelfStock_Log[Part Name],$A37,T_SelfStock_Log[WeekIndex],28))</f>
        <v/>
      </c>
      <c r="AD37" s="19">
        <f>IF(COUNTIFS(T_SelfStock_Log[Part Name],$A37,T_SelfStock_Log[WeekIndex],29)=0,"",SUMIFS(T_SelfStock_Log[Self_Qty],T_SelfStock_Log[Part Name],$A37,T_SelfStock_Log[WeekIndex],29))</f>
        <v/>
      </c>
      <c r="AE37" s="19">
        <f>IF(COUNTIFS(T_SelfStock_Log[Part Name],$A37,T_SelfStock_Log[WeekIndex],30)=0,"",SUMIFS(T_SelfStock_Log[Self_Qty],T_SelfStock_Log[Part Name],$A37,T_SelfStock_Log[WeekIndex],30))</f>
        <v/>
      </c>
      <c r="AF37" s="19">
        <f>IF(COUNTIFS(T_SelfStock_Log[Part Name],$A37,T_SelfStock_Log[WeekIndex],31)=0,"",SUMIFS(T_SelfStock_Log[Self_Qty],T_SelfStock_Log[Part Name],$A37,T_SelfStock_Log[WeekIndex],31))</f>
        <v/>
      </c>
      <c r="AG37" s="19">
        <f>IF(COUNTIFS(T_SelfStock_Log[Part Name],$A37,T_SelfStock_Log[WeekIndex],32)=0,"",SUMIFS(T_SelfStock_Log[Self_Qty],T_SelfStock_Log[Part Name],$A37,T_SelfStock_Log[WeekIndex],32))</f>
        <v/>
      </c>
      <c r="AH37" s="19">
        <f>IF(COUNTIFS(T_SelfStock_Log[Part Name],$A37,T_SelfStock_Log[WeekIndex],33)=0,"",SUMIFS(T_SelfStock_Log[Self_Qty],T_SelfStock_Log[Part Name],$A37,T_SelfStock_Log[WeekIndex],33))</f>
        <v/>
      </c>
      <c r="AI37" s="19">
        <f>IF(COUNTIFS(T_SelfStock_Log[Part Name],$A37,T_SelfStock_Log[WeekIndex],34)=0,"",SUMIFS(T_SelfStock_Log[Self_Qty],T_SelfStock_Log[Part Name],$A37,T_SelfStock_Log[WeekIndex],34))</f>
        <v/>
      </c>
      <c r="AJ37" s="19">
        <f>IF(COUNTIFS(T_SelfStock_Log[Part Name],$A37,T_SelfStock_Log[WeekIndex],35)=0,"",SUMIFS(T_SelfStock_Log[Self_Qty],T_SelfStock_Log[Part Name],$A37,T_SelfStock_Log[WeekIndex],35))</f>
        <v/>
      </c>
      <c r="AK37" s="19">
        <f>IF(COUNTIFS(T_SelfStock_Log[Part Name],$A37,T_SelfStock_Log[WeekIndex],36)=0,"",SUMIFS(T_SelfStock_Log[Self_Qty],T_SelfStock_Log[Part Name],$A37,T_SelfStock_Log[WeekIndex],36))</f>
        <v/>
      </c>
      <c r="AL37" s="19">
        <f>IF(COUNTIFS(T_SelfStock_Log[Part Name],$A37,T_SelfStock_Log[WeekIndex],37)=0,"",SUMIFS(T_SelfStock_Log[Self_Qty],T_SelfStock_Log[Part Name],$A37,T_SelfStock_Log[WeekIndex],37))</f>
        <v/>
      </c>
      <c r="AM37" s="19">
        <f>IF(COUNTIFS(T_SelfStock_Log[Part Name],$A37,T_SelfStock_Log[WeekIndex],38)=0,"",SUMIFS(T_SelfStock_Log[Self_Qty],T_SelfStock_Log[Part Name],$A37,T_SelfStock_Log[WeekIndex],38))</f>
        <v/>
      </c>
      <c r="AN37" s="19">
        <f>IF(COUNTIFS(T_SelfStock_Log[Part Name],$A37,T_SelfStock_Log[WeekIndex],39)=0,"",SUMIFS(T_SelfStock_Log[Self_Qty],T_SelfStock_Log[Part Name],$A37,T_SelfStock_Log[WeekIndex],39))</f>
        <v/>
      </c>
      <c r="AO37" s="19">
        <f>IF(COUNTIFS(T_SelfStock_Log[Part Name],$A37,T_SelfStock_Log[WeekIndex],40)=0,"",SUMIFS(T_SelfStock_Log[Self_Qty],T_SelfStock_Log[Part Name],$A37,T_SelfStock_Log[WeekIndex],40))</f>
        <v/>
      </c>
      <c r="AP37" s="19">
        <f>IF(COUNTIFS(T_SelfStock_Log[Part Name],$A37,T_SelfStock_Log[WeekIndex],41)=0,"",SUMIFS(T_SelfStock_Log[Self_Qty],T_SelfStock_Log[Part Name],$A37,T_SelfStock_Log[WeekIndex],41))</f>
        <v/>
      </c>
      <c r="AQ37" s="19">
        <f>IF(COUNTIFS(T_SelfStock_Log[Part Name],$A37,T_SelfStock_Log[WeekIndex],42)=0,"",SUMIFS(T_SelfStock_Log[Self_Qty],T_SelfStock_Log[Part Name],$A37,T_SelfStock_Log[WeekIndex],42))</f>
        <v/>
      </c>
      <c r="AR37" s="19">
        <f>IF(COUNTIFS(T_SelfStock_Log[Part Name],$A37,T_SelfStock_Log[WeekIndex],43)=0,"",SUMIFS(T_SelfStock_Log[Self_Qty],T_SelfStock_Log[Part Name],$A37,T_SelfStock_Log[WeekIndex],43))</f>
        <v/>
      </c>
      <c r="AS37" s="19">
        <f>IF(COUNTIFS(T_SelfStock_Log[Part Name],$A37,T_SelfStock_Log[WeekIndex],44)=0,"",SUMIFS(T_SelfStock_Log[Self_Qty],T_SelfStock_Log[Part Name],$A37,T_SelfStock_Log[WeekIndex],44))</f>
        <v/>
      </c>
      <c r="AT37" s="19">
        <f>IF(COUNTIFS(T_SelfStock_Log[Part Name],$A37,T_SelfStock_Log[WeekIndex],45)=0,"",SUMIFS(T_SelfStock_Log[Self_Qty],T_SelfStock_Log[Part Name],$A37,T_SelfStock_Log[WeekIndex],45))</f>
        <v/>
      </c>
      <c r="AU37" s="19">
        <f>IF(COUNTIFS(T_SelfStock_Log[Part Name],$A37,T_SelfStock_Log[WeekIndex],46)=0,"",SUMIFS(T_SelfStock_Log[Self_Qty],T_SelfStock_Log[Part Name],$A37,T_SelfStock_Log[WeekIndex],46))</f>
        <v/>
      </c>
      <c r="AV37" s="19">
        <f>IF(COUNTIFS(T_SelfStock_Log[Part Name],$A37,T_SelfStock_Log[WeekIndex],47)=0,"",SUMIFS(T_SelfStock_Log[Self_Qty],T_SelfStock_Log[Part Name],$A37,T_SelfStock_Log[WeekIndex],47))</f>
        <v/>
      </c>
      <c r="AW37" s="19">
        <f>IF(COUNTIFS(T_SelfStock_Log[Part Name],$A37,T_SelfStock_Log[WeekIndex],48)=0,"",SUMIFS(T_SelfStock_Log[Self_Qty],T_SelfStock_Log[Part Name],$A37,T_SelfStock_Log[WeekIndex],48))</f>
        <v/>
      </c>
      <c r="AX37" s="19">
        <f>IF(COUNTIFS(T_SelfStock_Log[Part Name],$A37,T_SelfStock_Log[WeekIndex],49)=0,"",SUMIFS(T_SelfStock_Log[Self_Qty],T_SelfStock_Log[Part Name],$A37,T_SelfStock_Log[WeekIndex],49))</f>
        <v/>
      </c>
      <c r="AY37" s="19">
        <f>IF(COUNTIFS(T_SelfStock_Log[Part Name],$A37,T_SelfStock_Log[WeekIndex],50)=0,"",SUMIFS(T_SelfStock_Log[Self_Qty],T_SelfStock_Log[Part Name],$A37,T_SelfStock_Log[WeekIndex],50))</f>
        <v/>
      </c>
      <c r="AZ37" s="19">
        <f>IF(COUNTIFS(T_SelfStock_Log[Part Name],$A37,T_SelfStock_Log[WeekIndex],51)=0,"",SUMIFS(T_SelfStock_Log[Self_Qty],T_SelfStock_Log[Part Name],$A37,T_SelfStock_Log[WeekIndex],51))</f>
        <v/>
      </c>
      <c r="BA37" s="19">
        <f>IF(COUNTIFS(T_SelfStock_Log[Part Name],$A37,T_SelfStock_Log[WeekIndex],52)=0,"",SUMIFS(T_SelfStock_Log[Self_Qty],T_SelfStock_Log[Part Name],$A37,T_SelfStock_Log[WeekIndex],52))</f>
        <v/>
      </c>
      <c r="BB37" s="19">
        <f>IF(COUNTIFS(T_SelfStock_Log[Part Name],$A37,T_SelfStock_Log[WeekIndex],53)=0,"",SUMIFS(T_SelfStock_Log[Self_Qty],T_SelfStock_Log[Part Name],$A37,T_SelfStock_Log[WeekIndex],53))</f>
        <v/>
      </c>
      <c r="BC37" s="19">
        <f>IF(COUNTIFS(T_SelfStock_Log[Part Name],$A37,T_SelfStock_Log[WeekIndex],54)=0,"",SUMIFS(T_SelfStock_Log[Self_Qty],T_SelfStock_Log[Part Name],$A37,T_SelfStock_Log[WeekIndex],54))</f>
        <v/>
      </c>
      <c r="BD37" s="19">
        <f>IF(COUNTIFS(T_SelfStock_Log[Part Name],$A37,T_SelfStock_Log[WeekIndex],55)=0,"",SUMIFS(T_SelfStock_Log[Self_Qty],T_SelfStock_Log[Part Name],$A37,T_SelfStock_Log[WeekIndex],55))</f>
        <v/>
      </c>
      <c r="BE37" s="19">
        <f>IF(COUNTIFS(T_SelfStock_Log[Part Name],$A37,T_SelfStock_Log[WeekIndex],56)=0,"",SUMIFS(T_SelfStock_Log[Self_Qty],T_SelfStock_Log[Part Name],$A37,T_SelfStock_Log[WeekIndex],56))</f>
        <v/>
      </c>
      <c r="BF37" s="19">
        <f>IF(COUNTIFS(T_SelfStock_Log[Part Name],$A37,T_SelfStock_Log[WeekIndex],57)=0,"",SUMIFS(T_SelfStock_Log[Self_Qty],T_SelfStock_Log[Part Name],$A37,T_SelfStock_Log[WeekIndex],57))</f>
        <v/>
      </c>
      <c r="BG37" s="19">
        <f>IF(COUNTIFS(T_SelfStock_Log[Part Name],$A37,T_SelfStock_Log[WeekIndex],58)=0,"",SUMIFS(T_SelfStock_Log[Self_Qty],T_SelfStock_Log[Part Name],$A37,T_SelfStock_Log[WeekIndex],58))</f>
        <v/>
      </c>
      <c r="BH37" s="19">
        <f>IF(COUNTIFS(T_SelfStock_Log[Part Name],$A37,T_SelfStock_Log[WeekIndex],59)=0,"",SUMIFS(T_SelfStock_Log[Self_Qty],T_SelfStock_Log[Part Name],$A37,T_SelfStock_Log[WeekIndex],59))</f>
        <v/>
      </c>
      <c r="BI37" s="19">
        <f>IF(COUNTIFS(T_SelfStock_Log[Part Name],$A37,T_SelfStock_Log[WeekIndex],60)=0,"",SUMIFS(T_SelfStock_Log[Self_Qty],T_SelfStock_Log[Part Name],$A37,T_SelfStock_Log[WeekIndex],60))</f>
        <v/>
      </c>
      <c r="BJ37" s="19">
        <f>IF(COUNTIFS(T_SelfStock_Log[Part Name],$A37,T_SelfStock_Log[WeekIndex],61)=0,"",SUMIFS(T_SelfStock_Log[Self_Qty],T_SelfStock_Log[Part Name],$A37,T_SelfStock_Log[WeekIndex],61))</f>
        <v/>
      </c>
      <c r="BK37" s="19">
        <f>IF(COUNTIFS(T_SelfStock_Log[Part Name],$A37,T_SelfStock_Log[WeekIndex],62)=0,"",SUMIFS(T_SelfStock_Log[Self_Qty],T_SelfStock_Log[Part Name],$A37,T_SelfStock_Log[WeekIndex],62))</f>
        <v/>
      </c>
      <c r="BL37" s="19">
        <f>IF(COUNTIFS(T_SelfStock_Log[Part Name],$A37,T_SelfStock_Log[WeekIndex],63)=0,"",SUMIFS(T_SelfStock_Log[Self_Qty],T_SelfStock_Log[Part Name],$A37,T_SelfStock_Log[WeekIndex],63))</f>
        <v/>
      </c>
      <c r="BM37" s="19">
        <f>IF(COUNTIFS(T_SelfStock_Log[Part Name],$A37,T_SelfStock_Log[WeekIndex],64)=0,"",SUMIFS(T_SelfStock_Log[Self_Qty],T_SelfStock_Log[Part Name],$A37,T_SelfStock_Log[WeekIndex],64))</f>
        <v/>
      </c>
      <c r="BN37" s="19">
        <f>IF(COUNTIFS(T_SelfStock_Log[Part Name],$A37,T_SelfStock_Log[WeekIndex],65)=0,"",SUMIFS(T_SelfStock_Log[Self_Qty],T_SelfStock_Log[Part Name],$A37,T_SelfStock_Log[WeekIndex],65))</f>
        <v/>
      </c>
      <c r="BO37" s="19">
        <f>IF(COUNTIFS(T_SelfStock_Log[Part Name],$A37,T_SelfStock_Log[WeekIndex],66)=0,"",SUMIFS(T_SelfStock_Log[Self_Qty],T_SelfStock_Log[Part Name],$A37,T_SelfStock_Log[WeekIndex],66))</f>
        <v/>
      </c>
      <c r="BP37" s="19">
        <f>IF(COUNTIFS(T_SelfStock_Log[Part Name],$A37,T_SelfStock_Log[WeekIndex],67)=0,"",SUMIFS(T_SelfStock_Log[Self_Qty],T_SelfStock_Log[Part Name],$A37,T_SelfStock_Log[WeekIndex],67))</f>
        <v/>
      </c>
      <c r="BQ37" s="19">
        <f>IF(COUNTIFS(T_SelfStock_Log[Part Name],$A37,T_SelfStock_Log[WeekIndex],68)=0,"",SUMIFS(T_SelfStock_Log[Self_Qty],T_SelfStock_Log[Part Name],$A37,T_SelfStock_Log[WeekIndex],68))</f>
        <v/>
      </c>
      <c r="BR37" s="19">
        <f>IF(COUNTIFS(T_SelfStock_Log[Part Name],$A37,T_SelfStock_Log[WeekIndex],69)=0,"",SUMIFS(T_SelfStock_Log[Self_Qty],T_SelfStock_Log[Part Name],$A37,T_SelfStock_Log[WeekIndex],69))</f>
        <v/>
      </c>
      <c r="BS37" s="19">
        <f>IF(COUNTIFS(T_SelfStock_Log[Part Name],$A37,T_SelfStock_Log[WeekIndex],70)=0,"",SUMIFS(T_SelfStock_Log[Self_Qty],T_SelfStock_Log[Part Name],$A37,T_SelfStock_Log[WeekIndex],70))</f>
        <v/>
      </c>
      <c r="BT37" s="19">
        <f>IF(COUNTIFS(T_SelfStock_Log[Part Name],$A37,T_SelfStock_Log[WeekIndex],71)=0,"",SUMIFS(T_SelfStock_Log[Self_Qty],T_SelfStock_Log[Part Name],$A37,T_SelfStock_Log[WeekIndex],71))</f>
        <v/>
      </c>
      <c r="BU37" s="19">
        <f>IF(COUNTIFS(T_SelfStock_Log[Part Name],$A37,T_SelfStock_Log[WeekIndex],72)=0,"",SUMIFS(T_SelfStock_Log[Self_Qty],T_SelfStock_Log[Part Name],$A37,T_SelfStock_Log[WeekIndex],72))</f>
        <v/>
      </c>
      <c r="BV37" s="19">
        <f>IF(COUNTIFS(T_SelfStock_Log[Part Name],$A37,T_SelfStock_Log[WeekIndex],73)=0,"",SUMIFS(T_SelfStock_Log[Self_Qty],T_SelfStock_Log[Part Name],$A37,T_SelfStock_Log[WeekIndex],73))</f>
        <v/>
      </c>
      <c r="BW37" s="19">
        <f>IF(COUNTIFS(T_SelfStock_Log[Part Name],$A37,T_SelfStock_Log[WeekIndex],74)=0,"",SUMIFS(T_SelfStock_Log[Self_Qty],T_SelfStock_Log[Part Name],$A37,T_SelfStock_Log[WeekIndex],74))</f>
        <v/>
      </c>
      <c r="BX37" s="19">
        <f>IF(COUNTIFS(T_SelfStock_Log[Part Name],$A37,T_SelfStock_Log[WeekIndex],75)=0,"",SUMIFS(T_SelfStock_Log[Self_Qty],T_SelfStock_Log[Part Name],$A37,T_SelfStock_Log[WeekIndex],75))</f>
        <v/>
      </c>
      <c r="BY37" s="19">
        <f>IF(COUNTIFS(T_SelfStock_Log[Part Name],$A37,T_SelfStock_Log[WeekIndex],76)=0,"",SUMIFS(T_SelfStock_Log[Self_Qty],T_SelfStock_Log[Part Name],$A37,T_SelfStock_Log[WeekIndex],76))</f>
        <v/>
      </c>
      <c r="BZ37" s="19">
        <f>IF(COUNTIFS(T_SelfStock_Log[Part Name],$A37,T_SelfStock_Log[WeekIndex],77)=0,"",SUMIFS(T_SelfStock_Log[Self_Qty],T_SelfStock_Log[Part Name],$A37,T_SelfStock_Log[WeekIndex],77))</f>
        <v/>
      </c>
      <c r="CA37" s="19">
        <f>IF(COUNTIFS(T_SelfStock_Log[Part Name],$A37,T_SelfStock_Log[WeekIndex],78)=0,"",SUMIFS(T_SelfStock_Log[Self_Qty],T_SelfStock_Log[Part Name],$A37,T_SelfStock_Log[WeekIndex],78))</f>
        <v/>
      </c>
      <c r="CB37" s="19">
        <f>IF(COUNTIFS(T_SelfStock_Log[Part Name],$A37,T_SelfStock_Log[WeekIndex],79)=0,"",SUMIFS(T_SelfStock_Log[Self_Qty],T_SelfStock_Log[Part Name],$A37,T_SelfStock_Log[WeekIndex],79))</f>
        <v/>
      </c>
      <c r="CC37" s="19">
        <f>IF(COUNTIFS(T_SelfStock_Log[Part Name],$A37,T_SelfStock_Log[WeekIndex],80)=0,"",SUMIFS(T_SelfStock_Log[Self_Qty],T_SelfStock_Log[Part Name],$A37,T_SelfStock_Log[WeekIndex],80))</f>
        <v/>
      </c>
      <c r="CD37" s="19">
        <f>IF(COUNTIFS(T_SelfStock_Log[Part Name],$A37,T_SelfStock_Log[WeekIndex],81)=0,"",SUMIFS(T_SelfStock_Log[Self_Qty],T_SelfStock_Log[Part Name],$A37,T_SelfStock_Log[WeekIndex],81))</f>
        <v/>
      </c>
      <c r="CE37" s="19">
        <f>IF(COUNTIFS(T_SelfStock_Log[Part Name],$A37,T_SelfStock_Log[WeekIndex],82)=0,"",SUMIFS(T_SelfStock_Log[Self_Qty],T_SelfStock_Log[Part Name],$A37,T_SelfStock_Log[WeekIndex],82))</f>
        <v/>
      </c>
      <c r="CF37" s="19">
        <f>IF(COUNTIFS(T_SelfStock_Log[Part Name],$A37,T_SelfStock_Log[WeekIndex],83)=0,"",SUMIFS(T_SelfStock_Log[Self_Qty],T_SelfStock_Log[Part Name],$A37,T_SelfStock_Log[WeekIndex],83))</f>
        <v/>
      </c>
      <c r="CG37" s="19">
        <f>IF(COUNTIFS(T_SelfStock_Log[Part Name],$A37,T_SelfStock_Log[WeekIndex],84)=0,"",SUMIFS(T_SelfStock_Log[Self_Qty],T_SelfStock_Log[Part Name],$A37,T_SelfStock_Log[WeekIndex],84))</f>
        <v/>
      </c>
      <c r="CH37" s="19">
        <f>IF(COUNTIFS(T_SelfStock_Log[Part Name],$A37,T_SelfStock_Log[WeekIndex],85)=0,"",SUMIFS(T_SelfStock_Log[Self_Qty],T_SelfStock_Log[Part Name],$A37,T_SelfStock_Log[WeekIndex],85))</f>
        <v/>
      </c>
      <c r="CI37" s="19">
        <f>IF(COUNTIFS(T_SelfStock_Log[Part Name],$A37,T_SelfStock_Log[WeekIndex],86)=0,"",SUMIFS(T_SelfStock_Log[Self_Qty],T_SelfStock_Log[Part Name],$A37,T_SelfStock_Log[WeekIndex],86))</f>
        <v/>
      </c>
      <c r="CJ37" s="19">
        <f>IF(COUNTIFS(T_SelfStock_Log[Part Name],$A37,T_SelfStock_Log[WeekIndex],87)=0,"",SUMIFS(T_SelfStock_Log[Self_Qty],T_SelfStock_Log[Part Name],$A37,T_SelfStock_Log[WeekIndex],87))</f>
        <v/>
      </c>
      <c r="CK37" s="19">
        <f>IF(COUNTIFS(T_SelfStock_Log[Part Name],$A37,T_SelfStock_Log[WeekIndex],88)=0,"",SUMIFS(T_SelfStock_Log[Self_Qty],T_SelfStock_Log[Part Name],$A37,T_SelfStock_Log[WeekIndex],88))</f>
        <v/>
      </c>
      <c r="CL37" s="19">
        <f>IF(COUNTIFS(T_SelfStock_Log[Part Name],$A37,T_SelfStock_Log[WeekIndex],89)=0,"",SUMIFS(T_SelfStock_Log[Self_Qty],T_SelfStock_Log[Part Name],$A37,T_SelfStock_Log[WeekIndex],89))</f>
        <v/>
      </c>
      <c r="CM37" s="19">
        <f>IF(COUNTIFS(T_SelfStock_Log[Part Name],$A37,T_SelfStock_Log[WeekIndex],90)=0,"",SUMIFS(T_SelfStock_Log[Self_Qty],T_SelfStock_Log[Part Name],$A37,T_SelfStock_Log[WeekIndex],90))</f>
        <v/>
      </c>
      <c r="CN37" s="19">
        <f>IF(COUNTIFS(T_SelfStock_Log[Part Name],$A37,T_SelfStock_Log[WeekIndex],91)=0,"",SUMIFS(T_SelfStock_Log[Self_Qty],T_SelfStock_Log[Part Name],$A37,T_SelfStock_Log[WeekIndex],91))</f>
        <v/>
      </c>
      <c r="CO37" s="19">
        <f>IF(COUNTIFS(T_SelfStock_Log[Part Name],$A37,T_SelfStock_Log[WeekIndex],92)=0,"",SUMIFS(T_SelfStock_Log[Self_Qty],T_SelfStock_Log[Part Name],$A37,T_SelfStock_Log[WeekIndex],92))</f>
        <v/>
      </c>
      <c r="CP37" s="19">
        <f>IF(COUNTIFS(T_SelfStock_Log[Part Name],$A37,T_SelfStock_Log[WeekIndex],93)=0,"",SUMIFS(T_SelfStock_Log[Self_Qty],T_SelfStock_Log[Part Name],$A37,T_SelfStock_Log[WeekIndex],93))</f>
        <v/>
      </c>
      <c r="CQ37" s="19">
        <f>IF(COUNTIFS(T_SelfStock_Log[Part Name],$A37,T_SelfStock_Log[WeekIndex],94)=0,"",SUMIFS(T_SelfStock_Log[Self_Qty],T_SelfStock_Log[Part Name],$A37,T_SelfStock_Log[WeekIndex],94))</f>
        <v/>
      </c>
      <c r="CR37" s="19">
        <f>IF(COUNTIFS(T_SelfStock_Log[Part Name],$A37,T_SelfStock_Log[WeekIndex],95)=0,"",SUMIFS(T_SelfStock_Log[Self_Qty],T_SelfStock_Log[Part Name],$A37,T_SelfStock_Log[WeekIndex],95))</f>
        <v/>
      </c>
      <c r="CS37" s="19">
        <f>IF(COUNTIFS(T_SelfStock_Log[Part Name],$A37,T_SelfStock_Log[WeekIndex],96)=0,"",SUMIFS(T_SelfStock_Log[Self_Qty],T_SelfStock_Log[Part Name],$A37,T_SelfStock_Log[WeekIndex],96))</f>
        <v/>
      </c>
      <c r="CT37" s="19">
        <f>IF(COUNTIFS(T_SelfStock_Log[Part Name],$A37,T_SelfStock_Log[WeekIndex],97)=0,"",SUMIFS(T_SelfStock_Log[Self_Qty],T_SelfStock_Log[Part Name],$A37,T_SelfStock_Log[WeekIndex],97))</f>
        <v/>
      </c>
      <c r="CU37" s="19">
        <f>IF(COUNTIFS(T_SelfStock_Log[Part Name],$A37,T_SelfStock_Log[WeekIndex],98)=0,"",SUMIFS(T_SelfStock_Log[Self_Qty],T_SelfStock_Log[Part Name],$A37,T_SelfStock_Log[WeekIndex],98))</f>
        <v/>
      </c>
      <c r="CV37" s="19">
        <f>IF(COUNTIFS(T_SelfStock_Log[Part Name],$A37,T_SelfStock_Log[WeekIndex],99)=0,"",SUMIFS(T_SelfStock_Log[Self_Qty],T_SelfStock_Log[Part Name],$A37,T_SelfStock_Log[WeekIndex],99))</f>
        <v/>
      </c>
      <c r="CW37" s="19">
        <f>IF(COUNTIFS(T_SelfStock_Log[Part Name],$A37,T_SelfStock_Log[WeekIndex],100)=0,"",SUMIFS(T_SelfStock_Log[Self_Qty],T_SelfStock_Log[Part Name],$A37,T_SelfStock_Log[WeekIndex],100))</f>
        <v/>
      </c>
      <c r="CX37" s="19">
        <f>IF(COUNTIFS(T_SelfStock_Log[Part Name],$A37,T_SelfStock_Log[WeekIndex],101)=0,"",SUMIFS(T_SelfStock_Log[Self_Qty],T_SelfStock_Log[Part Name],$A37,T_SelfStock_Log[WeekIndex],101))</f>
        <v/>
      </c>
      <c r="CY37" s="19">
        <f>IF(COUNTIFS(T_SelfStock_Log[Part Name],$A37,T_SelfStock_Log[WeekIndex],102)=0,"",SUMIFS(T_SelfStock_Log[Self_Qty],T_SelfStock_Log[Part Name],$A37,T_SelfStock_Log[WeekIndex],102))</f>
        <v/>
      </c>
      <c r="CZ37" s="19">
        <f>IF(COUNTIFS(T_SelfStock_Log[Part Name],$A37,T_SelfStock_Log[WeekIndex],103)=0,"",SUMIFS(T_SelfStock_Log[Self_Qty],T_SelfStock_Log[Part Name],$A37,T_SelfStock_Log[WeekIndex],103))</f>
        <v/>
      </c>
      <c r="DA37" s="19">
        <f>IF(COUNTIFS(T_SelfStock_Log[Part Name],$A37,T_SelfStock_Log[WeekIndex],104)=0,"",SUMIFS(T_SelfStock_Log[Self_Qty],T_SelfStock_Log[Part Name],$A37,T_SelfStock_Log[WeekIndex],104))</f>
        <v/>
      </c>
    </row>
    <row r="38">
      <c r="A38" s="17" t="inlineStr">
        <is>
          <t>CHEM-1650</t>
        </is>
      </c>
      <c r="B38" s="17">
        <f>IF(COUNTIFS(T_SelfStock_Log[Part Name],$A38,T_SelfStock_Log[WeekIndex],1)=0,"",SUMIFS(T_SelfStock_Log[Self_Qty],T_SelfStock_Log[Part Name],$A38,T_SelfStock_Log[WeekIndex],1))</f>
        <v/>
      </c>
      <c r="C38" s="17">
        <f>IF(COUNTIFS(T_SelfStock_Log[Part Name],$A38,T_SelfStock_Log[WeekIndex],2)=0,"",SUMIFS(T_SelfStock_Log[Self_Qty],T_SelfStock_Log[Part Name],$A38,T_SelfStock_Log[WeekIndex],2))</f>
        <v/>
      </c>
      <c r="D38" s="17">
        <f>IF(COUNTIFS(T_SelfStock_Log[Part Name],$A38,T_SelfStock_Log[WeekIndex],3)=0,"",SUMIFS(T_SelfStock_Log[Self_Qty],T_SelfStock_Log[Part Name],$A38,T_SelfStock_Log[WeekIndex],3))</f>
        <v/>
      </c>
      <c r="E38" s="17">
        <f>IF(COUNTIFS(T_SelfStock_Log[Part Name],$A38,T_SelfStock_Log[WeekIndex],4)=0,"",SUMIFS(T_SelfStock_Log[Self_Qty],T_SelfStock_Log[Part Name],$A38,T_SelfStock_Log[WeekIndex],4))</f>
        <v/>
      </c>
      <c r="F38" s="17">
        <f>IF(COUNTIFS(T_SelfStock_Log[Part Name],$A38,T_SelfStock_Log[WeekIndex],5)=0,"",SUMIFS(T_SelfStock_Log[Self_Qty],T_SelfStock_Log[Part Name],$A38,T_SelfStock_Log[WeekIndex],5))</f>
        <v/>
      </c>
      <c r="G38" s="17">
        <f>IF(COUNTIFS(T_SelfStock_Log[Part Name],$A38,T_SelfStock_Log[WeekIndex],6)=0,"",SUMIFS(T_SelfStock_Log[Self_Qty],T_SelfStock_Log[Part Name],$A38,T_SelfStock_Log[WeekIndex],6))</f>
        <v/>
      </c>
      <c r="H38" s="17">
        <f>IF(COUNTIFS(T_SelfStock_Log[Part Name],$A38,T_SelfStock_Log[WeekIndex],7)=0,"",SUMIFS(T_SelfStock_Log[Self_Qty],T_SelfStock_Log[Part Name],$A38,T_SelfStock_Log[WeekIndex],7))</f>
        <v/>
      </c>
      <c r="I38" s="17">
        <f>IF(COUNTIFS(T_SelfStock_Log[Part Name],$A38,T_SelfStock_Log[WeekIndex],8)=0,"",SUMIFS(T_SelfStock_Log[Self_Qty],T_SelfStock_Log[Part Name],$A38,T_SelfStock_Log[WeekIndex],8))</f>
        <v/>
      </c>
      <c r="J38" s="17">
        <f>IF(COUNTIFS(T_SelfStock_Log[Part Name],$A38,T_SelfStock_Log[WeekIndex],9)=0,"",SUMIFS(T_SelfStock_Log[Self_Qty],T_SelfStock_Log[Part Name],$A38,T_SelfStock_Log[WeekIndex],9))</f>
        <v/>
      </c>
      <c r="K38" s="17">
        <f>IF(COUNTIFS(T_SelfStock_Log[Part Name],$A38,T_SelfStock_Log[WeekIndex],10)=0,"",SUMIFS(T_SelfStock_Log[Self_Qty],T_SelfStock_Log[Part Name],$A38,T_SelfStock_Log[WeekIndex],10))</f>
        <v/>
      </c>
      <c r="L38" s="17">
        <f>IF(COUNTIFS(T_SelfStock_Log[Part Name],$A38,T_SelfStock_Log[WeekIndex],11)=0,"",SUMIFS(T_SelfStock_Log[Self_Qty],T_SelfStock_Log[Part Name],$A38,T_SelfStock_Log[WeekIndex],11))</f>
        <v/>
      </c>
      <c r="M38" s="17">
        <f>IF(COUNTIFS(T_SelfStock_Log[Part Name],$A38,T_SelfStock_Log[WeekIndex],12)=0,"",SUMIFS(T_SelfStock_Log[Self_Qty],T_SelfStock_Log[Part Name],$A38,T_SelfStock_Log[WeekIndex],12))</f>
        <v/>
      </c>
      <c r="N38" s="17">
        <f>IF(COUNTIFS(T_SelfStock_Log[Part Name],$A38,T_SelfStock_Log[WeekIndex],13)=0,"",SUMIFS(T_SelfStock_Log[Self_Qty],T_SelfStock_Log[Part Name],$A38,T_SelfStock_Log[WeekIndex],13))</f>
        <v/>
      </c>
      <c r="O38" s="17">
        <f>IF(COUNTIFS(T_SelfStock_Log[Part Name],$A38,T_SelfStock_Log[WeekIndex],14)=0,"",SUMIFS(T_SelfStock_Log[Self_Qty],T_SelfStock_Log[Part Name],$A38,T_SelfStock_Log[WeekIndex],14))</f>
        <v/>
      </c>
      <c r="P38" s="17">
        <f>IF(COUNTIFS(T_SelfStock_Log[Part Name],$A38,T_SelfStock_Log[WeekIndex],15)=0,"",SUMIFS(T_SelfStock_Log[Self_Qty],T_SelfStock_Log[Part Name],$A38,T_SelfStock_Log[WeekIndex],15))</f>
        <v/>
      </c>
      <c r="Q38" s="17">
        <f>IF(COUNTIFS(T_SelfStock_Log[Part Name],$A38,T_SelfStock_Log[WeekIndex],16)=0,"",SUMIFS(T_SelfStock_Log[Self_Qty],T_SelfStock_Log[Part Name],$A38,T_SelfStock_Log[WeekIndex],16))</f>
        <v/>
      </c>
      <c r="R38" s="17">
        <f>IF(COUNTIFS(T_SelfStock_Log[Part Name],$A38,T_SelfStock_Log[WeekIndex],17)=0,"",SUMIFS(T_SelfStock_Log[Self_Qty],T_SelfStock_Log[Part Name],$A38,T_SelfStock_Log[WeekIndex],17))</f>
        <v/>
      </c>
      <c r="S38" s="17">
        <f>IF(COUNTIFS(T_SelfStock_Log[Part Name],$A38,T_SelfStock_Log[WeekIndex],18)=0,"",SUMIFS(T_SelfStock_Log[Self_Qty],T_SelfStock_Log[Part Name],$A38,T_SelfStock_Log[WeekIndex],18))</f>
        <v/>
      </c>
      <c r="T38" s="17">
        <f>IF(COUNTIFS(T_SelfStock_Log[Part Name],$A38,T_SelfStock_Log[WeekIndex],19)=0,"",SUMIFS(T_SelfStock_Log[Self_Qty],T_SelfStock_Log[Part Name],$A38,T_SelfStock_Log[WeekIndex],19))</f>
        <v/>
      </c>
      <c r="U38" s="17">
        <f>IF(COUNTIFS(T_SelfStock_Log[Part Name],$A38,T_SelfStock_Log[WeekIndex],20)=0,"",SUMIFS(T_SelfStock_Log[Self_Qty],T_SelfStock_Log[Part Name],$A38,T_SelfStock_Log[WeekIndex],20))</f>
        <v/>
      </c>
      <c r="V38" s="17">
        <f>IF(COUNTIFS(T_SelfStock_Log[Part Name],$A38,T_SelfStock_Log[WeekIndex],21)=0,"",SUMIFS(T_SelfStock_Log[Self_Qty],T_SelfStock_Log[Part Name],$A38,T_SelfStock_Log[WeekIndex],21))</f>
        <v/>
      </c>
      <c r="W38" s="17">
        <f>IF(COUNTIFS(T_SelfStock_Log[Part Name],$A38,T_SelfStock_Log[WeekIndex],22)=0,"",SUMIFS(T_SelfStock_Log[Self_Qty],T_SelfStock_Log[Part Name],$A38,T_SelfStock_Log[WeekIndex],22))</f>
        <v/>
      </c>
      <c r="X38" s="17">
        <f>IF(COUNTIFS(T_SelfStock_Log[Part Name],$A38,T_SelfStock_Log[WeekIndex],23)=0,"",SUMIFS(T_SelfStock_Log[Self_Qty],T_SelfStock_Log[Part Name],$A38,T_SelfStock_Log[WeekIndex],23))</f>
        <v/>
      </c>
      <c r="Y38" s="17">
        <f>IF(COUNTIFS(T_SelfStock_Log[Part Name],$A38,T_SelfStock_Log[WeekIndex],24)=0,"",SUMIFS(T_SelfStock_Log[Self_Qty],T_SelfStock_Log[Part Name],$A38,T_SelfStock_Log[WeekIndex],24))</f>
        <v/>
      </c>
      <c r="Z38" s="17">
        <f>IF(COUNTIFS(T_SelfStock_Log[Part Name],$A38,T_SelfStock_Log[WeekIndex],25)=0,"",SUMIFS(T_SelfStock_Log[Self_Qty],T_SelfStock_Log[Part Name],$A38,T_SelfStock_Log[WeekIndex],25))</f>
        <v/>
      </c>
      <c r="AA38" s="17">
        <f>IF(COUNTIFS(T_SelfStock_Log[Part Name],$A38,T_SelfStock_Log[WeekIndex],26)=0,"",SUMIFS(T_SelfStock_Log[Self_Qty],T_SelfStock_Log[Part Name],$A38,T_SelfStock_Log[WeekIndex],26))</f>
        <v/>
      </c>
      <c r="AB38" s="17">
        <f>IF(COUNTIFS(T_SelfStock_Log[Part Name],$A38,T_SelfStock_Log[WeekIndex],27)=0,"",SUMIFS(T_SelfStock_Log[Self_Qty],T_SelfStock_Log[Part Name],$A38,T_SelfStock_Log[WeekIndex],27))</f>
        <v/>
      </c>
      <c r="AC38" s="17">
        <f>IF(COUNTIFS(T_SelfStock_Log[Part Name],$A38,T_SelfStock_Log[WeekIndex],28)=0,"",SUMIFS(T_SelfStock_Log[Self_Qty],T_SelfStock_Log[Part Name],$A38,T_SelfStock_Log[WeekIndex],28))</f>
        <v/>
      </c>
      <c r="AD38" s="17">
        <f>IF(COUNTIFS(T_SelfStock_Log[Part Name],$A38,T_SelfStock_Log[WeekIndex],29)=0,"",SUMIFS(T_SelfStock_Log[Self_Qty],T_SelfStock_Log[Part Name],$A38,T_SelfStock_Log[WeekIndex],29))</f>
        <v/>
      </c>
      <c r="AE38" s="17">
        <f>IF(COUNTIFS(T_SelfStock_Log[Part Name],$A38,T_SelfStock_Log[WeekIndex],30)=0,"",SUMIFS(T_SelfStock_Log[Self_Qty],T_SelfStock_Log[Part Name],$A38,T_SelfStock_Log[WeekIndex],30))</f>
        <v/>
      </c>
      <c r="AF38" s="17">
        <f>IF(COUNTIFS(T_SelfStock_Log[Part Name],$A38,T_SelfStock_Log[WeekIndex],31)=0,"",SUMIFS(T_SelfStock_Log[Self_Qty],T_SelfStock_Log[Part Name],$A38,T_SelfStock_Log[WeekIndex],31))</f>
        <v/>
      </c>
      <c r="AG38" s="17">
        <f>IF(COUNTIFS(T_SelfStock_Log[Part Name],$A38,T_SelfStock_Log[WeekIndex],32)=0,"",SUMIFS(T_SelfStock_Log[Self_Qty],T_SelfStock_Log[Part Name],$A38,T_SelfStock_Log[WeekIndex],32))</f>
        <v/>
      </c>
      <c r="AH38" s="17">
        <f>IF(COUNTIFS(T_SelfStock_Log[Part Name],$A38,T_SelfStock_Log[WeekIndex],33)=0,"",SUMIFS(T_SelfStock_Log[Self_Qty],T_SelfStock_Log[Part Name],$A38,T_SelfStock_Log[WeekIndex],33))</f>
        <v/>
      </c>
      <c r="AI38" s="17">
        <f>IF(COUNTIFS(T_SelfStock_Log[Part Name],$A38,T_SelfStock_Log[WeekIndex],34)=0,"",SUMIFS(T_SelfStock_Log[Self_Qty],T_SelfStock_Log[Part Name],$A38,T_SelfStock_Log[WeekIndex],34))</f>
        <v/>
      </c>
      <c r="AJ38" s="17">
        <f>IF(COUNTIFS(T_SelfStock_Log[Part Name],$A38,T_SelfStock_Log[WeekIndex],35)=0,"",SUMIFS(T_SelfStock_Log[Self_Qty],T_SelfStock_Log[Part Name],$A38,T_SelfStock_Log[WeekIndex],35))</f>
        <v/>
      </c>
      <c r="AK38" s="17">
        <f>IF(COUNTIFS(T_SelfStock_Log[Part Name],$A38,T_SelfStock_Log[WeekIndex],36)=0,"",SUMIFS(T_SelfStock_Log[Self_Qty],T_SelfStock_Log[Part Name],$A38,T_SelfStock_Log[WeekIndex],36))</f>
        <v/>
      </c>
      <c r="AL38" s="17">
        <f>IF(COUNTIFS(T_SelfStock_Log[Part Name],$A38,T_SelfStock_Log[WeekIndex],37)=0,"",SUMIFS(T_SelfStock_Log[Self_Qty],T_SelfStock_Log[Part Name],$A38,T_SelfStock_Log[WeekIndex],37))</f>
        <v/>
      </c>
      <c r="AM38" s="17">
        <f>IF(COUNTIFS(T_SelfStock_Log[Part Name],$A38,T_SelfStock_Log[WeekIndex],38)=0,"",SUMIFS(T_SelfStock_Log[Self_Qty],T_SelfStock_Log[Part Name],$A38,T_SelfStock_Log[WeekIndex],38))</f>
        <v/>
      </c>
      <c r="AN38" s="17">
        <f>IF(COUNTIFS(T_SelfStock_Log[Part Name],$A38,T_SelfStock_Log[WeekIndex],39)=0,"",SUMIFS(T_SelfStock_Log[Self_Qty],T_SelfStock_Log[Part Name],$A38,T_SelfStock_Log[WeekIndex],39))</f>
        <v/>
      </c>
      <c r="AO38" s="17">
        <f>IF(COUNTIFS(T_SelfStock_Log[Part Name],$A38,T_SelfStock_Log[WeekIndex],40)=0,"",SUMIFS(T_SelfStock_Log[Self_Qty],T_SelfStock_Log[Part Name],$A38,T_SelfStock_Log[WeekIndex],40))</f>
        <v/>
      </c>
      <c r="AP38" s="17">
        <f>IF(COUNTIFS(T_SelfStock_Log[Part Name],$A38,T_SelfStock_Log[WeekIndex],41)=0,"",SUMIFS(T_SelfStock_Log[Self_Qty],T_SelfStock_Log[Part Name],$A38,T_SelfStock_Log[WeekIndex],41))</f>
        <v/>
      </c>
      <c r="AQ38" s="17">
        <f>IF(COUNTIFS(T_SelfStock_Log[Part Name],$A38,T_SelfStock_Log[WeekIndex],42)=0,"",SUMIFS(T_SelfStock_Log[Self_Qty],T_SelfStock_Log[Part Name],$A38,T_SelfStock_Log[WeekIndex],42))</f>
        <v/>
      </c>
      <c r="AR38" s="17">
        <f>IF(COUNTIFS(T_SelfStock_Log[Part Name],$A38,T_SelfStock_Log[WeekIndex],43)=0,"",SUMIFS(T_SelfStock_Log[Self_Qty],T_SelfStock_Log[Part Name],$A38,T_SelfStock_Log[WeekIndex],43))</f>
        <v/>
      </c>
      <c r="AS38" s="17">
        <f>IF(COUNTIFS(T_SelfStock_Log[Part Name],$A38,T_SelfStock_Log[WeekIndex],44)=0,"",SUMIFS(T_SelfStock_Log[Self_Qty],T_SelfStock_Log[Part Name],$A38,T_SelfStock_Log[WeekIndex],44))</f>
        <v/>
      </c>
      <c r="AT38" s="17">
        <f>IF(COUNTIFS(T_SelfStock_Log[Part Name],$A38,T_SelfStock_Log[WeekIndex],45)=0,"",SUMIFS(T_SelfStock_Log[Self_Qty],T_SelfStock_Log[Part Name],$A38,T_SelfStock_Log[WeekIndex],45))</f>
        <v/>
      </c>
      <c r="AU38" s="17">
        <f>IF(COUNTIFS(T_SelfStock_Log[Part Name],$A38,T_SelfStock_Log[WeekIndex],46)=0,"",SUMIFS(T_SelfStock_Log[Self_Qty],T_SelfStock_Log[Part Name],$A38,T_SelfStock_Log[WeekIndex],46))</f>
        <v/>
      </c>
      <c r="AV38" s="17">
        <f>IF(COUNTIFS(T_SelfStock_Log[Part Name],$A38,T_SelfStock_Log[WeekIndex],47)=0,"",SUMIFS(T_SelfStock_Log[Self_Qty],T_SelfStock_Log[Part Name],$A38,T_SelfStock_Log[WeekIndex],47))</f>
        <v/>
      </c>
      <c r="AW38" s="17">
        <f>IF(COUNTIFS(T_SelfStock_Log[Part Name],$A38,T_SelfStock_Log[WeekIndex],48)=0,"",SUMIFS(T_SelfStock_Log[Self_Qty],T_SelfStock_Log[Part Name],$A38,T_SelfStock_Log[WeekIndex],48))</f>
        <v/>
      </c>
      <c r="AX38" s="17">
        <f>IF(COUNTIFS(T_SelfStock_Log[Part Name],$A38,T_SelfStock_Log[WeekIndex],49)=0,"",SUMIFS(T_SelfStock_Log[Self_Qty],T_SelfStock_Log[Part Name],$A38,T_SelfStock_Log[WeekIndex],49))</f>
        <v/>
      </c>
      <c r="AY38" s="17">
        <f>IF(COUNTIFS(T_SelfStock_Log[Part Name],$A38,T_SelfStock_Log[WeekIndex],50)=0,"",SUMIFS(T_SelfStock_Log[Self_Qty],T_SelfStock_Log[Part Name],$A38,T_SelfStock_Log[WeekIndex],50))</f>
        <v/>
      </c>
      <c r="AZ38" s="17">
        <f>IF(COUNTIFS(T_SelfStock_Log[Part Name],$A38,T_SelfStock_Log[WeekIndex],51)=0,"",SUMIFS(T_SelfStock_Log[Self_Qty],T_SelfStock_Log[Part Name],$A38,T_SelfStock_Log[WeekIndex],51))</f>
        <v/>
      </c>
      <c r="BA38" s="17">
        <f>IF(COUNTIFS(T_SelfStock_Log[Part Name],$A38,T_SelfStock_Log[WeekIndex],52)=0,"",SUMIFS(T_SelfStock_Log[Self_Qty],T_SelfStock_Log[Part Name],$A38,T_SelfStock_Log[WeekIndex],52))</f>
        <v/>
      </c>
      <c r="BB38" s="17">
        <f>IF(COUNTIFS(T_SelfStock_Log[Part Name],$A38,T_SelfStock_Log[WeekIndex],53)=0,"",SUMIFS(T_SelfStock_Log[Self_Qty],T_SelfStock_Log[Part Name],$A38,T_SelfStock_Log[WeekIndex],53))</f>
        <v/>
      </c>
      <c r="BC38" s="17">
        <f>IF(COUNTIFS(T_SelfStock_Log[Part Name],$A38,T_SelfStock_Log[WeekIndex],54)=0,"",SUMIFS(T_SelfStock_Log[Self_Qty],T_SelfStock_Log[Part Name],$A38,T_SelfStock_Log[WeekIndex],54))</f>
        <v/>
      </c>
      <c r="BD38" s="17">
        <f>IF(COUNTIFS(T_SelfStock_Log[Part Name],$A38,T_SelfStock_Log[WeekIndex],55)=0,"",SUMIFS(T_SelfStock_Log[Self_Qty],T_SelfStock_Log[Part Name],$A38,T_SelfStock_Log[WeekIndex],55))</f>
        <v/>
      </c>
      <c r="BE38" s="17">
        <f>IF(COUNTIFS(T_SelfStock_Log[Part Name],$A38,T_SelfStock_Log[WeekIndex],56)=0,"",SUMIFS(T_SelfStock_Log[Self_Qty],T_SelfStock_Log[Part Name],$A38,T_SelfStock_Log[WeekIndex],56))</f>
        <v/>
      </c>
      <c r="BF38" s="17">
        <f>IF(COUNTIFS(T_SelfStock_Log[Part Name],$A38,T_SelfStock_Log[WeekIndex],57)=0,"",SUMIFS(T_SelfStock_Log[Self_Qty],T_SelfStock_Log[Part Name],$A38,T_SelfStock_Log[WeekIndex],57))</f>
        <v/>
      </c>
      <c r="BG38" s="17">
        <f>IF(COUNTIFS(T_SelfStock_Log[Part Name],$A38,T_SelfStock_Log[WeekIndex],58)=0,"",SUMIFS(T_SelfStock_Log[Self_Qty],T_SelfStock_Log[Part Name],$A38,T_SelfStock_Log[WeekIndex],58))</f>
        <v/>
      </c>
      <c r="BH38" s="17">
        <f>IF(COUNTIFS(T_SelfStock_Log[Part Name],$A38,T_SelfStock_Log[WeekIndex],59)=0,"",SUMIFS(T_SelfStock_Log[Self_Qty],T_SelfStock_Log[Part Name],$A38,T_SelfStock_Log[WeekIndex],59))</f>
        <v/>
      </c>
      <c r="BI38" s="17">
        <f>IF(COUNTIFS(T_SelfStock_Log[Part Name],$A38,T_SelfStock_Log[WeekIndex],60)=0,"",SUMIFS(T_SelfStock_Log[Self_Qty],T_SelfStock_Log[Part Name],$A38,T_SelfStock_Log[WeekIndex],60))</f>
        <v/>
      </c>
      <c r="BJ38" s="17">
        <f>IF(COUNTIFS(T_SelfStock_Log[Part Name],$A38,T_SelfStock_Log[WeekIndex],61)=0,"",SUMIFS(T_SelfStock_Log[Self_Qty],T_SelfStock_Log[Part Name],$A38,T_SelfStock_Log[WeekIndex],61))</f>
        <v/>
      </c>
      <c r="BK38" s="17">
        <f>IF(COUNTIFS(T_SelfStock_Log[Part Name],$A38,T_SelfStock_Log[WeekIndex],62)=0,"",SUMIFS(T_SelfStock_Log[Self_Qty],T_SelfStock_Log[Part Name],$A38,T_SelfStock_Log[WeekIndex],62))</f>
        <v/>
      </c>
      <c r="BL38" s="17">
        <f>IF(COUNTIFS(T_SelfStock_Log[Part Name],$A38,T_SelfStock_Log[WeekIndex],63)=0,"",SUMIFS(T_SelfStock_Log[Self_Qty],T_SelfStock_Log[Part Name],$A38,T_SelfStock_Log[WeekIndex],63))</f>
        <v/>
      </c>
      <c r="BM38" s="17">
        <f>IF(COUNTIFS(T_SelfStock_Log[Part Name],$A38,T_SelfStock_Log[WeekIndex],64)=0,"",SUMIFS(T_SelfStock_Log[Self_Qty],T_SelfStock_Log[Part Name],$A38,T_SelfStock_Log[WeekIndex],64))</f>
        <v/>
      </c>
      <c r="BN38" s="17">
        <f>IF(COUNTIFS(T_SelfStock_Log[Part Name],$A38,T_SelfStock_Log[WeekIndex],65)=0,"",SUMIFS(T_SelfStock_Log[Self_Qty],T_SelfStock_Log[Part Name],$A38,T_SelfStock_Log[WeekIndex],65))</f>
        <v/>
      </c>
      <c r="BO38" s="17">
        <f>IF(COUNTIFS(T_SelfStock_Log[Part Name],$A38,T_SelfStock_Log[WeekIndex],66)=0,"",SUMIFS(T_SelfStock_Log[Self_Qty],T_SelfStock_Log[Part Name],$A38,T_SelfStock_Log[WeekIndex],66))</f>
        <v/>
      </c>
      <c r="BP38" s="17">
        <f>IF(COUNTIFS(T_SelfStock_Log[Part Name],$A38,T_SelfStock_Log[WeekIndex],67)=0,"",SUMIFS(T_SelfStock_Log[Self_Qty],T_SelfStock_Log[Part Name],$A38,T_SelfStock_Log[WeekIndex],67))</f>
        <v/>
      </c>
      <c r="BQ38" s="17">
        <f>IF(COUNTIFS(T_SelfStock_Log[Part Name],$A38,T_SelfStock_Log[WeekIndex],68)=0,"",SUMIFS(T_SelfStock_Log[Self_Qty],T_SelfStock_Log[Part Name],$A38,T_SelfStock_Log[WeekIndex],68))</f>
        <v/>
      </c>
      <c r="BR38" s="17">
        <f>IF(COUNTIFS(T_SelfStock_Log[Part Name],$A38,T_SelfStock_Log[WeekIndex],69)=0,"",SUMIFS(T_SelfStock_Log[Self_Qty],T_SelfStock_Log[Part Name],$A38,T_SelfStock_Log[WeekIndex],69))</f>
        <v/>
      </c>
      <c r="BS38" s="17">
        <f>IF(COUNTIFS(T_SelfStock_Log[Part Name],$A38,T_SelfStock_Log[WeekIndex],70)=0,"",SUMIFS(T_SelfStock_Log[Self_Qty],T_SelfStock_Log[Part Name],$A38,T_SelfStock_Log[WeekIndex],70))</f>
        <v/>
      </c>
      <c r="BT38" s="17">
        <f>IF(COUNTIFS(T_SelfStock_Log[Part Name],$A38,T_SelfStock_Log[WeekIndex],71)=0,"",SUMIFS(T_SelfStock_Log[Self_Qty],T_SelfStock_Log[Part Name],$A38,T_SelfStock_Log[WeekIndex],71))</f>
        <v/>
      </c>
      <c r="BU38" s="17">
        <f>IF(COUNTIFS(T_SelfStock_Log[Part Name],$A38,T_SelfStock_Log[WeekIndex],72)=0,"",SUMIFS(T_SelfStock_Log[Self_Qty],T_SelfStock_Log[Part Name],$A38,T_SelfStock_Log[WeekIndex],72))</f>
        <v/>
      </c>
      <c r="BV38" s="17">
        <f>IF(COUNTIFS(T_SelfStock_Log[Part Name],$A38,T_SelfStock_Log[WeekIndex],73)=0,"",SUMIFS(T_SelfStock_Log[Self_Qty],T_SelfStock_Log[Part Name],$A38,T_SelfStock_Log[WeekIndex],73))</f>
        <v/>
      </c>
      <c r="BW38" s="17">
        <f>IF(COUNTIFS(T_SelfStock_Log[Part Name],$A38,T_SelfStock_Log[WeekIndex],74)=0,"",SUMIFS(T_SelfStock_Log[Self_Qty],T_SelfStock_Log[Part Name],$A38,T_SelfStock_Log[WeekIndex],74))</f>
        <v/>
      </c>
      <c r="BX38" s="17">
        <f>IF(COUNTIFS(T_SelfStock_Log[Part Name],$A38,T_SelfStock_Log[WeekIndex],75)=0,"",SUMIFS(T_SelfStock_Log[Self_Qty],T_SelfStock_Log[Part Name],$A38,T_SelfStock_Log[WeekIndex],75))</f>
        <v/>
      </c>
      <c r="BY38" s="17">
        <f>IF(COUNTIFS(T_SelfStock_Log[Part Name],$A38,T_SelfStock_Log[WeekIndex],76)=0,"",SUMIFS(T_SelfStock_Log[Self_Qty],T_SelfStock_Log[Part Name],$A38,T_SelfStock_Log[WeekIndex],76))</f>
        <v/>
      </c>
      <c r="BZ38" s="17">
        <f>IF(COUNTIFS(T_SelfStock_Log[Part Name],$A38,T_SelfStock_Log[WeekIndex],77)=0,"",SUMIFS(T_SelfStock_Log[Self_Qty],T_SelfStock_Log[Part Name],$A38,T_SelfStock_Log[WeekIndex],77))</f>
        <v/>
      </c>
      <c r="CA38" s="17">
        <f>IF(COUNTIFS(T_SelfStock_Log[Part Name],$A38,T_SelfStock_Log[WeekIndex],78)=0,"",SUMIFS(T_SelfStock_Log[Self_Qty],T_SelfStock_Log[Part Name],$A38,T_SelfStock_Log[WeekIndex],78))</f>
        <v/>
      </c>
      <c r="CB38" s="17">
        <f>IF(COUNTIFS(T_SelfStock_Log[Part Name],$A38,T_SelfStock_Log[WeekIndex],79)=0,"",SUMIFS(T_SelfStock_Log[Self_Qty],T_SelfStock_Log[Part Name],$A38,T_SelfStock_Log[WeekIndex],79))</f>
        <v/>
      </c>
      <c r="CC38" s="17">
        <f>IF(COUNTIFS(T_SelfStock_Log[Part Name],$A38,T_SelfStock_Log[WeekIndex],80)=0,"",SUMIFS(T_SelfStock_Log[Self_Qty],T_SelfStock_Log[Part Name],$A38,T_SelfStock_Log[WeekIndex],80))</f>
        <v/>
      </c>
      <c r="CD38" s="17">
        <f>IF(COUNTIFS(T_SelfStock_Log[Part Name],$A38,T_SelfStock_Log[WeekIndex],81)=0,"",SUMIFS(T_SelfStock_Log[Self_Qty],T_SelfStock_Log[Part Name],$A38,T_SelfStock_Log[WeekIndex],81))</f>
        <v/>
      </c>
      <c r="CE38" s="17">
        <f>IF(COUNTIFS(T_SelfStock_Log[Part Name],$A38,T_SelfStock_Log[WeekIndex],82)=0,"",SUMIFS(T_SelfStock_Log[Self_Qty],T_SelfStock_Log[Part Name],$A38,T_SelfStock_Log[WeekIndex],82))</f>
        <v/>
      </c>
      <c r="CF38" s="17">
        <f>IF(COUNTIFS(T_SelfStock_Log[Part Name],$A38,T_SelfStock_Log[WeekIndex],83)=0,"",SUMIFS(T_SelfStock_Log[Self_Qty],T_SelfStock_Log[Part Name],$A38,T_SelfStock_Log[WeekIndex],83))</f>
        <v/>
      </c>
      <c r="CG38" s="17">
        <f>IF(COUNTIFS(T_SelfStock_Log[Part Name],$A38,T_SelfStock_Log[WeekIndex],84)=0,"",SUMIFS(T_SelfStock_Log[Self_Qty],T_SelfStock_Log[Part Name],$A38,T_SelfStock_Log[WeekIndex],84))</f>
        <v/>
      </c>
      <c r="CH38" s="17">
        <f>IF(COUNTIFS(T_SelfStock_Log[Part Name],$A38,T_SelfStock_Log[WeekIndex],85)=0,"",SUMIFS(T_SelfStock_Log[Self_Qty],T_SelfStock_Log[Part Name],$A38,T_SelfStock_Log[WeekIndex],85))</f>
        <v/>
      </c>
      <c r="CI38" s="17">
        <f>IF(COUNTIFS(T_SelfStock_Log[Part Name],$A38,T_SelfStock_Log[WeekIndex],86)=0,"",SUMIFS(T_SelfStock_Log[Self_Qty],T_SelfStock_Log[Part Name],$A38,T_SelfStock_Log[WeekIndex],86))</f>
        <v/>
      </c>
      <c r="CJ38" s="17">
        <f>IF(COUNTIFS(T_SelfStock_Log[Part Name],$A38,T_SelfStock_Log[WeekIndex],87)=0,"",SUMIFS(T_SelfStock_Log[Self_Qty],T_SelfStock_Log[Part Name],$A38,T_SelfStock_Log[WeekIndex],87))</f>
        <v/>
      </c>
      <c r="CK38" s="17">
        <f>IF(COUNTIFS(T_SelfStock_Log[Part Name],$A38,T_SelfStock_Log[WeekIndex],88)=0,"",SUMIFS(T_SelfStock_Log[Self_Qty],T_SelfStock_Log[Part Name],$A38,T_SelfStock_Log[WeekIndex],88))</f>
        <v/>
      </c>
      <c r="CL38" s="17">
        <f>IF(COUNTIFS(T_SelfStock_Log[Part Name],$A38,T_SelfStock_Log[WeekIndex],89)=0,"",SUMIFS(T_SelfStock_Log[Self_Qty],T_SelfStock_Log[Part Name],$A38,T_SelfStock_Log[WeekIndex],89))</f>
        <v/>
      </c>
      <c r="CM38" s="17">
        <f>IF(COUNTIFS(T_SelfStock_Log[Part Name],$A38,T_SelfStock_Log[WeekIndex],90)=0,"",SUMIFS(T_SelfStock_Log[Self_Qty],T_SelfStock_Log[Part Name],$A38,T_SelfStock_Log[WeekIndex],90))</f>
        <v/>
      </c>
      <c r="CN38" s="17">
        <f>IF(COUNTIFS(T_SelfStock_Log[Part Name],$A38,T_SelfStock_Log[WeekIndex],91)=0,"",SUMIFS(T_SelfStock_Log[Self_Qty],T_SelfStock_Log[Part Name],$A38,T_SelfStock_Log[WeekIndex],91))</f>
        <v/>
      </c>
      <c r="CO38" s="17">
        <f>IF(COUNTIFS(T_SelfStock_Log[Part Name],$A38,T_SelfStock_Log[WeekIndex],92)=0,"",SUMIFS(T_SelfStock_Log[Self_Qty],T_SelfStock_Log[Part Name],$A38,T_SelfStock_Log[WeekIndex],92))</f>
        <v/>
      </c>
      <c r="CP38" s="17">
        <f>IF(COUNTIFS(T_SelfStock_Log[Part Name],$A38,T_SelfStock_Log[WeekIndex],93)=0,"",SUMIFS(T_SelfStock_Log[Self_Qty],T_SelfStock_Log[Part Name],$A38,T_SelfStock_Log[WeekIndex],93))</f>
        <v/>
      </c>
      <c r="CQ38" s="17">
        <f>IF(COUNTIFS(T_SelfStock_Log[Part Name],$A38,T_SelfStock_Log[WeekIndex],94)=0,"",SUMIFS(T_SelfStock_Log[Self_Qty],T_SelfStock_Log[Part Name],$A38,T_SelfStock_Log[WeekIndex],94))</f>
        <v/>
      </c>
      <c r="CR38" s="17">
        <f>IF(COUNTIFS(T_SelfStock_Log[Part Name],$A38,T_SelfStock_Log[WeekIndex],95)=0,"",SUMIFS(T_SelfStock_Log[Self_Qty],T_SelfStock_Log[Part Name],$A38,T_SelfStock_Log[WeekIndex],95))</f>
        <v/>
      </c>
      <c r="CS38" s="17">
        <f>IF(COUNTIFS(T_SelfStock_Log[Part Name],$A38,T_SelfStock_Log[WeekIndex],96)=0,"",SUMIFS(T_SelfStock_Log[Self_Qty],T_SelfStock_Log[Part Name],$A38,T_SelfStock_Log[WeekIndex],96))</f>
        <v/>
      </c>
      <c r="CT38" s="17">
        <f>IF(COUNTIFS(T_SelfStock_Log[Part Name],$A38,T_SelfStock_Log[WeekIndex],97)=0,"",SUMIFS(T_SelfStock_Log[Self_Qty],T_SelfStock_Log[Part Name],$A38,T_SelfStock_Log[WeekIndex],97))</f>
        <v/>
      </c>
      <c r="CU38" s="17">
        <f>IF(COUNTIFS(T_SelfStock_Log[Part Name],$A38,T_SelfStock_Log[WeekIndex],98)=0,"",SUMIFS(T_SelfStock_Log[Self_Qty],T_SelfStock_Log[Part Name],$A38,T_SelfStock_Log[WeekIndex],98))</f>
        <v/>
      </c>
      <c r="CV38" s="17">
        <f>IF(COUNTIFS(T_SelfStock_Log[Part Name],$A38,T_SelfStock_Log[WeekIndex],99)=0,"",SUMIFS(T_SelfStock_Log[Self_Qty],T_SelfStock_Log[Part Name],$A38,T_SelfStock_Log[WeekIndex],99))</f>
        <v/>
      </c>
      <c r="CW38" s="17">
        <f>IF(COUNTIFS(T_SelfStock_Log[Part Name],$A38,T_SelfStock_Log[WeekIndex],100)=0,"",SUMIFS(T_SelfStock_Log[Self_Qty],T_SelfStock_Log[Part Name],$A38,T_SelfStock_Log[WeekIndex],100))</f>
        <v/>
      </c>
      <c r="CX38" s="17">
        <f>IF(COUNTIFS(T_SelfStock_Log[Part Name],$A38,T_SelfStock_Log[WeekIndex],101)=0,"",SUMIFS(T_SelfStock_Log[Self_Qty],T_SelfStock_Log[Part Name],$A38,T_SelfStock_Log[WeekIndex],101))</f>
        <v/>
      </c>
      <c r="CY38" s="17">
        <f>IF(COUNTIFS(T_SelfStock_Log[Part Name],$A38,T_SelfStock_Log[WeekIndex],102)=0,"",SUMIFS(T_SelfStock_Log[Self_Qty],T_SelfStock_Log[Part Name],$A38,T_SelfStock_Log[WeekIndex],102))</f>
        <v/>
      </c>
      <c r="CZ38" s="17">
        <f>IF(COUNTIFS(T_SelfStock_Log[Part Name],$A38,T_SelfStock_Log[WeekIndex],103)=0,"",SUMIFS(T_SelfStock_Log[Self_Qty],T_SelfStock_Log[Part Name],$A38,T_SelfStock_Log[WeekIndex],103))</f>
        <v/>
      </c>
      <c r="DA38" s="17">
        <f>IF(COUNTIFS(T_SelfStock_Log[Part Name],$A38,T_SelfStock_Log[WeekIndex],104)=0,"",SUMIFS(T_SelfStock_Log[Self_Qty],T_SelfStock_Log[Part Name],$A38,T_SelfStock_Log[WeekIndex],104))</f>
        <v/>
      </c>
    </row>
    <row r="39">
      <c r="A39" s="19" t="inlineStr">
        <is>
          <t>CHEM-1660</t>
        </is>
      </c>
      <c r="B39" s="19">
        <f>IF(COUNTIFS(T_SelfStock_Log[Part Name],$A39,T_SelfStock_Log[WeekIndex],1)=0,"",SUMIFS(T_SelfStock_Log[Self_Qty],T_SelfStock_Log[Part Name],$A39,T_SelfStock_Log[WeekIndex],1))</f>
        <v/>
      </c>
      <c r="C39" s="19">
        <f>IF(COUNTIFS(T_SelfStock_Log[Part Name],$A39,T_SelfStock_Log[WeekIndex],2)=0,"",SUMIFS(T_SelfStock_Log[Self_Qty],T_SelfStock_Log[Part Name],$A39,T_SelfStock_Log[WeekIndex],2))</f>
        <v/>
      </c>
      <c r="D39" s="19">
        <f>IF(COUNTIFS(T_SelfStock_Log[Part Name],$A39,T_SelfStock_Log[WeekIndex],3)=0,"",SUMIFS(T_SelfStock_Log[Self_Qty],T_SelfStock_Log[Part Name],$A39,T_SelfStock_Log[WeekIndex],3))</f>
        <v/>
      </c>
      <c r="E39" s="19">
        <f>IF(COUNTIFS(T_SelfStock_Log[Part Name],$A39,T_SelfStock_Log[WeekIndex],4)=0,"",SUMIFS(T_SelfStock_Log[Self_Qty],T_SelfStock_Log[Part Name],$A39,T_SelfStock_Log[WeekIndex],4))</f>
        <v/>
      </c>
      <c r="F39" s="19">
        <f>IF(COUNTIFS(T_SelfStock_Log[Part Name],$A39,T_SelfStock_Log[WeekIndex],5)=0,"",SUMIFS(T_SelfStock_Log[Self_Qty],T_SelfStock_Log[Part Name],$A39,T_SelfStock_Log[WeekIndex],5))</f>
        <v/>
      </c>
      <c r="G39" s="19">
        <f>IF(COUNTIFS(T_SelfStock_Log[Part Name],$A39,T_SelfStock_Log[WeekIndex],6)=0,"",SUMIFS(T_SelfStock_Log[Self_Qty],T_SelfStock_Log[Part Name],$A39,T_SelfStock_Log[WeekIndex],6))</f>
        <v/>
      </c>
      <c r="H39" s="19">
        <f>IF(COUNTIFS(T_SelfStock_Log[Part Name],$A39,T_SelfStock_Log[WeekIndex],7)=0,"",SUMIFS(T_SelfStock_Log[Self_Qty],T_SelfStock_Log[Part Name],$A39,T_SelfStock_Log[WeekIndex],7))</f>
        <v/>
      </c>
      <c r="I39" s="19">
        <f>IF(COUNTIFS(T_SelfStock_Log[Part Name],$A39,T_SelfStock_Log[WeekIndex],8)=0,"",SUMIFS(T_SelfStock_Log[Self_Qty],T_SelfStock_Log[Part Name],$A39,T_SelfStock_Log[WeekIndex],8))</f>
        <v/>
      </c>
      <c r="J39" s="19">
        <f>IF(COUNTIFS(T_SelfStock_Log[Part Name],$A39,T_SelfStock_Log[WeekIndex],9)=0,"",SUMIFS(T_SelfStock_Log[Self_Qty],T_SelfStock_Log[Part Name],$A39,T_SelfStock_Log[WeekIndex],9))</f>
        <v/>
      </c>
      <c r="K39" s="19">
        <f>IF(COUNTIFS(T_SelfStock_Log[Part Name],$A39,T_SelfStock_Log[WeekIndex],10)=0,"",SUMIFS(T_SelfStock_Log[Self_Qty],T_SelfStock_Log[Part Name],$A39,T_SelfStock_Log[WeekIndex],10))</f>
        <v/>
      </c>
      <c r="L39" s="19">
        <f>IF(COUNTIFS(T_SelfStock_Log[Part Name],$A39,T_SelfStock_Log[WeekIndex],11)=0,"",SUMIFS(T_SelfStock_Log[Self_Qty],T_SelfStock_Log[Part Name],$A39,T_SelfStock_Log[WeekIndex],11))</f>
        <v/>
      </c>
      <c r="M39" s="19">
        <f>IF(COUNTIFS(T_SelfStock_Log[Part Name],$A39,T_SelfStock_Log[WeekIndex],12)=0,"",SUMIFS(T_SelfStock_Log[Self_Qty],T_SelfStock_Log[Part Name],$A39,T_SelfStock_Log[WeekIndex],12))</f>
        <v/>
      </c>
      <c r="N39" s="19">
        <f>IF(COUNTIFS(T_SelfStock_Log[Part Name],$A39,T_SelfStock_Log[WeekIndex],13)=0,"",SUMIFS(T_SelfStock_Log[Self_Qty],T_SelfStock_Log[Part Name],$A39,T_SelfStock_Log[WeekIndex],13))</f>
        <v/>
      </c>
      <c r="O39" s="19">
        <f>IF(COUNTIFS(T_SelfStock_Log[Part Name],$A39,T_SelfStock_Log[WeekIndex],14)=0,"",SUMIFS(T_SelfStock_Log[Self_Qty],T_SelfStock_Log[Part Name],$A39,T_SelfStock_Log[WeekIndex],14))</f>
        <v/>
      </c>
      <c r="P39" s="19">
        <f>IF(COUNTIFS(T_SelfStock_Log[Part Name],$A39,T_SelfStock_Log[WeekIndex],15)=0,"",SUMIFS(T_SelfStock_Log[Self_Qty],T_SelfStock_Log[Part Name],$A39,T_SelfStock_Log[WeekIndex],15))</f>
        <v/>
      </c>
      <c r="Q39" s="19">
        <f>IF(COUNTIFS(T_SelfStock_Log[Part Name],$A39,T_SelfStock_Log[WeekIndex],16)=0,"",SUMIFS(T_SelfStock_Log[Self_Qty],T_SelfStock_Log[Part Name],$A39,T_SelfStock_Log[WeekIndex],16))</f>
        <v/>
      </c>
      <c r="R39" s="19">
        <f>IF(COUNTIFS(T_SelfStock_Log[Part Name],$A39,T_SelfStock_Log[WeekIndex],17)=0,"",SUMIFS(T_SelfStock_Log[Self_Qty],T_SelfStock_Log[Part Name],$A39,T_SelfStock_Log[WeekIndex],17))</f>
        <v/>
      </c>
      <c r="S39" s="19">
        <f>IF(COUNTIFS(T_SelfStock_Log[Part Name],$A39,T_SelfStock_Log[WeekIndex],18)=0,"",SUMIFS(T_SelfStock_Log[Self_Qty],T_SelfStock_Log[Part Name],$A39,T_SelfStock_Log[WeekIndex],18))</f>
        <v/>
      </c>
      <c r="T39" s="19">
        <f>IF(COUNTIFS(T_SelfStock_Log[Part Name],$A39,T_SelfStock_Log[WeekIndex],19)=0,"",SUMIFS(T_SelfStock_Log[Self_Qty],T_SelfStock_Log[Part Name],$A39,T_SelfStock_Log[WeekIndex],19))</f>
        <v/>
      </c>
      <c r="U39" s="19">
        <f>IF(COUNTIFS(T_SelfStock_Log[Part Name],$A39,T_SelfStock_Log[WeekIndex],20)=0,"",SUMIFS(T_SelfStock_Log[Self_Qty],T_SelfStock_Log[Part Name],$A39,T_SelfStock_Log[WeekIndex],20))</f>
        <v/>
      </c>
      <c r="V39" s="19">
        <f>IF(COUNTIFS(T_SelfStock_Log[Part Name],$A39,T_SelfStock_Log[WeekIndex],21)=0,"",SUMIFS(T_SelfStock_Log[Self_Qty],T_SelfStock_Log[Part Name],$A39,T_SelfStock_Log[WeekIndex],21))</f>
        <v/>
      </c>
      <c r="W39" s="19">
        <f>IF(COUNTIFS(T_SelfStock_Log[Part Name],$A39,T_SelfStock_Log[WeekIndex],22)=0,"",SUMIFS(T_SelfStock_Log[Self_Qty],T_SelfStock_Log[Part Name],$A39,T_SelfStock_Log[WeekIndex],22))</f>
        <v/>
      </c>
      <c r="X39" s="19">
        <f>IF(COUNTIFS(T_SelfStock_Log[Part Name],$A39,T_SelfStock_Log[WeekIndex],23)=0,"",SUMIFS(T_SelfStock_Log[Self_Qty],T_SelfStock_Log[Part Name],$A39,T_SelfStock_Log[WeekIndex],23))</f>
        <v/>
      </c>
      <c r="Y39" s="19">
        <f>IF(COUNTIFS(T_SelfStock_Log[Part Name],$A39,T_SelfStock_Log[WeekIndex],24)=0,"",SUMIFS(T_SelfStock_Log[Self_Qty],T_SelfStock_Log[Part Name],$A39,T_SelfStock_Log[WeekIndex],24))</f>
        <v/>
      </c>
      <c r="Z39" s="19">
        <f>IF(COUNTIFS(T_SelfStock_Log[Part Name],$A39,T_SelfStock_Log[WeekIndex],25)=0,"",SUMIFS(T_SelfStock_Log[Self_Qty],T_SelfStock_Log[Part Name],$A39,T_SelfStock_Log[WeekIndex],25))</f>
        <v/>
      </c>
      <c r="AA39" s="19">
        <f>IF(COUNTIFS(T_SelfStock_Log[Part Name],$A39,T_SelfStock_Log[WeekIndex],26)=0,"",SUMIFS(T_SelfStock_Log[Self_Qty],T_SelfStock_Log[Part Name],$A39,T_SelfStock_Log[WeekIndex],26))</f>
        <v/>
      </c>
      <c r="AB39" s="19">
        <f>IF(COUNTIFS(T_SelfStock_Log[Part Name],$A39,T_SelfStock_Log[WeekIndex],27)=0,"",SUMIFS(T_SelfStock_Log[Self_Qty],T_SelfStock_Log[Part Name],$A39,T_SelfStock_Log[WeekIndex],27))</f>
        <v/>
      </c>
      <c r="AC39" s="19">
        <f>IF(COUNTIFS(T_SelfStock_Log[Part Name],$A39,T_SelfStock_Log[WeekIndex],28)=0,"",SUMIFS(T_SelfStock_Log[Self_Qty],T_SelfStock_Log[Part Name],$A39,T_SelfStock_Log[WeekIndex],28))</f>
        <v/>
      </c>
      <c r="AD39" s="19">
        <f>IF(COUNTIFS(T_SelfStock_Log[Part Name],$A39,T_SelfStock_Log[WeekIndex],29)=0,"",SUMIFS(T_SelfStock_Log[Self_Qty],T_SelfStock_Log[Part Name],$A39,T_SelfStock_Log[WeekIndex],29))</f>
        <v/>
      </c>
      <c r="AE39" s="19">
        <f>IF(COUNTIFS(T_SelfStock_Log[Part Name],$A39,T_SelfStock_Log[WeekIndex],30)=0,"",SUMIFS(T_SelfStock_Log[Self_Qty],T_SelfStock_Log[Part Name],$A39,T_SelfStock_Log[WeekIndex],30))</f>
        <v/>
      </c>
      <c r="AF39" s="19">
        <f>IF(COUNTIFS(T_SelfStock_Log[Part Name],$A39,T_SelfStock_Log[WeekIndex],31)=0,"",SUMIFS(T_SelfStock_Log[Self_Qty],T_SelfStock_Log[Part Name],$A39,T_SelfStock_Log[WeekIndex],31))</f>
        <v/>
      </c>
      <c r="AG39" s="19">
        <f>IF(COUNTIFS(T_SelfStock_Log[Part Name],$A39,T_SelfStock_Log[WeekIndex],32)=0,"",SUMIFS(T_SelfStock_Log[Self_Qty],T_SelfStock_Log[Part Name],$A39,T_SelfStock_Log[WeekIndex],32))</f>
        <v/>
      </c>
      <c r="AH39" s="19">
        <f>IF(COUNTIFS(T_SelfStock_Log[Part Name],$A39,T_SelfStock_Log[WeekIndex],33)=0,"",SUMIFS(T_SelfStock_Log[Self_Qty],T_SelfStock_Log[Part Name],$A39,T_SelfStock_Log[WeekIndex],33))</f>
        <v/>
      </c>
      <c r="AI39" s="19">
        <f>IF(COUNTIFS(T_SelfStock_Log[Part Name],$A39,T_SelfStock_Log[WeekIndex],34)=0,"",SUMIFS(T_SelfStock_Log[Self_Qty],T_SelfStock_Log[Part Name],$A39,T_SelfStock_Log[WeekIndex],34))</f>
        <v/>
      </c>
      <c r="AJ39" s="19">
        <f>IF(COUNTIFS(T_SelfStock_Log[Part Name],$A39,T_SelfStock_Log[WeekIndex],35)=0,"",SUMIFS(T_SelfStock_Log[Self_Qty],T_SelfStock_Log[Part Name],$A39,T_SelfStock_Log[WeekIndex],35))</f>
        <v/>
      </c>
      <c r="AK39" s="19">
        <f>IF(COUNTIFS(T_SelfStock_Log[Part Name],$A39,T_SelfStock_Log[WeekIndex],36)=0,"",SUMIFS(T_SelfStock_Log[Self_Qty],T_SelfStock_Log[Part Name],$A39,T_SelfStock_Log[WeekIndex],36))</f>
        <v/>
      </c>
      <c r="AL39" s="19">
        <f>IF(COUNTIFS(T_SelfStock_Log[Part Name],$A39,T_SelfStock_Log[WeekIndex],37)=0,"",SUMIFS(T_SelfStock_Log[Self_Qty],T_SelfStock_Log[Part Name],$A39,T_SelfStock_Log[WeekIndex],37))</f>
        <v/>
      </c>
      <c r="AM39" s="19">
        <f>IF(COUNTIFS(T_SelfStock_Log[Part Name],$A39,T_SelfStock_Log[WeekIndex],38)=0,"",SUMIFS(T_SelfStock_Log[Self_Qty],T_SelfStock_Log[Part Name],$A39,T_SelfStock_Log[WeekIndex],38))</f>
        <v/>
      </c>
      <c r="AN39" s="19">
        <f>IF(COUNTIFS(T_SelfStock_Log[Part Name],$A39,T_SelfStock_Log[WeekIndex],39)=0,"",SUMIFS(T_SelfStock_Log[Self_Qty],T_SelfStock_Log[Part Name],$A39,T_SelfStock_Log[WeekIndex],39))</f>
        <v/>
      </c>
      <c r="AO39" s="19">
        <f>IF(COUNTIFS(T_SelfStock_Log[Part Name],$A39,T_SelfStock_Log[WeekIndex],40)=0,"",SUMIFS(T_SelfStock_Log[Self_Qty],T_SelfStock_Log[Part Name],$A39,T_SelfStock_Log[WeekIndex],40))</f>
        <v/>
      </c>
      <c r="AP39" s="19">
        <f>IF(COUNTIFS(T_SelfStock_Log[Part Name],$A39,T_SelfStock_Log[WeekIndex],41)=0,"",SUMIFS(T_SelfStock_Log[Self_Qty],T_SelfStock_Log[Part Name],$A39,T_SelfStock_Log[WeekIndex],41))</f>
        <v/>
      </c>
      <c r="AQ39" s="19">
        <f>IF(COUNTIFS(T_SelfStock_Log[Part Name],$A39,T_SelfStock_Log[WeekIndex],42)=0,"",SUMIFS(T_SelfStock_Log[Self_Qty],T_SelfStock_Log[Part Name],$A39,T_SelfStock_Log[WeekIndex],42))</f>
        <v/>
      </c>
      <c r="AR39" s="19">
        <f>IF(COUNTIFS(T_SelfStock_Log[Part Name],$A39,T_SelfStock_Log[WeekIndex],43)=0,"",SUMIFS(T_SelfStock_Log[Self_Qty],T_SelfStock_Log[Part Name],$A39,T_SelfStock_Log[WeekIndex],43))</f>
        <v/>
      </c>
      <c r="AS39" s="19">
        <f>IF(COUNTIFS(T_SelfStock_Log[Part Name],$A39,T_SelfStock_Log[WeekIndex],44)=0,"",SUMIFS(T_SelfStock_Log[Self_Qty],T_SelfStock_Log[Part Name],$A39,T_SelfStock_Log[WeekIndex],44))</f>
        <v/>
      </c>
      <c r="AT39" s="19">
        <f>IF(COUNTIFS(T_SelfStock_Log[Part Name],$A39,T_SelfStock_Log[WeekIndex],45)=0,"",SUMIFS(T_SelfStock_Log[Self_Qty],T_SelfStock_Log[Part Name],$A39,T_SelfStock_Log[WeekIndex],45))</f>
        <v/>
      </c>
      <c r="AU39" s="19">
        <f>IF(COUNTIFS(T_SelfStock_Log[Part Name],$A39,T_SelfStock_Log[WeekIndex],46)=0,"",SUMIFS(T_SelfStock_Log[Self_Qty],T_SelfStock_Log[Part Name],$A39,T_SelfStock_Log[WeekIndex],46))</f>
        <v/>
      </c>
      <c r="AV39" s="19">
        <f>IF(COUNTIFS(T_SelfStock_Log[Part Name],$A39,T_SelfStock_Log[WeekIndex],47)=0,"",SUMIFS(T_SelfStock_Log[Self_Qty],T_SelfStock_Log[Part Name],$A39,T_SelfStock_Log[WeekIndex],47))</f>
        <v/>
      </c>
      <c r="AW39" s="19">
        <f>IF(COUNTIFS(T_SelfStock_Log[Part Name],$A39,T_SelfStock_Log[WeekIndex],48)=0,"",SUMIFS(T_SelfStock_Log[Self_Qty],T_SelfStock_Log[Part Name],$A39,T_SelfStock_Log[WeekIndex],48))</f>
        <v/>
      </c>
      <c r="AX39" s="19">
        <f>IF(COUNTIFS(T_SelfStock_Log[Part Name],$A39,T_SelfStock_Log[WeekIndex],49)=0,"",SUMIFS(T_SelfStock_Log[Self_Qty],T_SelfStock_Log[Part Name],$A39,T_SelfStock_Log[WeekIndex],49))</f>
        <v/>
      </c>
      <c r="AY39" s="19">
        <f>IF(COUNTIFS(T_SelfStock_Log[Part Name],$A39,T_SelfStock_Log[WeekIndex],50)=0,"",SUMIFS(T_SelfStock_Log[Self_Qty],T_SelfStock_Log[Part Name],$A39,T_SelfStock_Log[WeekIndex],50))</f>
        <v/>
      </c>
      <c r="AZ39" s="19">
        <f>IF(COUNTIFS(T_SelfStock_Log[Part Name],$A39,T_SelfStock_Log[WeekIndex],51)=0,"",SUMIFS(T_SelfStock_Log[Self_Qty],T_SelfStock_Log[Part Name],$A39,T_SelfStock_Log[WeekIndex],51))</f>
        <v/>
      </c>
      <c r="BA39" s="19">
        <f>IF(COUNTIFS(T_SelfStock_Log[Part Name],$A39,T_SelfStock_Log[WeekIndex],52)=0,"",SUMIFS(T_SelfStock_Log[Self_Qty],T_SelfStock_Log[Part Name],$A39,T_SelfStock_Log[WeekIndex],52))</f>
        <v/>
      </c>
      <c r="BB39" s="19">
        <f>IF(COUNTIFS(T_SelfStock_Log[Part Name],$A39,T_SelfStock_Log[WeekIndex],53)=0,"",SUMIFS(T_SelfStock_Log[Self_Qty],T_SelfStock_Log[Part Name],$A39,T_SelfStock_Log[WeekIndex],53))</f>
        <v/>
      </c>
      <c r="BC39" s="19">
        <f>IF(COUNTIFS(T_SelfStock_Log[Part Name],$A39,T_SelfStock_Log[WeekIndex],54)=0,"",SUMIFS(T_SelfStock_Log[Self_Qty],T_SelfStock_Log[Part Name],$A39,T_SelfStock_Log[WeekIndex],54))</f>
        <v/>
      </c>
      <c r="BD39" s="19">
        <f>IF(COUNTIFS(T_SelfStock_Log[Part Name],$A39,T_SelfStock_Log[WeekIndex],55)=0,"",SUMIFS(T_SelfStock_Log[Self_Qty],T_SelfStock_Log[Part Name],$A39,T_SelfStock_Log[WeekIndex],55))</f>
        <v/>
      </c>
      <c r="BE39" s="19">
        <f>IF(COUNTIFS(T_SelfStock_Log[Part Name],$A39,T_SelfStock_Log[WeekIndex],56)=0,"",SUMIFS(T_SelfStock_Log[Self_Qty],T_SelfStock_Log[Part Name],$A39,T_SelfStock_Log[WeekIndex],56))</f>
        <v/>
      </c>
      <c r="BF39" s="19">
        <f>IF(COUNTIFS(T_SelfStock_Log[Part Name],$A39,T_SelfStock_Log[WeekIndex],57)=0,"",SUMIFS(T_SelfStock_Log[Self_Qty],T_SelfStock_Log[Part Name],$A39,T_SelfStock_Log[WeekIndex],57))</f>
        <v/>
      </c>
      <c r="BG39" s="19">
        <f>IF(COUNTIFS(T_SelfStock_Log[Part Name],$A39,T_SelfStock_Log[WeekIndex],58)=0,"",SUMIFS(T_SelfStock_Log[Self_Qty],T_SelfStock_Log[Part Name],$A39,T_SelfStock_Log[WeekIndex],58))</f>
        <v/>
      </c>
      <c r="BH39" s="19">
        <f>IF(COUNTIFS(T_SelfStock_Log[Part Name],$A39,T_SelfStock_Log[WeekIndex],59)=0,"",SUMIFS(T_SelfStock_Log[Self_Qty],T_SelfStock_Log[Part Name],$A39,T_SelfStock_Log[WeekIndex],59))</f>
        <v/>
      </c>
      <c r="BI39" s="19">
        <f>IF(COUNTIFS(T_SelfStock_Log[Part Name],$A39,T_SelfStock_Log[WeekIndex],60)=0,"",SUMIFS(T_SelfStock_Log[Self_Qty],T_SelfStock_Log[Part Name],$A39,T_SelfStock_Log[WeekIndex],60))</f>
        <v/>
      </c>
      <c r="BJ39" s="19">
        <f>IF(COUNTIFS(T_SelfStock_Log[Part Name],$A39,T_SelfStock_Log[WeekIndex],61)=0,"",SUMIFS(T_SelfStock_Log[Self_Qty],T_SelfStock_Log[Part Name],$A39,T_SelfStock_Log[WeekIndex],61))</f>
        <v/>
      </c>
      <c r="BK39" s="19">
        <f>IF(COUNTIFS(T_SelfStock_Log[Part Name],$A39,T_SelfStock_Log[WeekIndex],62)=0,"",SUMIFS(T_SelfStock_Log[Self_Qty],T_SelfStock_Log[Part Name],$A39,T_SelfStock_Log[WeekIndex],62))</f>
        <v/>
      </c>
      <c r="BL39" s="19">
        <f>IF(COUNTIFS(T_SelfStock_Log[Part Name],$A39,T_SelfStock_Log[WeekIndex],63)=0,"",SUMIFS(T_SelfStock_Log[Self_Qty],T_SelfStock_Log[Part Name],$A39,T_SelfStock_Log[WeekIndex],63))</f>
        <v/>
      </c>
      <c r="BM39" s="19">
        <f>IF(COUNTIFS(T_SelfStock_Log[Part Name],$A39,T_SelfStock_Log[WeekIndex],64)=0,"",SUMIFS(T_SelfStock_Log[Self_Qty],T_SelfStock_Log[Part Name],$A39,T_SelfStock_Log[WeekIndex],64))</f>
        <v/>
      </c>
      <c r="BN39" s="19">
        <f>IF(COUNTIFS(T_SelfStock_Log[Part Name],$A39,T_SelfStock_Log[WeekIndex],65)=0,"",SUMIFS(T_SelfStock_Log[Self_Qty],T_SelfStock_Log[Part Name],$A39,T_SelfStock_Log[WeekIndex],65))</f>
        <v/>
      </c>
      <c r="BO39" s="19">
        <f>IF(COUNTIFS(T_SelfStock_Log[Part Name],$A39,T_SelfStock_Log[WeekIndex],66)=0,"",SUMIFS(T_SelfStock_Log[Self_Qty],T_SelfStock_Log[Part Name],$A39,T_SelfStock_Log[WeekIndex],66))</f>
        <v/>
      </c>
      <c r="BP39" s="19">
        <f>IF(COUNTIFS(T_SelfStock_Log[Part Name],$A39,T_SelfStock_Log[WeekIndex],67)=0,"",SUMIFS(T_SelfStock_Log[Self_Qty],T_SelfStock_Log[Part Name],$A39,T_SelfStock_Log[WeekIndex],67))</f>
        <v/>
      </c>
      <c r="BQ39" s="19">
        <f>IF(COUNTIFS(T_SelfStock_Log[Part Name],$A39,T_SelfStock_Log[WeekIndex],68)=0,"",SUMIFS(T_SelfStock_Log[Self_Qty],T_SelfStock_Log[Part Name],$A39,T_SelfStock_Log[WeekIndex],68))</f>
        <v/>
      </c>
      <c r="BR39" s="19">
        <f>IF(COUNTIFS(T_SelfStock_Log[Part Name],$A39,T_SelfStock_Log[WeekIndex],69)=0,"",SUMIFS(T_SelfStock_Log[Self_Qty],T_SelfStock_Log[Part Name],$A39,T_SelfStock_Log[WeekIndex],69))</f>
        <v/>
      </c>
      <c r="BS39" s="19">
        <f>IF(COUNTIFS(T_SelfStock_Log[Part Name],$A39,T_SelfStock_Log[WeekIndex],70)=0,"",SUMIFS(T_SelfStock_Log[Self_Qty],T_SelfStock_Log[Part Name],$A39,T_SelfStock_Log[WeekIndex],70))</f>
        <v/>
      </c>
      <c r="BT39" s="19">
        <f>IF(COUNTIFS(T_SelfStock_Log[Part Name],$A39,T_SelfStock_Log[WeekIndex],71)=0,"",SUMIFS(T_SelfStock_Log[Self_Qty],T_SelfStock_Log[Part Name],$A39,T_SelfStock_Log[WeekIndex],71))</f>
        <v/>
      </c>
      <c r="BU39" s="19">
        <f>IF(COUNTIFS(T_SelfStock_Log[Part Name],$A39,T_SelfStock_Log[WeekIndex],72)=0,"",SUMIFS(T_SelfStock_Log[Self_Qty],T_SelfStock_Log[Part Name],$A39,T_SelfStock_Log[WeekIndex],72))</f>
        <v/>
      </c>
      <c r="BV39" s="19">
        <f>IF(COUNTIFS(T_SelfStock_Log[Part Name],$A39,T_SelfStock_Log[WeekIndex],73)=0,"",SUMIFS(T_SelfStock_Log[Self_Qty],T_SelfStock_Log[Part Name],$A39,T_SelfStock_Log[WeekIndex],73))</f>
        <v/>
      </c>
      <c r="BW39" s="19">
        <f>IF(COUNTIFS(T_SelfStock_Log[Part Name],$A39,T_SelfStock_Log[WeekIndex],74)=0,"",SUMIFS(T_SelfStock_Log[Self_Qty],T_SelfStock_Log[Part Name],$A39,T_SelfStock_Log[WeekIndex],74))</f>
        <v/>
      </c>
      <c r="BX39" s="19">
        <f>IF(COUNTIFS(T_SelfStock_Log[Part Name],$A39,T_SelfStock_Log[WeekIndex],75)=0,"",SUMIFS(T_SelfStock_Log[Self_Qty],T_SelfStock_Log[Part Name],$A39,T_SelfStock_Log[WeekIndex],75))</f>
        <v/>
      </c>
      <c r="BY39" s="19">
        <f>IF(COUNTIFS(T_SelfStock_Log[Part Name],$A39,T_SelfStock_Log[WeekIndex],76)=0,"",SUMIFS(T_SelfStock_Log[Self_Qty],T_SelfStock_Log[Part Name],$A39,T_SelfStock_Log[WeekIndex],76))</f>
        <v/>
      </c>
      <c r="BZ39" s="19">
        <f>IF(COUNTIFS(T_SelfStock_Log[Part Name],$A39,T_SelfStock_Log[WeekIndex],77)=0,"",SUMIFS(T_SelfStock_Log[Self_Qty],T_SelfStock_Log[Part Name],$A39,T_SelfStock_Log[WeekIndex],77))</f>
        <v/>
      </c>
      <c r="CA39" s="19">
        <f>IF(COUNTIFS(T_SelfStock_Log[Part Name],$A39,T_SelfStock_Log[WeekIndex],78)=0,"",SUMIFS(T_SelfStock_Log[Self_Qty],T_SelfStock_Log[Part Name],$A39,T_SelfStock_Log[WeekIndex],78))</f>
        <v/>
      </c>
      <c r="CB39" s="19">
        <f>IF(COUNTIFS(T_SelfStock_Log[Part Name],$A39,T_SelfStock_Log[WeekIndex],79)=0,"",SUMIFS(T_SelfStock_Log[Self_Qty],T_SelfStock_Log[Part Name],$A39,T_SelfStock_Log[WeekIndex],79))</f>
        <v/>
      </c>
      <c r="CC39" s="19">
        <f>IF(COUNTIFS(T_SelfStock_Log[Part Name],$A39,T_SelfStock_Log[WeekIndex],80)=0,"",SUMIFS(T_SelfStock_Log[Self_Qty],T_SelfStock_Log[Part Name],$A39,T_SelfStock_Log[WeekIndex],80))</f>
        <v/>
      </c>
      <c r="CD39" s="19">
        <f>IF(COUNTIFS(T_SelfStock_Log[Part Name],$A39,T_SelfStock_Log[WeekIndex],81)=0,"",SUMIFS(T_SelfStock_Log[Self_Qty],T_SelfStock_Log[Part Name],$A39,T_SelfStock_Log[WeekIndex],81))</f>
        <v/>
      </c>
      <c r="CE39" s="19">
        <f>IF(COUNTIFS(T_SelfStock_Log[Part Name],$A39,T_SelfStock_Log[WeekIndex],82)=0,"",SUMIFS(T_SelfStock_Log[Self_Qty],T_SelfStock_Log[Part Name],$A39,T_SelfStock_Log[WeekIndex],82))</f>
        <v/>
      </c>
      <c r="CF39" s="19">
        <f>IF(COUNTIFS(T_SelfStock_Log[Part Name],$A39,T_SelfStock_Log[WeekIndex],83)=0,"",SUMIFS(T_SelfStock_Log[Self_Qty],T_SelfStock_Log[Part Name],$A39,T_SelfStock_Log[WeekIndex],83))</f>
        <v/>
      </c>
      <c r="CG39" s="19">
        <f>IF(COUNTIFS(T_SelfStock_Log[Part Name],$A39,T_SelfStock_Log[WeekIndex],84)=0,"",SUMIFS(T_SelfStock_Log[Self_Qty],T_SelfStock_Log[Part Name],$A39,T_SelfStock_Log[WeekIndex],84))</f>
        <v/>
      </c>
      <c r="CH39" s="19">
        <f>IF(COUNTIFS(T_SelfStock_Log[Part Name],$A39,T_SelfStock_Log[WeekIndex],85)=0,"",SUMIFS(T_SelfStock_Log[Self_Qty],T_SelfStock_Log[Part Name],$A39,T_SelfStock_Log[WeekIndex],85))</f>
        <v/>
      </c>
      <c r="CI39" s="19">
        <f>IF(COUNTIFS(T_SelfStock_Log[Part Name],$A39,T_SelfStock_Log[WeekIndex],86)=0,"",SUMIFS(T_SelfStock_Log[Self_Qty],T_SelfStock_Log[Part Name],$A39,T_SelfStock_Log[WeekIndex],86))</f>
        <v/>
      </c>
      <c r="CJ39" s="19">
        <f>IF(COUNTIFS(T_SelfStock_Log[Part Name],$A39,T_SelfStock_Log[WeekIndex],87)=0,"",SUMIFS(T_SelfStock_Log[Self_Qty],T_SelfStock_Log[Part Name],$A39,T_SelfStock_Log[WeekIndex],87))</f>
        <v/>
      </c>
      <c r="CK39" s="19">
        <f>IF(COUNTIFS(T_SelfStock_Log[Part Name],$A39,T_SelfStock_Log[WeekIndex],88)=0,"",SUMIFS(T_SelfStock_Log[Self_Qty],T_SelfStock_Log[Part Name],$A39,T_SelfStock_Log[WeekIndex],88))</f>
        <v/>
      </c>
      <c r="CL39" s="19">
        <f>IF(COUNTIFS(T_SelfStock_Log[Part Name],$A39,T_SelfStock_Log[WeekIndex],89)=0,"",SUMIFS(T_SelfStock_Log[Self_Qty],T_SelfStock_Log[Part Name],$A39,T_SelfStock_Log[WeekIndex],89))</f>
        <v/>
      </c>
      <c r="CM39" s="19">
        <f>IF(COUNTIFS(T_SelfStock_Log[Part Name],$A39,T_SelfStock_Log[WeekIndex],90)=0,"",SUMIFS(T_SelfStock_Log[Self_Qty],T_SelfStock_Log[Part Name],$A39,T_SelfStock_Log[WeekIndex],90))</f>
        <v/>
      </c>
      <c r="CN39" s="19">
        <f>IF(COUNTIFS(T_SelfStock_Log[Part Name],$A39,T_SelfStock_Log[WeekIndex],91)=0,"",SUMIFS(T_SelfStock_Log[Self_Qty],T_SelfStock_Log[Part Name],$A39,T_SelfStock_Log[WeekIndex],91))</f>
        <v/>
      </c>
      <c r="CO39" s="19">
        <f>IF(COUNTIFS(T_SelfStock_Log[Part Name],$A39,T_SelfStock_Log[WeekIndex],92)=0,"",SUMIFS(T_SelfStock_Log[Self_Qty],T_SelfStock_Log[Part Name],$A39,T_SelfStock_Log[WeekIndex],92))</f>
        <v/>
      </c>
      <c r="CP39" s="19">
        <f>IF(COUNTIFS(T_SelfStock_Log[Part Name],$A39,T_SelfStock_Log[WeekIndex],93)=0,"",SUMIFS(T_SelfStock_Log[Self_Qty],T_SelfStock_Log[Part Name],$A39,T_SelfStock_Log[WeekIndex],93))</f>
        <v/>
      </c>
      <c r="CQ39" s="19">
        <f>IF(COUNTIFS(T_SelfStock_Log[Part Name],$A39,T_SelfStock_Log[WeekIndex],94)=0,"",SUMIFS(T_SelfStock_Log[Self_Qty],T_SelfStock_Log[Part Name],$A39,T_SelfStock_Log[WeekIndex],94))</f>
        <v/>
      </c>
      <c r="CR39" s="19">
        <f>IF(COUNTIFS(T_SelfStock_Log[Part Name],$A39,T_SelfStock_Log[WeekIndex],95)=0,"",SUMIFS(T_SelfStock_Log[Self_Qty],T_SelfStock_Log[Part Name],$A39,T_SelfStock_Log[WeekIndex],95))</f>
        <v/>
      </c>
      <c r="CS39" s="19">
        <f>IF(COUNTIFS(T_SelfStock_Log[Part Name],$A39,T_SelfStock_Log[WeekIndex],96)=0,"",SUMIFS(T_SelfStock_Log[Self_Qty],T_SelfStock_Log[Part Name],$A39,T_SelfStock_Log[WeekIndex],96))</f>
        <v/>
      </c>
      <c r="CT39" s="19">
        <f>IF(COUNTIFS(T_SelfStock_Log[Part Name],$A39,T_SelfStock_Log[WeekIndex],97)=0,"",SUMIFS(T_SelfStock_Log[Self_Qty],T_SelfStock_Log[Part Name],$A39,T_SelfStock_Log[WeekIndex],97))</f>
        <v/>
      </c>
      <c r="CU39" s="19">
        <f>IF(COUNTIFS(T_SelfStock_Log[Part Name],$A39,T_SelfStock_Log[WeekIndex],98)=0,"",SUMIFS(T_SelfStock_Log[Self_Qty],T_SelfStock_Log[Part Name],$A39,T_SelfStock_Log[WeekIndex],98))</f>
        <v/>
      </c>
      <c r="CV39" s="19">
        <f>IF(COUNTIFS(T_SelfStock_Log[Part Name],$A39,T_SelfStock_Log[WeekIndex],99)=0,"",SUMIFS(T_SelfStock_Log[Self_Qty],T_SelfStock_Log[Part Name],$A39,T_SelfStock_Log[WeekIndex],99))</f>
        <v/>
      </c>
      <c r="CW39" s="19">
        <f>IF(COUNTIFS(T_SelfStock_Log[Part Name],$A39,T_SelfStock_Log[WeekIndex],100)=0,"",SUMIFS(T_SelfStock_Log[Self_Qty],T_SelfStock_Log[Part Name],$A39,T_SelfStock_Log[WeekIndex],100))</f>
        <v/>
      </c>
      <c r="CX39" s="19">
        <f>IF(COUNTIFS(T_SelfStock_Log[Part Name],$A39,T_SelfStock_Log[WeekIndex],101)=0,"",SUMIFS(T_SelfStock_Log[Self_Qty],T_SelfStock_Log[Part Name],$A39,T_SelfStock_Log[WeekIndex],101))</f>
        <v/>
      </c>
      <c r="CY39" s="19">
        <f>IF(COUNTIFS(T_SelfStock_Log[Part Name],$A39,T_SelfStock_Log[WeekIndex],102)=0,"",SUMIFS(T_SelfStock_Log[Self_Qty],T_SelfStock_Log[Part Name],$A39,T_SelfStock_Log[WeekIndex],102))</f>
        <v/>
      </c>
      <c r="CZ39" s="19">
        <f>IF(COUNTIFS(T_SelfStock_Log[Part Name],$A39,T_SelfStock_Log[WeekIndex],103)=0,"",SUMIFS(T_SelfStock_Log[Self_Qty],T_SelfStock_Log[Part Name],$A39,T_SelfStock_Log[WeekIndex],103))</f>
        <v/>
      </c>
      <c r="DA39" s="19">
        <f>IF(COUNTIFS(T_SelfStock_Log[Part Name],$A39,T_SelfStock_Log[WeekIndex],104)=0,"",SUMIFS(T_SelfStock_Log[Self_Qty],T_SelfStock_Log[Part Name],$A39,T_SelfStock_Log[WeekIndex],104))</f>
        <v/>
      </c>
    </row>
    <row r="40">
      <c r="A40" s="17" t="inlineStr">
        <is>
          <t>CHEM-1420</t>
        </is>
      </c>
      <c r="B40" s="17">
        <f>IF(COUNTIFS(T_SelfStock_Log[Part Name],$A40,T_SelfStock_Log[WeekIndex],1)=0,"",SUMIFS(T_SelfStock_Log[Self_Qty],T_SelfStock_Log[Part Name],$A40,T_SelfStock_Log[WeekIndex],1))</f>
        <v/>
      </c>
      <c r="C40" s="17">
        <f>IF(COUNTIFS(T_SelfStock_Log[Part Name],$A40,T_SelfStock_Log[WeekIndex],2)=0,"",SUMIFS(T_SelfStock_Log[Self_Qty],T_SelfStock_Log[Part Name],$A40,T_SelfStock_Log[WeekIndex],2))</f>
        <v/>
      </c>
      <c r="D40" s="17">
        <f>IF(COUNTIFS(T_SelfStock_Log[Part Name],$A40,T_SelfStock_Log[WeekIndex],3)=0,"",SUMIFS(T_SelfStock_Log[Self_Qty],T_SelfStock_Log[Part Name],$A40,T_SelfStock_Log[WeekIndex],3))</f>
        <v/>
      </c>
      <c r="E40" s="17">
        <f>IF(COUNTIFS(T_SelfStock_Log[Part Name],$A40,T_SelfStock_Log[WeekIndex],4)=0,"",SUMIFS(T_SelfStock_Log[Self_Qty],T_SelfStock_Log[Part Name],$A40,T_SelfStock_Log[WeekIndex],4))</f>
        <v/>
      </c>
      <c r="F40" s="17">
        <f>IF(COUNTIFS(T_SelfStock_Log[Part Name],$A40,T_SelfStock_Log[WeekIndex],5)=0,"",SUMIFS(T_SelfStock_Log[Self_Qty],T_SelfStock_Log[Part Name],$A40,T_SelfStock_Log[WeekIndex],5))</f>
        <v/>
      </c>
      <c r="G40" s="17">
        <f>IF(COUNTIFS(T_SelfStock_Log[Part Name],$A40,T_SelfStock_Log[WeekIndex],6)=0,"",SUMIFS(T_SelfStock_Log[Self_Qty],T_SelfStock_Log[Part Name],$A40,T_SelfStock_Log[WeekIndex],6))</f>
        <v/>
      </c>
      <c r="H40" s="17">
        <f>IF(COUNTIFS(T_SelfStock_Log[Part Name],$A40,T_SelfStock_Log[WeekIndex],7)=0,"",SUMIFS(T_SelfStock_Log[Self_Qty],T_SelfStock_Log[Part Name],$A40,T_SelfStock_Log[WeekIndex],7))</f>
        <v/>
      </c>
      <c r="I40" s="17">
        <f>IF(COUNTIFS(T_SelfStock_Log[Part Name],$A40,T_SelfStock_Log[WeekIndex],8)=0,"",SUMIFS(T_SelfStock_Log[Self_Qty],T_SelfStock_Log[Part Name],$A40,T_SelfStock_Log[WeekIndex],8))</f>
        <v/>
      </c>
      <c r="J40" s="17">
        <f>IF(COUNTIFS(T_SelfStock_Log[Part Name],$A40,T_SelfStock_Log[WeekIndex],9)=0,"",SUMIFS(T_SelfStock_Log[Self_Qty],T_SelfStock_Log[Part Name],$A40,T_SelfStock_Log[WeekIndex],9))</f>
        <v/>
      </c>
      <c r="K40" s="17">
        <f>IF(COUNTIFS(T_SelfStock_Log[Part Name],$A40,T_SelfStock_Log[WeekIndex],10)=0,"",SUMIFS(T_SelfStock_Log[Self_Qty],T_SelfStock_Log[Part Name],$A40,T_SelfStock_Log[WeekIndex],10))</f>
        <v/>
      </c>
      <c r="L40" s="17">
        <f>IF(COUNTIFS(T_SelfStock_Log[Part Name],$A40,T_SelfStock_Log[WeekIndex],11)=0,"",SUMIFS(T_SelfStock_Log[Self_Qty],T_SelfStock_Log[Part Name],$A40,T_SelfStock_Log[WeekIndex],11))</f>
        <v/>
      </c>
      <c r="M40" s="17">
        <f>IF(COUNTIFS(T_SelfStock_Log[Part Name],$A40,T_SelfStock_Log[WeekIndex],12)=0,"",SUMIFS(T_SelfStock_Log[Self_Qty],T_SelfStock_Log[Part Name],$A40,T_SelfStock_Log[WeekIndex],12))</f>
        <v/>
      </c>
      <c r="N40" s="17">
        <f>IF(COUNTIFS(T_SelfStock_Log[Part Name],$A40,T_SelfStock_Log[WeekIndex],13)=0,"",SUMIFS(T_SelfStock_Log[Self_Qty],T_SelfStock_Log[Part Name],$A40,T_SelfStock_Log[WeekIndex],13))</f>
        <v/>
      </c>
      <c r="O40" s="17">
        <f>IF(COUNTIFS(T_SelfStock_Log[Part Name],$A40,T_SelfStock_Log[WeekIndex],14)=0,"",SUMIFS(T_SelfStock_Log[Self_Qty],T_SelfStock_Log[Part Name],$A40,T_SelfStock_Log[WeekIndex],14))</f>
        <v/>
      </c>
      <c r="P40" s="17">
        <f>IF(COUNTIFS(T_SelfStock_Log[Part Name],$A40,T_SelfStock_Log[WeekIndex],15)=0,"",SUMIFS(T_SelfStock_Log[Self_Qty],T_SelfStock_Log[Part Name],$A40,T_SelfStock_Log[WeekIndex],15))</f>
        <v/>
      </c>
      <c r="Q40" s="17">
        <f>IF(COUNTIFS(T_SelfStock_Log[Part Name],$A40,T_SelfStock_Log[WeekIndex],16)=0,"",SUMIFS(T_SelfStock_Log[Self_Qty],T_SelfStock_Log[Part Name],$A40,T_SelfStock_Log[WeekIndex],16))</f>
        <v/>
      </c>
      <c r="R40" s="17">
        <f>IF(COUNTIFS(T_SelfStock_Log[Part Name],$A40,T_SelfStock_Log[WeekIndex],17)=0,"",SUMIFS(T_SelfStock_Log[Self_Qty],T_SelfStock_Log[Part Name],$A40,T_SelfStock_Log[WeekIndex],17))</f>
        <v/>
      </c>
      <c r="S40" s="17">
        <f>IF(COUNTIFS(T_SelfStock_Log[Part Name],$A40,T_SelfStock_Log[WeekIndex],18)=0,"",SUMIFS(T_SelfStock_Log[Self_Qty],T_SelfStock_Log[Part Name],$A40,T_SelfStock_Log[WeekIndex],18))</f>
        <v/>
      </c>
      <c r="T40" s="17">
        <f>IF(COUNTIFS(T_SelfStock_Log[Part Name],$A40,T_SelfStock_Log[WeekIndex],19)=0,"",SUMIFS(T_SelfStock_Log[Self_Qty],T_SelfStock_Log[Part Name],$A40,T_SelfStock_Log[WeekIndex],19))</f>
        <v/>
      </c>
      <c r="U40" s="17">
        <f>IF(COUNTIFS(T_SelfStock_Log[Part Name],$A40,T_SelfStock_Log[WeekIndex],20)=0,"",SUMIFS(T_SelfStock_Log[Self_Qty],T_SelfStock_Log[Part Name],$A40,T_SelfStock_Log[WeekIndex],20))</f>
        <v/>
      </c>
      <c r="V40" s="17">
        <f>IF(COUNTIFS(T_SelfStock_Log[Part Name],$A40,T_SelfStock_Log[WeekIndex],21)=0,"",SUMIFS(T_SelfStock_Log[Self_Qty],T_SelfStock_Log[Part Name],$A40,T_SelfStock_Log[WeekIndex],21))</f>
        <v/>
      </c>
      <c r="W40" s="17">
        <f>IF(COUNTIFS(T_SelfStock_Log[Part Name],$A40,T_SelfStock_Log[WeekIndex],22)=0,"",SUMIFS(T_SelfStock_Log[Self_Qty],T_SelfStock_Log[Part Name],$A40,T_SelfStock_Log[WeekIndex],22))</f>
        <v/>
      </c>
      <c r="X40" s="17">
        <f>IF(COUNTIFS(T_SelfStock_Log[Part Name],$A40,T_SelfStock_Log[WeekIndex],23)=0,"",SUMIFS(T_SelfStock_Log[Self_Qty],T_SelfStock_Log[Part Name],$A40,T_SelfStock_Log[WeekIndex],23))</f>
        <v/>
      </c>
      <c r="Y40" s="17">
        <f>IF(COUNTIFS(T_SelfStock_Log[Part Name],$A40,T_SelfStock_Log[WeekIndex],24)=0,"",SUMIFS(T_SelfStock_Log[Self_Qty],T_SelfStock_Log[Part Name],$A40,T_SelfStock_Log[WeekIndex],24))</f>
        <v/>
      </c>
      <c r="Z40" s="17">
        <f>IF(COUNTIFS(T_SelfStock_Log[Part Name],$A40,T_SelfStock_Log[WeekIndex],25)=0,"",SUMIFS(T_SelfStock_Log[Self_Qty],T_SelfStock_Log[Part Name],$A40,T_SelfStock_Log[WeekIndex],25))</f>
        <v/>
      </c>
      <c r="AA40" s="17">
        <f>IF(COUNTIFS(T_SelfStock_Log[Part Name],$A40,T_SelfStock_Log[WeekIndex],26)=0,"",SUMIFS(T_SelfStock_Log[Self_Qty],T_SelfStock_Log[Part Name],$A40,T_SelfStock_Log[WeekIndex],26))</f>
        <v/>
      </c>
      <c r="AB40" s="17">
        <f>IF(COUNTIFS(T_SelfStock_Log[Part Name],$A40,T_SelfStock_Log[WeekIndex],27)=0,"",SUMIFS(T_SelfStock_Log[Self_Qty],T_SelfStock_Log[Part Name],$A40,T_SelfStock_Log[WeekIndex],27))</f>
        <v/>
      </c>
      <c r="AC40" s="17">
        <f>IF(COUNTIFS(T_SelfStock_Log[Part Name],$A40,T_SelfStock_Log[WeekIndex],28)=0,"",SUMIFS(T_SelfStock_Log[Self_Qty],T_SelfStock_Log[Part Name],$A40,T_SelfStock_Log[WeekIndex],28))</f>
        <v/>
      </c>
      <c r="AD40" s="17">
        <f>IF(COUNTIFS(T_SelfStock_Log[Part Name],$A40,T_SelfStock_Log[WeekIndex],29)=0,"",SUMIFS(T_SelfStock_Log[Self_Qty],T_SelfStock_Log[Part Name],$A40,T_SelfStock_Log[WeekIndex],29))</f>
        <v/>
      </c>
      <c r="AE40" s="17">
        <f>IF(COUNTIFS(T_SelfStock_Log[Part Name],$A40,T_SelfStock_Log[WeekIndex],30)=0,"",SUMIFS(T_SelfStock_Log[Self_Qty],T_SelfStock_Log[Part Name],$A40,T_SelfStock_Log[WeekIndex],30))</f>
        <v/>
      </c>
      <c r="AF40" s="17">
        <f>IF(COUNTIFS(T_SelfStock_Log[Part Name],$A40,T_SelfStock_Log[WeekIndex],31)=0,"",SUMIFS(T_SelfStock_Log[Self_Qty],T_SelfStock_Log[Part Name],$A40,T_SelfStock_Log[WeekIndex],31))</f>
        <v/>
      </c>
      <c r="AG40" s="17">
        <f>IF(COUNTIFS(T_SelfStock_Log[Part Name],$A40,T_SelfStock_Log[WeekIndex],32)=0,"",SUMIFS(T_SelfStock_Log[Self_Qty],T_SelfStock_Log[Part Name],$A40,T_SelfStock_Log[WeekIndex],32))</f>
        <v/>
      </c>
      <c r="AH40" s="17">
        <f>IF(COUNTIFS(T_SelfStock_Log[Part Name],$A40,T_SelfStock_Log[WeekIndex],33)=0,"",SUMIFS(T_SelfStock_Log[Self_Qty],T_SelfStock_Log[Part Name],$A40,T_SelfStock_Log[WeekIndex],33))</f>
        <v/>
      </c>
      <c r="AI40" s="17">
        <f>IF(COUNTIFS(T_SelfStock_Log[Part Name],$A40,T_SelfStock_Log[WeekIndex],34)=0,"",SUMIFS(T_SelfStock_Log[Self_Qty],T_SelfStock_Log[Part Name],$A40,T_SelfStock_Log[WeekIndex],34))</f>
        <v/>
      </c>
      <c r="AJ40" s="17">
        <f>IF(COUNTIFS(T_SelfStock_Log[Part Name],$A40,T_SelfStock_Log[WeekIndex],35)=0,"",SUMIFS(T_SelfStock_Log[Self_Qty],T_SelfStock_Log[Part Name],$A40,T_SelfStock_Log[WeekIndex],35))</f>
        <v/>
      </c>
      <c r="AK40" s="17">
        <f>IF(COUNTIFS(T_SelfStock_Log[Part Name],$A40,T_SelfStock_Log[WeekIndex],36)=0,"",SUMIFS(T_SelfStock_Log[Self_Qty],T_SelfStock_Log[Part Name],$A40,T_SelfStock_Log[WeekIndex],36))</f>
        <v/>
      </c>
      <c r="AL40" s="17">
        <f>IF(COUNTIFS(T_SelfStock_Log[Part Name],$A40,T_SelfStock_Log[WeekIndex],37)=0,"",SUMIFS(T_SelfStock_Log[Self_Qty],T_SelfStock_Log[Part Name],$A40,T_SelfStock_Log[WeekIndex],37))</f>
        <v/>
      </c>
      <c r="AM40" s="17">
        <f>IF(COUNTIFS(T_SelfStock_Log[Part Name],$A40,T_SelfStock_Log[WeekIndex],38)=0,"",SUMIFS(T_SelfStock_Log[Self_Qty],T_SelfStock_Log[Part Name],$A40,T_SelfStock_Log[WeekIndex],38))</f>
        <v/>
      </c>
      <c r="AN40" s="17">
        <f>IF(COUNTIFS(T_SelfStock_Log[Part Name],$A40,T_SelfStock_Log[WeekIndex],39)=0,"",SUMIFS(T_SelfStock_Log[Self_Qty],T_SelfStock_Log[Part Name],$A40,T_SelfStock_Log[WeekIndex],39))</f>
        <v/>
      </c>
      <c r="AO40" s="17">
        <f>IF(COUNTIFS(T_SelfStock_Log[Part Name],$A40,T_SelfStock_Log[WeekIndex],40)=0,"",SUMIFS(T_SelfStock_Log[Self_Qty],T_SelfStock_Log[Part Name],$A40,T_SelfStock_Log[WeekIndex],40))</f>
        <v/>
      </c>
      <c r="AP40" s="17">
        <f>IF(COUNTIFS(T_SelfStock_Log[Part Name],$A40,T_SelfStock_Log[WeekIndex],41)=0,"",SUMIFS(T_SelfStock_Log[Self_Qty],T_SelfStock_Log[Part Name],$A40,T_SelfStock_Log[WeekIndex],41))</f>
        <v/>
      </c>
      <c r="AQ40" s="17">
        <f>IF(COUNTIFS(T_SelfStock_Log[Part Name],$A40,T_SelfStock_Log[WeekIndex],42)=0,"",SUMIFS(T_SelfStock_Log[Self_Qty],T_SelfStock_Log[Part Name],$A40,T_SelfStock_Log[WeekIndex],42))</f>
        <v/>
      </c>
      <c r="AR40" s="17">
        <f>IF(COUNTIFS(T_SelfStock_Log[Part Name],$A40,T_SelfStock_Log[WeekIndex],43)=0,"",SUMIFS(T_SelfStock_Log[Self_Qty],T_SelfStock_Log[Part Name],$A40,T_SelfStock_Log[WeekIndex],43))</f>
        <v/>
      </c>
      <c r="AS40" s="17">
        <f>IF(COUNTIFS(T_SelfStock_Log[Part Name],$A40,T_SelfStock_Log[WeekIndex],44)=0,"",SUMIFS(T_SelfStock_Log[Self_Qty],T_SelfStock_Log[Part Name],$A40,T_SelfStock_Log[WeekIndex],44))</f>
        <v/>
      </c>
      <c r="AT40" s="17">
        <f>IF(COUNTIFS(T_SelfStock_Log[Part Name],$A40,T_SelfStock_Log[WeekIndex],45)=0,"",SUMIFS(T_SelfStock_Log[Self_Qty],T_SelfStock_Log[Part Name],$A40,T_SelfStock_Log[WeekIndex],45))</f>
        <v/>
      </c>
      <c r="AU40" s="17">
        <f>IF(COUNTIFS(T_SelfStock_Log[Part Name],$A40,T_SelfStock_Log[WeekIndex],46)=0,"",SUMIFS(T_SelfStock_Log[Self_Qty],T_SelfStock_Log[Part Name],$A40,T_SelfStock_Log[WeekIndex],46))</f>
        <v/>
      </c>
      <c r="AV40" s="17">
        <f>IF(COUNTIFS(T_SelfStock_Log[Part Name],$A40,T_SelfStock_Log[WeekIndex],47)=0,"",SUMIFS(T_SelfStock_Log[Self_Qty],T_SelfStock_Log[Part Name],$A40,T_SelfStock_Log[WeekIndex],47))</f>
        <v/>
      </c>
      <c r="AW40" s="17">
        <f>IF(COUNTIFS(T_SelfStock_Log[Part Name],$A40,T_SelfStock_Log[WeekIndex],48)=0,"",SUMIFS(T_SelfStock_Log[Self_Qty],T_SelfStock_Log[Part Name],$A40,T_SelfStock_Log[WeekIndex],48))</f>
        <v/>
      </c>
      <c r="AX40" s="17">
        <f>IF(COUNTIFS(T_SelfStock_Log[Part Name],$A40,T_SelfStock_Log[WeekIndex],49)=0,"",SUMIFS(T_SelfStock_Log[Self_Qty],T_SelfStock_Log[Part Name],$A40,T_SelfStock_Log[WeekIndex],49))</f>
        <v/>
      </c>
      <c r="AY40" s="17">
        <f>IF(COUNTIFS(T_SelfStock_Log[Part Name],$A40,T_SelfStock_Log[WeekIndex],50)=0,"",SUMIFS(T_SelfStock_Log[Self_Qty],T_SelfStock_Log[Part Name],$A40,T_SelfStock_Log[WeekIndex],50))</f>
        <v/>
      </c>
      <c r="AZ40" s="17">
        <f>IF(COUNTIFS(T_SelfStock_Log[Part Name],$A40,T_SelfStock_Log[WeekIndex],51)=0,"",SUMIFS(T_SelfStock_Log[Self_Qty],T_SelfStock_Log[Part Name],$A40,T_SelfStock_Log[WeekIndex],51))</f>
        <v/>
      </c>
      <c r="BA40" s="17">
        <f>IF(COUNTIFS(T_SelfStock_Log[Part Name],$A40,T_SelfStock_Log[WeekIndex],52)=0,"",SUMIFS(T_SelfStock_Log[Self_Qty],T_SelfStock_Log[Part Name],$A40,T_SelfStock_Log[WeekIndex],52))</f>
        <v/>
      </c>
      <c r="BB40" s="17">
        <f>IF(COUNTIFS(T_SelfStock_Log[Part Name],$A40,T_SelfStock_Log[WeekIndex],53)=0,"",SUMIFS(T_SelfStock_Log[Self_Qty],T_SelfStock_Log[Part Name],$A40,T_SelfStock_Log[WeekIndex],53))</f>
        <v/>
      </c>
      <c r="BC40" s="17">
        <f>IF(COUNTIFS(T_SelfStock_Log[Part Name],$A40,T_SelfStock_Log[WeekIndex],54)=0,"",SUMIFS(T_SelfStock_Log[Self_Qty],T_SelfStock_Log[Part Name],$A40,T_SelfStock_Log[WeekIndex],54))</f>
        <v/>
      </c>
      <c r="BD40" s="17">
        <f>IF(COUNTIFS(T_SelfStock_Log[Part Name],$A40,T_SelfStock_Log[WeekIndex],55)=0,"",SUMIFS(T_SelfStock_Log[Self_Qty],T_SelfStock_Log[Part Name],$A40,T_SelfStock_Log[WeekIndex],55))</f>
        <v/>
      </c>
      <c r="BE40" s="17">
        <f>IF(COUNTIFS(T_SelfStock_Log[Part Name],$A40,T_SelfStock_Log[WeekIndex],56)=0,"",SUMIFS(T_SelfStock_Log[Self_Qty],T_SelfStock_Log[Part Name],$A40,T_SelfStock_Log[WeekIndex],56))</f>
        <v/>
      </c>
      <c r="BF40" s="17">
        <f>IF(COUNTIFS(T_SelfStock_Log[Part Name],$A40,T_SelfStock_Log[WeekIndex],57)=0,"",SUMIFS(T_SelfStock_Log[Self_Qty],T_SelfStock_Log[Part Name],$A40,T_SelfStock_Log[WeekIndex],57))</f>
        <v/>
      </c>
      <c r="BG40" s="17">
        <f>IF(COUNTIFS(T_SelfStock_Log[Part Name],$A40,T_SelfStock_Log[WeekIndex],58)=0,"",SUMIFS(T_SelfStock_Log[Self_Qty],T_SelfStock_Log[Part Name],$A40,T_SelfStock_Log[WeekIndex],58))</f>
        <v/>
      </c>
      <c r="BH40" s="17">
        <f>IF(COUNTIFS(T_SelfStock_Log[Part Name],$A40,T_SelfStock_Log[WeekIndex],59)=0,"",SUMIFS(T_SelfStock_Log[Self_Qty],T_SelfStock_Log[Part Name],$A40,T_SelfStock_Log[WeekIndex],59))</f>
        <v/>
      </c>
      <c r="BI40" s="17">
        <f>IF(COUNTIFS(T_SelfStock_Log[Part Name],$A40,T_SelfStock_Log[WeekIndex],60)=0,"",SUMIFS(T_SelfStock_Log[Self_Qty],T_SelfStock_Log[Part Name],$A40,T_SelfStock_Log[WeekIndex],60))</f>
        <v/>
      </c>
      <c r="BJ40" s="17">
        <f>IF(COUNTIFS(T_SelfStock_Log[Part Name],$A40,T_SelfStock_Log[WeekIndex],61)=0,"",SUMIFS(T_SelfStock_Log[Self_Qty],T_SelfStock_Log[Part Name],$A40,T_SelfStock_Log[WeekIndex],61))</f>
        <v/>
      </c>
      <c r="BK40" s="17">
        <f>IF(COUNTIFS(T_SelfStock_Log[Part Name],$A40,T_SelfStock_Log[WeekIndex],62)=0,"",SUMIFS(T_SelfStock_Log[Self_Qty],T_SelfStock_Log[Part Name],$A40,T_SelfStock_Log[WeekIndex],62))</f>
        <v/>
      </c>
      <c r="BL40" s="17">
        <f>IF(COUNTIFS(T_SelfStock_Log[Part Name],$A40,T_SelfStock_Log[WeekIndex],63)=0,"",SUMIFS(T_SelfStock_Log[Self_Qty],T_SelfStock_Log[Part Name],$A40,T_SelfStock_Log[WeekIndex],63))</f>
        <v/>
      </c>
      <c r="BM40" s="17">
        <f>IF(COUNTIFS(T_SelfStock_Log[Part Name],$A40,T_SelfStock_Log[WeekIndex],64)=0,"",SUMIFS(T_SelfStock_Log[Self_Qty],T_SelfStock_Log[Part Name],$A40,T_SelfStock_Log[WeekIndex],64))</f>
        <v/>
      </c>
      <c r="BN40" s="17">
        <f>IF(COUNTIFS(T_SelfStock_Log[Part Name],$A40,T_SelfStock_Log[WeekIndex],65)=0,"",SUMIFS(T_SelfStock_Log[Self_Qty],T_SelfStock_Log[Part Name],$A40,T_SelfStock_Log[WeekIndex],65))</f>
        <v/>
      </c>
      <c r="BO40" s="17">
        <f>IF(COUNTIFS(T_SelfStock_Log[Part Name],$A40,T_SelfStock_Log[WeekIndex],66)=0,"",SUMIFS(T_SelfStock_Log[Self_Qty],T_SelfStock_Log[Part Name],$A40,T_SelfStock_Log[WeekIndex],66))</f>
        <v/>
      </c>
      <c r="BP40" s="17">
        <f>IF(COUNTIFS(T_SelfStock_Log[Part Name],$A40,T_SelfStock_Log[WeekIndex],67)=0,"",SUMIFS(T_SelfStock_Log[Self_Qty],T_SelfStock_Log[Part Name],$A40,T_SelfStock_Log[WeekIndex],67))</f>
        <v/>
      </c>
      <c r="BQ40" s="17">
        <f>IF(COUNTIFS(T_SelfStock_Log[Part Name],$A40,T_SelfStock_Log[WeekIndex],68)=0,"",SUMIFS(T_SelfStock_Log[Self_Qty],T_SelfStock_Log[Part Name],$A40,T_SelfStock_Log[WeekIndex],68))</f>
        <v/>
      </c>
      <c r="BR40" s="17">
        <f>IF(COUNTIFS(T_SelfStock_Log[Part Name],$A40,T_SelfStock_Log[WeekIndex],69)=0,"",SUMIFS(T_SelfStock_Log[Self_Qty],T_SelfStock_Log[Part Name],$A40,T_SelfStock_Log[WeekIndex],69))</f>
        <v/>
      </c>
      <c r="BS40" s="17">
        <f>IF(COUNTIFS(T_SelfStock_Log[Part Name],$A40,T_SelfStock_Log[WeekIndex],70)=0,"",SUMIFS(T_SelfStock_Log[Self_Qty],T_SelfStock_Log[Part Name],$A40,T_SelfStock_Log[WeekIndex],70))</f>
        <v/>
      </c>
      <c r="BT40" s="17">
        <f>IF(COUNTIFS(T_SelfStock_Log[Part Name],$A40,T_SelfStock_Log[WeekIndex],71)=0,"",SUMIFS(T_SelfStock_Log[Self_Qty],T_SelfStock_Log[Part Name],$A40,T_SelfStock_Log[WeekIndex],71))</f>
        <v/>
      </c>
      <c r="BU40" s="17">
        <f>IF(COUNTIFS(T_SelfStock_Log[Part Name],$A40,T_SelfStock_Log[WeekIndex],72)=0,"",SUMIFS(T_SelfStock_Log[Self_Qty],T_SelfStock_Log[Part Name],$A40,T_SelfStock_Log[WeekIndex],72))</f>
        <v/>
      </c>
      <c r="BV40" s="17">
        <f>IF(COUNTIFS(T_SelfStock_Log[Part Name],$A40,T_SelfStock_Log[WeekIndex],73)=0,"",SUMIFS(T_SelfStock_Log[Self_Qty],T_SelfStock_Log[Part Name],$A40,T_SelfStock_Log[WeekIndex],73))</f>
        <v/>
      </c>
      <c r="BW40" s="17">
        <f>IF(COUNTIFS(T_SelfStock_Log[Part Name],$A40,T_SelfStock_Log[WeekIndex],74)=0,"",SUMIFS(T_SelfStock_Log[Self_Qty],T_SelfStock_Log[Part Name],$A40,T_SelfStock_Log[WeekIndex],74))</f>
        <v/>
      </c>
      <c r="BX40" s="17">
        <f>IF(COUNTIFS(T_SelfStock_Log[Part Name],$A40,T_SelfStock_Log[WeekIndex],75)=0,"",SUMIFS(T_SelfStock_Log[Self_Qty],T_SelfStock_Log[Part Name],$A40,T_SelfStock_Log[WeekIndex],75))</f>
        <v/>
      </c>
      <c r="BY40" s="17">
        <f>IF(COUNTIFS(T_SelfStock_Log[Part Name],$A40,T_SelfStock_Log[WeekIndex],76)=0,"",SUMIFS(T_SelfStock_Log[Self_Qty],T_SelfStock_Log[Part Name],$A40,T_SelfStock_Log[WeekIndex],76))</f>
        <v/>
      </c>
      <c r="BZ40" s="17">
        <f>IF(COUNTIFS(T_SelfStock_Log[Part Name],$A40,T_SelfStock_Log[WeekIndex],77)=0,"",SUMIFS(T_SelfStock_Log[Self_Qty],T_SelfStock_Log[Part Name],$A40,T_SelfStock_Log[WeekIndex],77))</f>
        <v/>
      </c>
      <c r="CA40" s="17">
        <f>IF(COUNTIFS(T_SelfStock_Log[Part Name],$A40,T_SelfStock_Log[WeekIndex],78)=0,"",SUMIFS(T_SelfStock_Log[Self_Qty],T_SelfStock_Log[Part Name],$A40,T_SelfStock_Log[WeekIndex],78))</f>
        <v/>
      </c>
      <c r="CB40" s="17">
        <f>IF(COUNTIFS(T_SelfStock_Log[Part Name],$A40,T_SelfStock_Log[WeekIndex],79)=0,"",SUMIFS(T_SelfStock_Log[Self_Qty],T_SelfStock_Log[Part Name],$A40,T_SelfStock_Log[WeekIndex],79))</f>
        <v/>
      </c>
      <c r="CC40" s="17">
        <f>IF(COUNTIFS(T_SelfStock_Log[Part Name],$A40,T_SelfStock_Log[WeekIndex],80)=0,"",SUMIFS(T_SelfStock_Log[Self_Qty],T_SelfStock_Log[Part Name],$A40,T_SelfStock_Log[WeekIndex],80))</f>
        <v/>
      </c>
      <c r="CD40" s="17">
        <f>IF(COUNTIFS(T_SelfStock_Log[Part Name],$A40,T_SelfStock_Log[WeekIndex],81)=0,"",SUMIFS(T_SelfStock_Log[Self_Qty],T_SelfStock_Log[Part Name],$A40,T_SelfStock_Log[WeekIndex],81))</f>
        <v/>
      </c>
      <c r="CE40" s="17">
        <f>IF(COUNTIFS(T_SelfStock_Log[Part Name],$A40,T_SelfStock_Log[WeekIndex],82)=0,"",SUMIFS(T_SelfStock_Log[Self_Qty],T_SelfStock_Log[Part Name],$A40,T_SelfStock_Log[WeekIndex],82))</f>
        <v/>
      </c>
      <c r="CF40" s="17">
        <f>IF(COUNTIFS(T_SelfStock_Log[Part Name],$A40,T_SelfStock_Log[WeekIndex],83)=0,"",SUMIFS(T_SelfStock_Log[Self_Qty],T_SelfStock_Log[Part Name],$A40,T_SelfStock_Log[WeekIndex],83))</f>
        <v/>
      </c>
      <c r="CG40" s="17">
        <f>IF(COUNTIFS(T_SelfStock_Log[Part Name],$A40,T_SelfStock_Log[WeekIndex],84)=0,"",SUMIFS(T_SelfStock_Log[Self_Qty],T_SelfStock_Log[Part Name],$A40,T_SelfStock_Log[WeekIndex],84))</f>
        <v/>
      </c>
      <c r="CH40" s="17">
        <f>IF(COUNTIFS(T_SelfStock_Log[Part Name],$A40,T_SelfStock_Log[WeekIndex],85)=0,"",SUMIFS(T_SelfStock_Log[Self_Qty],T_SelfStock_Log[Part Name],$A40,T_SelfStock_Log[WeekIndex],85))</f>
        <v/>
      </c>
      <c r="CI40" s="17">
        <f>IF(COUNTIFS(T_SelfStock_Log[Part Name],$A40,T_SelfStock_Log[WeekIndex],86)=0,"",SUMIFS(T_SelfStock_Log[Self_Qty],T_SelfStock_Log[Part Name],$A40,T_SelfStock_Log[WeekIndex],86))</f>
        <v/>
      </c>
      <c r="CJ40" s="17">
        <f>IF(COUNTIFS(T_SelfStock_Log[Part Name],$A40,T_SelfStock_Log[WeekIndex],87)=0,"",SUMIFS(T_SelfStock_Log[Self_Qty],T_SelfStock_Log[Part Name],$A40,T_SelfStock_Log[WeekIndex],87))</f>
        <v/>
      </c>
      <c r="CK40" s="17">
        <f>IF(COUNTIFS(T_SelfStock_Log[Part Name],$A40,T_SelfStock_Log[WeekIndex],88)=0,"",SUMIFS(T_SelfStock_Log[Self_Qty],T_SelfStock_Log[Part Name],$A40,T_SelfStock_Log[WeekIndex],88))</f>
        <v/>
      </c>
      <c r="CL40" s="17">
        <f>IF(COUNTIFS(T_SelfStock_Log[Part Name],$A40,T_SelfStock_Log[WeekIndex],89)=0,"",SUMIFS(T_SelfStock_Log[Self_Qty],T_SelfStock_Log[Part Name],$A40,T_SelfStock_Log[WeekIndex],89))</f>
        <v/>
      </c>
      <c r="CM40" s="17">
        <f>IF(COUNTIFS(T_SelfStock_Log[Part Name],$A40,T_SelfStock_Log[WeekIndex],90)=0,"",SUMIFS(T_SelfStock_Log[Self_Qty],T_SelfStock_Log[Part Name],$A40,T_SelfStock_Log[WeekIndex],90))</f>
        <v/>
      </c>
      <c r="CN40" s="17">
        <f>IF(COUNTIFS(T_SelfStock_Log[Part Name],$A40,T_SelfStock_Log[WeekIndex],91)=0,"",SUMIFS(T_SelfStock_Log[Self_Qty],T_SelfStock_Log[Part Name],$A40,T_SelfStock_Log[WeekIndex],91))</f>
        <v/>
      </c>
      <c r="CO40" s="17">
        <f>IF(COUNTIFS(T_SelfStock_Log[Part Name],$A40,T_SelfStock_Log[WeekIndex],92)=0,"",SUMIFS(T_SelfStock_Log[Self_Qty],T_SelfStock_Log[Part Name],$A40,T_SelfStock_Log[WeekIndex],92))</f>
        <v/>
      </c>
      <c r="CP40" s="17">
        <f>IF(COUNTIFS(T_SelfStock_Log[Part Name],$A40,T_SelfStock_Log[WeekIndex],93)=0,"",SUMIFS(T_SelfStock_Log[Self_Qty],T_SelfStock_Log[Part Name],$A40,T_SelfStock_Log[WeekIndex],93))</f>
        <v/>
      </c>
      <c r="CQ40" s="17">
        <f>IF(COUNTIFS(T_SelfStock_Log[Part Name],$A40,T_SelfStock_Log[WeekIndex],94)=0,"",SUMIFS(T_SelfStock_Log[Self_Qty],T_SelfStock_Log[Part Name],$A40,T_SelfStock_Log[WeekIndex],94))</f>
        <v/>
      </c>
      <c r="CR40" s="17">
        <f>IF(COUNTIFS(T_SelfStock_Log[Part Name],$A40,T_SelfStock_Log[WeekIndex],95)=0,"",SUMIFS(T_SelfStock_Log[Self_Qty],T_SelfStock_Log[Part Name],$A40,T_SelfStock_Log[WeekIndex],95))</f>
        <v/>
      </c>
      <c r="CS40" s="17">
        <f>IF(COUNTIFS(T_SelfStock_Log[Part Name],$A40,T_SelfStock_Log[WeekIndex],96)=0,"",SUMIFS(T_SelfStock_Log[Self_Qty],T_SelfStock_Log[Part Name],$A40,T_SelfStock_Log[WeekIndex],96))</f>
        <v/>
      </c>
      <c r="CT40" s="17">
        <f>IF(COUNTIFS(T_SelfStock_Log[Part Name],$A40,T_SelfStock_Log[WeekIndex],97)=0,"",SUMIFS(T_SelfStock_Log[Self_Qty],T_SelfStock_Log[Part Name],$A40,T_SelfStock_Log[WeekIndex],97))</f>
        <v/>
      </c>
      <c r="CU40" s="17">
        <f>IF(COUNTIFS(T_SelfStock_Log[Part Name],$A40,T_SelfStock_Log[WeekIndex],98)=0,"",SUMIFS(T_SelfStock_Log[Self_Qty],T_SelfStock_Log[Part Name],$A40,T_SelfStock_Log[WeekIndex],98))</f>
        <v/>
      </c>
      <c r="CV40" s="17">
        <f>IF(COUNTIFS(T_SelfStock_Log[Part Name],$A40,T_SelfStock_Log[WeekIndex],99)=0,"",SUMIFS(T_SelfStock_Log[Self_Qty],T_SelfStock_Log[Part Name],$A40,T_SelfStock_Log[WeekIndex],99))</f>
        <v/>
      </c>
      <c r="CW40" s="17">
        <f>IF(COUNTIFS(T_SelfStock_Log[Part Name],$A40,T_SelfStock_Log[WeekIndex],100)=0,"",SUMIFS(T_SelfStock_Log[Self_Qty],T_SelfStock_Log[Part Name],$A40,T_SelfStock_Log[WeekIndex],100))</f>
        <v/>
      </c>
      <c r="CX40" s="17">
        <f>IF(COUNTIFS(T_SelfStock_Log[Part Name],$A40,T_SelfStock_Log[WeekIndex],101)=0,"",SUMIFS(T_SelfStock_Log[Self_Qty],T_SelfStock_Log[Part Name],$A40,T_SelfStock_Log[WeekIndex],101))</f>
        <v/>
      </c>
      <c r="CY40" s="17">
        <f>IF(COUNTIFS(T_SelfStock_Log[Part Name],$A40,T_SelfStock_Log[WeekIndex],102)=0,"",SUMIFS(T_SelfStock_Log[Self_Qty],T_SelfStock_Log[Part Name],$A40,T_SelfStock_Log[WeekIndex],102))</f>
        <v/>
      </c>
      <c r="CZ40" s="17">
        <f>IF(COUNTIFS(T_SelfStock_Log[Part Name],$A40,T_SelfStock_Log[WeekIndex],103)=0,"",SUMIFS(T_SelfStock_Log[Self_Qty],T_SelfStock_Log[Part Name],$A40,T_SelfStock_Log[WeekIndex],103))</f>
        <v/>
      </c>
      <c r="DA40" s="17">
        <f>IF(COUNTIFS(T_SelfStock_Log[Part Name],$A40,T_SelfStock_Log[WeekIndex],104)=0,"",SUMIFS(T_SelfStock_Log[Self_Qty],T_SelfStock_Log[Part Name],$A40,T_SelfStock_Log[WeekIndex],104))</f>
        <v/>
      </c>
    </row>
    <row r="41">
      <c r="A41" s="19" t="inlineStr">
        <is>
          <t>CHEM-1530</t>
        </is>
      </c>
      <c r="B41" s="19">
        <f>IF(COUNTIFS(T_SelfStock_Log[Part Name],$A41,T_SelfStock_Log[WeekIndex],1)=0,"",SUMIFS(T_SelfStock_Log[Self_Qty],T_SelfStock_Log[Part Name],$A41,T_SelfStock_Log[WeekIndex],1))</f>
        <v/>
      </c>
      <c r="C41" s="19">
        <f>IF(COUNTIFS(T_SelfStock_Log[Part Name],$A41,T_SelfStock_Log[WeekIndex],2)=0,"",SUMIFS(T_SelfStock_Log[Self_Qty],T_SelfStock_Log[Part Name],$A41,T_SelfStock_Log[WeekIndex],2))</f>
        <v/>
      </c>
      <c r="D41" s="19">
        <f>IF(COUNTIFS(T_SelfStock_Log[Part Name],$A41,T_SelfStock_Log[WeekIndex],3)=0,"",SUMIFS(T_SelfStock_Log[Self_Qty],T_SelfStock_Log[Part Name],$A41,T_SelfStock_Log[WeekIndex],3))</f>
        <v/>
      </c>
      <c r="E41" s="19">
        <f>IF(COUNTIFS(T_SelfStock_Log[Part Name],$A41,T_SelfStock_Log[WeekIndex],4)=0,"",SUMIFS(T_SelfStock_Log[Self_Qty],T_SelfStock_Log[Part Name],$A41,T_SelfStock_Log[WeekIndex],4))</f>
        <v/>
      </c>
      <c r="F41" s="19">
        <f>IF(COUNTIFS(T_SelfStock_Log[Part Name],$A41,T_SelfStock_Log[WeekIndex],5)=0,"",SUMIFS(T_SelfStock_Log[Self_Qty],T_SelfStock_Log[Part Name],$A41,T_SelfStock_Log[WeekIndex],5))</f>
        <v/>
      </c>
      <c r="G41" s="19">
        <f>IF(COUNTIFS(T_SelfStock_Log[Part Name],$A41,T_SelfStock_Log[WeekIndex],6)=0,"",SUMIFS(T_SelfStock_Log[Self_Qty],T_SelfStock_Log[Part Name],$A41,T_SelfStock_Log[WeekIndex],6))</f>
        <v/>
      </c>
      <c r="H41" s="19">
        <f>IF(COUNTIFS(T_SelfStock_Log[Part Name],$A41,T_SelfStock_Log[WeekIndex],7)=0,"",SUMIFS(T_SelfStock_Log[Self_Qty],T_SelfStock_Log[Part Name],$A41,T_SelfStock_Log[WeekIndex],7))</f>
        <v/>
      </c>
      <c r="I41" s="19">
        <f>IF(COUNTIFS(T_SelfStock_Log[Part Name],$A41,T_SelfStock_Log[WeekIndex],8)=0,"",SUMIFS(T_SelfStock_Log[Self_Qty],T_SelfStock_Log[Part Name],$A41,T_SelfStock_Log[WeekIndex],8))</f>
        <v/>
      </c>
      <c r="J41" s="19">
        <f>IF(COUNTIFS(T_SelfStock_Log[Part Name],$A41,T_SelfStock_Log[WeekIndex],9)=0,"",SUMIFS(T_SelfStock_Log[Self_Qty],T_SelfStock_Log[Part Name],$A41,T_SelfStock_Log[WeekIndex],9))</f>
        <v/>
      </c>
      <c r="K41" s="19">
        <f>IF(COUNTIFS(T_SelfStock_Log[Part Name],$A41,T_SelfStock_Log[WeekIndex],10)=0,"",SUMIFS(T_SelfStock_Log[Self_Qty],T_SelfStock_Log[Part Name],$A41,T_SelfStock_Log[WeekIndex],10))</f>
        <v/>
      </c>
      <c r="L41" s="19">
        <f>IF(COUNTIFS(T_SelfStock_Log[Part Name],$A41,T_SelfStock_Log[WeekIndex],11)=0,"",SUMIFS(T_SelfStock_Log[Self_Qty],T_SelfStock_Log[Part Name],$A41,T_SelfStock_Log[WeekIndex],11))</f>
        <v/>
      </c>
      <c r="M41" s="19">
        <f>IF(COUNTIFS(T_SelfStock_Log[Part Name],$A41,T_SelfStock_Log[WeekIndex],12)=0,"",SUMIFS(T_SelfStock_Log[Self_Qty],T_SelfStock_Log[Part Name],$A41,T_SelfStock_Log[WeekIndex],12))</f>
        <v/>
      </c>
      <c r="N41" s="19">
        <f>IF(COUNTIFS(T_SelfStock_Log[Part Name],$A41,T_SelfStock_Log[WeekIndex],13)=0,"",SUMIFS(T_SelfStock_Log[Self_Qty],T_SelfStock_Log[Part Name],$A41,T_SelfStock_Log[WeekIndex],13))</f>
        <v/>
      </c>
      <c r="O41" s="19">
        <f>IF(COUNTIFS(T_SelfStock_Log[Part Name],$A41,T_SelfStock_Log[WeekIndex],14)=0,"",SUMIFS(T_SelfStock_Log[Self_Qty],T_SelfStock_Log[Part Name],$A41,T_SelfStock_Log[WeekIndex],14))</f>
        <v/>
      </c>
      <c r="P41" s="19">
        <f>IF(COUNTIFS(T_SelfStock_Log[Part Name],$A41,T_SelfStock_Log[WeekIndex],15)=0,"",SUMIFS(T_SelfStock_Log[Self_Qty],T_SelfStock_Log[Part Name],$A41,T_SelfStock_Log[WeekIndex],15))</f>
        <v/>
      </c>
      <c r="Q41" s="19">
        <f>IF(COUNTIFS(T_SelfStock_Log[Part Name],$A41,T_SelfStock_Log[WeekIndex],16)=0,"",SUMIFS(T_SelfStock_Log[Self_Qty],T_SelfStock_Log[Part Name],$A41,T_SelfStock_Log[WeekIndex],16))</f>
        <v/>
      </c>
      <c r="R41" s="19">
        <f>IF(COUNTIFS(T_SelfStock_Log[Part Name],$A41,T_SelfStock_Log[WeekIndex],17)=0,"",SUMIFS(T_SelfStock_Log[Self_Qty],T_SelfStock_Log[Part Name],$A41,T_SelfStock_Log[WeekIndex],17))</f>
        <v/>
      </c>
      <c r="S41" s="19">
        <f>IF(COUNTIFS(T_SelfStock_Log[Part Name],$A41,T_SelfStock_Log[WeekIndex],18)=0,"",SUMIFS(T_SelfStock_Log[Self_Qty],T_SelfStock_Log[Part Name],$A41,T_SelfStock_Log[WeekIndex],18))</f>
        <v/>
      </c>
      <c r="T41" s="19">
        <f>IF(COUNTIFS(T_SelfStock_Log[Part Name],$A41,T_SelfStock_Log[WeekIndex],19)=0,"",SUMIFS(T_SelfStock_Log[Self_Qty],T_SelfStock_Log[Part Name],$A41,T_SelfStock_Log[WeekIndex],19))</f>
        <v/>
      </c>
      <c r="U41" s="19">
        <f>IF(COUNTIFS(T_SelfStock_Log[Part Name],$A41,T_SelfStock_Log[WeekIndex],20)=0,"",SUMIFS(T_SelfStock_Log[Self_Qty],T_SelfStock_Log[Part Name],$A41,T_SelfStock_Log[WeekIndex],20))</f>
        <v/>
      </c>
      <c r="V41" s="19">
        <f>IF(COUNTIFS(T_SelfStock_Log[Part Name],$A41,T_SelfStock_Log[WeekIndex],21)=0,"",SUMIFS(T_SelfStock_Log[Self_Qty],T_SelfStock_Log[Part Name],$A41,T_SelfStock_Log[WeekIndex],21))</f>
        <v/>
      </c>
      <c r="W41" s="19">
        <f>IF(COUNTIFS(T_SelfStock_Log[Part Name],$A41,T_SelfStock_Log[WeekIndex],22)=0,"",SUMIFS(T_SelfStock_Log[Self_Qty],T_SelfStock_Log[Part Name],$A41,T_SelfStock_Log[WeekIndex],22))</f>
        <v/>
      </c>
      <c r="X41" s="19">
        <f>IF(COUNTIFS(T_SelfStock_Log[Part Name],$A41,T_SelfStock_Log[WeekIndex],23)=0,"",SUMIFS(T_SelfStock_Log[Self_Qty],T_SelfStock_Log[Part Name],$A41,T_SelfStock_Log[WeekIndex],23))</f>
        <v/>
      </c>
      <c r="Y41" s="19">
        <f>IF(COUNTIFS(T_SelfStock_Log[Part Name],$A41,T_SelfStock_Log[WeekIndex],24)=0,"",SUMIFS(T_SelfStock_Log[Self_Qty],T_SelfStock_Log[Part Name],$A41,T_SelfStock_Log[WeekIndex],24))</f>
        <v/>
      </c>
      <c r="Z41" s="19">
        <f>IF(COUNTIFS(T_SelfStock_Log[Part Name],$A41,T_SelfStock_Log[WeekIndex],25)=0,"",SUMIFS(T_SelfStock_Log[Self_Qty],T_SelfStock_Log[Part Name],$A41,T_SelfStock_Log[WeekIndex],25))</f>
        <v/>
      </c>
      <c r="AA41" s="19">
        <f>IF(COUNTIFS(T_SelfStock_Log[Part Name],$A41,T_SelfStock_Log[WeekIndex],26)=0,"",SUMIFS(T_SelfStock_Log[Self_Qty],T_SelfStock_Log[Part Name],$A41,T_SelfStock_Log[WeekIndex],26))</f>
        <v/>
      </c>
      <c r="AB41" s="19">
        <f>IF(COUNTIFS(T_SelfStock_Log[Part Name],$A41,T_SelfStock_Log[WeekIndex],27)=0,"",SUMIFS(T_SelfStock_Log[Self_Qty],T_SelfStock_Log[Part Name],$A41,T_SelfStock_Log[WeekIndex],27))</f>
        <v/>
      </c>
      <c r="AC41" s="19">
        <f>IF(COUNTIFS(T_SelfStock_Log[Part Name],$A41,T_SelfStock_Log[WeekIndex],28)=0,"",SUMIFS(T_SelfStock_Log[Self_Qty],T_SelfStock_Log[Part Name],$A41,T_SelfStock_Log[WeekIndex],28))</f>
        <v/>
      </c>
      <c r="AD41" s="19">
        <f>IF(COUNTIFS(T_SelfStock_Log[Part Name],$A41,T_SelfStock_Log[WeekIndex],29)=0,"",SUMIFS(T_SelfStock_Log[Self_Qty],T_SelfStock_Log[Part Name],$A41,T_SelfStock_Log[WeekIndex],29))</f>
        <v/>
      </c>
      <c r="AE41" s="19">
        <f>IF(COUNTIFS(T_SelfStock_Log[Part Name],$A41,T_SelfStock_Log[WeekIndex],30)=0,"",SUMIFS(T_SelfStock_Log[Self_Qty],T_SelfStock_Log[Part Name],$A41,T_SelfStock_Log[WeekIndex],30))</f>
        <v/>
      </c>
      <c r="AF41" s="19">
        <f>IF(COUNTIFS(T_SelfStock_Log[Part Name],$A41,T_SelfStock_Log[WeekIndex],31)=0,"",SUMIFS(T_SelfStock_Log[Self_Qty],T_SelfStock_Log[Part Name],$A41,T_SelfStock_Log[WeekIndex],31))</f>
        <v/>
      </c>
      <c r="AG41" s="19">
        <f>IF(COUNTIFS(T_SelfStock_Log[Part Name],$A41,T_SelfStock_Log[WeekIndex],32)=0,"",SUMIFS(T_SelfStock_Log[Self_Qty],T_SelfStock_Log[Part Name],$A41,T_SelfStock_Log[WeekIndex],32))</f>
        <v/>
      </c>
      <c r="AH41" s="19">
        <f>IF(COUNTIFS(T_SelfStock_Log[Part Name],$A41,T_SelfStock_Log[WeekIndex],33)=0,"",SUMIFS(T_SelfStock_Log[Self_Qty],T_SelfStock_Log[Part Name],$A41,T_SelfStock_Log[WeekIndex],33))</f>
        <v/>
      </c>
      <c r="AI41" s="19">
        <f>IF(COUNTIFS(T_SelfStock_Log[Part Name],$A41,T_SelfStock_Log[WeekIndex],34)=0,"",SUMIFS(T_SelfStock_Log[Self_Qty],T_SelfStock_Log[Part Name],$A41,T_SelfStock_Log[WeekIndex],34))</f>
        <v/>
      </c>
      <c r="AJ41" s="19">
        <f>IF(COUNTIFS(T_SelfStock_Log[Part Name],$A41,T_SelfStock_Log[WeekIndex],35)=0,"",SUMIFS(T_SelfStock_Log[Self_Qty],T_SelfStock_Log[Part Name],$A41,T_SelfStock_Log[WeekIndex],35))</f>
        <v/>
      </c>
      <c r="AK41" s="19">
        <f>IF(COUNTIFS(T_SelfStock_Log[Part Name],$A41,T_SelfStock_Log[WeekIndex],36)=0,"",SUMIFS(T_SelfStock_Log[Self_Qty],T_SelfStock_Log[Part Name],$A41,T_SelfStock_Log[WeekIndex],36))</f>
        <v/>
      </c>
      <c r="AL41" s="19">
        <f>IF(COUNTIFS(T_SelfStock_Log[Part Name],$A41,T_SelfStock_Log[WeekIndex],37)=0,"",SUMIFS(T_SelfStock_Log[Self_Qty],T_SelfStock_Log[Part Name],$A41,T_SelfStock_Log[WeekIndex],37))</f>
        <v/>
      </c>
      <c r="AM41" s="19">
        <f>IF(COUNTIFS(T_SelfStock_Log[Part Name],$A41,T_SelfStock_Log[WeekIndex],38)=0,"",SUMIFS(T_SelfStock_Log[Self_Qty],T_SelfStock_Log[Part Name],$A41,T_SelfStock_Log[WeekIndex],38))</f>
        <v/>
      </c>
      <c r="AN41" s="19">
        <f>IF(COUNTIFS(T_SelfStock_Log[Part Name],$A41,T_SelfStock_Log[WeekIndex],39)=0,"",SUMIFS(T_SelfStock_Log[Self_Qty],T_SelfStock_Log[Part Name],$A41,T_SelfStock_Log[WeekIndex],39))</f>
        <v/>
      </c>
      <c r="AO41" s="19">
        <f>IF(COUNTIFS(T_SelfStock_Log[Part Name],$A41,T_SelfStock_Log[WeekIndex],40)=0,"",SUMIFS(T_SelfStock_Log[Self_Qty],T_SelfStock_Log[Part Name],$A41,T_SelfStock_Log[WeekIndex],40))</f>
        <v/>
      </c>
      <c r="AP41" s="19">
        <f>IF(COUNTIFS(T_SelfStock_Log[Part Name],$A41,T_SelfStock_Log[WeekIndex],41)=0,"",SUMIFS(T_SelfStock_Log[Self_Qty],T_SelfStock_Log[Part Name],$A41,T_SelfStock_Log[WeekIndex],41))</f>
        <v/>
      </c>
      <c r="AQ41" s="19">
        <f>IF(COUNTIFS(T_SelfStock_Log[Part Name],$A41,T_SelfStock_Log[WeekIndex],42)=0,"",SUMIFS(T_SelfStock_Log[Self_Qty],T_SelfStock_Log[Part Name],$A41,T_SelfStock_Log[WeekIndex],42))</f>
        <v/>
      </c>
      <c r="AR41" s="19">
        <f>IF(COUNTIFS(T_SelfStock_Log[Part Name],$A41,T_SelfStock_Log[WeekIndex],43)=0,"",SUMIFS(T_SelfStock_Log[Self_Qty],T_SelfStock_Log[Part Name],$A41,T_SelfStock_Log[WeekIndex],43))</f>
        <v/>
      </c>
      <c r="AS41" s="19">
        <f>IF(COUNTIFS(T_SelfStock_Log[Part Name],$A41,T_SelfStock_Log[WeekIndex],44)=0,"",SUMIFS(T_SelfStock_Log[Self_Qty],T_SelfStock_Log[Part Name],$A41,T_SelfStock_Log[WeekIndex],44))</f>
        <v/>
      </c>
      <c r="AT41" s="19">
        <f>IF(COUNTIFS(T_SelfStock_Log[Part Name],$A41,T_SelfStock_Log[WeekIndex],45)=0,"",SUMIFS(T_SelfStock_Log[Self_Qty],T_SelfStock_Log[Part Name],$A41,T_SelfStock_Log[WeekIndex],45))</f>
        <v/>
      </c>
      <c r="AU41" s="19">
        <f>IF(COUNTIFS(T_SelfStock_Log[Part Name],$A41,T_SelfStock_Log[WeekIndex],46)=0,"",SUMIFS(T_SelfStock_Log[Self_Qty],T_SelfStock_Log[Part Name],$A41,T_SelfStock_Log[WeekIndex],46))</f>
        <v/>
      </c>
      <c r="AV41" s="19">
        <f>IF(COUNTIFS(T_SelfStock_Log[Part Name],$A41,T_SelfStock_Log[WeekIndex],47)=0,"",SUMIFS(T_SelfStock_Log[Self_Qty],T_SelfStock_Log[Part Name],$A41,T_SelfStock_Log[WeekIndex],47))</f>
        <v/>
      </c>
      <c r="AW41" s="19">
        <f>IF(COUNTIFS(T_SelfStock_Log[Part Name],$A41,T_SelfStock_Log[WeekIndex],48)=0,"",SUMIFS(T_SelfStock_Log[Self_Qty],T_SelfStock_Log[Part Name],$A41,T_SelfStock_Log[WeekIndex],48))</f>
        <v/>
      </c>
      <c r="AX41" s="19">
        <f>IF(COUNTIFS(T_SelfStock_Log[Part Name],$A41,T_SelfStock_Log[WeekIndex],49)=0,"",SUMIFS(T_SelfStock_Log[Self_Qty],T_SelfStock_Log[Part Name],$A41,T_SelfStock_Log[WeekIndex],49))</f>
        <v/>
      </c>
      <c r="AY41" s="19">
        <f>IF(COUNTIFS(T_SelfStock_Log[Part Name],$A41,T_SelfStock_Log[WeekIndex],50)=0,"",SUMIFS(T_SelfStock_Log[Self_Qty],T_SelfStock_Log[Part Name],$A41,T_SelfStock_Log[WeekIndex],50))</f>
        <v/>
      </c>
      <c r="AZ41" s="19">
        <f>IF(COUNTIFS(T_SelfStock_Log[Part Name],$A41,T_SelfStock_Log[WeekIndex],51)=0,"",SUMIFS(T_SelfStock_Log[Self_Qty],T_SelfStock_Log[Part Name],$A41,T_SelfStock_Log[WeekIndex],51))</f>
        <v/>
      </c>
      <c r="BA41" s="19">
        <f>IF(COUNTIFS(T_SelfStock_Log[Part Name],$A41,T_SelfStock_Log[WeekIndex],52)=0,"",SUMIFS(T_SelfStock_Log[Self_Qty],T_SelfStock_Log[Part Name],$A41,T_SelfStock_Log[WeekIndex],52))</f>
        <v/>
      </c>
      <c r="BB41" s="19">
        <f>IF(COUNTIFS(T_SelfStock_Log[Part Name],$A41,T_SelfStock_Log[WeekIndex],53)=0,"",SUMIFS(T_SelfStock_Log[Self_Qty],T_SelfStock_Log[Part Name],$A41,T_SelfStock_Log[WeekIndex],53))</f>
        <v/>
      </c>
      <c r="BC41" s="19">
        <f>IF(COUNTIFS(T_SelfStock_Log[Part Name],$A41,T_SelfStock_Log[WeekIndex],54)=0,"",SUMIFS(T_SelfStock_Log[Self_Qty],T_SelfStock_Log[Part Name],$A41,T_SelfStock_Log[WeekIndex],54))</f>
        <v/>
      </c>
      <c r="BD41" s="19">
        <f>IF(COUNTIFS(T_SelfStock_Log[Part Name],$A41,T_SelfStock_Log[WeekIndex],55)=0,"",SUMIFS(T_SelfStock_Log[Self_Qty],T_SelfStock_Log[Part Name],$A41,T_SelfStock_Log[WeekIndex],55))</f>
        <v/>
      </c>
      <c r="BE41" s="19">
        <f>IF(COUNTIFS(T_SelfStock_Log[Part Name],$A41,T_SelfStock_Log[WeekIndex],56)=0,"",SUMIFS(T_SelfStock_Log[Self_Qty],T_SelfStock_Log[Part Name],$A41,T_SelfStock_Log[WeekIndex],56))</f>
        <v/>
      </c>
      <c r="BF41" s="19">
        <f>IF(COUNTIFS(T_SelfStock_Log[Part Name],$A41,T_SelfStock_Log[WeekIndex],57)=0,"",SUMIFS(T_SelfStock_Log[Self_Qty],T_SelfStock_Log[Part Name],$A41,T_SelfStock_Log[WeekIndex],57))</f>
        <v/>
      </c>
      <c r="BG41" s="19">
        <f>IF(COUNTIFS(T_SelfStock_Log[Part Name],$A41,T_SelfStock_Log[WeekIndex],58)=0,"",SUMIFS(T_SelfStock_Log[Self_Qty],T_SelfStock_Log[Part Name],$A41,T_SelfStock_Log[WeekIndex],58))</f>
        <v/>
      </c>
      <c r="BH41" s="19">
        <f>IF(COUNTIFS(T_SelfStock_Log[Part Name],$A41,T_SelfStock_Log[WeekIndex],59)=0,"",SUMIFS(T_SelfStock_Log[Self_Qty],T_SelfStock_Log[Part Name],$A41,T_SelfStock_Log[WeekIndex],59))</f>
        <v/>
      </c>
      <c r="BI41" s="19">
        <f>IF(COUNTIFS(T_SelfStock_Log[Part Name],$A41,T_SelfStock_Log[WeekIndex],60)=0,"",SUMIFS(T_SelfStock_Log[Self_Qty],T_SelfStock_Log[Part Name],$A41,T_SelfStock_Log[WeekIndex],60))</f>
        <v/>
      </c>
      <c r="BJ41" s="19">
        <f>IF(COUNTIFS(T_SelfStock_Log[Part Name],$A41,T_SelfStock_Log[WeekIndex],61)=0,"",SUMIFS(T_SelfStock_Log[Self_Qty],T_SelfStock_Log[Part Name],$A41,T_SelfStock_Log[WeekIndex],61))</f>
        <v/>
      </c>
      <c r="BK41" s="19">
        <f>IF(COUNTIFS(T_SelfStock_Log[Part Name],$A41,T_SelfStock_Log[WeekIndex],62)=0,"",SUMIFS(T_SelfStock_Log[Self_Qty],T_SelfStock_Log[Part Name],$A41,T_SelfStock_Log[WeekIndex],62))</f>
        <v/>
      </c>
      <c r="BL41" s="19">
        <f>IF(COUNTIFS(T_SelfStock_Log[Part Name],$A41,T_SelfStock_Log[WeekIndex],63)=0,"",SUMIFS(T_SelfStock_Log[Self_Qty],T_SelfStock_Log[Part Name],$A41,T_SelfStock_Log[WeekIndex],63))</f>
        <v/>
      </c>
      <c r="BM41" s="19">
        <f>IF(COUNTIFS(T_SelfStock_Log[Part Name],$A41,T_SelfStock_Log[WeekIndex],64)=0,"",SUMIFS(T_SelfStock_Log[Self_Qty],T_SelfStock_Log[Part Name],$A41,T_SelfStock_Log[WeekIndex],64))</f>
        <v/>
      </c>
      <c r="BN41" s="19">
        <f>IF(COUNTIFS(T_SelfStock_Log[Part Name],$A41,T_SelfStock_Log[WeekIndex],65)=0,"",SUMIFS(T_SelfStock_Log[Self_Qty],T_SelfStock_Log[Part Name],$A41,T_SelfStock_Log[WeekIndex],65))</f>
        <v/>
      </c>
      <c r="BO41" s="19">
        <f>IF(COUNTIFS(T_SelfStock_Log[Part Name],$A41,T_SelfStock_Log[WeekIndex],66)=0,"",SUMIFS(T_SelfStock_Log[Self_Qty],T_SelfStock_Log[Part Name],$A41,T_SelfStock_Log[WeekIndex],66))</f>
        <v/>
      </c>
      <c r="BP41" s="19">
        <f>IF(COUNTIFS(T_SelfStock_Log[Part Name],$A41,T_SelfStock_Log[WeekIndex],67)=0,"",SUMIFS(T_SelfStock_Log[Self_Qty],T_SelfStock_Log[Part Name],$A41,T_SelfStock_Log[WeekIndex],67))</f>
        <v/>
      </c>
      <c r="BQ41" s="19">
        <f>IF(COUNTIFS(T_SelfStock_Log[Part Name],$A41,T_SelfStock_Log[WeekIndex],68)=0,"",SUMIFS(T_SelfStock_Log[Self_Qty],T_SelfStock_Log[Part Name],$A41,T_SelfStock_Log[WeekIndex],68))</f>
        <v/>
      </c>
      <c r="BR41" s="19">
        <f>IF(COUNTIFS(T_SelfStock_Log[Part Name],$A41,T_SelfStock_Log[WeekIndex],69)=0,"",SUMIFS(T_SelfStock_Log[Self_Qty],T_SelfStock_Log[Part Name],$A41,T_SelfStock_Log[WeekIndex],69))</f>
        <v/>
      </c>
      <c r="BS41" s="19">
        <f>IF(COUNTIFS(T_SelfStock_Log[Part Name],$A41,T_SelfStock_Log[WeekIndex],70)=0,"",SUMIFS(T_SelfStock_Log[Self_Qty],T_SelfStock_Log[Part Name],$A41,T_SelfStock_Log[WeekIndex],70))</f>
        <v/>
      </c>
      <c r="BT41" s="19">
        <f>IF(COUNTIFS(T_SelfStock_Log[Part Name],$A41,T_SelfStock_Log[WeekIndex],71)=0,"",SUMIFS(T_SelfStock_Log[Self_Qty],T_SelfStock_Log[Part Name],$A41,T_SelfStock_Log[WeekIndex],71))</f>
        <v/>
      </c>
      <c r="BU41" s="19">
        <f>IF(COUNTIFS(T_SelfStock_Log[Part Name],$A41,T_SelfStock_Log[WeekIndex],72)=0,"",SUMIFS(T_SelfStock_Log[Self_Qty],T_SelfStock_Log[Part Name],$A41,T_SelfStock_Log[WeekIndex],72))</f>
        <v/>
      </c>
      <c r="BV41" s="19">
        <f>IF(COUNTIFS(T_SelfStock_Log[Part Name],$A41,T_SelfStock_Log[WeekIndex],73)=0,"",SUMIFS(T_SelfStock_Log[Self_Qty],T_SelfStock_Log[Part Name],$A41,T_SelfStock_Log[WeekIndex],73))</f>
        <v/>
      </c>
      <c r="BW41" s="19">
        <f>IF(COUNTIFS(T_SelfStock_Log[Part Name],$A41,T_SelfStock_Log[WeekIndex],74)=0,"",SUMIFS(T_SelfStock_Log[Self_Qty],T_SelfStock_Log[Part Name],$A41,T_SelfStock_Log[WeekIndex],74))</f>
        <v/>
      </c>
      <c r="BX41" s="19">
        <f>IF(COUNTIFS(T_SelfStock_Log[Part Name],$A41,T_SelfStock_Log[WeekIndex],75)=0,"",SUMIFS(T_SelfStock_Log[Self_Qty],T_SelfStock_Log[Part Name],$A41,T_SelfStock_Log[WeekIndex],75))</f>
        <v/>
      </c>
      <c r="BY41" s="19">
        <f>IF(COUNTIFS(T_SelfStock_Log[Part Name],$A41,T_SelfStock_Log[WeekIndex],76)=0,"",SUMIFS(T_SelfStock_Log[Self_Qty],T_SelfStock_Log[Part Name],$A41,T_SelfStock_Log[WeekIndex],76))</f>
        <v/>
      </c>
      <c r="BZ41" s="19">
        <f>IF(COUNTIFS(T_SelfStock_Log[Part Name],$A41,T_SelfStock_Log[WeekIndex],77)=0,"",SUMIFS(T_SelfStock_Log[Self_Qty],T_SelfStock_Log[Part Name],$A41,T_SelfStock_Log[WeekIndex],77))</f>
        <v/>
      </c>
      <c r="CA41" s="19">
        <f>IF(COUNTIFS(T_SelfStock_Log[Part Name],$A41,T_SelfStock_Log[WeekIndex],78)=0,"",SUMIFS(T_SelfStock_Log[Self_Qty],T_SelfStock_Log[Part Name],$A41,T_SelfStock_Log[WeekIndex],78))</f>
        <v/>
      </c>
      <c r="CB41" s="19">
        <f>IF(COUNTIFS(T_SelfStock_Log[Part Name],$A41,T_SelfStock_Log[WeekIndex],79)=0,"",SUMIFS(T_SelfStock_Log[Self_Qty],T_SelfStock_Log[Part Name],$A41,T_SelfStock_Log[WeekIndex],79))</f>
        <v/>
      </c>
      <c r="CC41" s="19">
        <f>IF(COUNTIFS(T_SelfStock_Log[Part Name],$A41,T_SelfStock_Log[WeekIndex],80)=0,"",SUMIFS(T_SelfStock_Log[Self_Qty],T_SelfStock_Log[Part Name],$A41,T_SelfStock_Log[WeekIndex],80))</f>
        <v/>
      </c>
      <c r="CD41" s="19">
        <f>IF(COUNTIFS(T_SelfStock_Log[Part Name],$A41,T_SelfStock_Log[WeekIndex],81)=0,"",SUMIFS(T_SelfStock_Log[Self_Qty],T_SelfStock_Log[Part Name],$A41,T_SelfStock_Log[WeekIndex],81))</f>
        <v/>
      </c>
      <c r="CE41" s="19">
        <f>IF(COUNTIFS(T_SelfStock_Log[Part Name],$A41,T_SelfStock_Log[WeekIndex],82)=0,"",SUMIFS(T_SelfStock_Log[Self_Qty],T_SelfStock_Log[Part Name],$A41,T_SelfStock_Log[WeekIndex],82))</f>
        <v/>
      </c>
      <c r="CF41" s="19">
        <f>IF(COUNTIFS(T_SelfStock_Log[Part Name],$A41,T_SelfStock_Log[WeekIndex],83)=0,"",SUMIFS(T_SelfStock_Log[Self_Qty],T_SelfStock_Log[Part Name],$A41,T_SelfStock_Log[WeekIndex],83))</f>
        <v/>
      </c>
      <c r="CG41" s="19">
        <f>IF(COUNTIFS(T_SelfStock_Log[Part Name],$A41,T_SelfStock_Log[WeekIndex],84)=0,"",SUMIFS(T_SelfStock_Log[Self_Qty],T_SelfStock_Log[Part Name],$A41,T_SelfStock_Log[WeekIndex],84))</f>
        <v/>
      </c>
      <c r="CH41" s="19">
        <f>IF(COUNTIFS(T_SelfStock_Log[Part Name],$A41,T_SelfStock_Log[WeekIndex],85)=0,"",SUMIFS(T_SelfStock_Log[Self_Qty],T_SelfStock_Log[Part Name],$A41,T_SelfStock_Log[WeekIndex],85))</f>
        <v/>
      </c>
      <c r="CI41" s="19">
        <f>IF(COUNTIFS(T_SelfStock_Log[Part Name],$A41,T_SelfStock_Log[WeekIndex],86)=0,"",SUMIFS(T_SelfStock_Log[Self_Qty],T_SelfStock_Log[Part Name],$A41,T_SelfStock_Log[WeekIndex],86))</f>
        <v/>
      </c>
      <c r="CJ41" s="19">
        <f>IF(COUNTIFS(T_SelfStock_Log[Part Name],$A41,T_SelfStock_Log[WeekIndex],87)=0,"",SUMIFS(T_SelfStock_Log[Self_Qty],T_SelfStock_Log[Part Name],$A41,T_SelfStock_Log[WeekIndex],87))</f>
        <v/>
      </c>
      <c r="CK41" s="19">
        <f>IF(COUNTIFS(T_SelfStock_Log[Part Name],$A41,T_SelfStock_Log[WeekIndex],88)=0,"",SUMIFS(T_SelfStock_Log[Self_Qty],T_SelfStock_Log[Part Name],$A41,T_SelfStock_Log[WeekIndex],88))</f>
        <v/>
      </c>
      <c r="CL41" s="19">
        <f>IF(COUNTIFS(T_SelfStock_Log[Part Name],$A41,T_SelfStock_Log[WeekIndex],89)=0,"",SUMIFS(T_SelfStock_Log[Self_Qty],T_SelfStock_Log[Part Name],$A41,T_SelfStock_Log[WeekIndex],89))</f>
        <v/>
      </c>
      <c r="CM41" s="19">
        <f>IF(COUNTIFS(T_SelfStock_Log[Part Name],$A41,T_SelfStock_Log[WeekIndex],90)=0,"",SUMIFS(T_SelfStock_Log[Self_Qty],T_SelfStock_Log[Part Name],$A41,T_SelfStock_Log[WeekIndex],90))</f>
        <v/>
      </c>
      <c r="CN41" s="19">
        <f>IF(COUNTIFS(T_SelfStock_Log[Part Name],$A41,T_SelfStock_Log[WeekIndex],91)=0,"",SUMIFS(T_SelfStock_Log[Self_Qty],T_SelfStock_Log[Part Name],$A41,T_SelfStock_Log[WeekIndex],91))</f>
        <v/>
      </c>
      <c r="CO41" s="19">
        <f>IF(COUNTIFS(T_SelfStock_Log[Part Name],$A41,T_SelfStock_Log[WeekIndex],92)=0,"",SUMIFS(T_SelfStock_Log[Self_Qty],T_SelfStock_Log[Part Name],$A41,T_SelfStock_Log[WeekIndex],92))</f>
        <v/>
      </c>
      <c r="CP41" s="19">
        <f>IF(COUNTIFS(T_SelfStock_Log[Part Name],$A41,T_SelfStock_Log[WeekIndex],93)=0,"",SUMIFS(T_SelfStock_Log[Self_Qty],T_SelfStock_Log[Part Name],$A41,T_SelfStock_Log[WeekIndex],93))</f>
        <v/>
      </c>
      <c r="CQ41" s="19">
        <f>IF(COUNTIFS(T_SelfStock_Log[Part Name],$A41,T_SelfStock_Log[WeekIndex],94)=0,"",SUMIFS(T_SelfStock_Log[Self_Qty],T_SelfStock_Log[Part Name],$A41,T_SelfStock_Log[WeekIndex],94))</f>
        <v/>
      </c>
      <c r="CR41" s="19">
        <f>IF(COUNTIFS(T_SelfStock_Log[Part Name],$A41,T_SelfStock_Log[WeekIndex],95)=0,"",SUMIFS(T_SelfStock_Log[Self_Qty],T_SelfStock_Log[Part Name],$A41,T_SelfStock_Log[WeekIndex],95))</f>
        <v/>
      </c>
      <c r="CS41" s="19">
        <f>IF(COUNTIFS(T_SelfStock_Log[Part Name],$A41,T_SelfStock_Log[WeekIndex],96)=0,"",SUMIFS(T_SelfStock_Log[Self_Qty],T_SelfStock_Log[Part Name],$A41,T_SelfStock_Log[WeekIndex],96))</f>
        <v/>
      </c>
      <c r="CT41" s="19">
        <f>IF(COUNTIFS(T_SelfStock_Log[Part Name],$A41,T_SelfStock_Log[WeekIndex],97)=0,"",SUMIFS(T_SelfStock_Log[Self_Qty],T_SelfStock_Log[Part Name],$A41,T_SelfStock_Log[WeekIndex],97))</f>
        <v/>
      </c>
      <c r="CU41" s="19">
        <f>IF(COUNTIFS(T_SelfStock_Log[Part Name],$A41,T_SelfStock_Log[WeekIndex],98)=0,"",SUMIFS(T_SelfStock_Log[Self_Qty],T_SelfStock_Log[Part Name],$A41,T_SelfStock_Log[WeekIndex],98))</f>
        <v/>
      </c>
      <c r="CV41" s="19">
        <f>IF(COUNTIFS(T_SelfStock_Log[Part Name],$A41,T_SelfStock_Log[WeekIndex],99)=0,"",SUMIFS(T_SelfStock_Log[Self_Qty],T_SelfStock_Log[Part Name],$A41,T_SelfStock_Log[WeekIndex],99))</f>
        <v/>
      </c>
      <c r="CW41" s="19">
        <f>IF(COUNTIFS(T_SelfStock_Log[Part Name],$A41,T_SelfStock_Log[WeekIndex],100)=0,"",SUMIFS(T_SelfStock_Log[Self_Qty],T_SelfStock_Log[Part Name],$A41,T_SelfStock_Log[WeekIndex],100))</f>
        <v/>
      </c>
      <c r="CX41" s="19">
        <f>IF(COUNTIFS(T_SelfStock_Log[Part Name],$A41,T_SelfStock_Log[WeekIndex],101)=0,"",SUMIFS(T_SelfStock_Log[Self_Qty],T_SelfStock_Log[Part Name],$A41,T_SelfStock_Log[WeekIndex],101))</f>
        <v/>
      </c>
      <c r="CY41" s="19">
        <f>IF(COUNTIFS(T_SelfStock_Log[Part Name],$A41,T_SelfStock_Log[WeekIndex],102)=0,"",SUMIFS(T_SelfStock_Log[Self_Qty],T_SelfStock_Log[Part Name],$A41,T_SelfStock_Log[WeekIndex],102))</f>
        <v/>
      </c>
      <c r="CZ41" s="19">
        <f>IF(COUNTIFS(T_SelfStock_Log[Part Name],$A41,T_SelfStock_Log[WeekIndex],103)=0,"",SUMIFS(T_SelfStock_Log[Self_Qty],T_SelfStock_Log[Part Name],$A41,T_SelfStock_Log[WeekIndex],103))</f>
        <v/>
      </c>
      <c r="DA41" s="19">
        <f>IF(COUNTIFS(T_SelfStock_Log[Part Name],$A41,T_SelfStock_Log[WeekIndex],104)=0,"",SUMIFS(T_SelfStock_Log[Self_Qty],T_SelfStock_Log[Part Name],$A41,T_SelfStock_Log[WeekIndex],104))</f>
        <v/>
      </c>
    </row>
    <row r="42">
      <c r="A42" s="17" t="inlineStr">
        <is>
          <t>CHEM-1480</t>
        </is>
      </c>
      <c r="B42" s="17">
        <f>IF(COUNTIFS(T_SelfStock_Log[Part Name],$A42,T_SelfStock_Log[WeekIndex],1)=0,"",SUMIFS(T_SelfStock_Log[Self_Qty],T_SelfStock_Log[Part Name],$A42,T_SelfStock_Log[WeekIndex],1))</f>
        <v/>
      </c>
      <c r="C42" s="17">
        <f>IF(COUNTIFS(T_SelfStock_Log[Part Name],$A42,T_SelfStock_Log[WeekIndex],2)=0,"",SUMIFS(T_SelfStock_Log[Self_Qty],T_SelfStock_Log[Part Name],$A42,T_SelfStock_Log[WeekIndex],2))</f>
        <v/>
      </c>
      <c r="D42" s="17">
        <f>IF(COUNTIFS(T_SelfStock_Log[Part Name],$A42,T_SelfStock_Log[WeekIndex],3)=0,"",SUMIFS(T_SelfStock_Log[Self_Qty],T_SelfStock_Log[Part Name],$A42,T_SelfStock_Log[WeekIndex],3))</f>
        <v/>
      </c>
      <c r="E42" s="17">
        <f>IF(COUNTIFS(T_SelfStock_Log[Part Name],$A42,T_SelfStock_Log[WeekIndex],4)=0,"",SUMIFS(T_SelfStock_Log[Self_Qty],T_SelfStock_Log[Part Name],$A42,T_SelfStock_Log[WeekIndex],4))</f>
        <v/>
      </c>
      <c r="F42" s="17">
        <f>IF(COUNTIFS(T_SelfStock_Log[Part Name],$A42,T_SelfStock_Log[WeekIndex],5)=0,"",SUMIFS(T_SelfStock_Log[Self_Qty],T_SelfStock_Log[Part Name],$A42,T_SelfStock_Log[WeekIndex],5))</f>
        <v/>
      </c>
      <c r="G42" s="17">
        <f>IF(COUNTIFS(T_SelfStock_Log[Part Name],$A42,T_SelfStock_Log[WeekIndex],6)=0,"",SUMIFS(T_SelfStock_Log[Self_Qty],T_SelfStock_Log[Part Name],$A42,T_SelfStock_Log[WeekIndex],6))</f>
        <v/>
      </c>
      <c r="H42" s="17">
        <f>IF(COUNTIFS(T_SelfStock_Log[Part Name],$A42,T_SelfStock_Log[WeekIndex],7)=0,"",SUMIFS(T_SelfStock_Log[Self_Qty],T_SelfStock_Log[Part Name],$A42,T_SelfStock_Log[WeekIndex],7))</f>
        <v/>
      </c>
      <c r="I42" s="17">
        <f>IF(COUNTIFS(T_SelfStock_Log[Part Name],$A42,T_SelfStock_Log[WeekIndex],8)=0,"",SUMIFS(T_SelfStock_Log[Self_Qty],T_SelfStock_Log[Part Name],$A42,T_SelfStock_Log[WeekIndex],8))</f>
        <v/>
      </c>
      <c r="J42" s="17">
        <f>IF(COUNTIFS(T_SelfStock_Log[Part Name],$A42,T_SelfStock_Log[WeekIndex],9)=0,"",SUMIFS(T_SelfStock_Log[Self_Qty],T_SelfStock_Log[Part Name],$A42,T_SelfStock_Log[WeekIndex],9))</f>
        <v/>
      </c>
      <c r="K42" s="17">
        <f>IF(COUNTIFS(T_SelfStock_Log[Part Name],$A42,T_SelfStock_Log[WeekIndex],10)=0,"",SUMIFS(T_SelfStock_Log[Self_Qty],T_SelfStock_Log[Part Name],$A42,T_SelfStock_Log[WeekIndex],10))</f>
        <v/>
      </c>
      <c r="L42" s="17">
        <f>IF(COUNTIFS(T_SelfStock_Log[Part Name],$A42,T_SelfStock_Log[WeekIndex],11)=0,"",SUMIFS(T_SelfStock_Log[Self_Qty],T_SelfStock_Log[Part Name],$A42,T_SelfStock_Log[WeekIndex],11))</f>
        <v/>
      </c>
      <c r="M42" s="17">
        <f>IF(COUNTIFS(T_SelfStock_Log[Part Name],$A42,T_SelfStock_Log[WeekIndex],12)=0,"",SUMIFS(T_SelfStock_Log[Self_Qty],T_SelfStock_Log[Part Name],$A42,T_SelfStock_Log[WeekIndex],12))</f>
        <v/>
      </c>
      <c r="N42" s="17">
        <f>IF(COUNTIFS(T_SelfStock_Log[Part Name],$A42,T_SelfStock_Log[WeekIndex],13)=0,"",SUMIFS(T_SelfStock_Log[Self_Qty],T_SelfStock_Log[Part Name],$A42,T_SelfStock_Log[WeekIndex],13))</f>
        <v/>
      </c>
      <c r="O42" s="17">
        <f>IF(COUNTIFS(T_SelfStock_Log[Part Name],$A42,T_SelfStock_Log[WeekIndex],14)=0,"",SUMIFS(T_SelfStock_Log[Self_Qty],T_SelfStock_Log[Part Name],$A42,T_SelfStock_Log[WeekIndex],14))</f>
        <v/>
      </c>
      <c r="P42" s="17">
        <f>IF(COUNTIFS(T_SelfStock_Log[Part Name],$A42,T_SelfStock_Log[WeekIndex],15)=0,"",SUMIFS(T_SelfStock_Log[Self_Qty],T_SelfStock_Log[Part Name],$A42,T_SelfStock_Log[WeekIndex],15))</f>
        <v/>
      </c>
      <c r="Q42" s="17">
        <f>IF(COUNTIFS(T_SelfStock_Log[Part Name],$A42,T_SelfStock_Log[WeekIndex],16)=0,"",SUMIFS(T_SelfStock_Log[Self_Qty],T_SelfStock_Log[Part Name],$A42,T_SelfStock_Log[WeekIndex],16))</f>
        <v/>
      </c>
      <c r="R42" s="17">
        <f>IF(COUNTIFS(T_SelfStock_Log[Part Name],$A42,T_SelfStock_Log[WeekIndex],17)=0,"",SUMIFS(T_SelfStock_Log[Self_Qty],T_SelfStock_Log[Part Name],$A42,T_SelfStock_Log[WeekIndex],17))</f>
        <v/>
      </c>
      <c r="S42" s="17">
        <f>IF(COUNTIFS(T_SelfStock_Log[Part Name],$A42,T_SelfStock_Log[WeekIndex],18)=0,"",SUMIFS(T_SelfStock_Log[Self_Qty],T_SelfStock_Log[Part Name],$A42,T_SelfStock_Log[WeekIndex],18))</f>
        <v/>
      </c>
      <c r="T42" s="17">
        <f>IF(COUNTIFS(T_SelfStock_Log[Part Name],$A42,T_SelfStock_Log[WeekIndex],19)=0,"",SUMIFS(T_SelfStock_Log[Self_Qty],T_SelfStock_Log[Part Name],$A42,T_SelfStock_Log[WeekIndex],19))</f>
        <v/>
      </c>
      <c r="U42" s="17">
        <f>IF(COUNTIFS(T_SelfStock_Log[Part Name],$A42,T_SelfStock_Log[WeekIndex],20)=0,"",SUMIFS(T_SelfStock_Log[Self_Qty],T_SelfStock_Log[Part Name],$A42,T_SelfStock_Log[WeekIndex],20))</f>
        <v/>
      </c>
      <c r="V42" s="17">
        <f>IF(COUNTIFS(T_SelfStock_Log[Part Name],$A42,T_SelfStock_Log[WeekIndex],21)=0,"",SUMIFS(T_SelfStock_Log[Self_Qty],T_SelfStock_Log[Part Name],$A42,T_SelfStock_Log[WeekIndex],21))</f>
        <v/>
      </c>
      <c r="W42" s="17">
        <f>IF(COUNTIFS(T_SelfStock_Log[Part Name],$A42,T_SelfStock_Log[WeekIndex],22)=0,"",SUMIFS(T_SelfStock_Log[Self_Qty],T_SelfStock_Log[Part Name],$A42,T_SelfStock_Log[WeekIndex],22))</f>
        <v/>
      </c>
      <c r="X42" s="17">
        <f>IF(COUNTIFS(T_SelfStock_Log[Part Name],$A42,T_SelfStock_Log[WeekIndex],23)=0,"",SUMIFS(T_SelfStock_Log[Self_Qty],T_SelfStock_Log[Part Name],$A42,T_SelfStock_Log[WeekIndex],23))</f>
        <v/>
      </c>
      <c r="Y42" s="17">
        <f>IF(COUNTIFS(T_SelfStock_Log[Part Name],$A42,T_SelfStock_Log[WeekIndex],24)=0,"",SUMIFS(T_SelfStock_Log[Self_Qty],T_SelfStock_Log[Part Name],$A42,T_SelfStock_Log[WeekIndex],24))</f>
        <v/>
      </c>
      <c r="Z42" s="17">
        <f>IF(COUNTIFS(T_SelfStock_Log[Part Name],$A42,T_SelfStock_Log[WeekIndex],25)=0,"",SUMIFS(T_SelfStock_Log[Self_Qty],T_SelfStock_Log[Part Name],$A42,T_SelfStock_Log[WeekIndex],25))</f>
        <v/>
      </c>
      <c r="AA42" s="17">
        <f>IF(COUNTIFS(T_SelfStock_Log[Part Name],$A42,T_SelfStock_Log[WeekIndex],26)=0,"",SUMIFS(T_SelfStock_Log[Self_Qty],T_SelfStock_Log[Part Name],$A42,T_SelfStock_Log[WeekIndex],26))</f>
        <v/>
      </c>
      <c r="AB42" s="17">
        <f>IF(COUNTIFS(T_SelfStock_Log[Part Name],$A42,T_SelfStock_Log[WeekIndex],27)=0,"",SUMIFS(T_SelfStock_Log[Self_Qty],T_SelfStock_Log[Part Name],$A42,T_SelfStock_Log[WeekIndex],27))</f>
        <v/>
      </c>
      <c r="AC42" s="17">
        <f>IF(COUNTIFS(T_SelfStock_Log[Part Name],$A42,T_SelfStock_Log[WeekIndex],28)=0,"",SUMIFS(T_SelfStock_Log[Self_Qty],T_SelfStock_Log[Part Name],$A42,T_SelfStock_Log[WeekIndex],28))</f>
        <v/>
      </c>
      <c r="AD42" s="17">
        <f>IF(COUNTIFS(T_SelfStock_Log[Part Name],$A42,T_SelfStock_Log[WeekIndex],29)=0,"",SUMIFS(T_SelfStock_Log[Self_Qty],T_SelfStock_Log[Part Name],$A42,T_SelfStock_Log[WeekIndex],29))</f>
        <v/>
      </c>
      <c r="AE42" s="17">
        <f>IF(COUNTIFS(T_SelfStock_Log[Part Name],$A42,T_SelfStock_Log[WeekIndex],30)=0,"",SUMIFS(T_SelfStock_Log[Self_Qty],T_SelfStock_Log[Part Name],$A42,T_SelfStock_Log[WeekIndex],30))</f>
        <v/>
      </c>
      <c r="AF42" s="17">
        <f>IF(COUNTIFS(T_SelfStock_Log[Part Name],$A42,T_SelfStock_Log[WeekIndex],31)=0,"",SUMIFS(T_SelfStock_Log[Self_Qty],T_SelfStock_Log[Part Name],$A42,T_SelfStock_Log[WeekIndex],31))</f>
        <v/>
      </c>
      <c r="AG42" s="17">
        <f>IF(COUNTIFS(T_SelfStock_Log[Part Name],$A42,T_SelfStock_Log[WeekIndex],32)=0,"",SUMIFS(T_SelfStock_Log[Self_Qty],T_SelfStock_Log[Part Name],$A42,T_SelfStock_Log[WeekIndex],32))</f>
        <v/>
      </c>
      <c r="AH42" s="17">
        <f>IF(COUNTIFS(T_SelfStock_Log[Part Name],$A42,T_SelfStock_Log[WeekIndex],33)=0,"",SUMIFS(T_SelfStock_Log[Self_Qty],T_SelfStock_Log[Part Name],$A42,T_SelfStock_Log[WeekIndex],33))</f>
        <v/>
      </c>
      <c r="AI42" s="17">
        <f>IF(COUNTIFS(T_SelfStock_Log[Part Name],$A42,T_SelfStock_Log[WeekIndex],34)=0,"",SUMIFS(T_SelfStock_Log[Self_Qty],T_SelfStock_Log[Part Name],$A42,T_SelfStock_Log[WeekIndex],34))</f>
        <v/>
      </c>
      <c r="AJ42" s="17">
        <f>IF(COUNTIFS(T_SelfStock_Log[Part Name],$A42,T_SelfStock_Log[WeekIndex],35)=0,"",SUMIFS(T_SelfStock_Log[Self_Qty],T_SelfStock_Log[Part Name],$A42,T_SelfStock_Log[WeekIndex],35))</f>
        <v/>
      </c>
      <c r="AK42" s="17">
        <f>IF(COUNTIFS(T_SelfStock_Log[Part Name],$A42,T_SelfStock_Log[WeekIndex],36)=0,"",SUMIFS(T_SelfStock_Log[Self_Qty],T_SelfStock_Log[Part Name],$A42,T_SelfStock_Log[WeekIndex],36))</f>
        <v/>
      </c>
      <c r="AL42" s="17">
        <f>IF(COUNTIFS(T_SelfStock_Log[Part Name],$A42,T_SelfStock_Log[WeekIndex],37)=0,"",SUMIFS(T_SelfStock_Log[Self_Qty],T_SelfStock_Log[Part Name],$A42,T_SelfStock_Log[WeekIndex],37))</f>
        <v/>
      </c>
      <c r="AM42" s="17">
        <f>IF(COUNTIFS(T_SelfStock_Log[Part Name],$A42,T_SelfStock_Log[WeekIndex],38)=0,"",SUMIFS(T_SelfStock_Log[Self_Qty],T_SelfStock_Log[Part Name],$A42,T_SelfStock_Log[WeekIndex],38))</f>
        <v/>
      </c>
      <c r="AN42" s="17">
        <f>IF(COUNTIFS(T_SelfStock_Log[Part Name],$A42,T_SelfStock_Log[WeekIndex],39)=0,"",SUMIFS(T_SelfStock_Log[Self_Qty],T_SelfStock_Log[Part Name],$A42,T_SelfStock_Log[WeekIndex],39))</f>
        <v/>
      </c>
      <c r="AO42" s="17">
        <f>IF(COUNTIFS(T_SelfStock_Log[Part Name],$A42,T_SelfStock_Log[WeekIndex],40)=0,"",SUMIFS(T_SelfStock_Log[Self_Qty],T_SelfStock_Log[Part Name],$A42,T_SelfStock_Log[WeekIndex],40))</f>
        <v/>
      </c>
      <c r="AP42" s="17">
        <f>IF(COUNTIFS(T_SelfStock_Log[Part Name],$A42,T_SelfStock_Log[WeekIndex],41)=0,"",SUMIFS(T_SelfStock_Log[Self_Qty],T_SelfStock_Log[Part Name],$A42,T_SelfStock_Log[WeekIndex],41))</f>
        <v/>
      </c>
      <c r="AQ42" s="17">
        <f>IF(COUNTIFS(T_SelfStock_Log[Part Name],$A42,T_SelfStock_Log[WeekIndex],42)=0,"",SUMIFS(T_SelfStock_Log[Self_Qty],T_SelfStock_Log[Part Name],$A42,T_SelfStock_Log[WeekIndex],42))</f>
        <v/>
      </c>
      <c r="AR42" s="17">
        <f>IF(COUNTIFS(T_SelfStock_Log[Part Name],$A42,T_SelfStock_Log[WeekIndex],43)=0,"",SUMIFS(T_SelfStock_Log[Self_Qty],T_SelfStock_Log[Part Name],$A42,T_SelfStock_Log[WeekIndex],43))</f>
        <v/>
      </c>
      <c r="AS42" s="17">
        <f>IF(COUNTIFS(T_SelfStock_Log[Part Name],$A42,T_SelfStock_Log[WeekIndex],44)=0,"",SUMIFS(T_SelfStock_Log[Self_Qty],T_SelfStock_Log[Part Name],$A42,T_SelfStock_Log[WeekIndex],44))</f>
        <v/>
      </c>
      <c r="AT42" s="17">
        <f>IF(COUNTIFS(T_SelfStock_Log[Part Name],$A42,T_SelfStock_Log[WeekIndex],45)=0,"",SUMIFS(T_SelfStock_Log[Self_Qty],T_SelfStock_Log[Part Name],$A42,T_SelfStock_Log[WeekIndex],45))</f>
        <v/>
      </c>
      <c r="AU42" s="17">
        <f>IF(COUNTIFS(T_SelfStock_Log[Part Name],$A42,T_SelfStock_Log[WeekIndex],46)=0,"",SUMIFS(T_SelfStock_Log[Self_Qty],T_SelfStock_Log[Part Name],$A42,T_SelfStock_Log[WeekIndex],46))</f>
        <v/>
      </c>
      <c r="AV42" s="17">
        <f>IF(COUNTIFS(T_SelfStock_Log[Part Name],$A42,T_SelfStock_Log[WeekIndex],47)=0,"",SUMIFS(T_SelfStock_Log[Self_Qty],T_SelfStock_Log[Part Name],$A42,T_SelfStock_Log[WeekIndex],47))</f>
        <v/>
      </c>
      <c r="AW42" s="17">
        <f>IF(COUNTIFS(T_SelfStock_Log[Part Name],$A42,T_SelfStock_Log[WeekIndex],48)=0,"",SUMIFS(T_SelfStock_Log[Self_Qty],T_SelfStock_Log[Part Name],$A42,T_SelfStock_Log[WeekIndex],48))</f>
        <v/>
      </c>
      <c r="AX42" s="17">
        <f>IF(COUNTIFS(T_SelfStock_Log[Part Name],$A42,T_SelfStock_Log[WeekIndex],49)=0,"",SUMIFS(T_SelfStock_Log[Self_Qty],T_SelfStock_Log[Part Name],$A42,T_SelfStock_Log[WeekIndex],49))</f>
        <v/>
      </c>
      <c r="AY42" s="17">
        <f>IF(COUNTIFS(T_SelfStock_Log[Part Name],$A42,T_SelfStock_Log[WeekIndex],50)=0,"",SUMIFS(T_SelfStock_Log[Self_Qty],T_SelfStock_Log[Part Name],$A42,T_SelfStock_Log[WeekIndex],50))</f>
        <v/>
      </c>
      <c r="AZ42" s="17">
        <f>IF(COUNTIFS(T_SelfStock_Log[Part Name],$A42,T_SelfStock_Log[WeekIndex],51)=0,"",SUMIFS(T_SelfStock_Log[Self_Qty],T_SelfStock_Log[Part Name],$A42,T_SelfStock_Log[WeekIndex],51))</f>
        <v/>
      </c>
      <c r="BA42" s="17">
        <f>IF(COUNTIFS(T_SelfStock_Log[Part Name],$A42,T_SelfStock_Log[WeekIndex],52)=0,"",SUMIFS(T_SelfStock_Log[Self_Qty],T_SelfStock_Log[Part Name],$A42,T_SelfStock_Log[WeekIndex],52))</f>
        <v/>
      </c>
      <c r="BB42" s="17">
        <f>IF(COUNTIFS(T_SelfStock_Log[Part Name],$A42,T_SelfStock_Log[WeekIndex],53)=0,"",SUMIFS(T_SelfStock_Log[Self_Qty],T_SelfStock_Log[Part Name],$A42,T_SelfStock_Log[WeekIndex],53))</f>
        <v/>
      </c>
      <c r="BC42" s="17">
        <f>IF(COUNTIFS(T_SelfStock_Log[Part Name],$A42,T_SelfStock_Log[WeekIndex],54)=0,"",SUMIFS(T_SelfStock_Log[Self_Qty],T_SelfStock_Log[Part Name],$A42,T_SelfStock_Log[WeekIndex],54))</f>
        <v/>
      </c>
      <c r="BD42" s="17">
        <f>IF(COUNTIFS(T_SelfStock_Log[Part Name],$A42,T_SelfStock_Log[WeekIndex],55)=0,"",SUMIFS(T_SelfStock_Log[Self_Qty],T_SelfStock_Log[Part Name],$A42,T_SelfStock_Log[WeekIndex],55))</f>
        <v/>
      </c>
      <c r="BE42" s="17">
        <f>IF(COUNTIFS(T_SelfStock_Log[Part Name],$A42,T_SelfStock_Log[WeekIndex],56)=0,"",SUMIFS(T_SelfStock_Log[Self_Qty],T_SelfStock_Log[Part Name],$A42,T_SelfStock_Log[WeekIndex],56))</f>
        <v/>
      </c>
      <c r="BF42" s="17">
        <f>IF(COUNTIFS(T_SelfStock_Log[Part Name],$A42,T_SelfStock_Log[WeekIndex],57)=0,"",SUMIFS(T_SelfStock_Log[Self_Qty],T_SelfStock_Log[Part Name],$A42,T_SelfStock_Log[WeekIndex],57))</f>
        <v/>
      </c>
      <c r="BG42" s="17">
        <f>IF(COUNTIFS(T_SelfStock_Log[Part Name],$A42,T_SelfStock_Log[WeekIndex],58)=0,"",SUMIFS(T_SelfStock_Log[Self_Qty],T_SelfStock_Log[Part Name],$A42,T_SelfStock_Log[WeekIndex],58))</f>
        <v/>
      </c>
      <c r="BH42" s="17">
        <f>IF(COUNTIFS(T_SelfStock_Log[Part Name],$A42,T_SelfStock_Log[WeekIndex],59)=0,"",SUMIFS(T_SelfStock_Log[Self_Qty],T_SelfStock_Log[Part Name],$A42,T_SelfStock_Log[WeekIndex],59))</f>
        <v/>
      </c>
      <c r="BI42" s="17">
        <f>IF(COUNTIFS(T_SelfStock_Log[Part Name],$A42,T_SelfStock_Log[WeekIndex],60)=0,"",SUMIFS(T_SelfStock_Log[Self_Qty],T_SelfStock_Log[Part Name],$A42,T_SelfStock_Log[WeekIndex],60))</f>
        <v/>
      </c>
      <c r="BJ42" s="17">
        <f>IF(COUNTIFS(T_SelfStock_Log[Part Name],$A42,T_SelfStock_Log[WeekIndex],61)=0,"",SUMIFS(T_SelfStock_Log[Self_Qty],T_SelfStock_Log[Part Name],$A42,T_SelfStock_Log[WeekIndex],61))</f>
        <v/>
      </c>
      <c r="BK42" s="17">
        <f>IF(COUNTIFS(T_SelfStock_Log[Part Name],$A42,T_SelfStock_Log[WeekIndex],62)=0,"",SUMIFS(T_SelfStock_Log[Self_Qty],T_SelfStock_Log[Part Name],$A42,T_SelfStock_Log[WeekIndex],62))</f>
        <v/>
      </c>
      <c r="BL42" s="17">
        <f>IF(COUNTIFS(T_SelfStock_Log[Part Name],$A42,T_SelfStock_Log[WeekIndex],63)=0,"",SUMIFS(T_SelfStock_Log[Self_Qty],T_SelfStock_Log[Part Name],$A42,T_SelfStock_Log[WeekIndex],63))</f>
        <v/>
      </c>
      <c r="BM42" s="17">
        <f>IF(COUNTIFS(T_SelfStock_Log[Part Name],$A42,T_SelfStock_Log[WeekIndex],64)=0,"",SUMIFS(T_SelfStock_Log[Self_Qty],T_SelfStock_Log[Part Name],$A42,T_SelfStock_Log[WeekIndex],64))</f>
        <v/>
      </c>
      <c r="BN42" s="17">
        <f>IF(COUNTIFS(T_SelfStock_Log[Part Name],$A42,T_SelfStock_Log[WeekIndex],65)=0,"",SUMIFS(T_SelfStock_Log[Self_Qty],T_SelfStock_Log[Part Name],$A42,T_SelfStock_Log[WeekIndex],65))</f>
        <v/>
      </c>
      <c r="BO42" s="17">
        <f>IF(COUNTIFS(T_SelfStock_Log[Part Name],$A42,T_SelfStock_Log[WeekIndex],66)=0,"",SUMIFS(T_SelfStock_Log[Self_Qty],T_SelfStock_Log[Part Name],$A42,T_SelfStock_Log[WeekIndex],66))</f>
        <v/>
      </c>
      <c r="BP42" s="17">
        <f>IF(COUNTIFS(T_SelfStock_Log[Part Name],$A42,T_SelfStock_Log[WeekIndex],67)=0,"",SUMIFS(T_SelfStock_Log[Self_Qty],T_SelfStock_Log[Part Name],$A42,T_SelfStock_Log[WeekIndex],67))</f>
        <v/>
      </c>
      <c r="BQ42" s="17">
        <f>IF(COUNTIFS(T_SelfStock_Log[Part Name],$A42,T_SelfStock_Log[WeekIndex],68)=0,"",SUMIFS(T_SelfStock_Log[Self_Qty],T_SelfStock_Log[Part Name],$A42,T_SelfStock_Log[WeekIndex],68))</f>
        <v/>
      </c>
      <c r="BR42" s="17">
        <f>IF(COUNTIFS(T_SelfStock_Log[Part Name],$A42,T_SelfStock_Log[WeekIndex],69)=0,"",SUMIFS(T_SelfStock_Log[Self_Qty],T_SelfStock_Log[Part Name],$A42,T_SelfStock_Log[WeekIndex],69))</f>
        <v/>
      </c>
      <c r="BS42" s="17">
        <f>IF(COUNTIFS(T_SelfStock_Log[Part Name],$A42,T_SelfStock_Log[WeekIndex],70)=0,"",SUMIFS(T_SelfStock_Log[Self_Qty],T_SelfStock_Log[Part Name],$A42,T_SelfStock_Log[WeekIndex],70))</f>
        <v/>
      </c>
      <c r="BT42" s="17">
        <f>IF(COUNTIFS(T_SelfStock_Log[Part Name],$A42,T_SelfStock_Log[WeekIndex],71)=0,"",SUMIFS(T_SelfStock_Log[Self_Qty],T_SelfStock_Log[Part Name],$A42,T_SelfStock_Log[WeekIndex],71))</f>
        <v/>
      </c>
      <c r="BU42" s="17">
        <f>IF(COUNTIFS(T_SelfStock_Log[Part Name],$A42,T_SelfStock_Log[WeekIndex],72)=0,"",SUMIFS(T_SelfStock_Log[Self_Qty],T_SelfStock_Log[Part Name],$A42,T_SelfStock_Log[WeekIndex],72))</f>
        <v/>
      </c>
      <c r="BV42" s="17">
        <f>IF(COUNTIFS(T_SelfStock_Log[Part Name],$A42,T_SelfStock_Log[WeekIndex],73)=0,"",SUMIFS(T_SelfStock_Log[Self_Qty],T_SelfStock_Log[Part Name],$A42,T_SelfStock_Log[WeekIndex],73))</f>
        <v/>
      </c>
      <c r="BW42" s="17">
        <f>IF(COUNTIFS(T_SelfStock_Log[Part Name],$A42,T_SelfStock_Log[WeekIndex],74)=0,"",SUMIFS(T_SelfStock_Log[Self_Qty],T_SelfStock_Log[Part Name],$A42,T_SelfStock_Log[WeekIndex],74))</f>
        <v/>
      </c>
      <c r="BX42" s="17">
        <f>IF(COUNTIFS(T_SelfStock_Log[Part Name],$A42,T_SelfStock_Log[WeekIndex],75)=0,"",SUMIFS(T_SelfStock_Log[Self_Qty],T_SelfStock_Log[Part Name],$A42,T_SelfStock_Log[WeekIndex],75))</f>
        <v/>
      </c>
      <c r="BY42" s="17">
        <f>IF(COUNTIFS(T_SelfStock_Log[Part Name],$A42,T_SelfStock_Log[WeekIndex],76)=0,"",SUMIFS(T_SelfStock_Log[Self_Qty],T_SelfStock_Log[Part Name],$A42,T_SelfStock_Log[WeekIndex],76))</f>
        <v/>
      </c>
      <c r="BZ42" s="17">
        <f>IF(COUNTIFS(T_SelfStock_Log[Part Name],$A42,T_SelfStock_Log[WeekIndex],77)=0,"",SUMIFS(T_SelfStock_Log[Self_Qty],T_SelfStock_Log[Part Name],$A42,T_SelfStock_Log[WeekIndex],77))</f>
        <v/>
      </c>
      <c r="CA42" s="17">
        <f>IF(COUNTIFS(T_SelfStock_Log[Part Name],$A42,T_SelfStock_Log[WeekIndex],78)=0,"",SUMIFS(T_SelfStock_Log[Self_Qty],T_SelfStock_Log[Part Name],$A42,T_SelfStock_Log[WeekIndex],78))</f>
        <v/>
      </c>
      <c r="CB42" s="17">
        <f>IF(COUNTIFS(T_SelfStock_Log[Part Name],$A42,T_SelfStock_Log[WeekIndex],79)=0,"",SUMIFS(T_SelfStock_Log[Self_Qty],T_SelfStock_Log[Part Name],$A42,T_SelfStock_Log[WeekIndex],79))</f>
        <v/>
      </c>
      <c r="CC42" s="17">
        <f>IF(COUNTIFS(T_SelfStock_Log[Part Name],$A42,T_SelfStock_Log[WeekIndex],80)=0,"",SUMIFS(T_SelfStock_Log[Self_Qty],T_SelfStock_Log[Part Name],$A42,T_SelfStock_Log[WeekIndex],80))</f>
        <v/>
      </c>
      <c r="CD42" s="17">
        <f>IF(COUNTIFS(T_SelfStock_Log[Part Name],$A42,T_SelfStock_Log[WeekIndex],81)=0,"",SUMIFS(T_SelfStock_Log[Self_Qty],T_SelfStock_Log[Part Name],$A42,T_SelfStock_Log[WeekIndex],81))</f>
        <v/>
      </c>
      <c r="CE42" s="17">
        <f>IF(COUNTIFS(T_SelfStock_Log[Part Name],$A42,T_SelfStock_Log[WeekIndex],82)=0,"",SUMIFS(T_SelfStock_Log[Self_Qty],T_SelfStock_Log[Part Name],$A42,T_SelfStock_Log[WeekIndex],82))</f>
        <v/>
      </c>
      <c r="CF42" s="17">
        <f>IF(COUNTIFS(T_SelfStock_Log[Part Name],$A42,T_SelfStock_Log[WeekIndex],83)=0,"",SUMIFS(T_SelfStock_Log[Self_Qty],T_SelfStock_Log[Part Name],$A42,T_SelfStock_Log[WeekIndex],83))</f>
        <v/>
      </c>
      <c r="CG42" s="17">
        <f>IF(COUNTIFS(T_SelfStock_Log[Part Name],$A42,T_SelfStock_Log[WeekIndex],84)=0,"",SUMIFS(T_SelfStock_Log[Self_Qty],T_SelfStock_Log[Part Name],$A42,T_SelfStock_Log[WeekIndex],84))</f>
        <v/>
      </c>
      <c r="CH42" s="17">
        <f>IF(COUNTIFS(T_SelfStock_Log[Part Name],$A42,T_SelfStock_Log[WeekIndex],85)=0,"",SUMIFS(T_SelfStock_Log[Self_Qty],T_SelfStock_Log[Part Name],$A42,T_SelfStock_Log[WeekIndex],85))</f>
        <v/>
      </c>
      <c r="CI42" s="17">
        <f>IF(COUNTIFS(T_SelfStock_Log[Part Name],$A42,T_SelfStock_Log[WeekIndex],86)=0,"",SUMIFS(T_SelfStock_Log[Self_Qty],T_SelfStock_Log[Part Name],$A42,T_SelfStock_Log[WeekIndex],86))</f>
        <v/>
      </c>
      <c r="CJ42" s="17">
        <f>IF(COUNTIFS(T_SelfStock_Log[Part Name],$A42,T_SelfStock_Log[WeekIndex],87)=0,"",SUMIFS(T_SelfStock_Log[Self_Qty],T_SelfStock_Log[Part Name],$A42,T_SelfStock_Log[WeekIndex],87))</f>
        <v/>
      </c>
      <c r="CK42" s="17">
        <f>IF(COUNTIFS(T_SelfStock_Log[Part Name],$A42,T_SelfStock_Log[WeekIndex],88)=0,"",SUMIFS(T_SelfStock_Log[Self_Qty],T_SelfStock_Log[Part Name],$A42,T_SelfStock_Log[WeekIndex],88))</f>
        <v/>
      </c>
      <c r="CL42" s="17">
        <f>IF(COUNTIFS(T_SelfStock_Log[Part Name],$A42,T_SelfStock_Log[WeekIndex],89)=0,"",SUMIFS(T_SelfStock_Log[Self_Qty],T_SelfStock_Log[Part Name],$A42,T_SelfStock_Log[WeekIndex],89))</f>
        <v/>
      </c>
      <c r="CM42" s="17">
        <f>IF(COUNTIFS(T_SelfStock_Log[Part Name],$A42,T_SelfStock_Log[WeekIndex],90)=0,"",SUMIFS(T_SelfStock_Log[Self_Qty],T_SelfStock_Log[Part Name],$A42,T_SelfStock_Log[WeekIndex],90))</f>
        <v/>
      </c>
      <c r="CN42" s="17">
        <f>IF(COUNTIFS(T_SelfStock_Log[Part Name],$A42,T_SelfStock_Log[WeekIndex],91)=0,"",SUMIFS(T_SelfStock_Log[Self_Qty],T_SelfStock_Log[Part Name],$A42,T_SelfStock_Log[WeekIndex],91))</f>
        <v/>
      </c>
      <c r="CO42" s="17">
        <f>IF(COUNTIFS(T_SelfStock_Log[Part Name],$A42,T_SelfStock_Log[WeekIndex],92)=0,"",SUMIFS(T_SelfStock_Log[Self_Qty],T_SelfStock_Log[Part Name],$A42,T_SelfStock_Log[WeekIndex],92))</f>
        <v/>
      </c>
      <c r="CP42" s="17">
        <f>IF(COUNTIFS(T_SelfStock_Log[Part Name],$A42,T_SelfStock_Log[WeekIndex],93)=0,"",SUMIFS(T_SelfStock_Log[Self_Qty],T_SelfStock_Log[Part Name],$A42,T_SelfStock_Log[WeekIndex],93))</f>
        <v/>
      </c>
      <c r="CQ42" s="17">
        <f>IF(COUNTIFS(T_SelfStock_Log[Part Name],$A42,T_SelfStock_Log[WeekIndex],94)=0,"",SUMIFS(T_SelfStock_Log[Self_Qty],T_SelfStock_Log[Part Name],$A42,T_SelfStock_Log[WeekIndex],94))</f>
        <v/>
      </c>
      <c r="CR42" s="17">
        <f>IF(COUNTIFS(T_SelfStock_Log[Part Name],$A42,T_SelfStock_Log[WeekIndex],95)=0,"",SUMIFS(T_SelfStock_Log[Self_Qty],T_SelfStock_Log[Part Name],$A42,T_SelfStock_Log[WeekIndex],95))</f>
        <v/>
      </c>
      <c r="CS42" s="17">
        <f>IF(COUNTIFS(T_SelfStock_Log[Part Name],$A42,T_SelfStock_Log[WeekIndex],96)=0,"",SUMIFS(T_SelfStock_Log[Self_Qty],T_SelfStock_Log[Part Name],$A42,T_SelfStock_Log[WeekIndex],96))</f>
        <v/>
      </c>
      <c r="CT42" s="17">
        <f>IF(COUNTIFS(T_SelfStock_Log[Part Name],$A42,T_SelfStock_Log[WeekIndex],97)=0,"",SUMIFS(T_SelfStock_Log[Self_Qty],T_SelfStock_Log[Part Name],$A42,T_SelfStock_Log[WeekIndex],97))</f>
        <v/>
      </c>
      <c r="CU42" s="17">
        <f>IF(COUNTIFS(T_SelfStock_Log[Part Name],$A42,T_SelfStock_Log[WeekIndex],98)=0,"",SUMIFS(T_SelfStock_Log[Self_Qty],T_SelfStock_Log[Part Name],$A42,T_SelfStock_Log[WeekIndex],98))</f>
        <v/>
      </c>
      <c r="CV42" s="17">
        <f>IF(COUNTIFS(T_SelfStock_Log[Part Name],$A42,T_SelfStock_Log[WeekIndex],99)=0,"",SUMIFS(T_SelfStock_Log[Self_Qty],T_SelfStock_Log[Part Name],$A42,T_SelfStock_Log[WeekIndex],99))</f>
        <v/>
      </c>
      <c r="CW42" s="17">
        <f>IF(COUNTIFS(T_SelfStock_Log[Part Name],$A42,T_SelfStock_Log[WeekIndex],100)=0,"",SUMIFS(T_SelfStock_Log[Self_Qty],T_SelfStock_Log[Part Name],$A42,T_SelfStock_Log[WeekIndex],100))</f>
        <v/>
      </c>
      <c r="CX42" s="17">
        <f>IF(COUNTIFS(T_SelfStock_Log[Part Name],$A42,T_SelfStock_Log[WeekIndex],101)=0,"",SUMIFS(T_SelfStock_Log[Self_Qty],T_SelfStock_Log[Part Name],$A42,T_SelfStock_Log[WeekIndex],101))</f>
        <v/>
      </c>
      <c r="CY42" s="17">
        <f>IF(COUNTIFS(T_SelfStock_Log[Part Name],$A42,T_SelfStock_Log[WeekIndex],102)=0,"",SUMIFS(T_SelfStock_Log[Self_Qty],T_SelfStock_Log[Part Name],$A42,T_SelfStock_Log[WeekIndex],102))</f>
        <v/>
      </c>
      <c r="CZ42" s="17">
        <f>IF(COUNTIFS(T_SelfStock_Log[Part Name],$A42,T_SelfStock_Log[WeekIndex],103)=0,"",SUMIFS(T_SelfStock_Log[Self_Qty],T_SelfStock_Log[Part Name],$A42,T_SelfStock_Log[WeekIndex],103))</f>
        <v/>
      </c>
      <c r="DA42" s="17">
        <f>IF(COUNTIFS(T_SelfStock_Log[Part Name],$A42,T_SelfStock_Log[WeekIndex],104)=0,"",SUMIFS(T_SelfStock_Log[Self_Qty],T_SelfStock_Log[Part Name],$A42,T_SelfStock_Log[WeekIndex],104))</f>
        <v/>
      </c>
    </row>
    <row r="43">
      <c r="A43" s="19" t="inlineStr">
        <is>
          <t>CHEM-1540</t>
        </is>
      </c>
      <c r="B43" s="19">
        <f>IF(COUNTIFS(T_SelfStock_Log[Part Name],$A43,T_SelfStock_Log[WeekIndex],1)=0,"",SUMIFS(T_SelfStock_Log[Self_Qty],T_SelfStock_Log[Part Name],$A43,T_SelfStock_Log[WeekIndex],1))</f>
        <v/>
      </c>
      <c r="C43" s="19">
        <f>IF(COUNTIFS(T_SelfStock_Log[Part Name],$A43,T_SelfStock_Log[WeekIndex],2)=0,"",SUMIFS(T_SelfStock_Log[Self_Qty],T_SelfStock_Log[Part Name],$A43,T_SelfStock_Log[WeekIndex],2))</f>
        <v/>
      </c>
      <c r="D43" s="19">
        <f>IF(COUNTIFS(T_SelfStock_Log[Part Name],$A43,T_SelfStock_Log[WeekIndex],3)=0,"",SUMIFS(T_SelfStock_Log[Self_Qty],T_SelfStock_Log[Part Name],$A43,T_SelfStock_Log[WeekIndex],3))</f>
        <v/>
      </c>
      <c r="E43" s="19">
        <f>IF(COUNTIFS(T_SelfStock_Log[Part Name],$A43,T_SelfStock_Log[WeekIndex],4)=0,"",SUMIFS(T_SelfStock_Log[Self_Qty],T_SelfStock_Log[Part Name],$A43,T_SelfStock_Log[WeekIndex],4))</f>
        <v/>
      </c>
      <c r="F43" s="19">
        <f>IF(COUNTIFS(T_SelfStock_Log[Part Name],$A43,T_SelfStock_Log[WeekIndex],5)=0,"",SUMIFS(T_SelfStock_Log[Self_Qty],T_SelfStock_Log[Part Name],$A43,T_SelfStock_Log[WeekIndex],5))</f>
        <v/>
      </c>
      <c r="G43" s="19">
        <f>IF(COUNTIFS(T_SelfStock_Log[Part Name],$A43,T_SelfStock_Log[WeekIndex],6)=0,"",SUMIFS(T_SelfStock_Log[Self_Qty],T_SelfStock_Log[Part Name],$A43,T_SelfStock_Log[WeekIndex],6))</f>
        <v/>
      </c>
      <c r="H43" s="19">
        <f>IF(COUNTIFS(T_SelfStock_Log[Part Name],$A43,T_SelfStock_Log[WeekIndex],7)=0,"",SUMIFS(T_SelfStock_Log[Self_Qty],T_SelfStock_Log[Part Name],$A43,T_SelfStock_Log[WeekIndex],7))</f>
        <v/>
      </c>
      <c r="I43" s="19">
        <f>IF(COUNTIFS(T_SelfStock_Log[Part Name],$A43,T_SelfStock_Log[WeekIndex],8)=0,"",SUMIFS(T_SelfStock_Log[Self_Qty],T_SelfStock_Log[Part Name],$A43,T_SelfStock_Log[WeekIndex],8))</f>
        <v/>
      </c>
      <c r="J43" s="19">
        <f>IF(COUNTIFS(T_SelfStock_Log[Part Name],$A43,T_SelfStock_Log[WeekIndex],9)=0,"",SUMIFS(T_SelfStock_Log[Self_Qty],T_SelfStock_Log[Part Name],$A43,T_SelfStock_Log[WeekIndex],9))</f>
        <v/>
      </c>
      <c r="K43" s="19">
        <f>IF(COUNTIFS(T_SelfStock_Log[Part Name],$A43,T_SelfStock_Log[WeekIndex],10)=0,"",SUMIFS(T_SelfStock_Log[Self_Qty],T_SelfStock_Log[Part Name],$A43,T_SelfStock_Log[WeekIndex],10))</f>
        <v/>
      </c>
      <c r="L43" s="19">
        <f>IF(COUNTIFS(T_SelfStock_Log[Part Name],$A43,T_SelfStock_Log[WeekIndex],11)=0,"",SUMIFS(T_SelfStock_Log[Self_Qty],T_SelfStock_Log[Part Name],$A43,T_SelfStock_Log[WeekIndex],11))</f>
        <v/>
      </c>
      <c r="M43" s="19">
        <f>IF(COUNTIFS(T_SelfStock_Log[Part Name],$A43,T_SelfStock_Log[WeekIndex],12)=0,"",SUMIFS(T_SelfStock_Log[Self_Qty],T_SelfStock_Log[Part Name],$A43,T_SelfStock_Log[WeekIndex],12))</f>
        <v/>
      </c>
      <c r="N43" s="19">
        <f>IF(COUNTIFS(T_SelfStock_Log[Part Name],$A43,T_SelfStock_Log[WeekIndex],13)=0,"",SUMIFS(T_SelfStock_Log[Self_Qty],T_SelfStock_Log[Part Name],$A43,T_SelfStock_Log[WeekIndex],13))</f>
        <v/>
      </c>
      <c r="O43" s="19">
        <f>IF(COUNTIFS(T_SelfStock_Log[Part Name],$A43,T_SelfStock_Log[WeekIndex],14)=0,"",SUMIFS(T_SelfStock_Log[Self_Qty],T_SelfStock_Log[Part Name],$A43,T_SelfStock_Log[WeekIndex],14))</f>
        <v/>
      </c>
      <c r="P43" s="19">
        <f>IF(COUNTIFS(T_SelfStock_Log[Part Name],$A43,T_SelfStock_Log[WeekIndex],15)=0,"",SUMIFS(T_SelfStock_Log[Self_Qty],T_SelfStock_Log[Part Name],$A43,T_SelfStock_Log[WeekIndex],15))</f>
        <v/>
      </c>
      <c r="Q43" s="19">
        <f>IF(COUNTIFS(T_SelfStock_Log[Part Name],$A43,T_SelfStock_Log[WeekIndex],16)=0,"",SUMIFS(T_SelfStock_Log[Self_Qty],T_SelfStock_Log[Part Name],$A43,T_SelfStock_Log[WeekIndex],16))</f>
        <v/>
      </c>
      <c r="R43" s="19">
        <f>IF(COUNTIFS(T_SelfStock_Log[Part Name],$A43,T_SelfStock_Log[WeekIndex],17)=0,"",SUMIFS(T_SelfStock_Log[Self_Qty],T_SelfStock_Log[Part Name],$A43,T_SelfStock_Log[WeekIndex],17))</f>
        <v/>
      </c>
      <c r="S43" s="19">
        <f>IF(COUNTIFS(T_SelfStock_Log[Part Name],$A43,T_SelfStock_Log[WeekIndex],18)=0,"",SUMIFS(T_SelfStock_Log[Self_Qty],T_SelfStock_Log[Part Name],$A43,T_SelfStock_Log[WeekIndex],18))</f>
        <v/>
      </c>
      <c r="T43" s="19">
        <f>IF(COUNTIFS(T_SelfStock_Log[Part Name],$A43,T_SelfStock_Log[WeekIndex],19)=0,"",SUMIFS(T_SelfStock_Log[Self_Qty],T_SelfStock_Log[Part Name],$A43,T_SelfStock_Log[WeekIndex],19))</f>
        <v/>
      </c>
      <c r="U43" s="19">
        <f>IF(COUNTIFS(T_SelfStock_Log[Part Name],$A43,T_SelfStock_Log[WeekIndex],20)=0,"",SUMIFS(T_SelfStock_Log[Self_Qty],T_SelfStock_Log[Part Name],$A43,T_SelfStock_Log[WeekIndex],20))</f>
        <v/>
      </c>
      <c r="V43" s="19">
        <f>IF(COUNTIFS(T_SelfStock_Log[Part Name],$A43,T_SelfStock_Log[WeekIndex],21)=0,"",SUMIFS(T_SelfStock_Log[Self_Qty],T_SelfStock_Log[Part Name],$A43,T_SelfStock_Log[WeekIndex],21))</f>
        <v/>
      </c>
      <c r="W43" s="19">
        <f>IF(COUNTIFS(T_SelfStock_Log[Part Name],$A43,T_SelfStock_Log[WeekIndex],22)=0,"",SUMIFS(T_SelfStock_Log[Self_Qty],T_SelfStock_Log[Part Name],$A43,T_SelfStock_Log[WeekIndex],22))</f>
        <v/>
      </c>
      <c r="X43" s="19">
        <f>IF(COUNTIFS(T_SelfStock_Log[Part Name],$A43,T_SelfStock_Log[WeekIndex],23)=0,"",SUMIFS(T_SelfStock_Log[Self_Qty],T_SelfStock_Log[Part Name],$A43,T_SelfStock_Log[WeekIndex],23))</f>
        <v/>
      </c>
      <c r="Y43" s="19">
        <f>IF(COUNTIFS(T_SelfStock_Log[Part Name],$A43,T_SelfStock_Log[WeekIndex],24)=0,"",SUMIFS(T_SelfStock_Log[Self_Qty],T_SelfStock_Log[Part Name],$A43,T_SelfStock_Log[WeekIndex],24))</f>
        <v/>
      </c>
      <c r="Z43" s="19">
        <f>IF(COUNTIFS(T_SelfStock_Log[Part Name],$A43,T_SelfStock_Log[WeekIndex],25)=0,"",SUMIFS(T_SelfStock_Log[Self_Qty],T_SelfStock_Log[Part Name],$A43,T_SelfStock_Log[WeekIndex],25))</f>
        <v/>
      </c>
      <c r="AA43" s="19">
        <f>IF(COUNTIFS(T_SelfStock_Log[Part Name],$A43,T_SelfStock_Log[WeekIndex],26)=0,"",SUMIFS(T_SelfStock_Log[Self_Qty],T_SelfStock_Log[Part Name],$A43,T_SelfStock_Log[WeekIndex],26))</f>
        <v/>
      </c>
      <c r="AB43" s="19">
        <f>IF(COUNTIFS(T_SelfStock_Log[Part Name],$A43,T_SelfStock_Log[WeekIndex],27)=0,"",SUMIFS(T_SelfStock_Log[Self_Qty],T_SelfStock_Log[Part Name],$A43,T_SelfStock_Log[WeekIndex],27))</f>
        <v/>
      </c>
      <c r="AC43" s="19">
        <f>IF(COUNTIFS(T_SelfStock_Log[Part Name],$A43,T_SelfStock_Log[WeekIndex],28)=0,"",SUMIFS(T_SelfStock_Log[Self_Qty],T_SelfStock_Log[Part Name],$A43,T_SelfStock_Log[WeekIndex],28))</f>
        <v/>
      </c>
      <c r="AD43" s="19">
        <f>IF(COUNTIFS(T_SelfStock_Log[Part Name],$A43,T_SelfStock_Log[WeekIndex],29)=0,"",SUMIFS(T_SelfStock_Log[Self_Qty],T_SelfStock_Log[Part Name],$A43,T_SelfStock_Log[WeekIndex],29))</f>
        <v/>
      </c>
      <c r="AE43" s="19">
        <f>IF(COUNTIFS(T_SelfStock_Log[Part Name],$A43,T_SelfStock_Log[WeekIndex],30)=0,"",SUMIFS(T_SelfStock_Log[Self_Qty],T_SelfStock_Log[Part Name],$A43,T_SelfStock_Log[WeekIndex],30))</f>
        <v/>
      </c>
      <c r="AF43" s="19">
        <f>IF(COUNTIFS(T_SelfStock_Log[Part Name],$A43,T_SelfStock_Log[WeekIndex],31)=0,"",SUMIFS(T_SelfStock_Log[Self_Qty],T_SelfStock_Log[Part Name],$A43,T_SelfStock_Log[WeekIndex],31))</f>
        <v/>
      </c>
      <c r="AG43" s="19">
        <f>IF(COUNTIFS(T_SelfStock_Log[Part Name],$A43,T_SelfStock_Log[WeekIndex],32)=0,"",SUMIFS(T_SelfStock_Log[Self_Qty],T_SelfStock_Log[Part Name],$A43,T_SelfStock_Log[WeekIndex],32))</f>
        <v/>
      </c>
      <c r="AH43" s="19">
        <f>IF(COUNTIFS(T_SelfStock_Log[Part Name],$A43,T_SelfStock_Log[WeekIndex],33)=0,"",SUMIFS(T_SelfStock_Log[Self_Qty],T_SelfStock_Log[Part Name],$A43,T_SelfStock_Log[WeekIndex],33))</f>
        <v/>
      </c>
      <c r="AI43" s="19">
        <f>IF(COUNTIFS(T_SelfStock_Log[Part Name],$A43,T_SelfStock_Log[WeekIndex],34)=0,"",SUMIFS(T_SelfStock_Log[Self_Qty],T_SelfStock_Log[Part Name],$A43,T_SelfStock_Log[WeekIndex],34))</f>
        <v/>
      </c>
      <c r="AJ43" s="19">
        <f>IF(COUNTIFS(T_SelfStock_Log[Part Name],$A43,T_SelfStock_Log[WeekIndex],35)=0,"",SUMIFS(T_SelfStock_Log[Self_Qty],T_SelfStock_Log[Part Name],$A43,T_SelfStock_Log[WeekIndex],35))</f>
        <v/>
      </c>
      <c r="AK43" s="19">
        <f>IF(COUNTIFS(T_SelfStock_Log[Part Name],$A43,T_SelfStock_Log[WeekIndex],36)=0,"",SUMIFS(T_SelfStock_Log[Self_Qty],T_SelfStock_Log[Part Name],$A43,T_SelfStock_Log[WeekIndex],36))</f>
        <v/>
      </c>
      <c r="AL43" s="19">
        <f>IF(COUNTIFS(T_SelfStock_Log[Part Name],$A43,T_SelfStock_Log[WeekIndex],37)=0,"",SUMIFS(T_SelfStock_Log[Self_Qty],T_SelfStock_Log[Part Name],$A43,T_SelfStock_Log[WeekIndex],37))</f>
        <v/>
      </c>
      <c r="AM43" s="19">
        <f>IF(COUNTIFS(T_SelfStock_Log[Part Name],$A43,T_SelfStock_Log[WeekIndex],38)=0,"",SUMIFS(T_SelfStock_Log[Self_Qty],T_SelfStock_Log[Part Name],$A43,T_SelfStock_Log[WeekIndex],38))</f>
        <v/>
      </c>
      <c r="AN43" s="19">
        <f>IF(COUNTIFS(T_SelfStock_Log[Part Name],$A43,T_SelfStock_Log[WeekIndex],39)=0,"",SUMIFS(T_SelfStock_Log[Self_Qty],T_SelfStock_Log[Part Name],$A43,T_SelfStock_Log[WeekIndex],39))</f>
        <v/>
      </c>
      <c r="AO43" s="19">
        <f>IF(COUNTIFS(T_SelfStock_Log[Part Name],$A43,T_SelfStock_Log[WeekIndex],40)=0,"",SUMIFS(T_SelfStock_Log[Self_Qty],T_SelfStock_Log[Part Name],$A43,T_SelfStock_Log[WeekIndex],40))</f>
        <v/>
      </c>
      <c r="AP43" s="19">
        <f>IF(COUNTIFS(T_SelfStock_Log[Part Name],$A43,T_SelfStock_Log[WeekIndex],41)=0,"",SUMIFS(T_SelfStock_Log[Self_Qty],T_SelfStock_Log[Part Name],$A43,T_SelfStock_Log[WeekIndex],41))</f>
        <v/>
      </c>
      <c r="AQ43" s="19">
        <f>IF(COUNTIFS(T_SelfStock_Log[Part Name],$A43,T_SelfStock_Log[WeekIndex],42)=0,"",SUMIFS(T_SelfStock_Log[Self_Qty],T_SelfStock_Log[Part Name],$A43,T_SelfStock_Log[WeekIndex],42))</f>
        <v/>
      </c>
      <c r="AR43" s="19">
        <f>IF(COUNTIFS(T_SelfStock_Log[Part Name],$A43,T_SelfStock_Log[WeekIndex],43)=0,"",SUMIFS(T_SelfStock_Log[Self_Qty],T_SelfStock_Log[Part Name],$A43,T_SelfStock_Log[WeekIndex],43))</f>
        <v/>
      </c>
      <c r="AS43" s="19">
        <f>IF(COUNTIFS(T_SelfStock_Log[Part Name],$A43,T_SelfStock_Log[WeekIndex],44)=0,"",SUMIFS(T_SelfStock_Log[Self_Qty],T_SelfStock_Log[Part Name],$A43,T_SelfStock_Log[WeekIndex],44))</f>
        <v/>
      </c>
      <c r="AT43" s="19">
        <f>IF(COUNTIFS(T_SelfStock_Log[Part Name],$A43,T_SelfStock_Log[WeekIndex],45)=0,"",SUMIFS(T_SelfStock_Log[Self_Qty],T_SelfStock_Log[Part Name],$A43,T_SelfStock_Log[WeekIndex],45))</f>
        <v/>
      </c>
      <c r="AU43" s="19">
        <f>IF(COUNTIFS(T_SelfStock_Log[Part Name],$A43,T_SelfStock_Log[WeekIndex],46)=0,"",SUMIFS(T_SelfStock_Log[Self_Qty],T_SelfStock_Log[Part Name],$A43,T_SelfStock_Log[WeekIndex],46))</f>
        <v/>
      </c>
      <c r="AV43" s="19">
        <f>IF(COUNTIFS(T_SelfStock_Log[Part Name],$A43,T_SelfStock_Log[WeekIndex],47)=0,"",SUMIFS(T_SelfStock_Log[Self_Qty],T_SelfStock_Log[Part Name],$A43,T_SelfStock_Log[WeekIndex],47))</f>
        <v/>
      </c>
      <c r="AW43" s="19">
        <f>IF(COUNTIFS(T_SelfStock_Log[Part Name],$A43,T_SelfStock_Log[WeekIndex],48)=0,"",SUMIFS(T_SelfStock_Log[Self_Qty],T_SelfStock_Log[Part Name],$A43,T_SelfStock_Log[WeekIndex],48))</f>
        <v/>
      </c>
      <c r="AX43" s="19">
        <f>IF(COUNTIFS(T_SelfStock_Log[Part Name],$A43,T_SelfStock_Log[WeekIndex],49)=0,"",SUMIFS(T_SelfStock_Log[Self_Qty],T_SelfStock_Log[Part Name],$A43,T_SelfStock_Log[WeekIndex],49))</f>
        <v/>
      </c>
      <c r="AY43" s="19">
        <f>IF(COUNTIFS(T_SelfStock_Log[Part Name],$A43,T_SelfStock_Log[WeekIndex],50)=0,"",SUMIFS(T_SelfStock_Log[Self_Qty],T_SelfStock_Log[Part Name],$A43,T_SelfStock_Log[WeekIndex],50))</f>
        <v/>
      </c>
      <c r="AZ43" s="19">
        <f>IF(COUNTIFS(T_SelfStock_Log[Part Name],$A43,T_SelfStock_Log[WeekIndex],51)=0,"",SUMIFS(T_SelfStock_Log[Self_Qty],T_SelfStock_Log[Part Name],$A43,T_SelfStock_Log[WeekIndex],51))</f>
        <v/>
      </c>
      <c r="BA43" s="19">
        <f>IF(COUNTIFS(T_SelfStock_Log[Part Name],$A43,T_SelfStock_Log[WeekIndex],52)=0,"",SUMIFS(T_SelfStock_Log[Self_Qty],T_SelfStock_Log[Part Name],$A43,T_SelfStock_Log[WeekIndex],52))</f>
        <v/>
      </c>
      <c r="BB43" s="19">
        <f>IF(COUNTIFS(T_SelfStock_Log[Part Name],$A43,T_SelfStock_Log[WeekIndex],53)=0,"",SUMIFS(T_SelfStock_Log[Self_Qty],T_SelfStock_Log[Part Name],$A43,T_SelfStock_Log[WeekIndex],53))</f>
        <v/>
      </c>
      <c r="BC43" s="19">
        <f>IF(COUNTIFS(T_SelfStock_Log[Part Name],$A43,T_SelfStock_Log[WeekIndex],54)=0,"",SUMIFS(T_SelfStock_Log[Self_Qty],T_SelfStock_Log[Part Name],$A43,T_SelfStock_Log[WeekIndex],54))</f>
        <v/>
      </c>
      <c r="BD43" s="19">
        <f>IF(COUNTIFS(T_SelfStock_Log[Part Name],$A43,T_SelfStock_Log[WeekIndex],55)=0,"",SUMIFS(T_SelfStock_Log[Self_Qty],T_SelfStock_Log[Part Name],$A43,T_SelfStock_Log[WeekIndex],55))</f>
        <v/>
      </c>
      <c r="BE43" s="19">
        <f>IF(COUNTIFS(T_SelfStock_Log[Part Name],$A43,T_SelfStock_Log[WeekIndex],56)=0,"",SUMIFS(T_SelfStock_Log[Self_Qty],T_SelfStock_Log[Part Name],$A43,T_SelfStock_Log[WeekIndex],56))</f>
        <v/>
      </c>
      <c r="BF43" s="19">
        <f>IF(COUNTIFS(T_SelfStock_Log[Part Name],$A43,T_SelfStock_Log[WeekIndex],57)=0,"",SUMIFS(T_SelfStock_Log[Self_Qty],T_SelfStock_Log[Part Name],$A43,T_SelfStock_Log[WeekIndex],57))</f>
        <v/>
      </c>
      <c r="BG43" s="19">
        <f>IF(COUNTIFS(T_SelfStock_Log[Part Name],$A43,T_SelfStock_Log[WeekIndex],58)=0,"",SUMIFS(T_SelfStock_Log[Self_Qty],T_SelfStock_Log[Part Name],$A43,T_SelfStock_Log[WeekIndex],58))</f>
        <v/>
      </c>
      <c r="BH43" s="19">
        <f>IF(COUNTIFS(T_SelfStock_Log[Part Name],$A43,T_SelfStock_Log[WeekIndex],59)=0,"",SUMIFS(T_SelfStock_Log[Self_Qty],T_SelfStock_Log[Part Name],$A43,T_SelfStock_Log[WeekIndex],59))</f>
        <v/>
      </c>
      <c r="BI43" s="19">
        <f>IF(COUNTIFS(T_SelfStock_Log[Part Name],$A43,T_SelfStock_Log[WeekIndex],60)=0,"",SUMIFS(T_SelfStock_Log[Self_Qty],T_SelfStock_Log[Part Name],$A43,T_SelfStock_Log[WeekIndex],60))</f>
        <v/>
      </c>
      <c r="BJ43" s="19">
        <f>IF(COUNTIFS(T_SelfStock_Log[Part Name],$A43,T_SelfStock_Log[WeekIndex],61)=0,"",SUMIFS(T_SelfStock_Log[Self_Qty],T_SelfStock_Log[Part Name],$A43,T_SelfStock_Log[WeekIndex],61))</f>
        <v/>
      </c>
      <c r="BK43" s="19">
        <f>IF(COUNTIFS(T_SelfStock_Log[Part Name],$A43,T_SelfStock_Log[WeekIndex],62)=0,"",SUMIFS(T_SelfStock_Log[Self_Qty],T_SelfStock_Log[Part Name],$A43,T_SelfStock_Log[WeekIndex],62))</f>
        <v/>
      </c>
      <c r="BL43" s="19">
        <f>IF(COUNTIFS(T_SelfStock_Log[Part Name],$A43,T_SelfStock_Log[WeekIndex],63)=0,"",SUMIFS(T_SelfStock_Log[Self_Qty],T_SelfStock_Log[Part Name],$A43,T_SelfStock_Log[WeekIndex],63))</f>
        <v/>
      </c>
      <c r="BM43" s="19">
        <f>IF(COUNTIFS(T_SelfStock_Log[Part Name],$A43,T_SelfStock_Log[WeekIndex],64)=0,"",SUMIFS(T_SelfStock_Log[Self_Qty],T_SelfStock_Log[Part Name],$A43,T_SelfStock_Log[WeekIndex],64))</f>
        <v/>
      </c>
      <c r="BN43" s="19">
        <f>IF(COUNTIFS(T_SelfStock_Log[Part Name],$A43,T_SelfStock_Log[WeekIndex],65)=0,"",SUMIFS(T_SelfStock_Log[Self_Qty],T_SelfStock_Log[Part Name],$A43,T_SelfStock_Log[WeekIndex],65))</f>
        <v/>
      </c>
      <c r="BO43" s="19">
        <f>IF(COUNTIFS(T_SelfStock_Log[Part Name],$A43,T_SelfStock_Log[WeekIndex],66)=0,"",SUMIFS(T_SelfStock_Log[Self_Qty],T_SelfStock_Log[Part Name],$A43,T_SelfStock_Log[WeekIndex],66))</f>
        <v/>
      </c>
      <c r="BP43" s="19">
        <f>IF(COUNTIFS(T_SelfStock_Log[Part Name],$A43,T_SelfStock_Log[WeekIndex],67)=0,"",SUMIFS(T_SelfStock_Log[Self_Qty],T_SelfStock_Log[Part Name],$A43,T_SelfStock_Log[WeekIndex],67))</f>
        <v/>
      </c>
      <c r="BQ43" s="19">
        <f>IF(COUNTIFS(T_SelfStock_Log[Part Name],$A43,T_SelfStock_Log[WeekIndex],68)=0,"",SUMIFS(T_SelfStock_Log[Self_Qty],T_SelfStock_Log[Part Name],$A43,T_SelfStock_Log[WeekIndex],68))</f>
        <v/>
      </c>
      <c r="BR43" s="19">
        <f>IF(COUNTIFS(T_SelfStock_Log[Part Name],$A43,T_SelfStock_Log[WeekIndex],69)=0,"",SUMIFS(T_SelfStock_Log[Self_Qty],T_SelfStock_Log[Part Name],$A43,T_SelfStock_Log[WeekIndex],69))</f>
        <v/>
      </c>
      <c r="BS43" s="19">
        <f>IF(COUNTIFS(T_SelfStock_Log[Part Name],$A43,T_SelfStock_Log[WeekIndex],70)=0,"",SUMIFS(T_SelfStock_Log[Self_Qty],T_SelfStock_Log[Part Name],$A43,T_SelfStock_Log[WeekIndex],70))</f>
        <v/>
      </c>
      <c r="BT43" s="19">
        <f>IF(COUNTIFS(T_SelfStock_Log[Part Name],$A43,T_SelfStock_Log[WeekIndex],71)=0,"",SUMIFS(T_SelfStock_Log[Self_Qty],T_SelfStock_Log[Part Name],$A43,T_SelfStock_Log[WeekIndex],71))</f>
        <v/>
      </c>
      <c r="BU43" s="19">
        <f>IF(COUNTIFS(T_SelfStock_Log[Part Name],$A43,T_SelfStock_Log[WeekIndex],72)=0,"",SUMIFS(T_SelfStock_Log[Self_Qty],T_SelfStock_Log[Part Name],$A43,T_SelfStock_Log[WeekIndex],72))</f>
        <v/>
      </c>
      <c r="BV43" s="19">
        <f>IF(COUNTIFS(T_SelfStock_Log[Part Name],$A43,T_SelfStock_Log[WeekIndex],73)=0,"",SUMIFS(T_SelfStock_Log[Self_Qty],T_SelfStock_Log[Part Name],$A43,T_SelfStock_Log[WeekIndex],73))</f>
        <v/>
      </c>
      <c r="BW43" s="19">
        <f>IF(COUNTIFS(T_SelfStock_Log[Part Name],$A43,T_SelfStock_Log[WeekIndex],74)=0,"",SUMIFS(T_SelfStock_Log[Self_Qty],T_SelfStock_Log[Part Name],$A43,T_SelfStock_Log[WeekIndex],74))</f>
        <v/>
      </c>
      <c r="BX43" s="19">
        <f>IF(COUNTIFS(T_SelfStock_Log[Part Name],$A43,T_SelfStock_Log[WeekIndex],75)=0,"",SUMIFS(T_SelfStock_Log[Self_Qty],T_SelfStock_Log[Part Name],$A43,T_SelfStock_Log[WeekIndex],75))</f>
        <v/>
      </c>
      <c r="BY43" s="19">
        <f>IF(COUNTIFS(T_SelfStock_Log[Part Name],$A43,T_SelfStock_Log[WeekIndex],76)=0,"",SUMIFS(T_SelfStock_Log[Self_Qty],T_SelfStock_Log[Part Name],$A43,T_SelfStock_Log[WeekIndex],76))</f>
        <v/>
      </c>
      <c r="BZ43" s="19">
        <f>IF(COUNTIFS(T_SelfStock_Log[Part Name],$A43,T_SelfStock_Log[WeekIndex],77)=0,"",SUMIFS(T_SelfStock_Log[Self_Qty],T_SelfStock_Log[Part Name],$A43,T_SelfStock_Log[WeekIndex],77))</f>
        <v/>
      </c>
      <c r="CA43" s="19">
        <f>IF(COUNTIFS(T_SelfStock_Log[Part Name],$A43,T_SelfStock_Log[WeekIndex],78)=0,"",SUMIFS(T_SelfStock_Log[Self_Qty],T_SelfStock_Log[Part Name],$A43,T_SelfStock_Log[WeekIndex],78))</f>
        <v/>
      </c>
      <c r="CB43" s="19">
        <f>IF(COUNTIFS(T_SelfStock_Log[Part Name],$A43,T_SelfStock_Log[WeekIndex],79)=0,"",SUMIFS(T_SelfStock_Log[Self_Qty],T_SelfStock_Log[Part Name],$A43,T_SelfStock_Log[WeekIndex],79))</f>
        <v/>
      </c>
      <c r="CC43" s="19">
        <f>IF(COUNTIFS(T_SelfStock_Log[Part Name],$A43,T_SelfStock_Log[WeekIndex],80)=0,"",SUMIFS(T_SelfStock_Log[Self_Qty],T_SelfStock_Log[Part Name],$A43,T_SelfStock_Log[WeekIndex],80))</f>
        <v/>
      </c>
      <c r="CD43" s="19">
        <f>IF(COUNTIFS(T_SelfStock_Log[Part Name],$A43,T_SelfStock_Log[WeekIndex],81)=0,"",SUMIFS(T_SelfStock_Log[Self_Qty],T_SelfStock_Log[Part Name],$A43,T_SelfStock_Log[WeekIndex],81))</f>
        <v/>
      </c>
      <c r="CE43" s="19">
        <f>IF(COUNTIFS(T_SelfStock_Log[Part Name],$A43,T_SelfStock_Log[WeekIndex],82)=0,"",SUMIFS(T_SelfStock_Log[Self_Qty],T_SelfStock_Log[Part Name],$A43,T_SelfStock_Log[WeekIndex],82))</f>
        <v/>
      </c>
      <c r="CF43" s="19">
        <f>IF(COUNTIFS(T_SelfStock_Log[Part Name],$A43,T_SelfStock_Log[WeekIndex],83)=0,"",SUMIFS(T_SelfStock_Log[Self_Qty],T_SelfStock_Log[Part Name],$A43,T_SelfStock_Log[WeekIndex],83))</f>
        <v/>
      </c>
      <c r="CG43" s="19">
        <f>IF(COUNTIFS(T_SelfStock_Log[Part Name],$A43,T_SelfStock_Log[WeekIndex],84)=0,"",SUMIFS(T_SelfStock_Log[Self_Qty],T_SelfStock_Log[Part Name],$A43,T_SelfStock_Log[WeekIndex],84))</f>
        <v/>
      </c>
      <c r="CH43" s="19">
        <f>IF(COUNTIFS(T_SelfStock_Log[Part Name],$A43,T_SelfStock_Log[WeekIndex],85)=0,"",SUMIFS(T_SelfStock_Log[Self_Qty],T_SelfStock_Log[Part Name],$A43,T_SelfStock_Log[WeekIndex],85))</f>
        <v/>
      </c>
      <c r="CI43" s="19">
        <f>IF(COUNTIFS(T_SelfStock_Log[Part Name],$A43,T_SelfStock_Log[WeekIndex],86)=0,"",SUMIFS(T_SelfStock_Log[Self_Qty],T_SelfStock_Log[Part Name],$A43,T_SelfStock_Log[WeekIndex],86))</f>
        <v/>
      </c>
      <c r="CJ43" s="19">
        <f>IF(COUNTIFS(T_SelfStock_Log[Part Name],$A43,T_SelfStock_Log[WeekIndex],87)=0,"",SUMIFS(T_SelfStock_Log[Self_Qty],T_SelfStock_Log[Part Name],$A43,T_SelfStock_Log[WeekIndex],87))</f>
        <v/>
      </c>
      <c r="CK43" s="19">
        <f>IF(COUNTIFS(T_SelfStock_Log[Part Name],$A43,T_SelfStock_Log[WeekIndex],88)=0,"",SUMIFS(T_SelfStock_Log[Self_Qty],T_SelfStock_Log[Part Name],$A43,T_SelfStock_Log[WeekIndex],88))</f>
        <v/>
      </c>
      <c r="CL43" s="19">
        <f>IF(COUNTIFS(T_SelfStock_Log[Part Name],$A43,T_SelfStock_Log[WeekIndex],89)=0,"",SUMIFS(T_SelfStock_Log[Self_Qty],T_SelfStock_Log[Part Name],$A43,T_SelfStock_Log[WeekIndex],89))</f>
        <v/>
      </c>
      <c r="CM43" s="19">
        <f>IF(COUNTIFS(T_SelfStock_Log[Part Name],$A43,T_SelfStock_Log[WeekIndex],90)=0,"",SUMIFS(T_SelfStock_Log[Self_Qty],T_SelfStock_Log[Part Name],$A43,T_SelfStock_Log[WeekIndex],90))</f>
        <v/>
      </c>
      <c r="CN43" s="19">
        <f>IF(COUNTIFS(T_SelfStock_Log[Part Name],$A43,T_SelfStock_Log[WeekIndex],91)=0,"",SUMIFS(T_SelfStock_Log[Self_Qty],T_SelfStock_Log[Part Name],$A43,T_SelfStock_Log[WeekIndex],91))</f>
        <v/>
      </c>
      <c r="CO43" s="19">
        <f>IF(COUNTIFS(T_SelfStock_Log[Part Name],$A43,T_SelfStock_Log[WeekIndex],92)=0,"",SUMIFS(T_SelfStock_Log[Self_Qty],T_SelfStock_Log[Part Name],$A43,T_SelfStock_Log[WeekIndex],92))</f>
        <v/>
      </c>
      <c r="CP43" s="19">
        <f>IF(COUNTIFS(T_SelfStock_Log[Part Name],$A43,T_SelfStock_Log[WeekIndex],93)=0,"",SUMIFS(T_SelfStock_Log[Self_Qty],T_SelfStock_Log[Part Name],$A43,T_SelfStock_Log[WeekIndex],93))</f>
        <v/>
      </c>
      <c r="CQ43" s="19">
        <f>IF(COUNTIFS(T_SelfStock_Log[Part Name],$A43,T_SelfStock_Log[WeekIndex],94)=0,"",SUMIFS(T_SelfStock_Log[Self_Qty],T_SelfStock_Log[Part Name],$A43,T_SelfStock_Log[WeekIndex],94))</f>
        <v/>
      </c>
      <c r="CR43" s="19">
        <f>IF(COUNTIFS(T_SelfStock_Log[Part Name],$A43,T_SelfStock_Log[WeekIndex],95)=0,"",SUMIFS(T_SelfStock_Log[Self_Qty],T_SelfStock_Log[Part Name],$A43,T_SelfStock_Log[WeekIndex],95))</f>
        <v/>
      </c>
      <c r="CS43" s="19">
        <f>IF(COUNTIFS(T_SelfStock_Log[Part Name],$A43,T_SelfStock_Log[WeekIndex],96)=0,"",SUMIFS(T_SelfStock_Log[Self_Qty],T_SelfStock_Log[Part Name],$A43,T_SelfStock_Log[WeekIndex],96))</f>
        <v/>
      </c>
      <c r="CT43" s="19">
        <f>IF(COUNTIFS(T_SelfStock_Log[Part Name],$A43,T_SelfStock_Log[WeekIndex],97)=0,"",SUMIFS(T_SelfStock_Log[Self_Qty],T_SelfStock_Log[Part Name],$A43,T_SelfStock_Log[WeekIndex],97))</f>
        <v/>
      </c>
      <c r="CU43" s="19">
        <f>IF(COUNTIFS(T_SelfStock_Log[Part Name],$A43,T_SelfStock_Log[WeekIndex],98)=0,"",SUMIFS(T_SelfStock_Log[Self_Qty],T_SelfStock_Log[Part Name],$A43,T_SelfStock_Log[WeekIndex],98))</f>
        <v/>
      </c>
      <c r="CV43" s="19">
        <f>IF(COUNTIFS(T_SelfStock_Log[Part Name],$A43,T_SelfStock_Log[WeekIndex],99)=0,"",SUMIFS(T_SelfStock_Log[Self_Qty],T_SelfStock_Log[Part Name],$A43,T_SelfStock_Log[WeekIndex],99))</f>
        <v/>
      </c>
      <c r="CW43" s="19">
        <f>IF(COUNTIFS(T_SelfStock_Log[Part Name],$A43,T_SelfStock_Log[WeekIndex],100)=0,"",SUMIFS(T_SelfStock_Log[Self_Qty],T_SelfStock_Log[Part Name],$A43,T_SelfStock_Log[WeekIndex],100))</f>
        <v/>
      </c>
      <c r="CX43" s="19">
        <f>IF(COUNTIFS(T_SelfStock_Log[Part Name],$A43,T_SelfStock_Log[WeekIndex],101)=0,"",SUMIFS(T_SelfStock_Log[Self_Qty],T_SelfStock_Log[Part Name],$A43,T_SelfStock_Log[WeekIndex],101))</f>
        <v/>
      </c>
      <c r="CY43" s="19">
        <f>IF(COUNTIFS(T_SelfStock_Log[Part Name],$A43,T_SelfStock_Log[WeekIndex],102)=0,"",SUMIFS(T_SelfStock_Log[Self_Qty],T_SelfStock_Log[Part Name],$A43,T_SelfStock_Log[WeekIndex],102))</f>
        <v/>
      </c>
      <c r="CZ43" s="19">
        <f>IF(COUNTIFS(T_SelfStock_Log[Part Name],$A43,T_SelfStock_Log[WeekIndex],103)=0,"",SUMIFS(T_SelfStock_Log[Self_Qty],T_SelfStock_Log[Part Name],$A43,T_SelfStock_Log[WeekIndex],103))</f>
        <v/>
      </c>
      <c r="DA43" s="19">
        <f>IF(COUNTIFS(T_SelfStock_Log[Part Name],$A43,T_SelfStock_Log[WeekIndex],104)=0,"",SUMIFS(T_SelfStock_Log[Self_Qty],T_SelfStock_Log[Part Name],$A43,T_SelfStock_Log[WeekIndex],104))</f>
        <v/>
      </c>
    </row>
    <row r="44">
      <c r="A44" s="17" t="inlineStr">
        <is>
          <t>CHEM-1680</t>
        </is>
      </c>
      <c r="B44" s="17">
        <f>IF(COUNTIFS(T_SelfStock_Log[Part Name],$A44,T_SelfStock_Log[WeekIndex],1)=0,"",SUMIFS(T_SelfStock_Log[Self_Qty],T_SelfStock_Log[Part Name],$A44,T_SelfStock_Log[WeekIndex],1))</f>
        <v/>
      </c>
      <c r="C44" s="17">
        <f>IF(COUNTIFS(T_SelfStock_Log[Part Name],$A44,T_SelfStock_Log[WeekIndex],2)=0,"",SUMIFS(T_SelfStock_Log[Self_Qty],T_SelfStock_Log[Part Name],$A44,T_SelfStock_Log[WeekIndex],2))</f>
        <v/>
      </c>
      <c r="D44" s="17">
        <f>IF(COUNTIFS(T_SelfStock_Log[Part Name],$A44,T_SelfStock_Log[WeekIndex],3)=0,"",SUMIFS(T_SelfStock_Log[Self_Qty],T_SelfStock_Log[Part Name],$A44,T_SelfStock_Log[WeekIndex],3))</f>
        <v/>
      </c>
      <c r="E44" s="17">
        <f>IF(COUNTIFS(T_SelfStock_Log[Part Name],$A44,T_SelfStock_Log[WeekIndex],4)=0,"",SUMIFS(T_SelfStock_Log[Self_Qty],T_SelfStock_Log[Part Name],$A44,T_SelfStock_Log[WeekIndex],4))</f>
        <v/>
      </c>
      <c r="F44" s="17">
        <f>IF(COUNTIFS(T_SelfStock_Log[Part Name],$A44,T_SelfStock_Log[WeekIndex],5)=0,"",SUMIFS(T_SelfStock_Log[Self_Qty],T_SelfStock_Log[Part Name],$A44,T_SelfStock_Log[WeekIndex],5))</f>
        <v/>
      </c>
      <c r="G44" s="17">
        <f>IF(COUNTIFS(T_SelfStock_Log[Part Name],$A44,T_SelfStock_Log[WeekIndex],6)=0,"",SUMIFS(T_SelfStock_Log[Self_Qty],T_SelfStock_Log[Part Name],$A44,T_SelfStock_Log[WeekIndex],6))</f>
        <v/>
      </c>
      <c r="H44" s="17">
        <f>IF(COUNTIFS(T_SelfStock_Log[Part Name],$A44,T_SelfStock_Log[WeekIndex],7)=0,"",SUMIFS(T_SelfStock_Log[Self_Qty],T_SelfStock_Log[Part Name],$A44,T_SelfStock_Log[WeekIndex],7))</f>
        <v/>
      </c>
      <c r="I44" s="17">
        <f>IF(COUNTIFS(T_SelfStock_Log[Part Name],$A44,T_SelfStock_Log[WeekIndex],8)=0,"",SUMIFS(T_SelfStock_Log[Self_Qty],T_SelfStock_Log[Part Name],$A44,T_SelfStock_Log[WeekIndex],8))</f>
        <v/>
      </c>
      <c r="J44" s="17">
        <f>IF(COUNTIFS(T_SelfStock_Log[Part Name],$A44,T_SelfStock_Log[WeekIndex],9)=0,"",SUMIFS(T_SelfStock_Log[Self_Qty],T_SelfStock_Log[Part Name],$A44,T_SelfStock_Log[WeekIndex],9))</f>
        <v/>
      </c>
      <c r="K44" s="17">
        <f>IF(COUNTIFS(T_SelfStock_Log[Part Name],$A44,T_SelfStock_Log[WeekIndex],10)=0,"",SUMIFS(T_SelfStock_Log[Self_Qty],T_SelfStock_Log[Part Name],$A44,T_SelfStock_Log[WeekIndex],10))</f>
        <v/>
      </c>
      <c r="L44" s="17">
        <f>IF(COUNTIFS(T_SelfStock_Log[Part Name],$A44,T_SelfStock_Log[WeekIndex],11)=0,"",SUMIFS(T_SelfStock_Log[Self_Qty],T_SelfStock_Log[Part Name],$A44,T_SelfStock_Log[WeekIndex],11))</f>
        <v/>
      </c>
      <c r="M44" s="17">
        <f>IF(COUNTIFS(T_SelfStock_Log[Part Name],$A44,T_SelfStock_Log[WeekIndex],12)=0,"",SUMIFS(T_SelfStock_Log[Self_Qty],T_SelfStock_Log[Part Name],$A44,T_SelfStock_Log[WeekIndex],12))</f>
        <v/>
      </c>
      <c r="N44" s="17">
        <f>IF(COUNTIFS(T_SelfStock_Log[Part Name],$A44,T_SelfStock_Log[WeekIndex],13)=0,"",SUMIFS(T_SelfStock_Log[Self_Qty],T_SelfStock_Log[Part Name],$A44,T_SelfStock_Log[WeekIndex],13))</f>
        <v/>
      </c>
      <c r="O44" s="17">
        <f>IF(COUNTIFS(T_SelfStock_Log[Part Name],$A44,T_SelfStock_Log[WeekIndex],14)=0,"",SUMIFS(T_SelfStock_Log[Self_Qty],T_SelfStock_Log[Part Name],$A44,T_SelfStock_Log[WeekIndex],14))</f>
        <v/>
      </c>
      <c r="P44" s="17">
        <f>IF(COUNTIFS(T_SelfStock_Log[Part Name],$A44,T_SelfStock_Log[WeekIndex],15)=0,"",SUMIFS(T_SelfStock_Log[Self_Qty],T_SelfStock_Log[Part Name],$A44,T_SelfStock_Log[WeekIndex],15))</f>
        <v/>
      </c>
      <c r="Q44" s="17">
        <f>IF(COUNTIFS(T_SelfStock_Log[Part Name],$A44,T_SelfStock_Log[WeekIndex],16)=0,"",SUMIFS(T_SelfStock_Log[Self_Qty],T_SelfStock_Log[Part Name],$A44,T_SelfStock_Log[WeekIndex],16))</f>
        <v/>
      </c>
      <c r="R44" s="17">
        <f>IF(COUNTIFS(T_SelfStock_Log[Part Name],$A44,T_SelfStock_Log[WeekIndex],17)=0,"",SUMIFS(T_SelfStock_Log[Self_Qty],T_SelfStock_Log[Part Name],$A44,T_SelfStock_Log[WeekIndex],17))</f>
        <v/>
      </c>
      <c r="S44" s="17">
        <f>IF(COUNTIFS(T_SelfStock_Log[Part Name],$A44,T_SelfStock_Log[WeekIndex],18)=0,"",SUMIFS(T_SelfStock_Log[Self_Qty],T_SelfStock_Log[Part Name],$A44,T_SelfStock_Log[WeekIndex],18))</f>
        <v/>
      </c>
      <c r="T44" s="17">
        <f>IF(COUNTIFS(T_SelfStock_Log[Part Name],$A44,T_SelfStock_Log[WeekIndex],19)=0,"",SUMIFS(T_SelfStock_Log[Self_Qty],T_SelfStock_Log[Part Name],$A44,T_SelfStock_Log[WeekIndex],19))</f>
        <v/>
      </c>
      <c r="U44" s="17">
        <f>IF(COUNTIFS(T_SelfStock_Log[Part Name],$A44,T_SelfStock_Log[WeekIndex],20)=0,"",SUMIFS(T_SelfStock_Log[Self_Qty],T_SelfStock_Log[Part Name],$A44,T_SelfStock_Log[WeekIndex],20))</f>
        <v/>
      </c>
      <c r="V44" s="17">
        <f>IF(COUNTIFS(T_SelfStock_Log[Part Name],$A44,T_SelfStock_Log[WeekIndex],21)=0,"",SUMIFS(T_SelfStock_Log[Self_Qty],T_SelfStock_Log[Part Name],$A44,T_SelfStock_Log[WeekIndex],21))</f>
        <v/>
      </c>
      <c r="W44" s="17">
        <f>IF(COUNTIFS(T_SelfStock_Log[Part Name],$A44,T_SelfStock_Log[WeekIndex],22)=0,"",SUMIFS(T_SelfStock_Log[Self_Qty],T_SelfStock_Log[Part Name],$A44,T_SelfStock_Log[WeekIndex],22))</f>
        <v/>
      </c>
      <c r="X44" s="17">
        <f>IF(COUNTIFS(T_SelfStock_Log[Part Name],$A44,T_SelfStock_Log[WeekIndex],23)=0,"",SUMIFS(T_SelfStock_Log[Self_Qty],T_SelfStock_Log[Part Name],$A44,T_SelfStock_Log[WeekIndex],23))</f>
        <v/>
      </c>
      <c r="Y44" s="17">
        <f>IF(COUNTIFS(T_SelfStock_Log[Part Name],$A44,T_SelfStock_Log[WeekIndex],24)=0,"",SUMIFS(T_SelfStock_Log[Self_Qty],T_SelfStock_Log[Part Name],$A44,T_SelfStock_Log[WeekIndex],24))</f>
        <v/>
      </c>
      <c r="Z44" s="17">
        <f>IF(COUNTIFS(T_SelfStock_Log[Part Name],$A44,T_SelfStock_Log[WeekIndex],25)=0,"",SUMIFS(T_SelfStock_Log[Self_Qty],T_SelfStock_Log[Part Name],$A44,T_SelfStock_Log[WeekIndex],25))</f>
        <v/>
      </c>
      <c r="AA44" s="17">
        <f>IF(COUNTIFS(T_SelfStock_Log[Part Name],$A44,T_SelfStock_Log[WeekIndex],26)=0,"",SUMIFS(T_SelfStock_Log[Self_Qty],T_SelfStock_Log[Part Name],$A44,T_SelfStock_Log[WeekIndex],26))</f>
        <v/>
      </c>
      <c r="AB44" s="17">
        <f>IF(COUNTIFS(T_SelfStock_Log[Part Name],$A44,T_SelfStock_Log[WeekIndex],27)=0,"",SUMIFS(T_SelfStock_Log[Self_Qty],T_SelfStock_Log[Part Name],$A44,T_SelfStock_Log[WeekIndex],27))</f>
        <v/>
      </c>
      <c r="AC44" s="17">
        <f>IF(COUNTIFS(T_SelfStock_Log[Part Name],$A44,T_SelfStock_Log[WeekIndex],28)=0,"",SUMIFS(T_SelfStock_Log[Self_Qty],T_SelfStock_Log[Part Name],$A44,T_SelfStock_Log[WeekIndex],28))</f>
        <v/>
      </c>
      <c r="AD44" s="17">
        <f>IF(COUNTIFS(T_SelfStock_Log[Part Name],$A44,T_SelfStock_Log[WeekIndex],29)=0,"",SUMIFS(T_SelfStock_Log[Self_Qty],T_SelfStock_Log[Part Name],$A44,T_SelfStock_Log[WeekIndex],29))</f>
        <v/>
      </c>
      <c r="AE44" s="17">
        <f>IF(COUNTIFS(T_SelfStock_Log[Part Name],$A44,T_SelfStock_Log[WeekIndex],30)=0,"",SUMIFS(T_SelfStock_Log[Self_Qty],T_SelfStock_Log[Part Name],$A44,T_SelfStock_Log[WeekIndex],30))</f>
        <v/>
      </c>
      <c r="AF44" s="17">
        <f>IF(COUNTIFS(T_SelfStock_Log[Part Name],$A44,T_SelfStock_Log[WeekIndex],31)=0,"",SUMIFS(T_SelfStock_Log[Self_Qty],T_SelfStock_Log[Part Name],$A44,T_SelfStock_Log[WeekIndex],31))</f>
        <v/>
      </c>
      <c r="AG44" s="17">
        <f>IF(COUNTIFS(T_SelfStock_Log[Part Name],$A44,T_SelfStock_Log[WeekIndex],32)=0,"",SUMIFS(T_SelfStock_Log[Self_Qty],T_SelfStock_Log[Part Name],$A44,T_SelfStock_Log[WeekIndex],32))</f>
        <v/>
      </c>
      <c r="AH44" s="17">
        <f>IF(COUNTIFS(T_SelfStock_Log[Part Name],$A44,T_SelfStock_Log[WeekIndex],33)=0,"",SUMIFS(T_SelfStock_Log[Self_Qty],T_SelfStock_Log[Part Name],$A44,T_SelfStock_Log[WeekIndex],33))</f>
        <v/>
      </c>
      <c r="AI44" s="17">
        <f>IF(COUNTIFS(T_SelfStock_Log[Part Name],$A44,T_SelfStock_Log[WeekIndex],34)=0,"",SUMIFS(T_SelfStock_Log[Self_Qty],T_SelfStock_Log[Part Name],$A44,T_SelfStock_Log[WeekIndex],34))</f>
        <v/>
      </c>
      <c r="AJ44" s="17">
        <f>IF(COUNTIFS(T_SelfStock_Log[Part Name],$A44,T_SelfStock_Log[WeekIndex],35)=0,"",SUMIFS(T_SelfStock_Log[Self_Qty],T_SelfStock_Log[Part Name],$A44,T_SelfStock_Log[WeekIndex],35))</f>
        <v/>
      </c>
      <c r="AK44" s="17">
        <f>IF(COUNTIFS(T_SelfStock_Log[Part Name],$A44,T_SelfStock_Log[WeekIndex],36)=0,"",SUMIFS(T_SelfStock_Log[Self_Qty],T_SelfStock_Log[Part Name],$A44,T_SelfStock_Log[WeekIndex],36))</f>
        <v/>
      </c>
      <c r="AL44" s="17">
        <f>IF(COUNTIFS(T_SelfStock_Log[Part Name],$A44,T_SelfStock_Log[WeekIndex],37)=0,"",SUMIFS(T_SelfStock_Log[Self_Qty],T_SelfStock_Log[Part Name],$A44,T_SelfStock_Log[WeekIndex],37))</f>
        <v/>
      </c>
      <c r="AM44" s="17">
        <f>IF(COUNTIFS(T_SelfStock_Log[Part Name],$A44,T_SelfStock_Log[WeekIndex],38)=0,"",SUMIFS(T_SelfStock_Log[Self_Qty],T_SelfStock_Log[Part Name],$A44,T_SelfStock_Log[WeekIndex],38))</f>
        <v/>
      </c>
      <c r="AN44" s="17">
        <f>IF(COUNTIFS(T_SelfStock_Log[Part Name],$A44,T_SelfStock_Log[WeekIndex],39)=0,"",SUMIFS(T_SelfStock_Log[Self_Qty],T_SelfStock_Log[Part Name],$A44,T_SelfStock_Log[WeekIndex],39))</f>
        <v/>
      </c>
      <c r="AO44" s="17">
        <f>IF(COUNTIFS(T_SelfStock_Log[Part Name],$A44,T_SelfStock_Log[WeekIndex],40)=0,"",SUMIFS(T_SelfStock_Log[Self_Qty],T_SelfStock_Log[Part Name],$A44,T_SelfStock_Log[WeekIndex],40))</f>
        <v/>
      </c>
      <c r="AP44" s="17">
        <f>IF(COUNTIFS(T_SelfStock_Log[Part Name],$A44,T_SelfStock_Log[WeekIndex],41)=0,"",SUMIFS(T_SelfStock_Log[Self_Qty],T_SelfStock_Log[Part Name],$A44,T_SelfStock_Log[WeekIndex],41))</f>
        <v/>
      </c>
      <c r="AQ44" s="17">
        <f>IF(COUNTIFS(T_SelfStock_Log[Part Name],$A44,T_SelfStock_Log[WeekIndex],42)=0,"",SUMIFS(T_SelfStock_Log[Self_Qty],T_SelfStock_Log[Part Name],$A44,T_SelfStock_Log[WeekIndex],42))</f>
        <v/>
      </c>
      <c r="AR44" s="17">
        <f>IF(COUNTIFS(T_SelfStock_Log[Part Name],$A44,T_SelfStock_Log[WeekIndex],43)=0,"",SUMIFS(T_SelfStock_Log[Self_Qty],T_SelfStock_Log[Part Name],$A44,T_SelfStock_Log[WeekIndex],43))</f>
        <v/>
      </c>
      <c r="AS44" s="17">
        <f>IF(COUNTIFS(T_SelfStock_Log[Part Name],$A44,T_SelfStock_Log[WeekIndex],44)=0,"",SUMIFS(T_SelfStock_Log[Self_Qty],T_SelfStock_Log[Part Name],$A44,T_SelfStock_Log[WeekIndex],44))</f>
        <v/>
      </c>
      <c r="AT44" s="17">
        <f>IF(COUNTIFS(T_SelfStock_Log[Part Name],$A44,T_SelfStock_Log[WeekIndex],45)=0,"",SUMIFS(T_SelfStock_Log[Self_Qty],T_SelfStock_Log[Part Name],$A44,T_SelfStock_Log[WeekIndex],45))</f>
        <v/>
      </c>
      <c r="AU44" s="17">
        <f>IF(COUNTIFS(T_SelfStock_Log[Part Name],$A44,T_SelfStock_Log[WeekIndex],46)=0,"",SUMIFS(T_SelfStock_Log[Self_Qty],T_SelfStock_Log[Part Name],$A44,T_SelfStock_Log[WeekIndex],46))</f>
        <v/>
      </c>
      <c r="AV44" s="17">
        <f>IF(COUNTIFS(T_SelfStock_Log[Part Name],$A44,T_SelfStock_Log[WeekIndex],47)=0,"",SUMIFS(T_SelfStock_Log[Self_Qty],T_SelfStock_Log[Part Name],$A44,T_SelfStock_Log[WeekIndex],47))</f>
        <v/>
      </c>
      <c r="AW44" s="17">
        <f>IF(COUNTIFS(T_SelfStock_Log[Part Name],$A44,T_SelfStock_Log[WeekIndex],48)=0,"",SUMIFS(T_SelfStock_Log[Self_Qty],T_SelfStock_Log[Part Name],$A44,T_SelfStock_Log[WeekIndex],48))</f>
        <v/>
      </c>
      <c r="AX44" s="17">
        <f>IF(COUNTIFS(T_SelfStock_Log[Part Name],$A44,T_SelfStock_Log[WeekIndex],49)=0,"",SUMIFS(T_SelfStock_Log[Self_Qty],T_SelfStock_Log[Part Name],$A44,T_SelfStock_Log[WeekIndex],49))</f>
        <v/>
      </c>
      <c r="AY44" s="17">
        <f>IF(COUNTIFS(T_SelfStock_Log[Part Name],$A44,T_SelfStock_Log[WeekIndex],50)=0,"",SUMIFS(T_SelfStock_Log[Self_Qty],T_SelfStock_Log[Part Name],$A44,T_SelfStock_Log[WeekIndex],50))</f>
        <v/>
      </c>
      <c r="AZ44" s="17">
        <f>IF(COUNTIFS(T_SelfStock_Log[Part Name],$A44,T_SelfStock_Log[WeekIndex],51)=0,"",SUMIFS(T_SelfStock_Log[Self_Qty],T_SelfStock_Log[Part Name],$A44,T_SelfStock_Log[WeekIndex],51))</f>
        <v/>
      </c>
      <c r="BA44" s="17">
        <f>IF(COUNTIFS(T_SelfStock_Log[Part Name],$A44,T_SelfStock_Log[WeekIndex],52)=0,"",SUMIFS(T_SelfStock_Log[Self_Qty],T_SelfStock_Log[Part Name],$A44,T_SelfStock_Log[WeekIndex],52))</f>
        <v/>
      </c>
      <c r="BB44" s="17">
        <f>IF(COUNTIFS(T_SelfStock_Log[Part Name],$A44,T_SelfStock_Log[WeekIndex],53)=0,"",SUMIFS(T_SelfStock_Log[Self_Qty],T_SelfStock_Log[Part Name],$A44,T_SelfStock_Log[WeekIndex],53))</f>
        <v/>
      </c>
      <c r="BC44" s="17">
        <f>IF(COUNTIFS(T_SelfStock_Log[Part Name],$A44,T_SelfStock_Log[WeekIndex],54)=0,"",SUMIFS(T_SelfStock_Log[Self_Qty],T_SelfStock_Log[Part Name],$A44,T_SelfStock_Log[WeekIndex],54))</f>
        <v/>
      </c>
      <c r="BD44" s="17">
        <f>IF(COUNTIFS(T_SelfStock_Log[Part Name],$A44,T_SelfStock_Log[WeekIndex],55)=0,"",SUMIFS(T_SelfStock_Log[Self_Qty],T_SelfStock_Log[Part Name],$A44,T_SelfStock_Log[WeekIndex],55))</f>
        <v/>
      </c>
      <c r="BE44" s="17">
        <f>IF(COUNTIFS(T_SelfStock_Log[Part Name],$A44,T_SelfStock_Log[WeekIndex],56)=0,"",SUMIFS(T_SelfStock_Log[Self_Qty],T_SelfStock_Log[Part Name],$A44,T_SelfStock_Log[WeekIndex],56))</f>
        <v/>
      </c>
      <c r="BF44" s="17">
        <f>IF(COUNTIFS(T_SelfStock_Log[Part Name],$A44,T_SelfStock_Log[WeekIndex],57)=0,"",SUMIFS(T_SelfStock_Log[Self_Qty],T_SelfStock_Log[Part Name],$A44,T_SelfStock_Log[WeekIndex],57))</f>
        <v/>
      </c>
      <c r="BG44" s="17">
        <f>IF(COUNTIFS(T_SelfStock_Log[Part Name],$A44,T_SelfStock_Log[WeekIndex],58)=0,"",SUMIFS(T_SelfStock_Log[Self_Qty],T_SelfStock_Log[Part Name],$A44,T_SelfStock_Log[WeekIndex],58))</f>
        <v/>
      </c>
      <c r="BH44" s="17">
        <f>IF(COUNTIFS(T_SelfStock_Log[Part Name],$A44,T_SelfStock_Log[WeekIndex],59)=0,"",SUMIFS(T_SelfStock_Log[Self_Qty],T_SelfStock_Log[Part Name],$A44,T_SelfStock_Log[WeekIndex],59))</f>
        <v/>
      </c>
      <c r="BI44" s="17">
        <f>IF(COUNTIFS(T_SelfStock_Log[Part Name],$A44,T_SelfStock_Log[WeekIndex],60)=0,"",SUMIFS(T_SelfStock_Log[Self_Qty],T_SelfStock_Log[Part Name],$A44,T_SelfStock_Log[WeekIndex],60))</f>
        <v/>
      </c>
      <c r="BJ44" s="17">
        <f>IF(COUNTIFS(T_SelfStock_Log[Part Name],$A44,T_SelfStock_Log[WeekIndex],61)=0,"",SUMIFS(T_SelfStock_Log[Self_Qty],T_SelfStock_Log[Part Name],$A44,T_SelfStock_Log[WeekIndex],61))</f>
        <v/>
      </c>
      <c r="BK44" s="17">
        <f>IF(COUNTIFS(T_SelfStock_Log[Part Name],$A44,T_SelfStock_Log[WeekIndex],62)=0,"",SUMIFS(T_SelfStock_Log[Self_Qty],T_SelfStock_Log[Part Name],$A44,T_SelfStock_Log[WeekIndex],62))</f>
        <v/>
      </c>
      <c r="BL44" s="17">
        <f>IF(COUNTIFS(T_SelfStock_Log[Part Name],$A44,T_SelfStock_Log[WeekIndex],63)=0,"",SUMIFS(T_SelfStock_Log[Self_Qty],T_SelfStock_Log[Part Name],$A44,T_SelfStock_Log[WeekIndex],63))</f>
        <v/>
      </c>
      <c r="BM44" s="17">
        <f>IF(COUNTIFS(T_SelfStock_Log[Part Name],$A44,T_SelfStock_Log[WeekIndex],64)=0,"",SUMIFS(T_SelfStock_Log[Self_Qty],T_SelfStock_Log[Part Name],$A44,T_SelfStock_Log[WeekIndex],64))</f>
        <v/>
      </c>
      <c r="BN44" s="17">
        <f>IF(COUNTIFS(T_SelfStock_Log[Part Name],$A44,T_SelfStock_Log[WeekIndex],65)=0,"",SUMIFS(T_SelfStock_Log[Self_Qty],T_SelfStock_Log[Part Name],$A44,T_SelfStock_Log[WeekIndex],65))</f>
        <v/>
      </c>
      <c r="BO44" s="17">
        <f>IF(COUNTIFS(T_SelfStock_Log[Part Name],$A44,T_SelfStock_Log[WeekIndex],66)=0,"",SUMIFS(T_SelfStock_Log[Self_Qty],T_SelfStock_Log[Part Name],$A44,T_SelfStock_Log[WeekIndex],66))</f>
        <v/>
      </c>
      <c r="BP44" s="17">
        <f>IF(COUNTIFS(T_SelfStock_Log[Part Name],$A44,T_SelfStock_Log[WeekIndex],67)=0,"",SUMIFS(T_SelfStock_Log[Self_Qty],T_SelfStock_Log[Part Name],$A44,T_SelfStock_Log[WeekIndex],67))</f>
        <v/>
      </c>
      <c r="BQ44" s="17">
        <f>IF(COUNTIFS(T_SelfStock_Log[Part Name],$A44,T_SelfStock_Log[WeekIndex],68)=0,"",SUMIFS(T_SelfStock_Log[Self_Qty],T_SelfStock_Log[Part Name],$A44,T_SelfStock_Log[WeekIndex],68))</f>
        <v/>
      </c>
      <c r="BR44" s="17">
        <f>IF(COUNTIFS(T_SelfStock_Log[Part Name],$A44,T_SelfStock_Log[WeekIndex],69)=0,"",SUMIFS(T_SelfStock_Log[Self_Qty],T_SelfStock_Log[Part Name],$A44,T_SelfStock_Log[WeekIndex],69))</f>
        <v/>
      </c>
      <c r="BS44" s="17">
        <f>IF(COUNTIFS(T_SelfStock_Log[Part Name],$A44,T_SelfStock_Log[WeekIndex],70)=0,"",SUMIFS(T_SelfStock_Log[Self_Qty],T_SelfStock_Log[Part Name],$A44,T_SelfStock_Log[WeekIndex],70))</f>
        <v/>
      </c>
      <c r="BT44" s="17">
        <f>IF(COUNTIFS(T_SelfStock_Log[Part Name],$A44,T_SelfStock_Log[WeekIndex],71)=0,"",SUMIFS(T_SelfStock_Log[Self_Qty],T_SelfStock_Log[Part Name],$A44,T_SelfStock_Log[WeekIndex],71))</f>
        <v/>
      </c>
      <c r="BU44" s="17">
        <f>IF(COUNTIFS(T_SelfStock_Log[Part Name],$A44,T_SelfStock_Log[WeekIndex],72)=0,"",SUMIFS(T_SelfStock_Log[Self_Qty],T_SelfStock_Log[Part Name],$A44,T_SelfStock_Log[WeekIndex],72))</f>
        <v/>
      </c>
      <c r="BV44" s="17">
        <f>IF(COUNTIFS(T_SelfStock_Log[Part Name],$A44,T_SelfStock_Log[WeekIndex],73)=0,"",SUMIFS(T_SelfStock_Log[Self_Qty],T_SelfStock_Log[Part Name],$A44,T_SelfStock_Log[WeekIndex],73))</f>
        <v/>
      </c>
      <c r="BW44" s="17">
        <f>IF(COUNTIFS(T_SelfStock_Log[Part Name],$A44,T_SelfStock_Log[WeekIndex],74)=0,"",SUMIFS(T_SelfStock_Log[Self_Qty],T_SelfStock_Log[Part Name],$A44,T_SelfStock_Log[WeekIndex],74))</f>
        <v/>
      </c>
      <c r="BX44" s="17">
        <f>IF(COUNTIFS(T_SelfStock_Log[Part Name],$A44,T_SelfStock_Log[WeekIndex],75)=0,"",SUMIFS(T_SelfStock_Log[Self_Qty],T_SelfStock_Log[Part Name],$A44,T_SelfStock_Log[WeekIndex],75))</f>
        <v/>
      </c>
      <c r="BY44" s="17">
        <f>IF(COUNTIFS(T_SelfStock_Log[Part Name],$A44,T_SelfStock_Log[WeekIndex],76)=0,"",SUMIFS(T_SelfStock_Log[Self_Qty],T_SelfStock_Log[Part Name],$A44,T_SelfStock_Log[WeekIndex],76))</f>
        <v/>
      </c>
      <c r="BZ44" s="17">
        <f>IF(COUNTIFS(T_SelfStock_Log[Part Name],$A44,T_SelfStock_Log[WeekIndex],77)=0,"",SUMIFS(T_SelfStock_Log[Self_Qty],T_SelfStock_Log[Part Name],$A44,T_SelfStock_Log[WeekIndex],77))</f>
        <v/>
      </c>
      <c r="CA44" s="17">
        <f>IF(COUNTIFS(T_SelfStock_Log[Part Name],$A44,T_SelfStock_Log[WeekIndex],78)=0,"",SUMIFS(T_SelfStock_Log[Self_Qty],T_SelfStock_Log[Part Name],$A44,T_SelfStock_Log[WeekIndex],78))</f>
        <v/>
      </c>
      <c r="CB44" s="17">
        <f>IF(COUNTIFS(T_SelfStock_Log[Part Name],$A44,T_SelfStock_Log[WeekIndex],79)=0,"",SUMIFS(T_SelfStock_Log[Self_Qty],T_SelfStock_Log[Part Name],$A44,T_SelfStock_Log[WeekIndex],79))</f>
        <v/>
      </c>
      <c r="CC44" s="17">
        <f>IF(COUNTIFS(T_SelfStock_Log[Part Name],$A44,T_SelfStock_Log[WeekIndex],80)=0,"",SUMIFS(T_SelfStock_Log[Self_Qty],T_SelfStock_Log[Part Name],$A44,T_SelfStock_Log[WeekIndex],80))</f>
        <v/>
      </c>
      <c r="CD44" s="17">
        <f>IF(COUNTIFS(T_SelfStock_Log[Part Name],$A44,T_SelfStock_Log[WeekIndex],81)=0,"",SUMIFS(T_SelfStock_Log[Self_Qty],T_SelfStock_Log[Part Name],$A44,T_SelfStock_Log[WeekIndex],81))</f>
        <v/>
      </c>
      <c r="CE44" s="17">
        <f>IF(COUNTIFS(T_SelfStock_Log[Part Name],$A44,T_SelfStock_Log[WeekIndex],82)=0,"",SUMIFS(T_SelfStock_Log[Self_Qty],T_SelfStock_Log[Part Name],$A44,T_SelfStock_Log[WeekIndex],82))</f>
        <v/>
      </c>
      <c r="CF44" s="17">
        <f>IF(COUNTIFS(T_SelfStock_Log[Part Name],$A44,T_SelfStock_Log[WeekIndex],83)=0,"",SUMIFS(T_SelfStock_Log[Self_Qty],T_SelfStock_Log[Part Name],$A44,T_SelfStock_Log[WeekIndex],83))</f>
        <v/>
      </c>
      <c r="CG44" s="17">
        <f>IF(COUNTIFS(T_SelfStock_Log[Part Name],$A44,T_SelfStock_Log[WeekIndex],84)=0,"",SUMIFS(T_SelfStock_Log[Self_Qty],T_SelfStock_Log[Part Name],$A44,T_SelfStock_Log[WeekIndex],84))</f>
        <v/>
      </c>
      <c r="CH44" s="17">
        <f>IF(COUNTIFS(T_SelfStock_Log[Part Name],$A44,T_SelfStock_Log[WeekIndex],85)=0,"",SUMIFS(T_SelfStock_Log[Self_Qty],T_SelfStock_Log[Part Name],$A44,T_SelfStock_Log[WeekIndex],85))</f>
        <v/>
      </c>
      <c r="CI44" s="17">
        <f>IF(COUNTIFS(T_SelfStock_Log[Part Name],$A44,T_SelfStock_Log[WeekIndex],86)=0,"",SUMIFS(T_SelfStock_Log[Self_Qty],T_SelfStock_Log[Part Name],$A44,T_SelfStock_Log[WeekIndex],86))</f>
        <v/>
      </c>
      <c r="CJ44" s="17">
        <f>IF(COUNTIFS(T_SelfStock_Log[Part Name],$A44,T_SelfStock_Log[WeekIndex],87)=0,"",SUMIFS(T_SelfStock_Log[Self_Qty],T_SelfStock_Log[Part Name],$A44,T_SelfStock_Log[WeekIndex],87))</f>
        <v/>
      </c>
      <c r="CK44" s="17">
        <f>IF(COUNTIFS(T_SelfStock_Log[Part Name],$A44,T_SelfStock_Log[WeekIndex],88)=0,"",SUMIFS(T_SelfStock_Log[Self_Qty],T_SelfStock_Log[Part Name],$A44,T_SelfStock_Log[WeekIndex],88))</f>
        <v/>
      </c>
      <c r="CL44" s="17">
        <f>IF(COUNTIFS(T_SelfStock_Log[Part Name],$A44,T_SelfStock_Log[WeekIndex],89)=0,"",SUMIFS(T_SelfStock_Log[Self_Qty],T_SelfStock_Log[Part Name],$A44,T_SelfStock_Log[WeekIndex],89))</f>
        <v/>
      </c>
      <c r="CM44" s="17">
        <f>IF(COUNTIFS(T_SelfStock_Log[Part Name],$A44,T_SelfStock_Log[WeekIndex],90)=0,"",SUMIFS(T_SelfStock_Log[Self_Qty],T_SelfStock_Log[Part Name],$A44,T_SelfStock_Log[WeekIndex],90))</f>
        <v/>
      </c>
      <c r="CN44" s="17">
        <f>IF(COUNTIFS(T_SelfStock_Log[Part Name],$A44,T_SelfStock_Log[WeekIndex],91)=0,"",SUMIFS(T_SelfStock_Log[Self_Qty],T_SelfStock_Log[Part Name],$A44,T_SelfStock_Log[WeekIndex],91))</f>
        <v/>
      </c>
      <c r="CO44" s="17">
        <f>IF(COUNTIFS(T_SelfStock_Log[Part Name],$A44,T_SelfStock_Log[WeekIndex],92)=0,"",SUMIFS(T_SelfStock_Log[Self_Qty],T_SelfStock_Log[Part Name],$A44,T_SelfStock_Log[WeekIndex],92))</f>
        <v/>
      </c>
      <c r="CP44" s="17">
        <f>IF(COUNTIFS(T_SelfStock_Log[Part Name],$A44,T_SelfStock_Log[WeekIndex],93)=0,"",SUMIFS(T_SelfStock_Log[Self_Qty],T_SelfStock_Log[Part Name],$A44,T_SelfStock_Log[WeekIndex],93))</f>
        <v/>
      </c>
      <c r="CQ44" s="17">
        <f>IF(COUNTIFS(T_SelfStock_Log[Part Name],$A44,T_SelfStock_Log[WeekIndex],94)=0,"",SUMIFS(T_SelfStock_Log[Self_Qty],T_SelfStock_Log[Part Name],$A44,T_SelfStock_Log[WeekIndex],94))</f>
        <v/>
      </c>
      <c r="CR44" s="17">
        <f>IF(COUNTIFS(T_SelfStock_Log[Part Name],$A44,T_SelfStock_Log[WeekIndex],95)=0,"",SUMIFS(T_SelfStock_Log[Self_Qty],T_SelfStock_Log[Part Name],$A44,T_SelfStock_Log[WeekIndex],95))</f>
        <v/>
      </c>
      <c r="CS44" s="17">
        <f>IF(COUNTIFS(T_SelfStock_Log[Part Name],$A44,T_SelfStock_Log[WeekIndex],96)=0,"",SUMIFS(T_SelfStock_Log[Self_Qty],T_SelfStock_Log[Part Name],$A44,T_SelfStock_Log[WeekIndex],96))</f>
        <v/>
      </c>
      <c r="CT44" s="17">
        <f>IF(COUNTIFS(T_SelfStock_Log[Part Name],$A44,T_SelfStock_Log[WeekIndex],97)=0,"",SUMIFS(T_SelfStock_Log[Self_Qty],T_SelfStock_Log[Part Name],$A44,T_SelfStock_Log[WeekIndex],97))</f>
        <v/>
      </c>
      <c r="CU44" s="17">
        <f>IF(COUNTIFS(T_SelfStock_Log[Part Name],$A44,T_SelfStock_Log[WeekIndex],98)=0,"",SUMIFS(T_SelfStock_Log[Self_Qty],T_SelfStock_Log[Part Name],$A44,T_SelfStock_Log[WeekIndex],98))</f>
        <v/>
      </c>
      <c r="CV44" s="17">
        <f>IF(COUNTIFS(T_SelfStock_Log[Part Name],$A44,T_SelfStock_Log[WeekIndex],99)=0,"",SUMIFS(T_SelfStock_Log[Self_Qty],T_SelfStock_Log[Part Name],$A44,T_SelfStock_Log[WeekIndex],99))</f>
        <v/>
      </c>
      <c r="CW44" s="17">
        <f>IF(COUNTIFS(T_SelfStock_Log[Part Name],$A44,T_SelfStock_Log[WeekIndex],100)=0,"",SUMIFS(T_SelfStock_Log[Self_Qty],T_SelfStock_Log[Part Name],$A44,T_SelfStock_Log[WeekIndex],100))</f>
        <v/>
      </c>
      <c r="CX44" s="17">
        <f>IF(COUNTIFS(T_SelfStock_Log[Part Name],$A44,T_SelfStock_Log[WeekIndex],101)=0,"",SUMIFS(T_SelfStock_Log[Self_Qty],T_SelfStock_Log[Part Name],$A44,T_SelfStock_Log[WeekIndex],101))</f>
        <v/>
      </c>
      <c r="CY44" s="17">
        <f>IF(COUNTIFS(T_SelfStock_Log[Part Name],$A44,T_SelfStock_Log[WeekIndex],102)=0,"",SUMIFS(T_SelfStock_Log[Self_Qty],T_SelfStock_Log[Part Name],$A44,T_SelfStock_Log[WeekIndex],102))</f>
        <v/>
      </c>
      <c r="CZ44" s="17">
        <f>IF(COUNTIFS(T_SelfStock_Log[Part Name],$A44,T_SelfStock_Log[WeekIndex],103)=0,"",SUMIFS(T_SelfStock_Log[Self_Qty],T_SelfStock_Log[Part Name],$A44,T_SelfStock_Log[WeekIndex],103))</f>
        <v/>
      </c>
      <c r="DA44" s="17">
        <f>IF(COUNTIFS(T_SelfStock_Log[Part Name],$A44,T_SelfStock_Log[WeekIndex],104)=0,"",SUMIFS(T_SelfStock_Log[Self_Qty],T_SelfStock_Log[Part Name],$A44,T_SelfStock_Log[WeekIndex],104))</f>
        <v/>
      </c>
    </row>
    <row r="45">
      <c r="A45" s="19" t="inlineStr">
        <is>
          <t>CHEM-1730</t>
        </is>
      </c>
      <c r="B45" s="19">
        <f>IF(COUNTIFS(T_SelfStock_Log[Part Name],$A45,T_SelfStock_Log[WeekIndex],1)=0,"",SUMIFS(T_SelfStock_Log[Self_Qty],T_SelfStock_Log[Part Name],$A45,T_SelfStock_Log[WeekIndex],1))</f>
        <v/>
      </c>
      <c r="C45" s="19">
        <f>IF(COUNTIFS(T_SelfStock_Log[Part Name],$A45,T_SelfStock_Log[WeekIndex],2)=0,"",SUMIFS(T_SelfStock_Log[Self_Qty],T_SelfStock_Log[Part Name],$A45,T_SelfStock_Log[WeekIndex],2))</f>
        <v/>
      </c>
      <c r="D45" s="19">
        <f>IF(COUNTIFS(T_SelfStock_Log[Part Name],$A45,T_SelfStock_Log[WeekIndex],3)=0,"",SUMIFS(T_SelfStock_Log[Self_Qty],T_SelfStock_Log[Part Name],$A45,T_SelfStock_Log[WeekIndex],3))</f>
        <v/>
      </c>
      <c r="E45" s="19">
        <f>IF(COUNTIFS(T_SelfStock_Log[Part Name],$A45,T_SelfStock_Log[WeekIndex],4)=0,"",SUMIFS(T_SelfStock_Log[Self_Qty],T_SelfStock_Log[Part Name],$A45,T_SelfStock_Log[WeekIndex],4))</f>
        <v/>
      </c>
      <c r="F45" s="19">
        <f>IF(COUNTIFS(T_SelfStock_Log[Part Name],$A45,T_SelfStock_Log[WeekIndex],5)=0,"",SUMIFS(T_SelfStock_Log[Self_Qty],T_SelfStock_Log[Part Name],$A45,T_SelfStock_Log[WeekIndex],5))</f>
        <v/>
      </c>
      <c r="G45" s="19">
        <f>IF(COUNTIFS(T_SelfStock_Log[Part Name],$A45,T_SelfStock_Log[WeekIndex],6)=0,"",SUMIFS(T_SelfStock_Log[Self_Qty],T_SelfStock_Log[Part Name],$A45,T_SelfStock_Log[WeekIndex],6))</f>
        <v/>
      </c>
      <c r="H45" s="19">
        <f>IF(COUNTIFS(T_SelfStock_Log[Part Name],$A45,T_SelfStock_Log[WeekIndex],7)=0,"",SUMIFS(T_SelfStock_Log[Self_Qty],T_SelfStock_Log[Part Name],$A45,T_SelfStock_Log[WeekIndex],7))</f>
        <v/>
      </c>
      <c r="I45" s="19">
        <f>IF(COUNTIFS(T_SelfStock_Log[Part Name],$A45,T_SelfStock_Log[WeekIndex],8)=0,"",SUMIFS(T_SelfStock_Log[Self_Qty],T_SelfStock_Log[Part Name],$A45,T_SelfStock_Log[WeekIndex],8))</f>
        <v/>
      </c>
      <c r="J45" s="19">
        <f>IF(COUNTIFS(T_SelfStock_Log[Part Name],$A45,T_SelfStock_Log[WeekIndex],9)=0,"",SUMIFS(T_SelfStock_Log[Self_Qty],T_SelfStock_Log[Part Name],$A45,T_SelfStock_Log[WeekIndex],9))</f>
        <v/>
      </c>
      <c r="K45" s="19">
        <f>IF(COUNTIFS(T_SelfStock_Log[Part Name],$A45,T_SelfStock_Log[WeekIndex],10)=0,"",SUMIFS(T_SelfStock_Log[Self_Qty],T_SelfStock_Log[Part Name],$A45,T_SelfStock_Log[WeekIndex],10))</f>
        <v/>
      </c>
      <c r="L45" s="19">
        <f>IF(COUNTIFS(T_SelfStock_Log[Part Name],$A45,T_SelfStock_Log[WeekIndex],11)=0,"",SUMIFS(T_SelfStock_Log[Self_Qty],T_SelfStock_Log[Part Name],$A45,T_SelfStock_Log[WeekIndex],11))</f>
        <v/>
      </c>
      <c r="M45" s="19">
        <f>IF(COUNTIFS(T_SelfStock_Log[Part Name],$A45,T_SelfStock_Log[WeekIndex],12)=0,"",SUMIFS(T_SelfStock_Log[Self_Qty],T_SelfStock_Log[Part Name],$A45,T_SelfStock_Log[WeekIndex],12))</f>
        <v/>
      </c>
      <c r="N45" s="19">
        <f>IF(COUNTIFS(T_SelfStock_Log[Part Name],$A45,T_SelfStock_Log[WeekIndex],13)=0,"",SUMIFS(T_SelfStock_Log[Self_Qty],T_SelfStock_Log[Part Name],$A45,T_SelfStock_Log[WeekIndex],13))</f>
        <v/>
      </c>
      <c r="O45" s="19">
        <f>IF(COUNTIFS(T_SelfStock_Log[Part Name],$A45,T_SelfStock_Log[WeekIndex],14)=0,"",SUMIFS(T_SelfStock_Log[Self_Qty],T_SelfStock_Log[Part Name],$A45,T_SelfStock_Log[WeekIndex],14))</f>
        <v/>
      </c>
      <c r="P45" s="19">
        <f>IF(COUNTIFS(T_SelfStock_Log[Part Name],$A45,T_SelfStock_Log[WeekIndex],15)=0,"",SUMIFS(T_SelfStock_Log[Self_Qty],T_SelfStock_Log[Part Name],$A45,T_SelfStock_Log[WeekIndex],15))</f>
        <v/>
      </c>
      <c r="Q45" s="19">
        <f>IF(COUNTIFS(T_SelfStock_Log[Part Name],$A45,T_SelfStock_Log[WeekIndex],16)=0,"",SUMIFS(T_SelfStock_Log[Self_Qty],T_SelfStock_Log[Part Name],$A45,T_SelfStock_Log[WeekIndex],16))</f>
        <v/>
      </c>
      <c r="R45" s="19">
        <f>IF(COUNTIFS(T_SelfStock_Log[Part Name],$A45,T_SelfStock_Log[WeekIndex],17)=0,"",SUMIFS(T_SelfStock_Log[Self_Qty],T_SelfStock_Log[Part Name],$A45,T_SelfStock_Log[WeekIndex],17))</f>
        <v/>
      </c>
      <c r="S45" s="19">
        <f>IF(COUNTIFS(T_SelfStock_Log[Part Name],$A45,T_SelfStock_Log[WeekIndex],18)=0,"",SUMIFS(T_SelfStock_Log[Self_Qty],T_SelfStock_Log[Part Name],$A45,T_SelfStock_Log[WeekIndex],18))</f>
        <v/>
      </c>
      <c r="T45" s="19">
        <f>IF(COUNTIFS(T_SelfStock_Log[Part Name],$A45,T_SelfStock_Log[WeekIndex],19)=0,"",SUMIFS(T_SelfStock_Log[Self_Qty],T_SelfStock_Log[Part Name],$A45,T_SelfStock_Log[WeekIndex],19))</f>
        <v/>
      </c>
      <c r="U45" s="19">
        <f>IF(COUNTIFS(T_SelfStock_Log[Part Name],$A45,T_SelfStock_Log[WeekIndex],20)=0,"",SUMIFS(T_SelfStock_Log[Self_Qty],T_SelfStock_Log[Part Name],$A45,T_SelfStock_Log[WeekIndex],20))</f>
        <v/>
      </c>
      <c r="V45" s="19">
        <f>IF(COUNTIFS(T_SelfStock_Log[Part Name],$A45,T_SelfStock_Log[WeekIndex],21)=0,"",SUMIFS(T_SelfStock_Log[Self_Qty],T_SelfStock_Log[Part Name],$A45,T_SelfStock_Log[WeekIndex],21))</f>
        <v/>
      </c>
      <c r="W45" s="19">
        <f>IF(COUNTIFS(T_SelfStock_Log[Part Name],$A45,T_SelfStock_Log[WeekIndex],22)=0,"",SUMIFS(T_SelfStock_Log[Self_Qty],T_SelfStock_Log[Part Name],$A45,T_SelfStock_Log[WeekIndex],22))</f>
        <v/>
      </c>
      <c r="X45" s="19">
        <f>IF(COUNTIFS(T_SelfStock_Log[Part Name],$A45,T_SelfStock_Log[WeekIndex],23)=0,"",SUMIFS(T_SelfStock_Log[Self_Qty],T_SelfStock_Log[Part Name],$A45,T_SelfStock_Log[WeekIndex],23))</f>
        <v/>
      </c>
      <c r="Y45" s="19">
        <f>IF(COUNTIFS(T_SelfStock_Log[Part Name],$A45,T_SelfStock_Log[WeekIndex],24)=0,"",SUMIFS(T_SelfStock_Log[Self_Qty],T_SelfStock_Log[Part Name],$A45,T_SelfStock_Log[WeekIndex],24))</f>
        <v/>
      </c>
      <c r="Z45" s="19">
        <f>IF(COUNTIFS(T_SelfStock_Log[Part Name],$A45,T_SelfStock_Log[WeekIndex],25)=0,"",SUMIFS(T_SelfStock_Log[Self_Qty],T_SelfStock_Log[Part Name],$A45,T_SelfStock_Log[WeekIndex],25))</f>
        <v/>
      </c>
      <c r="AA45" s="19">
        <f>IF(COUNTIFS(T_SelfStock_Log[Part Name],$A45,T_SelfStock_Log[WeekIndex],26)=0,"",SUMIFS(T_SelfStock_Log[Self_Qty],T_SelfStock_Log[Part Name],$A45,T_SelfStock_Log[WeekIndex],26))</f>
        <v/>
      </c>
      <c r="AB45" s="19">
        <f>IF(COUNTIFS(T_SelfStock_Log[Part Name],$A45,T_SelfStock_Log[WeekIndex],27)=0,"",SUMIFS(T_SelfStock_Log[Self_Qty],T_SelfStock_Log[Part Name],$A45,T_SelfStock_Log[WeekIndex],27))</f>
        <v/>
      </c>
      <c r="AC45" s="19">
        <f>IF(COUNTIFS(T_SelfStock_Log[Part Name],$A45,T_SelfStock_Log[WeekIndex],28)=0,"",SUMIFS(T_SelfStock_Log[Self_Qty],T_SelfStock_Log[Part Name],$A45,T_SelfStock_Log[WeekIndex],28))</f>
        <v/>
      </c>
      <c r="AD45" s="19">
        <f>IF(COUNTIFS(T_SelfStock_Log[Part Name],$A45,T_SelfStock_Log[WeekIndex],29)=0,"",SUMIFS(T_SelfStock_Log[Self_Qty],T_SelfStock_Log[Part Name],$A45,T_SelfStock_Log[WeekIndex],29))</f>
        <v/>
      </c>
      <c r="AE45" s="19">
        <f>IF(COUNTIFS(T_SelfStock_Log[Part Name],$A45,T_SelfStock_Log[WeekIndex],30)=0,"",SUMIFS(T_SelfStock_Log[Self_Qty],T_SelfStock_Log[Part Name],$A45,T_SelfStock_Log[WeekIndex],30))</f>
        <v/>
      </c>
      <c r="AF45" s="19">
        <f>IF(COUNTIFS(T_SelfStock_Log[Part Name],$A45,T_SelfStock_Log[WeekIndex],31)=0,"",SUMIFS(T_SelfStock_Log[Self_Qty],T_SelfStock_Log[Part Name],$A45,T_SelfStock_Log[WeekIndex],31))</f>
        <v/>
      </c>
      <c r="AG45" s="19">
        <f>IF(COUNTIFS(T_SelfStock_Log[Part Name],$A45,T_SelfStock_Log[WeekIndex],32)=0,"",SUMIFS(T_SelfStock_Log[Self_Qty],T_SelfStock_Log[Part Name],$A45,T_SelfStock_Log[WeekIndex],32))</f>
        <v/>
      </c>
      <c r="AH45" s="19">
        <f>IF(COUNTIFS(T_SelfStock_Log[Part Name],$A45,T_SelfStock_Log[WeekIndex],33)=0,"",SUMIFS(T_SelfStock_Log[Self_Qty],T_SelfStock_Log[Part Name],$A45,T_SelfStock_Log[WeekIndex],33))</f>
        <v/>
      </c>
      <c r="AI45" s="19">
        <f>IF(COUNTIFS(T_SelfStock_Log[Part Name],$A45,T_SelfStock_Log[WeekIndex],34)=0,"",SUMIFS(T_SelfStock_Log[Self_Qty],T_SelfStock_Log[Part Name],$A45,T_SelfStock_Log[WeekIndex],34))</f>
        <v/>
      </c>
      <c r="AJ45" s="19">
        <f>IF(COUNTIFS(T_SelfStock_Log[Part Name],$A45,T_SelfStock_Log[WeekIndex],35)=0,"",SUMIFS(T_SelfStock_Log[Self_Qty],T_SelfStock_Log[Part Name],$A45,T_SelfStock_Log[WeekIndex],35))</f>
        <v/>
      </c>
      <c r="AK45" s="19">
        <f>IF(COUNTIFS(T_SelfStock_Log[Part Name],$A45,T_SelfStock_Log[WeekIndex],36)=0,"",SUMIFS(T_SelfStock_Log[Self_Qty],T_SelfStock_Log[Part Name],$A45,T_SelfStock_Log[WeekIndex],36))</f>
        <v/>
      </c>
      <c r="AL45" s="19">
        <f>IF(COUNTIFS(T_SelfStock_Log[Part Name],$A45,T_SelfStock_Log[WeekIndex],37)=0,"",SUMIFS(T_SelfStock_Log[Self_Qty],T_SelfStock_Log[Part Name],$A45,T_SelfStock_Log[WeekIndex],37))</f>
        <v/>
      </c>
      <c r="AM45" s="19">
        <f>IF(COUNTIFS(T_SelfStock_Log[Part Name],$A45,T_SelfStock_Log[WeekIndex],38)=0,"",SUMIFS(T_SelfStock_Log[Self_Qty],T_SelfStock_Log[Part Name],$A45,T_SelfStock_Log[WeekIndex],38))</f>
        <v/>
      </c>
      <c r="AN45" s="19">
        <f>IF(COUNTIFS(T_SelfStock_Log[Part Name],$A45,T_SelfStock_Log[WeekIndex],39)=0,"",SUMIFS(T_SelfStock_Log[Self_Qty],T_SelfStock_Log[Part Name],$A45,T_SelfStock_Log[WeekIndex],39))</f>
        <v/>
      </c>
      <c r="AO45" s="19">
        <f>IF(COUNTIFS(T_SelfStock_Log[Part Name],$A45,T_SelfStock_Log[WeekIndex],40)=0,"",SUMIFS(T_SelfStock_Log[Self_Qty],T_SelfStock_Log[Part Name],$A45,T_SelfStock_Log[WeekIndex],40))</f>
        <v/>
      </c>
      <c r="AP45" s="19">
        <f>IF(COUNTIFS(T_SelfStock_Log[Part Name],$A45,T_SelfStock_Log[WeekIndex],41)=0,"",SUMIFS(T_SelfStock_Log[Self_Qty],T_SelfStock_Log[Part Name],$A45,T_SelfStock_Log[WeekIndex],41))</f>
        <v/>
      </c>
      <c r="AQ45" s="19">
        <f>IF(COUNTIFS(T_SelfStock_Log[Part Name],$A45,T_SelfStock_Log[WeekIndex],42)=0,"",SUMIFS(T_SelfStock_Log[Self_Qty],T_SelfStock_Log[Part Name],$A45,T_SelfStock_Log[WeekIndex],42))</f>
        <v/>
      </c>
      <c r="AR45" s="19">
        <f>IF(COUNTIFS(T_SelfStock_Log[Part Name],$A45,T_SelfStock_Log[WeekIndex],43)=0,"",SUMIFS(T_SelfStock_Log[Self_Qty],T_SelfStock_Log[Part Name],$A45,T_SelfStock_Log[WeekIndex],43))</f>
        <v/>
      </c>
      <c r="AS45" s="19">
        <f>IF(COUNTIFS(T_SelfStock_Log[Part Name],$A45,T_SelfStock_Log[WeekIndex],44)=0,"",SUMIFS(T_SelfStock_Log[Self_Qty],T_SelfStock_Log[Part Name],$A45,T_SelfStock_Log[WeekIndex],44))</f>
        <v/>
      </c>
      <c r="AT45" s="19">
        <f>IF(COUNTIFS(T_SelfStock_Log[Part Name],$A45,T_SelfStock_Log[WeekIndex],45)=0,"",SUMIFS(T_SelfStock_Log[Self_Qty],T_SelfStock_Log[Part Name],$A45,T_SelfStock_Log[WeekIndex],45))</f>
        <v/>
      </c>
      <c r="AU45" s="19">
        <f>IF(COUNTIFS(T_SelfStock_Log[Part Name],$A45,T_SelfStock_Log[WeekIndex],46)=0,"",SUMIFS(T_SelfStock_Log[Self_Qty],T_SelfStock_Log[Part Name],$A45,T_SelfStock_Log[WeekIndex],46))</f>
        <v/>
      </c>
      <c r="AV45" s="19">
        <f>IF(COUNTIFS(T_SelfStock_Log[Part Name],$A45,T_SelfStock_Log[WeekIndex],47)=0,"",SUMIFS(T_SelfStock_Log[Self_Qty],T_SelfStock_Log[Part Name],$A45,T_SelfStock_Log[WeekIndex],47))</f>
        <v/>
      </c>
      <c r="AW45" s="19">
        <f>IF(COUNTIFS(T_SelfStock_Log[Part Name],$A45,T_SelfStock_Log[WeekIndex],48)=0,"",SUMIFS(T_SelfStock_Log[Self_Qty],T_SelfStock_Log[Part Name],$A45,T_SelfStock_Log[WeekIndex],48))</f>
        <v/>
      </c>
      <c r="AX45" s="19">
        <f>IF(COUNTIFS(T_SelfStock_Log[Part Name],$A45,T_SelfStock_Log[WeekIndex],49)=0,"",SUMIFS(T_SelfStock_Log[Self_Qty],T_SelfStock_Log[Part Name],$A45,T_SelfStock_Log[WeekIndex],49))</f>
        <v/>
      </c>
      <c r="AY45" s="19">
        <f>IF(COUNTIFS(T_SelfStock_Log[Part Name],$A45,T_SelfStock_Log[WeekIndex],50)=0,"",SUMIFS(T_SelfStock_Log[Self_Qty],T_SelfStock_Log[Part Name],$A45,T_SelfStock_Log[WeekIndex],50))</f>
        <v/>
      </c>
      <c r="AZ45" s="19">
        <f>IF(COUNTIFS(T_SelfStock_Log[Part Name],$A45,T_SelfStock_Log[WeekIndex],51)=0,"",SUMIFS(T_SelfStock_Log[Self_Qty],T_SelfStock_Log[Part Name],$A45,T_SelfStock_Log[WeekIndex],51))</f>
        <v/>
      </c>
      <c r="BA45" s="19">
        <f>IF(COUNTIFS(T_SelfStock_Log[Part Name],$A45,T_SelfStock_Log[WeekIndex],52)=0,"",SUMIFS(T_SelfStock_Log[Self_Qty],T_SelfStock_Log[Part Name],$A45,T_SelfStock_Log[WeekIndex],52))</f>
        <v/>
      </c>
      <c r="BB45" s="19">
        <f>IF(COUNTIFS(T_SelfStock_Log[Part Name],$A45,T_SelfStock_Log[WeekIndex],53)=0,"",SUMIFS(T_SelfStock_Log[Self_Qty],T_SelfStock_Log[Part Name],$A45,T_SelfStock_Log[WeekIndex],53))</f>
        <v/>
      </c>
      <c r="BC45" s="19">
        <f>IF(COUNTIFS(T_SelfStock_Log[Part Name],$A45,T_SelfStock_Log[WeekIndex],54)=0,"",SUMIFS(T_SelfStock_Log[Self_Qty],T_SelfStock_Log[Part Name],$A45,T_SelfStock_Log[WeekIndex],54))</f>
        <v/>
      </c>
      <c r="BD45" s="19">
        <f>IF(COUNTIFS(T_SelfStock_Log[Part Name],$A45,T_SelfStock_Log[WeekIndex],55)=0,"",SUMIFS(T_SelfStock_Log[Self_Qty],T_SelfStock_Log[Part Name],$A45,T_SelfStock_Log[WeekIndex],55))</f>
        <v/>
      </c>
      <c r="BE45" s="19">
        <f>IF(COUNTIFS(T_SelfStock_Log[Part Name],$A45,T_SelfStock_Log[WeekIndex],56)=0,"",SUMIFS(T_SelfStock_Log[Self_Qty],T_SelfStock_Log[Part Name],$A45,T_SelfStock_Log[WeekIndex],56))</f>
        <v/>
      </c>
      <c r="BF45" s="19">
        <f>IF(COUNTIFS(T_SelfStock_Log[Part Name],$A45,T_SelfStock_Log[WeekIndex],57)=0,"",SUMIFS(T_SelfStock_Log[Self_Qty],T_SelfStock_Log[Part Name],$A45,T_SelfStock_Log[WeekIndex],57))</f>
        <v/>
      </c>
      <c r="BG45" s="19">
        <f>IF(COUNTIFS(T_SelfStock_Log[Part Name],$A45,T_SelfStock_Log[WeekIndex],58)=0,"",SUMIFS(T_SelfStock_Log[Self_Qty],T_SelfStock_Log[Part Name],$A45,T_SelfStock_Log[WeekIndex],58))</f>
        <v/>
      </c>
      <c r="BH45" s="19">
        <f>IF(COUNTIFS(T_SelfStock_Log[Part Name],$A45,T_SelfStock_Log[WeekIndex],59)=0,"",SUMIFS(T_SelfStock_Log[Self_Qty],T_SelfStock_Log[Part Name],$A45,T_SelfStock_Log[WeekIndex],59))</f>
        <v/>
      </c>
      <c r="BI45" s="19">
        <f>IF(COUNTIFS(T_SelfStock_Log[Part Name],$A45,T_SelfStock_Log[WeekIndex],60)=0,"",SUMIFS(T_SelfStock_Log[Self_Qty],T_SelfStock_Log[Part Name],$A45,T_SelfStock_Log[WeekIndex],60))</f>
        <v/>
      </c>
      <c r="BJ45" s="19">
        <f>IF(COUNTIFS(T_SelfStock_Log[Part Name],$A45,T_SelfStock_Log[WeekIndex],61)=0,"",SUMIFS(T_SelfStock_Log[Self_Qty],T_SelfStock_Log[Part Name],$A45,T_SelfStock_Log[WeekIndex],61))</f>
        <v/>
      </c>
      <c r="BK45" s="19">
        <f>IF(COUNTIFS(T_SelfStock_Log[Part Name],$A45,T_SelfStock_Log[WeekIndex],62)=0,"",SUMIFS(T_SelfStock_Log[Self_Qty],T_SelfStock_Log[Part Name],$A45,T_SelfStock_Log[WeekIndex],62))</f>
        <v/>
      </c>
      <c r="BL45" s="19">
        <f>IF(COUNTIFS(T_SelfStock_Log[Part Name],$A45,T_SelfStock_Log[WeekIndex],63)=0,"",SUMIFS(T_SelfStock_Log[Self_Qty],T_SelfStock_Log[Part Name],$A45,T_SelfStock_Log[WeekIndex],63))</f>
        <v/>
      </c>
      <c r="BM45" s="19">
        <f>IF(COUNTIFS(T_SelfStock_Log[Part Name],$A45,T_SelfStock_Log[WeekIndex],64)=0,"",SUMIFS(T_SelfStock_Log[Self_Qty],T_SelfStock_Log[Part Name],$A45,T_SelfStock_Log[WeekIndex],64))</f>
        <v/>
      </c>
      <c r="BN45" s="19">
        <f>IF(COUNTIFS(T_SelfStock_Log[Part Name],$A45,T_SelfStock_Log[WeekIndex],65)=0,"",SUMIFS(T_SelfStock_Log[Self_Qty],T_SelfStock_Log[Part Name],$A45,T_SelfStock_Log[WeekIndex],65))</f>
        <v/>
      </c>
      <c r="BO45" s="19">
        <f>IF(COUNTIFS(T_SelfStock_Log[Part Name],$A45,T_SelfStock_Log[WeekIndex],66)=0,"",SUMIFS(T_SelfStock_Log[Self_Qty],T_SelfStock_Log[Part Name],$A45,T_SelfStock_Log[WeekIndex],66))</f>
        <v/>
      </c>
      <c r="BP45" s="19">
        <f>IF(COUNTIFS(T_SelfStock_Log[Part Name],$A45,T_SelfStock_Log[WeekIndex],67)=0,"",SUMIFS(T_SelfStock_Log[Self_Qty],T_SelfStock_Log[Part Name],$A45,T_SelfStock_Log[WeekIndex],67))</f>
        <v/>
      </c>
      <c r="BQ45" s="19">
        <f>IF(COUNTIFS(T_SelfStock_Log[Part Name],$A45,T_SelfStock_Log[WeekIndex],68)=0,"",SUMIFS(T_SelfStock_Log[Self_Qty],T_SelfStock_Log[Part Name],$A45,T_SelfStock_Log[WeekIndex],68))</f>
        <v/>
      </c>
      <c r="BR45" s="19">
        <f>IF(COUNTIFS(T_SelfStock_Log[Part Name],$A45,T_SelfStock_Log[WeekIndex],69)=0,"",SUMIFS(T_SelfStock_Log[Self_Qty],T_SelfStock_Log[Part Name],$A45,T_SelfStock_Log[WeekIndex],69))</f>
        <v/>
      </c>
      <c r="BS45" s="19">
        <f>IF(COUNTIFS(T_SelfStock_Log[Part Name],$A45,T_SelfStock_Log[WeekIndex],70)=0,"",SUMIFS(T_SelfStock_Log[Self_Qty],T_SelfStock_Log[Part Name],$A45,T_SelfStock_Log[WeekIndex],70))</f>
        <v/>
      </c>
      <c r="BT45" s="19">
        <f>IF(COUNTIFS(T_SelfStock_Log[Part Name],$A45,T_SelfStock_Log[WeekIndex],71)=0,"",SUMIFS(T_SelfStock_Log[Self_Qty],T_SelfStock_Log[Part Name],$A45,T_SelfStock_Log[WeekIndex],71))</f>
        <v/>
      </c>
      <c r="BU45" s="19">
        <f>IF(COUNTIFS(T_SelfStock_Log[Part Name],$A45,T_SelfStock_Log[WeekIndex],72)=0,"",SUMIFS(T_SelfStock_Log[Self_Qty],T_SelfStock_Log[Part Name],$A45,T_SelfStock_Log[WeekIndex],72))</f>
        <v/>
      </c>
      <c r="BV45" s="19">
        <f>IF(COUNTIFS(T_SelfStock_Log[Part Name],$A45,T_SelfStock_Log[WeekIndex],73)=0,"",SUMIFS(T_SelfStock_Log[Self_Qty],T_SelfStock_Log[Part Name],$A45,T_SelfStock_Log[WeekIndex],73))</f>
        <v/>
      </c>
      <c r="BW45" s="19">
        <f>IF(COUNTIFS(T_SelfStock_Log[Part Name],$A45,T_SelfStock_Log[WeekIndex],74)=0,"",SUMIFS(T_SelfStock_Log[Self_Qty],T_SelfStock_Log[Part Name],$A45,T_SelfStock_Log[WeekIndex],74))</f>
        <v/>
      </c>
      <c r="BX45" s="19">
        <f>IF(COUNTIFS(T_SelfStock_Log[Part Name],$A45,T_SelfStock_Log[WeekIndex],75)=0,"",SUMIFS(T_SelfStock_Log[Self_Qty],T_SelfStock_Log[Part Name],$A45,T_SelfStock_Log[WeekIndex],75))</f>
        <v/>
      </c>
      <c r="BY45" s="19">
        <f>IF(COUNTIFS(T_SelfStock_Log[Part Name],$A45,T_SelfStock_Log[WeekIndex],76)=0,"",SUMIFS(T_SelfStock_Log[Self_Qty],T_SelfStock_Log[Part Name],$A45,T_SelfStock_Log[WeekIndex],76))</f>
        <v/>
      </c>
      <c r="BZ45" s="19">
        <f>IF(COUNTIFS(T_SelfStock_Log[Part Name],$A45,T_SelfStock_Log[WeekIndex],77)=0,"",SUMIFS(T_SelfStock_Log[Self_Qty],T_SelfStock_Log[Part Name],$A45,T_SelfStock_Log[WeekIndex],77))</f>
        <v/>
      </c>
      <c r="CA45" s="19">
        <f>IF(COUNTIFS(T_SelfStock_Log[Part Name],$A45,T_SelfStock_Log[WeekIndex],78)=0,"",SUMIFS(T_SelfStock_Log[Self_Qty],T_SelfStock_Log[Part Name],$A45,T_SelfStock_Log[WeekIndex],78))</f>
        <v/>
      </c>
      <c r="CB45" s="19">
        <f>IF(COUNTIFS(T_SelfStock_Log[Part Name],$A45,T_SelfStock_Log[WeekIndex],79)=0,"",SUMIFS(T_SelfStock_Log[Self_Qty],T_SelfStock_Log[Part Name],$A45,T_SelfStock_Log[WeekIndex],79))</f>
        <v/>
      </c>
      <c r="CC45" s="19">
        <f>IF(COUNTIFS(T_SelfStock_Log[Part Name],$A45,T_SelfStock_Log[WeekIndex],80)=0,"",SUMIFS(T_SelfStock_Log[Self_Qty],T_SelfStock_Log[Part Name],$A45,T_SelfStock_Log[WeekIndex],80))</f>
        <v/>
      </c>
      <c r="CD45" s="19">
        <f>IF(COUNTIFS(T_SelfStock_Log[Part Name],$A45,T_SelfStock_Log[WeekIndex],81)=0,"",SUMIFS(T_SelfStock_Log[Self_Qty],T_SelfStock_Log[Part Name],$A45,T_SelfStock_Log[WeekIndex],81))</f>
        <v/>
      </c>
      <c r="CE45" s="19">
        <f>IF(COUNTIFS(T_SelfStock_Log[Part Name],$A45,T_SelfStock_Log[WeekIndex],82)=0,"",SUMIFS(T_SelfStock_Log[Self_Qty],T_SelfStock_Log[Part Name],$A45,T_SelfStock_Log[WeekIndex],82))</f>
        <v/>
      </c>
      <c r="CF45" s="19">
        <f>IF(COUNTIFS(T_SelfStock_Log[Part Name],$A45,T_SelfStock_Log[WeekIndex],83)=0,"",SUMIFS(T_SelfStock_Log[Self_Qty],T_SelfStock_Log[Part Name],$A45,T_SelfStock_Log[WeekIndex],83))</f>
        <v/>
      </c>
      <c r="CG45" s="19">
        <f>IF(COUNTIFS(T_SelfStock_Log[Part Name],$A45,T_SelfStock_Log[WeekIndex],84)=0,"",SUMIFS(T_SelfStock_Log[Self_Qty],T_SelfStock_Log[Part Name],$A45,T_SelfStock_Log[WeekIndex],84))</f>
        <v/>
      </c>
      <c r="CH45" s="19">
        <f>IF(COUNTIFS(T_SelfStock_Log[Part Name],$A45,T_SelfStock_Log[WeekIndex],85)=0,"",SUMIFS(T_SelfStock_Log[Self_Qty],T_SelfStock_Log[Part Name],$A45,T_SelfStock_Log[WeekIndex],85))</f>
        <v/>
      </c>
      <c r="CI45" s="19">
        <f>IF(COUNTIFS(T_SelfStock_Log[Part Name],$A45,T_SelfStock_Log[WeekIndex],86)=0,"",SUMIFS(T_SelfStock_Log[Self_Qty],T_SelfStock_Log[Part Name],$A45,T_SelfStock_Log[WeekIndex],86))</f>
        <v/>
      </c>
      <c r="CJ45" s="19">
        <f>IF(COUNTIFS(T_SelfStock_Log[Part Name],$A45,T_SelfStock_Log[WeekIndex],87)=0,"",SUMIFS(T_SelfStock_Log[Self_Qty],T_SelfStock_Log[Part Name],$A45,T_SelfStock_Log[WeekIndex],87))</f>
        <v/>
      </c>
      <c r="CK45" s="19">
        <f>IF(COUNTIFS(T_SelfStock_Log[Part Name],$A45,T_SelfStock_Log[WeekIndex],88)=0,"",SUMIFS(T_SelfStock_Log[Self_Qty],T_SelfStock_Log[Part Name],$A45,T_SelfStock_Log[WeekIndex],88))</f>
        <v/>
      </c>
      <c r="CL45" s="19">
        <f>IF(COUNTIFS(T_SelfStock_Log[Part Name],$A45,T_SelfStock_Log[WeekIndex],89)=0,"",SUMIFS(T_SelfStock_Log[Self_Qty],T_SelfStock_Log[Part Name],$A45,T_SelfStock_Log[WeekIndex],89))</f>
        <v/>
      </c>
      <c r="CM45" s="19">
        <f>IF(COUNTIFS(T_SelfStock_Log[Part Name],$A45,T_SelfStock_Log[WeekIndex],90)=0,"",SUMIFS(T_SelfStock_Log[Self_Qty],T_SelfStock_Log[Part Name],$A45,T_SelfStock_Log[WeekIndex],90))</f>
        <v/>
      </c>
      <c r="CN45" s="19">
        <f>IF(COUNTIFS(T_SelfStock_Log[Part Name],$A45,T_SelfStock_Log[WeekIndex],91)=0,"",SUMIFS(T_SelfStock_Log[Self_Qty],T_SelfStock_Log[Part Name],$A45,T_SelfStock_Log[WeekIndex],91))</f>
        <v/>
      </c>
      <c r="CO45" s="19">
        <f>IF(COUNTIFS(T_SelfStock_Log[Part Name],$A45,T_SelfStock_Log[WeekIndex],92)=0,"",SUMIFS(T_SelfStock_Log[Self_Qty],T_SelfStock_Log[Part Name],$A45,T_SelfStock_Log[WeekIndex],92))</f>
        <v/>
      </c>
      <c r="CP45" s="19">
        <f>IF(COUNTIFS(T_SelfStock_Log[Part Name],$A45,T_SelfStock_Log[WeekIndex],93)=0,"",SUMIFS(T_SelfStock_Log[Self_Qty],T_SelfStock_Log[Part Name],$A45,T_SelfStock_Log[WeekIndex],93))</f>
        <v/>
      </c>
      <c r="CQ45" s="19">
        <f>IF(COUNTIFS(T_SelfStock_Log[Part Name],$A45,T_SelfStock_Log[WeekIndex],94)=0,"",SUMIFS(T_SelfStock_Log[Self_Qty],T_SelfStock_Log[Part Name],$A45,T_SelfStock_Log[WeekIndex],94))</f>
        <v/>
      </c>
      <c r="CR45" s="19">
        <f>IF(COUNTIFS(T_SelfStock_Log[Part Name],$A45,T_SelfStock_Log[WeekIndex],95)=0,"",SUMIFS(T_SelfStock_Log[Self_Qty],T_SelfStock_Log[Part Name],$A45,T_SelfStock_Log[WeekIndex],95))</f>
        <v/>
      </c>
      <c r="CS45" s="19">
        <f>IF(COUNTIFS(T_SelfStock_Log[Part Name],$A45,T_SelfStock_Log[WeekIndex],96)=0,"",SUMIFS(T_SelfStock_Log[Self_Qty],T_SelfStock_Log[Part Name],$A45,T_SelfStock_Log[WeekIndex],96))</f>
        <v/>
      </c>
      <c r="CT45" s="19">
        <f>IF(COUNTIFS(T_SelfStock_Log[Part Name],$A45,T_SelfStock_Log[WeekIndex],97)=0,"",SUMIFS(T_SelfStock_Log[Self_Qty],T_SelfStock_Log[Part Name],$A45,T_SelfStock_Log[WeekIndex],97))</f>
        <v/>
      </c>
      <c r="CU45" s="19">
        <f>IF(COUNTIFS(T_SelfStock_Log[Part Name],$A45,T_SelfStock_Log[WeekIndex],98)=0,"",SUMIFS(T_SelfStock_Log[Self_Qty],T_SelfStock_Log[Part Name],$A45,T_SelfStock_Log[WeekIndex],98))</f>
        <v/>
      </c>
      <c r="CV45" s="19">
        <f>IF(COUNTIFS(T_SelfStock_Log[Part Name],$A45,T_SelfStock_Log[WeekIndex],99)=0,"",SUMIFS(T_SelfStock_Log[Self_Qty],T_SelfStock_Log[Part Name],$A45,T_SelfStock_Log[WeekIndex],99))</f>
        <v/>
      </c>
      <c r="CW45" s="19">
        <f>IF(COUNTIFS(T_SelfStock_Log[Part Name],$A45,T_SelfStock_Log[WeekIndex],100)=0,"",SUMIFS(T_SelfStock_Log[Self_Qty],T_SelfStock_Log[Part Name],$A45,T_SelfStock_Log[WeekIndex],100))</f>
        <v/>
      </c>
      <c r="CX45" s="19">
        <f>IF(COUNTIFS(T_SelfStock_Log[Part Name],$A45,T_SelfStock_Log[WeekIndex],101)=0,"",SUMIFS(T_SelfStock_Log[Self_Qty],T_SelfStock_Log[Part Name],$A45,T_SelfStock_Log[WeekIndex],101))</f>
        <v/>
      </c>
      <c r="CY45" s="19">
        <f>IF(COUNTIFS(T_SelfStock_Log[Part Name],$A45,T_SelfStock_Log[WeekIndex],102)=0,"",SUMIFS(T_SelfStock_Log[Self_Qty],T_SelfStock_Log[Part Name],$A45,T_SelfStock_Log[WeekIndex],102))</f>
        <v/>
      </c>
      <c r="CZ45" s="19">
        <f>IF(COUNTIFS(T_SelfStock_Log[Part Name],$A45,T_SelfStock_Log[WeekIndex],103)=0,"",SUMIFS(T_SelfStock_Log[Self_Qty],T_SelfStock_Log[Part Name],$A45,T_SelfStock_Log[WeekIndex],103))</f>
        <v/>
      </c>
      <c r="DA45" s="19">
        <f>IF(COUNTIFS(T_SelfStock_Log[Part Name],$A45,T_SelfStock_Log[WeekIndex],104)=0,"",SUMIFS(T_SelfStock_Log[Self_Qty],T_SelfStock_Log[Part Name],$A45,T_SelfStock_Log[WeekIndex],104))</f>
        <v/>
      </c>
    </row>
    <row r="46">
      <c r="A46" s="17" t="inlineStr">
        <is>
          <t>CHEM-1280</t>
        </is>
      </c>
      <c r="B46" s="17">
        <f>IF(COUNTIFS(T_SelfStock_Log[Part Name],$A46,T_SelfStock_Log[WeekIndex],1)=0,"",SUMIFS(T_SelfStock_Log[Self_Qty],T_SelfStock_Log[Part Name],$A46,T_SelfStock_Log[WeekIndex],1))</f>
        <v/>
      </c>
      <c r="C46" s="17">
        <f>IF(COUNTIFS(T_SelfStock_Log[Part Name],$A46,T_SelfStock_Log[WeekIndex],2)=0,"",SUMIFS(T_SelfStock_Log[Self_Qty],T_SelfStock_Log[Part Name],$A46,T_SelfStock_Log[WeekIndex],2))</f>
        <v/>
      </c>
      <c r="D46" s="17">
        <f>IF(COUNTIFS(T_SelfStock_Log[Part Name],$A46,T_SelfStock_Log[WeekIndex],3)=0,"",SUMIFS(T_SelfStock_Log[Self_Qty],T_SelfStock_Log[Part Name],$A46,T_SelfStock_Log[WeekIndex],3))</f>
        <v/>
      </c>
      <c r="E46" s="17">
        <f>IF(COUNTIFS(T_SelfStock_Log[Part Name],$A46,T_SelfStock_Log[WeekIndex],4)=0,"",SUMIFS(T_SelfStock_Log[Self_Qty],T_SelfStock_Log[Part Name],$A46,T_SelfStock_Log[WeekIndex],4))</f>
        <v/>
      </c>
      <c r="F46" s="17">
        <f>IF(COUNTIFS(T_SelfStock_Log[Part Name],$A46,T_SelfStock_Log[WeekIndex],5)=0,"",SUMIFS(T_SelfStock_Log[Self_Qty],T_SelfStock_Log[Part Name],$A46,T_SelfStock_Log[WeekIndex],5))</f>
        <v/>
      </c>
      <c r="G46" s="17">
        <f>IF(COUNTIFS(T_SelfStock_Log[Part Name],$A46,T_SelfStock_Log[WeekIndex],6)=0,"",SUMIFS(T_SelfStock_Log[Self_Qty],T_SelfStock_Log[Part Name],$A46,T_SelfStock_Log[WeekIndex],6))</f>
        <v/>
      </c>
      <c r="H46" s="17">
        <f>IF(COUNTIFS(T_SelfStock_Log[Part Name],$A46,T_SelfStock_Log[WeekIndex],7)=0,"",SUMIFS(T_SelfStock_Log[Self_Qty],T_SelfStock_Log[Part Name],$A46,T_SelfStock_Log[WeekIndex],7))</f>
        <v/>
      </c>
      <c r="I46" s="17">
        <f>IF(COUNTIFS(T_SelfStock_Log[Part Name],$A46,T_SelfStock_Log[WeekIndex],8)=0,"",SUMIFS(T_SelfStock_Log[Self_Qty],T_SelfStock_Log[Part Name],$A46,T_SelfStock_Log[WeekIndex],8))</f>
        <v/>
      </c>
      <c r="J46" s="17">
        <f>IF(COUNTIFS(T_SelfStock_Log[Part Name],$A46,T_SelfStock_Log[WeekIndex],9)=0,"",SUMIFS(T_SelfStock_Log[Self_Qty],T_SelfStock_Log[Part Name],$A46,T_SelfStock_Log[WeekIndex],9))</f>
        <v/>
      </c>
      <c r="K46" s="17">
        <f>IF(COUNTIFS(T_SelfStock_Log[Part Name],$A46,T_SelfStock_Log[WeekIndex],10)=0,"",SUMIFS(T_SelfStock_Log[Self_Qty],T_SelfStock_Log[Part Name],$A46,T_SelfStock_Log[WeekIndex],10))</f>
        <v/>
      </c>
      <c r="L46" s="17">
        <f>IF(COUNTIFS(T_SelfStock_Log[Part Name],$A46,T_SelfStock_Log[WeekIndex],11)=0,"",SUMIFS(T_SelfStock_Log[Self_Qty],T_SelfStock_Log[Part Name],$A46,T_SelfStock_Log[WeekIndex],11))</f>
        <v/>
      </c>
      <c r="M46" s="17">
        <f>IF(COUNTIFS(T_SelfStock_Log[Part Name],$A46,T_SelfStock_Log[WeekIndex],12)=0,"",SUMIFS(T_SelfStock_Log[Self_Qty],T_SelfStock_Log[Part Name],$A46,T_SelfStock_Log[WeekIndex],12))</f>
        <v/>
      </c>
      <c r="N46" s="17">
        <f>IF(COUNTIFS(T_SelfStock_Log[Part Name],$A46,T_SelfStock_Log[WeekIndex],13)=0,"",SUMIFS(T_SelfStock_Log[Self_Qty],T_SelfStock_Log[Part Name],$A46,T_SelfStock_Log[WeekIndex],13))</f>
        <v/>
      </c>
      <c r="O46" s="17">
        <f>IF(COUNTIFS(T_SelfStock_Log[Part Name],$A46,T_SelfStock_Log[WeekIndex],14)=0,"",SUMIFS(T_SelfStock_Log[Self_Qty],T_SelfStock_Log[Part Name],$A46,T_SelfStock_Log[WeekIndex],14))</f>
        <v/>
      </c>
      <c r="P46" s="17">
        <f>IF(COUNTIFS(T_SelfStock_Log[Part Name],$A46,T_SelfStock_Log[WeekIndex],15)=0,"",SUMIFS(T_SelfStock_Log[Self_Qty],T_SelfStock_Log[Part Name],$A46,T_SelfStock_Log[WeekIndex],15))</f>
        <v/>
      </c>
      <c r="Q46" s="17">
        <f>IF(COUNTIFS(T_SelfStock_Log[Part Name],$A46,T_SelfStock_Log[WeekIndex],16)=0,"",SUMIFS(T_SelfStock_Log[Self_Qty],T_SelfStock_Log[Part Name],$A46,T_SelfStock_Log[WeekIndex],16))</f>
        <v/>
      </c>
      <c r="R46" s="17">
        <f>IF(COUNTIFS(T_SelfStock_Log[Part Name],$A46,T_SelfStock_Log[WeekIndex],17)=0,"",SUMIFS(T_SelfStock_Log[Self_Qty],T_SelfStock_Log[Part Name],$A46,T_SelfStock_Log[WeekIndex],17))</f>
        <v/>
      </c>
      <c r="S46" s="17">
        <f>IF(COUNTIFS(T_SelfStock_Log[Part Name],$A46,T_SelfStock_Log[WeekIndex],18)=0,"",SUMIFS(T_SelfStock_Log[Self_Qty],T_SelfStock_Log[Part Name],$A46,T_SelfStock_Log[WeekIndex],18))</f>
        <v/>
      </c>
      <c r="T46" s="17">
        <f>IF(COUNTIFS(T_SelfStock_Log[Part Name],$A46,T_SelfStock_Log[WeekIndex],19)=0,"",SUMIFS(T_SelfStock_Log[Self_Qty],T_SelfStock_Log[Part Name],$A46,T_SelfStock_Log[WeekIndex],19))</f>
        <v/>
      </c>
      <c r="U46" s="17">
        <f>IF(COUNTIFS(T_SelfStock_Log[Part Name],$A46,T_SelfStock_Log[WeekIndex],20)=0,"",SUMIFS(T_SelfStock_Log[Self_Qty],T_SelfStock_Log[Part Name],$A46,T_SelfStock_Log[WeekIndex],20))</f>
        <v/>
      </c>
      <c r="V46" s="17">
        <f>IF(COUNTIFS(T_SelfStock_Log[Part Name],$A46,T_SelfStock_Log[WeekIndex],21)=0,"",SUMIFS(T_SelfStock_Log[Self_Qty],T_SelfStock_Log[Part Name],$A46,T_SelfStock_Log[WeekIndex],21))</f>
        <v/>
      </c>
      <c r="W46" s="17">
        <f>IF(COUNTIFS(T_SelfStock_Log[Part Name],$A46,T_SelfStock_Log[WeekIndex],22)=0,"",SUMIFS(T_SelfStock_Log[Self_Qty],T_SelfStock_Log[Part Name],$A46,T_SelfStock_Log[WeekIndex],22))</f>
        <v/>
      </c>
      <c r="X46" s="17">
        <f>IF(COUNTIFS(T_SelfStock_Log[Part Name],$A46,T_SelfStock_Log[WeekIndex],23)=0,"",SUMIFS(T_SelfStock_Log[Self_Qty],T_SelfStock_Log[Part Name],$A46,T_SelfStock_Log[WeekIndex],23))</f>
        <v/>
      </c>
      <c r="Y46" s="17">
        <f>IF(COUNTIFS(T_SelfStock_Log[Part Name],$A46,T_SelfStock_Log[WeekIndex],24)=0,"",SUMIFS(T_SelfStock_Log[Self_Qty],T_SelfStock_Log[Part Name],$A46,T_SelfStock_Log[WeekIndex],24))</f>
        <v/>
      </c>
      <c r="Z46" s="17">
        <f>IF(COUNTIFS(T_SelfStock_Log[Part Name],$A46,T_SelfStock_Log[WeekIndex],25)=0,"",SUMIFS(T_SelfStock_Log[Self_Qty],T_SelfStock_Log[Part Name],$A46,T_SelfStock_Log[WeekIndex],25))</f>
        <v/>
      </c>
      <c r="AA46" s="17">
        <f>IF(COUNTIFS(T_SelfStock_Log[Part Name],$A46,T_SelfStock_Log[WeekIndex],26)=0,"",SUMIFS(T_SelfStock_Log[Self_Qty],T_SelfStock_Log[Part Name],$A46,T_SelfStock_Log[WeekIndex],26))</f>
        <v/>
      </c>
      <c r="AB46" s="17">
        <f>IF(COUNTIFS(T_SelfStock_Log[Part Name],$A46,T_SelfStock_Log[WeekIndex],27)=0,"",SUMIFS(T_SelfStock_Log[Self_Qty],T_SelfStock_Log[Part Name],$A46,T_SelfStock_Log[WeekIndex],27))</f>
        <v/>
      </c>
      <c r="AC46" s="17">
        <f>IF(COUNTIFS(T_SelfStock_Log[Part Name],$A46,T_SelfStock_Log[WeekIndex],28)=0,"",SUMIFS(T_SelfStock_Log[Self_Qty],T_SelfStock_Log[Part Name],$A46,T_SelfStock_Log[WeekIndex],28))</f>
        <v/>
      </c>
      <c r="AD46" s="17">
        <f>IF(COUNTIFS(T_SelfStock_Log[Part Name],$A46,T_SelfStock_Log[WeekIndex],29)=0,"",SUMIFS(T_SelfStock_Log[Self_Qty],T_SelfStock_Log[Part Name],$A46,T_SelfStock_Log[WeekIndex],29))</f>
        <v/>
      </c>
      <c r="AE46" s="17">
        <f>IF(COUNTIFS(T_SelfStock_Log[Part Name],$A46,T_SelfStock_Log[WeekIndex],30)=0,"",SUMIFS(T_SelfStock_Log[Self_Qty],T_SelfStock_Log[Part Name],$A46,T_SelfStock_Log[WeekIndex],30))</f>
        <v/>
      </c>
      <c r="AF46" s="17">
        <f>IF(COUNTIFS(T_SelfStock_Log[Part Name],$A46,T_SelfStock_Log[WeekIndex],31)=0,"",SUMIFS(T_SelfStock_Log[Self_Qty],T_SelfStock_Log[Part Name],$A46,T_SelfStock_Log[WeekIndex],31))</f>
        <v/>
      </c>
      <c r="AG46" s="17">
        <f>IF(COUNTIFS(T_SelfStock_Log[Part Name],$A46,T_SelfStock_Log[WeekIndex],32)=0,"",SUMIFS(T_SelfStock_Log[Self_Qty],T_SelfStock_Log[Part Name],$A46,T_SelfStock_Log[WeekIndex],32))</f>
        <v/>
      </c>
      <c r="AH46" s="17">
        <f>IF(COUNTIFS(T_SelfStock_Log[Part Name],$A46,T_SelfStock_Log[WeekIndex],33)=0,"",SUMIFS(T_SelfStock_Log[Self_Qty],T_SelfStock_Log[Part Name],$A46,T_SelfStock_Log[WeekIndex],33))</f>
        <v/>
      </c>
      <c r="AI46" s="17">
        <f>IF(COUNTIFS(T_SelfStock_Log[Part Name],$A46,T_SelfStock_Log[WeekIndex],34)=0,"",SUMIFS(T_SelfStock_Log[Self_Qty],T_SelfStock_Log[Part Name],$A46,T_SelfStock_Log[WeekIndex],34))</f>
        <v/>
      </c>
      <c r="AJ46" s="17">
        <f>IF(COUNTIFS(T_SelfStock_Log[Part Name],$A46,T_SelfStock_Log[WeekIndex],35)=0,"",SUMIFS(T_SelfStock_Log[Self_Qty],T_SelfStock_Log[Part Name],$A46,T_SelfStock_Log[WeekIndex],35))</f>
        <v/>
      </c>
      <c r="AK46" s="17">
        <f>IF(COUNTIFS(T_SelfStock_Log[Part Name],$A46,T_SelfStock_Log[WeekIndex],36)=0,"",SUMIFS(T_SelfStock_Log[Self_Qty],T_SelfStock_Log[Part Name],$A46,T_SelfStock_Log[WeekIndex],36))</f>
        <v/>
      </c>
      <c r="AL46" s="17">
        <f>IF(COUNTIFS(T_SelfStock_Log[Part Name],$A46,T_SelfStock_Log[WeekIndex],37)=0,"",SUMIFS(T_SelfStock_Log[Self_Qty],T_SelfStock_Log[Part Name],$A46,T_SelfStock_Log[WeekIndex],37))</f>
        <v/>
      </c>
      <c r="AM46" s="17">
        <f>IF(COUNTIFS(T_SelfStock_Log[Part Name],$A46,T_SelfStock_Log[WeekIndex],38)=0,"",SUMIFS(T_SelfStock_Log[Self_Qty],T_SelfStock_Log[Part Name],$A46,T_SelfStock_Log[WeekIndex],38))</f>
        <v/>
      </c>
      <c r="AN46" s="17">
        <f>IF(COUNTIFS(T_SelfStock_Log[Part Name],$A46,T_SelfStock_Log[WeekIndex],39)=0,"",SUMIFS(T_SelfStock_Log[Self_Qty],T_SelfStock_Log[Part Name],$A46,T_SelfStock_Log[WeekIndex],39))</f>
        <v/>
      </c>
      <c r="AO46" s="17">
        <f>IF(COUNTIFS(T_SelfStock_Log[Part Name],$A46,T_SelfStock_Log[WeekIndex],40)=0,"",SUMIFS(T_SelfStock_Log[Self_Qty],T_SelfStock_Log[Part Name],$A46,T_SelfStock_Log[WeekIndex],40))</f>
        <v/>
      </c>
      <c r="AP46" s="17">
        <f>IF(COUNTIFS(T_SelfStock_Log[Part Name],$A46,T_SelfStock_Log[WeekIndex],41)=0,"",SUMIFS(T_SelfStock_Log[Self_Qty],T_SelfStock_Log[Part Name],$A46,T_SelfStock_Log[WeekIndex],41))</f>
        <v/>
      </c>
      <c r="AQ46" s="17">
        <f>IF(COUNTIFS(T_SelfStock_Log[Part Name],$A46,T_SelfStock_Log[WeekIndex],42)=0,"",SUMIFS(T_SelfStock_Log[Self_Qty],T_SelfStock_Log[Part Name],$A46,T_SelfStock_Log[WeekIndex],42))</f>
        <v/>
      </c>
      <c r="AR46" s="17">
        <f>IF(COUNTIFS(T_SelfStock_Log[Part Name],$A46,T_SelfStock_Log[WeekIndex],43)=0,"",SUMIFS(T_SelfStock_Log[Self_Qty],T_SelfStock_Log[Part Name],$A46,T_SelfStock_Log[WeekIndex],43))</f>
        <v/>
      </c>
      <c r="AS46" s="17">
        <f>IF(COUNTIFS(T_SelfStock_Log[Part Name],$A46,T_SelfStock_Log[WeekIndex],44)=0,"",SUMIFS(T_SelfStock_Log[Self_Qty],T_SelfStock_Log[Part Name],$A46,T_SelfStock_Log[WeekIndex],44))</f>
        <v/>
      </c>
      <c r="AT46" s="17">
        <f>IF(COUNTIFS(T_SelfStock_Log[Part Name],$A46,T_SelfStock_Log[WeekIndex],45)=0,"",SUMIFS(T_SelfStock_Log[Self_Qty],T_SelfStock_Log[Part Name],$A46,T_SelfStock_Log[WeekIndex],45))</f>
        <v/>
      </c>
      <c r="AU46" s="17">
        <f>IF(COUNTIFS(T_SelfStock_Log[Part Name],$A46,T_SelfStock_Log[WeekIndex],46)=0,"",SUMIFS(T_SelfStock_Log[Self_Qty],T_SelfStock_Log[Part Name],$A46,T_SelfStock_Log[WeekIndex],46))</f>
        <v/>
      </c>
      <c r="AV46" s="17">
        <f>IF(COUNTIFS(T_SelfStock_Log[Part Name],$A46,T_SelfStock_Log[WeekIndex],47)=0,"",SUMIFS(T_SelfStock_Log[Self_Qty],T_SelfStock_Log[Part Name],$A46,T_SelfStock_Log[WeekIndex],47))</f>
        <v/>
      </c>
      <c r="AW46" s="17">
        <f>IF(COUNTIFS(T_SelfStock_Log[Part Name],$A46,T_SelfStock_Log[WeekIndex],48)=0,"",SUMIFS(T_SelfStock_Log[Self_Qty],T_SelfStock_Log[Part Name],$A46,T_SelfStock_Log[WeekIndex],48))</f>
        <v/>
      </c>
      <c r="AX46" s="17">
        <f>IF(COUNTIFS(T_SelfStock_Log[Part Name],$A46,T_SelfStock_Log[WeekIndex],49)=0,"",SUMIFS(T_SelfStock_Log[Self_Qty],T_SelfStock_Log[Part Name],$A46,T_SelfStock_Log[WeekIndex],49))</f>
        <v/>
      </c>
      <c r="AY46" s="17">
        <f>IF(COUNTIFS(T_SelfStock_Log[Part Name],$A46,T_SelfStock_Log[WeekIndex],50)=0,"",SUMIFS(T_SelfStock_Log[Self_Qty],T_SelfStock_Log[Part Name],$A46,T_SelfStock_Log[WeekIndex],50))</f>
        <v/>
      </c>
      <c r="AZ46" s="17">
        <f>IF(COUNTIFS(T_SelfStock_Log[Part Name],$A46,T_SelfStock_Log[WeekIndex],51)=0,"",SUMIFS(T_SelfStock_Log[Self_Qty],T_SelfStock_Log[Part Name],$A46,T_SelfStock_Log[WeekIndex],51))</f>
        <v/>
      </c>
      <c r="BA46" s="17">
        <f>IF(COUNTIFS(T_SelfStock_Log[Part Name],$A46,T_SelfStock_Log[WeekIndex],52)=0,"",SUMIFS(T_SelfStock_Log[Self_Qty],T_SelfStock_Log[Part Name],$A46,T_SelfStock_Log[WeekIndex],52))</f>
        <v/>
      </c>
      <c r="BB46" s="17">
        <f>IF(COUNTIFS(T_SelfStock_Log[Part Name],$A46,T_SelfStock_Log[WeekIndex],53)=0,"",SUMIFS(T_SelfStock_Log[Self_Qty],T_SelfStock_Log[Part Name],$A46,T_SelfStock_Log[WeekIndex],53))</f>
        <v/>
      </c>
      <c r="BC46" s="17">
        <f>IF(COUNTIFS(T_SelfStock_Log[Part Name],$A46,T_SelfStock_Log[WeekIndex],54)=0,"",SUMIFS(T_SelfStock_Log[Self_Qty],T_SelfStock_Log[Part Name],$A46,T_SelfStock_Log[WeekIndex],54))</f>
        <v/>
      </c>
      <c r="BD46" s="17">
        <f>IF(COUNTIFS(T_SelfStock_Log[Part Name],$A46,T_SelfStock_Log[WeekIndex],55)=0,"",SUMIFS(T_SelfStock_Log[Self_Qty],T_SelfStock_Log[Part Name],$A46,T_SelfStock_Log[WeekIndex],55))</f>
        <v/>
      </c>
      <c r="BE46" s="17">
        <f>IF(COUNTIFS(T_SelfStock_Log[Part Name],$A46,T_SelfStock_Log[WeekIndex],56)=0,"",SUMIFS(T_SelfStock_Log[Self_Qty],T_SelfStock_Log[Part Name],$A46,T_SelfStock_Log[WeekIndex],56))</f>
        <v/>
      </c>
      <c r="BF46" s="17">
        <f>IF(COUNTIFS(T_SelfStock_Log[Part Name],$A46,T_SelfStock_Log[WeekIndex],57)=0,"",SUMIFS(T_SelfStock_Log[Self_Qty],T_SelfStock_Log[Part Name],$A46,T_SelfStock_Log[WeekIndex],57))</f>
        <v/>
      </c>
      <c r="BG46" s="17">
        <f>IF(COUNTIFS(T_SelfStock_Log[Part Name],$A46,T_SelfStock_Log[WeekIndex],58)=0,"",SUMIFS(T_SelfStock_Log[Self_Qty],T_SelfStock_Log[Part Name],$A46,T_SelfStock_Log[WeekIndex],58))</f>
        <v/>
      </c>
      <c r="BH46" s="17">
        <f>IF(COUNTIFS(T_SelfStock_Log[Part Name],$A46,T_SelfStock_Log[WeekIndex],59)=0,"",SUMIFS(T_SelfStock_Log[Self_Qty],T_SelfStock_Log[Part Name],$A46,T_SelfStock_Log[WeekIndex],59))</f>
        <v/>
      </c>
      <c r="BI46" s="17">
        <f>IF(COUNTIFS(T_SelfStock_Log[Part Name],$A46,T_SelfStock_Log[WeekIndex],60)=0,"",SUMIFS(T_SelfStock_Log[Self_Qty],T_SelfStock_Log[Part Name],$A46,T_SelfStock_Log[WeekIndex],60))</f>
        <v/>
      </c>
      <c r="BJ46" s="17">
        <f>IF(COUNTIFS(T_SelfStock_Log[Part Name],$A46,T_SelfStock_Log[WeekIndex],61)=0,"",SUMIFS(T_SelfStock_Log[Self_Qty],T_SelfStock_Log[Part Name],$A46,T_SelfStock_Log[WeekIndex],61))</f>
        <v/>
      </c>
      <c r="BK46" s="17">
        <f>IF(COUNTIFS(T_SelfStock_Log[Part Name],$A46,T_SelfStock_Log[WeekIndex],62)=0,"",SUMIFS(T_SelfStock_Log[Self_Qty],T_SelfStock_Log[Part Name],$A46,T_SelfStock_Log[WeekIndex],62))</f>
        <v/>
      </c>
      <c r="BL46" s="17">
        <f>IF(COUNTIFS(T_SelfStock_Log[Part Name],$A46,T_SelfStock_Log[WeekIndex],63)=0,"",SUMIFS(T_SelfStock_Log[Self_Qty],T_SelfStock_Log[Part Name],$A46,T_SelfStock_Log[WeekIndex],63))</f>
        <v/>
      </c>
      <c r="BM46" s="17">
        <f>IF(COUNTIFS(T_SelfStock_Log[Part Name],$A46,T_SelfStock_Log[WeekIndex],64)=0,"",SUMIFS(T_SelfStock_Log[Self_Qty],T_SelfStock_Log[Part Name],$A46,T_SelfStock_Log[WeekIndex],64))</f>
        <v/>
      </c>
      <c r="BN46" s="17">
        <f>IF(COUNTIFS(T_SelfStock_Log[Part Name],$A46,T_SelfStock_Log[WeekIndex],65)=0,"",SUMIFS(T_SelfStock_Log[Self_Qty],T_SelfStock_Log[Part Name],$A46,T_SelfStock_Log[WeekIndex],65))</f>
        <v/>
      </c>
      <c r="BO46" s="17">
        <f>IF(COUNTIFS(T_SelfStock_Log[Part Name],$A46,T_SelfStock_Log[WeekIndex],66)=0,"",SUMIFS(T_SelfStock_Log[Self_Qty],T_SelfStock_Log[Part Name],$A46,T_SelfStock_Log[WeekIndex],66))</f>
        <v/>
      </c>
      <c r="BP46" s="17">
        <f>IF(COUNTIFS(T_SelfStock_Log[Part Name],$A46,T_SelfStock_Log[WeekIndex],67)=0,"",SUMIFS(T_SelfStock_Log[Self_Qty],T_SelfStock_Log[Part Name],$A46,T_SelfStock_Log[WeekIndex],67))</f>
        <v/>
      </c>
      <c r="BQ46" s="17">
        <f>IF(COUNTIFS(T_SelfStock_Log[Part Name],$A46,T_SelfStock_Log[WeekIndex],68)=0,"",SUMIFS(T_SelfStock_Log[Self_Qty],T_SelfStock_Log[Part Name],$A46,T_SelfStock_Log[WeekIndex],68))</f>
        <v/>
      </c>
      <c r="BR46" s="17">
        <f>IF(COUNTIFS(T_SelfStock_Log[Part Name],$A46,T_SelfStock_Log[WeekIndex],69)=0,"",SUMIFS(T_SelfStock_Log[Self_Qty],T_SelfStock_Log[Part Name],$A46,T_SelfStock_Log[WeekIndex],69))</f>
        <v/>
      </c>
      <c r="BS46" s="17">
        <f>IF(COUNTIFS(T_SelfStock_Log[Part Name],$A46,T_SelfStock_Log[WeekIndex],70)=0,"",SUMIFS(T_SelfStock_Log[Self_Qty],T_SelfStock_Log[Part Name],$A46,T_SelfStock_Log[WeekIndex],70))</f>
        <v/>
      </c>
      <c r="BT46" s="17">
        <f>IF(COUNTIFS(T_SelfStock_Log[Part Name],$A46,T_SelfStock_Log[WeekIndex],71)=0,"",SUMIFS(T_SelfStock_Log[Self_Qty],T_SelfStock_Log[Part Name],$A46,T_SelfStock_Log[WeekIndex],71))</f>
        <v/>
      </c>
      <c r="BU46" s="17">
        <f>IF(COUNTIFS(T_SelfStock_Log[Part Name],$A46,T_SelfStock_Log[WeekIndex],72)=0,"",SUMIFS(T_SelfStock_Log[Self_Qty],T_SelfStock_Log[Part Name],$A46,T_SelfStock_Log[WeekIndex],72))</f>
        <v/>
      </c>
      <c r="BV46" s="17">
        <f>IF(COUNTIFS(T_SelfStock_Log[Part Name],$A46,T_SelfStock_Log[WeekIndex],73)=0,"",SUMIFS(T_SelfStock_Log[Self_Qty],T_SelfStock_Log[Part Name],$A46,T_SelfStock_Log[WeekIndex],73))</f>
        <v/>
      </c>
      <c r="BW46" s="17">
        <f>IF(COUNTIFS(T_SelfStock_Log[Part Name],$A46,T_SelfStock_Log[WeekIndex],74)=0,"",SUMIFS(T_SelfStock_Log[Self_Qty],T_SelfStock_Log[Part Name],$A46,T_SelfStock_Log[WeekIndex],74))</f>
        <v/>
      </c>
      <c r="BX46" s="17">
        <f>IF(COUNTIFS(T_SelfStock_Log[Part Name],$A46,T_SelfStock_Log[WeekIndex],75)=0,"",SUMIFS(T_SelfStock_Log[Self_Qty],T_SelfStock_Log[Part Name],$A46,T_SelfStock_Log[WeekIndex],75))</f>
        <v/>
      </c>
      <c r="BY46" s="17">
        <f>IF(COUNTIFS(T_SelfStock_Log[Part Name],$A46,T_SelfStock_Log[WeekIndex],76)=0,"",SUMIFS(T_SelfStock_Log[Self_Qty],T_SelfStock_Log[Part Name],$A46,T_SelfStock_Log[WeekIndex],76))</f>
        <v/>
      </c>
      <c r="BZ46" s="17">
        <f>IF(COUNTIFS(T_SelfStock_Log[Part Name],$A46,T_SelfStock_Log[WeekIndex],77)=0,"",SUMIFS(T_SelfStock_Log[Self_Qty],T_SelfStock_Log[Part Name],$A46,T_SelfStock_Log[WeekIndex],77))</f>
        <v/>
      </c>
      <c r="CA46" s="17">
        <f>IF(COUNTIFS(T_SelfStock_Log[Part Name],$A46,T_SelfStock_Log[WeekIndex],78)=0,"",SUMIFS(T_SelfStock_Log[Self_Qty],T_SelfStock_Log[Part Name],$A46,T_SelfStock_Log[WeekIndex],78))</f>
        <v/>
      </c>
      <c r="CB46" s="17">
        <f>IF(COUNTIFS(T_SelfStock_Log[Part Name],$A46,T_SelfStock_Log[WeekIndex],79)=0,"",SUMIFS(T_SelfStock_Log[Self_Qty],T_SelfStock_Log[Part Name],$A46,T_SelfStock_Log[WeekIndex],79))</f>
        <v/>
      </c>
      <c r="CC46" s="17">
        <f>IF(COUNTIFS(T_SelfStock_Log[Part Name],$A46,T_SelfStock_Log[WeekIndex],80)=0,"",SUMIFS(T_SelfStock_Log[Self_Qty],T_SelfStock_Log[Part Name],$A46,T_SelfStock_Log[WeekIndex],80))</f>
        <v/>
      </c>
      <c r="CD46" s="17">
        <f>IF(COUNTIFS(T_SelfStock_Log[Part Name],$A46,T_SelfStock_Log[WeekIndex],81)=0,"",SUMIFS(T_SelfStock_Log[Self_Qty],T_SelfStock_Log[Part Name],$A46,T_SelfStock_Log[WeekIndex],81))</f>
        <v/>
      </c>
      <c r="CE46" s="17">
        <f>IF(COUNTIFS(T_SelfStock_Log[Part Name],$A46,T_SelfStock_Log[WeekIndex],82)=0,"",SUMIFS(T_SelfStock_Log[Self_Qty],T_SelfStock_Log[Part Name],$A46,T_SelfStock_Log[WeekIndex],82))</f>
        <v/>
      </c>
      <c r="CF46" s="17">
        <f>IF(COUNTIFS(T_SelfStock_Log[Part Name],$A46,T_SelfStock_Log[WeekIndex],83)=0,"",SUMIFS(T_SelfStock_Log[Self_Qty],T_SelfStock_Log[Part Name],$A46,T_SelfStock_Log[WeekIndex],83))</f>
        <v/>
      </c>
      <c r="CG46" s="17">
        <f>IF(COUNTIFS(T_SelfStock_Log[Part Name],$A46,T_SelfStock_Log[WeekIndex],84)=0,"",SUMIFS(T_SelfStock_Log[Self_Qty],T_SelfStock_Log[Part Name],$A46,T_SelfStock_Log[WeekIndex],84))</f>
        <v/>
      </c>
      <c r="CH46" s="17">
        <f>IF(COUNTIFS(T_SelfStock_Log[Part Name],$A46,T_SelfStock_Log[WeekIndex],85)=0,"",SUMIFS(T_SelfStock_Log[Self_Qty],T_SelfStock_Log[Part Name],$A46,T_SelfStock_Log[WeekIndex],85))</f>
        <v/>
      </c>
      <c r="CI46" s="17">
        <f>IF(COUNTIFS(T_SelfStock_Log[Part Name],$A46,T_SelfStock_Log[WeekIndex],86)=0,"",SUMIFS(T_SelfStock_Log[Self_Qty],T_SelfStock_Log[Part Name],$A46,T_SelfStock_Log[WeekIndex],86))</f>
        <v/>
      </c>
      <c r="CJ46" s="17">
        <f>IF(COUNTIFS(T_SelfStock_Log[Part Name],$A46,T_SelfStock_Log[WeekIndex],87)=0,"",SUMIFS(T_SelfStock_Log[Self_Qty],T_SelfStock_Log[Part Name],$A46,T_SelfStock_Log[WeekIndex],87))</f>
        <v/>
      </c>
      <c r="CK46" s="17">
        <f>IF(COUNTIFS(T_SelfStock_Log[Part Name],$A46,T_SelfStock_Log[WeekIndex],88)=0,"",SUMIFS(T_SelfStock_Log[Self_Qty],T_SelfStock_Log[Part Name],$A46,T_SelfStock_Log[WeekIndex],88))</f>
        <v/>
      </c>
      <c r="CL46" s="17">
        <f>IF(COUNTIFS(T_SelfStock_Log[Part Name],$A46,T_SelfStock_Log[WeekIndex],89)=0,"",SUMIFS(T_SelfStock_Log[Self_Qty],T_SelfStock_Log[Part Name],$A46,T_SelfStock_Log[WeekIndex],89))</f>
        <v/>
      </c>
      <c r="CM46" s="17">
        <f>IF(COUNTIFS(T_SelfStock_Log[Part Name],$A46,T_SelfStock_Log[WeekIndex],90)=0,"",SUMIFS(T_SelfStock_Log[Self_Qty],T_SelfStock_Log[Part Name],$A46,T_SelfStock_Log[WeekIndex],90))</f>
        <v/>
      </c>
      <c r="CN46" s="17">
        <f>IF(COUNTIFS(T_SelfStock_Log[Part Name],$A46,T_SelfStock_Log[WeekIndex],91)=0,"",SUMIFS(T_SelfStock_Log[Self_Qty],T_SelfStock_Log[Part Name],$A46,T_SelfStock_Log[WeekIndex],91))</f>
        <v/>
      </c>
      <c r="CO46" s="17">
        <f>IF(COUNTIFS(T_SelfStock_Log[Part Name],$A46,T_SelfStock_Log[WeekIndex],92)=0,"",SUMIFS(T_SelfStock_Log[Self_Qty],T_SelfStock_Log[Part Name],$A46,T_SelfStock_Log[WeekIndex],92))</f>
        <v/>
      </c>
      <c r="CP46" s="17">
        <f>IF(COUNTIFS(T_SelfStock_Log[Part Name],$A46,T_SelfStock_Log[WeekIndex],93)=0,"",SUMIFS(T_SelfStock_Log[Self_Qty],T_SelfStock_Log[Part Name],$A46,T_SelfStock_Log[WeekIndex],93))</f>
        <v/>
      </c>
      <c r="CQ46" s="17">
        <f>IF(COUNTIFS(T_SelfStock_Log[Part Name],$A46,T_SelfStock_Log[WeekIndex],94)=0,"",SUMIFS(T_SelfStock_Log[Self_Qty],T_SelfStock_Log[Part Name],$A46,T_SelfStock_Log[WeekIndex],94))</f>
        <v/>
      </c>
      <c r="CR46" s="17">
        <f>IF(COUNTIFS(T_SelfStock_Log[Part Name],$A46,T_SelfStock_Log[WeekIndex],95)=0,"",SUMIFS(T_SelfStock_Log[Self_Qty],T_SelfStock_Log[Part Name],$A46,T_SelfStock_Log[WeekIndex],95))</f>
        <v/>
      </c>
      <c r="CS46" s="17">
        <f>IF(COUNTIFS(T_SelfStock_Log[Part Name],$A46,T_SelfStock_Log[WeekIndex],96)=0,"",SUMIFS(T_SelfStock_Log[Self_Qty],T_SelfStock_Log[Part Name],$A46,T_SelfStock_Log[WeekIndex],96))</f>
        <v/>
      </c>
      <c r="CT46" s="17">
        <f>IF(COUNTIFS(T_SelfStock_Log[Part Name],$A46,T_SelfStock_Log[WeekIndex],97)=0,"",SUMIFS(T_SelfStock_Log[Self_Qty],T_SelfStock_Log[Part Name],$A46,T_SelfStock_Log[WeekIndex],97))</f>
        <v/>
      </c>
      <c r="CU46" s="17">
        <f>IF(COUNTIFS(T_SelfStock_Log[Part Name],$A46,T_SelfStock_Log[WeekIndex],98)=0,"",SUMIFS(T_SelfStock_Log[Self_Qty],T_SelfStock_Log[Part Name],$A46,T_SelfStock_Log[WeekIndex],98))</f>
        <v/>
      </c>
      <c r="CV46" s="17">
        <f>IF(COUNTIFS(T_SelfStock_Log[Part Name],$A46,T_SelfStock_Log[WeekIndex],99)=0,"",SUMIFS(T_SelfStock_Log[Self_Qty],T_SelfStock_Log[Part Name],$A46,T_SelfStock_Log[WeekIndex],99))</f>
        <v/>
      </c>
      <c r="CW46" s="17">
        <f>IF(COUNTIFS(T_SelfStock_Log[Part Name],$A46,T_SelfStock_Log[WeekIndex],100)=0,"",SUMIFS(T_SelfStock_Log[Self_Qty],T_SelfStock_Log[Part Name],$A46,T_SelfStock_Log[WeekIndex],100))</f>
        <v/>
      </c>
      <c r="CX46" s="17">
        <f>IF(COUNTIFS(T_SelfStock_Log[Part Name],$A46,T_SelfStock_Log[WeekIndex],101)=0,"",SUMIFS(T_SelfStock_Log[Self_Qty],T_SelfStock_Log[Part Name],$A46,T_SelfStock_Log[WeekIndex],101))</f>
        <v/>
      </c>
      <c r="CY46" s="17">
        <f>IF(COUNTIFS(T_SelfStock_Log[Part Name],$A46,T_SelfStock_Log[WeekIndex],102)=0,"",SUMIFS(T_SelfStock_Log[Self_Qty],T_SelfStock_Log[Part Name],$A46,T_SelfStock_Log[WeekIndex],102))</f>
        <v/>
      </c>
      <c r="CZ46" s="17">
        <f>IF(COUNTIFS(T_SelfStock_Log[Part Name],$A46,T_SelfStock_Log[WeekIndex],103)=0,"",SUMIFS(T_SelfStock_Log[Self_Qty],T_SelfStock_Log[Part Name],$A46,T_SelfStock_Log[WeekIndex],103))</f>
        <v/>
      </c>
      <c r="DA46" s="17">
        <f>IF(COUNTIFS(T_SelfStock_Log[Part Name],$A46,T_SelfStock_Log[WeekIndex],104)=0,"",SUMIFS(T_SelfStock_Log[Self_Qty],T_SelfStock_Log[Part Name],$A46,T_SelfStock_Log[WeekIndex],104))</f>
        <v/>
      </c>
    </row>
    <row r="47">
      <c r="A47" s="19" t="inlineStr">
        <is>
          <t>CHEM-1570</t>
        </is>
      </c>
      <c r="B47" s="19">
        <f>IF(COUNTIFS(T_SelfStock_Log[Part Name],$A47,T_SelfStock_Log[WeekIndex],1)=0,"",SUMIFS(T_SelfStock_Log[Self_Qty],T_SelfStock_Log[Part Name],$A47,T_SelfStock_Log[WeekIndex],1))</f>
        <v/>
      </c>
      <c r="C47" s="19">
        <f>IF(COUNTIFS(T_SelfStock_Log[Part Name],$A47,T_SelfStock_Log[WeekIndex],2)=0,"",SUMIFS(T_SelfStock_Log[Self_Qty],T_SelfStock_Log[Part Name],$A47,T_SelfStock_Log[WeekIndex],2))</f>
        <v/>
      </c>
      <c r="D47" s="19">
        <f>IF(COUNTIFS(T_SelfStock_Log[Part Name],$A47,T_SelfStock_Log[WeekIndex],3)=0,"",SUMIFS(T_SelfStock_Log[Self_Qty],T_SelfStock_Log[Part Name],$A47,T_SelfStock_Log[WeekIndex],3))</f>
        <v/>
      </c>
      <c r="E47" s="19">
        <f>IF(COUNTIFS(T_SelfStock_Log[Part Name],$A47,T_SelfStock_Log[WeekIndex],4)=0,"",SUMIFS(T_SelfStock_Log[Self_Qty],T_SelfStock_Log[Part Name],$A47,T_SelfStock_Log[WeekIndex],4))</f>
        <v/>
      </c>
      <c r="F47" s="19">
        <f>IF(COUNTIFS(T_SelfStock_Log[Part Name],$A47,T_SelfStock_Log[WeekIndex],5)=0,"",SUMIFS(T_SelfStock_Log[Self_Qty],T_SelfStock_Log[Part Name],$A47,T_SelfStock_Log[WeekIndex],5))</f>
        <v/>
      </c>
      <c r="G47" s="19">
        <f>IF(COUNTIFS(T_SelfStock_Log[Part Name],$A47,T_SelfStock_Log[WeekIndex],6)=0,"",SUMIFS(T_SelfStock_Log[Self_Qty],T_SelfStock_Log[Part Name],$A47,T_SelfStock_Log[WeekIndex],6))</f>
        <v/>
      </c>
      <c r="H47" s="19">
        <f>IF(COUNTIFS(T_SelfStock_Log[Part Name],$A47,T_SelfStock_Log[WeekIndex],7)=0,"",SUMIFS(T_SelfStock_Log[Self_Qty],T_SelfStock_Log[Part Name],$A47,T_SelfStock_Log[WeekIndex],7))</f>
        <v/>
      </c>
      <c r="I47" s="19">
        <f>IF(COUNTIFS(T_SelfStock_Log[Part Name],$A47,T_SelfStock_Log[WeekIndex],8)=0,"",SUMIFS(T_SelfStock_Log[Self_Qty],T_SelfStock_Log[Part Name],$A47,T_SelfStock_Log[WeekIndex],8))</f>
        <v/>
      </c>
      <c r="J47" s="19">
        <f>IF(COUNTIFS(T_SelfStock_Log[Part Name],$A47,T_SelfStock_Log[WeekIndex],9)=0,"",SUMIFS(T_SelfStock_Log[Self_Qty],T_SelfStock_Log[Part Name],$A47,T_SelfStock_Log[WeekIndex],9))</f>
        <v/>
      </c>
      <c r="K47" s="19">
        <f>IF(COUNTIFS(T_SelfStock_Log[Part Name],$A47,T_SelfStock_Log[WeekIndex],10)=0,"",SUMIFS(T_SelfStock_Log[Self_Qty],T_SelfStock_Log[Part Name],$A47,T_SelfStock_Log[WeekIndex],10))</f>
        <v/>
      </c>
      <c r="L47" s="19">
        <f>IF(COUNTIFS(T_SelfStock_Log[Part Name],$A47,T_SelfStock_Log[WeekIndex],11)=0,"",SUMIFS(T_SelfStock_Log[Self_Qty],T_SelfStock_Log[Part Name],$A47,T_SelfStock_Log[WeekIndex],11))</f>
        <v/>
      </c>
      <c r="M47" s="19">
        <f>IF(COUNTIFS(T_SelfStock_Log[Part Name],$A47,T_SelfStock_Log[WeekIndex],12)=0,"",SUMIFS(T_SelfStock_Log[Self_Qty],T_SelfStock_Log[Part Name],$A47,T_SelfStock_Log[WeekIndex],12))</f>
        <v/>
      </c>
      <c r="N47" s="19">
        <f>IF(COUNTIFS(T_SelfStock_Log[Part Name],$A47,T_SelfStock_Log[WeekIndex],13)=0,"",SUMIFS(T_SelfStock_Log[Self_Qty],T_SelfStock_Log[Part Name],$A47,T_SelfStock_Log[WeekIndex],13))</f>
        <v/>
      </c>
      <c r="O47" s="19">
        <f>IF(COUNTIFS(T_SelfStock_Log[Part Name],$A47,T_SelfStock_Log[WeekIndex],14)=0,"",SUMIFS(T_SelfStock_Log[Self_Qty],T_SelfStock_Log[Part Name],$A47,T_SelfStock_Log[WeekIndex],14))</f>
        <v/>
      </c>
      <c r="P47" s="19">
        <f>IF(COUNTIFS(T_SelfStock_Log[Part Name],$A47,T_SelfStock_Log[WeekIndex],15)=0,"",SUMIFS(T_SelfStock_Log[Self_Qty],T_SelfStock_Log[Part Name],$A47,T_SelfStock_Log[WeekIndex],15))</f>
        <v/>
      </c>
      <c r="Q47" s="19">
        <f>IF(COUNTIFS(T_SelfStock_Log[Part Name],$A47,T_SelfStock_Log[WeekIndex],16)=0,"",SUMIFS(T_SelfStock_Log[Self_Qty],T_SelfStock_Log[Part Name],$A47,T_SelfStock_Log[WeekIndex],16))</f>
        <v/>
      </c>
      <c r="R47" s="19">
        <f>IF(COUNTIFS(T_SelfStock_Log[Part Name],$A47,T_SelfStock_Log[WeekIndex],17)=0,"",SUMIFS(T_SelfStock_Log[Self_Qty],T_SelfStock_Log[Part Name],$A47,T_SelfStock_Log[WeekIndex],17))</f>
        <v/>
      </c>
      <c r="S47" s="19">
        <f>IF(COUNTIFS(T_SelfStock_Log[Part Name],$A47,T_SelfStock_Log[WeekIndex],18)=0,"",SUMIFS(T_SelfStock_Log[Self_Qty],T_SelfStock_Log[Part Name],$A47,T_SelfStock_Log[WeekIndex],18))</f>
        <v/>
      </c>
      <c r="T47" s="19">
        <f>IF(COUNTIFS(T_SelfStock_Log[Part Name],$A47,T_SelfStock_Log[WeekIndex],19)=0,"",SUMIFS(T_SelfStock_Log[Self_Qty],T_SelfStock_Log[Part Name],$A47,T_SelfStock_Log[WeekIndex],19))</f>
        <v/>
      </c>
      <c r="U47" s="19">
        <f>IF(COUNTIFS(T_SelfStock_Log[Part Name],$A47,T_SelfStock_Log[WeekIndex],20)=0,"",SUMIFS(T_SelfStock_Log[Self_Qty],T_SelfStock_Log[Part Name],$A47,T_SelfStock_Log[WeekIndex],20))</f>
        <v/>
      </c>
      <c r="V47" s="19">
        <f>IF(COUNTIFS(T_SelfStock_Log[Part Name],$A47,T_SelfStock_Log[WeekIndex],21)=0,"",SUMIFS(T_SelfStock_Log[Self_Qty],T_SelfStock_Log[Part Name],$A47,T_SelfStock_Log[WeekIndex],21))</f>
        <v/>
      </c>
      <c r="W47" s="19">
        <f>IF(COUNTIFS(T_SelfStock_Log[Part Name],$A47,T_SelfStock_Log[WeekIndex],22)=0,"",SUMIFS(T_SelfStock_Log[Self_Qty],T_SelfStock_Log[Part Name],$A47,T_SelfStock_Log[WeekIndex],22))</f>
        <v/>
      </c>
      <c r="X47" s="19">
        <f>IF(COUNTIFS(T_SelfStock_Log[Part Name],$A47,T_SelfStock_Log[WeekIndex],23)=0,"",SUMIFS(T_SelfStock_Log[Self_Qty],T_SelfStock_Log[Part Name],$A47,T_SelfStock_Log[WeekIndex],23))</f>
        <v/>
      </c>
      <c r="Y47" s="19">
        <f>IF(COUNTIFS(T_SelfStock_Log[Part Name],$A47,T_SelfStock_Log[WeekIndex],24)=0,"",SUMIFS(T_SelfStock_Log[Self_Qty],T_SelfStock_Log[Part Name],$A47,T_SelfStock_Log[WeekIndex],24))</f>
        <v/>
      </c>
      <c r="Z47" s="19">
        <f>IF(COUNTIFS(T_SelfStock_Log[Part Name],$A47,T_SelfStock_Log[WeekIndex],25)=0,"",SUMIFS(T_SelfStock_Log[Self_Qty],T_SelfStock_Log[Part Name],$A47,T_SelfStock_Log[WeekIndex],25))</f>
        <v/>
      </c>
      <c r="AA47" s="19">
        <f>IF(COUNTIFS(T_SelfStock_Log[Part Name],$A47,T_SelfStock_Log[WeekIndex],26)=0,"",SUMIFS(T_SelfStock_Log[Self_Qty],T_SelfStock_Log[Part Name],$A47,T_SelfStock_Log[WeekIndex],26))</f>
        <v/>
      </c>
      <c r="AB47" s="19">
        <f>IF(COUNTIFS(T_SelfStock_Log[Part Name],$A47,T_SelfStock_Log[WeekIndex],27)=0,"",SUMIFS(T_SelfStock_Log[Self_Qty],T_SelfStock_Log[Part Name],$A47,T_SelfStock_Log[WeekIndex],27))</f>
        <v/>
      </c>
      <c r="AC47" s="19">
        <f>IF(COUNTIFS(T_SelfStock_Log[Part Name],$A47,T_SelfStock_Log[WeekIndex],28)=0,"",SUMIFS(T_SelfStock_Log[Self_Qty],T_SelfStock_Log[Part Name],$A47,T_SelfStock_Log[WeekIndex],28))</f>
        <v/>
      </c>
      <c r="AD47" s="19">
        <f>IF(COUNTIFS(T_SelfStock_Log[Part Name],$A47,T_SelfStock_Log[WeekIndex],29)=0,"",SUMIFS(T_SelfStock_Log[Self_Qty],T_SelfStock_Log[Part Name],$A47,T_SelfStock_Log[WeekIndex],29))</f>
        <v/>
      </c>
      <c r="AE47" s="19">
        <f>IF(COUNTIFS(T_SelfStock_Log[Part Name],$A47,T_SelfStock_Log[WeekIndex],30)=0,"",SUMIFS(T_SelfStock_Log[Self_Qty],T_SelfStock_Log[Part Name],$A47,T_SelfStock_Log[WeekIndex],30))</f>
        <v/>
      </c>
      <c r="AF47" s="19">
        <f>IF(COUNTIFS(T_SelfStock_Log[Part Name],$A47,T_SelfStock_Log[WeekIndex],31)=0,"",SUMIFS(T_SelfStock_Log[Self_Qty],T_SelfStock_Log[Part Name],$A47,T_SelfStock_Log[WeekIndex],31))</f>
        <v/>
      </c>
      <c r="AG47" s="19">
        <f>IF(COUNTIFS(T_SelfStock_Log[Part Name],$A47,T_SelfStock_Log[WeekIndex],32)=0,"",SUMIFS(T_SelfStock_Log[Self_Qty],T_SelfStock_Log[Part Name],$A47,T_SelfStock_Log[WeekIndex],32))</f>
        <v/>
      </c>
      <c r="AH47" s="19">
        <f>IF(COUNTIFS(T_SelfStock_Log[Part Name],$A47,T_SelfStock_Log[WeekIndex],33)=0,"",SUMIFS(T_SelfStock_Log[Self_Qty],T_SelfStock_Log[Part Name],$A47,T_SelfStock_Log[WeekIndex],33))</f>
        <v/>
      </c>
      <c r="AI47" s="19">
        <f>IF(COUNTIFS(T_SelfStock_Log[Part Name],$A47,T_SelfStock_Log[WeekIndex],34)=0,"",SUMIFS(T_SelfStock_Log[Self_Qty],T_SelfStock_Log[Part Name],$A47,T_SelfStock_Log[WeekIndex],34))</f>
        <v/>
      </c>
      <c r="AJ47" s="19">
        <f>IF(COUNTIFS(T_SelfStock_Log[Part Name],$A47,T_SelfStock_Log[WeekIndex],35)=0,"",SUMIFS(T_SelfStock_Log[Self_Qty],T_SelfStock_Log[Part Name],$A47,T_SelfStock_Log[WeekIndex],35))</f>
        <v/>
      </c>
      <c r="AK47" s="19">
        <f>IF(COUNTIFS(T_SelfStock_Log[Part Name],$A47,T_SelfStock_Log[WeekIndex],36)=0,"",SUMIFS(T_SelfStock_Log[Self_Qty],T_SelfStock_Log[Part Name],$A47,T_SelfStock_Log[WeekIndex],36))</f>
        <v/>
      </c>
      <c r="AL47" s="19">
        <f>IF(COUNTIFS(T_SelfStock_Log[Part Name],$A47,T_SelfStock_Log[WeekIndex],37)=0,"",SUMIFS(T_SelfStock_Log[Self_Qty],T_SelfStock_Log[Part Name],$A47,T_SelfStock_Log[WeekIndex],37))</f>
        <v/>
      </c>
      <c r="AM47" s="19">
        <f>IF(COUNTIFS(T_SelfStock_Log[Part Name],$A47,T_SelfStock_Log[WeekIndex],38)=0,"",SUMIFS(T_SelfStock_Log[Self_Qty],T_SelfStock_Log[Part Name],$A47,T_SelfStock_Log[WeekIndex],38))</f>
        <v/>
      </c>
      <c r="AN47" s="19">
        <f>IF(COUNTIFS(T_SelfStock_Log[Part Name],$A47,T_SelfStock_Log[WeekIndex],39)=0,"",SUMIFS(T_SelfStock_Log[Self_Qty],T_SelfStock_Log[Part Name],$A47,T_SelfStock_Log[WeekIndex],39))</f>
        <v/>
      </c>
      <c r="AO47" s="19">
        <f>IF(COUNTIFS(T_SelfStock_Log[Part Name],$A47,T_SelfStock_Log[WeekIndex],40)=0,"",SUMIFS(T_SelfStock_Log[Self_Qty],T_SelfStock_Log[Part Name],$A47,T_SelfStock_Log[WeekIndex],40))</f>
        <v/>
      </c>
      <c r="AP47" s="19">
        <f>IF(COUNTIFS(T_SelfStock_Log[Part Name],$A47,T_SelfStock_Log[WeekIndex],41)=0,"",SUMIFS(T_SelfStock_Log[Self_Qty],T_SelfStock_Log[Part Name],$A47,T_SelfStock_Log[WeekIndex],41))</f>
        <v/>
      </c>
      <c r="AQ47" s="19">
        <f>IF(COUNTIFS(T_SelfStock_Log[Part Name],$A47,T_SelfStock_Log[WeekIndex],42)=0,"",SUMIFS(T_SelfStock_Log[Self_Qty],T_SelfStock_Log[Part Name],$A47,T_SelfStock_Log[WeekIndex],42))</f>
        <v/>
      </c>
      <c r="AR47" s="19">
        <f>IF(COUNTIFS(T_SelfStock_Log[Part Name],$A47,T_SelfStock_Log[WeekIndex],43)=0,"",SUMIFS(T_SelfStock_Log[Self_Qty],T_SelfStock_Log[Part Name],$A47,T_SelfStock_Log[WeekIndex],43))</f>
        <v/>
      </c>
      <c r="AS47" s="19">
        <f>IF(COUNTIFS(T_SelfStock_Log[Part Name],$A47,T_SelfStock_Log[WeekIndex],44)=0,"",SUMIFS(T_SelfStock_Log[Self_Qty],T_SelfStock_Log[Part Name],$A47,T_SelfStock_Log[WeekIndex],44))</f>
        <v/>
      </c>
      <c r="AT47" s="19">
        <f>IF(COUNTIFS(T_SelfStock_Log[Part Name],$A47,T_SelfStock_Log[WeekIndex],45)=0,"",SUMIFS(T_SelfStock_Log[Self_Qty],T_SelfStock_Log[Part Name],$A47,T_SelfStock_Log[WeekIndex],45))</f>
        <v/>
      </c>
      <c r="AU47" s="19">
        <f>IF(COUNTIFS(T_SelfStock_Log[Part Name],$A47,T_SelfStock_Log[WeekIndex],46)=0,"",SUMIFS(T_SelfStock_Log[Self_Qty],T_SelfStock_Log[Part Name],$A47,T_SelfStock_Log[WeekIndex],46))</f>
        <v/>
      </c>
      <c r="AV47" s="19">
        <f>IF(COUNTIFS(T_SelfStock_Log[Part Name],$A47,T_SelfStock_Log[WeekIndex],47)=0,"",SUMIFS(T_SelfStock_Log[Self_Qty],T_SelfStock_Log[Part Name],$A47,T_SelfStock_Log[WeekIndex],47))</f>
        <v/>
      </c>
      <c r="AW47" s="19">
        <f>IF(COUNTIFS(T_SelfStock_Log[Part Name],$A47,T_SelfStock_Log[WeekIndex],48)=0,"",SUMIFS(T_SelfStock_Log[Self_Qty],T_SelfStock_Log[Part Name],$A47,T_SelfStock_Log[WeekIndex],48))</f>
        <v/>
      </c>
      <c r="AX47" s="19">
        <f>IF(COUNTIFS(T_SelfStock_Log[Part Name],$A47,T_SelfStock_Log[WeekIndex],49)=0,"",SUMIFS(T_SelfStock_Log[Self_Qty],T_SelfStock_Log[Part Name],$A47,T_SelfStock_Log[WeekIndex],49))</f>
        <v/>
      </c>
      <c r="AY47" s="19">
        <f>IF(COUNTIFS(T_SelfStock_Log[Part Name],$A47,T_SelfStock_Log[WeekIndex],50)=0,"",SUMIFS(T_SelfStock_Log[Self_Qty],T_SelfStock_Log[Part Name],$A47,T_SelfStock_Log[WeekIndex],50))</f>
        <v/>
      </c>
      <c r="AZ47" s="19">
        <f>IF(COUNTIFS(T_SelfStock_Log[Part Name],$A47,T_SelfStock_Log[WeekIndex],51)=0,"",SUMIFS(T_SelfStock_Log[Self_Qty],T_SelfStock_Log[Part Name],$A47,T_SelfStock_Log[WeekIndex],51))</f>
        <v/>
      </c>
      <c r="BA47" s="19">
        <f>IF(COUNTIFS(T_SelfStock_Log[Part Name],$A47,T_SelfStock_Log[WeekIndex],52)=0,"",SUMIFS(T_SelfStock_Log[Self_Qty],T_SelfStock_Log[Part Name],$A47,T_SelfStock_Log[WeekIndex],52))</f>
        <v/>
      </c>
      <c r="BB47" s="19">
        <f>IF(COUNTIFS(T_SelfStock_Log[Part Name],$A47,T_SelfStock_Log[WeekIndex],53)=0,"",SUMIFS(T_SelfStock_Log[Self_Qty],T_SelfStock_Log[Part Name],$A47,T_SelfStock_Log[WeekIndex],53))</f>
        <v/>
      </c>
      <c r="BC47" s="19">
        <f>IF(COUNTIFS(T_SelfStock_Log[Part Name],$A47,T_SelfStock_Log[WeekIndex],54)=0,"",SUMIFS(T_SelfStock_Log[Self_Qty],T_SelfStock_Log[Part Name],$A47,T_SelfStock_Log[WeekIndex],54))</f>
        <v/>
      </c>
      <c r="BD47" s="19">
        <f>IF(COUNTIFS(T_SelfStock_Log[Part Name],$A47,T_SelfStock_Log[WeekIndex],55)=0,"",SUMIFS(T_SelfStock_Log[Self_Qty],T_SelfStock_Log[Part Name],$A47,T_SelfStock_Log[WeekIndex],55))</f>
        <v/>
      </c>
      <c r="BE47" s="19">
        <f>IF(COUNTIFS(T_SelfStock_Log[Part Name],$A47,T_SelfStock_Log[WeekIndex],56)=0,"",SUMIFS(T_SelfStock_Log[Self_Qty],T_SelfStock_Log[Part Name],$A47,T_SelfStock_Log[WeekIndex],56))</f>
        <v/>
      </c>
      <c r="BF47" s="19">
        <f>IF(COUNTIFS(T_SelfStock_Log[Part Name],$A47,T_SelfStock_Log[WeekIndex],57)=0,"",SUMIFS(T_SelfStock_Log[Self_Qty],T_SelfStock_Log[Part Name],$A47,T_SelfStock_Log[WeekIndex],57))</f>
        <v/>
      </c>
      <c r="BG47" s="19">
        <f>IF(COUNTIFS(T_SelfStock_Log[Part Name],$A47,T_SelfStock_Log[WeekIndex],58)=0,"",SUMIFS(T_SelfStock_Log[Self_Qty],T_SelfStock_Log[Part Name],$A47,T_SelfStock_Log[WeekIndex],58))</f>
        <v/>
      </c>
      <c r="BH47" s="19">
        <f>IF(COUNTIFS(T_SelfStock_Log[Part Name],$A47,T_SelfStock_Log[WeekIndex],59)=0,"",SUMIFS(T_SelfStock_Log[Self_Qty],T_SelfStock_Log[Part Name],$A47,T_SelfStock_Log[WeekIndex],59))</f>
        <v/>
      </c>
      <c r="BI47" s="19">
        <f>IF(COUNTIFS(T_SelfStock_Log[Part Name],$A47,T_SelfStock_Log[WeekIndex],60)=0,"",SUMIFS(T_SelfStock_Log[Self_Qty],T_SelfStock_Log[Part Name],$A47,T_SelfStock_Log[WeekIndex],60))</f>
        <v/>
      </c>
      <c r="BJ47" s="19">
        <f>IF(COUNTIFS(T_SelfStock_Log[Part Name],$A47,T_SelfStock_Log[WeekIndex],61)=0,"",SUMIFS(T_SelfStock_Log[Self_Qty],T_SelfStock_Log[Part Name],$A47,T_SelfStock_Log[WeekIndex],61))</f>
        <v/>
      </c>
      <c r="BK47" s="19">
        <f>IF(COUNTIFS(T_SelfStock_Log[Part Name],$A47,T_SelfStock_Log[WeekIndex],62)=0,"",SUMIFS(T_SelfStock_Log[Self_Qty],T_SelfStock_Log[Part Name],$A47,T_SelfStock_Log[WeekIndex],62))</f>
        <v/>
      </c>
      <c r="BL47" s="19">
        <f>IF(COUNTIFS(T_SelfStock_Log[Part Name],$A47,T_SelfStock_Log[WeekIndex],63)=0,"",SUMIFS(T_SelfStock_Log[Self_Qty],T_SelfStock_Log[Part Name],$A47,T_SelfStock_Log[WeekIndex],63))</f>
        <v/>
      </c>
      <c r="BM47" s="19">
        <f>IF(COUNTIFS(T_SelfStock_Log[Part Name],$A47,T_SelfStock_Log[WeekIndex],64)=0,"",SUMIFS(T_SelfStock_Log[Self_Qty],T_SelfStock_Log[Part Name],$A47,T_SelfStock_Log[WeekIndex],64))</f>
        <v/>
      </c>
      <c r="BN47" s="19">
        <f>IF(COUNTIFS(T_SelfStock_Log[Part Name],$A47,T_SelfStock_Log[WeekIndex],65)=0,"",SUMIFS(T_SelfStock_Log[Self_Qty],T_SelfStock_Log[Part Name],$A47,T_SelfStock_Log[WeekIndex],65))</f>
        <v/>
      </c>
      <c r="BO47" s="19">
        <f>IF(COUNTIFS(T_SelfStock_Log[Part Name],$A47,T_SelfStock_Log[WeekIndex],66)=0,"",SUMIFS(T_SelfStock_Log[Self_Qty],T_SelfStock_Log[Part Name],$A47,T_SelfStock_Log[WeekIndex],66))</f>
        <v/>
      </c>
      <c r="BP47" s="19">
        <f>IF(COUNTIFS(T_SelfStock_Log[Part Name],$A47,T_SelfStock_Log[WeekIndex],67)=0,"",SUMIFS(T_SelfStock_Log[Self_Qty],T_SelfStock_Log[Part Name],$A47,T_SelfStock_Log[WeekIndex],67))</f>
        <v/>
      </c>
      <c r="BQ47" s="19">
        <f>IF(COUNTIFS(T_SelfStock_Log[Part Name],$A47,T_SelfStock_Log[WeekIndex],68)=0,"",SUMIFS(T_SelfStock_Log[Self_Qty],T_SelfStock_Log[Part Name],$A47,T_SelfStock_Log[WeekIndex],68))</f>
        <v/>
      </c>
      <c r="BR47" s="19">
        <f>IF(COUNTIFS(T_SelfStock_Log[Part Name],$A47,T_SelfStock_Log[WeekIndex],69)=0,"",SUMIFS(T_SelfStock_Log[Self_Qty],T_SelfStock_Log[Part Name],$A47,T_SelfStock_Log[WeekIndex],69))</f>
        <v/>
      </c>
      <c r="BS47" s="19">
        <f>IF(COUNTIFS(T_SelfStock_Log[Part Name],$A47,T_SelfStock_Log[WeekIndex],70)=0,"",SUMIFS(T_SelfStock_Log[Self_Qty],T_SelfStock_Log[Part Name],$A47,T_SelfStock_Log[WeekIndex],70))</f>
        <v/>
      </c>
      <c r="BT47" s="19">
        <f>IF(COUNTIFS(T_SelfStock_Log[Part Name],$A47,T_SelfStock_Log[WeekIndex],71)=0,"",SUMIFS(T_SelfStock_Log[Self_Qty],T_SelfStock_Log[Part Name],$A47,T_SelfStock_Log[WeekIndex],71))</f>
        <v/>
      </c>
      <c r="BU47" s="19">
        <f>IF(COUNTIFS(T_SelfStock_Log[Part Name],$A47,T_SelfStock_Log[WeekIndex],72)=0,"",SUMIFS(T_SelfStock_Log[Self_Qty],T_SelfStock_Log[Part Name],$A47,T_SelfStock_Log[WeekIndex],72))</f>
        <v/>
      </c>
      <c r="BV47" s="19">
        <f>IF(COUNTIFS(T_SelfStock_Log[Part Name],$A47,T_SelfStock_Log[WeekIndex],73)=0,"",SUMIFS(T_SelfStock_Log[Self_Qty],T_SelfStock_Log[Part Name],$A47,T_SelfStock_Log[WeekIndex],73))</f>
        <v/>
      </c>
      <c r="BW47" s="19">
        <f>IF(COUNTIFS(T_SelfStock_Log[Part Name],$A47,T_SelfStock_Log[WeekIndex],74)=0,"",SUMIFS(T_SelfStock_Log[Self_Qty],T_SelfStock_Log[Part Name],$A47,T_SelfStock_Log[WeekIndex],74))</f>
        <v/>
      </c>
      <c r="BX47" s="19">
        <f>IF(COUNTIFS(T_SelfStock_Log[Part Name],$A47,T_SelfStock_Log[WeekIndex],75)=0,"",SUMIFS(T_SelfStock_Log[Self_Qty],T_SelfStock_Log[Part Name],$A47,T_SelfStock_Log[WeekIndex],75))</f>
        <v/>
      </c>
      <c r="BY47" s="19">
        <f>IF(COUNTIFS(T_SelfStock_Log[Part Name],$A47,T_SelfStock_Log[WeekIndex],76)=0,"",SUMIFS(T_SelfStock_Log[Self_Qty],T_SelfStock_Log[Part Name],$A47,T_SelfStock_Log[WeekIndex],76))</f>
        <v/>
      </c>
      <c r="BZ47" s="19">
        <f>IF(COUNTIFS(T_SelfStock_Log[Part Name],$A47,T_SelfStock_Log[WeekIndex],77)=0,"",SUMIFS(T_SelfStock_Log[Self_Qty],T_SelfStock_Log[Part Name],$A47,T_SelfStock_Log[WeekIndex],77))</f>
        <v/>
      </c>
      <c r="CA47" s="19">
        <f>IF(COUNTIFS(T_SelfStock_Log[Part Name],$A47,T_SelfStock_Log[WeekIndex],78)=0,"",SUMIFS(T_SelfStock_Log[Self_Qty],T_SelfStock_Log[Part Name],$A47,T_SelfStock_Log[WeekIndex],78))</f>
        <v/>
      </c>
      <c r="CB47" s="19">
        <f>IF(COUNTIFS(T_SelfStock_Log[Part Name],$A47,T_SelfStock_Log[WeekIndex],79)=0,"",SUMIFS(T_SelfStock_Log[Self_Qty],T_SelfStock_Log[Part Name],$A47,T_SelfStock_Log[WeekIndex],79))</f>
        <v/>
      </c>
      <c r="CC47" s="19">
        <f>IF(COUNTIFS(T_SelfStock_Log[Part Name],$A47,T_SelfStock_Log[WeekIndex],80)=0,"",SUMIFS(T_SelfStock_Log[Self_Qty],T_SelfStock_Log[Part Name],$A47,T_SelfStock_Log[WeekIndex],80))</f>
        <v/>
      </c>
      <c r="CD47" s="19">
        <f>IF(COUNTIFS(T_SelfStock_Log[Part Name],$A47,T_SelfStock_Log[WeekIndex],81)=0,"",SUMIFS(T_SelfStock_Log[Self_Qty],T_SelfStock_Log[Part Name],$A47,T_SelfStock_Log[WeekIndex],81))</f>
        <v/>
      </c>
      <c r="CE47" s="19">
        <f>IF(COUNTIFS(T_SelfStock_Log[Part Name],$A47,T_SelfStock_Log[WeekIndex],82)=0,"",SUMIFS(T_SelfStock_Log[Self_Qty],T_SelfStock_Log[Part Name],$A47,T_SelfStock_Log[WeekIndex],82))</f>
        <v/>
      </c>
      <c r="CF47" s="19">
        <f>IF(COUNTIFS(T_SelfStock_Log[Part Name],$A47,T_SelfStock_Log[WeekIndex],83)=0,"",SUMIFS(T_SelfStock_Log[Self_Qty],T_SelfStock_Log[Part Name],$A47,T_SelfStock_Log[WeekIndex],83))</f>
        <v/>
      </c>
      <c r="CG47" s="19">
        <f>IF(COUNTIFS(T_SelfStock_Log[Part Name],$A47,T_SelfStock_Log[WeekIndex],84)=0,"",SUMIFS(T_SelfStock_Log[Self_Qty],T_SelfStock_Log[Part Name],$A47,T_SelfStock_Log[WeekIndex],84))</f>
        <v/>
      </c>
      <c r="CH47" s="19">
        <f>IF(COUNTIFS(T_SelfStock_Log[Part Name],$A47,T_SelfStock_Log[WeekIndex],85)=0,"",SUMIFS(T_SelfStock_Log[Self_Qty],T_SelfStock_Log[Part Name],$A47,T_SelfStock_Log[WeekIndex],85))</f>
        <v/>
      </c>
      <c r="CI47" s="19">
        <f>IF(COUNTIFS(T_SelfStock_Log[Part Name],$A47,T_SelfStock_Log[WeekIndex],86)=0,"",SUMIFS(T_SelfStock_Log[Self_Qty],T_SelfStock_Log[Part Name],$A47,T_SelfStock_Log[WeekIndex],86))</f>
        <v/>
      </c>
      <c r="CJ47" s="19">
        <f>IF(COUNTIFS(T_SelfStock_Log[Part Name],$A47,T_SelfStock_Log[WeekIndex],87)=0,"",SUMIFS(T_SelfStock_Log[Self_Qty],T_SelfStock_Log[Part Name],$A47,T_SelfStock_Log[WeekIndex],87))</f>
        <v/>
      </c>
      <c r="CK47" s="19">
        <f>IF(COUNTIFS(T_SelfStock_Log[Part Name],$A47,T_SelfStock_Log[WeekIndex],88)=0,"",SUMIFS(T_SelfStock_Log[Self_Qty],T_SelfStock_Log[Part Name],$A47,T_SelfStock_Log[WeekIndex],88))</f>
        <v/>
      </c>
      <c r="CL47" s="19">
        <f>IF(COUNTIFS(T_SelfStock_Log[Part Name],$A47,T_SelfStock_Log[WeekIndex],89)=0,"",SUMIFS(T_SelfStock_Log[Self_Qty],T_SelfStock_Log[Part Name],$A47,T_SelfStock_Log[WeekIndex],89))</f>
        <v/>
      </c>
      <c r="CM47" s="19">
        <f>IF(COUNTIFS(T_SelfStock_Log[Part Name],$A47,T_SelfStock_Log[WeekIndex],90)=0,"",SUMIFS(T_SelfStock_Log[Self_Qty],T_SelfStock_Log[Part Name],$A47,T_SelfStock_Log[WeekIndex],90))</f>
        <v/>
      </c>
      <c r="CN47" s="19">
        <f>IF(COUNTIFS(T_SelfStock_Log[Part Name],$A47,T_SelfStock_Log[WeekIndex],91)=0,"",SUMIFS(T_SelfStock_Log[Self_Qty],T_SelfStock_Log[Part Name],$A47,T_SelfStock_Log[WeekIndex],91))</f>
        <v/>
      </c>
      <c r="CO47" s="19">
        <f>IF(COUNTIFS(T_SelfStock_Log[Part Name],$A47,T_SelfStock_Log[WeekIndex],92)=0,"",SUMIFS(T_SelfStock_Log[Self_Qty],T_SelfStock_Log[Part Name],$A47,T_SelfStock_Log[WeekIndex],92))</f>
        <v/>
      </c>
      <c r="CP47" s="19">
        <f>IF(COUNTIFS(T_SelfStock_Log[Part Name],$A47,T_SelfStock_Log[WeekIndex],93)=0,"",SUMIFS(T_SelfStock_Log[Self_Qty],T_SelfStock_Log[Part Name],$A47,T_SelfStock_Log[WeekIndex],93))</f>
        <v/>
      </c>
      <c r="CQ47" s="19">
        <f>IF(COUNTIFS(T_SelfStock_Log[Part Name],$A47,T_SelfStock_Log[WeekIndex],94)=0,"",SUMIFS(T_SelfStock_Log[Self_Qty],T_SelfStock_Log[Part Name],$A47,T_SelfStock_Log[WeekIndex],94))</f>
        <v/>
      </c>
      <c r="CR47" s="19">
        <f>IF(COUNTIFS(T_SelfStock_Log[Part Name],$A47,T_SelfStock_Log[WeekIndex],95)=0,"",SUMIFS(T_SelfStock_Log[Self_Qty],T_SelfStock_Log[Part Name],$A47,T_SelfStock_Log[WeekIndex],95))</f>
        <v/>
      </c>
      <c r="CS47" s="19">
        <f>IF(COUNTIFS(T_SelfStock_Log[Part Name],$A47,T_SelfStock_Log[WeekIndex],96)=0,"",SUMIFS(T_SelfStock_Log[Self_Qty],T_SelfStock_Log[Part Name],$A47,T_SelfStock_Log[WeekIndex],96))</f>
        <v/>
      </c>
      <c r="CT47" s="19">
        <f>IF(COUNTIFS(T_SelfStock_Log[Part Name],$A47,T_SelfStock_Log[WeekIndex],97)=0,"",SUMIFS(T_SelfStock_Log[Self_Qty],T_SelfStock_Log[Part Name],$A47,T_SelfStock_Log[WeekIndex],97))</f>
        <v/>
      </c>
      <c r="CU47" s="19">
        <f>IF(COUNTIFS(T_SelfStock_Log[Part Name],$A47,T_SelfStock_Log[WeekIndex],98)=0,"",SUMIFS(T_SelfStock_Log[Self_Qty],T_SelfStock_Log[Part Name],$A47,T_SelfStock_Log[WeekIndex],98))</f>
        <v/>
      </c>
      <c r="CV47" s="19">
        <f>IF(COUNTIFS(T_SelfStock_Log[Part Name],$A47,T_SelfStock_Log[WeekIndex],99)=0,"",SUMIFS(T_SelfStock_Log[Self_Qty],T_SelfStock_Log[Part Name],$A47,T_SelfStock_Log[WeekIndex],99))</f>
        <v/>
      </c>
      <c r="CW47" s="19">
        <f>IF(COUNTIFS(T_SelfStock_Log[Part Name],$A47,T_SelfStock_Log[WeekIndex],100)=0,"",SUMIFS(T_SelfStock_Log[Self_Qty],T_SelfStock_Log[Part Name],$A47,T_SelfStock_Log[WeekIndex],100))</f>
        <v/>
      </c>
      <c r="CX47" s="19">
        <f>IF(COUNTIFS(T_SelfStock_Log[Part Name],$A47,T_SelfStock_Log[WeekIndex],101)=0,"",SUMIFS(T_SelfStock_Log[Self_Qty],T_SelfStock_Log[Part Name],$A47,T_SelfStock_Log[WeekIndex],101))</f>
        <v/>
      </c>
      <c r="CY47" s="19">
        <f>IF(COUNTIFS(T_SelfStock_Log[Part Name],$A47,T_SelfStock_Log[WeekIndex],102)=0,"",SUMIFS(T_SelfStock_Log[Self_Qty],T_SelfStock_Log[Part Name],$A47,T_SelfStock_Log[WeekIndex],102))</f>
        <v/>
      </c>
      <c r="CZ47" s="19">
        <f>IF(COUNTIFS(T_SelfStock_Log[Part Name],$A47,T_SelfStock_Log[WeekIndex],103)=0,"",SUMIFS(T_SelfStock_Log[Self_Qty],T_SelfStock_Log[Part Name],$A47,T_SelfStock_Log[WeekIndex],103))</f>
        <v/>
      </c>
      <c r="DA47" s="19">
        <f>IF(COUNTIFS(T_SelfStock_Log[Part Name],$A47,T_SelfStock_Log[WeekIndex],104)=0,"",SUMIFS(T_SelfStock_Log[Self_Qty],T_SelfStock_Log[Part Name],$A47,T_SelfStock_Log[WeekIndex],104))</f>
        <v/>
      </c>
    </row>
    <row r="48">
      <c r="A48" s="17" t="inlineStr">
        <is>
          <t>CHEM-1450</t>
        </is>
      </c>
      <c r="B48" s="17">
        <f>IF(COUNTIFS(T_SelfStock_Log[Part Name],$A48,T_SelfStock_Log[WeekIndex],1)=0,"",SUMIFS(T_SelfStock_Log[Self_Qty],T_SelfStock_Log[Part Name],$A48,T_SelfStock_Log[WeekIndex],1))</f>
        <v/>
      </c>
      <c r="C48" s="17">
        <f>IF(COUNTIFS(T_SelfStock_Log[Part Name],$A48,T_SelfStock_Log[WeekIndex],2)=0,"",SUMIFS(T_SelfStock_Log[Self_Qty],T_SelfStock_Log[Part Name],$A48,T_SelfStock_Log[WeekIndex],2))</f>
        <v/>
      </c>
      <c r="D48" s="17">
        <f>IF(COUNTIFS(T_SelfStock_Log[Part Name],$A48,T_SelfStock_Log[WeekIndex],3)=0,"",SUMIFS(T_SelfStock_Log[Self_Qty],T_SelfStock_Log[Part Name],$A48,T_SelfStock_Log[WeekIndex],3))</f>
        <v/>
      </c>
      <c r="E48" s="17">
        <f>IF(COUNTIFS(T_SelfStock_Log[Part Name],$A48,T_SelfStock_Log[WeekIndex],4)=0,"",SUMIFS(T_SelfStock_Log[Self_Qty],T_SelfStock_Log[Part Name],$A48,T_SelfStock_Log[WeekIndex],4))</f>
        <v/>
      </c>
      <c r="F48" s="17">
        <f>IF(COUNTIFS(T_SelfStock_Log[Part Name],$A48,T_SelfStock_Log[WeekIndex],5)=0,"",SUMIFS(T_SelfStock_Log[Self_Qty],T_SelfStock_Log[Part Name],$A48,T_SelfStock_Log[WeekIndex],5))</f>
        <v/>
      </c>
      <c r="G48" s="17">
        <f>IF(COUNTIFS(T_SelfStock_Log[Part Name],$A48,T_SelfStock_Log[WeekIndex],6)=0,"",SUMIFS(T_SelfStock_Log[Self_Qty],T_SelfStock_Log[Part Name],$A48,T_SelfStock_Log[WeekIndex],6))</f>
        <v/>
      </c>
      <c r="H48" s="17">
        <f>IF(COUNTIFS(T_SelfStock_Log[Part Name],$A48,T_SelfStock_Log[WeekIndex],7)=0,"",SUMIFS(T_SelfStock_Log[Self_Qty],T_SelfStock_Log[Part Name],$A48,T_SelfStock_Log[WeekIndex],7))</f>
        <v/>
      </c>
      <c r="I48" s="17">
        <f>IF(COUNTIFS(T_SelfStock_Log[Part Name],$A48,T_SelfStock_Log[WeekIndex],8)=0,"",SUMIFS(T_SelfStock_Log[Self_Qty],T_SelfStock_Log[Part Name],$A48,T_SelfStock_Log[WeekIndex],8))</f>
        <v/>
      </c>
      <c r="J48" s="17">
        <f>IF(COUNTIFS(T_SelfStock_Log[Part Name],$A48,T_SelfStock_Log[WeekIndex],9)=0,"",SUMIFS(T_SelfStock_Log[Self_Qty],T_SelfStock_Log[Part Name],$A48,T_SelfStock_Log[WeekIndex],9))</f>
        <v/>
      </c>
      <c r="K48" s="17">
        <f>IF(COUNTIFS(T_SelfStock_Log[Part Name],$A48,T_SelfStock_Log[WeekIndex],10)=0,"",SUMIFS(T_SelfStock_Log[Self_Qty],T_SelfStock_Log[Part Name],$A48,T_SelfStock_Log[WeekIndex],10))</f>
        <v/>
      </c>
      <c r="L48" s="17">
        <f>IF(COUNTIFS(T_SelfStock_Log[Part Name],$A48,T_SelfStock_Log[WeekIndex],11)=0,"",SUMIFS(T_SelfStock_Log[Self_Qty],T_SelfStock_Log[Part Name],$A48,T_SelfStock_Log[WeekIndex],11))</f>
        <v/>
      </c>
      <c r="M48" s="17">
        <f>IF(COUNTIFS(T_SelfStock_Log[Part Name],$A48,T_SelfStock_Log[WeekIndex],12)=0,"",SUMIFS(T_SelfStock_Log[Self_Qty],T_SelfStock_Log[Part Name],$A48,T_SelfStock_Log[WeekIndex],12))</f>
        <v/>
      </c>
      <c r="N48" s="17">
        <f>IF(COUNTIFS(T_SelfStock_Log[Part Name],$A48,T_SelfStock_Log[WeekIndex],13)=0,"",SUMIFS(T_SelfStock_Log[Self_Qty],T_SelfStock_Log[Part Name],$A48,T_SelfStock_Log[WeekIndex],13))</f>
        <v/>
      </c>
      <c r="O48" s="17">
        <f>IF(COUNTIFS(T_SelfStock_Log[Part Name],$A48,T_SelfStock_Log[WeekIndex],14)=0,"",SUMIFS(T_SelfStock_Log[Self_Qty],T_SelfStock_Log[Part Name],$A48,T_SelfStock_Log[WeekIndex],14))</f>
        <v/>
      </c>
      <c r="P48" s="17">
        <f>IF(COUNTIFS(T_SelfStock_Log[Part Name],$A48,T_SelfStock_Log[WeekIndex],15)=0,"",SUMIFS(T_SelfStock_Log[Self_Qty],T_SelfStock_Log[Part Name],$A48,T_SelfStock_Log[WeekIndex],15))</f>
        <v/>
      </c>
      <c r="Q48" s="17">
        <f>IF(COUNTIFS(T_SelfStock_Log[Part Name],$A48,T_SelfStock_Log[WeekIndex],16)=0,"",SUMIFS(T_SelfStock_Log[Self_Qty],T_SelfStock_Log[Part Name],$A48,T_SelfStock_Log[WeekIndex],16))</f>
        <v/>
      </c>
      <c r="R48" s="17">
        <f>IF(COUNTIFS(T_SelfStock_Log[Part Name],$A48,T_SelfStock_Log[WeekIndex],17)=0,"",SUMIFS(T_SelfStock_Log[Self_Qty],T_SelfStock_Log[Part Name],$A48,T_SelfStock_Log[WeekIndex],17))</f>
        <v/>
      </c>
      <c r="S48" s="17">
        <f>IF(COUNTIFS(T_SelfStock_Log[Part Name],$A48,T_SelfStock_Log[WeekIndex],18)=0,"",SUMIFS(T_SelfStock_Log[Self_Qty],T_SelfStock_Log[Part Name],$A48,T_SelfStock_Log[WeekIndex],18))</f>
        <v/>
      </c>
      <c r="T48" s="17">
        <f>IF(COUNTIFS(T_SelfStock_Log[Part Name],$A48,T_SelfStock_Log[WeekIndex],19)=0,"",SUMIFS(T_SelfStock_Log[Self_Qty],T_SelfStock_Log[Part Name],$A48,T_SelfStock_Log[WeekIndex],19))</f>
        <v/>
      </c>
      <c r="U48" s="17">
        <f>IF(COUNTIFS(T_SelfStock_Log[Part Name],$A48,T_SelfStock_Log[WeekIndex],20)=0,"",SUMIFS(T_SelfStock_Log[Self_Qty],T_SelfStock_Log[Part Name],$A48,T_SelfStock_Log[WeekIndex],20))</f>
        <v/>
      </c>
      <c r="V48" s="17">
        <f>IF(COUNTIFS(T_SelfStock_Log[Part Name],$A48,T_SelfStock_Log[WeekIndex],21)=0,"",SUMIFS(T_SelfStock_Log[Self_Qty],T_SelfStock_Log[Part Name],$A48,T_SelfStock_Log[WeekIndex],21))</f>
        <v/>
      </c>
      <c r="W48" s="17">
        <f>IF(COUNTIFS(T_SelfStock_Log[Part Name],$A48,T_SelfStock_Log[WeekIndex],22)=0,"",SUMIFS(T_SelfStock_Log[Self_Qty],T_SelfStock_Log[Part Name],$A48,T_SelfStock_Log[WeekIndex],22))</f>
        <v/>
      </c>
      <c r="X48" s="17">
        <f>IF(COUNTIFS(T_SelfStock_Log[Part Name],$A48,T_SelfStock_Log[WeekIndex],23)=0,"",SUMIFS(T_SelfStock_Log[Self_Qty],T_SelfStock_Log[Part Name],$A48,T_SelfStock_Log[WeekIndex],23))</f>
        <v/>
      </c>
      <c r="Y48" s="17">
        <f>IF(COUNTIFS(T_SelfStock_Log[Part Name],$A48,T_SelfStock_Log[WeekIndex],24)=0,"",SUMIFS(T_SelfStock_Log[Self_Qty],T_SelfStock_Log[Part Name],$A48,T_SelfStock_Log[WeekIndex],24))</f>
        <v/>
      </c>
      <c r="Z48" s="17">
        <f>IF(COUNTIFS(T_SelfStock_Log[Part Name],$A48,T_SelfStock_Log[WeekIndex],25)=0,"",SUMIFS(T_SelfStock_Log[Self_Qty],T_SelfStock_Log[Part Name],$A48,T_SelfStock_Log[WeekIndex],25))</f>
        <v/>
      </c>
      <c r="AA48" s="17">
        <f>IF(COUNTIFS(T_SelfStock_Log[Part Name],$A48,T_SelfStock_Log[WeekIndex],26)=0,"",SUMIFS(T_SelfStock_Log[Self_Qty],T_SelfStock_Log[Part Name],$A48,T_SelfStock_Log[WeekIndex],26))</f>
        <v/>
      </c>
      <c r="AB48" s="17">
        <f>IF(COUNTIFS(T_SelfStock_Log[Part Name],$A48,T_SelfStock_Log[WeekIndex],27)=0,"",SUMIFS(T_SelfStock_Log[Self_Qty],T_SelfStock_Log[Part Name],$A48,T_SelfStock_Log[WeekIndex],27))</f>
        <v/>
      </c>
      <c r="AC48" s="17">
        <f>IF(COUNTIFS(T_SelfStock_Log[Part Name],$A48,T_SelfStock_Log[WeekIndex],28)=0,"",SUMIFS(T_SelfStock_Log[Self_Qty],T_SelfStock_Log[Part Name],$A48,T_SelfStock_Log[WeekIndex],28))</f>
        <v/>
      </c>
      <c r="AD48" s="17">
        <f>IF(COUNTIFS(T_SelfStock_Log[Part Name],$A48,T_SelfStock_Log[WeekIndex],29)=0,"",SUMIFS(T_SelfStock_Log[Self_Qty],T_SelfStock_Log[Part Name],$A48,T_SelfStock_Log[WeekIndex],29))</f>
        <v/>
      </c>
      <c r="AE48" s="17">
        <f>IF(COUNTIFS(T_SelfStock_Log[Part Name],$A48,T_SelfStock_Log[WeekIndex],30)=0,"",SUMIFS(T_SelfStock_Log[Self_Qty],T_SelfStock_Log[Part Name],$A48,T_SelfStock_Log[WeekIndex],30))</f>
        <v/>
      </c>
      <c r="AF48" s="17">
        <f>IF(COUNTIFS(T_SelfStock_Log[Part Name],$A48,T_SelfStock_Log[WeekIndex],31)=0,"",SUMIFS(T_SelfStock_Log[Self_Qty],T_SelfStock_Log[Part Name],$A48,T_SelfStock_Log[WeekIndex],31))</f>
        <v/>
      </c>
      <c r="AG48" s="17">
        <f>IF(COUNTIFS(T_SelfStock_Log[Part Name],$A48,T_SelfStock_Log[WeekIndex],32)=0,"",SUMIFS(T_SelfStock_Log[Self_Qty],T_SelfStock_Log[Part Name],$A48,T_SelfStock_Log[WeekIndex],32))</f>
        <v/>
      </c>
      <c r="AH48" s="17">
        <f>IF(COUNTIFS(T_SelfStock_Log[Part Name],$A48,T_SelfStock_Log[WeekIndex],33)=0,"",SUMIFS(T_SelfStock_Log[Self_Qty],T_SelfStock_Log[Part Name],$A48,T_SelfStock_Log[WeekIndex],33))</f>
        <v/>
      </c>
      <c r="AI48" s="17">
        <f>IF(COUNTIFS(T_SelfStock_Log[Part Name],$A48,T_SelfStock_Log[WeekIndex],34)=0,"",SUMIFS(T_SelfStock_Log[Self_Qty],T_SelfStock_Log[Part Name],$A48,T_SelfStock_Log[WeekIndex],34))</f>
        <v/>
      </c>
      <c r="AJ48" s="17">
        <f>IF(COUNTIFS(T_SelfStock_Log[Part Name],$A48,T_SelfStock_Log[WeekIndex],35)=0,"",SUMIFS(T_SelfStock_Log[Self_Qty],T_SelfStock_Log[Part Name],$A48,T_SelfStock_Log[WeekIndex],35))</f>
        <v/>
      </c>
      <c r="AK48" s="17">
        <f>IF(COUNTIFS(T_SelfStock_Log[Part Name],$A48,T_SelfStock_Log[WeekIndex],36)=0,"",SUMIFS(T_SelfStock_Log[Self_Qty],T_SelfStock_Log[Part Name],$A48,T_SelfStock_Log[WeekIndex],36))</f>
        <v/>
      </c>
      <c r="AL48" s="17">
        <f>IF(COUNTIFS(T_SelfStock_Log[Part Name],$A48,T_SelfStock_Log[WeekIndex],37)=0,"",SUMIFS(T_SelfStock_Log[Self_Qty],T_SelfStock_Log[Part Name],$A48,T_SelfStock_Log[WeekIndex],37))</f>
        <v/>
      </c>
      <c r="AM48" s="17">
        <f>IF(COUNTIFS(T_SelfStock_Log[Part Name],$A48,T_SelfStock_Log[WeekIndex],38)=0,"",SUMIFS(T_SelfStock_Log[Self_Qty],T_SelfStock_Log[Part Name],$A48,T_SelfStock_Log[WeekIndex],38))</f>
        <v/>
      </c>
      <c r="AN48" s="17">
        <f>IF(COUNTIFS(T_SelfStock_Log[Part Name],$A48,T_SelfStock_Log[WeekIndex],39)=0,"",SUMIFS(T_SelfStock_Log[Self_Qty],T_SelfStock_Log[Part Name],$A48,T_SelfStock_Log[WeekIndex],39))</f>
        <v/>
      </c>
      <c r="AO48" s="17">
        <f>IF(COUNTIFS(T_SelfStock_Log[Part Name],$A48,T_SelfStock_Log[WeekIndex],40)=0,"",SUMIFS(T_SelfStock_Log[Self_Qty],T_SelfStock_Log[Part Name],$A48,T_SelfStock_Log[WeekIndex],40))</f>
        <v/>
      </c>
      <c r="AP48" s="17">
        <f>IF(COUNTIFS(T_SelfStock_Log[Part Name],$A48,T_SelfStock_Log[WeekIndex],41)=0,"",SUMIFS(T_SelfStock_Log[Self_Qty],T_SelfStock_Log[Part Name],$A48,T_SelfStock_Log[WeekIndex],41))</f>
        <v/>
      </c>
      <c r="AQ48" s="17">
        <f>IF(COUNTIFS(T_SelfStock_Log[Part Name],$A48,T_SelfStock_Log[WeekIndex],42)=0,"",SUMIFS(T_SelfStock_Log[Self_Qty],T_SelfStock_Log[Part Name],$A48,T_SelfStock_Log[WeekIndex],42))</f>
        <v/>
      </c>
      <c r="AR48" s="17">
        <f>IF(COUNTIFS(T_SelfStock_Log[Part Name],$A48,T_SelfStock_Log[WeekIndex],43)=0,"",SUMIFS(T_SelfStock_Log[Self_Qty],T_SelfStock_Log[Part Name],$A48,T_SelfStock_Log[WeekIndex],43))</f>
        <v/>
      </c>
      <c r="AS48" s="17">
        <f>IF(COUNTIFS(T_SelfStock_Log[Part Name],$A48,T_SelfStock_Log[WeekIndex],44)=0,"",SUMIFS(T_SelfStock_Log[Self_Qty],T_SelfStock_Log[Part Name],$A48,T_SelfStock_Log[WeekIndex],44))</f>
        <v/>
      </c>
      <c r="AT48" s="17">
        <f>IF(COUNTIFS(T_SelfStock_Log[Part Name],$A48,T_SelfStock_Log[WeekIndex],45)=0,"",SUMIFS(T_SelfStock_Log[Self_Qty],T_SelfStock_Log[Part Name],$A48,T_SelfStock_Log[WeekIndex],45))</f>
        <v/>
      </c>
      <c r="AU48" s="17">
        <f>IF(COUNTIFS(T_SelfStock_Log[Part Name],$A48,T_SelfStock_Log[WeekIndex],46)=0,"",SUMIFS(T_SelfStock_Log[Self_Qty],T_SelfStock_Log[Part Name],$A48,T_SelfStock_Log[WeekIndex],46))</f>
        <v/>
      </c>
      <c r="AV48" s="17">
        <f>IF(COUNTIFS(T_SelfStock_Log[Part Name],$A48,T_SelfStock_Log[WeekIndex],47)=0,"",SUMIFS(T_SelfStock_Log[Self_Qty],T_SelfStock_Log[Part Name],$A48,T_SelfStock_Log[WeekIndex],47))</f>
        <v/>
      </c>
      <c r="AW48" s="17">
        <f>IF(COUNTIFS(T_SelfStock_Log[Part Name],$A48,T_SelfStock_Log[WeekIndex],48)=0,"",SUMIFS(T_SelfStock_Log[Self_Qty],T_SelfStock_Log[Part Name],$A48,T_SelfStock_Log[WeekIndex],48))</f>
        <v/>
      </c>
      <c r="AX48" s="17">
        <f>IF(COUNTIFS(T_SelfStock_Log[Part Name],$A48,T_SelfStock_Log[WeekIndex],49)=0,"",SUMIFS(T_SelfStock_Log[Self_Qty],T_SelfStock_Log[Part Name],$A48,T_SelfStock_Log[WeekIndex],49))</f>
        <v/>
      </c>
      <c r="AY48" s="17">
        <f>IF(COUNTIFS(T_SelfStock_Log[Part Name],$A48,T_SelfStock_Log[WeekIndex],50)=0,"",SUMIFS(T_SelfStock_Log[Self_Qty],T_SelfStock_Log[Part Name],$A48,T_SelfStock_Log[WeekIndex],50))</f>
        <v/>
      </c>
      <c r="AZ48" s="17">
        <f>IF(COUNTIFS(T_SelfStock_Log[Part Name],$A48,T_SelfStock_Log[WeekIndex],51)=0,"",SUMIFS(T_SelfStock_Log[Self_Qty],T_SelfStock_Log[Part Name],$A48,T_SelfStock_Log[WeekIndex],51))</f>
        <v/>
      </c>
      <c r="BA48" s="17">
        <f>IF(COUNTIFS(T_SelfStock_Log[Part Name],$A48,T_SelfStock_Log[WeekIndex],52)=0,"",SUMIFS(T_SelfStock_Log[Self_Qty],T_SelfStock_Log[Part Name],$A48,T_SelfStock_Log[WeekIndex],52))</f>
        <v/>
      </c>
      <c r="BB48" s="17">
        <f>IF(COUNTIFS(T_SelfStock_Log[Part Name],$A48,T_SelfStock_Log[WeekIndex],53)=0,"",SUMIFS(T_SelfStock_Log[Self_Qty],T_SelfStock_Log[Part Name],$A48,T_SelfStock_Log[WeekIndex],53))</f>
        <v/>
      </c>
      <c r="BC48" s="17">
        <f>IF(COUNTIFS(T_SelfStock_Log[Part Name],$A48,T_SelfStock_Log[WeekIndex],54)=0,"",SUMIFS(T_SelfStock_Log[Self_Qty],T_SelfStock_Log[Part Name],$A48,T_SelfStock_Log[WeekIndex],54))</f>
        <v/>
      </c>
      <c r="BD48" s="17">
        <f>IF(COUNTIFS(T_SelfStock_Log[Part Name],$A48,T_SelfStock_Log[WeekIndex],55)=0,"",SUMIFS(T_SelfStock_Log[Self_Qty],T_SelfStock_Log[Part Name],$A48,T_SelfStock_Log[WeekIndex],55))</f>
        <v/>
      </c>
      <c r="BE48" s="17">
        <f>IF(COUNTIFS(T_SelfStock_Log[Part Name],$A48,T_SelfStock_Log[WeekIndex],56)=0,"",SUMIFS(T_SelfStock_Log[Self_Qty],T_SelfStock_Log[Part Name],$A48,T_SelfStock_Log[WeekIndex],56))</f>
        <v/>
      </c>
      <c r="BF48" s="17">
        <f>IF(COUNTIFS(T_SelfStock_Log[Part Name],$A48,T_SelfStock_Log[WeekIndex],57)=0,"",SUMIFS(T_SelfStock_Log[Self_Qty],T_SelfStock_Log[Part Name],$A48,T_SelfStock_Log[WeekIndex],57))</f>
        <v/>
      </c>
      <c r="BG48" s="17">
        <f>IF(COUNTIFS(T_SelfStock_Log[Part Name],$A48,T_SelfStock_Log[WeekIndex],58)=0,"",SUMIFS(T_SelfStock_Log[Self_Qty],T_SelfStock_Log[Part Name],$A48,T_SelfStock_Log[WeekIndex],58))</f>
        <v/>
      </c>
      <c r="BH48" s="17">
        <f>IF(COUNTIFS(T_SelfStock_Log[Part Name],$A48,T_SelfStock_Log[WeekIndex],59)=0,"",SUMIFS(T_SelfStock_Log[Self_Qty],T_SelfStock_Log[Part Name],$A48,T_SelfStock_Log[WeekIndex],59))</f>
        <v/>
      </c>
      <c r="BI48" s="17">
        <f>IF(COUNTIFS(T_SelfStock_Log[Part Name],$A48,T_SelfStock_Log[WeekIndex],60)=0,"",SUMIFS(T_SelfStock_Log[Self_Qty],T_SelfStock_Log[Part Name],$A48,T_SelfStock_Log[WeekIndex],60))</f>
        <v/>
      </c>
      <c r="BJ48" s="17">
        <f>IF(COUNTIFS(T_SelfStock_Log[Part Name],$A48,T_SelfStock_Log[WeekIndex],61)=0,"",SUMIFS(T_SelfStock_Log[Self_Qty],T_SelfStock_Log[Part Name],$A48,T_SelfStock_Log[WeekIndex],61))</f>
        <v/>
      </c>
      <c r="BK48" s="17">
        <f>IF(COUNTIFS(T_SelfStock_Log[Part Name],$A48,T_SelfStock_Log[WeekIndex],62)=0,"",SUMIFS(T_SelfStock_Log[Self_Qty],T_SelfStock_Log[Part Name],$A48,T_SelfStock_Log[WeekIndex],62))</f>
        <v/>
      </c>
      <c r="BL48" s="17">
        <f>IF(COUNTIFS(T_SelfStock_Log[Part Name],$A48,T_SelfStock_Log[WeekIndex],63)=0,"",SUMIFS(T_SelfStock_Log[Self_Qty],T_SelfStock_Log[Part Name],$A48,T_SelfStock_Log[WeekIndex],63))</f>
        <v/>
      </c>
      <c r="BM48" s="17">
        <f>IF(COUNTIFS(T_SelfStock_Log[Part Name],$A48,T_SelfStock_Log[WeekIndex],64)=0,"",SUMIFS(T_SelfStock_Log[Self_Qty],T_SelfStock_Log[Part Name],$A48,T_SelfStock_Log[WeekIndex],64))</f>
        <v/>
      </c>
      <c r="BN48" s="17">
        <f>IF(COUNTIFS(T_SelfStock_Log[Part Name],$A48,T_SelfStock_Log[WeekIndex],65)=0,"",SUMIFS(T_SelfStock_Log[Self_Qty],T_SelfStock_Log[Part Name],$A48,T_SelfStock_Log[WeekIndex],65))</f>
        <v/>
      </c>
      <c r="BO48" s="17">
        <f>IF(COUNTIFS(T_SelfStock_Log[Part Name],$A48,T_SelfStock_Log[WeekIndex],66)=0,"",SUMIFS(T_SelfStock_Log[Self_Qty],T_SelfStock_Log[Part Name],$A48,T_SelfStock_Log[WeekIndex],66))</f>
        <v/>
      </c>
      <c r="BP48" s="17">
        <f>IF(COUNTIFS(T_SelfStock_Log[Part Name],$A48,T_SelfStock_Log[WeekIndex],67)=0,"",SUMIFS(T_SelfStock_Log[Self_Qty],T_SelfStock_Log[Part Name],$A48,T_SelfStock_Log[WeekIndex],67))</f>
        <v/>
      </c>
      <c r="BQ48" s="17">
        <f>IF(COUNTIFS(T_SelfStock_Log[Part Name],$A48,T_SelfStock_Log[WeekIndex],68)=0,"",SUMIFS(T_SelfStock_Log[Self_Qty],T_SelfStock_Log[Part Name],$A48,T_SelfStock_Log[WeekIndex],68))</f>
        <v/>
      </c>
      <c r="BR48" s="17">
        <f>IF(COUNTIFS(T_SelfStock_Log[Part Name],$A48,T_SelfStock_Log[WeekIndex],69)=0,"",SUMIFS(T_SelfStock_Log[Self_Qty],T_SelfStock_Log[Part Name],$A48,T_SelfStock_Log[WeekIndex],69))</f>
        <v/>
      </c>
      <c r="BS48" s="17">
        <f>IF(COUNTIFS(T_SelfStock_Log[Part Name],$A48,T_SelfStock_Log[WeekIndex],70)=0,"",SUMIFS(T_SelfStock_Log[Self_Qty],T_SelfStock_Log[Part Name],$A48,T_SelfStock_Log[WeekIndex],70))</f>
        <v/>
      </c>
      <c r="BT48" s="17">
        <f>IF(COUNTIFS(T_SelfStock_Log[Part Name],$A48,T_SelfStock_Log[WeekIndex],71)=0,"",SUMIFS(T_SelfStock_Log[Self_Qty],T_SelfStock_Log[Part Name],$A48,T_SelfStock_Log[WeekIndex],71))</f>
        <v/>
      </c>
      <c r="BU48" s="17">
        <f>IF(COUNTIFS(T_SelfStock_Log[Part Name],$A48,T_SelfStock_Log[WeekIndex],72)=0,"",SUMIFS(T_SelfStock_Log[Self_Qty],T_SelfStock_Log[Part Name],$A48,T_SelfStock_Log[WeekIndex],72))</f>
        <v/>
      </c>
      <c r="BV48" s="17">
        <f>IF(COUNTIFS(T_SelfStock_Log[Part Name],$A48,T_SelfStock_Log[WeekIndex],73)=0,"",SUMIFS(T_SelfStock_Log[Self_Qty],T_SelfStock_Log[Part Name],$A48,T_SelfStock_Log[WeekIndex],73))</f>
        <v/>
      </c>
      <c r="BW48" s="17">
        <f>IF(COUNTIFS(T_SelfStock_Log[Part Name],$A48,T_SelfStock_Log[WeekIndex],74)=0,"",SUMIFS(T_SelfStock_Log[Self_Qty],T_SelfStock_Log[Part Name],$A48,T_SelfStock_Log[WeekIndex],74))</f>
        <v/>
      </c>
      <c r="BX48" s="17">
        <f>IF(COUNTIFS(T_SelfStock_Log[Part Name],$A48,T_SelfStock_Log[WeekIndex],75)=0,"",SUMIFS(T_SelfStock_Log[Self_Qty],T_SelfStock_Log[Part Name],$A48,T_SelfStock_Log[WeekIndex],75))</f>
        <v/>
      </c>
      <c r="BY48" s="17">
        <f>IF(COUNTIFS(T_SelfStock_Log[Part Name],$A48,T_SelfStock_Log[WeekIndex],76)=0,"",SUMIFS(T_SelfStock_Log[Self_Qty],T_SelfStock_Log[Part Name],$A48,T_SelfStock_Log[WeekIndex],76))</f>
        <v/>
      </c>
      <c r="BZ48" s="17">
        <f>IF(COUNTIFS(T_SelfStock_Log[Part Name],$A48,T_SelfStock_Log[WeekIndex],77)=0,"",SUMIFS(T_SelfStock_Log[Self_Qty],T_SelfStock_Log[Part Name],$A48,T_SelfStock_Log[WeekIndex],77))</f>
        <v/>
      </c>
      <c r="CA48" s="17">
        <f>IF(COUNTIFS(T_SelfStock_Log[Part Name],$A48,T_SelfStock_Log[WeekIndex],78)=0,"",SUMIFS(T_SelfStock_Log[Self_Qty],T_SelfStock_Log[Part Name],$A48,T_SelfStock_Log[WeekIndex],78))</f>
        <v/>
      </c>
      <c r="CB48" s="17">
        <f>IF(COUNTIFS(T_SelfStock_Log[Part Name],$A48,T_SelfStock_Log[WeekIndex],79)=0,"",SUMIFS(T_SelfStock_Log[Self_Qty],T_SelfStock_Log[Part Name],$A48,T_SelfStock_Log[WeekIndex],79))</f>
        <v/>
      </c>
      <c r="CC48" s="17">
        <f>IF(COUNTIFS(T_SelfStock_Log[Part Name],$A48,T_SelfStock_Log[WeekIndex],80)=0,"",SUMIFS(T_SelfStock_Log[Self_Qty],T_SelfStock_Log[Part Name],$A48,T_SelfStock_Log[WeekIndex],80))</f>
        <v/>
      </c>
      <c r="CD48" s="17">
        <f>IF(COUNTIFS(T_SelfStock_Log[Part Name],$A48,T_SelfStock_Log[WeekIndex],81)=0,"",SUMIFS(T_SelfStock_Log[Self_Qty],T_SelfStock_Log[Part Name],$A48,T_SelfStock_Log[WeekIndex],81))</f>
        <v/>
      </c>
      <c r="CE48" s="17">
        <f>IF(COUNTIFS(T_SelfStock_Log[Part Name],$A48,T_SelfStock_Log[WeekIndex],82)=0,"",SUMIFS(T_SelfStock_Log[Self_Qty],T_SelfStock_Log[Part Name],$A48,T_SelfStock_Log[WeekIndex],82))</f>
        <v/>
      </c>
      <c r="CF48" s="17">
        <f>IF(COUNTIFS(T_SelfStock_Log[Part Name],$A48,T_SelfStock_Log[WeekIndex],83)=0,"",SUMIFS(T_SelfStock_Log[Self_Qty],T_SelfStock_Log[Part Name],$A48,T_SelfStock_Log[WeekIndex],83))</f>
        <v/>
      </c>
      <c r="CG48" s="17">
        <f>IF(COUNTIFS(T_SelfStock_Log[Part Name],$A48,T_SelfStock_Log[WeekIndex],84)=0,"",SUMIFS(T_SelfStock_Log[Self_Qty],T_SelfStock_Log[Part Name],$A48,T_SelfStock_Log[WeekIndex],84))</f>
        <v/>
      </c>
      <c r="CH48" s="17">
        <f>IF(COUNTIFS(T_SelfStock_Log[Part Name],$A48,T_SelfStock_Log[WeekIndex],85)=0,"",SUMIFS(T_SelfStock_Log[Self_Qty],T_SelfStock_Log[Part Name],$A48,T_SelfStock_Log[WeekIndex],85))</f>
        <v/>
      </c>
      <c r="CI48" s="17">
        <f>IF(COUNTIFS(T_SelfStock_Log[Part Name],$A48,T_SelfStock_Log[WeekIndex],86)=0,"",SUMIFS(T_SelfStock_Log[Self_Qty],T_SelfStock_Log[Part Name],$A48,T_SelfStock_Log[WeekIndex],86))</f>
        <v/>
      </c>
      <c r="CJ48" s="17">
        <f>IF(COUNTIFS(T_SelfStock_Log[Part Name],$A48,T_SelfStock_Log[WeekIndex],87)=0,"",SUMIFS(T_SelfStock_Log[Self_Qty],T_SelfStock_Log[Part Name],$A48,T_SelfStock_Log[WeekIndex],87))</f>
        <v/>
      </c>
      <c r="CK48" s="17">
        <f>IF(COUNTIFS(T_SelfStock_Log[Part Name],$A48,T_SelfStock_Log[WeekIndex],88)=0,"",SUMIFS(T_SelfStock_Log[Self_Qty],T_SelfStock_Log[Part Name],$A48,T_SelfStock_Log[WeekIndex],88))</f>
        <v/>
      </c>
      <c r="CL48" s="17">
        <f>IF(COUNTIFS(T_SelfStock_Log[Part Name],$A48,T_SelfStock_Log[WeekIndex],89)=0,"",SUMIFS(T_SelfStock_Log[Self_Qty],T_SelfStock_Log[Part Name],$A48,T_SelfStock_Log[WeekIndex],89))</f>
        <v/>
      </c>
      <c r="CM48" s="17">
        <f>IF(COUNTIFS(T_SelfStock_Log[Part Name],$A48,T_SelfStock_Log[WeekIndex],90)=0,"",SUMIFS(T_SelfStock_Log[Self_Qty],T_SelfStock_Log[Part Name],$A48,T_SelfStock_Log[WeekIndex],90))</f>
        <v/>
      </c>
      <c r="CN48" s="17">
        <f>IF(COUNTIFS(T_SelfStock_Log[Part Name],$A48,T_SelfStock_Log[WeekIndex],91)=0,"",SUMIFS(T_SelfStock_Log[Self_Qty],T_SelfStock_Log[Part Name],$A48,T_SelfStock_Log[WeekIndex],91))</f>
        <v/>
      </c>
      <c r="CO48" s="17">
        <f>IF(COUNTIFS(T_SelfStock_Log[Part Name],$A48,T_SelfStock_Log[WeekIndex],92)=0,"",SUMIFS(T_SelfStock_Log[Self_Qty],T_SelfStock_Log[Part Name],$A48,T_SelfStock_Log[WeekIndex],92))</f>
        <v/>
      </c>
      <c r="CP48" s="17">
        <f>IF(COUNTIFS(T_SelfStock_Log[Part Name],$A48,T_SelfStock_Log[WeekIndex],93)=0,"",SUMIFS(T_SelfStock_Log[Self_Qty],T_SelfStock_Log[Part Name],$A48,T_SelfStock_Log[WeekIndex],93))</f>
        <v/>
      </c>
      <c r="CQ48" s="17">
        <f>IF(COUNTIFS(T_SelfStock_Log[Part Name],$A48,T_SelfStock_Log[WeekIndex],94)=0,"",SUMIFS(T_SelfStock_Log[Self_Qty],T_SelfStock_Log[Part Name],$A48,T_SelfStock_Log[WeekIndex],94))</f>
        <v/>
      </c>
      <c r="CR48" s="17">
        <f>IF(COUNTIFS(T_SelfStock_Log[Part Name],$A48,T_SelfStock_Log[WeekIndex],95)=0,"",SUMIFS(T_SelfStock_Log[Self_Qty],T_SelfStock_Log[Part Name],$A48,T_SelfStock_Log[WeekIndex],95))</f>
        <v/>
      </c>
      <c r="CS48" s="17">
        <f>IF(COUNTIFS(T_SelfStock_Log[Part Name],$A48,T_SelfStock_Log[WeekIndex],96)=0,"",SUMIFS(T_SelfStock_Log[Self_Qty],T_SelfStock_Log[Part Name],$A48,T_SelfStock_Log[WeekIndex],96))</f>
        <v/>
      </c>
      <c r="CT48" s="17">
        <f>IF(COUNTIFS(T_SelfStock_Log[Part Name],$A48,T_SelfStock_Log[WeekIndex],97)=0,"",SUMIFS(T_SelfStock_Log[Self_Qty],T_SelfStock_Log[Part Name],$A48,T_SelfStock_Log[WeekIndex],97))</f>
        <v/>
      </c>
      <c r="CU48" s="17">
        <f>IF(COUNTIFS(T_SelfStock_Log[Part Name],$A48,T_SelfStock_Log[WeekIndex],98)=0,"",SUMIFS(T_SelfStock_Log[Self_Qty],T_SelfStock_Log[Part Name],$A48,T_SelfStock_Log[WeekIndex],98))</f>
        <v/>
      </c>
      <c r="CV48" s="17">
        <f>IF(COUNTIFS(T_SelfStock_Log[Part Name],$A48,T_SelfStock_Log[WeekIndex],99)=0,"",SUMIFS(T_SelfStock_Log[Self_Qty],T_SelfStock_Log[Part Name],$A48,T_SelfStock_Log[WeekIndex],99))</f>
        <v/>
      </c>
      <c r="CW48" s="17">
        <f>IF(COUNTIFS(T_SelfStock_Log[Part Name],$A48,T_SelfStock_Log[WeekIndex],100)=0,"",SUMIFS(T_SelfStock_Log[Self_Qty],T_SelfStock_Log[Part Name],$A48,T_SelfStock_Log[WeekIndex],100))</f>
        <v/>
      </c>
      <c r="CX48" s="17">
        <f>IF(COUNTIFS(T_SelfStock_Log[Part Name],$A48,T_SelfStock_Log[WeekIndex],101)=0,"",SUMIFS(T_SelfStock_Log[Self_Qty],T_SelfStock_Log[Part Name],$A48,T_SelfStock_Log[WeekIndex],101))</f>
        <v/>
      </c>
      <c r="CY48" s="17">
        <f>IF(COUNTIFS(T_SelfStock_Log[Part Name],$A48,T_SelfStock_Log[WeekIndex],102)=0,"",SUMIFS(T_SelfStock_Log[Self_Qty],T_SelfStock_Log[Part Name],$A48,T_SelfStock_Log[WeekIndex],102))</f>
        <v/>
      </c>
      <c r="CZ48" s="17">
        <f>IF(COUNTIFS(T_SelfStock_Log[Part Name],$A48,T_SelfStock_Log[WeekIndex],103)=0,"",SUMIFS(T_SelfStock_Log[Self_Qty],T_SelfStock_Log[Part Name],$A48,T_SelfStock_Log[WeekIndex],103))</f>
        <v/>
      </c>
      <c r="DA48" s="17">
        <f>IF(COUNTIFS(T_SelfStock_Log[Part Name],$A48,T_SelfStock_Log[WeekIndex],104)=0,"",SUMIFS(T_SelfStock_Log[Self_Qty],T_SelfStock_Log[Part Name],$A48,T_SelfStock_Log[WeekIndex],104))</f>
        <v/>
      </c>
    </row>
    <row r="49">
      <c r="A49" s="19" t="inlineStr">
        <is>
          <t>CHEM-1770</t>
        </is>
      </c>
      <c r="B49" s="19">
        <f>IF(COUNTIFS(T_SelfStock_Log[Part Name],$A49,T_SelfStock_Log[WeekIndex],1)=0,"",SUMIFS(T_SelfStock_Log[Self_Qty],T_SelfStock_Log[Part Name],$A49,T_SelfStock_Log[WeekIndex],1))</f>
        <v/>
      </c>
      <c r="C49" s="19">
        <f>IF(COUNTIFS(T_SelfStock_Log[Part Name],$A49,T_SelfStock_Log[WeekIndex],2)=0,"",SUMIFS(T_SelfStock_Log[Self_Qty],T_SelfStock_Log[Part Name],$A49,T_SelfStock_Log[WeekIndex],2))</f>
        <v/>
      </c>
      <c r="D49" s="19">
        <f>IF(COUNTIFS(T_SelfStock_Log[Part Name],$A49,T_SelfStock_Log[WeekIndex],3)=0,"",SUMIFS(T_SelfStock_Log[Self_Qty],T_SelfStock_Log[Part Name],$A49,T_SelfStock_Log[WeekIndex],3))</f>
        <v/>
      </c>
      <c r="E49" s="19">
        <f>IF(COUNTIFS(T_SelfStock_Log[Part Name],$A49,T_SelfStock_Log[WeekIndex],4)=0,"",SUMIFS(T_SelfStock_Log[Self_Qty],T_SelfStock_Log[Part Name],$A49,T_SelfStock_Log[WeekIndex],4))</f>
        <v/>
      </c>
      <c r="F49" s="19">
        <f>IF(COUNTIFS(T_SelfStock_Log[Part Name],$A49,T_SelfStock_Log[WeekIndex],5)=0,"",SUMIFS(T_SelfStock_Log[Self_Qty],T_SelfStock_Log[Part Name],$A49,T_SelfStock_Log[WeekIndex],5))</f>
        <v/>
      </c>
      <c r="G49" s="19">
        <f>IF(COUNTIFS(T_SelfStock_Log[Part Name],$A49,T_SelfStock_Log[WeekIndex],6)=0,"",SUMIFS(T_SelfStock_Log[Self_Qty],T_SelfStock_Log[Part Name],$A49,T_SelfStock_Log[WeekIndex],6))</f>
        <v/>
      </c>
      <c r="H49" s="19">
        <f>IF(COUNTIFS(T_SelfStock_Log[Part Name],$A49,T_SelfStock_Log[WeekIndex],7)=0,"",SUMIFS(T_SelfStock_Log[Self_Qty],T_SelfStock_Log[Part Name],$A49,T_SelfStock_Log[WeekIndex],7))</f>
        <v/>
      </c>
      <c r="I49" s="19">
        <f>IF(COUNTIFS(T_SelfStock_Log[Part Name],$A49,T_SelfStock_Log[WeekIndex],8)=0,"",SUMIFS(T_SelfStock_Log[Self_Qty],T_SelfStock_Log[Part Name],$A49,T_SelfStock_Log[WeekIndex],8))</f>
        <v/>
      </c>
      <c r="J49" s="19">
        <f>IF(COUNTIFS(T_SelfStock_Log[Part Name],$A49,T_SelfStock_Log[WeekIndex],9)=0,"",SUMIFS(T_SelfStock_Log[Self_Qty],T_SelfStock_Log[Part Name],$A49,T_SelfStock_Log[WeekIndex],9))</f>
        <v/>
      </c>
      <c r="K49" s="19">
        <f>IF(COUNTIFS(T_SelfStock_Log[Part Name],$A49,T_SelfStock_Log[WeekIndex],10)=0,"",SUMIFS(T_SelfStock_Log[Self_Qty],T_SelfStock_Log[Part Name],$A49,T_SelfStock_Log[WeekIndex],10))</f>
        <v/>
      </c>
      <c r="L49" s="19">
        <f>IF(COUNTIFS(T_SelfStock_Log[Part Name],$A49,T_SelfStock_Log[WeekIndex],11)=0,"",SUMIFS(T_SelfStock_Log[Self_Qty],T_SelfStock_Log[Part Name],$A49,T_SelfStock_Log[WeekIndex],11))</f>
        <v/>
      </c>
      <c r="M49" s="19">
        <f>IF(COUNTIFS(T_SelfStock_Log[Part Name],$A49,T_SelfStock_Log[WeekIndex],12)=0,"",SUMIFS(T_SelfStock_Log[Self_Qty],T_SelfStock_Log[Part Name],$A49,T_SelfStock_Log[WeekIndex],12))</f>
        <v/>
      </c>
      <c r="N49" s="19">
        <f>IF(COUNTIFS(T_SelfStock_Log[Part Name],$A49,T_SelfStock_Log[WeekIndex],13)=0,"",SUMIFS(T_SelfStock_Log[Self_Qty],T_SelfStock_Log[Part Name],$A49,T_SelfStock_Log[WeekIndex],13))</f>
        <v/>
      </c>
      <c r="O49" s="19">
        <f>IF(COUNTIFS(T_SelfStock_Log[Part Name],$A49,T_SelfStock_Log[WeekIndex],14)=0,"",SUMIFS(T_SelfStock_Log[Self_Qty],T_SelfStock_Log[Part Name],$A49,T_SelfStock_Log[WeekIndex],14))</f>
        <v/>
      </c>
      <c r="P49" s="19">
        <f>IF(COUNTIFS(T_SelfStock_Log[Part Name],$A49,T_SelfStock_Log[WeekIndex],15)=0,"",SUMIFS(T_SelfStock_Log[Self_Qty],T_SelfStock_Log[Part Name],$A49,T_SelfStock_Log[WeekIndex],15))</f>
        <v/>
      </c>
      <c r="Q49" s="19">
        <f>IF(COUNTIFS(T_SelfStock_Log[Part Name],$A49,T_SelfStock_Log[WeekIndex],16)=0,"",SUMIFS(T_SelfStock_Log[Self_Qty],T_SelfStock_Log[Part Name],$A49,T_SelfStock_Log[WeekIndex],16))</f>
        <v/>
      </c>
      <c r="R49" s="19">
        <f>IF(COUNTIFS(T_SelfStock_Log[Part Name],$A49,T_SelfStock_Log[WeekIndex],17)=0,"",SUMIFS(T_SelfStock_Log[Self_Qty],T_SelfStock_Log[Part Name],$A49,T_SelfStock_Log[WeekIndex],17))</f>
        <v/>
      </c>
      <c r="S49" s="19">
        <f>IF(COUNTIFS(T_SelfStock_Log[Part Name],$A49,T_SelfStock_Log[WeekIndex],18)=0,"",SUMIFS(T_SelfStock_Log[Self_Qty],T_SelfStock_Log[Part Name],$A49,T_SelfStock_Log[WeekIndex],18))</f>
        <v/>
      </c>
      <c r="T49" s="19">
        <f>IF(COUNTIFS(T_SelfStock_Log[Part Name],$A49,T_SelfStock_Log[WeekIndex],19)=0,"",SUMIFS(T_SelfStock_Log[Self_Qty],T_SelfStock_Log[Part Name],$A49,T_SelfStock_Log[WeekIndex],19))</f>
        <v/>
      </c>
      <c r="U49" s="19">
        <f>IF(COUNTIFS(T_SelfStock_Log[Part Name],$A49,T_SelfStock_Log[WeekIndex],20)=0,"",SUMIFS(T_SelfStock_Log[Self_Qty],T_SelfStock_Log[Part Name],$A49,T_SelfStock_Log[WeekIndex],20))</f>
        <v/>
      </c>
      <c r="V49" s="19">
        <f>IF(COUNTIFS(T_SelfStock_Log[Part Name],$A49,T_SelfStock_Log[WeekIndex],21)=0,"",SUMIFS(T_SelfStock_Log[Self_Qty],T_SelfStock_Log[Part Name],$A49,T_SelfStock_Log[WeekIndex],21))</f>
        <v/>
      </c>
      <c r="W49" s="19">
        <f>IF(COUNTIFS(T_SelfStock_Log[Part Name],$A49,T_SelfStock_Log[WeekIndex],22)=0,"",SUMIFS(T_SelfStock_Log[Self_Qty],T_SelfStock_Log[Part Name],$A49,T_SelfStock_Log[WeekIndex],22))</f>
        <v/>
      </c>
      <c r="X49" s="19">
        <f>IF(COUNTIFS(T_SelfStock_Log[Part Name],$A49,T_SelfStock_Log[WeekIndex],23)=0,"",SUMIFS(T_SelfStock_Log[Self_Qty],T_SelfStock_Log[Part Name],$A49,T_SelfStock_Log[WeekIndex],23))</f>
        <v/>
      </c>
      <c r="Y49" s="19">
        <f>IF(COUNTIFS(T_SelfStock_Log[Part Name],$A49,T_SelfStock_Log[WeekIndex],24)=0,"",SUMIFS(T_SelfStock_Log[Self_Qty],T_SelfStock_Log[Part Name],$A49,T_SelfStock_Log[WeekIndex],24))</f>
        <v/>
      </c>
      <c r="Z49" s="19">
        <f>IF(COUNTIFS(T_SelfStock_Log[Part Name],$A49,T_SelfStock_Log[WeekIndex],25)=0,"",SUMIFS(T_SelfStock_Log[Self_Qty],T_SelfStock_Log[Part Name],$A49,T_SelfStock_Log[WeekIndex],25))</f>
        <v/>
      </c>
      <c r="AA49" s="19">
        <f>IF(COUNTIFS(T_SelfStock_Log[Part Name],$A49,T_SelfStock_Log[WeekIndex],26)=0,"",SUMIFS(T_SelfStock_Log[Self_Qty],T_SelfStock_Log[Part Name],$A49,T_SelfStock_Log[WeekIndex],26))</f>
        <v/>
      </c>
      <c r="AB49" s="19">
        <f>IF(COUNTIFS(T_SelfStock_Log[Part Name],$A49,T_SelfStock_Log[WeekIndex],27)=0,"",SUMIFS(T_SelfStock_Log[Self_Qty],T_SelfStock_Log[Part Name],$A49,T_SelfStock_Log[WeekIndex],27))</f>
        <v/>
      </c>
      <c r="AC49" s="19">
        <f>IF(COUNTIFS(T_SelfStock_Log[Part Name],$A49,T_SelfStock_Log[WeekIndex],28)=0,"",SUMIFS(T_SelfStock_Log[Self_Qty],T_SelfStock_Log[Part Name],$A49,T_SelfStock_Log[WeekIndex],28))</f>
        <v/>
      </c>
      <c r="AD49" s="19">
        <f>IF(COUNTIFS(T_SelfStock_Log[Part Name],$A49,T_SelfStock_Log[WeekIndex],29)=0,"",SUMIFS(T_SelfStock_Log[Self_Qty],T_SelfStock_Log[Part Name],$A49,T_SelfStock_Log[WeekIndex],29))</f>
        <v/>
      </c>
      <c r="AE49" s="19">
        <f>IF(COUNTIFS(T_SelfStock_Log[Part Name],$A49,T_SelfStock_Log[WeekIndex],30)=0,"",SUMIFS(T_SelfStock_Log[Self_Qty],T_SelfStock_Log[Part Name],$A49,T_SelfStock_Log[WeekIndex],30))</f>
        <v/>
      </c>
      <c r="AF49" s="19">
        <f>IF(COUNTIFS(T_SelfStock_Log[Part Name],$A49,T_SelfStock_Log[WeekIndex],31)=0,"",SUMIFS(T_SelfStock_Log[Self_Qty],T_SelfStock_Log[Part Name],$A49,T_SelfStock_Log[WeekIndex],31))</f>
        <v/>
      </c>
      <c r="AG49" s="19">
        <f>IF(COUNTIFS(T_SelfStock_Log[Part Name],$A49,T_SelfStock_Log[WeekIndex],32)=0,"",SUMIFS(T_SelfStock_Log[Self_Qty],T_SelfStock_Log[Part Name],$A49,T_SelfStock_Log[WeekIndex],32))</f>
        <v/>
      </c>
      <c r="AH49" s="19">
        <f>IF(COUNTIFS(T_SelfStock_Log[Part Name],$A49,T_SelfStock_Log[WeekIndex],33)=0,"",SUMIFS(T_SelfStock_Log[Self_Qty],T_SelfStock_Log[Part Name],$A49,T_SelfStock_Log[WeekIndex],33))</f>
        <v/>
      </c>
      <c r="AI49" s="19">
        <f>IF(COUNTIFS(T_SelfStock_Log[Part Name],$A49,T_SelfStock_Log[WeekIndex],34)=0,"",SUMIFS(T_SelfStock_Log[Self_Qty],T_SelfStock_Log[Part Name],$A49,T_SelfStock_Log[WeekIndex],34))</f>
        <v/>
      </c>
      <c r="AJ49" s="19">
        <f>IF(COUNTIFS(T_SelfStock_Log[Part Name],$A49,T_SelfStock_Log[WeekIndex],35)=0,"",SUMIFS(T_SelfStock_Log[Self_Qty],T_SelfStock_Log[Part Name],$A49,T_SelfStock_Log[WeekIndex],35))</f>
        <v/>
      </c>
      <c r="AK49" s="19">
        <f>IF(COUNTIFS(T_SelfStock_Log[Part Name],$A49,T_SelfStock_Log[WeekIndex],36)=0,"",SUMIFS(T_SelfStock_Log[Self_Qty],T_SelfStock_Log[Part Name],$A49,T_SelfStock_Log[WeekIndex],36))</f>
        <v/>
      </c>
      <c r="AL49" s="19">
        <f>IF(COUNTIFS(T_SelfStock_Log[Part Name],$A49,T_SelfStock_Log[WeekIndex],37)=0,"",SUMIFS(T_SelfStock_Log[Self_Qty],T_SelfStock_Log[Part Name],$A49,T_SelfStock_Log[WeekIndex],37))</f>
        <v/>
      </c>
      <c r="AM49" s="19">
        <f>IF(COUNTIFS(T_SelfStock_Log[Part Name],$A49,T_SelfStock_Log[WeekIndex],38)=0,"",SUMIFS(T_SelfStock_Log[Self_Qty],T_SelfStock_Log[Part Name],$A49,T_SelfStock_Log[WeekIndex],38))</f>
        <v/>
      </c>
      <c r="AN49" s="19">
        <f>IF(COUNTIFS(T_SelfStock_Log[Part Name],$A49,T_SelfStock_Log[WeekIndex],39)=0,"",SUMIFS(T_SelfStock_Log[Self_Qty],T_SelfStock_Log[Part Name],$A49,T_SelfStock_Log[WeekIndex],39))</f>
        <v/>
      </c>
      <c r="AO49" s="19">
        <f>IF(COUNTIFS(T_SelfStock_Log[Part Name],$A49,T_SelfStock_Log[WeekIndex],40)=0,"",SUMIFS(T_SelfStock_Log[Self_Qty],T_SelfStock_Log[Part Name],$A49,T_SelfStock_Log[WeekIndex],40))</f>
        <v/>
      </c>
      <c r="AP49" s="19">
        <f>IF(COUNTIFS(T_SelfStock_Log[Part Name],$A49,T_SelfStock_Log[WeekIndex],41)=0,"",SUMIFS(T_SelfStock_Log[Self_Qty],T_SelfStock_Log[Part Name],$A49,T_SelfStock_Log[WeekIndex],41))</f>
        <v/>
      </c>
      <c r="AQ49" s="19">
        <f>IF(COUNTIFS(T_SelfStock_Log[Part Name],$A49,T_SelfStock_Log[WeekIndex],42)=0,"",SUMIFS(T_SelfStock_Log[Self_Qty],T_SelfStock_Log[Part Name],$A49,T_SelfStock_Log[WeekIndex],42))</f>
        <v/>
      </c>
      <c r="AR49" s="19">
        <f>IF(COUNTIFS(T_SelfStock_Log[Part Name],$A49,T_SelfStock_Log[WeekIndex],43)=0,"",SUMIFS(T_SelfStock_Log[Self_Qty],T_SelfStock_Log[Part Name],$A49,T_SelfStock_Log[WeekIndex],43))</f>
        <v/>
      </c>
      <c r="AS49" s="19">
        <f>IF(COUNTIFS(T_SelfStock_Log[Part Name],$A49,T_SelfStock_Log[WeekIndex],44)=0,"",SUMIFS(T_SelfStock_Log[Self_Qty],T_SelfStock_Log[Part Name],$A49,T_SelfStock_Log[WeekIndex],44))</f>
        <v/>
      </c>
      <c r="AT49" s="19">
        <f>IF(COUNTIFS(T_SelfStock_Log[Part Name],$A49,T_SelfStock_Log[WeekIndex],45)=0,"",SUMIFS(T_SelfStock_Log[Self_Qty],T_SelfStock_Log[Part Name],$A49,T_SelfStock_Log[WeekIndex],45))</f>
        <v/>
      </c>
      <c r="AU49" s="19">
        <f>IF(COUNTIFS(T_SelfStock_Log[Part Name],$A49,T_SelfStock_Log[WeekIndex],46)=0,"",SUMIFS(T_SelfStock_Log[Self_Qty],T_SelfStock_Log[Part Name],$A49,T_SelfStock_Log[WeekIndex],46))</f>
        <v/>
      </c>
      <c r="AV49" s="19">
        <f>IF(COUNTIFS(T_SelfStock_Log[Part Name],$A49,T_SelfStock_Log[WeekIndex],47)=0,"",SUMIFS(T_SelfStock_Log[Self_Qty],T_SelfStock_Log[Part Name],$A49,T_SelfStock_Log[WeekIndex],47))</f>
        <v/>
      </c>
      <c r="AW49" s="19">
        <f>IF(COUNTIFS(T_SelfStock_Log[Part Name],$A49,T_SelfStock_Log[WeekIndex],48)=0,"",SUMIFS(T_SelfStock_Log[Self_Qty],T_SelfStock_Log[Part Name],$A49,T_SelfStock_Log[WeekIndex],48))</f>
        <v/>
      </c>
      <c r="AX49" s="19">
        <f>IF(COUNTIFS(T_SelfStock_Log[Part Name],$A49,T_SelfStock_Log[WeekIndex],49)=0,"",SUMIFS(T_SelfStock_Log[Self_Qty],T_SelfStock_Log[Part Name],$A49,T_SelfStock_Log[WeekIndex],49))</f>
        <v/>
      </c>
      <c r="AY49" s="19">
        <f>IF(COUNTIFS(T_SelfStock_Log[Part Name],$A49,T_SelfStock_Log[WeekIndex],50)=0,"",SUMIFS(T_SelfStock_Log[Self_Qty],T_SelfStock_Log[Part Name],$A49,T_SelfStock_Log[WeekIndex],50))</f>
        <v/>
      </c>
      <c r="AZ49" s="19">
        <f>IF(COUNTIFS(T_SelfStock_Log[Part Name],$A49,T_SelfStock_Log[WeekIndex],51)=0,"",SUMIFS(T_SelfStock_Log[Self_Qty],T_SelfStock_Log[Part Name],$A49,T_SelfStock_Log[WeekIndex],51))</f>
        <v/>
      </c>
      <c r="BA49" s="19">
        <f>IF(COUNTIFS(T_SelfStock_Log[Part Name],$A49,T_SelfStock_Log[WeekIndex],52)=0,"",SUMIFS(T_SelfStock_Log[Self_Qty],T_SelfStock_Log[Part Name],$A49,T_SelfStock_Log[WeekIndex],52))</f>
        <v/>
      </c>
      <c r="BB49" s="19">
        <f>IF(COUNTIFS(T_SelfStock_Log[Part Name],$A49,T_SelfStock_Log[WeekIndex],53)=0,"",SUMIFS(T_SelfStock_Log[Self_Qty],T_SelfStock_Log[Part Name],$A49,T_SelfStock_Log[WeekIndex],53))</f>
        <v/>
      </c>
      <c r="BC49" s="19">
        <f>IF(COUNTIFS(T_SelfStock_Log[Part Name],$A49,T_SelfStock_Log[WeekIndex],54)=0,"",SUMIFS(T_SelfStock_Log[Self_Qty],T_SelfStock_Log[Part Name],$A49,T_SelfStock_Log[WeekIndex],54))</f>
        <v/>
      </c>
      <c r="BD49" s="19">
        <f>IF(COUNTIFS(T_SelfStock_Log[Part Name],$A49,T_SelfStock_Log[WeekIndex],55)=0,"",SUMIFS(T_SelfStock_Log[Self_Qty],T_SelfStock_Log[Part Name],$A49,T_SelfStock_Log[WeekIndex],55))</f>
        <v/>
      </c>
      <c r="BE49" s="19">
        <f>IF(COUNTIFS(T_SelfStock_Log[Part Name],$A49,T_SelfStock_Log[WeekIndex],56)=0,"",SUMIFS(T_SelfStock_Log[Self_Qty],T_SelfStock_Log[Part Name],$A49,T_SelfStock_Log[WeekIndex],56))</f>
        <v/>
      </c>
      <c r="BF49" s="19">
        <f>IF(COUNTIFS(T_SelfStock_Log[Part Name],$A49,T_SelfStock_Log[WeekIndex],57)=0,"",SUMIFS(T_SelfStock_Log[Self_Qty],T_SelfStock_Log[Part Name],$A49,T_SelfStock_Log[WeekIndex],57))</f>
        <v/>
      </c>
      <c r="BG49" s="19">
        <f>IF(COUNTIFS(T_SelfStock_Log[Part Name],$A49,T_SelfStock_Log[WeekIndex],58)=0,"",SUMIFS(T_SelfStock_Log[Self_Qty],T_SelfStock_Log[Part Name],$A49,T_SelfStock_Log[WeekIndex],58))</f>
        <v/>
      </c>
      <c r="BH49" s="19">
        <f>IF(COUNTIFS(T_SelfStock_Log[Part Name],$A49,T_SelfStock_Log[WeekIndex],59)=0,"",SUMIFS(T_SelfStock_Log[Self_Qty],T_SelfStock_Log[Part Name],$A49,T_SelfStock_Log[WeekIndex],59))</f>
        <v/>
      </c>
      <c r="BI49" s="19">
        <f>IF(COUNTIFS(T_SelfStock_Log[Part Name],$A49,T_SelfStock_Log[WeekIndex],60)=0,"",SUMIFS(T_SelfStock_Log[Self_Qty],T_SelfStock_Log[Part Name],$A49,T_SelfStock_Log[WeekIndex],60))</f>
        <v/>
      </c>
      <c r="BJ49" s="19">
        <f>IF(COUNTIFS(T_SelfStock_Log[Part Name],$A49,T_SelfStock_Log[WeekIndex],61)=0,"",SUMIFS(T_SelfStock_Log[Self_Qty],T_SelfStock_Log[Part Name],$A49,T_SelfStock_Log[WeekIndex],61))</f>
        <v/>
      </c>
      <c r="BK49" s="19">
        <f>IF(COUNTIFS(T_SelfStock_Log[Part Name],$A49,T_SelfStock_Log[WeekIndex],62)=0,"",SUMIFS(T_SelfStock_Log[Self_Qty],T_SelfStock_Log[Part Name],$A49,T_SelfStock_Log[WeekIndex],62))</f>
        <v/>
      </c>
      <c r="BL49" s="19">
        <f>IF(COUNTIFS(T_SelfStock_Log[Part Name],$A49,T_SelfStock_Log[WeekIndex],63)=0,"",SUMIFS(T_SelfStock_Log[Self_Qty],T_SelfStock_Log[Part Name],$A49,T_SelfStock_Log[WeekIndex],63))</f>
        <v/>
      </c>
      <c r="BM49" s="19">
        <f>IF(COUNTIFS(T_SelfStock_Log[Part Name],$A49,T_SelfStock_Log[WeekIndex],64)=0,"",SUMIFS(T_SelfStock_Log[Self_Qty],T_SelfStock_Log[Part Name],$A49,T_SelfStock_Log[WeekIndex],64))</f>
        <v/>
      </c>
      <c r="BN49" s="19">
        <f>IF(COUNTIFS(T_SelfStock_Log[Part Name],$A49,T_SelfStock_Log[WeekIndex],65)=0,"",SUMIFS(T_SelfStock_Log[Self_Qty],T_SelfStock_Log[Part Name],$A49,T_SelfStock_Log[WeekIndex],65))</f>
        <v/>
      </c>
      <c r="BO49" s="19">
        <f>IF(COUNTIFS(T_SelfStock_Log[Part Name],$A49,T_SelfStock_Log[WeekIndex],66)=0,"",SUMIFS(T_SelfStock_Log[Self_Qty],T_SelfStock_Log[Part Name],$A49,T_SelfStock_Log[WeekIndex],66))</f>
        <v/>
      </c>
      <c r="BP49" s="19">
        <f>IF(COUNTIFS(T_SelfStock_Log[Part Name],$A49,T_SelfStock_Log[WeekIndex],67)=0,"",SUMIFS(T_SelfStock_Log[Self_Qty],T_SelfStock_Log[Part Name],$A49,T_SelfStock_Log[WeekIndex],67))</f>
        <v/>
      </c>
      <c r="BQ49" s="19">
        <f>IF(COUNTIFS(T_SelfStock_Log[Part Name],$A49,T_SelfStock_Log[WeekIndex],68)=0,"",SUMIFS(T_SelfStock_Log[Self_Qty],T_SelfStock_Log[Part Name],$A49,T_SelfStock_Log[WeekIndex],68))</f>
        <v/>
      </c>
      <c r="BR49" s="19">
        <f>IF(COUNTIFS(T_SelfStock_Log[Part Name],$A49,T_SelfStock_Log[WeekIndex],69)=0,"",SUMIFS(T_SelfStock_Log[Self_Qty],T_SelfStock_Log[Part Name],$A49,T_SelfStock_Log[WeekIndex],69))</f>
        <v/>
      </c>
      <c r="BS49" s="19">
        <f>IF(COUNTIFS(T_SelfStock_Log[Part Name],$A49,T_SelfStock_Log[WeekIndex],70)=0,"",SUMIFS(T_SelfStock_Log[Self_Qty],T_SelfStock_Log[Part Name],$A49,T_SelfStock_Log[WeekIndex],70))</f>
        <v/>
      </c>
      <c r="BT49" s="19">
        <f>IF(COUNTIFS(T_SelfStock_Log[Part Name],$A49,T_SelfStock_Log[WeekIndex],71)=0,"",SUMIFS(T_SelfStock_Log[Self_Qty],T_SelfStock_Log[Part Name],$A49,T_SelfStock_Log[WeekIndex],71))</f>
        <v/>
      </c>
      <c r="BU49" s="19">
        <f>IF(COUNTIFS(T_SelfStock_Log[Part Name],$A49,T_SelfStock_Log[WeekIndex],72)=0,"",SUMIFS(T_SelfStock_Log[Self_Qty],T_SelfStock_Log[Part Name],$A49,T_SelfStock_Log[WeekIndex],72))</f>
        <v/>
      </c>
      <c r="BV49" s="19">
        <f>IF(COUNTIFS(T_SelfStock_Log[Part Name],$A49,T_SelfStock_Log[WeekIndex],73)=0,"",SUMIFS(T_SelfStock_Log[Self_Qty],T_SelfStock_Log[Part Name],$A49,T_SelfStock_Log[WeekIndex],73))</f>
        <v/>
      </c>
      <c r="BW49" s="19">
        <f>IF(COUNTIFS(T_SelfStock_Log[Part Name],$A49,T_SelfStock_Log[WeekIndex],74)=0,"",SUMIFS(T_SelfStock_Log[Self_Qty],T_SelfStock_Log[Part Name],$A49,T_SelfStock_Log[WeekIndex],74))</f>
        <v/>
      </c>
      <c r="BX49" s="19">
        <f>IF(COUNTIFS(T_SelfStock_Log[Part Name],$A49,T_SelfStock_Log[WeekIndex],75)=0,"",SUMIFS(T_SelfStock_Log[Self_Qty],T_SelfStock_Log[Part Name],$A49,T_SelfStock_Log[WeekIndex],75))</f>
        <v/>
      </c>
      <c r="BY49" s="19">
        <f>IF(COUNTIFS(T_SelfStock_Log[Part Name],$A49,T_SelfStock_Log[WeekIndex],76)=0,"",SUMIFS(T_SelfStock_Log[Self_Qty],T_SelfStock_Log[Part Name],$A49,T_SelfStock_Log[WeekIndex],76))</f>
        <v/>
      </c>
      <c r="BZ49" s="19">
        <f>IF(COUNTIFS(T_SelfStock_Log[Part Name],$A49,T_SelfStock_Log[WeekIndex],77)=0,"",SUMIFS(T_SelfStock_Log[Self_Qty],T_SelfStock_Log[Part Name],$A49,T_SelfStock_Log[WeekIndex],77))</f>
        <v/>
      </c>
      <c r="CA49" s="19">
        <f>IF(COUNTIFS(T_SelfStock_Log[Part Name],$A49,T_SelfStock_Log[WeekIndex],78)=0,"",SUMIFS(T_SelfStock_Log[Self_Qty],T_SelfStock_Log[Part Name],$A49,T_SelfStock_Log[WeekIndex],78))</f>
        <v/>
      </c>
      <c r="CB49" s="19">
        <f>IF(COUNTIFS(T_SelfStock_Log[Part Name],$A49,T_SelfStock_Log[WeekIndex],79)=0,"",SUMIFS(T_SelfStock_Log[Self_Qty],T_SelfStock_Log[Part Name],$A49,T_SelfStock_Log[WeekIndex],79))</f>
        <v/>
      </c>
      <c r="CC49" s="19">
        <f>IF(COUNTIFS(T_SelfStock_Log[Part Name],$A49,T_SelfStock_Log[WeekIndex],80)=0,"",SUMIFS(T_SelfStock_Log[Self_Qty],T_SelfStock_Log[Part Name],$A49,T_SelfStock_Log[WeekIndex],80))</f>
        <v/>
      </c>
      <c r="CD49" s="19">
        <f>IF(COUNTIFS(T_SelfStock_Log[Part Name],$A49,T_SelfStock_Log[WeekIndex],81)=0,"",SUMIFS(T_SelfStock_Log[Self_Qty],T_SelfStock_Log[Part Name],$A49,T_SelfStock_Log[WeekIndex],81))</f>
        <v/>
      </c>
      <c r="CE49" s="19">
        <f>IF(COUNTIFS(T_SelfStock_Log[Part Name],$A49,T_SelfStock_Log[WeekIndex],82)=0,"",SUMIFS(T_SelfStock_Log[Self_Qty],T_SelfStock_Log[Part Name],$A49,T_SelfStock_Log[WeekIndex],82))</f>
        <v/>
      </c>
      <c r="CF49" s="19">
        <f>IF(COUNTIFS(T_SelfStock_Log[Part Name],$A49,T_SelfStock_Log[WeekIndex],83)=0,"",SUMIFS(T_SelfStock_Log[Self_Qty],T_SelfStock_Log[Part Name],$A49,T_SelfStock_Log[WeekIndex],83))</f>
        <v/>
      </c>
      <c r="CG49" s="19">
        <f>IF(COUNTIFS(T_SelfStock_Log[Part Name],$A49,T_SelfStock_Log[WeekIndex],84)=0,"",SUMIFS(T_SelfStock_Log[Self_Qty],T_SelfStock_Log[Part Name],$A49,T_SelfStock_Log[WeekIndex],84))</f>
        <v/>
      </c>
      <c r="CH49" s="19">
        <f>IF(COUNTIFS(T_SelfStock_Log[Part Name],$A49,T_SelfStock_Log[WeekIndex],85)=0,"",SUMIFS(T_SelfStock_Log[Self_Qty],T_SelfStock_Log[Part Name],$A49,T_SelfStock_Log[WeekIndex],85))</f>
        <v/>
      </c>
      <c r="CI49" s="19">
        <f>IF(COUNTIFS(T_SelfStock_Log[Part Name],$A49,T_SelfStock_Log[WeekIndex],86)=0,"",SUMIFS(T_SelfStock_Log[Self_Qty],T_SelfStock_Log[Part Name],$A49,T_SelfStock_Log[WeekIndex],86))</f>
        <v/>
      </c>
      <c r="CJ49" s="19">
        <f>IF(COUNTIFS(T_SelfStock_Log[Part Name],$A49,T_SelfStock_Log[WeekIndex],87)=0,"",SUMIFS(T_SelfStock_Log[Self_Qty],T_SelfStock_Log[Part Name],$A49,T_SelfStock_Log[WeekIndex],87))</f>
        <v/>
      </c>
      <c r="CK49" s="19">
        <f>IF(COUNTIFS(T_SelfStock_Log[Part Name],$A49,T_SelfStock_Log[WeekIndex],88)=0,"",SUMIFS(T_SelfStock_Log[Self_Qty],T_SelfStock_Log[Part Name],$A49,T_SelfStock_Log[WeekIndex],88))</f>
        <v/>
      </c>
      <c r="CL49" s="19">
        <f>IF(COUNTIFS(T_SelfStock_Log[Part Name],$A49,T_SelfStock_Log[WeekIndex],89)=0,"",SUMIFS(T_SelfStock_Log[Self_Qty],T_SelfStock_Log[Part Name],$A49,T_SelfStock_Log[WeekIndex],89))</f>
        <v/>
      </c>
      <c r="CM49" s="19">
        <f>IF(COUNTIFS(T_SelfStock_Log[Part Name],$A49,T_SelfStock_Log[WeekIndex],90)=0,"",SUMIFS(T_SelfStock_Log[Self_Qty],T_SelfStock_Log[Part Name],$A49,T_SelfStock_Log[WeekIndex],90))</f>
        <v/>
      </c>
      <c r="CN49" s="19">
        <f>IF(COUNTIFS(T_SelfStock_Log[Part Name],$A49,T_SelfStock_Log[WeekIndex],91)=0,"",SUMIFS(T_SelfStock_Log[Self_Qty],T_SelfStock_Log[Part Name],$A49,T_SelfStock_Log[WeekIndex],91))</f>
        <v/>
      </c>
      <c r="CO49" s="19">
        <f>IF(COUNTIFS(T_SelfStock_Log[Part Name],$A49,T_SelfStock_Log[WeekIndex],92)=0,"",SUMIFS(T_SelfStock_Log[Self_Qty],T_SelfStock_Log[Part Name],$A49,T_SelfStock_Log[WeekIndex],92))</f>
        <v/>
      </c>
      <c r="CP49" s="19">
        <f>IF(COUNTIFS(T_SelfStock_Log[Part Name],$A49,T_SelfStock_Log[WeekIndex],93)=0,"",SUMIFS(T_SelfStock_Log[Self_Qty],T_SelfStock_Log[Part Name],$A49,T_SelfStock_Log[WeekIndex],93))</f>
        <v/>
      </c>
      <c r="CQ49" s="19">
        <f>IF(COUNTIFS(T_SelfStock_Log[Part Name],$A49,T_SelfStock_Log[WeekIndex],94)=0,"",SUMIFS(T_SelfStock_Log[Self_Qty],T_SelfStock_Log[Part Name],$A49,T_SelfStock_Log[WeekIndex],94))</f>
        <v/>
      </c>
      <c r="CR49" s="19">
        <f>IF(COUNTIFS(T_SelfStock_Log[Part Name],$A49,T_SelfStock_Log[WeekIndex],95)=0,"",SUMIFS(T_SelfStock_Log[Self_Qty],T_SelfStock_Log[Part Name],$A49,T_SelfStock_Log[WeekIndex],95))</f>
        <v/>
      </c>
      <c r="CS49" s="19">
        <f>IF(COUNTIFS(T_SelfStock_Log[Part Name],$A49,T_SelfStock_Log[WeekIndex],96)=0,"",SUMIFS(T_SelfStock_Log[Self_Qty],T_SelfStock_Log[Part Name],$A49,T_SelfStock_Log[WeekIndex],96))</f>
        <v/>
      </c>
      <c r="CT49" s="19">
        <f>IF(COUNTIFS(T_SelfStock_Log[Part Name],$A49,T_SelfStock_Log[WeekIndex],97)=0,"",SUMIFS(T_SelfStock_Log[Self_Qty],T_SelfStock_Log[Part Name],$A49,T_SelfStock_Log[WeekIndex],97))</f>
        <v/>
      </c>
      <c r="CU49" s="19">
        <f>IF(COUNTIFS(T_SelfStock_Log[Part Name],$A49,T_SelfStock_Log[WeekIndex],98)=0,"",SUMIFS(T_SelfStock_Log[Self_Qty],T_SelfStock_Log[Part Name],$A49,T_SelfStock_Log[WeekIndex],98))</f>
        <v/>
      </c>
      <c r="CV49" s="19">
        <f>IF(COUNTIFS(T_SelfStock_Log[Part Name],$A49,T_SelfStock_Log[WeekIndex],99)=0,"",SUMIFS(T_SelfStock_Log[Self_Qty],T_SelfStock_Log[Part Name],$A49,T_SelfStock_Log[WeekIndex],99))</f>
        <v/>
      </c>
      <c r="CW49" s="19">
        <f>IF(COUNTIFS(T_SelfStock_Log[Part Name],$A49,T_SelfStock_Log[WeekIndex],100)=0,"",SUMIFS(T_SelfStock_Log[Self_Qty],T_SelfStock_Log[Part Name],$A49,T_SelfStock_Log[WeekIndex],100))</f>
        <v/>
      </c>
      <c r="CX49" s="19">
        <f>IF(COUNTIFS(T_SelfStock_Log[Part Name],$A49,T_SelfStock_Log[WeekIndex],101)=0,"",SUMIFS(T_SelfStock_Log[Self_Qty],T_SelfStock_Log[Part Name],$A49,T_SelfStock_Log[WeekIndex],101))</f>
        <v/>
      </c>
      <c r="CY49" s="19">
        <f>IF(COUNTIFS(T_SelfStock_Log[Part Name],$A49,T_SelfStock_Log[WeekIndex],102)=0,"",SUMIFS(T_SelfStock_Log[Self_Qty],T_SelfStock_Log[Part Name],$A49,T_SelfStock_Log[WeekIndex],102))</f>
        <v/>
      </c>
      <c r="CZ49" s="19">
        <f>IF(COUNTIFS(T_SelfStock_Log[Part Name],$A49,T_SelfStock_Log[WeekIndex],103)=0,"",SUMIFS(T_SelfStock_Log[Self_Qty],T_SelfStock_Log[Part Name],$A49,T_SelfStock_Log[WeekIndex],103))</f>
        <v/>
      </c>
      <c r="DA49" s="19">
        <f>IF(COUNTIFS(T_SelfStock_Log[Part Name],$A49,T_SelfStock_Log[WeekIndex],104)=0,"",SUMIFS(T_SelfStock_Log[Self_Qty],T_SelfStock_Log[Part Name],$A49,T_SelfStock_Log[WeekIndex],104))</f>
        <v/>
      </c>
    </row>
    <row r="50">
      <c r="A50" s="17" t="inlineStr">
        <is>
          <t>CHEM-1430</t>
        </is>
      </c>
      <c r="B50" s="17">
        <f>IF(COUNTIFS(T_SelfStock_Log[Part Name],$A50,T_SelfStock_Log[WeekIndex],1)=0,"",SUMIFS(T_SelfStock_Log[Self_Qty],T_SelfStock_Log[Part Name],$A50,T_SelfStock_Log[WeekIndex],1))</f>
        <v/>
      </c>
      <c r="C50" s="17">
        <f>IF(COUNTIFS(T_SelfStock_Log[Part Name],$A50,T_SelfStock_Log[WeekIndex],2)=0,"",SUMIFS(T_SelfStock_Log[Self_Qty],T_SelfStock_Log[Part Name],$A50,T_SelfStock_Log[WeekIndex],2))</f>
        <v/>
      </c>
      <c r="D50" s="17">
        <f>IF(COUNTIFS(T_SelfStock_Log[Part Name],$A50,T_SelfStock_Log[WeekIndex],3)=0,"",SUMIFS(T_SelfStock_Log[Self_Qty],T_SelfStock_Log[Part Name],$A50,T_SelfStock_Log[WeekIndex],3))</f>
        <v/>
      </c>
      <c r="E50" s="17">
        <f>IF(COUNTIFS(T_SelfStock_Log[Part Name],$A50,T_SelfStock_Log[WeekIndex],4)=0,"",SUMIFS(T_SelfStock_Log[Self_Qty],T_SelfStock_Log[Part Name],$A50,T_SelfStock_Log[WeekIndex],4))</f>
        <v/>
      </c>
      <c r="F50" s="17">
        <f>IF(COUNTIFS(T_SelfStock_Log[Part Name],$A50,T_SelfStock_Log[WeekIndex],5)=0,"",SUMIFS(T_SelfStock_Log[Self_Qty],T_SelfStock_Log[Part Name],$A50,T_SelfStock_Log[WeekIndex],5))</f>
        <v/>
      </c>
      <c r="G50" s="17">
        <f>IF(COUNTIFS(T_SelfStock_Log[Part Name],$A50,T_SelfStock_Log[WeekIndex],6)=0,"",SUMIFS(T_SelfStock_Log[Self_Qty],T_SelfStock_Log[Part Name],$A50,T_SelfStock_Log[WeekIndex],6))</f>
        <v/>
      </c>
      <c r="H50" s="17">
        <f>IF(COUNTIFS(T_SelfStock_Log[Part Name],$A50,T_SelfStock_Log[WeekIndex],7)=0,"",SUMIFS(T_SelfStock_Log[Self_Qty],T_SelfStock_Log[Part Name],$A50,T_SelfStock_Log[WeekIndex],7))</f>
        <v/>
      </c>
      <c r="I50" s="17">
        <f>IF(COUNTIFS(T_SelfStock_Log[Part Name],$A50,T_SelfStock_Log[WeekIndex],8)=0,"",SUMIFS(T_SelfStock_Log[Self_Qty],T_SelfStock_Log[Part Name],$A50,T_SelfStock_Log[WeekIndex],8))</f>
        <v/>
      </c>
      <c r="J50" s="17">
        <f>IF(COUNTIFS(T_SelfStock_Log[Part Name],$A50,T_SelfStock_Log[WeekIndex],9)=0,"",SUMIFS(T_SelfStock_Log[Self_Qty],T_SelfStock_Log[Part Name],$A50,T_SelfStock_Log[WeekIndex],9))</f>
        <v/>
      </c>
      <c r="K50" s="17">
        <f>IF(COUNTIFS(T_SelfStock_Log[Part Name],$A50,T_SelfStock_Log[WeekIndex],10)=0,"",SUMIFS(T_SelfStock_Log[Self_Qty],T_SelfStock_Log[Part Name],$A50,T_SelfStock_Log[WeekIndex],10))</f>
        <v/>
      </c>
      <c r="L50" s="17">
        <f>IF(COUNTIFS(T_SelfStock_Log[Part Name],$A50,T_SelfStock_Log[WeekIndex],11)=0,"",SUMIFS(T_SelfStock_Log[Self_Qty],T_SelfStock_Log[Part Name],$A50,T_SelfStock_Log[WeekIndex],11))</f>
        <v/>
      </c>
      <c r="M50" s="17">
        <f>IF(COUNTIFS(T_SelfStock_Log[Part Name],$A50,T_SelfStock_Log[WeekIndex],12)=0,"",SUMIFS(T_SelfStock_Log[Self_Qty],T_SelfStock_Log[Part Name],$A50,T_SelfStock_Log[WeekIndex],12))</f>
        <v/>
      </c>
      <c r="N50" s="17">
        <f>IF(COUNTIFS(T_SelfStock_Log[Part Name],$A50,T_SelfStock_Log[WeekIndex],13)=0,"",SUMIFS(T_SelfStock_Log[Self_Qty],T_SelfStock_Log[Part Name],$A50,T_SelfStock_Log[WeekIndex],13))</f>
        <v/>
      </c>
      <c r="O50" s="17">
        <f>IF(COUNTIFS(T_SelfStock_Log[Part Name],$A50,T_SelfStock_Log[WeekIndex],14)=0,"",SUMIFS(T_SelfStock_Log[Self_Qty],T_SelfStock_Log[Part Name],$A50,T_SelfStock_Log[WeekIndex],14))</f>
        <v/>
      </c>
      <c r="P50" s="17">
        <f>IF(COUNTIFS(T_SelfStock_Log[Part Name],$A50,T_SelfStock_Log[WeekIndex],15)=0,"",SUMIFS(T_SelfStock_Log[Self_Qty],T_SelfStock_Log[Part Name],$A50,T_SelfStock_Log[WeekIndex],15))</f>
        <v/>
      </c>
      <c r="Q50" s="17">
        <f>IF(COUNTIFS(T_SelfStock_Log[Part Name],$A50,T_SelfStock_Log[WeekIndex],16)=0,"",SUMIFS(T_SelfStock_Log[Self_Qty],T_SelfStock_Log[Part Name],$A50,T_SelfStock_Log[WeekIndex],16))</f>
        <v/>
      </c>
      <c r="R50" s="17">
        <f>IF(COUNTIFS(T_SelfStock_Log[Part Name],$A50,T_SelfStock_Log[WeekIndex],17)=0,"",SUMIFS(T_SelfStock_Log[Self_Qty],T_SelfStock_Log[Part Name],$A50,T_SelfStock_Log[WeekIndex],17))</f>
        <v/>
      </c>
      <c r="S50" s="17">
        <f>IF(COUNTIFS(T_SelfStock_Log[Part Name],$A50,T_SelfStock_Log[WeekIndex],18)=0,"",SUMIFS(T_SelfStock_Log[Self_Qty],T_SelfStock_Log[Part Name],$A50,T_SelfStock_Log[WeekIndex],18))</f>
        <v/>
      </c>
      <c r="T50" s="17">
        <f>IF(COUNTIFS(T_SelfStock_Log[Part Name],$A50,T_SelfStock_Log[WeekIndex],19)=0,"",SUMIFS(T_SelfStock_Log[Self_Qty],T_SelfStock_Log[Part Name],$A50,T_SelfStock_Log[WeekIndex],19))</f>
        <v/>
      </c>
      <c r="U50" s="17">
        <f>IF(COUNTIFS(T_SelfStock_Log[Part Name],$A50,T_SelfStock_Log[WeekIndex],20)=0,"",SUMIFS(T_SelfStock_Log[Self_Qty],T_SelfStock_Log[Part Name],$A50,T_SelfStock_Log[WeekIndex],20))</f>
        <v/>
      </c>
      <c r="V50" s="17">
        <f>IF(COUNTIFS(T_SelfStock_Log[Part Name],$A50,T_SelfStock_Log[WeekIndex],21)=0,"",SUMIFS(T_SelfStock_Log[Self_Qty],T_SelfStock_Log[Part Name],$A50,T_SelfStock_Log[WeekIndex],21))</f>
        <v/>
      </c>
      <c r="W50" s="17">
        <f>IF(COUNTIFS(T_SelfStock_Log[Part Name],$A50,T_SelfStock_Log[WeekIndex],22)=0,"",SUMIFS(T_SelfStock_Log[Self_Qty],T_SelfStock_Log[Part Name],$A50,T_SelfStock_Log[WeekIndex],22))</f>
        <v/>
      </c>
      <c r="X50" s="17">
        <f>IF(COUNTIFS(T_SelfStock_Log[Part Name],$A50,T_SelfStock_Log[WeekIndex],23)=0,"",SUMIFS(T_SelfStock_Log[Self_Qty],T_SelfStock_Log[Part Name],$A50,T_SelfStock_Log[WeekIndex],23))</f>
        <v/>
      </c>
      <c r="Y50" s="17">
        <f>IF(COUNTIFS(T_SelfStock_Log[Part Name],$A50,T_SelfStock_Log[WeekIndex],24)=0,"",SUMIFS(T_SelfStock_Log[Self_Qty],T_SelfStock_Log[Part Name],$A50,T_SelfStock_Log[WeekIndex],24))</f>
        <v/>
      </c>
      <c r="Z50" s="17">
        <f>IF(COUNTIFS(T_SelfStock_Log[Part Name],$A50,T_SelfStock_Log[WeekIndex],25)=0,"",SUMIFS(T_SelfStock_Log[Self_Qty],T_SelfStock_Log[Part Name],$A50,T_SelfStock_Log[WeekIndex],25))</f>
        <v/>
      </c>
      <c r="AA50" s="17">
        <f>IF(COUNTIFS(T_SelfStock_Log[Part Name],$A50,T_SelfStock_Log[WeekIndex],26)=0,"",SUMIFS(T_SelfStock_Log[Self_Qty],T_SelfStock_Log[Part Name],$A50,T_SelfStock_Log[WeekIndex],26))</f>
        <v/>
      </c>
      <c r="AB50" s="17">
        <f>IF(COUNTIFS(T_SelfStock_Log[Part Name],$A50,T_SelfStock_Log[WeekIndex],27)=0,"",SUMIFS(T_SelfStock_Log[Self_Qty],T_SelfStock_Log[Part Name],$A50,T_SelfStock_Log[WeekIndex],27))</f>
        <v/>
      </c>
      <c r="AC50" s="17">
        <f>IF(COUNTIFS(T_SelfStock_Log[Part Name],$A50,T_SelfStock_Log[WeekIndex],28)=0,"",SUMIFS(T_SelfStock_Log[Self_Qty],T_SelfStock_Log[Part Name],$A50,T_SelfStock_Log[WeekIndex],28))</f>
        <v/>
      </c>
      <c r="AD50" s="17">
        <f>IF(COUNTIFS(T_SelfStock_Log[Part Name],$A50,T_SelfStock_Log[WeekIndex],29)=0,"",SUMIFS(T_SelfStock_Log[Self_Qty],T_SelfStock_Log[Part Name],$A50,T_SelfStock_Log[WeekIndex],29))</f>
        <v/>
      </c>
      <c r="AE50" s="17">
        <f>IF(COUNTIFS(T_SelfStock_Log[Part Name],$A50,T_SelfStock_Log[WeekIndex],30)=0,"",SUMIFS(T_SelfStock_Log[Self_Qty],T_SelfStock_Log[Part Name],$A50,T_SelfStock_Log[WeekIndex],30))</f>
        <v/>
      </c>
      <c r="AF50" s="17">
        <f>IF(COUNTIFS(T_SelfStock_Log[Part Name],$A50,T_SelfStock_Log[WeekIndex],31)=0,"",SUMIFS(T_SelfStock_Log[Self_Qty],T_SelfStock_Log[Part Name],$A50,T_SelfStock_Log[WeekIndex],31))</f>
        <v/>
      </c>
      <c r="AG50" s="17">
        <f>IF(COUNTIFS(T_SelfStock_Log[Part Name],$A50,T_SelfStock_Log[WeekIndex],32)=0,"",SUMIFS(T_SelfStock_Log[Self_Qty],T_SelfStock_Log[Part Name],$A50,T_SelfStock_Log[WeekIndex],32))</f>
        <v/>
      </c>
      <c r="AH50" s="17">
        <f>IF(COUNTIFS(T_SelfStock_Log[Part Name],$A50,T_SelfStock_Log[WeekIndex],33)=0,"",SUMIFS(T_SelfStock_Log[Self_Qty],T_SelfStock_Log[Part Name],$A50,T_SelfStock_Log[WeekIndex],33))</f>
        <v/>
      </c>
      <c r="AI50" s="17">
        <f>IF(COUNTIFS(T_SelfStock_Log[Part Name],$A50,T_SelfStock_Log[WeekIndex],34)=0,"",SUMIFS(T_SelfStock_Log[Self_Qty],T_SelfStock_Log[Part Name],$A50,T_SelfStock_Log[WeekIndex],34))</f>
        <v/>
      </c>
      <c r="AJ50" s="17">
        <f>IF(COUNTIFS(T_SelfStock_Log[Part Name],$A50,T_SelfStock_Log[WeekIndex],35)=0,"",SUMIFS(T_SelfStock_Log[Self_Qty],T_SelfStock_Log[Part Name],$A50,T_SelfStock_Log[WeekIndex],35))</f>
        <v/>
      </c>
      <c r="AK50" s="17">
        <f>IF(COUNTIFS(T_SelfStock_Log[Part Name],$A50,T_SelfStock_Log[WeekIndex],36)=0,"",SUMIFS(T_SelfStock_Log[Self_Qty],T_SelfStock_Log[Part Name],$A50,T_SelfStock_Log[WeekIndex],36))</f>
        <v/>
      </c>
      <c r="AL50" s="17">
        <f>IF(COUNTIFS(T_SelfStock_Log[Part Name],$A50,T_SelfStock_Log[WeekIndex],37)=0,"",SUMIFS(T_SelfStock_Log[Self_Qty],T_SelfStock_Log[Part Name],$A50,T_SelfStock_Log[WeekIndex],37))</f>
        <v/>
      </c>
      <c r="AM50" s="17">
        <f>IF(COUNTIFS(T_SelfStock_Log[Part Name],$A50,T_SelfStock_Log[WeekIndex],38)=0,"",SUMIFS(T_SelfStock_Log[Self_Qty],T_SelfStock_Log[Part Name],$A50,T_SelfStock_Log[WeekIndex],38))</f>
        <v/>
      </c>
      <c r="AN50" s="17">
        <f>IF(COUNTIFS(T_SelfStock_Log[Part Name],$A50,T_SelfStock_Log[WeekIndex],39)=0,"",SUMIFS(T_SelfStock_Log[Self_Qty],T_SelfStock_Log[Part Name],$A50,T_SelfStock_Log[WeekIndex],39))</f>
        <v/>
      </c>
      <c r="AO50" s="17">
        <f>IF(COUNTIFS(T_SelfStock_Log[Part Name],$A50,T_SelfStock_Log[WeekIndex],40)=0,"",SUMIFS(T_SelfStock_Log[Self_Qty],T_SelfStock_Log[Part Name],$A50,T_SelfStock_Log[WeekIndex],40))</f>
        <v/>
      </c>
      <c r="AP50" s="17">
        <f>IF(COUNTIFS(T_SelfStock_Log[Part Name],$A50,T_SelfStock_Log[WeekIndex],41)=0,"",SUMIFS(T_SelfStock_Log[Self_Qty],T_SelfStock_Log[Part Name],$A50,T_SelfStock_Log[WeekIndex],41))</f>
        <v/>
      </c>
      <c r="AQ50" s="17">
        <f>IF(COUNTIFS(T_SelfStock_Log[Part Name],$A50,T_SelfStock_Log[WeekIndex],42)=0,"",SUMIFS(T_SelfStock_Log[Self_Qty],T_SelfStock_Log[Part Name],$A50,T_SelfStock_Log[WeekIndex],42))</f>
        <v/>
      </c>
      <c r="AR50" s="17">
        <f>IF(COUNTIFS(T_SelfStock_Log[Part Name],$A50,T_SelfStock_Log[WeekIndex],43)=0,"",SUMIFS(T_SelfStock_Log[Self_Qty],T_SelfStock_Log[Part Name],$A50,T_SelfStock_Log[WeekIndex],43))</f>
        <v/>
      </c>
      <c r="AS50" s="17">
        <f>IF(COUNTIFS(T_SelfStock_Log[Part Name],$A50,T_SelfStock_Log[WeekIndex],44)=0,"",SUMIFS(T_SelfStock_Log[Self_Qty],T_SelfStock_Log[Part Name],$A50,T_SelfStock_Log[WeekIndex],44))</f>
        <v/>
      </c>
      <c r="AT50" s="17">
        <f>IF(COUNTIFS(T_SelfStock_Log[Part Name],$A50,T_SelfStock_Log[WeekIndex],45)=0,"",SUMIFS(T_SelfStock_Log[Self_Qty],T_SelfStock_Log[Part Name],$A50,T_SelfStock_Log[WeekIndex],45))</f>
        <v/>
      </c>
      <c r="AU50" s="17">
        <f>IF(COUNTIFS(T_SelfStock_Log[Part Name],$A50,T_SelfStock_Log[WeekIndex],46)=0,"",SUMIFS(T_SelfStock_Log[Self_Qty],T_SelfStock_Log[Part Name],$A50,T_SelfStock_Log[WeekIndex],46))</f>
        <v/>
      </c>
      <c r="AV50" s="17">
        <f>IF(COUNTIFS(T_SelfStock_Log[Part Name],$A50,T_SelfStock_Log[WeekIndex],47)=0,"",SUMIFS(T_SelfStock_Log[Self_Qty],T_SelfStock_Log[Part Name],$A50,T_SelfStock_Log[WeekIndex],47))</f>
        <v/>
      </c>
      <c r="AW50" s="17">
        <f>IF(COUNTIFS(T_SelfStock_Log[Part Name],$A50,T_SelfStock_Log[WeekIndex],48)=0,"",SUMIFS(T_SelfStock_Log[Self_Qty],T_SelfStock_Log[Part Name],$A50,T_SelfStock_Log[WeekIndex],48))</f>
        <v/>
      </c>
      <c r="AX50" s="17">
        <f>IF(COUNTIFS(T_SelfStock_Log[Part Name],$A50,T_SelfStock_Log[WeekIndex],49)=0,"",SUMIFS(T_SelfStock_Log[Self_Qty],T_SelfStock_Log[Part Name],$A50,T_SelfStock_Log[WeekIndex],49))</f>
        <v/>
      </c>
      <c r="AY50" s="17">
        <f>IF(COUNTIFS(T_SelfStock_Log[Part Name],$A50,T_SelfStock_Log[WeekIndex],50)=0,"",SUMIFS(T_SelfStock_Log[Self_Qty],T_SelfStock_Log[Part Name],$A50,T_SelfStock_Log[WeekIndex],50))</f>
        <v/>
      </c>
      <c r="AZ50" s="17">
        <f>IF(COUNTIFS(T_SelfStock_Log[Part Name],$A50,T_SelfStock_Log[WeekIndex],51)=0,"",SUMIFS(T_SelfStock_Log[Self_Qty],T_SelfStock_Log[Part Name],$A50,T_SelfStock_Log[WeekIndex],51))</f>
        <v/>
      </c>
      <c r="BA50" s="17">
        <f>IF(COUNTIFS(T_SelfStock_Log[Part Name],$A50,T_SelfStock_Log[WeekIndex],52)=0,"",SUMIFS(T_SelfStock_Log[Self_Qty],T_SelfStock_Log[Part Name],$A50,T_SelfStock_Log[WeekIndex],52))</f>
        <v/>
      </c>
      <c r="BB50" s="17">
        <f>IF(COUNTIFS(T_SelfStock_Log[Part Name],$A50,T_SelfStock_Log[WeekIndex],53)=0,"",SUMIFS(T_SelfStock_Log[Self_Qty],T_SelfStock_Log[Part Name],$A50,T_SelfStock_Log[WeekIndex],53))</f>
        <v/>
      </c>
      <c r="BC50" s="17">
        <f>IF(COUNTIFS(T_SelfStock_Log[Part Name],$A50,T_SelfStock_Log[WeekIndex],54)=0,"",SUMIFS(T_SelfStock_Log[Self_Qty],T_SelfStock_Log[Part Name],$A50,T_SelfStock_Log[WeekIndex],54))</f>
        <v/>
      </c>
      <c r="BD50" s="17">
        <f>IF(COUNTIFS(T_SelfStock_Log[Part Name],$A50,T_SelfStock_Log[WeekIndex],55)=0,"",SUMIFS(T_SelfStock_Log[Self_Qty],T_SelfStock_Log[Part Name],$A50,T_SelfStock_Log[WeekIndex],55))</f>
        <v/>
      </c>
      <c r="BE50" s="17">
        <f>IF(COUNTIFS(T_SelfStock_Log[Part Name],$A50,T_SelfStock_Log[WeekIndex],56)=0,"",SUMIFS(T_SelfStock_Log[Self_Qty],T_SelfStock_Log[Part Name],$A50,T_SelfStock_Log[WeekIndex],56))</f>
        <v/>
      </c>
      <c r="BF50" s="17">
        <f>IF(COUNTIFS(T_SelfStock_Log[Part Name],$A50,T_SelfStock_Log[WeekIndex],57)=0,"",SUMIFS(T_SelfStock_Log[Self_Qty],T_SelfStock_Log[Part Name],$A50,T_SelfStock_Log[WeekIndex],57))</f>
        <v/>
      </c>
      <c r="BG50" s="17">
        <f>IF(COUNTIFS(T_SelfStock_Log[Part Name],$A50,T_SelfStock_Log[WeekIndex],58)=0,"",SUMIFS(T_SelfStock_Log[Self_Qty],T_SelfStock_Log[Part Name],$A50,T_SelfStock_Log[WeekIndex],58))</f>
        <v/>
      </c>
      <c r="BH50" s="17">
        <f>IF(COUNTIFS(T_SelfStock_Log[Part Name],$A50,T_SelfStock_Log[WeekIndex],59)=0,"",SUMIFS(T_SelfStock_Log[Self_Qty],T_SelfStock_Log[Part Name],$A50,T_SelfStock_Log[WeekIndex],59))</f>
        <v/>
      </c>
      <c r="BI50" s="17">
        <f>IF(COUNTIFS(T_SelfStock_Log[Part Name],$A50,T_SelfStock_Log[WeekIndex],60)=0,"",SUMIFS(T_SelfStock_Log[Self_Qty],T_SelfStock_Log[Part Name],$A50,T_SelfStock_Log[WeekIndex],60))</f>
        <v/>
      </c>
      <c r="BJ50" s="17">
        <f>IF(COUNTIFS(T_SelfStock_Log[Part Name],$A50,T_SelfStock_Log[WeekIndex],61)=0,"",SUMIFS(T_SelfStock_Log[Self_Qty],T_SelfStock_Log[Part Name],$A50,T_SelfStock_Log[WeekIndex],61))</f>
        <v/>
      </c>
      <c r="BK50" s="17">
        <f>IF(COUNTIFS(T_SelfStock_Log[Part Name],$A50,T_SelfStock_Log[WeekIndex],62)=0,"",SUMIFS(T_SelfStock_Log[Self_Qty],T_SelfStock_Log[Part Name],$A50,T_SelfStock_Log[WeekIndex],62))</f>
        <v/>
      </c>
      <c r="BL50" s="17">
        <f>IF(COUNTIFS(T_SelfStock_Log[Part Name],$A50,T_SelfStock_Log[WeekIndex],63)=0,"",SUMIFS(T_SelfStock_Log[Self_Qty],T_SelfStock_Log[Part Name],$A50,T_SelfStock_Log[WeekIndex],63))</f>
        <v/>
      </c>
      <c r="BM50" s="17">
        <f>IF(COUNTIFS(T_SelfStock_Log[Part Name],$A50,T_SelfStock_Log[WeekIndex],64)=0,"",SUMIFS(T_SelfStock_Log[Self_Qty],T_SelfStock_Log[Part Name],$A50,T_SelfStock_Log[WeekIndex],64))</f>
        <v/>
      </c>
      <c r="BN50" s="17">
        <f>IF(COUNTIFS(T_SelfStock_Log[Part Name],$A50,T_SelfStock_Log[WeekIndex],65)=0,"",SUMIFS(T_SelfStock_Log[Self_Qty],T_SelfStock_Log[Part Name],$A50,T_SelfStock_Log[WeekIndex],65))</f>
        <v/>
      </c>
      <c r="BO50" s="17">
        <f>IF(COUNTIFS(T_SelfStock_Log[Part Name],$A50,T_SelfStock_Log[WeekIndex],66)=0,"",SUMIFS(T_SelfStock_Log[Self_Qty],T_SelfStock_Log[Part Name],$A50,T_SelfStock_Log[WeekIndex],66))</f>
        <v/>
      </c>
      <c r="BP50" s="17">
        <f>IF(COUNTIFS(T_SelfStock_Log[Part Name],$A50,T_SelfStock_Log[WeekIndex],67)=0,"",SUMIFS(T_SelfStock_Log[Self_Qty],T_SelfStock_Log[Part Name],$A50,T_SelfStock_Log[WeekIndex],67))</f>
        <v/>
      </c>
      <c r="BQ50" s="17">
        <f>IF(COUNTIFS(T_SelfStock_Log[Part Name],$A50,T_SelfStock_Log[WeekIndex],68)=0,"",SUMIFS(T_SelfStock_Log[Self_Qty],T_SelfStock_Log[Part Name],$A50,T_SelfStock_Log[WeekIndex],68))</f>
        <v/>
      </c>
      <c r="BR50" s="17">
        <f>IF(COUNTIFS(T_SelfStock_Log[Part Name],$A50,T_SelfStock_Log[WeekIndex],69)=0,"",SUMIFS(T_SelfStock_Log[Self_Qty],T_SelfStock_Log[Part Name],$A50,T_SelfStock_Log[WeekIndex],69))</f>
        <v/>
      </c>
      <c r="BS50" s="17">
        <f>IF(COUNTIFS(T_SelfStock_Log[Part Name],$A50,T_SelfStock_Log[WeekIndex],70)=0,"",SUMIFS(T_SelfStock_Log[Self_Qty],T_SelfStock_Log[Part Name],$A50,T_SelfStock_Log[WeekIndex],70))</f>
        <v/>
      </c>
      <c r="BT50" s="17">
        <f>IF(COUNTIFS(T_SelfStock_Log[Part Name],$A50,T_SelfStock_Log[WeekIndex],71)=0,"",SUMIFS(T_SelfStock_Log[Self_Qty],T_SelfStock_Log[Part Name],$A50,T_SelfStock_Log[WeekIndex],71))</f>
        <v/>
      </c>
      <c r="BU50" s="17">
        <f>IF(COUNTIFS(T_SelfStock_Log[Part Name],$A50,T_SelfStock_Log[WeekIndex],72)=0,"",SUMIFS(T_SelfStock_Log[Self_Qty],T_SelfStock_Log[Part Name],$A50,T_SelfStock_Log[WeekIndex],72))</f>
        <v/>
      </c>
      <c r="BV50" s="17">
        <f>IF(COUNTIFS(T_SelfStock_Log[Part Name],$A50,T_SelfStock_Log[WeekIndex],73)=0,"",SUMIFS(T_SelfStock_Log[Self_Qty],T_SelfStock_Log[Part Name],$A50,T_SelfStock_Log[WeekIndex],73))</f>
        <v/>
      </c>
      <c r="BW50" s="17">
        <f>IF(COUNTIFS(T_SelfStock_Log[Part Name],$A50,T_SelfStock_Log[WeekIndex],74)=0,"",SUMIFS(T_SelfStock_Log[Self_Qty],T_SelfStock_Log[Part Name],$A50,T_SelfStock_Log[WeekIndex],74))</f>
        <v/>
      </c>
      <c r="BX50" s="17">
        <f>IF(COUNTIFS(T_SelfStock_Log[Part Name],$A50,T_SelfStock_Log[WeekIndex],75)=0,"",SUMIFS(T_SelfStock_Log[Self_Qty],T_SelfStock_Log[Part Name],$A50,T_SelfStock_Log[WeekIndex],75))</f>
        <v/>
      </c>
      <c r="BY50" s="17">
        <f>IF(COUNTIFS(T_SelfStock_Log[Part Name],$A50,T_SelfStock_Log[WeekIndex],76)=0,"",SUMIFS(T_SelfStock_Log[Self_Qty],T_SelfStock_Log[Part Name],$A50,T_SelfStock_Log[WeekIndex],76))</f>
        <v/>
      </c>
      <c r="BZ50" s="17">
        <f>IF(COUNTIFS(T_SelfStock_Log[Part Name],$A50,T_SelfStock_Log[WeekIndex],77)=0,"",SUMIFS(T_SelfStock_Log[Self_Qty],T_SelfStock_Log[Part Name],$A50,T_SelfStock_Log[WeekIndex],77))</f>
        <v/>
      </c>
      <c r="CA50" s="17">
        <f>IF(COUNTIFS(T_SelfStock_Log[Part Name],$A50,T_SelfStock_Log[WeekIndex],78)=0,"",SUMIFS(T_SelfStock_Log[Self_Qty],T_SelfStock_Log[Part Name],$A50,T_SelfStock_Log[WeekIndex],78))</f>
        <v/>
      </c>
      <c r="CB50" s="17">
        <f>IF(COUNTIFS(T_SelfStock_Log[Part Name],$A50,T_SelfStock_Log[WeekIndex],79)=0,"",SUMIFS(T_SelfStock_Log[Self_Qty],T_SelfStock_Log[Part Name],$A50,T_SelfStock_Log[WeekIndex],79))</f>
        <v/>
      </c>
      <c r="CC50" s="17">
        <f>IF(COUNTIFS(T_SelfStock_Log[Part Name],$A50,T_SelfStock_Log[WeekIndex],80)=0,"",SUMIFS(T_SelfStock_Log[Self_Qty],T_SelfStock_Log[Part Name],$A50,T_SelfStock_Log[WeekIndex],80))</f>
        <v/>
      </c>
      <c r="CD50" s="17">
        <f>IF(COUNTIFS(T_SelfStock_Log[Part Name],$A50,T_SelfStock_Log[WeekIndex],81)=0,"",SUMIFS(T_SelfStock_Log[Self_Qty],T_SelfStock_Log[Part Name],$A50,T_SelfStock_Log[WeekIndex],81))</f>
        <v/>
      </c>
      <c r="CE50" s="17">
        <f>IF(COUNTIFS(T_SelfStock_Log[Part Name],$A50,T_SelfStock_Log[WeekIndex],82)=0,"",SUMIFS(T_SelfStock_Log[Self_Qty],T_SelfStock_Log[Part Name],$A50,T_SelfStock_Log[WeekIndex],82))</f>
        <v/>
      </c>
      <c r="CF50" s="17">
        <f>IF(COUNTIFS(T_SelfStock_Log[Part Name],$A50,T_SelfStock_Log[WeekIndex],83)=0,"",SUMIFS(T_SelfStock_Log[Self_Qty],T_SelfStock_Log[Part Name],$A50,T_SelfStock_Log[WeekIndex],83))</f>
        <v/>
      </c>
      <c r="CG50" s="17">
        <f>IF(COUNTIFS(T_SelfStock_Log[Part Name],$A50,T_SelfStock_Log[WeekIndex],84)=0,"",SUMIFS(T_SelfStock_Log[Self_Qty],T_SelfStock_Log[Part Name],$A50,T_SelfStock_Log[WeekIndex],84))</f>
        <v/>
      </c>
      <c r="CH50" s="17">
        <f>IF(COUNTIFS(T_SelfStock_Log[Part Name],$A50,T_SelfStock_Log[WeekIndex],85)=0,"",SUMIFS(T_SelfStock_Log[Self_Qty],T_SelfStock_Log[Part Name],$A50,T_SelfStock_Log[WeekIndex],85))</f>
        <v/>
      </c>
      <c r="CI50" s="17">
        <f>IF(COUNTIFS(T_SelfStock_Log[Part Name],$A50,T_SelfStock_Log[WeekIndex],86)=0,"",SUMIFS(T_SelfStock_Log[Self_Qty],T_SelfStock_Log[Part Name],$A50,T_SelfStock_Log[WeekIndex],86))</f>
        <v/>
      </c>
      <c r="CJ50" s="17">
        <f>IF(COUNTIFS(T_SelfStock_Log[Part Name],$A50,T_SelfStock_Log[WeekIndex],87)=0,"",SUMIFS(T_SelfStock_Log[Self_Qty],T_SelfStock_Log[Part Name],$A50,T_SelfStock_Log[WeekIndex],87))</f>
        <v/>
      </c>
      <c r="CK50" s="17">
        <f>IF(COUNTIFS(T_SelfStock_Log[Part Name],$A50,T_SelfStock_Log[WeekIndex],88)=0,"",SUMIFS(T_SelfStock_Log[Self_Qty],T_SelfStock_Log[Part Name],$A50,T_SelfStock_Log[WeekIndex],88))</f>
        <v/>
      </c>
      <c r="CL50" s="17">
        <f>IF(COUNTIFS(T_SelfStock_Log[Part Name],$A50,T_SelfStock_Log[WeekIndex],89)=0,"",SUMIFS(T_SelfStock_Log[Self_Qty],T_SelfStock_Log[Part Name],$A50,T_SelfStock_Log[WeekIndex],89))</f>
        <v/>
      </c>
      <c r="CM50" s="17">
        <f>IF(COUNTIFS(T_SelfStock_Log[Part Name],$A50,T_SelfStock_Log[WeekIndex],90)=0,"",SUMIFS(T_SelfStock_Log[Self_Qty],T_SelfStock_Log[Part Name],$A50,T_SelfStock_Log[WeekIndex],90))</f>
        <v/>
      </c>
      <c r="CN50" s="17">
        <f>IF(COUNTIFS(T_SelfStock_Log[Part Name],$A50,T_SelfStock_Log[WeekIndex],91)=0,"",SUMIFS(T_SelfStock_Log[Self_Qty],T_SelfStock_Log[Part Name],$A50,T_SelfStock_Log[WeekIndex],91))</f>
        <v/>
      </c>
      <c r="CO50" s="17">
        <f>IF(COUNTIFS(T_SelfStock_Log[Part Name],$A50,T_SelfStock_Log[WeekIndex],92)=0,"",SUMIFS(T_SelfStock_Log[Self_Qty],T_SelfStock_Log[Part Name],$A50,T_SelfStock_Log[WeekIndex],92))</f>
        <v/>
      </c>
      <c r="CP50" s="17">
        <f>IF(COUNTIFS(T_SelfStock_Log[Part Name],$A50,T_SelfStock_Log[WeekIndex],93)=0,"",SUMIFS(T_SelfStock_Log[Self_Qty],T_SelfStock_Log[Part Name],$A50,T_SelfStock_Log[WeekIndex],93))</f>
        <v/>
      </c>
      <c r="CQ50" s="17">
        <f>IF(COUNTIFS(T_SelfStock_Log[Part Name],$A50,T_SelfStock_Log[WeekIndex],94)=0,"",SUMIFS(T_SelfStock_Log[Self_Qty],T_SelfStock_Log[Part Name],$A50,T_SelfStock_Log[WeekIndex],94))</f>
        <v/>
      </c>
      <c r="CR50" s="17">
        <f>IF(COUNTIFS(T_SelfStock_Log[Part Name],$A50,T_SelfStock_Log[WeekIndex],95)=0,"",SUMIFS(T_SelfStock_Log[Self_Qty],T_SelfStock_Log[Part Name],$A50,T_SelfStock_Log[WeekIndex],95))</f>
        <v/>
      </c>
      <c r="CS50" s="17">
        <f>IF(COUNTIFS(T_SelfStock_Log[Part Name],$A50,T_SelfStock_Log[WeekIndex],96)=0,"",SUMIFS(T_SelfStock_Log[Self_Qty],T_SelfStock_Log[Part Name],$A50,T_SelfStock_Log[WeekIndex],96))</f>
        <v/>
      </c>
      <c r="CT50" s="17">
        <f>IF(COUNTIFS(T_SelfStock_Log[Part Name],$A50,T_SelfStock_Log[WeekIndex],97)=0,"",SUMIFS(T_SelfStock_Log[Self_Qty],T_SelfStock_Log[Part Name],$A50,T_SelfStock_Log[WeekIndex],97))</f>
        <v/>
      </c>
      <c r="CU50" s="17">
        <f>IF(COUNTIFS(T_SelfStock_Log[Part Name],$A50,T_SelfStock_Log[WeekIndex],98)=0,"",SUMIFS(T_SelfStock_Log[Self_Qty],T_SelfStock_Log[Part Name],$A50,T_SelfStock_Log[WeekIndex],98))</f>
        <v/>
      </c>
      <c r="CV50" s="17">
        <f>IF(COUNTIFS(T_SelfStock_Log[Part Name],$A50,T_SelfStock_Log[WeekIndex],99)=0,"",SUMIFS(T_SelfStock_Log[Self_Qty],T_SelfStock_Log[Part Name],$A50,T_SelfStock_Log[WeekIndex],99))</f>
        <v/>
      </c>
      <c r="CW50" s="17">
        <f>IF(COUNTIFS(T_SelfStock_Log[Part Name],$A50,T_SelfStock_Log[WeekIndex],100)=0,"",SUMIFS(T_SelfStock_Log[Self_Qty],T_SelfStock_Log[Part Name],$A50,T_SelfStock_Log[WeekIndex],100))</f>
        <v/>
      </c>
      <c r="CX50" s="17">
        <f>IF(COUNTIFS(T_SelfStock_Log[Part Name],$A50,T_SelfStock_Log[WeekIndex],101)=0,"",SUMIFS(T_SelfStock_Log[Self_Qty],T_SelfStock_Log[Part Name],$A50,T_SelfStock_Log[WeekIndex],101))</f>
        <v/>
      </c>
      <c r="CY50" s="17">
        <f>IF(COUNTIFS(T_SelfStock_Log[Part Name],$A50,T_SelfStock_Log[WeekIndex],102)=0,"",SUMIFS(T_SelfStock_Log[Self_Qty],T_SelfStock_Log[Part Name],$A50,T_SelfStock_Log[WeekIndex],102))</f>
        <v/>
      </c>
      <c r="CZ50" s="17">
        <f>IF(COUNTIFS(T_SelfStock_Log[Part Name],$A50,T_SelfStock_Log[WeekIndex],103)=0,"",SUMIFS(T_SelfStock_Log[Self_Qty],T_SelfStock_Log[Part Name],$A50,T_SelfStock_Log[WeekIndex],103))</f>
        <v/>
      </c>
      <c r="DA50" s="17">
        <f>IF(COUNTIFS(T_SelfStock_Log[Part Name],$A50,T_SelfStock_Log[WeekIndex],104)=0,"",SUMIFS(T_SelfStock_Log[Self_Qty],T_SelfStock_Log[Part Name],$A50,T_SelfStock_Log[WeekIndex],104))</f>
        <v/>
      </c>
    </row>
    <row r="51">
      <c r="A51" s="19" t="inlineStr">
        <is>
          <t>CHEM-1470</t>
        </is>
      </c>
      <c r="B51" s="19">
        <f>IF(COUNTIFS(T_SelfStock_Log[Part Name],$A51,T_SelfStock_Log[WeekIndex],1)=0,"",SUMIFS(T_SelfStock_Log[Self_Qty],T_SelfStock_Log[Part Name],$A51,T_SelfStock_Log[WeekIndex],1))</f>
        <v/>
      </c>
      <c r="C51" s="19">
        <f>IF(COUNTIFS(T_SelfStock_Log[Part Name],$A51,T_SelfStock_Log[WeekIndex],2)=0,"",SUMIFS(T_SelfStock_Log[Self_Qty],T_SelfStock_Log[Part Name],$A51,T_SelfStock_Log[WeekIndex],2))</f>
        <v/>
      </c>
      <c r="D51" s="19">
        <f>IF(COUNTIFS(T_SelfStock_Log[Part Name],$A51,T_SelfStock_Log[WeekIndex],3)=0,"",SUMIFS(T_SelfStock_Log[Self_Qty],T_SelfStock_Log[Part Name],$A51,T_SelfStock_Log[WeekIndex],3))</f>
        <v/>
      </c>
      <c r="E51" s="19">
        <f>IF(COUNTIFS(T_SelfStock_Log[Part Name],$A51,T_SelfStock_Log[WeekIndex],4)=0,"",SUMIFS(T_SelfStock_Log[Self_Qty],T_SelfStock_Log[Part Name],$A51,T_SelfStock_Log[WeekIndex],4))</f>
        <v/>
      </c>
      <c r="F51" s="19">
        <f>IF(COUNTIFS(T_SelfStock_Log[Part Name],$A51,T_SelfStock_Log[WeekIndex],5)=0,"",SUMIFS(T_SelfStock_Log[Self_Qty],T_SelfStock_Log[Part Name],$A51,T_SelfStock_Log[WeekIndex],5))</f>
        <v/>
      </c>
      <c r="G51" s="19">
        <f>IF(COUNTIFS(T_SelfStock_Log[Part Name],$A51,T_SelfStock_Log[WeekIndex],6)=0,"",SUMIFS(T_SelfStock_Log[Self_Qty],T_SelfStock_Log[Part Name],$A51,T_SelfStock_Log[WeekIndex],6))</f>
        <v/>
      </c>
      <c r="H51" s="19">
        <f>IF(COUNTIFS(T_SelfStock_Log[Part Name],$A51,T_SelfStock_Log[WeekIndex],7)=0,"",SUMIFS(T_SelfStock_Log[Self_Qty],T_SelfStock_Log[Part Name],$A51,T_SelfStock_Log[WeekIndex],7))</f>
        <v/>
      </c>
      <c r="I51" s="19">
        <f>IF(COUNTIFS(T_SelfStock_Log[Part Name],$A51,T_SelfStock_Log[WeekIndex],8)=0,"",SUMIFS(T_SelfStock_Log[Self_Qty],T_SelfStock_Log[Part Name],$A51,T_SelfStock_Log[WeekIndex],8))</f>
        <v/>
      </c>
      <c r="J51" s="19">
        <f>IF(COUNTIFS(T_SelfStock_Log[Part Name],$A51,T_SelfStock_Log[WeekIndex],9)=0,"",SUMIFS(T_SelfStock_Log[Self_Qty],T_SelfStock_Log[Part Name],$A51,T_SelfStock_Log[WeekIndex],9))</f>
        <v/>
      </c>
      <c r="K51" s="19">
        <f>IF(COUNTIFS(T_SelfStock_Log[Part Name],$A51,T_SelfStock_Log[WeekIndex],10)=0,"",SUMIFS(T_SelfStock_Log[Self_Qty],T_SelfStock_Log[Part Name],$A51,T_SelfStock_Log[WeekIndex],10))</f>
        <v/>
      </c>
      <c r="L51" s="19">
        <f>IF(COUNTIFS(T_SelfStock_Log[Part Name],$A51,T_SelfStock_Log[WeekIndex],11)=0,"",SUMIFS(T_SelfStock_Log[Self_Qty],T_SelfStock_Log[Part Name],$A51,T_SelfStock_Log[WeekIndex],11))</f>
        <v/>
      </c>
      <c r="M51" s="19">
        <f>IF(COUNTIFS(T_SelfStock_Log[Part Name],$A51,T_SelfStock_Log[WeekIndex],12)=0,"",SUMIFS(T_SelfStock_Log[Self_Qty],T_SelfStock_Log[Part Name],$A51,T_SelfStock_Log[WeekIndex],12))</f>
        <v/>
      </c>
      <c r="N51" s="19">
        <f>IF(COUNTIFS(T_SelfStock_Log[Part Name],$A51,T_SelfStock_Log[WeekIndex],13)=0,"",SUMIFS(T_SelfStock_Log[Self_Qty],T_SelfStock_Log[Part Name],$A51,T_SelfStock_Log[WeekIndex],13))</f>
        <v/>
      </c>
      <c r="O51" s="19">
        <f>IF(COUNTIFS(T_SelfStock_Log[Part Name],$A51,T_SelfStock_Log[WeekIndex],14)=0,"",SUMIFS(T_SelfStock_Log[Self_Qty],T_SelfStock_Log[Part Name],$A51,T_SelfStock_Log[WeekIndex],14))</f>
        <v/>
      </c>
      <c r="P51" s="19">
        <f>IF(COUNTIFS(T_SelfStock_Log[Part Name],$A51,T_SelfStock_Log[WeekIndex],15)=0,"",SUMIFS(T_SelfStock_Log[Self_Qty],T_SelfStock_Log[Part Name],$A51,T_SelfStock_Log[WeekIndex],15))</f>
        <v/>
      </c>
      <c r="Q51" s="19">
        <f>IF(COUNTIFS(T_SelfStock_Log[Part Name],$A51,T_SelfStock_Log[WeekIndex],16)=0,"",SUMIFS(T_SelfStock_Log[Self_Qty],T_SelfStock_Log[Part Name],$A51,T_SelfStock_Log[WeekIndex],16))</f>
        <v/>
      </c>
      <c r="R51" s="19">
        <f>IF(COUNTIFS(T_SelfStock_Log[Part Name],$A51,T_SelfStock_Log[WeekIndex],17)=0,"",SUMIFS(T_SelfStock_Log[Self_Qty],T_SelfStock_Log[Part Name],$A51,T_SelfStock_Log[WeekIndex],17))</f>
        <v/>
      </c>
      <c r="S51" s="19">
        <f>IF(COUNTIFS(T_SelfStock_Log[Part Name],$A51,T_SelfStock_Log[WeekIndex],18)=0,"",SUMIFS(T_SelfStock_Log[Self_Qty],T_SelfStock_Log[Part Name],$A51,T_SelfStock_Log[WeekIndex],18))</f>
        <v/>
      </c>
      <c r="T51" s="19">
        <f>IF(COUNTIFS(T_SelfStock_Log[Part Name],$A51,T_SelfStock_Log[WeekIndex],19)=0,"",SUMIFS(T_SelfStock_Log[Self_Qty],T_SelfStock_Log[Part Name],$A51,T_SelfStock_Log[WeekIndex],19))</f>
        <v/>
      </c>
      <c r="U51" s="19">
        <f>IF(COUNTIFS(T_SelfStock_Log[Part Name],$A51,T_SelfStock_Log[WeekIndex],20)=0,"",SUMIFS(T_SelfStock_Log[Self_Qty],T_SelfStock_Log[Part Name],$A51,T_SelfStock_Log[WeekIndex],20))</f>
        <v/>
      </c>
      <c r="V51" s="19">
        <f>IF(COUNTIFS(T_SelfStock_Log[Part Name],$A51,T_SelfStock_Log[WeekIndex],21)=0,"",SUMIFS(T_SelfStock_Log[Self_Qty],T_SelfStock_Log[Part Name],$A51,T_SelfStock_Log[WeekIndex],21))</f>
        <v/>
      </c>
      <c r="W51" s="19">
        <f>IF(COUNTIFS(T_SelfStock_Log[Part Name],$A51,T_SelfStock_Log[WeekIndex],22)=0,"",SUMIFS(T_SelfStock_Log[Self_Qty],T_SelfStock_Log[Part Name],$A51,T_SelfStock_Log[WeekIndex],22))</f>
        <v/>
      </c>
      <c r="X51" s="19">
        <f>IF(COUNTIFS(T_SelfStock_Log[Part Name],$A51,T_SelfStock_Log[WeekIndex],23)=0,"",SUMIFS(T_SelfStock_Log[Self_Qty],T_SelfStock_Log[Part Name],$A51,T_SelfStock_Log[WeekIndex],23))</f>
        <v/>
      </c>
      <c r="Y51" s="19">
        <f>IF(COUNTIFS(T_SelfStock_Log[Part Name],$A51,T_SelfStock_Log[WeekIndex],24)=0,"",SUMIFS(T_SelfStock_Log[Self_Qty],T_SelfStock_Log[Part Name],$A51,T_SelfStock_Log[WeekIndex],24))</f>
        <v/>
      </c>
      <c r="Z51" s="19">
        <f>IF(COUNTIFS(T_SelfStock_Log[Part Name],$A51,T_SelfStock_Log[WeekIndex],25)=0,"",SUMIFS(T_SelfStock_Log[Self_Qty],T_SelfStock_Log[Part Name],$A51,T_SelfStock_Log[WeekIndex],25))</f>
        <v/>
      </c>
      <c r="AA51" s="19">
        <f>IF(COUNTIFS(T_SelfStock_Log[Part Name],$A51,T_SelfStock_Log[WeekIndex],26)=0,"",SUMIFS(T_SelfStock_Log[Self_Qty],T_SelfStock_Log[Part Name],$A51,T_SelfStock_Log[WeekIndex],26))</f>
        <v/>
      </c>
      <c r="AB51" s="19">
        <f>IF(COUNTIFS(T_SelfStock_Log[Part Name],$A51,T_SelfStock_Log[WeekIndex],27)=0,"",SUMIFS(T_SelfStock_Log[Self_Qty],T_SelfStock_Log[Part Name],$A51,T_SelfStock_Log[WeekIndex],27))</f>
        <v/>
      </c>
      <c r="AC51" s="19">
        <f>IF(COUNTIFS(T_SelfStock_Log[Part Name],$A51,T_SelfStock_Log[WeekIndex],28)=0,"",SUMIFS(T_SelfStock_Log[Self_Qty],T_SelfStock_Log[Part Name],$A51,T_SelfStock_Log[WeekIndex],28))</f>
        <v/>
      </c>
      <c r="AD51" s="19">
        <f>IF(COUNTIFS(T_SelfStock_Log[Part Name],$A51,T_SelfStock_Log[WeekIndex],29)=0,"",SUMIFS(T_SelfStock_Log[Self_Qty],T_SelfStock_Log[Part Name],$A51,T_SelfStock_Log[WeekIndex],29))</f>
        <v/>
      </c>
      <c r="AE51" s="19">
        <f>IF(COUNTIFS(T_SelfStock_Log[Part Name],$A51,T_SelfStock_Log[WeekIndex],30)=0,"",SUMIFS(T_SelfStock_Log[Self_Qty],T_SelfStock_Log[Part Name],$A51,T_SelfStock_Log[WeekIndex],30))</f>
        <v/>
      </c>
      <c r="AF51" s="19">
        <f>IF(COUNTIFS(T_SelfStock_Log[Part Name],$A51,T_SelfStock_Log[WeekIndex],31)=0,"",SUMIFS(T_SelfStock_Log[Self_Qty],T_SelfStock_Log[Part Name],$A51,T_SelfStock_Log[WeekIndex],31))</f>
        <v/>
      </c>
      <c r="AG51" s="19">
        <f>IF(COUNTIFS(T_SelfStock_Log[Part Name],$A51,T_SelfStock_Log[WeekIndex],32)=0,"",SUMIFS(T_SelfStock_Log[Self_Qty],T_SelfStock_Log[Part Name],$A51,T_SelfStock_Log[WeekIndex],32))</f>
        <v/>
      </c>
      <c r="AH51" s="19">
        <f>IF(COUNTIFS(T_SelfStock_Log[Part Name],$A51,T_SelfStock_Log[WeekIndex],33)=0,"",SUMIFS(T_SelfStock_Log[Self_Qty],T_SelfStock_Log[Part Name],$A51,T_SelfStock_Log[WeekIndex],33))</f>
        <v/>
      </c>
      <c r="AI51" s="19">
        <f>IF(COUNTIFS(T_SelfStock_Log[Part Name],$A51,T_SelfStock_Log[WeekIndex],34)=0,"",SUMIFS(T_SelfStock_Log[Self_Qty],T_SelfStock_Log[Part Name],$A51,T_SelfStock_Log[WeekIndex],34))</f>
        <v/>
      </c>
      <c r="AJ51" s="19">
        <f>IF(COUNTIFS(T_SelfStock_Log[Part Name],$A51,T_SelfStock_Log[WeekIndex],35)=0,"",SUMIFS(T_SelfStock_Log[Self_Qty],T_SelfStock_Log[Part Name],$A51,T_SelfStock_Log[WeekIndex],35))</f>
        <v/>
      </c>
      <c r="AK51" s="19">
        <f>IF(COUNTIFS(T_SelfStock_Log[Part Name],$A51,T_SelfStock_Log[WeekIndex],36)=0,"",SUMIFS(T_SelfStock_Log[Self_Qty],T_SelfStock_Log[Part Name],$A51,T_SelfStock_Log[WeekIndex],36))</f>
        <v/>
      </c>
      <c r="AL51" s="19">
        <f>IF(COUNTIFS(T_SelfStock_Log[Part Name],$A51,T_SelfStock_Log[WeekIndex],37)=0,"",SUMIFS(T_SelfStock_Log[Self_Qty],T_SelfStock_Log[Part Name],$A51,T_SelfStock_Log[WeekIndex],37))</f>
        <v/>
      </c>
      <c r="AM51" s="19">
        <f>IF(COUNTIFS(T_SelfStock_Log[Part Name],$A51,T_SelfStock_Log[WeekIndex],38)=0,"",SUMIFS(T_SelfStock_Log[Self_Qty],T_SelfStock_Log[Part Name],$A51,T_SelfStock_Log[WeekIndex],38))</f>
        <v/>
      </c>
      <c r="AN51" s="19">
        <f>IF(COUNTIFS(T_SelfStock_Log[Part Name],$A51,T_SelfStock_Log[WeekIndex],39)=0,"",SUMIFS(T_SelfStock_Log[Self_Qty],T_SelfStock_Log[Part Name],$A51,T_SelfStock_Log[WeekIndex],39))</f>
        <v/>
      </c>
      <c r="AO51" s="19">
        <f>IF(COUNTIFS(T_SelfStock_Log[Part Name],$A51,T_SelfStock_Log[WeekIndex],40)=0,"",SUMIFS(T_SelfStock_Log[Self_Qty],T_SelfStock_Log[Part Name],$A51,T_SelfStock_Log[WeekIndex],40))</f>
        <v/>
      </c>
      <c r="AP51" s="19">
        <f>IF(COUNTIFS(T_SelfStock_Log[Part Name],$A51,T_SelfStock_Log[WeekIndex],41)=0,"",SUMIFS(T_SelfStock_Log[Self_Qty],T_SelfStock_Log[Part Name],$A51,T_SelfStock_Log[WeekIndex],41))</f>
        <v/>
      </c>
      <c r="AQ51" s="19">
        <f>IF(COUNTIFS(T_SelfStock_Log[Part Name],$A51,T_SelfStock_Log[WeekIndex],42)=0,"",SUMIFS(T_SelfStock_Log[Self_Qty],T_SelfStock_Log[Part Name],$A51,T_SelfStock_Log[WeekIndex],42))</f>
        <v/>
      </c>
      <c r="AR51" s="19">
        <f>IF(COUNTIFS(T_SelfStock_Log[Part Name],$A51,T_SelfStock_Log[WeekIndex],43)=0,"",SUMIFS(T_SelfStock_Log[Self_Qty],T_SelfStock_Log[Part Name],$A51,T_SelfStock_Log[WeekIndex],43))</f>
        <v/>
      </c>
      <c r="AS51" s="19">
        <f>IF(COUNTIFS(T_SelfStock_Log[Part Name],$A51,T_SelfStock_Log[WeekIndex],44)=0,"",SUMIFS(T_SelfStock_Log[Self_Qty],T_SelfStock_Log[Part Name],$A51,T_SelfStock_Log[WeekIndex],44))</f>
        <v/>
      </c>
      <c r="AT51" s="19">
        <f>IF(COUNTIFS(T_SelfStock_Log[Part Name],$A51,T_SelfStock_Log[WeekIndex],45)=0,"",SUMIFS(T_SelfStock_Log[Self_Qty],T_SelfStock_Log[Part Name],$A51,T_SelfStock_Log[WeekIndex],45))</f>
        <v/>
      </c>
      <c r="AU51" s="19">
        <f>IF(COUNTIFS(T_SelfStock_Log[Part Name],$A51,T_SelfStock_Log[WeekIndex],46)=0,"",SUMIFS(T_SelfStock_Log[Self_Qty],T_SelfStock_Log[Part Name],$A51,T_SelfStock_Log[WeekIndex],46))</f>
        <v/>
      </c>
      <c r="AV51" s="19">
        <f>IF(COUNTIFS(T_SelfStock_Log[Part Name],$A51,T_SelfStock_Log[WeekIndex],47)=0,"",SUMIFS(T_SelfStock_Log[Self_Qty],T_SelfStock_Log[Part Name],$A51,T_SelfStock_Log[WeekIndex],47))</f>
        <v/>
      </c>
      <c r="AW51" s="19">
        <f>IF(COUNTIFS(T_SelfStock_Log[Part Name],$A51,T_SelfStock_Log[WeekIndex],48)=0,"",SUMIFS(T_SelfStock_Log[Self_Qty],T_SelfStock_Log[Part Name],$A51,T_SelfStock_Log[WeekIndex],48))</f>
        <v/>
      </c>
      <c r="AX51" s="19">
        <f>IF(COUNTIFS(T_SelfStock_Log[Part Name],$A51,T_SelfStock_Log[WeekIndex],49)=0,"",SUMIFS(T_SelfStock_Log[Self_Qty],T_SelfStock_Log[Part Name],$A51,T_SelfStock_Log[WeekIndex],49))</f>
        <v/>
      </c>
      <c r="AY51" s="19">
        <f>IF(COUNTIFS(T_SelfStock_Log[Part Name],$A51,T_SelfStock_Log[WeekIndex],50)=0,"",SUMIFS(T_SelfStock_Log[Self_Qty],T_SelfStock_Log[Part Name],$A51,T_SelfStock_Log[WeekIndex],50))</f>
        <v/>
      </c>
      <c r="AZ51" s="19">
        <f>IF(COUNTIFS(T_SelfStock_Log[Part Name],$A51,T_SelfStock_Log[WeekIndex],51)=0,"",SUMIFS(T_SelfStock_Log[Self_Qty],T_SelfStock_Log[Part Name],$A51,T_SelfStock_Log[WeekIndex],51))</f>
        <v/>
      </c>
      <c r="BA51" s="19">
        <f>IF(COUNTIFS(T_SelfStock_Log[Part Name],$A51,T_SelfStock_Log[WeekIndex],52)=0,"",SUMIFS(T_SelfStock_Log[Self_Qty],T_SelfStock_Log[Part Name],$A51,T_SelfStock_Log[WeekIndex],52))</f>
        <v/>
      </c>
      <c r="BB51" s="19">
        <f>IF(COUNTIFS(T_SelfStock_Log[Part Name],$A51,T_SelfStock_Log[WeekIndex],53)=0,"",SUMIFS(T_SelfStock_Log[Self_Qty],T_SelfStock_Log[Part Name],$A51,T_SelfStock_Log[WeekIndex],53))</f>
        <v/>
      </c>
      <c r="BC51" s="19">
        <f>IF(COUNTIFS(T_SelfStock_Log[Part Name],$A51,T_SelfStock_Log[WeekIndex],54)=0,"",SUMIFS(T_SelfStock_Log[Self_Qty],T_SelfStock_Log[Part Name],$A51,T_SelfStock_Log[WeekIndex],54))</f>
        <v/>
      </c>
      <c r="BD51" s="19">
        <f>IF(COUNTIFS(T_SelfStock_Log[Part Name],$A51,T_SelfStock_Log[WeekIndex],55)=0,"",SUMIFS(T_SelfStock_Log[Self_Qty],T_SelfStock_Log[Part Name],$A51,T_SelfStock_Log[WeekIndex],55))</f>
        <v/>
      </c>
      <c r="BE51" s="19">
        <f>IF(COUNTIFS(T_SelfStock_Log[Part Name],$A51,T_SelfStock_Log[WeekIndex],56)=0,"",SUMIFS(T_SelfStock_Log[Self_Qty],T_SelfStock_Log[Part Name],$A51,T_SelfStock_Log[WeekIndex],56))</f>
        <v/>
      </c>
      <c r="BF51" s="19">
        <f>IF(COUNTIFS(T_SelfStock_Log[Part Name],$A51,T_SelfStock_Log[WeekIndex],57)=0,"",SUMIFS(T_SelfStock_Log[Self_Qty],T_SelfStock_Log[Part Name],$A51,T_SelfStock_Log[WeekIndex],57))</f>
        <v/>
      </c>
      <c r="BG51" s="19">
        <f>IF(COUNTIFS(T_SelfStock_Log[Part Name],$A51,T_SelfStock_Log[WeekIndex],58)=0,"",SUMIFS(T_SelfStock_Log[Self_Qty],T_SelfStock_Log[Part Name],$A51,T_SelfStock_Log[WeekIndex],58))</f>
        <v/>
      </c>
      <c r="BH51" s="19">
        <f>IF(COUNTIFS(T_SelfStock_Log[Part Name],$A51,T_SelfStock_Log[WeekIndex],59)=0,"",SUMIFS(T_SelfStock_Log[Self_Qty],T_SelfStock_Log[Part Name],$A51,T_SelfStock_Log[WeekIndex],59))</f>
        <v/>
      </c>
      <c r="BI51" s="19">
        <f>IF(COUNTIFS(T_SelfStock_Log[Part Name],$A51,T_SelfStock_Log[WeekIndex],60)=0,"",SUMIFS(T_SelfStock_Log[Self_Qty],T_SelfStock_Log[Part Name],$A51,T_SelfStock_Log[WeekIndex],60))</f>
        <v/>
      </c>
      <c r="BJ51" s="19">
        <f>IF(COUNTIFS(T_SelfStock_Log[Part Name],$A51,T_SelfStock_Log[WeekIndex],61)=0,"",SUMIFS(T_SelfStock_Log[Self_Qty],T_SelfStock_Log[Part Name],$A51,T_SelfStock_Log[WeekIndex],61))</f>
        <v/>
      </c>
      <c r="BK51" s="19">
        <f>IF(COUNTIFS(T_SelfStock_Log[Part Name],$A51,T_SelfStock_Log[WeekIndex],62)=0,"",SUMIFS(T_SelfStock_Log[Self_Qty],T_SelfStock_Log[Part Name],$A51,T_SelfStock_Log[WeekIndex],62))</f>
        <v/>
      </c>
      <c r="BL51" s="19">
        <f>IF(COUNTIFS(T_SelfStock_Log[Part Name],$A51,T_SelfStock_Log[WeekIndex],63)=0,"",SUMIFS(T_SelfStock_Log[Self_Qty],T_SelfStock_Log[Part Name],$A51,T_SelfStock_Log[WeekIndex],63))</f>
        <v/>
      </c>
      <c r="BM51" s="19">
        <f>IF(COUNTIFS(T_SelfStock_Log[Part Name],$A51,T_SelfStock_Log[WeekIndex],64)=0,"",SUMIFS(T_SelfStock_Log[Self_Qty],T_SelfStock_Log[Part Name],$A51,T_SelfStock_Log[WeekIndex],64))</f>
        <v/>
      </c>
      <c r="BN51" s="19">
        <f>IF(COUNTIFS(T_SelfStock_Log[Part Name],$A51,T_SelfStock_Log[WeekIndex],65)=0,"",SUMIFS(T_SelfStock_Log[Self_Qty],T_SelfStock_Log[Part Name],$A51,T_SelfStock_Log[WeekIndex],65))</f>
        <v/>
      </c>
      <c r="BO51" s="19">
        <f>IF(COUNTIFS(T_SelfStock_Log[Part Name],$A51,T_SelfStock_Log[WeekIndex],66)=0,"",SUMIFS(T_SelfStock_Log[Self_Qty],T_SelfStock_Log[Part Name],$A51,T_SelfStock_Log[WeekIndex],66))</f>
        <v/>
      </c>
      <c r="BP51" s="19">
        <f>IF(COUNTIFS(T_SelfStock_Log[Part Name],$A51,T_SelfStock_Log[WeekIndex],67)=0,"",SUMIFS(T_SelfStock_Log[Self_Qty],T_SelfStock_Log[Part Name],$A51,T_SelfStock_Log[WeekIndex],67))</f>
        <v/>
      </c>
      <c r="BQ51" s="19">
        <f>IF(COUNTIFS(T_SelfStock_Log[Part Name],$A51,T_SelfStock_Log[WeekIndex],68)=0,"",SUMIFS(T_SelfStock_Log[Self_Qty],T_SelfStock_Log[Part Name],$A51,T_SelfStock_Log[WeekIndex],68))</f>
        <v/>
      </c>
      <c r="BR51" s="19">
        <f>IF(COUNTIFS(T_SelfStock_Log[Part Name],$A51,T_SelfStock_Log[WeekIndex],69)=0,"",SUMIFS(T_SelfStock_Log[Self_Qty],T_SelfStock_Log[Part Name],$A51,T_SelfStock_Log[WeekIndex],69))</f>
        <v/>
      </c>
      <c r="BS51" s="19">
        <f>IF(COUNTIFS(T_SelfStock_Log[Part Name],$A51,T_SelfStock_Log[WeekIndex],70)=0,"",SUMIFS(T_SelfStock_Log[Self_Qty],T_SelfStock_Log[Part Name],$A51,T_SelfStock_Log[WeekIndex],70))</f>
        <v/>
      </c>
      <c r="BT51" s="19">
        <f>IF(COUNTIFS(T_SelfStock_Log[Part Name],$A51,T_SelfStock_Log[WeekIndex],71)=0,"",SUMIFS(T_SelfStock_Log[Self_Qty],T_SelfStock_Log[Part Name],$A51,T_SelfStock_Log[WeekIndex],71))</f>
        <v/>
      </c>
      <c r="BU51" s="19">
        <f>IF(COUNTIFS(T_SelfStock_Log[Part Name],$A51,T_SelfStock_Log[WeekIndex],72)=0,"",SUMIFS(T_SelfStock_Log[Self_Qty],T_SelfStock_Log[Part Name],$A51,T_SelfStock_Log[WeekIndex],72))</f>
        <v/>
      </c>
      <c r="BV51" s="19">
        <f>IF(COUNTIFS(T_SelfStock_Log[Part Name],$A51,T_SelfStock_Log[WeekIndex],73)=0,"",SUMIFS(T_SelfStock_Log[Self_Qty],T_SelfStock_Log[Part Name],$A51,T_SelfStock_Log[WeekIndex],73))</f>
        <v/>
      </c>
      <c r="BW51" s="19">
        <f>IF(COUNTIFS(T_SelfStock_Log[Part Name],$A51,T_SelfStock_Log[WeekIndex],74)=0,"",SUMIFS(T_SelfStock_Log[Self_Qty],T_SelfStock_Log[Part Name],$A51,T_SelfStock_Log[WeekIndex],74))</f>
        <v/>
      </c>
      <c r="BX51" s="19">
        <f>IF(COUNTIFS(T_SelfStock_Log[Part Name],$A51,T_SelfStock_Log[WeekIndex],75)=0,"",SUMIFS(T_SelfStock_Log[Self_Qty],T_SelfStock_Log[Part Name],$A51,T_SelfStock_Log[WeekIndex],75))</f>
        <v/>
      </c>
      <c r="BY51" s="19">
        <f>IF(COUNTIFS(T_SelfStock_Log[Part Name],$A51,T_SelfStock_Log[WeekIndex],76)=0,"",SUMIFS(T_SelfStock_Log[Self_Qty],T_SelfStock_Log[Part Name],$A51,T_SelfStock_Log[WeekIndex],76))</f>
        <v/>
      </c>
      <c r="BZ51" s="19">
        <f>IF(COUNTIFS(T_SelfStock_Log[Part Name],$A51,T_SelfStock_Log[WeekIndex],77)=0,"",SUMIFS(T_SelfStock_Log[Self_Qty],T_SelfStock_Log[Part Name],$A51,T_SelfStock_Log[WeekIndex],77))</f>
        <v/>
      </c>
      <c r="CA51" s="19">
        <f>IF(COUNTIFS(T_SelfStock_Log[Part Name],$A51,T_SelfStock_Log[WeekIndex],78)=0,"",SUMIFS(T_SelfStock_Log[Self_Qty],T_SelfStock_Log[Part Name],$A51,T_SelfStock_Log[WeekIndex],78))</f>
        <v/>
      </c>
      <c r="CB51" s="19">
        <f>IF(COUNTIFS(T_SelfStock_Log[Part Name],$A51,T_SelfStock_Log[WeekIndex],79)=0,"",SUMIFS(T_SelfStock_Log[Self_Qty],T_SelfStock_Log[Part Name],$A51,T_SelfStock_Log[WeekIndex],79))</f>
        <v/>
      </c>
      <c r="CC51" s="19">
        <f>IF(COUNTIFS(T_SelfStock_Log[Part Name],$A51,T_SelfStock_Log[WeekIndex],80)=0,"",SUMIFS(T_SelfStock_Log[Self_Qty],T_SelfStock_Log[Part Name],$A51,T_SelfStock_Log[WeekIndex],80))</f>
        <v/>
      </c>
      <c r="CD51" s="19">
        <f>IF(COUNTIFS(T_SelfStock_Log[Part Name],$A51,T_SelfStock_Log[WeekIndex],81)=0,"",SUMIFS(T_SelfStock_Log[Self_Qty],T_SelfStock_Log[Part Name],$A51,T_SelfStock_Log[WeekIndex],81))</f>
        <v/>
      </c>
      <c r="CE51" s="19">
        <f>IF(COUNTIFS(T_SelfStock_Log[Part Name],$A51,T_SelfStock_Log[WeekIndex],82)=0,"",SUMIFS(T_SelfStock_Log[Self_Qty],T_SelfStock_Log[Part Name],$A51,T_SelfStock_Log[WeekIndex],82))</f>
        <v/>
      </c>
      <c r="CF51" s="19">
        <f>IF(COUNTIFS(T_SelfStock_Log[Part Name],$A51,T_SelfStock_Log[WeekIndex],83)=0,"",SUMIFS(T_SelfStock_Log[Self_Qty],T_SelfStock_Log[Part Name],$A51,T_SelfStock_Log[WeekIndex],83))</f>
        <v/>
      </c>
      <c r="CG51" s="19">
        <f>IF(COUNTIFS(T_SelfStock_Log[Part Name],$A51,T_SelfStock_Log[WeekIndex],84)=0,"",SUMIFS(T_SelfStock_Log[Self_Qty],T_SelfStock_Log[Part Name],$A51,T_SelfStock_Log[WeekIndex],84))</f>
        <v/>
      </c>
      <c r="CH51" s="19">
        <f>IF(COUNTIFS(T_SelfStock_Log[Part Name],$A51,T_SelfStock_Log[WeekIndex],85)=0,"",SUMIFS(T_SelfStock_Log[Self_Qty],T_SelfStock_Log[Part Name],$A51,T_SelfStock_Log[WeekIndex],85))</f>
        <v/>
      </c>
      <c r="CI51" s="19">
        <f>IF(COUNTIFS(T_SelfStock_Log[Part Name],$A51,T_SelfStock_Log[WeekIndex],86)=0,"",SUMIFS(T_SelfStock_Log[Self_Qty],T_SelfStock_Log[Part Name],$A51,T_SelfStock_Log[WeekIndex],86))</f>
        <v/>
      </c>
      <c r="CJ51" s="19">
        <f>IF(COUNTIFS(T_SelfStock_Log[Part Name],$A51,T_SelfStock_Log[WeekIndex],87)=0,"",SUMIFS(T_SelfStock_Log[Self_Qty],T_SelfStock_Log[Part Name],$A51,T_SelfStock_Log[WeekIndex],87))</f>
        <v/>
      </c>
      <c r="CK51" s="19">
        <f>IF(COUNTIFS(T_SelfStock_Log[Part Name],$A51,T_SelfStock_Log[WeekIndex],88)=0,"",SUMIFS(T_SelfStock_Log[Self_Qty],T_SelfStock_Log[Part Name],$A51,T_SelfStock_Log[WeekIndex],88))</f>
        <v/>
      </c>
      <c r="CL51" s="19">
        <f>IF(COUNTIFS(T_SelfStock_Log[Part Name],$A51,T_SelfStock_Log[WeekIndex],89)=0,"",SUMIFS(T_SelfStock_Log[Self_Qty],T_SelfStock_Log[Part Name],$A51,T_SelfStock_Log[WeekIndex],89))</f>
        <v/>
      </c>
      <c r="CM51" s="19">
        <f>IF(COUNTIFS(T_SelfStock_Log[Part Name],$A51,T_SelfStock_Log[WeekIndex],90)=0,"",SUMIFS(T_SelfStock_Log[Self_Qty],T_SelfStock_Log[Part Name],$A51,T_SelfStock_Log[WeekIndex],90))</f>
        <v/>
      </c>
      <c r="CN51" s="19">
        <f>IF(COUNTIFS(T_SelfStock_Log[Part Name],$A51,T_SelfStock_Log[WeekIndex],91)=0,"",SUMIFS(T_SelfStock_Log[Self_Qty],T_SelfStock_Log[Part Name],$A51,T_SelfStock_Log[WeekIndex],91))</f>
        <v/>
      </c>
      <c r="CO51" s="19">
        <f>IF(COUNTIFS(T_SelfStock_Log[Part Name],$A51,T_SelfStock_Log[WeekIndex],92)=0,"",SUMIFS(T_SelfStock_Log[Self_Qty],T_SelfStock_Log[Part Name],$A51,T_SelfStock_Log[WeekIndex],92))</f>
        <v/>
      </c>
      <c r="CP51" s="19">
        <f>IF(COUNTIFS(T_SelfStock_Log[Part Name],$A51,T_SelfStock_Log[WeekIndex],93)=0,"",SUMIFS(T_SelfStock_Log[Self_Qty],T_SelfStock_Log[Part Name],$A51,T_SelfStock_Log[WeekIndex],93))</f>
        <v/>
      </c>
      <c r="CQ51" s="19">
        <f>IF(COUNTIFS(T_SelfStock_Log[Part Name],$A51,T_SelfStock_Log[WeekIndex],94)=0,"",SUMIFS(T_SelfStock_Log[Self_Qty],T_SelfStock_Log[Part Name],$A51,T_SelfStock_Log[WeekIndex],94))</f>
        <v/>
      </c>
      <c r="CR51" s="19">
        <f>IF(COUNTIFS(T_SelfStock_Log[Part Name],$A51,T_SelfStock_Log[WeekIndex],95)=0,"",SUMIFS(T_SelfStock_Log[Self_Qty],T_SelfStock_Log[Part Name],$A51,T_SelfStock_Log[WeekIndex],95))</f>
        <v/>
      </c>
      <c r="CS51" s="19">
        <f>IF(COUNTIFS(T_SelfStock_Log[Part Name],$A51,T_SelfStock_Log[WeekIndex],96)=0,"",SUMIFS(T_SelfStock_Log[Self_Qty],T_SelfStock_Log[Part Name],$A51,T_SelfStock_Log[WeekIndex],96))</f>
        <v/>
      </c>
      <c r="CT51" s="19">
        <f>IF(COUNTIFS(T_SelfStock_Log[Part Name],$A51,T_SelfStock_Log[WeekIndex],97)=0,"",SUMIFS(T_SelfStock_Log[Self_Qty],T_SelfStock_Log[Part Name],$A51,T_SelfStock_Log[WeekIndex],97))</f>
        <v/>
      </c>
      <c r="CU51" s="19">
        <f>IF(COUNTIFS(T_SelfStock_Log[Part Name],$A51,T_SelfStock_Log[WeekIndex],98)=0,"",SUMIFS(T_SelfStock_Log[Self_Qty],T_SelfStock_Log[Part Name],$A51,T_SelfStock_Log[WeekIndex],98))</f>
        <v/>
      </c>
      <c r="CV51" s="19">
        <f>IF(COUNTIFS(T_SelfStock_Log[Part Name],$A51,T_SelfStock_Log[WeekIndex],99)=0,"",SUMIFS(T_SelfStock_Log[Self_Qty],T_SelfStock_Log[Part Name],$A51,T_SelfStock_Log[WeekIndex],99))</f>
        <v/>
      </c>
      <c r="CW51" s="19">
        <f>IF(COUNTIFS(T_SelfStock_Log[Part Name],$A51,T_SelfStock_Log[WeekIndex],100)=0,"",SUMIFS(T_SelfStock_Log[Self_Qty],T_SelfStock_Log[Part Name],$A51,T_SelfStock_Log[WeekIndex],100))</f>
        <v/>
      </c>
      <c r="CX51" s="19">
        <f>IF(COUNTIFS(T_SelfStock_Log[Part Name],$A51,T_SelfStock_Log[WeekIndex],101)=0,"",SUMIFS(T_SelfStock_Log[Self_Qty],T_SelfStock_Log[Part Name],$A51,T_SelfStock_Log[WeekIndex],101))</f>
        <v/>
      </c>
      <c r="CY51" s="19">
        <f>IF(COUNTIFS(T_SelfStock_Log[Part Name],$A51,T_SelfStock_Log[WeekIndex],102)=0,"",SUMIFS(T_SelfStock_Log[Self_Qty],T_SelfStock_Log[Part Name],$A51,T_SelfStock_Log[WeekIndex],102))</f>
        <v/>
      </c>
      <c r="CZ51" s="19">
        <f>IF(COUNTIFS(T_SelfStock_Log[Part Name],$A51,T_SelfStock_Log[WeekIndex],103)=0,"",SUMIFS(T_SelfStock_Log[Self_Qty],T_SelfStock_Log[Part Name],$A51,T_SelfStock_Log[WeekIndex],103))</f>
        <v/>
      </c>
      <c r="DA51" s="19">
        <f>IF(COUNTIFS(T_SelfStock_Log[Part Name],$A51,T_SelfStock_Log[WeekIndex],104)=0,"",SUMIFS(T_SelfStock_Log[Self_Qty],T_SelfStock_Log[Part Name],$A51,T_SelfStock_Log[WeekIndex],104))</f>
        <v/>
      </c>
    </row>
    <row r="52">
      <c r="A52" s="17" t="inlineStr">
        <is>
          <t>CHEM-1010</t>
        </is>
      </c>
      <c r="B52" s="17">
        <f>IF(COUNTIFS(T_SelfStock_Log[Part Name],$A52,T_SelfStock_Log[WeekIndex],1)=0,"",SUMIFS(T_SelfStock_Log[Self_Qty],T_SelfStock_Log[Part Name],$A52,T_SelfStock_Log[WeekIndex],1))</f>
        <v/>
      </c>
      <c r="C52" s="17">
        <f>IF(COUNTIFS(T_SelfStock_Log[Part Name],$A52,T_SelfStock_Log[WeekIndex],2)=0,"",SUMIFS(T_SelfStock_Log[Self_Qty],T_SelfStock_Log[Part Name],$A52,T_SelfStock_Log[WeekIndex],2))</f>
        <v/>
      </c>
      <c r="D52" s="17">
        <f>IF(COUNTIFS(T_SelfStock_Log[Part Name],$A52,T_SelfStock_Log[WeekIndex],3)=0,"",SUMIFS(T_SelfStock_Log[Self_Qty],T_SelfStock_Log[Part Name],$A52,T_SelfStock_Log[WeekIndex],3))</f>
        <v/>
      </c>
      <c r="E52" s="17">
        <f>IF(COUNTIFS(T_SelfStock_Log[Part Name],$A52,T_SelfStock_Log[WeekIndex],4)=0,"",SUMIFS(T_SelfStock_Log[Self_Qty],T_SelfStock_Log[Part Name],$A52,T_SelfStock_Log[WeekIndex],4))</f>
        <v/>
      </c>
      <c r="F52" s="17">
        <f>IF(COUNTIFS(T_SelfStock_Log[Part Name],$A52,T_SelfStock_Log[WeekIndex],5)=0,"",SUMIFS(T_SelfStock_Log[Self_Qty],T_SelfStock_Log[Part Name],$A52,T_SelfStock_Log[WeekIndex],5))</f>
        <v/>
      </c>
      <c r="G52" s="17">
        <f>IF(COUNTIFS(T_SelfStock_Log[Part Name],$A52,T_SelfStock_Log[WeekIndex],6)=0,"",SUMIFS(T_SelfStock_Log[Self_Qty],T_SelfStock_Log[Part Name],$A52,T_SelfStock_Log[WeekIndex],6))</f>
        <v/>
      </c>
      <c r="H52" s="17">
        <f>IF(COUNTIFS(T_SelfStock_Log[Part Name],$A52,T_SelfStock_Log[WeekIndex],7)=0,"",SUMIFS(T_SelfStock_Log[Self_Qty],T_SelfStock_Log[Part Name],$A52,T_SelfStock_Log[WeekIndex],7))</f>
        <v/>
      </c>
      <c r="I52" s="17">
        <f>IF(COUNTIFS(T_SelfStock_Log[Part Name],$A52,T_SelfStock_Log[WeekIndex],8)=0,"",SUMIFS(T_SelfStock_Log[Self_Qty],T_SelfStock_Log[Part Name],$A52,T_SelfStock_Log[WeekIndex],8))</f>
        <v/>
      </c>
      <c r="J52" s="17">
        <f>IF(COUNTIFS(T_SelfStock_Log[Part Name],$A52,T_SelfStock_Log[WeekIndex],9)=0,"",SUMIFS(T_SelfStock_Log[Self_Qty],T_SelfStock_Log[Part Name],$A52,T_SelfStock_Log[WeekIndex],9))</f>
        <v/>
      </c>
      <c r="K52" s="17">
        <f>IF(COUNTIFS(T_SelfStock_Log[Part Name],$A52,T_SelfStock_Log[WeekIndex],10)=0,"",SUMIFS(T_SelfStock_Log[Self_Qty],T_SelfStock_Log[Part Name],$A52,T_SelfStock_Log[WeekIndex],10))</f>
        <v/>
      </c>
      <c r="L52" s="17">
        <f>IF(COUNTIFS(T_SelfStock_Log[Part Name],$A52,T_SelfStock_Log[WeekIndex],11)=0,"",SUMIFS(T_SelfStock_Log[Self_Qty],T_SelfStock_Log[Part Name],$A52,T_SelfStock_Log[WeekIndex],11))</f>
        <v/>
      </c>
      <c r="M52" s="17">
        <f>IF(COUNTIFS(T_SelfStock_Log[Part Name],$A52,T_SelfStock_Log[WeekIndex],12)=0,"",SUMIFS(T_SelfStock_Log[Self_Qty],T_SelfStock_Log[Part Name],$A52,T_SelfStock_Log[WeekIndex],12))</f>
        <v/>
      </c>
      <c r="N52" s="17">
        <f>IF(COUNTIFS(T_SelfStock_Log[Part Name],$A52,T_SelfStock_Log[WeekIndex],13)=0,"",SUMIFS(T_SelfStock_Log[Self_Qty],T_SelfStock_Log[Part Name],$A52,T_SelfStock_Log[WeekIndex],13))</f>
        <v/>
      </c>
      <c r="O52" s="17">
        <f>IF(COUNTIFS(T_SelfStock_Log[Part Name],$A52,T_SelfStock_Log[WeekIndex],14)=0,"",SUMIFS(T_SelfStock_Log[Self_Qty],T_SelfStock_Log[Part Name],$A52,T_SelfStock_Log[WeekIndex],14))</f>
        <v/>
      </c>
      <c r="P52" s="17">
        <f>IF(COUNTIFS(T_SelfStock_Log[Part Name],$A52,T_SelfStock_Log[WeekIndex],15)=0,"",SUMIFS(T_SelfStock_Log[Self_Qty],T_SelfStock_Log[Part Name],$A52,T_SelfStock_Log[WeekIndex],15))</f>
        <v/>
      </c>
      <c r="Q52" s="17">
        <f>IF(COUNTIFS(T_SelfStock_Log[Part Name],$A52,T_SelfStock_Log[WeekIndex],16)=0,"",SUMIFS(T_SelfStock_Log[Self_Qty],T_SelfStock_Log[Part Name],$A52,T_SelfStock_Log[WeekIndex],16))</f>
        <v/>
      </c>
      <c r="R52" s="17">
        <f>IF(COUNTIFS(T_SelfStock_Log[Part Name],$A52,T_SelfStock_Log[WeekIndex],17)=0,"",SUMIFS(T_SelfStock_Log[Self_Qty],T_SelfStock_Log[Part Name],$A52,T_SelfStock_Log[WeekIndex],17))</f>
        <v/>
      </c>
      <c r="S52" s="17">
        <f>IF(COUNTIFS(T_SelfStock_Log[Part Name],$A52,T_SelfStock_Log[WeekIndex],18)=0,"",SUMIFS(T_SelfStock_Log[Self_Qty],T_SelfStock_Log[Part Name],$A52,T_SelfStock_Log[WeekIndex],18))</f>
        <v/>
      </c>
      <c r="T52" s="17">
        <f>IF(COUNTIFS(T_SelfStock_Log[Part Name],$A52,T_SelfStock_Log[WeekIndex],19)=0,"",SUMIFS(T_SelfStock_Log[Self_Qty],T_SelfStock_Log[Part Name],$A52,T_SelfStock_Log[WeekIndex],19))</f>
        <v/>
      </c>
      <c r="U52" s="17">
        <f>IF(COUNTIFS(T_SelfStock_Log[Part Name],$A52,T_SelfStock_Log[WeekIndex],20)=0,"",SUMIFS(T_SelfStock_Log[Self_Qty],T_SelfStock_Log[Part Name],$A52,T_SelfStock_Log[WeekIndex],20))</f>
        <v/>
      </c>
      <c r="V52" s="17">
        <f>IF(COUNTIFS(T_SelfStock_Log[Part Name],$A52,T_SelfStock_Log[WeekIndex],21)=0,"",SUMIFS(T_SelfStock_Log[Self_Qty],T_SelfStock_Log[Part Name],$A52,T_SelfStock_Log[WeekIndex],21))</f>
        <v/>
      </c>
      <c r="W52" s="17">
        <f>IF(COUNTIFS(T_SelfStock_Log[Part Name],$A52,T_SelfStock_Log[WeekIndex],22)=0,"",SUMIFS(T_SelfStock_Log[Self_Qty],T_SelfStock_Log[Part Name],$A52,T_SelfStock_Log[WeekIndex],22))</f>
        <v/>
      </c>
      <c r="X52" s="17">
        <f>IF(COUNTIFS(T_SelfStock_Log[Part Name],$A52,T_SelfStock_Log[WeekIndex],23)=0,"",SUMIFS(T_SelfStock_Log[Self_Qty],T_SelfStock_Log[Part Name],$A52,T_SelfStock_Log[WeekIndex],23))</f>
        <v/>
      </c>
      <c r="Y52" s="17">
        <f>IF(COUNTIFS(T_SelfStock_Log[Part Name],$A52,T_SelfStock_Log[WeekIndex],24)=0,"",SUMIFS(T_SelfStock_Log[Self_Qty],T_SelfStock_Log[Part Name],$A52,T_SelfStock_Log[WeekIndex],24))</f>
        <v/>
      </c>
      <c r="Z52" s="17">
        <f>IF(COUNTIFS(T_SelfStock_Log[Part Name],$A52,T_SelfStock_Log[WeekIndex],25)=0,"",SUMIFS(T_SelfStock_Log[Self_Qty],T_SelfStock_Log[Part Name],$A52,T_SelfStock_Log[WeekIndex],25))</f>
        <v/>
      </c>
      <c r="AA52" s="17">
        <f>IF(COUNTIFS(T_SelfStock_Log[Part Name],$A52,T_SelfStock_Log[WeekIndex],26)=0,"",SUMIFS(T_SelfStock_Log[Self_Qty],T_SelfStock_Log[Part Name],$A52,T_SelfStock_Log[WeekIndex],26))</f>
        <v/>
      </c>
      <c r="AB52" s="17">
        <f>IF(COUNTIFS(T_SelfStock_Log[Part Name],$A52,T_SelfStock_Log[WeekIndex],27)=0,"",SUMIFS(T_SelfStock_Log[Self_Qty],T_SelfStock_Log[Part Name],$A52,T_SelfStock_Log[WeekIndex],27))</f>
        <v/>
      </c>
      <c r="AC52" s="17">
        <f>IF(COUNTIFS(T_SelfStock_Log[Part Name],$A52,T_SelfStock_Log[WeekIndex],28)=0,"",SUMIFS(T_SelfStock_Log[Self_Qty],T_SelfStock_Log[Part Name],$A52,T_SelfStock_Log[WeekIndex],28))</f>
        <v/>
      </c>
      <c r="AD52" s="17">
        <f>IF(COUNTIFS(T_SelfStock_Log[Part Name],$A52,T_SelfStock_Log[WeekIndex],29)=0,"",SUMIFS(T_SelfStock_Log[Self_Qty],T_SelfStock_Log[Part Name],$A52,T_SelfStock_Log[WeekIndex],29))</f>
        <v/>
      </c>
      <c r="AE52" s="17">
        <f>IF(COUNTIFS(T_SelfStock_Log[Part Name],$A52,T_SelfStock_Log[WeekIndex],30)=0,"",SUMIFS(T_SelfStock_Log[Self_Qty],T_SelfStock_Log[Part Name],$A52,T_SelfStock_Log[WeekIndex],30))</f>
        <v/>
      </c>
      <c r="AF52" s="17">
        <f>IF(COUNTIFS(T_SelfStock_Log[Part Name],$A52,T_SelfStock_Log[WeekIndex],31)=0,"",SUMIFS(T_SelfStock_Log[Self_Qty],T_SelfStock_Log[Part Name],$A52,T_SelfStock_Log[WeekIndex],31))</f>
        <v/>
      </c>
      <c r="AG52" s="17">
        <f>IF(COUNTIFS(T_SelfStock_Log[Part Name],$A52,T_SelfStock_Log[WeekIndex],32)=0,"",SUMIFS(T_SelfStock_Log[Self_Qty],T_SelfStock_Log[Part Name],$A52,T_SelfStock_Log[WeekIndex],32))</f>
        <v/>
      </c>
      <c r="AH52" s="17">
        <f>IF(COUNTIFS(T_SelfStock_Log[Part Name],$A52,T_SelfStock_Log[WeekIndex],33)=0,"",SUMIFS(T_SelfStock_Log[Self_Qty],T_SelfStock_Log[Part Name],$A52,T_SelfStock_Log[WeekIndex],33))</f>
        <v/>
      </c>
      <c r="AI52" s="17">
        <f>IF(COUNTIFS(T_SelfStock_Log[Part Name],$A52,T_SelfStock_Log[WeekIndex],34)=0,"",SUMIFS(T_SelfStock_Log[Self_Qty],T_SelfStock_Log[Part Name],$A52,T_SelfStock_Log[WeekIndex],34))</f>
        <v/>
      </c>
      <c r="AJ52" s="17">
        <f>IF(COUNTIFS(T_SelfStock_Log[Part Name],$A52,T_SelfStock_Log[WeekIndex],35)=0,"",SUMIFS(T_SelfStock_Log[Self_Qty],T_SelfStock_Log[Part Name],$A52,T_SelfStock_Log[WeekIndex],35))</f>
        <v/>
      </c>
      <c r="AK52" s="17">
        <f>IF(COUNTIFS(T_SelfStock_Log[Part Name],$A52,T_SelfStock_Log[WeekIndex],36)=0,"",SUMIFS(T_SelfStock_Log[Self_Qty],T_SelfStock_Log[Part Name],$A52,T_SelfStock_Log[WeekIndex],36))</f>
        <v/>
      </c>
      <c r="AL52" s="17">
        <f>IF(COUNTIFS(T_SelfStock_Log[Part Name],$A52,T_SelfStock_Log[WeekIndex],37)=0,"",SUMIFS(T_SelfStock_Log[Self_Qty],T_SelfStock_Log[Part Name],$A52,T_SelfStock_Log[WeekIndex],37))</f>
        <v/>
      </c>
      <c r="AM52" s="17">
        <f>IF(COUNTIFS(T_SelfStock_Log[Part Name],$A52,T_SelfStock_Log[WeekIndex],38)=0,"",SUMIFS(T_SelfStock_Log[Self_Qty],T_SelfStock_Log[Part Name],$A52,T_SelfStock_Log[WeekIndex],38))</f>
        <v/>
      </c>
      <c r="AN52" s="17">
        <f>IF(COUNTIFS(T_SelfStock_Log[Part Name],$A52,T_SelfStock_Log[WeekIndex],39)=0,"",SUMIFS(T_SelfStock_Log[Self_Qty],T_SelfStock_Log[Part Name],$A52,T_SelfStock_Log[WeekIndex],39))</f>
        <v/>
      </c>
      <c r="AO52" s="17">
        <f>IF(COUNTIFS(T_SelfStock_Log[Part Name],$A52,T_SelfStock_Log[WeekIndex],40)=0,"",SUMIFS(T_SelfStock_Log[Self_Qty],T_SelfStock_Log[Part Name],$A52,T_SelfStock_Log[WeekIndex],40))</f>
        <v/>
      </c>
      <c r="AP52" s="17">
        <f>IF(COUNTIFS(T_SelfStock_Log[Part Name],$A52,T_SelfStock_Log[WeekIndex],41)=0,"",SUMIFS(T_SelfStock_Log[Self_Qty],T_SelfStock_Log[Part Name],$A52,T_SelfStock_Log[WeekIndex],41))</f>
        <v/>
      </c>
      <c r="AQ52" s="17">
        <f>IF(COUNTIFS(T_SelfStock_Log[Part Name],$A52,T_SelfStock_Log[WeekIndex],42)=0,"",SUMIFS(T_SelfStock_Log[Self_Qty],T_SelfStock_Log[Part Name],$A52,T_SelfStock_Log[WeekIndex],42))</f>
        <v/>
      </c>
      <c r="AR52" s="17">
        <f>IF(COUNTIFS(T_SelfStock_Log[Part Name],$A52,T_SelfStock_Log[WeekIndex],43)=0,"",SUMIFS(T_SelfStock_Log[Self_Qty],T_SelfStock_Log[Part Name],$A52,T_SelfStock_Log[WeekIndex],43))</f>
        <v/>
      </c>
      <c r="AS52" s="17">
        <f>IF(COUNTIFS(T_SelfStock_Log[Part Name],$A52,T_SelfStock_Log[WeekIndex],44)=0,"",SUMIFS(T_SelfStock_Log[Self_Qty],T_SelfStock_Log[Part Name],$A52,T_SelfStock_Log[WeekIndex],44))</f>
        <v/>
      </c>
      <c r="AT52" s="17">
        <f>IF(COUNTIFS(T_SelfStock_Log[Part Name],$A52,T_SelfStock_Log[WeekIndex],45)=0,"",SUMIFS(T_SelfStock_Log[Self_Qty],T_SelfStock_Log[Part Name],$A52,T_SelfStock_Log[WeekIndex],45))</f>
        <v/>
      </c>
      <c r="AU52" s="17">
        <f>IF(COUNTIFS(T_SelfStock_Log[Part Name],$A52,T_SelfStock_Log[WeekIndex],46)=0,"",SUMIFS(T_SelfStock_Log[Self_Qty],T_SelfStock_Log[Part Name],$A52,T_SelfStock_Log[WeekIndex],46))</f>
        <v/>
      </c>
      <c r="AV52" s="17">
        <f>IF(COUNTIFS(T_SelfStock_Log[Part Name],$A52,T_SelfStock_Log[WeekIndex],47)=0,"",SUMIFS(T_SelfStock_Log[Self_Qty],T_SelfStock_Log[Part Name],$A52,T_SelfStock_Log[WeekIndex],47))</f>
        <v/>
      </c>
      <c r="AW52" s="17">
        <f>IF(COUNTIFS(T_SelfStock_Log[Part Name],$A52,T_SelfStock_Log[WeekIndex],48)=0,"",SUMIFS(T_SelfStock_Log[Self_Qty],T_SelfStock_Log[Part Name],$A52,T_SelfStock_Log[WeekIndex],48))</f>
        <v/>
      </c>
      <c r="AX52" s="17">
        <f>IF(COUNTIFS(T_SelfStock_Log[Part Name],$A52,T_SelfStock_Log[WeekIndex],49)=0,"",SUMIFS(T_SelfStock_Log[Self_Qty],T_SelfStock_Log[Part Name],$A52,T_SelfStock_Log[WeekIndex],49))</f>
        <v/>
      </c>
      <c r="AY52" s="17">
        <f>IF(COUNTIFS(T_SelfStock_Log[Part Name],$A52,T_SelfStock_Log[WeekIndex],50)=0,"",SUMIFS(T_SelfStock_Log[Self_Qty],T_SelfStock_Log[Part Name],$A52,T_SelfStock_Log[WeekIndex],50))</f>
        <v/>
      </c>
      <c r="AZ52" s="17">
        <f>IF(COUNTIFS(T_SelfStock_Log[Part Name],$A52,T_SelfStock_Log[WeekIndex],51)=0,"",SUMIFS(T_SelfStock_Log[Self_Qty],T_SelfStock_Log[Part Name],$A52,T_SelfStock_Log[WeekIndex],51))</f>
        <v/>
      </c>
      <c r="BA52" s="17">
        <f>IF(COUNTIFS(T_SelfStock_Log[Part Name],$A52,T_SelfStock_Log[WeekIndex],52)=0,"",SUMIFS(T_SelfStock_Log[Self_Qty],T_SelfStock_Log[Part Name],$A52,T_SelfStock_Log[WeekIndex],52))</f>
        <v/>
      </c>
      <c r="BB52" s="17">
        <f>IF(COUNTIFS(T_SelfStock_Log[Part Name],$A52,T_SelfStock_Log[WeekIndex],53)=0,"",SUMIFS(T_SelfStock_Log[Self_Qty],T_SelfStock_Log[Part Name],$A52,T_SelfStock_Log[WeekIndex],53))</f>
        <v/>
      </c>
      <c r="BC52" s="17">
        <f>IF(COUNTIFS(T_SelfStock_Log[Part Name],$A52,T_SelfStock_Log[WeekIndex],54)=0,"",SUMIFS(T_SelfStock_Log[Self_Qty],T_SelfStock_Log[Part Name],$A52,T_SelfStock_Log[WeekIndex],54))</f>
        <v/>
      </c>
      <c r="BD52" s="17">
        <f>IF(COUNTIFS(T_SelfStock_Log[Part Name],$A52,T_SelfStock_Log[WeekIndex],55)=0,"",SUMIFS(T_SelfStock_Log[Self_Qty],T_SelfStock_Log[Part Name],$A52,T_SelfStock_Log[WeekIndex],55))</f>
        <v/>
      </c>
      <c r="BE52" s="17">
        <f>IF(COUNTIFS(T_SelfStock_Log[Part Name],$A52,T_SelfStock_Log[WeekIndex],56)=0,"",SUMIFS(T_SelfStock_Log[Self_Qty],T_SelfStock_Log[Part Name],$A52,T_SelfStock_Log[WeekIndex],56))</f>
        <v/>
      </c>
      <c r="BF52" s="17">
        <f>IF(COUNTIFS(T_SelfStock_Log[Part Name],$A52,T_SelfStock_Log[WeekIndex],57)=0,"",SUMIFS(T_SelfStock_Log[Self_Qty],T_SelfStock_Log[Part Name],$A52,T_SelfStock_Log[WeekIndex],57))</f>
        <v/>
      </c>
      <c r="BG52" s="17">
        <f>IF(COUNTIFS(T_SelfStock_Log[Part Name],$A52,T_SelfStock_Log[WeekIndex],58)=0,"",SUMIFS(T_SelfStock_Log[Self_Qty],T_SelfStock_Log[Part Name],$A52,T_SelfStock_Log[WeekIndex],58))</f>
        <v/>
      </c>
      <c r="BH52" s="17">
        <f>IF(COUNTIFS(T_SelfStock_Log[Part Name],$A52,T_SelfStock_Log[WeekIndex],59)=0,"",SUMIFS(T_SelfStock_Log[Self_Qty],T_SelfStock_Log[Part Name],$A52,T_SelfStock_Log[WeekIndex],59))</f>
        <v/>
      </c>
      <c r="BI52" s="17">
        <f>IF(COUNTIFS(T_SelfStock_Log[Part Name],$A52,T_SelfStock_Log[WeekIndex],60)=0,"",SUMIFS(T_SelfStock_Log[Self_Qty],T_SelfStock_Log[Part Name],$A52,T_SelfStock_Log[WeekIndex],60))</f>
        <v/>
      </c>
      <c r="BJ52" s="17">
        <f>IF(COUNTIFS(T_SelfStock_Log[Part Name],$A52,T_SelfStock_Log[WeekIndex],61)=0,"",SUMIFS(T_SelfStock_Log[Self_Qty],T_SelfStock_Log[Part Name],$A52,T_SelfStock_Log[WeekIndex],61))</f>
        <v/>
      </c>
      <c r="BK52" s="17">
        <f>IF(COUNTIFS(T_SelfStock_Log[Part Name],$A52,T_SelfStock_Log[WeekIndex],62)=0,"",SUMIFS(T_SelfStock_Log[Self_Qty],T_SelfStock_Log[Part Name],$A52,T_SelfStock_Log[WeekIndex],62))</f>
        <v/>
      </c>
      <c r="BL52" s="17">
        <f>IF(COUNTIFS(T_SelfStock_Log[Part Name],$A52,T_SelfStock_Log[WeekIndex],63)=0,"",SUMIFS(T_SelfStock_Log[Self_Qty],T_SelfStock_Log[Part Name],$A52,T_SelfStock_Log[WeekIndex],63))</f>
        <v/>
      </c>
      <c r="BM52" s="17">
        <f>IF(COUNTIFS(T_SelfStock_Log[Part Name],$A52,T_SelfStock_Log[WeekIndex],64)=0,"",SUMIFS(T_SelfStock_Log[Self_Qty],T_SelfStock_Log[Part Name],$A52,T_SelfStock_Log[WeekIndex],64))</f>
        <v/>
      </c>
      <c r="BN52" s="17">
        <f>IF(COUNTIFS(T_SelfStock_Log[Part Name],$A52,T_SelfStock_Log[WeekIndex],65)=0,"",SUMIFS(T_SelfStock_Log[Self_Qty],T_SelfStock_Log[Part Name],$A52,T_SelfStock_Log[WeekIndex],65))</f>
        <v/>
      </c>
      <c r="BO52" s="17">
        <f>IF(COUNTIFS(T_SelfStock_Log[Part Name],$A52,T_SelfStock_Log[WeekIndex],66)=0,"",SUMIFS(T_SelfStock_Log[Self_Qty],T_SelfStock_Log[Part Name],$A52,T_SelfStock_Log[WeekIndex],66))</f>
        <v/>
      </c>
      <c r="BP52" s="17">
        <f>IF(COUNTIFS(T_SelfStock_Log[Part Name],$A52,T_SelfStock_Log[WeekIndex],67)=0,"",SUMIFS(T_SelfStock_Log[Self_Qty],T_SelfStock_Log[Part Name],$A52,T_SelfStock_Log[WeekIndex],67))</f>
        <v/>
      </c>
      <c r="BQ52" s="17">
        <f>IF(COUNTIFS(T_SelfStock_Log[Part Name],$A52,T_SelfStock_Log[WeekIndex],68)=0,"",SUMIFS(T_SelfStock_Log[Self_Qty],T_SelfStock_Log[Part Name],$A52,T_SelfStock_Log[WeekIndex],68))</f>
        <v/>
      </c>
      <c r="BR52" s="17">
        <f>IF(COUNTIFS(T_SelfStock_Log[Part Name],$A52,T_SelfStock_Log[WeekIndex],69)=0,"",SUMIFS(T_SelfStock_Log[Self_Qty],T_SelfStock_Log[Part Name],$A52,T_SelfStock_Log[WeekIndex],69))</f>
        <v/>
      </c>
      <c r="BS52" s="17">
        <f>IF(COUNTIFS(T_SelfStock_Log[Part Name],$A52,T_SelfStock_Log[WeekIndex],70)=0,"",SUMIFS(T_SelfStock_Log[Self_Qty],T_SelfStock_Log[Part Name],$A52,T_SelfStock_Log[WeekIndex],70))</f>
        <v/>
      </c>
      <c r="BT52" s="17">
        <f>IF(COUNTIFS(T_SelfStock_Log[Part Name],$A52,T_SelfStock_Log[WeekIndex],71)=0,"",SUMIFS(T_SelfStock_Log[Self_Qty],T_SelfStock_Log[Part Name],$A52,T_SelfStock_Log[WeekIndex],71))</f>
        <v/>
      </c>
      <c r="BU52" s="17">
        <f>IF(COUNTIFS(T_SelfStock_Log[Part Name],$A52,T_SelfStock_Log[WeekIndex],72)=0,"",SUMIFS(T_SelfStock_Log[Self_Qty],T_SelfStock_Log[Part Name],$A52,T_SelfStock_Log[WeekIndex],72))</f>
        <v/>
      </c>
      <c r="BV52" s="17">
        <f>IF(COUNTIFS(T_SelfStock_Log[Part Name],$A52,T_SelfStock_Log[WeekIndex],73)=0,"",SUMIFS(T_SelfStock_Log[Self_Qty],T_SelfStock_Log[Part Name],$A52,T_SelfStock_Log[WeekIndex],73))</f>
        <v/>
      </c>
      <c r="BW52" s="17">
        <f>IF(COUNTIFS(T_SelfStock_Log[Part Name],$A52,T_SelfStock_Log[WeekIndex],74)=0,"",SUMIFS(T_SelfStock_Log[Self_Qty],T_SelfStock_Log[Part Name],$A52,T_SelfStock_Log[WeekIndex],74))</f>
        <v/>
      </c>
      <c r="BX52" s="17">
        <f>IF(COUNTIFS(T_SelfStock_Log[Part Name],$A52,T_SelfStock_Log[WeekIndex],75)=0,"",SUMIFS(T_SelfStock_Log[Self_Qty],T_SelfStock_Log[Part Name],$A52,T_SelfStock_Log[WeekIndex],75))</f>
        <v/>
      </c>
      <c r="BY52" s="17">
        <f>IF(COUNTIFS(T_SelfStock_Log[Part Name],$A52,T_SelfStock_Log[WeekIndex],76)=0,"",SUMIFS(T_SelfStock_Log[Self_Qty],T_SelfStock_Log[Part Name],$A52,T_SelfStock_Log[WeekIndex],76))</f>
        <v/>
      </c>
      <c r="BZ52" s="17">
        <f>IF(COUNTIFS(T_SelfStock_Log[Part Name],$A52,T_SelfStock_Log[WeekIndex],77)=0,"",SUMIFS(T_SelfStock_Log[Self_Qty],T_SelfStock_Log[Part Name],$A52,T_SelfStock_Log[WeekIndex],77))</f>
        <v/>
      </c>
      <c r="CA52" s="17">
        <f>IF(COUNTIFS(T_SelfStock_Log[Part Name],$A52,T_SelfStock_Log[WeekIndex],78)=0,"",SUMIFS(T_SelfStock_Log[Self_Qty],T_SelfStock_Log[Part Name],$A52,T_SelfStock_Log[WeekIndex],78))</f>
        <v/>
      </c>
      <c r="CB52" s="17">
        <f>IF(COUNTIFS(T_SelfStock_Log[Part Name],$A52,T_SelfStock_Log[WeekIndex],79)=0,"",SUMIFS(T_SelfStock_Log[Self_Qty],T_SelfStock_Log[Part Name],$A52,T_SelfStock_Log[WeekIndex],79))</f>
        <v/>
      </c>
      <c r="CC52" s="17">
        <f>IF(COUNTIFS(T_SelfStock_Log[Part Name],$A52,T_SelfStock_Log[WeekIndex],80)=0,"",SUMIFS(T_SelfStock_Log[Self_Qty],T_SelfStock_Log[Part Name],$A52,T_SelfStock_Log[WeekIndex],80))</f>
        <v/>
      </c>
      <c r="CD52" s="17">
        <f>IF(COUNTIFS(T_SelfStock_Log[Part Name],$A52,T_SelfStock_Log[WeekIndex],81)=0,"",SUMIFS(T_SelfStock_Log[Self_Qty],T_SelfStock_Log[Part Name],$A52,T_SelfStock_Log[WeekIndex],81))</f>
        <v/>
      </c>
      <c r="CE52" s="17">
        <f>IF(COUNTIFS(T_SelfStock_Log[Part Name],$A52,T_SelfStock_Log[WeekIndex],82)=0,"",SUMIFS(T_SelfStock_Log[Self_Qty],T_SelfStock_Log[Part Name],$A52,T_SelfStock_Log[WeekIndex],82))</f>
        <v/>
      </c>
      <c r="CF52" s="17">
        <f>IF(COUNTIFS(T_SelfStock_Log[Part Name],$A52,T_SelfStock_Log[WeekIndex],83)=0,"",SUMIFS(T_SelfStock_Log[Self_Qty],T_SelfStock_Log[Part Name],$A52,T_SelfStock_Log[WeekIndex],83))</f>
        <v/>
      </c>
      <c r="CG52" s="17">
        <f>IF(COUNTIFS(T_SelfStock_Log[Part Name],$A52,T_SelfStock_Log[WeekIndex],84)=0,"",SUMIFS(T_SelfStock_Log[Self_Qty],T_SelfStock_Log[Part Name],$A52,T_SelfStock_Log[WeekIndex],84))</f>
        <v/>
      </c>
      <c r="CH52" s="17">
        <f>IF(COUNTIFS(T_SelfStock_Log[Part Name],$A52,T_SelfStock_Log[WeekIndex],85)=0,"",SUMIFS(T_SelfStock_Log[Self_Qty],T_SelfStock_Log[Part Name],$A52,T_SelfStock_Log[WeekIndex],85))</f>
        <v/>
      </c>
      <c r="CI52" s="17">
        <f>IF(COUNTIFS(T_SelfStock_Log[Part Name],$A52,T_SelfStock_Log[WeekIndex],86)=0,"",SUMIFS(T_SelfStock_Log[Self_Qty],T_SelfStock_Log[Part Name],$A52,T_SelfStock_Log[WeekIndex],86))</f>
        <v/>
      </c>
      <c r="CJ52" s="17">
        <f>IF(COUNTIFS(T_SelfStock_Log[Part Name],$A52,T_SelfStock_Log[WeekIndex],87)=0,"",SUMIFS(T_SelfStock_Log[Self_Qty],T_SelfStock_Log[Part Name],$A52,T_SelfStock_Log[WeekIndex],87))</f>
        <v/>
      </c>
      <c r="CK52" s="17">
        <f>IF(COUNTIFS(T_SelfStock_Log[Part Name],$A52,T_SelfStock_Log[WeekIndex],88)=0,"",SUMIFS(T_SelfStock_Log[Self_Qty],T_SelfStock_Log[Part Name],$A52,T_SelfStock_Log[WeekIndex],88))</f>
        <v/>
      </c>
      <c r="CL52" s="17">
        <f>IF(COUNTIFS(T_SelfStock_Log[Part Name],$A52,T_SelfStock_Log[WeekIndex],89)=0,"",SUMIFS(T_SelfStock_Log[Self_Qty],T_SelfStock_Log[Part Name],$A52,T_SelfStock_Log[WeekIndex],89))</f>
        <v/>
      </c>
      <c r="CM52" s="17">
        <f>IF(COUNTIFS(T_SelfStock_Log[Part Name],$A52,T_SelfStock_Log[WeekIndex],90)=0,"",SUMIFS(T_SelfStock_Log[Self_Qty],T_SelfStock_Log[Part Name],$A52,T_SelfStock_Log[WeekIndex],90))</f>
        <v/>
      </c>
      <c r="CN52" s="17">
        <f>IF(COUNTIFS(T_SelfStock_Log[Part Name],$A52,T_SelfStock_Log[WeekIndex],91)=0,"",SUMIFS(T_SelfStock_Log[Self_Qty],T_SelfStock_Log[Part Name],$A52,T_SelfStock_Log[WeekIndex],91))</f>
        <v/>
      </c>
      <c r="CO52" s="17">
        <f>IF(COUNTIFS(T_SelfStock_Log[Part Name],$A52,T_SelfStock_Log[WeekIndex],92)=0,"",SUMIFS(T_SelfStock_Log[Self_Qty],T_SelfStock_Log[Part Name],$A52,T_SelfStock_Log[WeekIndex],92))</f>
        <v/>
      </c>
      <c r="CP52" s="17">
        <f>IF(COUNTIFS(T_SelfStock_Log[Part Name],$A52,T_SelfStock_Log[WeekIndex],93)=0,"",SUMIFS(T_SelfStock_Log[Self_Qty],T_SelfStock_Log[Part Name],$A52,T_SelfStock_Log[WeekIndex],93))</f>
        <v/>
      </c>
      <c r="CQ52" s="17">
        <f>IF(COUNTIFS(T_SelfStock_Log[Part Name],$A52,T_SelfStock_Log[WeekIndex],94)=0,"",SUMIFS(T_SelfStock_Log[Self_Qty],T_SelfStock_Log[Part Name],$A52,T_SelfStock_Log[WeekIndex],94))</f>
        <v/>
      </c>
      <c r="CR52" s="17">
        <f>IF(COUNTIFS(T_SelfStock_Log[Part Name],$A52,T_SelfStock_Log[WeekIndex],95)=0,"",SUMIFS(T_SelfStock_Log[Self_Qty],T_SelfStock_Log[Part Name],$A52,T_SelfStock_Log[WeekIndex],95))</f>
        <v/>
      </c>
      <c r="CS52" s="17">
        <f>IF(COUNTIFS(T_SelfStock_Log[Part Name],$A52,T_SelfStock_Log[WeekIndex],96)=0,"",SUMIFS(T_SelfStock_Log[Self_Qty],T_SelfStock_Log[Part Name],$A52,T_SelfStock_Log[WeekIndex],96))</f>
        <v/>
      </c>
      <c r="CT52" s="17">
        <f>IF(COUNTIFS(T_SelfStock_Log[Part Name],$A52,T_SelfStock_Log[WeekIndex],97)=0,"",SUMIFS(T_SelfStock_Log[Self_Qty],T_SelfStock_Log[Part Name],$A52,T_SelfStock_Log[WeekIndex],97))</f>
        <v/>
      </c>
      <c r="CU52" s="17">
        <f>IF(COUNTIFS(T_SelfStock_Log[Part Name],$A52,T_SelfStock_Log[WeekIndex],98)=0,"",SUMIFS(T_SelfStock_Log[Self_Qty],T_SelfStock_Log[Part Name],$A52,T_SelfStock_Log[WeekIndex],98))</f>
        <v/>
      </c>
      <c r="CV52" s="17">
        <f>IF(COUNTIFS(T_SelfStock_Log[Part Name],$A52,T_SelfStock_Log[WeekIndex],99)=0,"",SUMIFS(T_SelfStock_Log[Self_Qty],T_SelfStock_Log[Part Name],$A52,T_SelfStock_Log[WeekIndex],99))</f>
        <v/>
      </c>
      <c r="CW52" s="17">
        <f>IF(COUNTIFS(T_SelfStock_Log[Part Name],$A52,T_SelfStock_Log[WeekIndex],100)=0,"",SUMIFS(T_SelfStock_Log[Self_Qty],T_SelfStock_Log[Part Name],$A52,T_SelfStock_Log[WeekIndex],100))</f>
        <v/>
      </c>
      <c r="CX52" s="17">
        <f>IF(COUNTIFS(T_SelfStock_Log[Part Name],$A52,T_SelfStock_Log[WeekIndex],101)=0,"",SUMIFS(T_SelfStock_Log[Self_Qty],T_SelfStock_Log[Part Name],$A52,T_SelfStock_Log[WeekIndex],101))</f>
        <v/>
      </c>
      <c r="CY52" s="17">
        <f>IF(COUNTIFS(T_SelfStock_Log[Part Name],$A52,T_SelfStock_Log[WeekIndex],102)=0,"",SUMIFS(T_SelfStock_Log[Self_Qty],T_SelfStock_Log[Part Name],$A52,T_SelfStock_Log[WeekIndex],102))</f>
        <v/>
      </c>
      <c r="CZ52" s="17">
        <f>IF(COUNTIFS(T_SelfStock_Log[Part Name],$A52,T_SelfStock_Log[WeekIndex],103)=0,"",SUMIFS(T_SelfStock_Log[Self_Qty],T_SelfStock_Log[Part Name],$A52,T_SelfStock_Log[WeekIndex],103))</f>
        <v/>
      </c>
      <c r="DA52" s="17">
        <f>IF(COUNTIFS(T_SelfStock_Log[Part Name],$A52,T_SelfStock_Log[WeekIndex],104)=0,"",SUMIFS(T_SelfStock_Log[Self_Qty],T_SelfStock_Log[Part Name],$A52,T_SelfStock_Log[WeekIndex],104))</f>
        <v/>
      </c>
    </row>
    <row r="53">
      <c r="A53" s="19" t="inlineStr">
        <is>
          <t>CHEM-1760</t>
        </is>
      </c>
      <c r="B53" s="19">
        <f>IF(COUNTIFS(T_SelfStock_Log[Part Name],$A53,T_SelfStock_Log[WeekIndex],1)=0,"",SUMIFS(T_SelfStock_Log[Self_Qty],T_SelfStock_Log[Part Name],$A53,T_SelfStock_Log[WeekIndex],1))</f>
        <v/>
      </c>
      <c r="C53" s="19">
        <f>IF(COUNTIFS(T_SelfStock_Log[Part Name],$A53,T_SelfStock_Log[WeekIndex],2)=0,"",SUMIFS(T_SelfStock_Log[Self_Qty],T_SelfStock_Log[Part Name],$A53,T_SelfStock_Log[WeekIndex],2))</f>
        <v/>
      </c>
      <c r="D53" s="19">
        <f>IF(COUNTIFS(T_SelfStock_Log[Part Name],$A53,T_SelfStock_Log[WeekIndex],3)=0,"",SUMIFS(T_SelfStock_Log[Self_Qty],T_SelfStock_Log[Part Name],$A53,T_SelfStock_Log[WeekIndex],3))</f>
        <v/>
      </c>
      <c r="E53" s="19">
        <f>IF(COUNTIFS(T_SelfStock_Log[Part Name],$A53,T_SelfStock_Log[WeekIndex],4)=0,"",SUMIFS(T_SelfStock_Log[Self_Qty],T_SelfStock_Log[Part Name],$A53,T_SelfStock_Log[WeekIndex],4))</f>
        <v/>
      </c>
      <c r="F53" s="19">
        <f>IF(COUNTIFS(T_SelfStock_Log[Part Name],$A53,T_SelfStock_Log[WeekIndex],5)=0,"",SUMIFS(T_SelfStock_Log[Self_Qty],T_SelfStock_Log[Part Name],$A53,T_SelfStock_Log[WeekIndex],5))</f>
        <v/>
      </c>
      <c r="G53" s="19">
        <f>IF(COUNTIFS(T_SelfStock_Log[Part Name],$A53,T_SelfStock_Log[WeekIndex],6)=0,"",SUMIFS(T_SelfStock_Log[Self_Qty],T_SelfStock_Log[Part Name],$A53,T_SelfStock_Log[WeekIndex],6))</f>
        <v/>
      </c>
      <c r="H53" s="19">
        <f>IF(COUNTIFS(T_SelfStock_Log[Part Name],$A53,T_SelfStock_Log[WeekIndex],7)=0,"",SUMIFS(T_SelfStock_Log[Self_Qty],T_SelfStock_Log[Part Name],$A53,T_SelfStock_Log[WeekIndex],7))</f>
        <v/>
      </c>
      <c r="I53" s="19">
        <f>IF(COUNTIFS(T_SelfStock_Log[Part Name],$A53,T_SelfStock_Log[WeekIndex],8)=0,"",SUMIFS(T_SelfStock_Log[Self_Qty],T_SelfStock_Log[Part Name],$A53,T_SelfStock_Log[WeekIndex],8))</f>
        <v/>
      </c>
      <c r="J53" s="19">
        <f>IF(COUNTIFS(T_SelfStock_Log[Part Name],$A53,T_SelfStock_Log[WeekIndex],9)=0,"",SUMIFS(T_SelfStock_Log[Self_Qty],T_SelfStock_Log[Part Name],$A53,T_SelfStock_Log[WeekIndex],9))</f>
        <v/>
      </c>
      <c r="K53" s="19">
        <f>IF(COUNTIFS(T_SelfStock_Log[Part Name],$A53,T_SelfStock_Log[WeekIndex],10)=0,"",SUMIFS(T_SelfStock_Log[Self_Qty],T_SelfStock_Log[Part Name],$A53,T_SelfStock_Log[WeekIndex],10))</f>
        <v/>
      </c>
      <c r="L53" s="19">
        <f>IF(COUNTIFS(T_SelfStock_Log[Part Name],$A53,T_SelfStock_Log[WeekIndex],11)=0,"",SUMIFS(T_SelfStock_Log[Self_Qty],T_SelfStock_Log[Part Name],$A53,T_SelfStock_Log[WeekIndex],11))</f>
        <v/>
      </c>
      <c r="M53" s="19">
        <f>IF(COUNTIFS(T_SelfStock_Log[Part Name],$A53,T_SelfStock_Log[WeekIndex],12)=0,"",SUMIFS(T_SelfStock_Log[Self_Qty],T_SelfStock_Log[Part Name],$A53,T_SelfStock_Log[WeekIndex],12))</f>
        <v/>
      </c>
      <c r="N53" s="19">
        <f>IF(COUNTIFS(T_SelfStock_Log[Part Name],$A53,T_SelfStock_Log[WeekIndex],13)=0,"",SUMIFS(T_SelfStock_Log[Self_Qty],T_SelfStock_Log[Part Name],$A53,T_SelfStock_Log[WeekIndex],13))</f>
        <v/>
      </c>
      <c r="O53" s="19">
        <f>IF(COUNTIFS(T_SelfStock_Log[Part Name],$A53,T_SelfStock_Log[WeekIndex],14)=0,"",SUMIFS(T_SelfStock_Log[Self_Qty],T_SelfStock_Log[Part Name],$A53,T_SelfStock_Log[WeekIndex],14))</f>
        <v/>
      </c>
      <c r="P53" s="19">
        <f>IF(COUNTIFS(T_SelfStock_Log[Part Name],$A53,T_SelfStock_Log[WeekIndex],15)=0,"",SUMIFS(T_SelfStock_Log[Self_Qty],T_SelfStock_Log[Part Name],$A53,T_SelfStock_Log[WeekIndex],15))</f>
        <v/>
      </c>
      <c r="Q53" s="19">
        <f>IF(COUNTIFS(T_SelfStock_Log[Part Name],$A53,T_SelfStock_Log[WeekIndex],16)=0,"",SUMIFS(T_SelfStock_Log[Self_Qty],T_SelfStock_Log[Part Name],$A53,T_SelfStock_Log[WeekIndex],16))</f>
        <v/>
      </c>
      <c r="R53" s="19">
        <f>IF(COUNTIFS(T_SelfStock_Log[Part Name],$A53,T_SelfStock_Log[WeekIndex],17)=0,"",SUMIFS(T_SelfStock_Log[Self_Qty],T_SelfStock_Log[Part Name],$A53,T_SelfStock_Log[WeekIndex],17))</f>
        <v/>
      </c>
      <c r="S53" s="19">
        <f>IF(COUNTIFS(T_SelfStock_Log[Part Name],$A53,T_SelfStock_Log[WeekIndex],18)=0,"",SUMIFS(T_SelfStock_Log[Self_Qty],T_SelfStock_Log[Part Name],$A53,T_SelfStock_Log[WeekIndex],18))</f>
        <v/>
      </c>
      <c r="T53" s="19">
        <f>IF(COUNTIFS(T_SelfStock_Log[Part Name],$A53,T_SelfStock_Log[WeekIndex],19)=0,"",SUMIFS(T_SelfStock_Log[Self_Qty],T_SelfStock_Log[Part Name],$A53,T_SelfStock_Log[WeekIndex],19))</f>
        <v/>
      </c>
      <c r="U53" s="19">
        <f>IF(COUNTIFS(T_SelfStock_Log[Part Name],$A53,T_SelfStock_Log[WeekIndex],20)=0,"",SUMIFS(T_SelfStock_Log[Self_Qty],T_SelfStock_Log[Part Name],$A53,T_SelfStock_Log[WeekIndex],20))</f>
        <v/>
      </c>
      <c r="V53" s="19">
        <f>IF(COUNTIFS(T_SelfStock_Log[Part Name],$A53,T_SelfStock_Log[WeekIndex],21)=0,"",SUMIFS(T_SelfStock_Log[Self_Qty],T_SelfStock_Log[Part Name],$A53,T_SelfStock_Log[WeekIndex],21))</f>
        <v/>
      </c>
      <c r="W53" s="19">
        <f>IF(COUNTIFS(T_SelfStock_Log[Part Name],$A53,T_SelfStock_Log[WeekIndex],22)=0,"",SUMIFS(T_SelfStock_Log[Self_Qty],T_SelfStock_Log[Part Name],$A53,T_SelfStock_Log[WeekIndex],22))</f>
        <v/>
      </c>
      <c r="X53" s="19">
        <f>IF(COUNTIFS(T_SelfStock_Log[Part Name],$A53,T_SelfStock_Log[WeekIndex],23)=0,"",SUMIFS(T_SelfStock_Log[Self_Qty],T_SelfStock_Log[Part Name],$A53,T_SelfStock_Log[WeekIndex],23))</f>
        <v/>
      </c>
      <c r="Y53" s="19">
        <f>IF(COUNTIFS(T_SelfStock_Log[Part Name],$A53,T_SelfStock_Log[WeekIndex],24)=0,"",SUMIFS(T_SelfStock_Log[Self_Qty],T_SelfStock_Log[Part Name],$A53,T_SelfStock_Log[WeekIndex],24))</f>
        <v/>
      </c>
      <c r="Z53" s="19">
        <f>IF(COUNTIFS(T_SelfStock_Log[Part Name],$A53,T_SelfStock_Log[WeekIndex],25)=0,"",SUMIFS(T_SelfStock_Log[Self_Qty],T_SelfStock_Log[Part Name],$A53,T_SelfStock_Log[WeekIndex],25))</f>
        <v/>
      </c>
      <c r="AA53" s="19">
        <f>IF(COUNTIFS(T_SelfStock_Log[Part Name],$A53,T_SelfStock_Log[WeekIndex],26)=0,"",SUMIFS(T_SelfStock_Log[Self_Qty],T_SelfStock_Log[Part Name],$A53,T_SelfStock_Log[WeekIndex],26))</f>
        <v/>
      </c>
      <c r="AB53" s="19">
        <f>IF(COUNTIFS(T_SelfStock_Log[Part Name],$A53,T_SelfStock_Log[WeekIndex],27)=0,"",SUMIFS(T_SelfStock_Log[Self_Qty],T_SelfStock_Log[Part Name],$A53,T_SelfStock_Log[WeekIndex],27))</f>
        <v/>
      </c>
      <c r="AC53" s="19">
        <f>IF(COUNTIFS(T_SelfStock_Log[Part Name],$A53,T_SelfStock_Log[WeekIndex],28)=0,"",SUMIFS(T_SelfStock_Log[Self_Qty],T_SelfStock_Log[Part Name],$A53,T_SelfStock_Log[WeekIndex],28))</f>
        <v/>
      </c>
      <c r="AD53" s="19">
        <f>IF(COUNTIFS(T_SelfStock_Log[Part Name],$A53,T_SelfStock_Log[WeekIndex],29)=0,"",SUMIFS(T_SelfStock_Log[Self_Qty],T_SelfStock_Log[Part Name],$A53,T_SelfStock_Log[WeekIndex],29))</f>
        <v/>
      </c>
      <c r="AE53" s="19">
        <f>IF(COUNTIFS(T_SelfStock_Log[Part Name],$A53,T_SelfStock_Log[WeekIndex],30)=0,"",SUMIFS(T_SelfStock_Log[Self_Qty],T_SelfStock_Log[Part Name],$A53,T_SelfStock_Log[WeekIndex],30))</f>
        <v/>
      </c>
      <c r="AF53" s="19">
        <f>IF(COUNTIFS(T_SelfStock_Log[Part Name],$A53,T_SelfStock_Log[WeekIndex],31)=0,"",SUMIFS(T_SelfStock_Log[Self_Qty],T_SelfStock_Log[Part Name],$A53,T_SelfStock_Log[WeekIndex],31))</f>
        <v/>
      </c>
      <c r="AG53" s="19">
        <f>IF(COUNTIFS(T_SelfStock_Log[Part Name],$A53,T_SelfStock_Log[WeekIndex],32)=0,"",SUMIFS(T_SelfStock_Log[Self_Qty],T_SelfStock_Log[Part Name],$A53,T_SelfStock_Log[WeekIndex],32))</f>
        <v/>
      </c>
      <c r="AH53" s="19">
        <f>IF(COUNTIFS(T_SelfStock_Log[Part Name],$A53,T_SelfStock_Log[WeekIndex],33)=0,"",SUMIFS(T_SelfStock_Log[Self_Qty],T_SelfStock_Log[Part Name],$A53,T_SelfStock_Log[WeekIndex],33))</f>
        <v/>
      </c>
      <c r="AI53" s="19">
        <f>IF(COUNTIFS(T_SelfStock_Log[Part Name],$A53,T_SelfStock_Log[WeekIndex],34)=0,"",SUMIFS(T_SelfStock_Log[Self_Qty],T_SelfStock_Log[Part Name],$A53,T_SelfStock_Log[WeekIndex],34))</f>
        <v/>
      </c>
      <c r="AJ53" s="19">
        <f>IF(COUNTIFS(T_SelfStock_Log[Part Name],$A53,T_SelfStock_Log[WeekIndex],35)=0,"",SUMIFS(T_SelfStock_Log[Self_Qty],T_SelfStock_Log[Part Name],$A53,T_SelfStock_Log[WeekIndex],35))</f>
        <v/>
      </c>
      <c r="AK53" s="19">
        <f>IF(COUNTIFS(T_SelfStock_Log[Part Name],$A53,T_SelfStock_Log[WeekIndex],36)=0,"",SUMIFS(T_SelfStock_Log[Self_Qty],T_SelfStock_Log[Part Name],$A53,T_SelfStock_Log[WeekIndex],36))</f>
        <v/>
      </c>
      <c r="AL53" s="19">
        <f>IF(COUNTIFS(T_SelfStock_Log[Part Name],$A53,T_SelfStock_Log[WeekIndex],37)=0,"",SUMIFS(T_SelfStock_Log[Self_Qty],T_SelfStock_Log[Part Name],$A53,T_SelfStock_Log[WeekIndex],37))</f>
        <v/>
      </c>
      <c r="AM53" s="19">
        <f>IF(COUNTIFS(T_SelfStock_Log[Part Name],$A53,T_SelfStock_Log[WeekIndex],38)=0,"",SUMIFS(T_SelfStock_Log[Self_Qty],T_SelfStock_Log[Part Name],$A53,T_SelfStock_Log[WeekIndex],38))</f>
        <v/>
      </c>
      <c r="AN53" s="19">
        <f>IF(COUNTIFS(T_SelfStock_Log[Part Name],$A53,T_SelfStock_Log[WeekIndex],39)=0,"",SUMIFS(T_SelfStock_Log[Self_Qty],T_SelfStock_Log[Part Name],$A53,T_SelfStock_Log[WeekIndex],39))</f>
        <v/>
      </c>
      <c r="AO53" s="19">
        <f>IF(COUNTIFS(T_SelfStock_Log[Part Name],$A53,T_SelfStock_Log[WeekIndex],40)=0,"",SUMIFS(T_SelfStock_Log[Self_Qty],T_SelfStock_Log[Part Name],$A53,T_SelfStock_Log[WeekIndex],40))</f>
        <v/>
      </c>
      <c r="AP53" s="19">
        <f>IF(COUNTIFS(T_SelfStock_Log[Part Name],$A53,T_SelfStock_Log[WeekIndex],41)=0,"",SUMIFS(T_SelfStock_Log[Self_Qty],T_SelfStock_Log[Part Name],$A53,T_SelfStock_Log[WeekIndex],41))</f>
        <v/>
      </c>
      <c r="AQ53" s="19">
        <f>IF(COUNTIFS(T_SelfStock_Log[Part Name],$A53,T_SelfStock_Log[WeekIndex],42)=0,"",SUMIFS(T_SelfStock_Log[Self_Qty],T_SelfStock_Log[Part Name],$A53,T_SelfStock_Log[WeekIndex],42))</f>
        <v/>
      </c>
      <c r="AR53" s="19">
        <f>IF(COUNTIFS(T_SelfStock_Log[Part Name],$A53,T_SelfStock_Log[WeekIndex],43)=0,"",SUMIFS(T_SelfStock_Log[Self_Qty],T_SelfStock_Log[Part Name],$A53,T_SelfStock_Log[WeekIndex],43))</f>
        <v/>
      </c>
      <c r="AS53" s="19">
        <f>IF(COUNTIFS(T_SelfStock_Log[Part Name],$A53,T_SelfStock_Log[WeekIndex],44)=0,"",SUMIFS(T_SelfStock_Log[Self_Qty],T_SelfStock_Log[Part Name],$A53,T_SelfStock_Log[WeekIndex],44))</f>
        <v/>
      </c>
      <c r="AT53" s="19">
        <f>IF(COUNTIFS(T_SelfStock_Log[Part Name],$A53,T_SelfStock_Log[WeekIndex],45)=0,"",SUMIFS(T_SelfStock_Log[Self_Qty],T_SelfStock_Log[Part Name],$A53,T_SelfStock_Log[WeekIndex],45))</f>
        <v/>
      </c>
      <c r="AU53" s="19">
        <f>IF(COUNTIFS(T_SelfStock_Log[Part Name],$A53,T_SelfStock_Log[WeekIndex],46)=0,"",SUMIFS(T_SelfStock_Log[Self_Qty],T_SelfStock_Log[Part Name],$A53,T_SelfStock_Log[WeekIndex],46))</f>
        <v/>
      </c>
      <c r="AV53" s="19">
        <f>IF(COUNTIFS(T_SelfStock_Log[Part Name],$A53,T_SelfStock_Log[WeekIndex],47)=0,"",SUMIFS(T_SelfStock_Log[Self_Qty],T_SelfStock_Log[Part Name],$A53,T_SelfStock_Log[WeekIndex],47))</f>
        <v/>
      </c>
      <c r="AW53" s="19">
        <f>IF(COUNTIFS(T_SelfStock_Log[Part Name],$A53,T_SelfStock_Log[WeekIndex],48)=0,"",SUMIFS(T_SelfStock_Log[Self_Qty],T_SelfStock_Log[Part Name],$A53,T_SelfStock_Log[WeekIndex],48))</f>
        <v/>
      </c>
      <c r="AX53" s="19">
        <f>IF(COUNTIFS(T_SelfStock_Log[Part Name],$A53,T_SelfStock_Log[WeekIndex],49)=0,"",SUMIFS(T_SelfStock_Log[Self_Qty],T_SelfStock_Log[Part Name],$A53,T_SelfStock_Log[WeekIndex],49))</f>
        <v/>
      </c>
      <c r="AY53" s="19">
        <f>IF(COUNTIFS(T_SelfStock_Log[Part Name],$A53,T_SelfStock_Log[WeekIndex],50)=0,"",SUMIFS(T_SelfStock_Log[Self_Qty],T_SelfStock_Log[Part Name],$A53,T_SelfStock_Log[WeekIndex],50))</f>
        <v/>
      </c>
      <c r="AZ53" s="19">
        <f>IF(COUNTIFS(T_SelfStock_Log[Part Name],$A53,T_SelfStock_Log[WeekIndex],51)=0,"",SUMIFS(T_SelfStock_Log[Self_Qty],T_SelfStock_Log[Part Name],$A53,T_SelfStock_Log[WeekIndex],51))</f>
        <v/>
      </c>
      <c r="BA53" s="19">
        <f>IF(COUNTIFS(T_SelfStock_Log[Part Name],$A53,T_SelfStock_Log[WeekIndex],52)=0,"",SUMIFS(T_SelfStock_Log[Self_Qty],T_SelfStock_Log[Part Name],$A53,T_SelfStock_Log[WeekIndex],52))</f>
        <v/>
      </c>
      <c r="BB53" s="19">
        <f>IF(COUNTIFS(T_SelfStock_Log[Part Name],$A53,T_SelfStock_Log[WeekIndex],53)=0,"",SUMIFS(T_SelfStock_Log[Self_Qty],T_SelfStock_Log[Part Name],$A53,T_SelfStock_Log[WeekIndex],53))</f>
        <v/>
      </c>
      <c r="BC53" s="19">
        <f>IF(COUNTIFS(T_SelfStock_Log[Part Name],$A53,T_SelfStock_Log[WeekIndex],54)=0,"",SUMIFS(T_SelfStock_Log[Self_Qty],T_SelfStock_Log[Part Name],$A53,T_SelfStock_Log[WeekIndex],54))</f>
        <v/>
      </c>
      <c r="BD53" s="19">
        <f>IF(COUNTIFS(T_SelfStock_Log[Part Name],$A53,T_SelfStock_Log[WeekIndex],55)=0,"",SUMIFS(T_SelfStock_Log[Self_Qty],T_SelfStock_Log[Part Name],$A53,T_SelfStock_Log[WeekIndex],55))</f>
        <v/>
      </c>
      <c r="BE53" s="19">
        <f>IF(COUNTIFS(T_SelfStock_Log[Part Name],$A53,T_SelfStock_Log[WeekIndex],56)=0,"",SUMIFS(T_SelfStock_Log[Self_Qty],T_SelfStock_Log[Part Name],$A53,T_SelfStock_Log[WeekIndex],56))</f>
        <v/>
      </c>
      <c r="BF53" s="19">
        <f>IF(COUNTIFS(T_SelfStock_Log[Part Name],$A53,T_SelfStock_Log[WeekIndex],57)=0,"",SUMIFS(T_SelfStock_Log[Self_Qty],T_SelfStock_Log[Part Name],$A53,T_SelfStock_Log[WeekIndex],57))</f>
        <v/>
      </c>
      <c r="BG53" s="19">
        <f>IF(COUNTIFS(T_SelfStock_Log[Part Name],$A53,T_SelfStock_Log[WeekIndex],58)=0,"",SUMIFS(T_SelfStock_Log[Self_Qty],T_SelfStock_Log[Part Name],$A53,T_SelfStock_Log[WeekIndex],58))</f>
        <v/>
      </c>
      <c r="BH53" s="19">
        <f>IF(COUNTIFS(T_SelfStock_Log[Part Name],$A53,T_SelfStock_Log[WeekIndex],59)=0,"",SUMIFS(T_SelfStock_Log[Self_Qty],T_SelfStock_Log[Part Name],$A53,T_SelfStock_Log[WeekIndex],59))</f>
        <v/>
      </c>
      <c r="BI53" s="19">
        <f>IF(COUNTIFS(T_SelfStock_Log[Part Name],$A53,T_SelfStock_Log[WeekIndex],60)=0,"",SUMIFS(T_SelfStock_Log[Self_Qty],T_SelfStock_Log[Part Name],$A53,T_SelfStock_Log[WeekIndex],60))</f>
        <v/>
      </c>
      <c r="BJ53" s="19">
        <f>IF(COUNTIFS(T_SelfStock_Log[Part Name],$A53,T_SelfStock_Log[WeekIndex],61)=0,"",SUMIFS(T_SelfStock_Log[Self_Qty],T_SelfStock_Log[Part Name],$A53,T_SelfStock_Log[WeekIndex],61))</f>
        <v/>
      </c>
      <c r="BK53" s="19">
        <f>IF(COUNTIFS(T_SelfStock_Log[Part Name],$A53,T_SelfStock_Log[WeekIndex],62)=0,"",SUMIFS(T_SelfStock_Log[Self_Qty],T_SelfStock_Log[Part Name],$A53,T_SelfStock_Log[WeekIndex],62))</f>
        <v/>
      </c>
      <c r="BL53" s="19">
        <f>IF(COUNTIFS(T_SelfStock_Log[Part Name],$A53,T_SelfStock_Log[WeekIndex],63)=0,"",SUMIFS(T_SelfStock_Log[Self_Qty],T_SelfStock_Log[Part Name],$A53,T_SelfStock_Log[WeekIndex],63))</f>
        <v/>
      </c>
      <c r="BM53" s="19">
        <f>IF(COUNTIFS(T_SelfStock_Log[Part Name],$A53,T_SelfStock_Log[WeekIndex],64)=0,"",SUMIFS(T_SelfStock_Log[Self_Qty],T_SelfStock_Log[Part Name],$A53,T_SelfStock_Log[WeekIndex],64))</f>
        <v/>
      </c>
      <c r="BN53" s="19">
        <f>IF(COUNTIFS(T_SelfStock_Log[Part Name],$A53,T_SelfStock_Log[WeekIndex],65)=0,"",SUMIFS(T_SelfStock_Log[Self_Qty],T_SelfStock_Log[Part Name],$A53,T_SelfStock_Log[WeekIndex],65))</f>
        <v/>
      </c>
      <c r="BO53" s="19">
        <f>IF(COUNTIFS(T_SelfStock_Log[Part Name],$A53,T_SelfStock_Log[WeekIndex],66)=0,"",SUMIFS(T_SelfStock_Log[Self_Qty],T_SelfStock_Log[Part Name],$A53,T_SelfStock_Log[WeekIndex],66))</f>
        <v/>
      </c>
      <c r="BP53" s="19">
        <f>IF(COUNTIFS(T_SelfStock_Log[Part Name],$A53,T_SelfStock_Log[WeekIndex],67)=0,"",SUMIFS(T_SelfStock_Log[Self_Qty],T_SelfStock_Log[Part Name],$A53,T_SelfStock_Log[WeekIndex],67))</f>
        <v/>
      </c>
      <c r="BQ53" s="19">
        <f>IF(COUNTIFS(T_SelfStock_Log[Part Name],$A53,T_SelfStock_Log[WeekIndex],68)=0,"",SUMIFS(T_SelfStock_Log[Self_Qty],T_SelfStock_Log[Part Name],$A53,T_SelfStock_Log[WeekIndex],68))</f>
        <v/>
      </c>
      <c r="BR53" s="19">
        <f>IF(COUNTIFS(T_SelfStock_Log[Part Name],$A53,T_SelfStock_Log[WeekIndex],69)=0,"",SUMIFS(T_SelfStock_Log[Self_Qty],T_SelfStock_Log[Part Name],$A53,T_SelfStock_Log[WeekIndex],69))</f>
        <v/>
      </c>
      <c r="BS53" s="19">
        <f>IF(COUNTIFS(T_SelfStock_Log[Part Name],$A53,T_SelfStock_Log[WeekIndex],70)=0,"",SUMIFS(T_SelfStock_Log[Self_Qty],T_SelfStock_Log[Part Name],$A53,T_SelfStock_Log[WeekIndex],70))</f>
        <v/>
      </c>
      <c r="BT53" s="19">
        <f>IF(COUNTIFS(T_SelfStock_Log[Part Name],$A53,T_SelfStock_Log[WeekIndex],71)=0,"",SUMIFS(T_SelfStock_Log[Self_Qty],T_SelfStock_Log[Part Name],$A53,T_SelfStock_Log[WeekIndex],71))</f>
        <v/>
      </c>
      <c r="BU53" s="19">
        <f>IF(COUNTIFS(T_SelfStock_Log[Part Name],$A53,T_SelfStock_Log[WeekIndex],72)=0,"",SUMIFS(T_SelfStock_Log[Self_Qty],T_SelfStock_Log[Part Name],$A53,T_SelfStock_Log[WeekIndex],72))</f>
        <v/>
      </c>
      <c r="BV53" s="19">
        <f>IF(COUNTIFS(T_SelfStock_Log[Part Name],$A53,T_SelfStock_Log[WeekIndex],73)=0,"",SUMIFS(T_SelfStock_Log[Self_Qty],T_SelfStock_Log[Part Name],$A53,T_SelfStock_Log[WeekIndex],73))</f>
        <v/>
      </c>
      <c r="BW53" s="19">
        <f>IF(COUNTIFS(T_SelfStock_Log[Part Name],$A53,T_SelfStock_Log[WeekIndex],74)=0,"",SUMIFS(T_SelfStock_Log[Self_Qty],T_SelfStock_Log[Part Name],$A53,T_SelfStock_Log[WeekIndex],74))</f>
        <v/>
      </c>
      <c r="BX53" s="19">
        <f>IF(COUNTIFS(T_SelfStock_Log[Part Name],$A53,T_SelfStock_Log[WeekIndex],75)=0,"",SUMIFS(T_SelfStock_Log[Self_Qty],T_SelfStock_Log[Part Name],$A53,T_SelfStock_Log[WeekIndex],75))</f>
        <v/>
      </c>
      <c r="BY53" s="19">
        <f>IF(COUNTIFS(T_SelfStock_Log[Part Name],$A53,T_SelfStock_Log[WeekIndex],76)=0,"",SUMIFS(T_SelfStock_Log[Self_Qty],T_SelfStock_Log[Part Name],$A53,T_SelfStock_Log[WeekIndex],76))</f>
        <v/>
      </c>
      <c r="BZ53" s="19">
        <f>IF(COUNTIFS(T_SelfStock_Log[Part Name],$A53,T_SelfStock_Log[WeekIndex],77)=0,"",SUMIFS(T_SelfStock_Log[Self_Qty],T_SelfStock_Log[Part Name],$A53,T_SelfStock_Log[WeekIndex],77))</f>
        <v/>
      </c>
      <c r="CA53" s="19">
        <f>IF(COUNTIFS(T_SelfStock_Log[Part Name],$A53,T_SelfStock_Log[WeekIndex],78)=0,"",SUMIFS(T_SelfStock_Log[Self_Qty],T_SelfStock_Log[Part Name],$A53,T_SelfStock_Log[WeekIndex],78))</f>
        <v/>
      </c>
      <c r="CB53" s="19">
        <f>IF(COUNTIFS(T_SelfStock_Log[Part Name],$A53,T_SelfStock_Log[WeekIndex],79)=0,"",SUMIFS(T_SelfStock_Log[Self_Qty],T_SelfStock_Log[Part Name],$A53,T_SelfStock_Log[WeekIndex],79))</f>
        <v/>
      </c>
      <c r="CC53" s="19">
        <f>IF(COUNTIFS(T_SelfStock_Log[Part Name],$A53,T_SelfStock_Log[WeekIndex],80)=0,"",SUMIFS(T_SelfStock_Log[Self_Qty],T_SelfStock_Log[Part Name],$A53,T_SelfStock_Log[WeekIndex],80))</f>
        <v/>
      </c>
      <c r="CD53" s="19">
        <f>IF(COUNTIFS(T_SelfStock_Log[Part Name],$A53,T_SelfStock_Log[WeekIndex],81)=0,"",SUMIFS(T_SelfStock_Log[Self_Qty],T_SelfStock_Log[Part Name],$A53,T_SelfStock_Log[WeekIndex],81))</f>
        <v/>
      </c>
      <c r="CE53" s="19">
        <f>IF(COUNTIFS(T_SelfStock_Log[Part Name],$A53,T_SelfStock_Log[WeekIndex],82)=0,"",SUMIFS(T_SelfStock_Log[Self_Qty],T_SelfStock_Log[Part Name],$A53,T_SelfStock_Log[WeekIndex],82))</f>
        <v/>
      </c>
      <c r="CF53" s="19">
        <f>IF(COUNTIFS(T_SelfStock_Log[Part Name],$A53,T_SelfStock_Log[WeekIndex],83)=0,"",SUMIFS(T_SelfStock_Log[Self_Qty],T_SelfStock_Log[Part Name],$A53,T_SelfStock_Log[WeekIndex],83))</f>
        <v/>
      </c>
      <c r="CG53" s="19">
        <f>IF(COUNTIFS(T_SelfStock_Log[Part Name],$A53,T_SelfStock_Log[WeekIndex],84)=0,"",SUMIFS(T_SelfStock_Log[Self_Qty],T_SelfStock_Log[Part Name],$A53,T_SelfStock_Log[WeekIndex],84))</f>
        <v/>
      </c>
      <c r="CH53" s="19">
        <f>IF(COUNTIFS(T_SelfStock_Log[Part Name],$A53,T_SelfStock_Log[WeekIndex],85)=0,"",SUMIFS(T_SelfStock_Log[Self_Qty],T_SelfStock_Log[Part Name],$A53,T_SelfStock_Log[WeekIndex],85))</f>
        <v/>
      </c>
      <c r="CI53" s="19">
        <f>IF(COUNTIFS(T_SelfStock_Log[Part Name],$A53,T_SelfStock_Log[WeekIndex],86)=0,"",SUMIFS(T_SelfStock_Log[Self_Qty],T_SelfStock_Log[Part Name],$A53,T_SelfStock_Log[WeekIndex],86))</f>
        <v/>
      </c>
      <c r="CJ53" s="19">
        <f>IF(COUNTIFS(T_SelfStock_Log[Part Name],$A53,T_SelfStock_Log[WeekIndex],87)=0,"",SUMIFS(T_SelfStock_Log[Self_Qty],T_SelfStock_Log[Part Name],$A53,T_SelfStock_Log[WeekIndex],87))</f>
        <v/>
      </c>
      <c r="CK53" s="19">
        <f>IF(COUNTIFS(T_SelfStock_Log[Part Name],$A53,T_SelfStock_Log[WeekIndex],88)=0,"",SUMIFS(T_SelfStock_Log[Self_Qty],T_SelfStock_Log[Part Name],$A53,T_SelfStock_Log[WeekIndex],88))</f>
        <v/>
      </c>
      <c r="CL53" s="19">
        <f>IF(COUNTIFS(T_SelfStock_Log[Part Name],$A53,T_SelfStock_Log[WeekIndex],89)=0,"",SUMIFS(T_SelfStock_Log[Self_Qty],T_SelfStock_Log[Part Name],$A53,T_SelfStock_Log[WeekIndex],89))</f>
        <v/>
      </c>
      <c r="CM53" s="19">
        <f>IF(COUNTIFS(T_SelfStock_Log[Part Name],$A53,T_SelfStock_Log[WeekIndex],90)=0,"",SUMIFS(T_SelfStock_Log[Self_Qty],T_SelfStock_Log[Part Name],$A53,T_SelfStock_Log[WeekIndex],90))</f>
        <v/>
      </c>
      <c r="CN53" s="19">
        <f>IF(COUNTIFS(T_SelfStock_Log[Part Name],$A53,T_SelfStock_Log[WeekIndex],91)=0,"",SUMIFS(T_SelfStock_Log[Self_Qty],T_SelfStock_Log[Part Name],$A53,T_SelfStock_Log[WeekIndex],91))</f>
        <v/>
      </c>
      <c r="CO53" s="19">
        <f>IF(COUNTIFS(T_SelfStock_Log[Part Name],$A53,T_SelfStock_Log[WeekIndex],92)=0,"",SUMIFS(T_SelfStock_Log[Self_Qty],T_SelfStock_Log[Part Name],$A53,T_SelfStock_Log[WeekIndex],92))</f>
        <v/>
      </c>
      <c r="CP53" s="19">
        <f>IF(COUNTIFS(T_SelfStock_Log[Part Name],$A53,T_SelfStock_Log[WeekIndex],93)=0,"",SUMIFS(T_SelfStock_Log[Self_Qty],T_SelfStock_Log[Part Name],$A53,T_SelfStock_Log[WeekIndex],93))</f>
        <v/>
      </c>
      <c r="CQ53" s="19">
        <f>IF(COUNTIFS(T_SelfStock_Log[Part Name],$A53,T_SelfStock_Log[WeekIndex],94)=0,"",SUMIFS(T_SelfStock_Log[Self_Qty],T_SelfStock_Log[Part Name],$A53,T_SelfStock_Log[WeekIndex],94))</f>
        <v/>
      </c>
      <c r="CR53" s="19">
        <f>IF(COUNTIFS(T_SelfStock_Log[Part Name],$A53,T_SelfStock_Log[WeekIndex],95)=0,"",SUMIFS(T_SelfStock_Log[Self_Qty],T_SelfStock_Log[Part Name],$A53,T_SelfStock_Log[WeekIndex],95))</f>
        <v/>
      </c>
      <c r="CS53" s="19">
        <f>IF(COUNTIFS(T_SelfStock_Log[Part Name],$A53,T_SelfStock_Log[WeekIndex],96)=0,"",SUMIFS(T_SelfStock_Log[Self_Qty],T_SelfStock_Log[Part Name],$A53,T_SelfStock_Log[WeekIndex],96))</f>
        <v/>
      </c>
      <c r="CT53" s="19">
        <f>IF(COUNTIFS(T_SelfStock_Log[Part Name],$A53,T_SelfStock_Log[WeekIndex],97)=0,"",SUMIFS(T_SelfStock_Log[Self_Qty],T_SelfStock_Log[Part Name],$A53,T_SelfStock_Log[WeekIndex],97))</f>
        <v/>
      </c>
      <c r="CU53" s="19">
        <f>IF(COUNTIFS(T_SelfStock_Log[Part Name],$A53,T_SelfStock_Log[WeekIndex],98)=0,"",SUMIFS(T_SelfStock_Log[Self_Qty],T_SelfStock_Log[Part Name],$A53,T_SelfStock_Log[WeekIndex],98))</f>
        <v/>
      </c>
      <c r="CV53" s="19">
        <f>IF(COUNTIFS(T_SelfStock_Log[Part Name],$A53,T_SelfStock_Log[WeekIndex],99)=0,"",SUMIFS(T_SelfStock_Log[Self_Qty],T_SelfStock_Log[Part Name],$A53,T_SelfStock_Log[WeekIndex],99))</f>
        <v/>
      </c>
      <c r="CW53" s="19">
        <f>IF(COUNTIFS(T_SelfStock_Log[Part Name],$A53,T_SelfStock_Log[WeekIndex],100)=0,"",SUMIFS(T_SelfStock_Log[Self_Qty],T_SelfStock_Log[Part Name],$A53,T_SelfStock_Log[WeekIndex],100))</f>
        <v/>
      </c>
      <c r="CX53" s="19">
        <f>IF(COUNTIFS(T_SelfStock_Log[Part Name],$A53,T_SelfStock_Log[WeekIndex],101)=0,"",SUMIFS(T_SelfStock_Log[Self_Qty],T_SelfStock_Log[Part Name],$A53,T_SelfStock_Log[WeekIndex],101))</f>
        <v/>
      </c>
      <c r="CY53" s="19">
        <f>IF(COUNTIFS(T_SelfStock_Log[Part Name],$A53,T_SelfStock_Log[WeekIndex],102)=0,"",SUMIFS(T_SelfStock_Log[Self_Qty],T_SelfStock_Log[Part Name],$A53,T_SelfStock_Log[WeekIndex],102))</f>
        <v/>
      </c>
      <c r="CZ53" s="19">
        <f>IF(COUNTIFS(T_SelfStock_Log[Part Name],$A53,T_SelfStock_Log[WeekIndex],103)=0,"",SUMIFS(T_SelfStock_Log[Self_Qty],T_SelfStock_Log[Part Name],$A53,T_SelfStock_Log[WeekIndex],103))</f>
        <v/>
      </c>
      <c r="DA53" s="19">
        <f>IF(COUNTIFS(T_SelfStock_Log[Part Name],$A53,T_SelfStock_Log[WeekIndex],104)=0,"",SUMIFS(T_SelfStock_Log[Self_Qty],T_SelfStock_Log[Part Name],$A53,T_SelfStock_Log[WeekIndex],104))</f>
        <v/>
      </c>
    </row>
    <row r="54">
      <c r="A54" s="17" t="inlineStr">
        <is>
          <t>CHEM-1700</t>
        </is>
      </c>
      <c r="B54" s="17">
        <f>IF(COUNTIFS(T_SelfStock_Log[Part Name],$A54,T_SelfStock_Log[WeekIndex],1)=0,"",SUMIFS(T_SelfStock_Log[Self_Qty],T_SelfStock_Log[Part Name],$A54,T_SelfStock_Log[WeekIndex],1))</f>
        <v/>
      </c>
      <c r="C54" s="17">
        <f>IF(COUNTIFS(T_SelfStock_Log[Part Name],$A54,T_SelfStock_Log[WeekIndex],2)=0,"",SUMIFS(T_SelfStock_Log[Self_Qty],T_SelfStock_Log[Part Name],$A54,T_SelfStock_Log[WeekIndex],2))</f>
        <v/>
      </c>
      <c r="D54" s="17">
        <f>IF(COUNTIFS(T_SelfStock_Log[Part Name],$A54,T_SelfStock_Log[WeekIndex],3)=0,"",SUMIFS(T_SelfStock_Log[Self_Qty],T_SelfStock_Log[Part Name],$A54,T_SelfStock_Log[WeekIndex],3))</f>
        <v/>
      </c>
      <c r="E54" s="17">
        <f>IF(COUNTIFS(T_SelfStock_Log[Part Name],$A54,T_SelfStock_Log[WeekIndex],4)=0,"",SUMIFS(T_SelfStock_Log[Self_Qty],T_SelfStock_Log[Part Name],$A54,T_SelfStock_Log[WeekIndex],4))</f>
        <v/>
      </c>
      <c r="F54" s="17">
        <f>IF(COUNTIFS(T_SelfStock_Log[Part Name],$A54,T_SelfStock_Log[WeekIndex],5)=0,"",SUMIFS(T_SelfStock_Log[Self_Qty],T_SelfStock_Log[Part Name],$A54,T_SelfStock_Log[WeekIndex],5))</f>
        <v/>
      </c>
      <c r="G54" s="17">
        <f>IF(COUNTIFS(T_SelfStock_Log[Part Name],$A54,T_SelfStock_Log[WeekIndex],6)=0,"",SUMIFS(T_SelfStock_Log[Self_Qty],T_SelfStock_Log[Part Name],$A54,T_SelfStock_Log[WeekIndex],6))</f>
        <v/>
      </c>
      <c r="H54" s="17">
        <f>IF(COUNTIFS(T_SelfStock_Log[Part Name],$A54,T_SelfStock_Log[WeekIndex],7)=0,"",SUMIFS(T_SelfStock_Log[Self_Qty],T_SelfStock_Log[Part Name],$A54,T_SelfStock_Log[WeekIndex],7))</f>
        <v/>
      </c>
      <c r="I54" s="17">
        <f>IF(COUNTIFS(T_SelfStock_Log[Part Name],$A54,T_SelfStock_Log[WeekIndex],8)=0,"",SUMIFS(T_SelfStock_Log[Self_Qty],T_SelfStock_Log[Part Name],$A54,T_SelfStock_Log[WeekIndex],8))</f>
        <v/>
      </c>
      <c r="J54" s="17">
        <f>IF(COUNTIFS(T_SelfStock_Log[Part Name],$A54,T_SelfStock_Log[WeekIndex],9)=0,"",SUMIFS(T_SelfStock_Log[Self_Qty],T_SelfStock_Log[Part Name],$A54,T_SelfStock_Log[WeekIndex],9))</f>
        <v/>
      </c>
      <c r="K54" s="17">
        <f>IF(COUNTIFS(T_SelfStock_Log[Part Name],$A54,T_SelfStock_Log[WeekIndex],10)=0,"",SUMIFS(T_SelfStock_Log[Self_Qty],T_SelfStock_Log[Part Name],$A54,T_SelfStock_Log[WeekIndex],10))</f>
        <v/>
      </c>
      <c r="L54" s="17">
        <f>IF(COUNTIFS(T_SelfStock_Log[Part Name],$A54,T_SelfStock_Log[WeekIndex],11)=0,"",SUMIFS(T_SelfStock_Log[Self_Qty],T_SelfStock_Log[Part Name],$A54,T_SelfStock_Log[WeekIndex],11))</f>
        <v/>
      </c>
      <c r="M54" s="17">
        <f>IF(COUNTIFS(T_SelfStock_Log[Part Name],$A54,T_SelfStock_Log[WeekIndex],12)=0,"",SUMIFS(T_SelfStock_Log[Self_Qty],T_SelfStock_Log[Part Name],$A54,T_SelfStock_Log[WeekIndex],12))</f>
        <v/>
      </c>
      <c r="N54" s="17">
        <f>IF(COUNTIFS(T_SelfStock_Log[Part Name],$A54,T_SelfStock_Log[WeekIndex],13)=0,"",SUMIFS(T_SelfStock_Log[Self_Qty],T_SelfStock_Log[Part Name],$A54,T_SelfStock_Log[WeekIndex],13))</f>
        <v/>
      </c>
      <c r="O54" s="17">
        <f>IF(COUNTIFS(T_SelfStock_Log[Part Name],$A54,T_SelfStock_Log[WeekIndex],14)=0,"",SUMIFS(T_SelfStock_Log[Self_Qty],T_SelfStock_Log[Part Name],$A54,T_SelfStock_Log[WeekIndex],14))</f>
        <v/>
      </c>
      <c r="P54" s="17">
        <f>IF(COUNTIFS(T_SelfStock_Log[Part Name],$A54,T_SelfStock_Log[WeekIndex],15)=0,"",SUMIFS(T_SelfStock_Log[Self_Qty],T_SelfStock_Log[Part Name],$A54,T_SelfStock_Log[WeekIndex],15))</f>
        <v/>
      </c>
      <c r="Q54" s="17">
        <f>IF(COUNTIFS(T_SelfStock_Log[Part Name],$A54,T_SelfStock_Log[WeekIndex],16)=0,"",SUMIFS(T_SelfStock_Log[Self_Qty],T_SelfStock_Log[Part Name],$A54,T_SelfStock_Log[WeekIndex],16))</f>
        <v/>
      </c>
      <c r="R54" s="17">
        <f>IF(COUNTIFS(T_SelfStock_Log[Part Name],$A54,T_SelfStock_Log[WeekIndex],17)=0,"",SUMIFS(T_SelfStock_Log[Self_Qty],T_SelfStock_Log[Part Name],$A54,T_SelfStock_Log[WeekIndex],17))</f>
        <v/>
      </c>
      <c r="S54" s="17">
        <f>IF(COUNTIFS(T_SelfStock_Log[Part Name],$A54,T_SelfStock_Log[WeekIndex],18)=0,"",SUMIFS(T_SelfStock_Log[Self_Qty],T_SelfStock_Log[Part Name],$A54,T_SelfStock_Log[WeekIndex],18))</f>
        <v/>
      </c>
      <c r="T54" s="17">
        <f>IF(COUNTIFS(T_SelfStock_Log[Part Name],$A54,T_SelfStock_Log[WeekIndex],19)=0,"",SUMIFS(T_SelfStock_Log[Self_Qty],T_SelfStock_Log[Part Name],$A54,T_SelfStock_Log[WeekIndex],19))</f>
        <v/>
      </c>
      <c r="U54" s="17">
        <f>IF(COUNTIFS(T_SelfStock_Log[Part Name],$A54,T_SelfStock_Log[WeekIndex],20)=0,"",SUMIFS(T_SelfStock_Log[Self_Qty],T_SelfStock_Log[Part Name],$A54,T_SelfStock_Log[WeekIndex],20))</f>
        <v/>
      </c>
      <c r="V54" s="17">
        <f>IF(COUNTIFS(T_SelfStock_Log[Part Name],$A54,T_SelfStock_Log[WeekIndex],21)=0,"",SUMIFS(T_SelfStock_Log[Self_Qty],T_SelfStock_Log[Part Name],$A54,T_SelfStock_Log[WeekIndex],21))</f>
        <v/>
      </c>
      <c r="W54" s="17">
        <f>IF(COUNTIFS(T_SelfStock_Log[Part Name],$A54,T_SelfStock_Log[WeekIndex],22)=0,"",SUMIFS(T_SelfStock_Log[Self_Qty],T_SelfStock_Log[Part Name],$A54,T_SelfStock_Log[WeekIndex],22))</f>
        <v/>
      </c>
      <c r="X54" s="17">
        <f>IF(COUNTIFS(T_SelfStock_Log[Part Name],$A54,T_SelfStock_Log[WeekIndex],23)=0,"",SUMIFS(T_SelfStock_Log[Self_Qty],T_SelfStock_Log[Part Name],$A54,T_SelfStock_Log[WeekIndex],23))</f>
        <v/>
      </c>
      <c r="Y54" s="17">
        <f>IF(COUNTIFS(T_SelfStock_Log[Part Name],$A54,T_SelfStock_Log[WeekIndex],24)=0,"",SUMIFS(T_SelfStock_Log[Self_Qty],T_SelfStock_Log[Part Name],$A54,T_SelfStock_Log[WeekIndex],24))</f>
        <v/>
      </c>
      <c r="Z54" s="17">
        <f>IF(COUNTIFS(T_SelfStock_Log[Part Name],$A54,T_SelfStock_Log[WeekIndex],25)=0,"",SUMIFS(T_SelfStock_Log[Self_Qty],T_SelfStock_Log[Part Name],$A54,T_SelfStock_Log[WeekIndex],25))</f>
        <v/>
      </c>
      <c r="AA54" s="17">
        <f>IF(COUNTIFS(T_SelfStock_Log[Part Name],$A54,T_SelfStock_Log[WeekIndex],26)=0,"",SUMIFS(T_SelfStock_Log[Self_Qty],T_SelfStock_Log[Part Name],$A54,T_SelfStock_Log[WeekIndex],26))</f>
        <v/>
      </c>
      <c r="AB54" s="17">
        <f>IF(COUNTIFS(T_SelfStock_Log[Part Name],$A54,T_SelfStock_Log[WeekIndex],27)=0,"",SUMIFS(T_SelfStock_Log[Self_Qty],T_SelfStock_Log[Part Name],$A54,T_SelfStock_Log[WeekIndex],27))</f>
        <v/>
      </c>
      <c r="AC54" s="17">
        <f>IF(COUNTIFS(T_SelfStock_Log[Part Name],$A54,T_SelfStock_Log[WeekIndex],28)=0,"",SUMIFS(T_SelfStock_Log[Self_Qty],T_SelfStock_Log[Part Name],$A54,T_SelfStock_Log[WeekIndex],28))</f>
        <v/>
      </c>
      <c r="AD54" s="17">
        <f>IF(COUNTIFS(T_SelfStock_Log[Part Name],$A54,T_SelfStock_Log[WeekIndex],29)=0,"",SUMIFS(T_SelfStock_Log[Self_Qty],T_SelfStock_Log[Part Name],$A54,T_SelfStock_Log[WeekIndex],29))</f>
        <v/>
      </c>
      <c r="AE54" s="17">
        <f>IF(COUNTIFS(T_SelfStock_Log[Part Name],$A54,T_SelfStock_Log[WeekIndex],30)=0,"",SUMIFS(T_SelfStock_Log[Self_Qty],T_SelfStock_Log[Part Name],$A54,T_SelfStock_Log[WeekIndex],30))</f>
        <v/>
      </c>
      <c r="AF54" s="17">
        <f>IF(COUNTIFS(T_SelfStock_Log[Part Name],$A54,T_SelfStock_Log[WeekIndex],31)=0,"",SUMIFS(T_SelfStock_Log[Self_Qty],T_SelfStock_Log[Part Name],$A54,T_SelfStock_Log[WeekIndex],31))</f>
        <v/>
      </c>
      <c r="AG54" s="17">
        <f>IF(COUNTIFS(T_SelfStock_Log[Part Name],$A54,T_SelfStock_Log[WeekIndex],32)=0,"",SUMIFS(T_SelfStock_Log[Self_Qty],T_SelfStock_Log[Part Name],$A54,T_SelfStock_Log[WeekIndex],32))</f>
        <v/>
      </c>
      <c r="AH54" s="17">
        <f>IF(COUNTIFS(T_SelfStock_Log[Part Name],$A54,T_SelfStock_Log[WeekIndex],33)=0,"",SUMIFS(T_SelfStock_Log[Self_Qty],T_SelfStock_Log[Part Name],$A54,T_SelfStock_Log[WeekIndex],33))</f>
        <v/>
      </c>
      <c r="AI54" s="17">
        <f>IF(COUNTIFS(T_SelfStock_Log[Part Name],$A54,T_SelfStock_Log[WeekIndex],34)=0,"",SUMIFS(T_SelfStock_Log[Self_Qty],T_SelfStock_Log[Part Name],$A54,T_SelfStock_Log[WeekIndex],34))</f>
        <v/>
      </c>
      <c r="AJ54" s="17">
        <f>IF(COUNTIFS(T_SelfStock_Log[Part Name],$A54,T_SelfStock_Log[WeekIndex],35)=0,"",SUMIFS(T_SelfStock_Log[Self_Qty],T_SelfStock_Log[Part Name],$A54,T_SelfStock_Log[WeekIndex],35))</f>
        <v/>
      </c>
      <c r="AK54" s="17">
        <f>IF(COUNTIFS(T_SelfStock_Log[Part Name],$A54,T_SelfStock_Log[WeekIndex],36)=0,"",SUMIFS(T_SelfStock_Log[Self_Qty],T_SelfStock_Log[Part Name],$A54,T_SelfStock_Log[WeekIndex],36))</f>
        <v/>
      </c>
      <c r="AL54" s="17">
        <f>IF(COUNTIFS(T_SelfStock_Log[Part Name],$A54,T_SelfStock_Log[WeekIndex],37)=0,"",SUMIFS(T_SelfStock_Log[Self_Qty],T_SelfStock_Log[Part Name],$A54,T_SelfStock_Log[WeekIndex],37))</f>
        <v/>
      </c>
      <c r="AM54" s="17">
        <f>IF(COUNTIFS(T_SelfStock_Log[Part Name],$A54,T_SelfStock_Log[WeekIndex],38)=0,"",SUMIFS(T_SelfStock_Log[Self_Qty],T_SelfStock_Log[Part Name],$A54,T_SelfStock_Log[WeekIndex],38))</f>
        <v/>
      </c>
      <c r="AN54" s="17">
        <f>IF(COUNTIFS(T_SelfStock_Log[Part Name],$A54,T_SelfStock_Log[WeekIndex],39)=0,"",SUMIFS(T_SelfStock_Log[Self_Qty],T_SelfStock_Log[Part Name],$A54,T_SelfStock_Log[WeekIndex],39))</f>
        <v/>
      </c>
      <c r="AO54" s="17">
        <f>IF(COUNTIFS(T_SelfStock_Log[Part Name],$A54,T_SelfStock_Log[WeekIndex],40)=0,"",SUMIFS(T_SelfStock_Log[Self_Qty],T_SelfStock_Log[Part Name],$A54,T_SelfStock_Log[WeekIndex],40))</f>
        <v/>
      </c>
      <c r="AP54" s="17">
        <f>IF(COUNTIFS(T_SelfStock_Log[Part Name],$A54,T_SelfStock_Log[WeekIndex],41)=0,"",SUMIFS(T_SelfStock_Log[Self_Qty],T_SelfStock_Log[Part Name],$A54,T_SelfStock_Log[WeekIndex],41))</f>
        <v/>
      </c>
      <c r="AQ54" s="17">
        <f>IF(COUNTIFS(T_SelfStock_Log[Part Name],$A54,T_SelfStock_Log[WeekIndex],42)=0,"",SUMIFS(T_SelfStock_Log[Self_Qty],T_SelfStock_Log[Part Name],$A54,T_SelfStock_Log[WeekIndex],42))</f>
        <v/>
      </c>
      <c r="AR54" s="17">
        <f>IF(COUNTIFS(T_SelfStock_Log[Part Name],$A54,T_SelfStock_Log[WeekIndex],43)=0,"",SUMIFS(T_SelfStock_Log[Self_Qty],T_SelfStock_Log[Part Name],$A54,T_SelfStock_Log[WeekIndex],43))</f>
        <v/>
      </c>
      <c r="AS54" s="17">
        <f>IF(COUNTIFS(T_SelfStock_Log[Part Name],$A54,T_SelfStock_Log[WeekIndex],44)=0,"",SUMIFS(T_SelfStock_Log[Self_Qty],T_SelfStock_Log[Part Name],$A54,T_SelfStock_Log[WeekIndex],44))</f>
        <v/>
      </c>
      <c r="AT54" s="17">
        <f>IF(COUNTIFS(T_SelfStock_Log[Part Name],$A54,T_SelfStock_Log[WeekIndex],45)=0,"",SUMIFS(T_SelfStock_Log[Self_Qty],T_SelfStock_Log[Part Name],$A54,T_SelfStock_Log[WeekIndex],45))</f>
        <v/>
      </c>
      <c r="AU54" s="17">
        <f>IF(COUNTIFS(T_SelfStock_Log[Part Name],$A54,T_SelfStock_Log[WeekIndex],46)=0,"",SUMIFS(T_SelfStock_Log[Self_Qty],T_SelfStock_Log[Part Name],$A54,T_SelfStock_Log[WeekIndex],46))</f>
        <v/>
      </c>
      <c r="AV54" s="17">
        <f>IF(COUNTIFS(T_SelfStock_Log[Part Name],$A54,T_SelfStock_Log[WeekIndex],47)=0,"",SUMIFS(T_SelfStock_Log[Self_Qty],T_SelfStock_Log[Part Name],$A54,T_SelfStock_Log[WeekIndex],47))</f>
        <v/>
      </c>
      <c r="AW54" s="17">
        <f>IF(COUNTIFS(T_SelfStock_Log[Part Name],$A54,T_SelfStock_Log[WeekIndex],48)=0,"",SUMIFS(T_SelfStock_Log[Self_Qty],T_SelfStock_Log[Part Name],$A54,T_SelfStock_Log[WeekIndex],48))</f>
        <v/>
      </c>
      <c r="AX54" s="17">
        <f>IF(COUNTIFS(T_SelfStock_Log[Part Name],$A54,T_SelfStock_Log[WeekIndex],49)=0,"",SUMIFS(T_SelfStock_Log[Self_Qty],T_SelfStock_Log[Part Name],$A54,T_SelfStock_Log[WeekIndex],49))</f>
        <v/>
      </c>
      <c r="AY54" s="17">
        <f>IF(COUNTIFS(T_SelfStock_Log[Part Name],$A54,T_SelfStock_Log[WeekIndex],50)=0,"",SUMIFS(T_SelfStock_Log[Self_Qty],T_SelfStock_Log[Part Name],$A54,T_SelfStock_Log[WeekIndex],50))</f>
        <v/>
      </c>
      <c r="AZ54" s="17">
        <f>IF(COUNTIFS(T_SelfStock_Log[Part Name],$A54,T_SelfStock_Log[WeekIndex],51)=0,"",SUMIFS(T_SelfStock_Log[Self_Qty],T_SelfStock_Log[Part Name],$A54,T_SelfStock_Log[WeekIndex],51))</f>
        <v/>
      </c>
      <c r="BA54" s="17">
        <f>IF(COUNTIFS(T_SelfStock_Log[Part Name],$A54,T_SelfStock_Log[WeekIndex],52)=0,"",SUMIFS(T_SelfStock_Log[Self_Qty],T_SelfStock_Log[Part Name],$A54,T_SelfStock_Log[WeekIndex],52))</f>
        <v/>
      </c>
      <c r="BB54" s="17">
        <f>IF(COUNTIFS(T_SelfStock_Log[Part Name],$A54,T_SelfStock_Log[WeekIndex],53)=0,"",SUMIFS(T_SelfStock_Log[Self_Qty],T_SelfStock_Log[Part Name],$A54,T_SelfStock_Log[WeekIndex],53))</f>
        <v/>
      </c>
      <c r="BC54" s="17">
        <f>IF(COUNTIFS(T_SelfStock_Log[Part Name],$A54,T_SelfStock_Log[WeekIndex],54)=0,"",SUMIFS(T_SelfStock_Log[Self_Qty],T_SelfStock_Log[Part Name],$A54,T_SelfStock_Log[WeekIndex],54))</f>
        <v/>
      </c>
      <c r="BD54" s="17">
        <f>IF(COUNTIFS(T_SelfStock_Log[Part Name],$A54,T_SelfStock_Log[WeekIndex],55)=0,"",SUMIFS(T_SelfStock_Log[Self_Qty],T_SelfStock_Log[Part Name],$A54,T_SelfStock_Log[WeekIndex],55))</f>
        <v/>
      </c>
      <c r="BE54" s="17">
        <f>IF(COUNTIFS(T_SelfStock_Log[Part Name],$A54,T_SelfStock_Log[WeekIndex],56)=0,"",SUMIFS(T_SelfStock_Log[Self_Qty],T_SelfStock_Log[Part Name],$A54,T_SelfStock_Log[WeekIndex],56))</f>
        <v/>
      </c>
      <c r="BF54" s="17">
        <f>IF(COUNTIFS(T_SelfStock_Log[Part Name],$A54,T_SelfStock_Log[WeekIndex],57)=0,"",SUMIFS(T_SelfStock_Log[Self_Qty],T_SelfStock_Log[Part Name],$A54,T_SelfStock_Log[WeekIndex],57))</f>
        <v/>
      </c>
      <c r="BG54" s="17">
        <f>IF(COUNTIFS(T_SelfStock_Log[Part Name],$A54,T_SelfStock_Log[WeekIndex],58)=0,"",SUMIFS(T_SelfStock_Log[Self_Qty],T_SelfStock_Log[Part Name],$A54,T_SelfStock_Log[WeekIndex],58))</f>
        <v/>
      </c>
      <c r="BH54" s="17">
        <f>IF(COUNTIFS(T_SelfStock_Log[Part Name],$A54,T_SelfStock_Log[WeekIndex],59)=0,"",SUMIFS(T_SelfStock_Log[Self_Qty],T_SelfStock_Log[Part Name],$A54,T_SelfStock_Log[WeekIndex],59))</f>
        <v/>
      </c>
      <c r="BI54" s="17">
        <f>IF(COUNTIFS(T_SelfStock_Log[Part Name],$A54,T_SelfStock_Log[WeekIndex],60)=0,"",SUMIFS(T_SelfStock_Log[Self_Qty],T_SelfStock_Log[Part Name],$A54,T_SelfStock_Log[WeekIndex],60))</f>
        <v/>
      </c>
      <c r="BJ54" s="17">
        <f>IF(COUNTIFS(T_SelfStock_Log[Part Name],$A54,T_SelfStock_Log[WeekIndex],61)=0,"",SUMIFS(T_SelfStock_Log[Self_Qty],T_SelfStock_Log[Part Name],$A54,T_SelfStock_Log[WeekIndex],61))</f>
        <v/>
      </c>
      <c r="BK54" s="17">
        <f>IF(COUNTIFS(T_SelfStock_Log[Part Name],$A54,T_SelfStock_Log[WeekIndex],62)=0,"",SUMIFS(T_SelfStock_Log[Self_Qty],T_SelfStock_Log[Part Name],$A54,T_SelfStock_Log[WeekIndex],62))</f>
        <v/>
      </c>
      <c r="BL54" s="17">
        <f>IF(COUNTIFS(T_SelfStock_Log[Part Name],$A54,T_SelfStock_Log[WeekIndex],63)=0,"",SUMIFS(T_SelfStock_Log[Self_Qty],T_SelfStock_Log[Part Name],$A54,T_SelfStock_Log[WeekIndex],63))</f>
        <v/>
      </c>
      <c r="BM54" s="17">
        <f>IF(COUNTIFS(T_SelfStock_Log[Part Name],$A54,T_SelfStock_Log[WeekIndex],64)=0,"",SUMIFS(T_SelfStock_Log[Self_Qty],T_SelfStock_Log[Part Name],$A54,T_SelfStock_Log[WeekIndex],64))</f>
        <v/>
      </c>
      <c r="BN54" s="17">
        <f>IF(COUNTIFS(T_SelfStock_Log[Part Name],$A54,T_SelfStock_Log[WeekIndex],65)=0,"",SUMIFS(T_SelfStock_Log[Self_Qty],T_SelfStock_Log[Part Name],$A54,T_SelfStock_Log[WeekIndex],65))</f>
        <v/>
      </c>
      <c r="BO54" s="17">
        <f>IF(COUNTIFS(T_SelfStock_Log[Part Name],$A54,T_SelfStock_Log[WeekIndex],66)=0,"",SUMIFS(T_SelfStock_Log[Self_Qty],T_SelfStock_Log[Part Name],$A54,T_SelfStock_Log[WeekIndex],66))</f>
        <v/>
      </c>
      <c r="BP54" s="17">
        <f>IF(COUNTIFS(T_SelfStock_Log[Part Name],$A54,T_SelfStock_Log[WeekIndex],67)=0,"",SUMIFS(T_SelfStock_Log[Self_Qty],T_SelfStock_Log[Part Name],$A54,T_SelfStock_Log[WeekIndex],67))</f>
        <v/>
      </c>
      <c r="BQ54" s="17">
        <f>IF(COUNTIFS(T_SelfStock_Log[Part Name],$A54,T_SelfStock_Log[WeekIndex],68)=0,"",SUMIFS(T_SelfStock_Log[Self_Qty],T_SelfStock_Log[Part Name],$A54,T_SelfStock_Log[WeekIndex],68))</f>
        <v/>
      </c>
      <c r="BR54" s="17">
        <f>IF(COUNTIFS(T_SelfStock_Log[Part Name],$A54,T_SelfStock_Log[WeekIndex],69)=0,"",SUMIFS(T_SelfStock_Log[Self_Qty],T_SelfStock_Log[Part Name],$A54,T_SelfStock_Log[WeekIndex],69))</f>
        <v/>
      </c>
      <c r="BS54" s="17">
        <f>IF(COUNTIFS(T_SelfStock_Log[Part Name],$A54,T_SelfStock_Log[WeekIndex],70)=0,"",SUMIFS(T_SelfStock_Log[Self_Qty],T_SelfStock_Log[Part Name],$A54,T_SelfStock_Log[WeekIndex],70))</f>
        <v/>
      </c>
      <c r="BT54" s="17">
        <f>IF(COUNTIFS(T_SelfStock_Log[Part Name],$A54,T_SelfStock_Log[WeekIndex],71)=0,"",SUMIFS(T_SelfStock_Log[Self_Qty],T_SelfStock_Log[Part Name],$A54,T_SelfStock_Log[WeekIndex],71))</f>
        <v/>
      </c>
      <c r="BU54" s="17">
        <f>IF(COUNTIFS(T_SelfStock_Log[Part Name],$A54,T_SelfStock_Log[WeekIndex],72)=0,"",SUMIFS(T_SelfStock_Log[Self_Qty],T_SelfStock_Log[Part Name],$A54,T_SelfStock_Log[WeekIndex],72))</f>
        <v/>
      </c>
      <c r="BV54" s="17">
        <f>IF(COUNTIFS(T_SelfStock_Log[Part Name],$A54,T_SelfStock_Log[WeekIndex],73)=0,"",SUMIFS(T_SelfStock_Log[Self_Qty],T_SelfStock_Log[Part Name],$A54,T_SelfStock_Log[WeekIndex],73))</f>
        <v/>
      </c>
      <c r="BW54" s="17">
        <f>IF(COUNTIFS(T_SelfStock_Log[Part Name],$A54,T_SelfStock_Log[WeekIndex],74)=0,"",SUMIFS(T_SelfStock_Log[Self_Qty],T_SelfStock_Log[Part Name],$A54,T_SelfStock_Log[WeekIndex],74))</f>
        <v/>
      </c>
      <c r="BX54" s="17">
        <f>IF(COUNTIFS(T_SelfStock_Log[Part Name],$A54,T_SelfStock_Log[WeekIndex],75)=0,"",SUMIFS(T_SelfStock_Log[Self_Qty],T_SelfStock_Log[Part Name],$A54,T_SelfStock_Log[WeekIndex],75))</f>
        <v/>
      </c>
      <c r="BY54" s="17">
        <f>IF(COUNTIFS(T_SelfStock_Log[Part Name],$A54,T_SelfStock_Log[WeekIndex],76)=0,"",SUMIFS(T_SelfStock_Log[Self_Qty],T_SelfStock_Log[Part Name],$A54,T_SelfStock_Log[WeekIndex],76))</f>
        <v/>
      </c>
      <c r="BZ54" s="17">
        <f>IF(COUNTIFS(T_SelfStock_Log[Part Name],$A54,T_SelfStock_Log[WeekIndex],77)=0,"",SUMIFS(T_SelfStock_Log[Self_Qty],T_SelfStock_Log[Part Name],$A54,T_SelfStock_Log[WeekIndex],77))</f>
        <v/>
      </c>
      <c r="CA54" s="17">
        <f>IF(COUNTIFS(T_SelfStock_Log[Part Name],$A54,T_SelfStock_Log[WeekIndex],78)=0,"",SUMIFS(T_SelfStock_Log[Self_Qty],T_SelfStock_Log[Part Name],$A54,T_SelfStock_Log[WeekIndex],78))</f>
        <v/>
      </c>
      <c r="CB54" s="17">
        <f>IF(COUNTIFS(T_SelfStock_Log[Part Name],$A54,T_SelfStock_Log[WeekIndex],79)=0,"",SUMIFS(T_SelfStock_Log[Self_Qty],T_SelfStock_Log[Part Name],$A54,T_SelfStock_Log[WeekIndex],79))</f>
        <v/>
      </c>
      <c r="CC54" s="17">
        <f>IF(COUNTIFS(T_SelfStock_Log[Part Name],$A54,T_SelfStock_Log[WeekIndex],80)=0,"",SUMIFS(T_SelfStock_Log[Self_Qty],T_SelfStock_Log[Part Name],$A54,T_SelfStock_Log[WeekIndex],80))</f>
        <v/>
      </c>
      <c r="CD54" s="17">
        <f>IF(COUNTIFS(T_SelfStock_Log[Part Name],$A54,T_SelfStock_Log[WeekIndex],81)=0,"",SUMIFS(T_SelfStock_Log[Self_Qty],T_SelfStock_Log[Part Name],$A54,T_SelfStock_Log[WeekIndex],81))</f>
        <v/>
      </c>
      <c r="CE54" s="17">
        <f>IF(COUNTIFS(T_SelfStock_Log[Part Name],$A54,T_SelfStock_Log[WeekIndex],82)=0,"",SUMIFS(T_SelfStock_Log[Self_Qty],T_SelfStock_Log[Part Name],$A54,T_SelfStock_Log[WeekIndex],82))</f>
        <v/>
      </c>
      <c r="CF54" s="17">
        <f>IF(COUNTIFS(T_SelfStock_Log[Part Name],$A54,T_SelfStock_Log[WeekIndex],83)=0,"",SUMIFS(T_SelfStock_Log[Self_Qty],T_SelfStock_Log[Part Name],$A54,T_SelfStock_Log[WeekIndex],83))</f>
        <v/>
      </c>
      <c r="CG54" s="17">
        <f>IF(COUNTIFS(T_SelfStock_Log[Part Name],$A54,T_SelfStock_Log[WeekIndex],84)=0,"",SUMIFS(T_SelfStock_Log[Self_Qty],T_SelfStock_Log[Part Name],$A54,T_SelfStock_Log[WeekIndex],84))</f>
        <v/>
      </c>
      <c r="CH54" s="17">
        <f>IF(COUNTIFS(T_SelfStock_Log[Part Name],$A54,T_SelfStock_Log[WeekIndex],85)=0,"",SUMIFS(T_SelfStock_Log[Self_Qty],T_SelfStock_Log[Part Name],$A54,T_SelfStock_Log[WeekIndex],85))</f>
        <v/>
      </c>
      <c r="CI54" s="17">
        <f>IF(COUNTIFS(T_SelfStock_Log[Part Name],$A54,T_SelfStock_Log[WeekIndex],86)=0,"",SUMIFS(T_SelfStock_Log[Self_Qty],T_SelfStock_Log[Part Name],$A54,T_SelfStock_Log[WeekIndex],86))</f>
        <v/>
      </c>
      <c r="CJ54" s="17">
        <f>IF(COUNTIFS(T_SelfStock_Log[Part Name],$A54,T_SelfStock_Log[WeekIndex],87)=0,"",SUMIFS(T_SelfStock_Log[Self_Qty],T_SelfStock_Log[Part Name],$A54,T_SelfStock_Log[WeekIndex],87))</f>
        <v/>
      </c>
      <c r="CK54" s="17">
        <f>IF(COUNTIFS(T_SelfStock_Log[Part Name],$A54,T_SelfStock_Log[WeekIndex],88)=0,"",SUMIFS(T_SelfStock_Log[Self_Qty],T_SelfStock_Log[Part Name],$A54,T_SelfStock_Log[WeekIndex],88))</f>
        <v/>
      </c>
      <c r="CL54" s="17">
        <f>IF(COUNTIFS(T_SelfStock_Log[Part Name],$A54,T_SelfStock_Log[WeekIndex],89)=0,"",SUMIFS(T_SelfStock_Log[Self_Qty],T_SelfStock_Log[Part Name],$A54,T_SelfStock_Log[WeekIndex],89))</f>
        <v/>
      </c>
      <c r="CM54" s="17">
        <f>IF(COUNTIFS(T_SelfStock_Log[Part Name],$A54,T_SelfStock_Log[WeekIndex],90)=0,"",SUMIFS(T_SelfStock_Log[Self_Qty],T_SelfStock_Log[Part Name],$A54,T_SelfStock_Log[WeekIndex],90))</f>
        <v/>
      </c>
      <c r="CN54" s="17">
        <f>IF(COUNTIFS(T_SelfStock_Log[Part Name],$A54,T_SelfStock_Log[WeekIndex],91)=0,"",SUMIFS(T_SelfStock_Log[Self_Qty],T_SelfStock_Log[Part Name],$A54,T_SelfStock_Log[WeekIndex],91))</f>
        <v/>
      </c>
      <c r="CO54" s="17">
        <f>IF(COUNTIFS(T_SelfStock_Log[Part Name],$A54,T_SelfStock_Log[WeekIndex],92)=0,"",SUMIFS(T_SelfStock_Log[Self_Qty],T_SelfStock_Log[Part Name],$A54,T_SelfStock_Log[WeekIndex],92))</f>
        <v/>
      </c>
      <c r="CP54" s="17">
        <f>IF(COUNTIFS(T_SelfStock_Log[Part Name],$A54,T_SelfStock_Log[WeekIndex],93)=0,"",SUMIFS(T_SelfStock_Log[Self_Qty],T_SelfStock_Log[Part Name],$A54,T_SelfStock_Log[WeekIndex],93))</f>
        <v/>
      </c>
      <c r="CQ54" s="17">
        <f>IF(COUNTIFS(T_SelfStock_Log[Part Name],$A54,T_SelfStock_Log[WeekIndex],94)=0,"",SUMIFS(T_SelfStock_Log[Self_Qty],T_SelfStock_Log[Part Name],$A54,T_SelfStock_Log[WeekIndex],94))</f>
        <v/>
      </c>
      <c r="CR54" s="17">
        <f>IF(COUNTIFS(T_SelfStock_Log[Part Name],$A54,T_SelfStock_Log[WeekIndex],95)=0,"",SUMIFS(T_SelfStock_Log[Self_Qty],T_SelfStock_Log[Part Name],$A54,T_SelfStock_Log[WeekIndex],95))</f>
        <v/>
      </c>
      <c r="CS54" s="17">
        <f>IF(COUNTIFS(T_SelfStock_Log[Part Name],$A54,T_SelfStock_Log[WeekIndex],96)=0,"",SUMIFS(T_SelfStock_Log[Self_Qty],T_SelfStock_Log[Part Name],$A54,T_SelfStock_Log[WeekIndex],96))</f>
        <v/>
      </c>
      <c r="CT54" s="17">
        <f>IF(COUNTIFS(T_SelfStock_Log[Part Name],$A54,T_SelfStock_Log[WeekIndex],97)=0,"",SUMIFS(T_SelfStock_Log[Self_Qty],T_SelfStock_Log[Part Name],$A54,T_SelfStock_Log[WeekIndex],97))</f>
        <v/>
      </c>
      <c r="CU54" s="17">
        <f>IF(COUNTIFS(T_SelfStock_Log[Part Name],$A54,T_SelfStock_Log[WeekIndex],98)=0,"",SUMIFS(T_SelfStock_Log[Self_Qty],T_SelfStock_Log[Part Name],$A54,T_SelfStock_Log[WeekIndex],98))</f>
        <v/>
      </c>
      <c r="CV54" s="17">
        <f>IF(COUNTIFS(T_SelfStock_Log[Part Name],$A54,T_SelfStock_Log[WeekIndex],99)=0,"",SUMIFS(T_SelfStock_Log[Self_Qty],T_SelfStock_Log[Part Name],$A54,T_SelfStock_Log[WeekIndex],99))</f>
        <v/>
      </c>
      <c r="CW54" s="17">
        <f>IF(COUNTIFS(T_SelfStock_Log[Part Name],$A54,T_SelfStock_Log[WeekIndex],100)=0,"",SUMIFS(T_SelfStock_Log[Self_Qty],T_SelfStock_Log[Part Name],$A54,T_SelfStock_Log[WeekIndex],100))</f>
        <v/>
      </c>
      <c r="CX54" s="17">
        <f>IF(COUNTIFS(T_SelfStock_Log[Part Name],$A54,T_SelfStock_Log[WeekIndex],101)=0,"",SUMIFS(T_SelfStock_Log[Self_Qty],T_SelfStock_Log[Part Name],$A54,T_SelfStock_Log[WeekIndex],101))</f>
        <v/>
      </c>
      <c r="CY54" s="17">
        <f>IF(COUNTIFS(T_SelfStock_Log[Part Name],$A54,T_SelfStock_Log[WeekIndex],102)=0,"",SUMIFS(T_SelfStock_Log[Self_Qty],T_SelfStock_Log[Part Name],$A54,T_SelfStock_Log[WeekIndex],102))</f>
        <v/>
      </c>
      <c r="CZ54" s="17">
        <f>IF(COUNTIFS(T_SelfStock_Log[Part Name],$A54,T_SelfStock_Log[WeekIndex],103)=0,"",SUMIFS(T_SelfStock_Log[Self_Qty],T_SelfStock_Log[Part Name],$A54,T_SelfStock_Log[WeekIndex],103))</f>
        <v/>
      </c>
      <c r="DA54" s="17">
        <f>IF(COUNTIFS(T_SelfStock_Log[Part Name],$A54,T_SelfStock_Log[WeekIndex],104)=0,"",SUMIFS(T_SelfStock_Log[Self_Qty],T_SelfStock_Log[Part Name],$A54,T_SelfStock_Log[WeekIndex],104))</f>
        <v/>
      </c>
    </row>
    <row r="55">
      <c r="A55" s="19" t="inlineStr">
        <is>
          <t>CHEM-1850</t>
        </is>
      </c>
      <c r="B55" s="19">
        <f>IF(COUNTIFS(T_SelfStock_Log[Part Name],$A55,T_SelfStock_Log[WeekIndex],1)=0,"",SUMIFS(T_SelfStock_Log[Self_Qty],T_SelfStock_Log[Part Name],$A55,T_SelfStock_Log[WeekIndex],1))</f>
        <v/>
      </c>
      <c r="C55" s="19">
        <f>IF(COUNTIFS(T_SelfStock_Log[Part Name],$A55,T_SelfStock_Log[WeekIndex],2)=0,"",SUMIFS(T_SelfStock_Log[Self_Qty],T_SelfStock_Log[Part Name],$A55,T_SelfStock_Log[WeekIndex],2))</f>
        <v/>
      </c>
      <c r="D55" s="19">
        <f>IF(COUNTIFS(T_SelfStock_Log[Part Name],$A55,T_SelfStock_Log[WeekIndex],3)=0,"",SUMIFS(T_SelfStock_Log[Self_Qty],T_SelfStock_Log[Part Name],$A55,T_SelfStock_Log[WeekIndex],3))</f>
        <v/>
      </c>
      <c r="E55" s="19">
        <f>IF(COUNTIFS(T_SelfStock_Log[Part Name],$A55,T_SelfStock_Log[WeekIndex],4)=0,"",SUMIFS(T_SelfStock_Log[Self_Qty],T_SelfStock_Log[Part Name],$A55,T_SelfStock_Log[WeekIndex],4))</f>
        <v/>
      </c>
      <c r="F55" s="19">
        <f>IF(COUNTIFS(T_SelfStock_Log[Part Name],$A55,T_SelfStock_Log[WeekIndex],5)=0,"",SUMIFS(T_SelfStock_Log[Self_Qty],T_SelfStock_Log[Part Name],$A55,T_SelfStock_Log[WeekIndex],5))</f>
        <v/>
      </c>
      <c r="G55" s="19">
        <f>IF(COUNTIFS(T_SelfStock_Log[Part Name],$A55,T_SelfStock_Log[WeekIndex],6)=0,"",SUMIFS(T_SelfStock_Log[Self_Qty],T_SelfStock_Log[Part Name],$A55,T_SelfStock_Log[WeekIndex],6))</f>
        <v/>
      </c>
      <c r="H55" s="19">
        <f>IF(COUNTIFS(T_SelfStock_Log[Part Name],$A55,T_SelfStock_Log[WeekIndex],7)=0,"",SUMIFS(T_SelfStock_Log[Self_Qty],T_SelfStock_Log[Part Name],$A55,T_SelfStock_Log[WeekIndex],7))</f>
        <v/>
      </c>
      <c r="I55" s="19">
        <f>IF(COUNTIFS(T_SelfStock_Log[Part Name],$A55,T_SelfStock_Log[WeekIndex],8)=0,"",SUMIFS(T_SelfStock_Log[Self_Qty],T_SelfStock_Log[Part Name],$A55,T_SelfStock_Log[WeekIndex],8))</f>
        <v/>
      </c>
      <c r="J55" s="19">
        <f>IF(COUNTIFS(T_SelfStock_Log[Part Name],$A55,T_SelfStock_Log[WeekIndex],9)=0,"",SUMIFS(T_SelfStock_Log[Self_Qty],T_SelfStock_Log[Part Name],$A55,T_SelfStock_Log[WeekIndex],9))</f>
        <v/>
      </c>
      <c r="K55" s="19">
        <f>IF(COUNTIFS(T_SelfStock_Log[Part Name],$A55,T_SelfStock_Log[WeekIndex],10)=0,"",SUMIFS(T_SelfStock_Log[Self_Qty],T_SelfStock_Log[Part Name],$A55,T_SelfStock_Log[WeekIndex],10))</f>
        <v/>
      </c>
      <c r="L55" s="19">
        <f>IF(COUNTIFS(T_SelfStock_Log[Part Name],$A55,T_SelfStock_Log[WeekIndex],11)=0,"",SUMIFS(T_SelfStock_Log[Self_Qty],T_SelfStock_Log[Part Name],$A55,T_SelfStock_Log[WeekIndex],11))</f>
        <v/>
      </c>
      <c r="M55" s="19">
        <f>IF(COUNTIFS(T_SelfStock_Log[Part Name],$A55,T_SelfStock_Log[WeekIndex],12)=0,"",SUMIFS(T_SelfStock_Log[Self_Qty],T_SelfStock_Log[Part Name],$A55,T_SelfStock_Log[WeekIndex],12))</f>
        <v/>
      </c>
      <c r="N55" s="19">
        <f>IF(COUNTIFS(T_SelfStock_Log[Part Name],$A55,T_SelfStock_Log[WeekIndex],13)=0,"",SUMIFS(T_SelfStock_Log[Self_Qty],T_SelfStock_Log[Part Name],$A55,T_SelfStock_Log[WeekIndex],13))</f>
        <v/>
      </c>
      <c r="O55" s="19">
        <f>IF(COUNTIFS(T_SelfStock_Log[Part Name],$A55,T_SelfStock_Log[WeekIndex],14)=0,"",SUMIFS(T_SelfStock_Log[Self_Qty],T_SelfStock_Log[Part Name],$A55,T_SelfStock_Log[WeekIndex],14))</f>
        <v/>
      </c>
      <c r="P55" s="19">
        <f>IF(COUNTIFS(T_SelfStock_Log[Part Name],$A55,T_SelfStock_Log[WeekIndex],15)=0,"",SUMIFS(T_SelfStock_Log[Self_Qty],T_SelfStock_Log[Part Name],$A55,T_SelfStock_Log[WeekIndex],15))</f>
        <v/>
      </c>
      <c r="Q55" s="19">
        <f>IF(COUNTIFS(T_SelfStock_Log[Part Name],$A55,T_SelfStock_Log[WeekIndex],16)=0,"",SUMIFS(T_SelfStock_Log[Self_Qty],T_SelfStock_Log[Part Name],$A55,T_SelfStock_Log[WeekIndex],16))</f>
        <v/>
      </c>
      <c r="R55" s="19">
        <f>IF(COUNTIFS(T_SelfStock_Log[Part Name],$A55,T_SelfStock_Log[WeekIndex],17)=0,"",SUMIFS(T_SelfStock_Log[Self_Qty],T_SelfStock_Log[Part Name],$A55,T_SelfStock_Log[WeekIndex],17))</f>
        <v/>
      </c>
      <c r="S55" s="19">
        <f>IF(COUNTIFS(T_SelfStock_Log[Part Name],$A55,T_SelfStock_Log[WeekIndex],18)=0,"",SUMIFS(T_SelfStock_Log[Self_Qty],T_SelfStock_Log[Part Name],$A55,T_SelfStock_Log[WeekIndex],18))</f>
        <v/>
      </c>
      <c r="T55" s="19">
        <f>IF(COUNTIFS(T_SelfStock_Log[Part Name],$A55,T_SelfStock_Log[WeekIndex],19)=0,"",SUMIFS(T_SelfStock_Log[Self_Qty],T_SelfStock_Log[Part Name],$A55,T_SelfStock_Log[WeekIndex],19))</f>
        <v/>
      </c>
      <c r="U55" s="19">
        <f>IF(COUNTIFS(T_SelfStock_Log[Part Name],$A55,T_SelfStock_Log[WeekIndex],20)=0,"",SUMIFS(T_SelfStock_Log[Self_Qty],T_SelfStock_Log[Part Name],$A55,T_SelfStock_Log[WeekIndex],20))</f>
        <v/>
      </c>
      <c r="V55" s="19">
        <f>IF(COUNTIFS(T_SelfStock_Log[Part Name],$A55,T_SelfStock_Log[WeekIndex],21)=0,"",SUMIFS(T_SelfStock_Log[Self_Qty],T_SelfStock_Log[Part Name],$A55,T_SelfStock_Log[WeekIndex],21))</f>
        <v/>
      </c>
      <c r="W55" s="19">
        <f>IF(COUNTIFS(T_SelfStock_Log[Part Name],$A55,T_SelfStock_Log[WeekIndex],22)=0,"",SUMIFS(T_SelfStock_Log[Self_Qty],T_SelfStock_Log[Part Name],$A55,T_SelfStock_Log[WeekIndex],22))</f>
        <v/>
      </c>
      <c r="X55" s="19">
        <f>IF(COUNTIFS(T_SelfStock_Log[Part Name],$A55,T_SelfStock_Log[WeekIndex],23)=0,"",SUMIFS(T_SelfStock_Log[Self_Qty],T_SelfStock_Log[Part Name],$A55,T_SelfStock_Log[WeekIndex],23))</f>
        <v/>
      </c>
      <c r="Y55" s="19">
        <f>IF(COUNTIFS(T_SelfStock_Log[Part Name],$A55,T_SelfStock_Log[WeekIndex],24)=0,"",SUMIFS(T_SelfStock_Log[Self_Qty],T_SelfStock_Log[Part Name],$A55,T_SelfStock_Log[WeekIndex],24))</f>
        <v/>
      </c>
      <c r="Z55" s="19">
        <f>IF(COUNTIFS(T_SelfStock_Log[Part Name],$A55,T_SelfStock_Log[WeekIndex],25)=0,"",SUMIFS(T_SelfStock_Log[Self_Qty],T_SelfStock_Log[Part Name],$A55,T_SelfStock_Log[WeekIndex],25))</f>
        <v/>
      </c>
      <c r="AA55" s="19">
        <f>IF(COUNTIFS(T_SelfStock_Log[Part Name],$A55,T_SelfStock_Log[WeekIndex],26)=0,"",SUMIFS(T_SelfStock_Log[Self_Qty],T_SelfStock_Log[Part Name],$A55,T_SelfStock_Log[WeekIndex],26))</f>
        <v/>
      </c>
      <c r="AB55" s="19">
        <f>IF(COUNTIFS(T_SelfStock_Log[Part Name],$A55,T_SelfStock_Log[WeekIndex],27)=0,"",SUMIFS(T_SelfStock_Log[Self_Qty],T_SelfStock_Log[Part Name],$A55,T_SelfStock_Log[WeekIndex],27))</f>
        <v/>
      </c>
      <c r="AC55" s="19">
        <f>IF(COUNTIFS(T_SelfStock_Log[Part Name],$A55,T_SelfStock_Log[WeekIndex],28)=0,"",SUMIFS(T_SelfStock_Log[Self_Qty],T_SelfStock_Log[Part Name],$A55,T_SelfStock_Log[WeekIndex],28))</f>
        <v/>
      </c>
      <c r="AD55" s="19">
        <f>IF(COUNTIFS(T_SelfStock_Log[Part Name],$A55,T_SelfStock_Log[WeekIndex],29)=0,"",SUMIFS(T_SelfStock_Log[Self_Qty],T_SelfStock_Log[Part Name],$A55,T_SelfStock_Log[WeekIndex],29))</f>
        <v/>
      </c>
      <c r="AE55" s="19">
        <f>IF(COUNTIFS(T_SelfStock_Log[Part Name],$A55,T_SelfStock_Log[WeekIndex],30)=0,"",SUMIFS(T_SelfStock_Log[Self_Qty],T_SelfStock_Log[Part Name],$A55,T_SelfStock_Log[WeekIndex],30))</f>
        <v/>
      </c>
      <c r="AF55" s="19">
        <f>IF(COUNTIFS(T_SelfStock_Log[Part Name],$A55,T_SelfStock_Log[WeekIndex],31)=0,"",SUMIFS(T_SelfStock_Log[Self_Qty],T_SelfStock_Log[Part Name],$A55,T_SelfStock_Log[WeekIndex],31))</f>
        <v/>
      </c>
      <c r="AG55" s="19">
        <f>IF(COUNTIFS(T_SelfStock_Log[Part Name],$A55,T_SelfStock_Log[WeekIndex],32)=0,"",SUMIFS(T_SelfStock_Log[Self_Qty],T_SelfStock_Log[Part Name],$A55,T_SelfStock_Log[WeekIndex],32))</f>
        <v/>
      </c>
      <c r="AH55" s="19">
        <f>IF(COUNTIFS(T_SelfStock_Log[Part Name],$A55,T_SelfStock_Log[WeekIndex],33)=0,"",SUMIFS(T_SelfStock_Log[Self_Qty],T_SelfStock_Log[Part Name],$A55,T_SelfStock_Log[WeekIndex],33))</f>
        <v/>
      </c>
      <c r="AI55" s="19">
        <f>IF(COUNTIFS(T_SelfStock_Log[Part Name],$A55,T_SelfStock_Log[WeekIndex],34)=0,"",SUMIFS(T_SelfStock_Log[Self_Qty],T_SelfStock_Log[Part Name],$A55,T_SelfStock_Log[WeekIndex],34))</f>
        <v/>
      </c>
      <c r="AJ55" s="19">
        <f>IF(COUNTIFS(T_SelfStock_Log[Part Name],$A55,T_SelfStock_Log[WeekIndex],35)=0,"",SUMIFS(T_SelfStock_Log[Self_Qty],T_SelfStock_Log[Part Name],$A55,T_SelfStock_Log[WeekIndex],35))</f>
        <v/>
      </c>
      <c r="AK55" s="19">
        <f>IF(COUNTIFS(T_SelfStock_Log[Part Name],$A55,T_SelfStock_Log[WeekIndex],36)=0,"",SUMIFS(T_SelfStock_Log[Self_Qty],T_SelfStock_Log[Part Name],$A55,T_SelfStock_Log[WeekIndex],36))</f>
        <v/>
      </c>
      <c r="AL55" s="19">
        <f>IF(COUNTIFS(T_SelfStock_Log[Part Name],$A55,T_SelfStock_Log[WeekIndex],37)=0,"",SUMIFS(T_SelfStock_Log[Self_Qty],T_SelfStock_Log[Part Name],$A55,T_SelfStock_Log[WeekIndex],37))</f>
        <v/>
      </c>
      <c r="AM55" s="19">
        <f>IF(COUNTIFS(T_SelfStock_Log[Part Name],$A55,T_SelfStock_Log[WeekIndex],38)=0,"",SUMIFS(T_SelfStock_Log[Self_Qty],T_SelfStock_Log[Part Name],$A55,T_SelfStock_Log[WeekIndex],38))</f>
        <v/>
      </c>
      <c r="AN55" s="19">
        <f>IF(COUNTIFS(T_SelfStock_Log[Part Name],$A55,T_SelfStock_Log[WeekIndex],39)=0,"",SUMIFS(T_SelfStock_Log[Self_Qty],T_SelfStock_Log[Part Name],$A55,T_SelfStock_Log[WeekIndex],39))</f>
        <v/>
      </c>
      <c r="AO55" s="19">
        <f>IF(COUNTIFS(T_SelfStock_Log[Part Name],$A55,T_SelfStock_Log[WeekIndex],40)=0,"",SUMIFS(T_SelfStock_Log[Self_Qty],T_SelfStock_Log[Part Name],$A55,T_SelfStock_Log[WeekIndex],40))</f>
        <v/>
      </c>
      <c r="AP55" s="19">
        <f>IF(COUNTIFS(T_SelfStock_Log[Part Name],$A55,T_SelfStock_Log[WeekIndex],41)=0,"",SUMIFS(T_SelfStock_Log[Self_Qty],T_SelfStock_Log[Part Name],$A55,T_SelfStock_Log[WeekIndex],41))</f>
        <v/>
      </c>
      <c r="AQ55" s="19">
        <f>IF(COUNTIFS(T_SelfStock_Log[Part Name],$A55,T_SelfStock_Log[WeekIndex],42)=0,"",SUMIFS(T_SelfStock_Log[Self_Qty],T_SelfStock_Log[Part Name],$A55,T_SelfStock_Log[WeekIndex],42))</f>
        <v/>
      </c>
      <c r="AR55" s="19">
        <f>IF(COUNTIFS(T_SelfStock_Log[Part Name],$A55,T_SelfStock_Log[WeekIndex],43)=0,"",SUMIFS(T_SelfStock_Log[Self_Qty],T_SelfStock_Log[Part Name],$A55,T_SelfStock_Log[WeekIndex],43))</f>
        <v/>
      </c>
      <c r="AS55" s="19">
        <f>IF(COUNTIFS(T_SelfStock_Log[Part Name],$A55,T_SelfStock_Log[WeekIndex],44)=0,"",SUMIFS(T_SelfStock_Log[Self_Qty],T_SelfStock_Log[Part Name],$A55,T_SelfStock_Log[WeekIndex],44))</f>
        <v/>
      </c>
      <c r="AT55" s="19">
        <f>IF(COUNTIFS(T_SelfStock_Log[Part Name],$A55,T_SelfStock_Log[WeekIndex],45)=0,"",SUMIFS(T_SelfStock_Log[Self_Qty],T_SelfStock_Log[Part Name],$A55,T_SelfStock_Log[WeekIndex],45))</f>
        <v/>
      </c>
      <c r="AU55" s="19">
        <f>IF(COUNTIFS(T_SelfStock_Log[Part Name],$A55,T_SelfStock_Log[WeekIndex],46)=0,"",SUMIFS(T_SelfStock_Log[Self_Qty],T_SelfStock_Log[Part Name],$A55,T_SelfStock_Log[WeekIndex],46))</f>
        <v/>
      </c>
      <c r="AV55" s="19">
        <f>IF(COUNTIFS(T_SelfStock_Log[Part Name],$A55,T_SelfStock_Log[WeekIndex],47)=0,"",SUMIFS(T_SelfStock_Log[Self_Qty],T_SelfStock_Log[Part Name],$A55,T_SelfStock_Log[WeekIndex],47))</f>
        <v/>
      </c>
      <c r="AW55" s="19">
        <f>IF(COUNTIFS(T_SelfStock_Log[Part Name],$A55,T_SelfStock_Log[WeekIndex],48)=0,"",SUMIFS(T_SelfStock_Log[Self_Qty],T_SelfStock_Log[Part Name],$A55,T_SelfStock_Log[WeekIndex],48))</f>
        <v/>
      </c>
      <c r="AX55" s="19">
        <f>IF(COUNTIFS(T_SelfStock_Log[Part Name],$A55,T_SelfStock_Log[WeekIndex],49)=0,"",SUMIFS(T_SelfStock_Log[Self_Qty],T_SelfStock_Log[Part Name],$A55,T_SelfStock_Log[WeekIndex],49))</f>
        <v/>
      </c>
      <c r="AY55" s="19">
        <f>IF(COUNTIFS(T_SelfStock_Log[Part Name],$A55,T_SelfStock_Log[WeekIndex],50)=0,"",SUMIFS(T_SelfStock_Log[Self_Qty],T_SelfStock_Log[Part Name],$A55,T_SelfStock_Log[WeekIndex],50))</f>
        <v/>
      </c>
      <c r="AZ55" s="19">
        <f>IF(COUNTIFS(T_SelfStock_Log[Part Name],$A55,T_SelfStock_Log[WeekIndex],51)=0,"",SUMIFS(T_SelfStock_Log[Self_Qty],T_SelfStock_Log[Part Name],$A55,T_SelfStock_Log[WeekIndex],51))</f>
        <v/>
      </c>
      <c r="BA55" s="19">
        <f>IF(COUNTIFS(T_SelfStock_Log[Part Name],$A55,T_SelfStock_Log[WeekIndex],52)=0,"",SUMIFS(T_SelfStock_Log[Self_Qty],T_SelfStock_Log[Part Name],$A55,T_SelfStock_Log[WeekIndex],52))</f>
        <v/>
      </c>
      <c r="BB55" s="19">
        <f>IF(COUNTIFS(T_SelfStock_Log[Part Name],$A55,T_SelfStock_Log[WeekIndex],53)=0,"",SUMIFS(T_SelfStock_Log[Self_Qty],T_SelfStock_Log[Part Name],$A55,T_SelfStock_Log[WeekIndex],53))</f>
        <v/>
      </c>
      <c r="BC55" s="19">
        <f>IF(COUNTIFS(T_SelfStock_Log[Part Name],$A55,T_SelfStock_Log[WeekIndex],54)=0,"",SUMIFS(T_SelfStock_Log[Self_Qty],T_SelfStock_Log[Part Name],$A55,T_SelfStock_Log[WeekIndex],54))</f>
        <v/>
      </c>
      <c r="BD55" s="19">
        <f>IF(COUNTIFS(T_SelfStock_Log[Part Name],$A55,T_SelfStock_Log[WeekIndex],55)=0,"",SUMIFS(T_SelfStock_Log[Self_Qty],T_SelfStock_Log[Part Name],$A55,T_SelfStock_Log[WeekIndex],55))</f>
        <v/>
      </c>
      <c r="BE55" s="19">
        <f>IF(COUNTIFS(T_SelfStock_Log[Part Name],$A55,T_SelfStock_Log[WeekIndex],56)=0,"",SUMIFS(T_SelfStock_Log[Self_Qty],T_SelfStock_Log[Part Name],$A55,T_SelfStock_Log[WeekIndex],56))</f>
        <v/>
      </c>
      <c r="BF55" s="19">
        <f>IF(COUNTIFS(T_SelfStock_Log[Part Name],$A55,T_SelfStock_Log[WeekIndex],57)=0,"",SUMIFS(T_SelfStock_Log[Self_Qty],T_SelfStock_Log[Part Name],$A55,T_SelfStock_Log[WeekIndex],57))</f>
        <v/>
      </c>
      <c r="BG55" s="19">
        <f>IF(COUNTIFS(T_SelfStock_Log[Part Name],$A55,T_SelfStock_Log[WeekIndex],58)=0,"",SUMIFS(T_SelfStock_Log[Self_Qty],T_SelfStock_Log[Part Name],$A55,T_SelfStock_Log[WeekIndex],58))</f>
        <v/>
      </c>
      <c r="BH55" s="19">
        <f>IF(COUNTIFS(T_SelfStock_Log[Part Name],$A55,T_SelfStock_Log[WeekIndex],59)=0,"",SUMIFS(T_SelfStock_Log[Self_Qty],T_SelfStock_Log[Part Name],$A55,T_SelfStock_Log[WeekIndex],59))</f>
        <v/>
      </c>
      <c r="BI55" s="19">
        <f>IF(COUNTIFS(T_SelfStock_Log[Part Name],$A55,T_SelfStock_Log[WeekIndex],60)=0,"",SUMIFS(T_SelfStock_Log[Self_Qty],T_SelfStock_Log[Part Name],$A55,T_SelfStock_Log[WeekIndex],60))</f>
        <v/>
      </c>
      <c r="BJ55" s="19">
        <f>IF(COUNTIFS(T_SelfStock_Log[Part Name],$A55,T_SelfStock_Log[WeekIndex],61)=0,"",SUMIFS(T_SelfStock_Log[Self_Qty],T_SelfStock_Log[Part Name],$A55,T_SelfStock_Log[WeekIndex],61))</f>
        <v/>
      </c>
      <c r="BK55" s="19">
        <f>IF(COUNTIFS(T_SelfStock_Log[Part Name],$A55,T_SelfStock_Log[WeekIndex],62)=0,"",SUMIFS(T_SelfStock_Log[Self_Qty],T_SelfStock_Log[Part Name],$A55,T_SelfStock_Log[WeekIndex],62))</f>
        <v/>
      </c>
      <c r="BL55" s="19">
        <f>IF(COUNTIFS(T_SelfStock_Log[Part Name],$A55,T_SelfStock_Log[WeekIndex],63)=0,"",SUMIFS(T_SelfStock_Log[Self_Qty],T_SelfStock_Log[Part Name],$A55,T_SelfStock_Log[WeekIndex],63))</f>
        <v/>
      </c>
      <c r="BM55" s="19">
        <f>IF(COUNTIFS(T_SelfStock_Log[Part Name],$A55,T_SelfStock_Log[WeekIndex],64)=0,"",SUMIFS(T_SelfStock_Log[Self_Qty],T_SelfStock_Log[Part Name],$A55,T_SelfStock_Log[WeekIndex],64))</f>
        <v/>
      </c>
      <c r="BN55" s="19">
        <f>IF(COUNTIFS(T_SelfStock_Log[Part Name],$A55,T_SelfStock_Log[WeekIndex],65)=0,"",SUMIFS(T_SelfStock_Log[Self_Qty],T_SelfStock_Log[Part Name],$A55,T_SelfStock_Log[WeekIndex],65))</f>
        <v/>
      </c>
      <c r="BO55" s="19">
        <f>IF(COUNTIFS(T_SelfStock_Log[Part Name],$A55,T_SelfStock_Log[WeekIndex],66)=0,"",SUMIFS(T_SelfStock_Log[Self_Qty],T_SelfStock_Log[Part Name],$A55,T_SelfStock_Log[WeekIndex],66))</f>
        <v/>
      </c>
      <c r="BP55" s="19">
        <f>IF(COUNTIFS(T_SelfStock_Log[Part Name],$A55,T_SelfStock_Log[WeekIndex],67)=0,"",SUMIFS(T_SelfStock_Log[Self_Qty],T_SelfStock_Log[Part Name],$A55,T_SelfStock_Log[WeekIndex],67))</f>
        <v/>
      </c>
      <c r="BQ55" s="19">
        <f>IF(COUNTIFS(T_SelfStock_Log[Part Name],$A55,T_SelfStock_Log[WeekIndex],68)=0,"",SUMIFS(T_SelfStock_Log[Self_Qty],T_SelfStock_Log[Part Name],$A55,T_SelfStock_Log[WeekIndex],68))</f>
        <v/>
      </c>
      <c r="BR55" s="19">
        <f>IF(COUNTIFS(T_SelfStock_Log[Part Name],$A55,T_SelfStock_Log[WeekIndex],69)=0,"",SUMIFS(T_SelfStock_Log[Self_Qty],T_SelfStock_Log[Part Name],$A55,T_SelfStock_Log[WeekIndex],69))</f>
        <v/>
      </c>
      <c r="BS55" s="19">
        <f>IF(COUNTIFS(T_SelfStock_Log[Part Name],$A55,T_SelfStock_Log[WeekIndex],70)=0,"",SUMIFS(T_SelfStock_Log[Self_Qty],T_SelfStock_Log[Part Name],$A55,T_SelfStock_Log[WeekIndex],70))</f>
        <v/>
      </c>
      <c r="BT55" s="19">
        <f>IF(COUNTIFS(T_SelfStock_Log[Part Name],$A55,T_SelfStock_Log[WeekIndex],71)=0,"",SUMIFS(T_SelfStock_Log[Self_Qty],T_SelfStock_Log[Part Name],$A55,T_SelfStock_Log[WeekIndex],71))</f>
        <v/>
      </c>
      <c r="BU55" s="19">
        <f>IF(COUNTIFS(T_SelfStock_Log[Part Name],$A55,T_SelfStock_Log[WeekIndex],72)=0,"",SUMIFS(T_SelfStock_Log[Self_Qty],T_SelfStock_Log[Part Name],$A55,T_SelfStock_Log[WeekIndex],72))</f>
        <v/>
      </c>
      <c r="BV55" s="19">
        <f>IF(COUNTIFS(T_SelfStock_Log[Part Name],$A55,T_SelfStock_Log[WeekIndex],73)=0,"",SUMIFS(T_SelfStock_Log[Self_Qty],T_SelfStock_Log[Part Name],$A55,T_SelfStock_Log[WeekIndex],73))</f>
        <v/>
      </c>
      <c r="BW55" s="19">
        <f>IF(COUNTIFS(T_SelfStock_Log[Part Name],$A55,T_SelfStock_Log[WeekIndex],74)=0,"",SUMIFS(T_SelfStock_Log[Self_Qty],T_SelfStock_Log[Part Name],$A55,T_SelfStock_Log[WeekIndex],74))</f>
        <v/>
      </c>
      <c r="BX55" s="19">
        <f>IF(COUNTIFS(T_SelfStock_Log[Part Name],$A55,T_SelfStock_Log[WeekIndex],75)=0,"",SUMIFS(T_SelfStock_Log[Self_Qty],T_SelfStock_Log[Part Name],$A55,T_SelfStock_Log[WeekIndex],75))</f>
        <v/>
      </c>
      <c r="BY55" s="19">
        <f>IF(COUNTIFS(T_SelfStock_Log[Part Name],$A55,T_SelfStock_Log[WeekIndex],76)=0,"",SUMIFS(T_SelfStock_Log[Self_Qty],T_SelfStock_Log[Part Name],$A55,T_SelfStock_Log[WeekIndex],76))</f>
        <v/>
      </c>
      <c r="BZ55" s="19">
        <f>IF(COUNTIFS(T_SelfStock_Log[Part Name],$A55,T_SelfStock_Log[WeekIndex],77)=0,"",SUMIFS(T_SelfStock_Log[Self_Qty],T_SelfStock_Log[Part Name],$A55,T_SelfStock_Log[WeekIndex],77))</f>
        <v/>
      </c>
      <c r="CA55" s="19">
        <f>IF(COUNTIFS(T_SelfStock_Log[Part Name],$A55,T_SelfStock_Log[WeekIndex],78)=0,"",SUMIFS(T_SelfStock_Log[Self_Qty],T_SelfStock_Log[Part Name],$A55,T_SelfStock_Log[WeekIndex],78))</f>
        <v/>
      </c>
      <c r="CB55" s="19">
        <f>IF(COUNTIFS(T_SelfStock_Log[Part Name],$A55,T_SelfStock_Log[WeekIndex],79)=0,"",SUMIFS(T_SelfStock_Log[Self_Qty],T_SelfStock_Log[Part Name],$A55,T_SelfStock_Log[WeekIndex],79))</f>
        <v/>
      </c>
      <c r="CC55" s="19">
        <f>IF(COUNTIFS(T_SelfStock_Log[Part Name],$A55,T_SelfStock_Log[WeekIndex],80)=0,"",SUMIFS(T_SelfStock_Log[Self_Qty],T_SelfStock_Log[Part Name],$A55,T_SelfStock_Log[WeekIndex],80))</f>
        <v/>
      </c>
      <c r="CD55" s="19">
        <f>IF(COUNTIFS(T_SelfStock_Log[Part Name],$A55,T_SelfStock_Log[WeekIndex],81)=0,"",SUMIFS(T_SelfStock_Log[Self_Qty],T_SelfStock_Log[Part Name],$A55,T_SelfStock_Log[WeekIndex],81))</f>
        <v/>
      </c>
      <c r="CE55" s="19">
        <f>IF(COUNTIFS(T_SelfStock_Log[Part Name],$A55,T_SelfStock_Log[WeekIndex],82)=0,"",SUMIFS(T_SelfStock_Log[Self_Qty],T_SelfStock_Log[Part Name],$A55,T_SelfStock_Log[WeekIndex],82))</f>
        <v/>
      </c>
      <c r="CF55" s="19">
        <f>IF(COUNTIFS(T_SelfStock_Log[Part Name],$A55,T_SelfStock_Log[WeekIndex],83)=0,"",SUMIFS(T_SelfStock_Log[Self_Qty],T_SelfStock_Log[Part Name],$A55,T_SelfStock_Log[WeekIndex],83))</f>
        <v/>
      </c>
      <c r="CG55" s="19">
        <f>IF(COUNTIFS(T_SelfStock_Log[Part Name],$A55,T_SelfStock_Log[WeekIndex],84)=0,"",SUMIFS(T_SelfStock_Log[Self_Qty],T_SelfStock_Log[Part Name],$A55,T_SelfStock_Log[WeekIndex],84))</f>
        <v/>
      </c>
      <c r="CH55" s="19">
        <f>IF(COUNTIFS(T_SelfStock_Log[Part Name],$A55,T_SelfStock_Log[WeekIndex],85)=0,"",SUMIFS(T_SelfStock_Log[Self_Qty],T_SelfStock_Log[Part Name],$A55,T_SelfStock_Log[WeekIndex],85))</f>
        <v/>
      </c>
      <c r="CI55" s="19">
        <f>IF(COUNTIFS(T_SelfStock_Log[Part Name],$A55,T_SelfStock_Log[WeekIndex],86)=0,"",SUMIFS(T_SelfStock_Log[Self_Qty],T_SelfStock_Log[Part Name],$A55,T_SelfStock_Log[WeekIndex],86))</f>
        <v/>
      </c>
      <c r="CJ55" s="19">
        <f>IF(COUNTIFS(T_SelfStock_Log[Part Name],$A55,T_SelfStock_Log[WeekIndex],87)=0,"",SUMIFS(T_SelfStock_Log[Self_Qty],T_SelfStock_Log[Part Name],$A55,T_SelfStock_Log[WeekIndex],87))</f>
        <v/>
      </c>
      <c r="CK55" s="19">
        <f>IF(COUNTIFS(T_SelfStock_Log[Part Name],$A55,T_SelfStock_Log[WeekIndex],88)=0,"",SUMIFS(T_SelfStock_Log[Self_Qty],T_SelfStock_Log[Part Name],$A55,T_SelfStock_Log[WeekIndex],88))</f>
        <v/>
      </c>
      <c r="CL55" s="19">
        <f>IF(COUNTIFS(T_SelfStock_Log[Part Name],$A55,T_SelfStock_Log[WeekIndex],89)=0,"",SUMIFS(T_SelfStock_Log[Self_Qty],T_SelfStock_Log[Part Name],$A55,T_SelfStock_Log[WeekIndex],89))</f>
        <v/>
      </c>
      <c r="CM55" s="19">
        <f>IF(COUNTIFS(T_SelfStock_Log[Part Name],$A55,T_SelfStock_Log[WeekIndex],90)=0,"",SUMIFS(T_SelfStock_Log[Self_Qty],T_SelfStock_Log[Part Name],$A55,T_SelfStock_Log[WeekIndex],90))</f>
        <v/>
      </c>
      <c r="CN55" s="19">
        <f>IF(COUNTIFS(T_SelfStock_Log[Part Name],$A55,T_SelfStock_Log[WeekIndex],91)=0,"",SUMIFS(T_SelfStock_Log[Self_Qty],T_SelfStock_Log[Part Name],$A55,T_SelfStock_Log[WeekIndex],91))</f>
        <v/>
      </c>
      <c r="CO55" s="19">
        <f>IF(COUNTIFS(T_SelfStock_Log[Part Name],$A55,T_SelfStock_Log[WeekIndex],92)=0,"",SUMIFS(T_SelfStock_Log[Self_Qty],T_SelfStock_Log[Part Name],$A55,T_SelfStock_Log[WeekIndex],92))</f>
        <v/>
      </c>
      <c r="CP55" s="19">
        <f>IF(COUNTIFS(T_SelfStock_Log[Part Name],$A55,T_SelfStock_Log[WeekIndex],93)=0,"",SUMIFS(T_SelfStock_Log[Self_Qty],T_SelfStock_Log[Part Name],$A55,T_SelfStock_Log[WeekIndex],93))</f>
        <v/>
      </c>
      <c r="CQ55" s="19">
        <f>IF(COUNTIFS(T_SelfStock_Log[Part Name],$A55,T_SelfStock_Log[WeekIndex],94)=0,"",SUMIFS(T_SelfStock_Log[Self_Qty],T_SelfStock_Log[Part Name],$A55,T_SelfStock_Log[WeekIndex],94))</f>
        <v/>
      </c>
      <c r="CR55" s="19">
        <f>IF(COUNTIFS(T_SelfStock_Log[Part Name],$A55,T_SelfStock_Log[WeekIndex],95)=0,"",SUMIFS(T_SelfStock_Log[Self_Qty],T_SelfStock_Log[Part Name],$A55,T_SelfStock_Log[WeekIndex],95))</f>
        <v/>
      </c>
      <c r="CS55" s="19">
        <f>IF(COUNTIFS(T_SelfStock_Log[Part Name],$A55,T_SelfStock_Log[WeekIndex],96)=0,"",SUMIFS(T_SelfStock_Log[Self_Qty],T_SelfStock_Log[Part Name],$A55,T_SelfStock_Log[WeekIndex],96))</f>
        <v/>
      </c>
      <c r="CT55" s="19">
        <f>IF(COUNTIFS(T_SelfStock_Log[Part Name],$A55,T_SelfStock_Log[WeekIndex],97)=0,"",SUMIFS(T_SelfStock_Log[Self_Qty],T_SelfStock_Log[Part Name],$A55,T_SelfStock_Log[WeekIndex],97))</f>
        <v/>
      </c>
      <c r="CU55" s="19">
        <f>IF(COUNTIFS(T_SelfStock_Log[Part Name],$A55,T_SelfStock_Log[WeekIndex],98)=0,"",SUMIFS(T_SelfStock_Log[Self_Qty],T_SelfStock_Log[Part Name],$A55,T_SelfStock_Log[WeekIndex],98))</f>
        <v/>
      </c>
      <c r="CV55" s="19">
        <f>IF(COUNTIFS(T_SelfStock_Log[Part Name],$A55,T_SelfStock_Log[WeekIndex],99)=0,"",SUMIFS(T_SelfStock_Log[Self_Qty],T_SelfStock_Log[Part Name],$A55,T_SelfStock_Log[WeekIndex],99))</f>
        <v/>
      </c>
      <c r="CW55" s="19">
        <f>IF(COUNTIFS(T_SelfStock_Log[Part Name],$A55,T_SelfStock_Log[WeekIndex],100)=0,"",SUMIFS(T_SelfStock_Log[Self_Qty],T_SelfStock_Log[Part Name],$A55,T_SelfStock_Log[WeekIndex],100))</f>
        <v/>
      </c>
      <c r="CX55" s="19">
        <f>IF(COUNTIFS(T_SelfStock_Log[Part Name],$A55,T_SelfStock_Log[WeekIndex],101)=0,"",SUMIFS(T_SelfStock_Log[Self_Qty],T_SelfStock_Log[Part Name],$A55,T_SelfStock_Log[WeekIndex],101))</f>
        <v/>
      </c>
      <c r="CY55" s="19">
        <f>IF(COUNTIFS(T_SelfStock_Log[Part Name],$A55,T_SelfStock_Log[WeekIndex],102)=0,"",SUMIFS(T_SelfStock_Log[Self_Qty],T_SelfStock_Log[Part Name],$A55,T_SelfStock_Log[WeekIndex],102))</f>
        <v/>
      </c>
      <c r="CZ55" s="19">
        <f>IF(COUNTIFS(T_SelfStock_Log[Part Name],$A55,T_SelfStock_Log[WeekIndex],103)=0,"",SUMIFS(T_SelfStock_Log[Self_Qty],T_SelfStock_Log[Part Name],$A55,T_SelfStock_Log[WeekIndex],103))</f>
        <v/>
      </c>
      <c r="DA55" s="19">
        <f>IF(COUNTIFS(T_SelfStock_Log[Part Name],$A55,T_SelfStock_Log[WeekIndex],104)=0,"",SUMIFS(T_SelfStock_Log[Self_Qty],T_SelfStock_Log[Part Name],$A55,T_SelfStock_Log[WeekIndex],104))</f>
        <v/>
      </c>
    </row>
    <row r="56">
      <c r="A56" s="17" t="inlineStr">
        <is>
          <t>Original Towel</t>
        </is>
      </c>
      <c r="B56" s="17">
        <f>IF(COUNTIFS(T_SelfStock_Log[Part Name],$A56,T_SelfStock_Log[WeekIndex],1)=0,"",SUMIFS(T_SelfStock_Log[Self_Qty],T_SelfStock_Log[Part Name],$A56,T_SelfStock_Log[WeekIndex],1))</f>
        <v/>
      </c>
      <c r="C56" s="17">
        <f>IF(COUNTIFS(T_SelfStock_Log[Part Name],$A56,T_SelfStock_Log[WeekIndex],2)=0,"",SUMIFS(T_SelfStock_Log[Self_Qty],T_SelfStock_Log[Part Name],$A56,T_SelfStock_Log[WeekIndex],2))</f>
        <v/>
      </c>
      <c r="D56" s="17">
        <f>IF(COUNTIFS(T_SelfStock_Log[Part Name],$A56,T_SelfStock_Log[WeekIndex],3)=0,"",SUMIFS(T_SelfStock_Log[Self_Qty],T_SelfStock_Log[Part Name],$A56,T_SelfStock_Log[WeekIndex],3))</f>
        <v/>
      </c>
      <c r="E56" s="17">
        <f>IF(COUNTIFS(T_SelfStock_Log[Part Name],$A56,T_SelfStock_Log[WeekIndex],4)=0,"",SUMIFS(T_SelfStock_Log[Self_Qty],T_SelfStock_Log[Part Name],$A56,T_SelfStock_Log[WeekIndex],4))</f>
        <v/>
      </c>
      <c r="F56" s="17">
        <f>IF(COUNTIFS(T_SelfStock_Log[Part Name],$A56,T_SelfStock_Log[WeekIndex],5)=0,"",SUMIFS(T_SelfStock_Log[Self_Qty],T_SelfStock_Log[Part Name],$A56,T_SelfStock_Log[WeekIndex],5))</f>
        <v/>
      </c>
      <c r="G56" s="17">
        <f>IF(COUNTIFS(T_SelfStock_Log[Part Name],$A56,T_SelfStock_Log[WeekIndex],6)=0,"",SUMIFS(T_SelfStock_Log[Self_Qty],T_SelfStock_Log[Part Name],$A56,T_SelfStock_Log[WeekIndex],6))</f>
        <v/>
      </c>
      <c r="H56" s="17">
        <f>IF(COUNTIFS(T_SelfStock_Log[Part Name],$A56,T_SelfStock_Log[WeekIndex],7)=0,"",SUMIFS(T_SelfStock_Log[Self_Qty],T_SelfStock_Log[Part Name],$A56,T_SelfStock_Log[WeekIndex],7))</f>
        <v/>
      </c>
      <c r="I56" s="17">
        <f>IF(COUNTIFS(T_SelfStock_Log[Part Name],$A56,T_SelfStock_Log[WeekIndex],8)=0,"",SUMIFS(T_SelfStock_Log[Self_Qty],T_SelfStock_Log[Part Name],$A56,T_SelfStock_Log[WeekIndex],8))</f>
        <v/>
      </c>
      <c r="J56" s="17">
        <f>IF(COUNTIFS(T_SelfStock_Log[Part Name],$A56,T_SelfStock_Log[WeekIndex],9)=0,"",SUMIFS(T_SelfStock_Log[Self_Qty],T_SelfStock_Log[Part Name],$A56,T_SelfStock_Log[WeekIndex],9))</f>
        <v/>
      </c>
      <c r="K56" s="17">
        <f>IF(COUNTIFS(T_SelfStock_Log[Part Name],$A56,T_SelfStock_Log[WeekIndex],10)=0,"",SUMIFS(T_SelfStock_Log[Self_Qty],T_SelfStock_Log[Part Name],$A56,T_SelfStock_Log[WeekIndex],10))</f>
        <v/>
      </c>
      <c r="L56" s="17">
        <f>IF(COUNTIFS(T_SelfStock_Log[Part Name],$A56,T_SelfStock_Log[WeekIndex],11)=0,"",SUMIFS(T_SelfStock_Log[Self_Qty],T_SelfStock_Log[Part Name],$A56,T_SelfStock_Log[WeekIndex],11))</f>
        <v/>
      </c>
      <c r="M56" s="17">
        <f>IF(COUNTIFS(T_SelfStock_Log[Part Name],$A56,T_SelfStock_Log[WeekIndex],12)=0,"",SUMIFS(T_SelfStock_Log[Self_Qty],T_SelfStock_Log[Part Name],$A56,T_SelfStock_Log[WeekIndex],12))</f>
        <v/>
      </c>
      <c r="N56" s="17">
        <f>IF(COUNTIFS(T_SelfStock_Log[Part Name],$A56,T_SelfStock_Log[WeekIndex],13)=0,"",SUMIFS(T_SelfStock_Log[Self_Qty],T_SelfStock_Log[Part Name],$A56,T_SelfStock_Log[WeekIndex],13))</f>
        <v/>
      </c>
      <c r="O56" s="17">
        <f>IF(COUNTIFS(T_SelfStock_Log[Part Name],$A56,T_SelfStock_Log[WeekIndex],14)=0,"",SUMIFS(T_SelfStock_Log[Self_Qty],T_SelfStock_Log[Part Name],$A56,T_SelfStock_Log[WeekIndex],14))</f>
        <v/>
      </c>
      <c r="P56" s="17">
        <f>IF(COUNTIFS(T_SelfStock_Log[Part Name],$A56,T_SelfStock_Log[WeekIndex],15)=0,"",SUMIFS(T_SelfStock_Log[Self_Qty],T_SelfStock_Log[Part Name],$A56,T_SelfStock_Log[WeekIndex],15))</f>
        <v/>
      </c>
      <c r="Q56" s="17">
        <f>IF(COUNTIFS(T_SelfStock_Log[Part Name],$A56,T_SelfStock_Log[WeekIndex],16)=0,"",SUMIFS(T_SelfStock_Log[Self_Qty],T_SelfStock_Log[Part Name],$A56,T_SelfStock_Log[WeekIndex],16))</f>
        <v/>
      </c>
      <c r="R56" s="17">
        <f>IF(COUNTIFS(T_SelfStock_Log[Part Name],$A56,T_SelfStock_Log[WeekIndex],17)=0,"",SUMIFS(T_SelfStock_Log[Self_Qty],T_SelfStock_Log[Part Name],$A56,T_SelfStock_Log[WeekIndex],17))</f>
        <v/>
      </c>
      <c r="S56" s="17">
        <f>IF(COUNTIFS(T_SelfStock_Log[Part Name],$A56,T_SelfStock_Log[WeekIndex],18)=0,"",SUMIFS(T_SelfStock_Log[Self_Qty],T_SelfStock_Log[Part Name],$A56,T_SelfStock_Log[WeekIndex],18))</f>
        <v/>
      </c>
      <c r="T56" s="17">
        <f>IF(COUNTIFS(T_SelfStock_Log[Part Name],$A56,T_SelfStock_Log[WeekIndex],19)=0,"",SUMIFS(T_SelfStock_Log[Self_Qty],T_SelfStock_Log[Part Name],$A56,T_SelfStock_Log[WeekIndex],19))</f>
        <v/>
      </c>
      <c r="U56" s="17">
        <f>IF(COUNTIFS(T_SelfStock_Log[Part Name],$A56,T_SelfStock_Log[WeekIndex],20)=0,"",SUMIFS(T_SelfStock_Log[Self_Qty],T_SelfStock_Log[Part Name],$A56,T_SelfStock_Log[WeekIndex],20))</f>
        <v/>
      </c>
      <c r="V56" s="17">
        <f>IF(COUNTIFS(T_SelfStock_Log[Part Name],$A56,T_SelfStock_Log[WeekIndex],21)=0,"",SUMIFS(T_SelfStock_Log[Self_Qty],T_SelfStock_Log[Part Name],$A56,T_SelfStock_Log[WeekIndex],21))</f>
        <v/>
      </c>
      <c r="W56" s="17">
        <f>IF(COUNTIFS(T_SelfStock_Log[Part Name],$A56,T_SelfStock_Log[WeekIndex],22)=0,"",SUMIFS(T_SelfStock_Log[Self_Qty],T_SelfStock_Log[Part Name],$A56,T_SelfStock_Log[WeekIndex],22))</f>
        <v/>
      </c>
      <c r="X56" s="17">
        <f>IF(COUNTIFS(T_SelfStock_Log[Part Name],$A56,T_SelfStock_Log[WeekIndex],23)=0,"",SUMIFS(T_SelfStock_Log[Self_Qty],T_SelfStock_Log[Part Name],$A56,T_SelfStock_Log[WeekIndex],23))</f>
        <v/>
      </c>
      <c r="Y56" s="17">
        <f>IF(COUNTIFS(T_SelfStock_Log[Part Name],$A56,T_SelfStock_Log[WeekIndex],24)=0,"",SUMIFS(T_SelfStock_Log[Self_Qty],T_SelfStock_Log[Part Name],$A56,T_SelfStock_Log[WeekIndex],24))</f>
        <v/>
      </c>
      <c r="Z56" s="17">
        <f>IF(COUNTIFS(T_SelfStock_Log[Part Name],$A56,T_SelfStock_Log[WeekIndex],25)=0,"",SUMIFS(T_SelfStock_Log[Self_Qty],T_SelfStock_Log[Part Name],$A56,T_SelfStock_Log[WeekIndex],25))</f>
        <v/>
      </c>
      <c r="AA56" s="17">
        <f>IF(COUNTIFS(T_SelfStock_Log[Part Name],$A56,T_SelfStock_Log[WeekIndex],26)=0,"",SUMIFS(T_SelfStock_Log[Self_Qty],T_SelfStock_Log[Part Name],$A56,T_SelfStock_Log[WeekIndex],26))</f>
        <v/>
      </c>
      <c r="AB56" s="17">
        <f>IF(COUNTIFS(T_SelfStock_Log[Part Name],$A56,T_SelfStock_Log[WeekIndex],27)=0,"",SUMIFS(T_SelfStock_Log[Self_Qty],T_SelfStock_Log[Part Name],$A56,T_SelfStock_Log[WeekIndex],27))</f>
        <v/>
      </c>
      <c r="AC56" s="17">
        <f>IF(COUNTIFS(T_SelfStock_Log[Part Name],$A56,T_SelfStock_Log[WeekIndex],28)=0,"",SUMIFS(T_SelfStock_Log[Self_Qty],T_SelfStock_Log[Part Name],$A56,T_SelfStock_Log[WeekIndex],28))</f>
        <v/>
      </c>
      <c r="AD56" s="17">
        <f>IF(COUNTIFS(T_SelfStock_Log[Part Name],$A56,T_SelfStock_Log[WeekIndex],29)=0,"",SUMIFS(T_SelfStock_Log[Self_Qty],T_SelfStock_Log[Part Name],$A56,T_SelfStock_Log[WeekIndex],29))</f>
        <v/>
      </c>
      <c r="AE56" s="17">
        <f>IF(COUNTIFS(T_SelfStock_Log[Part Name],$A56,T_SelfStock_Log[WeekIndex],30)=0,"",SUMIFS(T_SelfStock_Log[Self_Qty],T_SelfStock_Log[Part Name],$A56,T_SelfStock_Log[WeekIndex],30))</f>
        <v/>
      </c>
      <c r="AF56" s="17">
        <f>IF(COUNTIFS(T_SelfStock_Log[Part Name],$A56,T_SelfStock_Log[WeekIndex],31)=0,"",SUMIFS(T_SelfStock_Log[Self_Qty],T_SelfStock_Log[Part Name],$A56,T_SelfStock_Log[WeekIndex],31))</f>
        <v/>
      </c>
      <c r="AG56" s="17">
        <f>IF(COUNTIFS(T_SelfStock_Log[Part Name],$A56,T_SelfStock_Log[WeekIndex],32)=0,"",SUMIFS(T_SelfStock_Log[Self_Qty],T_SelfStock_Log[Part Name],$A56,T_SelfStock_Log[WeekIndex],32))</f>
        <v/>
      </c>
      <c r="AH56" s="17">
        <f>IF(COUNTIFS(T_SelfStock_Log[Part Name],$A56,T_SelfStock_Log[WeekIndex],33)=0,"",SUMIFS(T_SelfStock_Log[Self_Qty],T_SelfStock_Log[Part Name],$A56,T_SelfStock_Log[WeekIndex],33))</f>
        <v/>
      </c>
      <c r="AI56" s="17">
        <f>IF(COUNTIFS(T_SelfStock_Log[Part Name],$A56,T_SelfStock_Log[WeekIndex],34)=0,"",SUMIFS(T_SelfStock_Log[Self_Qty],T_SelfStock_Log[Part Name],$A56,T_SelfStock_Log[WeekIndex],34))</f>
        <v/>
      </c>
      <c r="AJ56" s="17">
        <f>IF(COUNTIFS(T_SelfStock_Log[Part Name],$A56,T_SelfStock_Log[WeekIndex],35)=0,"",SUMIFS(T_SelfStock_Log[Self_Qty],T_SelfStock_Log[Part Name],$A56,T_SelfStock_Log[WeekIndex],35))</f>
        <v/>
      </c>
      <c r="AK56" s="17">
        <f>IF(COUNTIFS(T_SelfStock_Log[Part Name],$A56,T_SelfStock_Log[WeekIndex],36)=0,"",SUMIFS(T_SelfStock_Log[Self_Qty],T_SelfStock_Log[Part Name],$A56,T_SelfStock_Log[WeekIndex],36))</f>
        <v/>
      </c>
      <c r="AL56" s="17">
        <f>IF(COUNTIFS(T_SelfStock_Log[Part Name],$A56,T_SelfStock_Log[WeekIndex],37)=0,"",SUMIFS(T_SelfStock_Log[Self_Qty],T_SelfStock_Log[Part Name],$A56,T_SelfStock_Log[WeekIndex],37))</f>
        <v/>
      </c>
      <c r="AM56" s="17">
        <f>IF(COUNTIFS(T_SelfStock_Log[Part Name],$A56,T_SelfStock_Log[WeekIndex],38)=0,"",SUMIFS(T_SelfStock_Log[Self_Qty],T_SelfStock_Log[Part Name],$A56,T_SelfStock_Log[WeekIndex],38))</f>
        <v/>
      </c>
      <c r="AN56" s="17">
        <f>IF(COUNTIFS(T_SelfStock_Log[Part Name],$A56,T_SelfStock_Log[WeekIndex],39)=0,"",SUMIFS(T_SelfStock_Log[Self_Qty],T_SelfStock_Log[Part Name],$A56,T_SelfStock_Log[WeekIndex],39))</f>
        <v/>
      </c>
      <c r="AO56" s="17">
        <f>IF(COUNTIFS(T_SelfStock_Log[Part Name],$A56,T_SelfStock_Log[WeekIndex],40)=0,"",SUMIFS(T_SelfStock_Log[Self_Qty],T_SelfStock_Log[Part Name],$A56,T_SelfStock_Log[WeekIndex],40))</f>
        <v/>
      </c>
      <c r="AP56" s="17">
        <f>IF(COUNTIFS(T_SelfStock_Log[Part Name],$A56,T_SelfStock_Log[WeekIndex],41)=0,"",SUMIFS(T_SelfStock_Log[Self_Qty],T_SelfStock_Log[Part Name],$A56,T_SelfStock_Log[WeekIndex],41))</f>
        <v/>
      </c>
      <c r="AQ56" s="17">
        <f>IF(COUNTIFS(T_SelfStock_Log[Part Name],$A56,T_SelfStock_Log[WeekIndex],42)=0,"",SUMIFS(T_SelfStock_Log[Self_Qty],T_SelfStock_Log[Part Name],$A56,T_SelfStock_Log[WeekIndex],42))</f>
        <v/>
      </c>
      <c r="AR56" s="17">
        <f>IF(COUNTIFS(T_SelfStock_Log[Part Name],$A56,T_SelfStock_Log[WeekIndex],43)=0,"",SUMIFS(T_SelfStock_Log[Self_Qty],T_SelfStock_Log[Part Name],$A56,T_SelfStock_Log[WeekIndex],43))</f>
        <v/>
      </c>
      <c r="AS56" s="17">
        <f>IF(COUNTIFS(T_SelfStock_Log[Part Name],$A56,T_SelfStock_Log[WeekIndex],44)=0,"",SUMIFS(T_SelfStock_Log[Self_Qty],T_SelfStock_Log[Part Name],$A56,T_SelfStock_Log[WeekIndex],44))</f>
        <v/>
      </c>
      <c r="AT56" s="17">
        <f>IF(COUNTIFS(T_SelfStock_Log[Part Name],$A56,T_SelfStock_Log[WeekIndex],45)=0,"",SUMIFS(T_SelfStock_Log[Self_Qty],T_SelfStock_Log[Part Name],$A56,T_SelfStock_Log[WeekIndex],45))</f>
        <v/>
      </c>
      <c r="AU56" s="17">
        <f>IF(COUNTIFS(T_SelfStock_Log[Part Name],$A56,T_SelfStock_Log[WeekIndex],46)=0,"",SUMIFS(T_SelfStock_Log[Self_Qty],T_SelfStock_Log[Part Name],$A56,T_SelfStock_Log[WeekIndex],46))</f>
        <v/>
      </c>
      <c r="AV56" s="17">
        <f>IF(COUNTIFS(T_SelfStock_Log[Part Name],$A56,T_SelfStock_Log[WeekIndex],47)=0,"",SUMIFS(T_SelfStock_Log[Self_Qty],T_SelfStock_Log[Part Name],$A56,T_SelfStock_Log[WeekIndex],47))</f>
        <v/>
      </c>
      <c r="AW56" s="17">
        <f>IF(COUNTIFS(T_SelfStock_Log[Part Name],$A56,T_SelfStock_Log[WeekIndex],48)=0,"",SUMIFS(T_SelfStock_Log[Self_Qty],T_SelfStock_Log[Part Name],$A56,T_SelfStock_Log[WeekIndex],48))</f>
        <v/>
      </c>
      <c r="AX56" s="17">
        <f>IF(COUNTIFS(T_SelfStock_Log[Part Name],$A56,T_SelfStock_Log[WeekIndex],49)=0,"",SUMIFS(T_SelfStock_Log[Self_Qty],T_SelfStock_Log[Part Name],$A56,T_SelfStock_Log[WeekIndex],49))</f>
        <v/>
      </c>
      <c r="AY56" s="17">
        <f>IF(COUNTIFS(T_SelfStock_Log[Part Name],$A56,T_SelfStock_Log[WeekIndex],50)=0,"",SUMIFS(T_SelfStock_Log[Self_Qty],T_SelfStock_Log[Part Name],$A56,T_SelfStock_Log[WeekIndex],50))</f>
        <v/>
      </c>
      <c r="AZ56" s="17">
        <f>IF(COUNTIFS(T_SelfStock_Log[Part Name],$A56,T_SelfStock_Log[WeekIndex],51)=0,"",SUMIFS(T_SelfStock_Log[Self_Qty],T_SelfStock_Log[Part Name],$A56,T_SelfStock_Log[WeekIndex],51))</f>
        <v/>
      </c>
      <c r="BA56" s="17">
        <f>IF(COUNTIFS(T_SelfStock_Log[Part Name],$A56,T_SelfStock_Log[WeekIndex],52)=0,"",SUMIFS(T_SelfStock_Log[Self_Qty],T_SelfStock_Log[Part Name],$A56,T_SelfStock_Log[WeekIndex],52))</f>
        <v/>
      </c>
      <c r="BB56" s="17">
        <f>IF(COUNTIFS(T_SelfStock_Log[Part Name],$A56,T_SelfStock_Log[WeekIndex],53)=0,"",SUMIFS(T_SelfStock_Log[Self_Qty],T_SelfStock_Log[Part Name],$A56,T_SelfStock_Log[WeekIndex],53))</f>
        <v/>
      </c>
      <c r="BC56" s="17">
        <f>IF(COUNTIFS(T_SelfStock_Log[Part Name],$A56,T_SelfStock_Log[WeekIndex],54)=0,"",SUMIFS(T_SelfStock_Log[Self_Qty],T_SelfStock_Log[Part Name],$A56,T_SelfStock_Log[WeekIndex],54))</f>
        <v/>
      </c>
      <c r="BD56" s="17">
        <f>IF(COUNTIFS(T_SelfStock_Log[Part Name],$A56,T_SelfStock_Log[WeekIndex],55)=0,"",SUMIFS(T_SelfStock_Log[Self_Qty],T_SelfStock_Log[Part Name],$A56,T_SelfStock_Log[WeekIndex],55))</f>
        <v/>
      </c>
      <c r="BE56" s="17">
        <f>IF(COUNTIFS(T_SelfStock_Log[Part Name],$A56,T_SelfStock_Log[WeekIndex],56)=0,"",SUMIFS(T_SelfStock_Log[Self_Qty],T_SelfStock_Log[Part Name],$A56,T_SelfStock_Log[WeekIndex],56))</f>
        <v/>
      </c>
      <c r="BF56" s="17">
        <f>IF(COUNTIFS(T_SelfStock_Log[Part Name],$A56,T_SelfStock_Log[WeekIndex],57)=0,"",SUMIFS(T_SelfStock_Log[Self_Qty],T_SelfStock_Log[Part Name],$A56,T_SelfStock_Log[WeekIndex],57))</f>
        <v/>
      </c>
      <c r="BG56" s="17">
        <f>IF(COUNTIFS(T_SelfStock_Log[Part Name],$A56,T_SelfStock_Log[WeekIndex],58)=0,"",SUMIFS(T_SelfStock_Log[Self_Qty],T_SelfStock_Log[Part Name],$A56,T_SelfStock_Log[WeekIndex],58))</f>
        <v/>
      </c>
      <c r="BH56" s="17">
        <f>IF(COUNTIFS(T_SelfStock_Log[Part Name],$A56,T_SelfStock_Log[WeekIndex],59)=0,"",SUMIFS(T_SelfStock_Log[Self_Qty],T_SelfStock_Log[Part Name],$A56,T_SelfStock_Log[WeekIndex],59))</f>
        <v/>
      </c>
      <c r="BI56" s="17">
        <f>IF(COUNTIFS(T_SelfStock_Log[Part Name],$A56,T_SelfStock_Log[WeekIndex],60)=0,"",SUMIFS(T_SelfStock_Log[Self_Qty],T_SelfStock_Log[Part Name],$A56,T_SelfStock_Log[WeekIndex],60))</f>
        <v/>
      </c>
      <c r="BJ56" s="17">
        <f>IF(COUNTIFS(T_SelfStock_Log[Part Name],$A56,T_SelfStock_Log[WeekIndex],61)=0,"",SUMIFS(T_SelfStock_Log[Self_Qty],T_SelfStock_Log[Part Name],$A56,T_SelfStock_Log[WeekIndex],61))</f>
        <v/>
      </c>
      <c r="BK56" s="17">
        <f>IF(COUNTIFS(T_SelfStock_Log[Part Name],$A56,T_SelfStock_Log[WeekIndex],62)=0,"",SUMIFS(T_SelfStock_Log[Self_Qty],T_SelfStock_Log[Part Name],$A56,T_SelfStock_Log[WeekIndex],62))</f>
        <v/>
      </c>
      <c r="BL56" s="17">
        <f>IF(COUNTIFS(T_SelfStock_Log[Part Name],$A56,T_SelfStock_Log[WeekIndex],63)=0,"",SUMIFS(T_SelfStock_Log[Self_Qty],T_SelfStock_Log[Part Name],$A56,T_SelfStock_Log[WeekIndex],63))</f>
        <v/>
      </c>
      <c r="BM56" s="17">
        <f>IF(COUNTIFS(T_SelfStock_Log[Part Name],$A56,T_SelfStock_Log[WeekIndex],64)=0,"",SUMIFS(T_SelfStock_Log[Self_Qty],T_SelfStock_Log[Part Name],$A56,T_SelfStock_Log[WeekIndex],64))</f>
        <v/>
      </c>
      <c r="BN56" s="17">
        <f>IF(COUNTIFS(T_SelfStock_Log[Part Name],$A56,T_SelfStock_Log[WeekIndex],65)=0,"",SUMIFS(T_SelfStock_Log[Self_Qty],T_SelfStock_Log[Part Name],$A56,T_SelfStock_Log[WeekIndex],65))</f>
        <v/>
      </c>
      <c r="BO56" s="17">
        <f>IF(COUNTIFS(T_SelfStock_Log[Part Name],$A56,T_SelfStock_Log[WeekIndex],66)=0,"",SUMIFS(T_SelfStock_Log[Self_Qty],T_SelfStock_Log[Part Name],$A56,T_SelfStock_Log[WeekIndex],66))</f>
        <v/>
      </c>
      <c r="BP56" s="17">
        <f>IF(COUNTIFS(T_SelfStock_Log[Part Name],$A56,T_SelfStock_Log[WeekIndex],67)=0,"",SUMIFS(T_SelfStock_Log[Self_Qty],T_SelfStock_Log[Part Name],$A56,T_SelfStock_Log[WeekIndex],67))</f>
        <v/>
      </c>
      <c r="BQ56" s="17">
        <f>IF(COUNTIFS(T_SelfStock_Log[Part Name],$A56,T_SelfStock_Log[WeekIndex],68)=0,"",SUMIFS(T_SelfStock_Log[Self_Qty],T_SelfStock_Log[Part Name],$A56,T_SelfStock_Log[WeekIndex],68))</f>
        <v/>
      </c>
      <c r="BR56" s="17">
        <f>IF(COUNTIFS(T_SelfStock_Log[Part Name],$A56,T_SelfStock_Log[WeekIndex],69)=0,"",SUMIFS(T_SelfStock_Log[Self_Qty],T_SelfStock_Log[Part Name],$A56,T_SelfStock_Log[WeekIndex],69))</f>
        <v/>
      </c>
      <c r="BS56" s="17">
        <f>IF(COUNTIFS(T_SelfStock_Log[Part Name],$A56,T_SelfStock_Log[WeekIndex],70)=0,"",SUMIFS(T_SelfStock_Log[Self_Qty],T_SelfStock_Log[Part Name],$A56,T_SelfStock_Log[WeekIndex],70))</f>
        <v/>
      </c>
      <c r="BT56" s="17">
        <f>IF(COUNTIFS(T_SelfStock_Log[Part Name],$A56,T_SelfStock_Log[WeekIndex],71)=0,"",SUMIFS(T_SelfStock_Log[Self_Qty],T_SelfStock_Log[Part Name],$A56,T_SelfStock_Log[WeekIndex],71))</f>
        <v/>
      </c>
      <c r="BU56" s="17">
        <f>IF(COUNTIFS(T_SelfStock_Log[Part Name],$A56,T_SelfStock_Log[WeekIndex],72)=0,"",SUMIFS(T_SelfStock_Log[Self_Qty],T_SelfStock_Log[Part Name],$A56,T_SelfStock_Log[WeekIndex],72))</f>
        <v/>
      </c>
      <c r="BV56" s="17">
        <f>IF(COUNTIFS(T_SelfStock_Log[Part Name],$A56,T_SelfStock_Log[WeekIndex],73)=0,"",SUMIFS(T_SelfStock_Log[Self_Qty],T_SelfStock_Log[Part Name],$A56,T_SelfStock_Log[WeekIndex],73))</f>
        <v/>
      </c>
      <c r="BW56" s="17">
        <f>IF(COUNTIFS(T_SelfStock_Log[Part Name],$A56,T_SelfStock_Log[WeekIndex],74)=0,"",SUMIFS(T_SelfStock_Log[Self_Qty],T_SelfStock_Log[Part Name],$A56,T_SelfStock_Log[WeekIndex],74))</f>
        <v/>
      </c>
      <c r="BX56" s="17">
        <f>IF(COUNTIFS(T_SelfStock_Log[Part Name],$A56,T_SelfStock_Log[WeekIndex],75)=0,"",SUMIFS(T_SelfStock_Log[Self_Qty],T_SelfStock_Log[Part Name],$A56,T_SelfStock_Log[WeekIndex],75))</f>
        <v/>
      </c>
      <c r="BY56" s="17">
        <f>IF(COUNTIFS(T_SelfStock_Log[Part Name],$A56,T_SelfStock_Log[WeekIndex],76)=0,"",SUMIFS(T_SelfStock_Log[Self_Qty],T_SelfStock_Log[Part Name],$A56,T_SelfStock_Log[WeekIndex],76))</f>
        <v/>
      </c>
      <c r="BZ56" s="17">
        <f>IF(COUNTIFS(T_SelfStock_Log[Part Name],$A56,T_SelfStock_Log[WeekIndex],77)=0,"",SUMIFS(T_SelfStock_Log[Self_Qty],T_SelfStock_Log[Part Name],$A56,T_SelfStock_Log[WeekIndex],77))</f>
        <v/>
      </c>
      <c r="CA56" s="17">
        <f>IF(COUNTIFS(T_SelfStock_Log[Part Name],$A56,T_SelfStock_Log[WeekIndex],78)=0,"",SUMIFS(T_SelfStock_Log[Self_Qty],T_SelfStock_Log[Part Name],$A56,T_SelfStock_Log[WeekIndex],78))</f>
        <v/>
      </c>
      <c r="CB56" s="17">
        <f>IF(COUNTIFS(T_SelfStock_Log[Part Name],$A56,T_SelfStock_Log[WeekIndex],79)=0,"",SUMIFS(T_SelfStock_Log[Self_Qty],T_SelfStock_Log[Part Name],$A56,T_SelfStock_Log[WeekIndex],79))</f>
        <v/>
      </c>
      <c r="CC56" s="17">
        <f>IF(COUNTIFS(T_SelfStock_Log[Part Name],$A56,T_SelfStock_Log[WeekIndex],80)=0,"",SUMIFS(T_SelfStock_Log[Self_Qty],T_SelfStock_Log[Part Name],$A56,T_SelfStock_Log[WeekIndex],80))</f>
        <v/>
      </c>
      <c r="CD56" s="17">
        <f>IF(COUNTIFS(T_SelfStock_Log[Part Name],$A56,T_SelfStock_Log[WeekIndex],81)=0,"",SUMIFS(T_SelfStock_Log[Self_Qty],T_SelfStock_Log[Part Name],$A56,T_SelfStock_Log[WeekIndex],81))</f>
        <v/>
      </c>
      <c r="CE56" s="17">
        <f>IF(COUNTIFS(T_SelfStock_Log[Part Name],$A56,T_SelfStock_Log[WeekIndex],82)=0,"",SUMIFS(T_SelfStock_Log[Self_Qty],T_SelfStock_Log[Part Name],$A56,T_SelfStock_Log[WeekIndex],82))</f>
        <v/>
      </c>
      <c r="CF56" s="17">
        <f>IF(COUNTIFS(T_SelfStock_Log[Part Name],$A56,T_SelfStock_Log[WeekIndex],83)=0,"",SUMIFS(T_SelfStock_Log[Self_Qty],T_SelfStock_Log[Part Name],$A56,T_SelfStock_Log[WeekIndex],83))</f>
        <v/>
      </c>
      <c r="CG56" s="17">
        <f>IF(COUNTIFS(T_SelfStock_Log[Part Name],$A56,T_SelfStock_Log[WeekIndex],84)=0,"",SUMIFS(T_SelfStock_Log[Self_Qty],T_SelfStock_Log[Part Name],$A56,T_SelfStock_Log[WeekIndex],84))</f>
        <v/>
      </c>
      <c r="CH56" s="17">
        <f>IF(COUNTIFS(T_SelfStock_Log[Part Name],$A56,T_SelfStock_Log[WeekIndex],85)=0,"",SUMIFS(T_SelfStock_Log[Self_Qty],T_SelfStock_Log[Part Name],$A56,T_SelfStock_Log[WeekIndex],85))</f>
        <v/>
      </c>
      <c r="CI56" s="17">
        <f>IF(COUNTIFS(T_SelfStock_Log[Part Name],$A56,T_SelfStock_Log[WeekIndex],86)=0,"",SUMIFS(T_SelfStock_Log[Self_Qty],T_SelfStock_Log[Part Name],$A56,T_SelfStock_Log[WeekIndex],86))</f>
        <v/>
      </c>
      <c r="CJ56" s="17">
        <f>IF(COUNTIFS(T_SelfStock_Log[Part Name],$A56,T_SelfStock_Log[WeekIndex],87)=0,"",SUMIFS(T_SelfStock_Log[Self_Qty],T_SelfStock_Log[Part Name],$A56,T_SelfStock_Log[WeekIndex],87))</f>
        <v/>
      </c>
      <c r="CK56" s="17">
        <f>IF(COUNTIFS(T_SelfStock_Log[Part Name],$A56,T_SelfStock_Log[WeekIndex],88)=0,"",SUMIFS(T_SelfStock_Log[Self_Qty],T_SelfStock_Log[Part Name],$A56,T_SelfStock_Log[WeekIndex],88))</f>
        <v/>
      </c>
      <c r="CL56" s="17">
        <f>IF(COUNTIFS(T_SelfStock_Log[Part Name],$A56,T_SelfStock_Log[WeekIndex],89)=0,"",SUMIFS(T_SelfStock_Log[Self_Qty],T_SelfStock_Log[Part Name],$A56,T_SelfStock_Log[WeekIndex],89))</f>
        <v/>
      </c>
      <c r="CM56" s="17">
        <f>IF(COUNTIFS(T_SelfStock_Log[Part Name],$A56,T_SelfStock_Log[WeekIndex],90)=0,"",SUMIFS(T_SelfStock_Log[Self_Qty],T_SelfStock_Log[Part Name],$A56,T_SelfStock_Log[WeekIndex],90))</f>
        <v/>
      </c>
      <c r="CN56" s="17">
        <f>IF(COUNTIFS(T_SelfStock_Log[Part Name],$A56,T_SelfStock_Log[WeekIndex],91)=0,"",SUMIFS(T_SelfStock_Log[Self_Qty],T_SelfStock_Log[Part Name],$A56,T_SelfStock_Log[WeekIndex],91))</f>
        <v/>
      </c>
      <c r="CO56" s="17">
        <f>IF(COUNTIFS(T_SelfStock_Log[Part Name],$A56,T_SelfStock_Log[WeekIndex],92)=0,"",SUMIFS(T_SelfStock_Log[Self_Qty],T_SelfStock_Log[Part Name],$A56,T_SelfStock_Log[WeekIndex],92))</f>
        <v/>
      </c>
      <c r="CP56" s="17">
        <f>IF(COUNTIFS(T_SelfStock_Log[Part Name],$A56,T_SelfStock_Log[WeekIndex],93)=0,"",SUMIFS(T_SelfStock_Log[Self_Qty],T_SelfStock_Log[Part Name],$A56,T_SelfStock_Log[WeekIndex],93))</f>
        <v/>
      </c>
      <c r="CQ56" s="17">
        <f>IF(COUNTIFS(T_SelfStock_Log[Part Name],$A56,T_SelfStock_Log[WeekIndex],94)=0,"",SUMIFS(T_SelfStock_Log[Self_Qty],T_SelfStock_Log[Part Name],$A56,T_SelfStock_Log[WeekIndex],94))</f>
        <v/>
      </c>
      <c r="CR56" s="17">
        <f>IF(COUNTIFS(T_SelfStock_Log[Part Name],$A56,T_SelfStock_Log[WeekIndex],95)=0,"",SUMIFS(T_SelfStock_Log[Self_Qty],T_SelfStock_Log[Part Name],$A56,T_SelfStock_Log[WeekIndex],95))</f>
        <v/>
      </c>
      <c r="CS56" s="17">
        <f>IF(COUNTIFS(T_SelfStock_Log[Part Name],$A56,T_SelfStock_Log[WeekIndex],96)=0,"",SUMIFS(T_SelfStock_Log[Self_Qty],T_SelfStock_Log[Part Name],$A56,T_SelfStock_Log[WeekIndex],96))</f>
        <v/>
      </c>
      <c r="CT56" s="17">
        <f>IF(COUNTIFS(T_SelfStock_Log[Part Name],$A56,T_SelfStock_Log[WeekIndex],97)=0,"",SUMIFS(T_SelfStock_Log[Self_Qty],T_SelfStock_Log[Part Name],$A56,T_SelfStock_Log[WeekIndex],97))</f>
        <v/>
      </c>
      <c r="CU56" s="17">
        <f>IF(COUNTIFS(T_SelfStock_Log[Part Name],$A56,T_SelfStock_Log[WeekIndex],98)=0,"",SUMIFS(T_SelfStock_Log[Self_Qty],T_SelfStock_Log[Part Name],$A56,T_SelfStock_Log[WeekIndex],98))</f>
        <v/>
      </c>
      <c r="CV56" s="17">
        <f>IF(COUNTIFS(T_SelfStock_Log[Part Name],$A56,T_SelfStock_Log[WeekIndex],99)=0,"",SUMIFS(T_SelfStock_Log[Self_Qty],T_SelfStock_Log[Part Name],$A56,T_SelfStock_Log[WeekIndex],99))</f>
        <v/>
      </c>
      <c r="CW56" s="17">
        <f>IF(COUNTIFS(T_SelfStock_Log[Part Name],$A56,T_SelfStock_Log[WeekIndex],100)=0,"",SUMIFS(T_SelfStock_Log[Self_Qty],T_SelfStock_Log[Part Name],$A56,T_SelfStock_Log[WeekIndex],100))</f>
        <v/>
      </c>
      <c r="CX56" s="17">
        <f>IF(COUNTIFS(T_SelfStock_Log[Part Name],$A56,T_SelfStock_Log[WeekIndex],101)=0,"",SUMIFS(T_SelfStock_Log[Self_Qty],T_SelfStock_Log[Part Name],$A56,T_SelfStock_Log[WeekIndex],101))</f>
        <v/>
      </c>
      <c r="CY56" s="17">
        <f>IF(COUNTIFS(T_SelfStock_Log[Part Name],$A56,T_SelfStock_Log[WeekIndex],102)=0,"",SUMIFS(T_SelfStock_Log[Self_Qty],T_SelfStock_Log[Part Name],$A56,T_SelfStock_Log[WeekIndex],102))</f>
        <v/>
      </c>
      <c r="CZ56" s="17">
        <f>IF(COUNTIFS(T_SelfStock_Log[Part Name],$A56,T_SelfStock_Log[WeekIndex],103)=0,"",SUMIFS(T_SelfStock_Log[Self_Qty],T_SelfStock_Log[Part Name],$A56,T_SelfStock_Log[WeekIndex],103))</f>
        <v/>
      </c>
      <c r="DA56" s="17">
        <f>IF(COUNTIFS(T_SelfStock_Log[Part Name],$A56,T_SelfStock_Log[WeekIndex],104)=0,"",SUMIFS(T_SelfStock_Log[Self_Qty],T_SelfStock_Log[Part Name],$A56,T_SelfStock_Log[WeekIndex],104))</f>
        <v/>
      </c>
    </row>
    <row r="57">
      <c r="A57" s="19" t="inlineStr">
        <is>
          <t>Ester Film</t>
        </is>
      </c>
      <c r="B57" s="19">
        <f>IF(COUNTIFS(T_SelfStock_Log[Part Name],$A57,T_SelfStock_Log[WeekIndex],1)=0,"",SUMIFS(T_SelfStock_Log[Self_Qty],T_SelfStock_Log[Part Name],$A57,T_SelfStock_Log[WeekIndex],1))</f>
        <v/>
      </c>
      <c r="C57" s="19">
        <f>IF(COUNTIFS(T_SelfStock_Log[Part Name],$A57,T_SelfStock_Log[WeekIndex],2)=0,"",SUMIFS(T_SelfStock_Log[Self_Qty],T_SelfStock_Log[Part Name],$A57,T_SelfStock_Log[WeekIndex],2))</f>
        <v/>
      </c>
      <c r="D57" s="19">
        <f>IF(COUNTIFS(T_SelfStock_Log[Part Name],$A57,T_SelfStock_Log[WeekIndex],3)=0,"",SUMIFS(T_SelfStock_Log[Self_Qty],T_SelfStock_Log[Part Name],$A57,T_SelfStock_Log[WeekIndex],3))</f>
        <v/>
      </c>
      <c r="E57" s="19">
        <f>IF(COUNTIFS(T_SelfStock_Log[Part Name],$A57,T_SelfStock_Log[WeekIndex],4)=0,"",SUMIFS(T_SelfStock_Log[Self_Qty],T_SelfStock_Log[Part Name],$A57,T_SelfStock_Log[WeekIndex],4))</f>
        <v/>
      </c>
      <c r="F57" s="19">
        <f>IF(COUNTIFS(T_SelfStock_Log[Part Name],$A57,T_SelfStock_Log[WeekIndex],5)=0,"",SUMIFS(T_SelfStock_Log[Self_Qty],T_SelfStock_Log[Part Name],$A57,T_SelfStock_Log[WeekIndex],5))</f>
        <v/>
      </c>
      <c r="G57" s="19">
        <f>IF(COUNTIFS(T_SelfStock_Log[Part Name],$A57,T_SelfStock_Log[WeekIndex],6)=0,"",SUMIFS(T_SelfStock_Log[Self_Qty],T_SelfStock_Log[Part Name],$A57,T_SelfStock_Log[WeekIndex],6))</f>
        <v/>
      </c>
      <c r="H57" s="19">
        <f>IF(COUNTIFS(T_SelfStock_Log[Part Name],$A57,T_SelfStock_Log[WeekIndex],7)=0,"",SUMIFS(T_SelfStock_Log[Self_Qty],T_SelfStock_Log[Part Name],$A57,T_SelfStock_Log[WeekIndex],7))</f>
        <v/>
      </c>
      <c r="I57" s="19">
        <f>IF(COUNTIFS(T_SelfStock_Log[Part Name],$A57,T_SelfStock_Log[WeekIndex],8)=0,"",SUMIFS(T_SelfStock_Log[Self_Qty],T_SelfStock_Log[Part Name],$A57,T_SelfStock_Log[WeekIndex],8))</f>
        <v/>
      </c>
      <c r="J57" s="19">
        <f>IF(COUNTIFS(T_SelfStock_Log[Part Name],$A57,T_SelfStock_Log[WeekIndex],9)=0,"",SUMIFS(T_SelfStock_Log[Self_Qty],T_SelfStock_Log[Part Name],$A57,T_SelfStock_Log[WeekIndex],9))</f>
        <v/>
      </c>
      <c r="K57" s="19">
        <f>IF(COUNTIFS(T_SelfStock_Log[Part Name],$A57,T_SelfStock_Log[WeekIndex],10)=0,"",SUMIFS(T_SelfStock_Log[Self_Qty],T_SelfStock_Log[Part Name],$A57,T_SelfStock_Log[WeekIndex],10))</f>
        <v/>
      </c>
      <c r="L57" s="19">
        <f>IF(COUNTIFS(T_SelfStock_Log[Part Name],$A57,T_SelfStock_Log[WeekIndex],11)=0,"",SUMIFS(T_SelfStock_Log[Self_Qty],T_SelfStock_Log[Part Name],$A57,T_SelfStock_Log[WeekIndex],11))</f>
        <v/>
      </c>
      <c r="M57" s="19">
        <f>IF(COUNTIFS(T_SelfStock_Log[Part Name],$A57,T_SelfStock_Log[WeekIndex],12)=0,"",SUMIFS(T_SelfStock_Log[Self_Qty],T_SelfStock_Log[Part Name],$A57,T_SelfStock_Log[WeekIndex],12))</f>
        <v/>
      </c>
      <c r="N57" s="19">
        <f>IF(COUNTIFS(T_SelfStock_Log[Part Name],$A57,T_SelfStock_Log[WeekIndex],13)=0,"",SUMIFS(T_SelfStock_Log[Self_Qty],T_SelfStock_Log[Part Name],$A57,T_SelfStock_Log[WeekIndex],13))</f>
        <v/>
      </c>
      <c r="O57" s="19">
        <f>IF(COUNTIFS(T_SelfStock_Log[Part Name],$A57,T_SelfStock_Log[WeekIndex],14)=0,"",SUMIFS(T_SelfStock_Log[Self_Qty],T_SelfStock_Log[Part Name],$A57,T_SelfStock_Log[WeekIndex],14))</f>
        <v/>
      </c>
      <c r="P57" s="19">
        <f>IF(COUNTIFS(T_SelfStock_Log[Part Name],$A57,T_SelfStock_Log[WeekIndex],15)=0,"",SUMIFS(T_SelfStock_Log[Self_Qty],T_SelfStock_Log[Part Name],$A57,T_SelfStock_Log[WeekIndex],15))</f>
        <v/>
      </c>
      <c r="Q57" s="19">
        <f>IF(COUNTIFS(T_SelfStock_Log[Part Name],$A57,T_SelfStock_Log[WeekIndex],16)=0,"",SUMIFS(T_SelfStock_Log[Self_Qty],T_SelfStock_Log[Part Name],$A57,T_SelfStock_Log[WeekIndex],16))</f>
        <v/>
      </c>
      <c r="R57" s="19">
        <f>IF(COUNTIFS(T_SelfStock_Log[Part Name],$A57,T_SelfStock_Log[WeekIndex],17)=0,"",SUMIFS(T_SelfStock_Log[Self_Qty],T_SelfStock_Log[Part Name],$A57,T_SelfStock_Log[WeekIndex],17))</f>
        <v/>
      </c>
      <c r="S57" s="19">
        <f>IF(COUNTIFS(T_SelfStock_Log[Part Name],$A57,T_SelfStock_Log[WeekIndex],18)=0,"",SUMIFS(T_SelfStock_Log[Self_Qty],T_SelfStock_Log[Part Name],$A57,T_SelfStock_Log[WeekIndex],18))</f>
        <v/>
      </c>
      <c r="T57" s="19">
        <f>IF(COUNTIFS(T_SelfStock_Log[Part Name],$A57,T_SelfStock_Log[WeekIndex],19)=0,"",SUMIFS(T_SelfStock_Log[Self_Qty],T_SelfStock_Log[Part Name],$A57,T_SelfStock_Log[WeekIndex],19))</f>
        <v/>
      </c>
      <c r="U57" s="19">
        <f>IF(COUNTIFS(T_SelfStock_Log[Part Name],$A57,T_SelfStock_Log[WeekIndex],20)=0,"",SUMIFS(T_SelfStock_Log[Self_Qty],T_SelfStock_Log[Part Name],$A57,T_SelfStock_Log[WeekIndex],20))</f>
        <v/>
      </c>
      <c r="V57" s="19">
        <f>IF(COUNTIFS(T_SelfStock_Log[Part Name],$A57,T_SelfStock_Log[WeekIndex],21)=0,"",SUMIFS(T_SelfStock_Log[Self_Qty],T_SelfStock_Log[Part Name],$A57,T_SelfStock_Log[WeekIndex],21))</f>
        <v/>
      </c>
      <c r="W57" s="19">
        <f>IF(COUNTIFS(T_SelfStock_Log[Part Name],$A57,T_SelfStock_Log[WeekIndex],22)=0,"",SUMIFS(T_SelfStock_Log[Self_Qty],T_SelfStock_Log[Part Name],$A57,T_SelfStock_Log[WeekIndex],22))</f>
        <v/>
      </c>
      <c r="X57" s="19">
        <f>IF(COUNTIFS(T_SelfStock_Log[Part Name],$A57,T_SelfStock_Log[WeekIndex],23)=0,"",SUMIFS(T_SelfStock_Log[Self_Qty],T_SelfStock_Log[Part Name],$A57,T_SelfStock_Log[WeekIndex],23))</f>
        <v/>
      </c>
      <c r="Y57" s="19">
        <f>IF(COUNTIFS(T_SelfStock_Log[Part Name],$A57,T_SelfStock_Log[WeekIndex],24)=0,"",SUMIFS(T_SelfStock_Log[Self_Qty],T_SelfStock_Log[Part Name],$A57,T_SelfStock_Log[WeekIndex],24))</f>
        <v/>
      </c>
      <c r="Z57" s="19">
        <f>IF(COUNTIFS(T_SelfStock_Log[Part Name],$A57,T_SelfStock_Log[WeekIndex],25)=0,"",SUMIFS(T_SelfStock_Log[Self_Qty],T_SelfStock_Log[Part Name],$A57,T_SelfStock_Log[WeekIndex],25))</f>
        <v/>
      </c>
      <c r="AA57" s="19">
        <f>IF(COUNTIFS(T_SelfStock_Log[Part Name],$A57,T_SelfStock_Log[WeekIndex],26)=0,"",SUMIFS(T_SelfStock_Log[Self_Qty],T_SelfStock_Log[Part Name],$A57,T_SelfStock_Log[WeekIndex],26))</f>
        <v/>
      </c>
      <c r="AB57" s="19">
        <f>IF(COUNTIFS(T_SelfStock_Log[Part Name],$A57,T_SelfStock_Log[WeekIndex],27)=0,"",SUMIFS(T_SelfStock_Log[Self_Qty],T_SelfStock_Log[Part Name],$A57,T_SelfStock_Log[WeekIndex],27))</f>
        <v/>
      </c>
      <c r="AC57" s="19">
        <f>IF(COUNTIFS(T_SelfStock_Log[Part Name],$A57,T_SelfStock_Log[WeekIndex],28)=0,"",SUMIFS(T_SelfStock_Log[Self_Qty],T_SelfStock_Log[Part Name],$A57,T_SelfStock_Log[WeekIndex],28))</f>
        <v/>
      </c>
      <c r="AD57" s="19">
        <f>IF(COUNTIFS(T_SelfStock_Log[Part Name],$A57,T_SelfStock_Log[WeekIndex],29)=0,"",SUMIFS(T_SelfStock_Log[Self_Qty],T_SelfStock_Log[Part Name],$A57,T_SelfStock_Log[WeekIndex],29))</f>
        <v/>
      </c>
      <c r="AE57" s="19">
        <f>IF(COUNTIFS(T_SelfStock_Log[Part Name],$A57,T_SelfStock_Log[WeekIndex],30)=0,"",SUMIFS(T_SelfStock_Log[Self_Qty],T_SelfStock_Log[Part Name],$A57,T_SelfStock_Log[WeekIndex],30))</f>
        <v/>
      </c>
      <c r="AF57" s="19">
        <f>IF(COUNTIFS(T_SelfStock_Log[Part Name],$A57,T_SelfStock_Log[WeekIndex],31)=0,"",SUMIFS(T_SelfStock_Log[Self_Qty],T_SelfStock_Log[Part Name],$A57,T_SelfStock_Log[WeekIndex],31))</f>
        <v/>
      </c>
      <c r="AG57" s="19">
        <f>IF(COUNTIFS(T_SelfStock_Log[Part Name],$A57,T_SelfStock_Log[WeekIndex],32)=0,"",SUMIFS(T_SelfStock_Log[Self_Qty],T_SelfStock_Log[Part Name],$A57,T_SelfStock_Log[WeekIndex],32))</f>
        <v/>
      </c>
      <c r="AH57" s="19">
        <f>IF(COUNTIFS(T_SelfStock_Log[Part Name],$A57,T_SelfStock_Log[WeekIndex],33)=0,"",SUMIFS(T_SelfStock_Log[Self_Qty],T_SelfStock_Log[Part Name],$A57,T_SelfStock_Log[WeekIndex],33))</f>
        <v/>
      </c>
      <c r="AI57" s="19">
        <f>IF(COUNTIFS(T_SelfStock_Log[Part Name],$A57,T_SelfStock_Log[WeekIndex],34)=0,"",SUMIFS(T_SelfStock_Log[Self_Qty],T_SelfStock_Log[Part Name],$A57,T_SelfStock_Log[WeekIndex],34))</f>
        <v/>
      </c>
      <c r="AJ57" s="19">
        <f>IF(COUNTIFS(T_SelfStock_Log[Part Name],$A57,T_SelfStock_Log[WeekIndex],35)=0,"",SUMIFS(T_SelfStock_Log[Self_Qty],T_SelfStock_Log[Part Name],$A57,T_SelfStock_Log[WeekIndex],35))</f>
        <v/>
      </c>
      <c r="AK57" s="19">
        <f>IF(COUNTIFS(T_SelfStock_Log[Part Name],$A57,T_SelfStock_Log[WeekIndex],36)=0,"",SUMIFS(T_SelfStock_Log[Self_Qty],T_SelfStock_Log[Part Name],$A57,T_SelfStock_Log[WeekIndex],36))</f>
        <v/>
      </c>
      <c r="AL57" s="19">
        <f>IF(COUNTIFS(T_SelfStock_Log[Part Name],$A57,T_SelfStock_Log[WeekIndex],37)=0,"",SUMIFS(T_SelfStock_Log[Self_Qty],T_SelfStock_Log[Part Name],$A57,T_SelfStock_Log[WeekIndex],37))</f>
        <v/>
      </c>
      <c r="AM57" s="19">
        <f>IF(COUNTIFS(T_SelfStock_Log[Part Name],$A57,T_SelfStock_Log[WeekIndex],38)=0,"",SUMIFS(T_SelfStock_Log[Self_Qty],T_SelfStock_Log[Part Name],$A57,T_SelfStock_Log[WeekIndex],38))</f>
        <v/>
      </c>
      <c r="AN57" s="19">
        <f>IF(COUNTIFS(T_SelfStock_Log[Part Name],$A57,T_SelfStock_Log[WeekIndex],39)=0,"",SUMIFS(T_SelfStock_Log[Self_Qty],T_SelfStock_Log[Part Name],$A57,T_SelfStock_Log[WeekIndex],39))</f>
        <v/>
      </c>
      <c r="AO57" s="19">
        <f>IF(COUNTIFS(T_SelfStock_Log[Part Name],$A57,T_SelfStock_Log[WeekIndex],40)=0,"",SUMIFS(T_SelfStock_Log[Self_Qty],T_SelfStock_Log[Part Name],$A57,T_SelfStock_Log[WeekIndex],40))</f>
        <v/>
      </c>
      <c r="AP57" s="19">
        <f>IF(COUNTIFS(T_SelfStock_Log[Part Name],$A57,T_SelfStock_Log[WeekIndex],41)=0,"",SUMIFS(T_SelfStock_Log[Self_Qty],T_SelfStock_Log[Part Name],$A57,T_SelfStock_Log[WeekIndex],41))</f>
        <v/>
      </c>
      <c r="AQ57" s="19">
        <f>IF(COUNTIFS(T_SelfStock_Log[Part Name],$A57,T_SelfStock_Log[WeekIndex],42)=0,"",SUMIFS(T_SelfStock_Log[Self_Qty],T_SelfStock_Log[Part Name],$A57,T_SelfStock_Log[WeekIndex],42))</f>
        <v/>
      </c>
      <c r="AR57" s="19">
        <f>IF(COUNTIFS(T_SelfStock_Log[Part Name],$A57,T_SelfStock_Log[WeekIndex],43)=0,"",SUMIFS(T_SelfStock_Log[Self_Qty],T_SelfStock_Log[Part Name],$A57,T_SelfStock_Log[WeekIndex],43))</f>
        <v/>
      </c>
      <c r="AS57" s="19">
        <f>IF(COUNTIFS(T_SelfStock_Log[Part Name],$A57,T_SelfStock_Log[WeekIndex],44)=0,"",SUMIFS(T_SelfStock_Log[Self_Qty],T_SelfStock_Log[Part Name],$A57,T_SelfStock_Log[WeekIndex],44))</f>
        <v/>
      </c>
      <c r="AT57" s="19">
        <f>IF(COUNTIFS(T_SelfStock_Log[Part Name],$A57,T_SelfStock_Log[WeekIndex],45)=0,"",SUMIFS(T_SelfStock_Log[Self_Qty],T_SelfStock_Log[Part Name],$A57,T_SelfStock_Log[WeekIndex],45))</f>
        <v/>
      </c>
      <c r="AU57" s="19">
        <f>IF(COUNTIFS(T_SelfStock_Log[Part Name],$A57,T_SelfStock_Log[WeekIndex],46)=0,"",SUMIFS(T_SelfStock_Log[Self_Qty],T_SelfStock_Log[Part Name],$A57,T_SelfStock_Log[WeekIndex],46))</f>
        <v/>
      </c>
      <c r="AV57" s="19">
        <f>IF(COUNTIFS(T_SelfStock_Log[Part Name],$A57,T_SelfStock_Log[WeekIndex],47)=0,"",SUMIFS(T_SelfStock_Log[Self_Qty],T_SelfStock_Log[Part Name],$A57,T_SelfStock_Log[WeekIndex],47))</f>
        <v/>
      </c>
      <c r="AW57" s="19">
        <f>IF(COUNTIFS(T_SelfStock_Log[Part Name],$A57,T_SelfStock_Log[WeekIndex],48)=0,"",SUMIFS(T_SelfStock_Log[Self_Qty],T_SelfStock_Log[Part Name],$A57,T_SelfStock_Log[WeekIndex],48))</f>
        <v/>
      </c>
      <c r="AX57" s="19">
        <f>IF(COUNTIFS(T_SelfStock_Log[Part Name],$A57,T_SelfStock_Log[WeekIndex],49)=0,"",SUMIFS(T_SelfStock_Log[Self_Qty],T_SelfStock_Log[Part Name],$A57,T_SelfStock_Log[WeekIndex],49))</f>
        <v/>
      </c>
      <c r="AY57" s="19">
        <f>IF(COUNTIFS(T_SelfStock_Log[Part Name],$A57,T_SelfStock_Log[WeekIndex],50)=0,"",SUMIFS(T_SelfStock_Log[Self_Qty],T_SelfStock_Log[Part Name],$A57,T_SelfStock_Log[WeekIndex],50))</f>
        <v/>
      </c>
      <c r="AZ57" s="19">
        <f>IF(COUNTIFS(T_SelfStock_Log[Part Name],$A57,T_SelfStock_Log[WeekIndex],51)=0,"",SUMIFS(T_SelfStock_Log[Self_Qty],T_SelfStock_Log[Part Name],$A57,T_SelfStock_Log[WeekIndex],51))</f>
        <v/>
      </c>
      <c r="BA57" s="19">
        <f>IF(COUNTIFS(T_SelfStock_Log[Part Name],$A57,T_SelfStock_Log[WeekIndex],52)=0,"",SUMIFS(T_SelfStock_Log[Self_Qty],T_SelfStock_Log[Part Name],$A57,T_SelfStock_Log[WeekIndex],52))</f>
        <v/>
      </c>
      <c r="BB57" s="19">
        <f>IF(COUNTIFS(T_SelfStock_Log[Part Name],$A57,T_SelfStock_Log[WeekIndex],53)=0,"",SUMIFS(T_SelfStock_Log[Self_Qty],T_SelfStock_Log[Part Name],$A57,T_SelfStock_Log[WeekIndex],53))</f>
        <v/>
      </c>
      <c r="BC57" s="19">
        <f>IF(COUNTIFS(T_SelfStock_Log[Part Name],$A57,T_SelfStock_Log[WeekIndex],54)=0,"",SUMIFS(T_SelfStock_Log[Self_Qty],T_SelfStock_Log[Part Name],$A57,T_SelfStock_Log[WeekIndex],54))</f>
        <v/>
      </c>
      <c r="BD57" s="19">
        <f>IF(COUNTIFS(T_SelfStock_Log[Part Name],$A57,T_SelfStock_Log[WeekIndex],55)=0,"",SUMIFS(T_SelfStock_Log[Self_Qty],T_SelfStock_Log[Part Name],$A57,T_SelfStock_Log[WeekIndex],55))</f>
        <v/>
      </c>
      <c r="BE57" s="19">
        <f>IF(COUNTIFS(T_SelfStock_Log[Part Name],$A57,T_SelfStock_Log[WeekIndex],56)=0,"",SUMIFS(T_SelfStock_Log[Self_Qty],T_SelfStock_Log[Part Name],$A57,T_SelfStock_Log[WeekIndex],56))</f>
        <v/>
      </c>
      <c r="BF57" s="19">
        <f>IF(COUNTIFS(T_SelfStock_Log[Part Name],$A57,T_SelfStock_Log[WeekIndex],57)=0,"",SUMIFS(T_SelfStock_Log[Self_Qty],T_SelfStock_Log[Part Name],$A57,T_SelfStock_Log[WeekIndex],57))</f>
        <v/>
      </c>
      <c r="BG57" s="19">
        <f>IF(COUNTIFS(T_SelfStock_Log[Part Name],$A57,T_SelfStock_Log[WeekIndex],58)=0,"",SUMIFS(T_SelfStock_Log[Self_Qty],T_SelfStock_Log[Part Name],$A57,T_SelfStock_Log[WeekIndex],58))</f>
        <v/>
      </c>
      <c r="BH57" s="19">
        <f>IF(COUNTIFS(T_SelfStock_Log[Part Name],$A57,T_SelfStock_Log[WeekIndex],59)=0,"",SUMIFS(T_SelfStock_Log[Self_Qty],T_SelfStock_Log[Part Name],$A57,T_SelfStock_Log[WeekIndex],59))</f>
        <v/>
      </c>
      <c r="BI57" s="19">
        <f>IF(COUNTIFS(T_SelfStock_Log[Part Name],$A57,T_SelfStock_Log[WeekIndex],60)=0,"",SUMIFS(T_SelfStock_Log[Self_Qty],T_SelfStock_Log[Part Name],$A57,T_SelfStock_Log[WeekIndex],60))</f>
        <v/>
      </c>
      <c r="BJ57" s="19">
        <f>IF(COUNTIFS(T_SelfStock_Log[Part Name],$A57,T_SelfStock_Log[WeekIndex],61)=0,"",SUMIFS(T_SelfStock_Log[Self_Qty],T_SelfStock_Log[Part Name],$A57,T_SelfStock_Log[WeekIndex],61))</f>
        <v/>
      </c>
      <c r="BK57" s="19">
        <f>IF(COUNTIFS(T_SelfStock_Log[Part Name],$A57,T_SelfStock_Log[WeekIndex],62)=0,"",SUMIFS(T_SelfStock_Log[Self_Qty],T_SelfStock_Log[Part Name],$A57,T_SelfStock_Log[WeekIndex],62))</f>
        <v/>
      </c>
      <c r="BL57" s="19">
        <f>IF(COUNTIFS(T_SelfStock_Log[Part Name],$A57,T_SelfStock_Log[WeekIndex],63)=0,"",SUMIFS(T_SelfStock_Log[Self_Qty],T_SelfStock_Log[Part Name],$A57,T_SelfStock_Log[WeekIndex],63))</f>
        <v/>
      </c>
      <c r="BM57" s="19">
        <f>IF(COUNTIFS(T_SelfStock_Log[Part Name],$A57,T_SelfStock_Log[WeekIndex],64)=0,"",SUMIFS(T_SelfStock_Log[Self_Qty],T_SelfStock_Log[Part Name],$A57,T_SelfStock_Log[WeekIndex],64))</f>
        <v/>
      </c>
      <c r="BN57" s="19">
        <f>IF(COUNTIFS(T_SelfStock_Log[Part Name],$A57,T_SelfStock_Log[WeekIndex],65)=0,"",SUMIFS(T_SelfStock_Log[Self_Qty],T_SelfStock_Log[Part Name],$A57,T_SelfStock_Log[WeekIndex],65))</f>
        <v/>
      </c>
      <c r="BO57" s="19">
        <f>IF(COUNTIFS(T_SelfStock_Log[Part Name],$A57,T_SelfStock_Log[WeekIndex],66)=0,"",SUMIFS(T_SelfStock_Log[Self_Qty],T_SelfStock_Log[Part Name],$A57,T_SelfStock_Log[WeekIndex],66))</f>
        <v/>
      </c>
      <c r="BP57" s="19">
        <f>IF(COUNTIFS(T_SelfStock_Log[Part Name],$A57,T_SelfStock_Log[WeekIndex],67)=0,"",SUMIFS(T_SelfStock_Log[Self_Qty],T_SelfStock_Log[Part Name],$A57,T_SelfStock_Log[WeekIndex],67))</f>
        <v/>
      </c>
      <c r="BQ57" s="19">
        <f>IF(COUNTIFS(T_SelfStock_Log[Part Name],$A57,T_SelfStock_Log[WeekIndex],68)=0,"",SUMIFS(T_SelfStock_Log[Self_Qty],T_SelfStock_Log[Part Name],$A57,T_SelfStock_Log[WeekIndex],68))</f>
        <v/>
      </c>
      <c r="BR57" s="19">
        <f>IF(COUNTIFS(T_SelfStock_Log[Part Name],$A57,T_SelfStock_Log[WeekIndex],69)=0,"",SUMIFS(T_SelfStock_Log[Self_Qty],T_SelfStock_Log[Part Name],$A57,T_SelfStock_Log[WeekIndex],69))</f>
        <v/>
      </c>
      <c r="BS57" s="19">
        <f>IF(COUNTIFS(T_SelfStock_Log[Part Name],$A57,T_SelfStock_Log[WeekIndex],70)=0,"",SUMIFS(T_SelfStock_Log[Self_Qty],T_SelfStock_Log[Part Name],$A57,T_SelfStock_Log[WeekIndex],70))</f>
        <v/>
      </c>
      <c r="BT57" s="19">
        <f>IF(COUNTIFS(T_SelfStock_Log[Part Name],$A57,T_SelfStock_Log[WeekIndex],71)=0,"",SUMIFS(T_SelfStock_Log[Self_Qty],T_SelfStock_Log[Part Name],$A57,T_SelfStock_Log[WeekIndex],71))</f>
        <v/>
      </c>
      <c r="BU57" s="19">
        <f>IF(COUNTIFS(T_SelfStock_Log[Part Name],$A57,T_SelfStock_Log[WeekIndex],72)=0,"",SUMIFS(T_SelfStock_Log[Self_Qty],T_SelfStock_Log[Part Name],$A57,T_SelfStock_Log[WeekIndex],72))</f>
        <v/>
      </c>
      <c r="BV57" s="19">
        <f>IF(COUNTIFS(T_SelfStock_Log[Part Name],$A57,T_SelfStock_Log[WeekIndex],73)=0,"",SUMIFS(T_SelfStock_Log[Self_Qty],T_SelfStock_Log[Part Name],$A57,T_SelfStock_Log[WeekIndex],73))</f>
        <v/>
      </c>
      <c r="BW57" s="19">
        <f>IF(COUNTIFS(T_SelfStock_Log[Part Name],$A57,T_SelfStock_Log[WeekIndex],74)=0,"",SUMIFS(T_SelfStock_Log[Self_Qty],T_SelfStock_Log[Part Name],$A57,T_SelfStock_Log[WeekIndex],74))</f>
        <v/>
      </c>
      <c r="BX57" s="19">
        <f>IF(COUNTIFS(T_SelfStock_Log[Part Name],$A57,T_SelfStock_Log[WeekIndex],75)=0,"",SUMIFS(T_SelfStock_Log[Self_Qty],T_SelfStock_Log[Part Name],$A57,T_SelfStock_Log[WeekIndex],75))</f>
        <v/>
      </c>
      <c r="BY57" s="19">
        <f>IF(COUNTIFS(T_SelfStock_Log[Part Name],$A57,T_SelfStock_Log[WeekIndex],76)=0,"",SUMIFS(T_SelfStock_Log[Self_Qty],T_SelfStock_Log[Part Name],$A57,T_SelfStock_Log[WeekIndex],76))</f>
        <v/>
      </c>
      <c r="BZ57" s="19">
        <f>IF(COUNTIFS(T_SelfStock_Log[Part Name],$A57,T_SelfStock_Log[WeekIndex],77)=0,"",SUMIFS(T_SelfStock_Log[Self_Qty],T_SelfStock_Log[Part Name],$A57,T_SelfStock_Log[WeekIndex],77))</f>
        <v/>
      </c>
      <c r="CA57" s="19">
        <f>IF(COUNTIFS(T_SelfStock_Log[Part Name],$A57,T_SelfStock_Log[WeekIndex],78)=0,"",SUMIFS(T_SelfStock_Log[Self_Qty],T_SelfStock_Log[Part Name],$A57,T_SelfStock_Log[WeekIndex],78))</f>
        <v/>
      </c>
      <c r="CB57" s="19">
        <f>IF(COUNTIFS(T_SelfStock_Log[Part Name],$A57,T_SelfStock_Log[WeekIndex],79)=0,"",SUMIFS(T_SelfStock_Log[Self_Qty],T_SelfStock_Log[Part Name],$A57,T_SelfStock_Log[WeekIndex],79))</f>
        <v/>
      </c>
      <c r="CC57" s="19">
        <f>IF(COUNTIFS(T_SelfStock_Log[Part Name],$A57,T_SelfStock_Log[WeekIndex],80)=0,"",SUMIFS(T_SelfStock_Log[Self_Qty],T_SelfStock_Log[Part Name],$A57,T_SelfStock_Log[WeekIndex],80))</f>
        <v/>
      </c>
      <c r="CD57" s="19">
        <f>IF(COUNTIFS(T_SelfStock_Log[Part Name],$A57,T_SelfStock_Log[WeekIndex],81)=0,"",SUMIFS(T_SelfStock_Log[Self_Qty],T_SelfStock_Log[Part Name],$A57,T_SelfStock_Log[WeekIndex],81))</f>
        <v/>
      </c>
      <c r="CE57" s="19">
        <f>IF(COUNTIFS(T_SelfStock_Log[Part Name],$A57,T_SelfStock_Log[WeekIndex],82)=0,"",SUMIFS(T_SelfStock_Log[Self_Qty],T_SelfStock_Log[Part Name],$A57,T_SelfStock_Log[WeekIndex],82))</f>
        <v/>
      </c>
      <c r="CF57" s="19">
        <f>IF(COUNTIFS(T_SelfStock_Log[Part Name],$A57,T_SelfStock_Log[WeekIndex],83)=0,"",SUMIFS(T_SelfStock_Log[Self_Qty],T_SelfStock_Log[Part Name],$A57,T_SelfStock_Log[WeekIndex],83))</f>
        <v/>
      </c>
      <c r="CG57" s="19">
        <f>IF(COUNTIFS(T_SelfStock_Log[Part Name],$A57,T_SelfStock_Log[WeekIndex],84)=0,"",SUMIFS(T_SelfStock_Log[Self_Qty],T_SelfStock_Log[Part Name],$A57,T_SelfStock_Log[WeekIndex],84))</f>
        <v/>
      </c>
      <c r="CH57" s="19">
        <f>IF(COUNTIFS(T_SelfStock_Log[Part Name],$A57,T_SelfStock_Log[WeekIndex],85)=0,"",SUMIFS(T_SelfStock_Log[Self_Qty],T_SelfStock_Log[Part Name],$A57,T_SelfStock_Log[WeekIndex],85))</f>
        <v/>
      </c>
      <c r="CI57" s="19">
        <f>IF(COUNTIFS(T_SelfStock_Log[Part Name],$A57,T_SelfStock_Log[WeekIndex],86)=0,"",SUMIFS(T_SelfStock_Log[Self_Qty],T_SelfStock_Log[Part Name],$A57,T_SelfStock_Log[WeekIndex],86))</f>
        <v/>
      </c>
      <c r="CJ57" s="19">
        <f>IF(COUNTIFS(T_SelfStock_Log[Part Name],$A57,T_SelfStock_Log[WeekIndex],87)=0,"",SUMIFS(T_SelfStock_Log[Self_Qty],T_SelfStock_Log[Part Name],$A57,T_SelfStock_Log[WeekIndex],87))</f>
        <v/>
      </c>
      <c r="CK57" s="19">
        <f>IF(COUNTIFS(T_SelfStock_Log[Part Name],$A57,T_SelfStock_Log[WeekIndex],88)=0,"",SUMIFS(T_SelfStock_Log[Self_Qty],T_SelfStock_Log[Part Name],$A57,T_SelfStock_Log[WeekIndex],88))</f>
        <v/>
      </c>
      <c r="CL57" s="19">
        <f>IF(COUNTIFS(T_SelfStock_Log[Part Name],$A57,T_SelfStock_Log[WeekIndex],89)=0,"",SUMIFS(T_SelfStock_Log[Self_Qty],T_SelfStock_Log[Part Name],$A57,T_SelfStock_Log[WeekIndex],89))</f>
        <v/>
      </c>
      <c r="CM57" s="19">
        <f>IF(COUNTIFS(T_SelfStock_Log[Part Name],$A57,T_SelfStock_Log[WeekIndex],90)=0,"",SUMIFS(T_SelfStock_Log[Self_Qty],T_SelfStock_Log[Part Name],$A57,T_SelfStock_Log[WeekIndex],90))</f>
        <v/>
      </c>
      <c r="CN57" s="19">
        <f>IF(COUNTIFS(T_SelfStock_Log[Part Name],$A57,T_SelfStock_Log[WeekIndex],91)=0,"",SUMIFS(T_SelfStock_Log[Self_Qty],T_SelfStock_Log[Part Name],$A57,T_SelfStock_Log[WeekIndex],91))</f>
        <v/>
      </c>
      <c r="CO57" s="19">
        <f>IF(COUNTIFS(T_SelfStock_Log[Part Name],$A57,T_SelfStock_Log[WeekIndex],92)=0,"",SUMIFS(T_SelfStock_Log[Self_Qty],T_SelfStock_Log[Part Name],$A57,T_SelfStock_Log[WeekIndex],92))</f>
        <v/>
      </c>
      <c r="CP57" s="19">
        <f>IF(COUNTIFS(T_SelfStock_Log[Part Name],$A57,T_SelfStock_Log[WeekIndex],93)=0,"",SUMIFS(T_SelfStock_Log[Self_Qty],T_SelfStock_Log[Part Name],$A57,T_SelfStock_Log[WeekIndex],93))</f>
        <v/>
      </c>
      <c r="CQ57" s="19">
        <f>IF(COUNTIFS(T_SelfStock_Log[Part Name],$A57,T_SelfStock_Log[WeekIndex],94)=0,"",SUMIFS(T_SelfStock_Log[Self_Qty],T_SelfStock_Log[Part Name],$A57,T_SelfStock_Log[WeekIndex],94))</f>
        <v/>
      </c>
      <c r="CR57" s="19">
        <f>IF(COUNTIFS(T_SelfStock_Log[Part Name],$A57,T_SelfStock_Log[WeekIndex],95)=0,"",SUMIFS(T_SelfStock_Log[Self_Qty],T_SelfStock_Log[Part Name],$A57,T_SelfStock_Log[WeekIndex],95))</f>
        <v/>
      </c>
      <c r="CS57" s="19">
        <f>IF(COUNTIFS(T_SelfStock_Log[Part Name],$A57,T_SelfStock_Log[WeekIndex],96)=0,"",SUMIFS(T_SelfStock_Log[Self_Qty],T_SelfStock_Log[Part Name],$A57,T_SelfStock_Log[WeekIndex],96))</f>
        <v/>
      </c>
      <c r="CT57" s="19">
        <f>IF(COUNTIFS(T_SelfStock_Log[Part Name],$A57,T_SelfStock_Log[WeekIndex],97)=0,"",SUMIFS(T_SelfStock_Log[Self_Qty],T_SelfStock_Log[Part Name],$A57,T_SelfStock_Log[WeekIndex],97))</f>
        <v/>
      </c>
      <c r="CU57" s="19">
        <f>IF(COUNTIFS(T_SelfStock_Log[Part Name],$A57,T_SelfStock_Log[WeekIndex],98)=0,"",SUMIFS(T_SelfStock_Log[Self_Qty],T_SelfStock_Log[Part Name],$A57,T_SelfStock_Log[WeekIndex],98))</f>
        <v/>
      </c>
      <c r="CV57" s="19">
        <f>IF(COUNTIFS(T_SelfStock_Log[Part Name],$A57,T_SelfStock_Log[WeekIndex],99)=0,"",SUMIFS(T_SelfStock_Log[Self_Qty],T_SelfStock_Log[Part Name],$A57,T_SelfStock_Log[WeekIndex],99))</f>
        <v/>
      </c>
      <c r="CW57" s="19">
        <f>IF(COUNTIFS(T_SelfStock_Log[Part Name],$A57,T_SelfStock_Log[WeekIndex],100)=0,"",SUMIFS(T_SelfStock_Log[Self_Qty],T_SelfStock_Log[Part Name],$A57,T_SelfStock_Log[WeekIndex],100))</f>
        <v/>
      </c>
      <c r="CX57" s="19">
        <f>IF(COUNTIFS(T_SelfStock_Log[Part Name],$A57,T_SelfStock_Log[WeekIndex],101)=0,"",SUMIFS(T_SelfStock_Log[Self_Qty],T_SelfStock_Log[Part Name],$A57,T_SelfStock_Log[WeekIndex],101))</f>
        <v/>
      </c>
      <c r="CY57" s="19">
        <f>IF(COUNTIFS(T_SelfStock_Log[Part Name],$A57,T_SelfStock_Log[WeekIndex],102)=0,"",SUMIFS(T_SelfStock_Log[Self_Qty],T_SelfStock_Log[Part Name],$A57,T_SelfStock_Log[WeekIndex],102))</f>
        <v/>
      </c>
      <c r="CZ57" s="19">
        <f>IF(COUNTIFS(T_SelfStock_Log[Part Name],$A57,T_SelfStock_Log[WeekIndex],103)=0,"",SUMIFS(T_SelfStock_Log[Self_Qty],T_SelfStock_Log[Part Name],$A57,T_SelfStock_Log[WeekIndex],103))</f>
        <v/>
      </c>
      <c r="DA57" s="19">
        <f>IF(COUNTIFS(T_SelfStock_Log[Part Name],$A57,T_SelfStock_Log[WeekIndex],104)=0,"",SUMIFS(T_SelfStock_Log[Self_Qty],T_SelfStock_Log[Part Name],$A57,T_SelfStock_Log[WeekIndex],104))</f>
        <v/>
      </c>
    </row>
    <row r="58">
      <c r="A58" s="17" t="inlineStr">
        <is>
          <t>PP Film</t>
        </is>
      </c>
      <c r="B58" s="17">
        <f>IF(COUNTIFS(T_SelfStock_Log[Part Name],$A58,T_SelfStock_Log[WeekIndex],1)=0,"",SUMIFS(T_SelfStock_Log[Self_Qty],T_SelfStock_Log[Part Name],$A58,T_SelfStock_Log[WeekIndex],1))</f>
        <v/>
      </c>
      <c r="C58" s="17">
        <f>IF(COUNTIFS(T_SelfStock_Log[Part Name],$A58,T_SelfStock_Log[WeekIndex],2)=0,"",SUMIFS(T_SelfStock_Log[Self_Qty],T_SelfStock_Log[Part Name],$A58,T_SelfStock_Log[WeekIndex],2))</f>
        <v/>
      </c>
      <c r="D58" s="17">
        <f>IF(COUNTIFS(T_SelfStock_Log[Part Name],$A58,T_SelfStock_Log[WeekIndex],3)=0,"",SUMIFS(T_SelfStock_Log[Self_Qty],T_SelfStock_Log[Part Name],$A58,T_SelfStock_Log[WeekIndex],3))</f>
        <v/>
      </c>
      <c r="E58" s="17">
        <f>IF(COUNTIFS(T_SelfStock_Log[Part Name],$A58,T_SelfStock_Log[WeekIndex],4)=0,"",SUMIFS(T_SelfStock_Log[Self_Qty],T_SelfStock_Log[Part Name],$A58,T_SelfStock_Log[WeekIndex],4))</f>
        <v/>
      </c>
      <c r="F58" s="17">
        <f>IF(COUNTIFS(T_SelfStock_Log[Part Name],$A58,T_SelfStock_Log[WeekIndex],5)=0,"",SUMIFS(T_SelfStock_Log[Self_Qty],T_SelfStock_Log[Part Name],$A58,T_SelfStock_Log[WeekIndex],5))</f>
        <v/>
      </c>
      <c r="G58" s="17">
        <f>IF(COUNTIFS(T_SelfStock_Log[Part Name],$A58,T_SelfStock_Log[WeekIndex],6)=0,"",SUMIFS(T_SelfStock_Log[Self_Qty],T_SelfStock_Log[Part Name],$A58,T_SelfStock_Log[WeekIndex],6))</f>
        <v/>
      </c>
      <c r="H58" s="17">
        <f>IF(COUNTIFS(T_SelfStock_Log[Part Name],$A58,T_SelfStock_Log[WeekIndex],7)=0,"",SUMIFS(T_SelfStock_Log[Self_Qty],T_SelfStock_Log[Part Name],$A58,T_SelfStock_Log[WeekIndex],7))</f>
        <v/>
      </c>
      <c r="I58" s="17">
        <f>IF(COUNTIFS(T_SelfStock_Log[Part Name],$A58,T_SelfStock_Log[WeekIndex],8)=0,"",SUMIFS(T_SelfStock_Log[Self_Qty],T_SelfStock_Log[Part Name],$A58,T_SelfStock_Log[WeekIndex],8))</f>
        <v/>
      </c>
      <c r="J58" s="17">
        <f>IF(COUNTIFS(T_SelfStock_Log[Part Name],$A58,T_SelfStock_Log[WeekIndex],9)=0,"",SUMIFS(T_SelfStock_Log[Self_Qty],T_SelfStock_Log[Part Name],$A58,T_SelfStock_Log[WeekIndex],9))</f>
        <v/>
      </c>
      <c r="K58" s="17">
        <f>IF(COUNTIFS(T_SelfStock_Log[Part Name],$A58,T_SelfStock_Log[WeekIndex],10)=0,"",SUMIFS(T_SelfStock_Log[Self_Qty],T_SelfStock_Log[Part Name],$A58,T_SelfStock_Log[WeekIndex],10))</f>
        <v/>
      </c>
      <c r="L58" s="17">
        <f>IF(COUNTIFS(T_SelfStock_Log[Part Name],$A58,T_SelfStock_Log[WeekIndex],11)=0,"",SUMIFS(T_SelfStock_Log[Self_Qty],T_SelfStock_Log[Part Name],$A58,T_SelfStock_Log[WeekIndex],11))</f>
        <v/>
      </c>
      <c r="M58" s="17">
        <f>IF(COUNTIFS(T_SelfStock_Log[Part Name],$A58,T_SelfStock_Log[WeekIndex],12)=0,"",SUMIFS(T_SelfStock_Log[Self_Qty],T_SelfStock_Log[Part Name],$A58,T_SelfStock_Log[WeekIndex],12))</f>
        <v/>
      </c>
      <c r="N58" s="17">
        <f>IF(COUNTIFS(T_SelfStock_Log[Part Name],$A58,T_SelfStock_Log[WeekIndex],13)=0,"",SUMIFS(T_SelfStock_Log[Self_Qty],T_SelfStock_Log[Part Name],$A58,T_SelfStock_Log[WeekIndex],13))</f>
        <v/>
      </c>
      <c r="O58" s="17">
        <f>IF(COUNTIFS(T_SelfStock_Log[Part Name],$A58,T_SelfStock_Log[WeekIndex],14)=0,"",SUMIFS(T_SelfStock_Log[Self_Qty],T_SelfStock_Log[Part Name],$A58,T_SelfStock_Log[WeekIndex],14))</f>
        <v/>
      </c>
      <c r="P58" s="17">
        <f>IF(COUNTIFS(T_SelfStock_Log[Part Name],$A58,T_SelfStock_Log[WeekIndex],15)=0,"",SUMIFS(T_SelfStock_Log[Self_Qty],T_SelfStock_Log[Part Name],$A58,T_SelfStock_Log[WeekIndex],15))</f>
        <v/>
      </c>
      <c r="Q58" s="17">
        <f>IF(COUNTIFS(T_SelfStock_Log[Part Name],$A58,T_SelfStock_Log[WeekIndex],16)=0,"",SUMIFS(T_SelfStock_Log[Self_Qty],T_SelfStock_Log[Part Name],$A58,T_SelfStock_Log[WeekIndex],16))</f>
        <v/>
      </c>
      <c r="R58" s="17">
        <f>IF(COUNTIFS(T_SelfStock_Log[Part Name],$A58,T_SelfStock_Log[WeekIndex],17)=0,"",SUMIFS(T_SelfStock_Log[Self_Qty],T_SelfStock_Log[Part Name],$A58,T_SelfStock_Log[WeekIndex],17))</f>
        <v/>
      </c>
      <c r="S58" s="17">
        <f>IF(COUNTIFS(T_SelfStock_Log[Part Name],$A58,T_SelfStock_Log[WeekIndex],18)=0,"",SUMIFS(T_SelfStock_Log[Self_Qty],T_SelfStock_Log[Part Name],$A58,T_SelfStock_Log[WeekIndex],18))</f>
        <v/>
      </c>
      <c r="T58" s="17">
        <f>IF(COUNTIFS(T_SelfStock_Log[Part Name],$A58,T_SelfStock_Log[WeekIndex],19)=0,"",SUMIFS(T_SelfStock_Log[Self_Qty],T_SelfStock_Log[Part Name],$A58,T_SelfStock_Log[WeekIndex],19))</f>
        <v/>
      </c>
      <c r="U58" s="17">
        <f>IF(COUNTIFS(T_SelfStock_Log[Part Name],$A58,T_SelfStock_Log[WeekIndex],20)=0,"",SUMIFS(T_SelfStock_Log[Self_Qty],T_SelfStock_Log[Part Name],$A58,T_SelfStock_Log[WeekIndex],20))</f>
        <v/>
      </c>
      <c r="V58" s="17">
        <f>IF(COUNTIFS(T_SelfStock_Log[Part Name],$A58,T_SelfStock_Log[WeekIndex],21)=0,"",SUMIFS(T_SelfStock_Log[Self_Qty],T_SelfStock_Log[Part Name],$A58,T_SelfStock_Log[WeekIndex],21))</f>
        <v/>
      </c>
      <c r="W58" s="17">
        <f>IF(COUNTIFS(T_SelfStock_Log[Part Name],$A58,T_SelfStock_Log[WeekIndex],22)=0,"",SUMIFS(T_SelfStock_Log[Self_Qty],T_SelfStock_Log[Part Name],$A58,T_SelfStock_Log[WeekIndex],22))</f>
        <v/>
      </c>
      <c r="X58" s="17">
        <f>IF(COUNTIFS(T_SelfStock_Log[Part Name],$A58,T_SelfStock_Log[WeekIndex],23)=0,"",SUMIFS(T_SelfStock_Log[Self_Qty],T_SelfStock_Log[Part Name],$A58,T_SelfStock_Log[WeekIndex],23))</f>
        <v/>
      </c>
      <c r="Y58" s="17">
        <f>IF(COUNTIFS(T_SelfStock_Log[Part Name],$A58,T_SelfStock_Log[WeekIndex],24)=0,"",SUMIFS(T_SelfStock_Log[Self_Qty],T_SelfStock_Log[Part Name],$A58,T_SelfStock_Log[WeekIndex],24))</f>
        <v/>
      </c>
      <c r="Z58" s="17">
        <f>IF(COUNTIFS(T_SelfStock_Log[Part Name],$A58,T_SelfStock_Log[WeekIndex],25)=0,"",SUMIFS(T_SelfStock_Log[Self_Qty],T_SelfStock_Log[Part Name],$A58,T_SelfStock_Log[WeekIndex],25))</f>
        <v/>
      </c>
      <c r="AA58" s="17">
        <f>IF(COUNTIFS(T_SelfStock_Log[Part Name],$A58,T_SelfStock_Log[WeekIndex],26)=0,"",SUMIFS(T_SelfStock_Log[Self_Qty],T_SelfStock_Log[Part Name],$A58,T_SelfStock_Log[WeekIndex],26))</f>
        <v/>
      </c>
      <c r="AB58" s="17">
        <f>IF(COUNTIFS(T_SelfStock_Log[Part Name],$A58,T_SelfStock_Log[WeekIndex],27)=0,"",SUMIFS(T_SelfStock_Log[Self_Qty],T_SelfStock_Log[Part Name],$A58,T_SelfStock_Log[WeekIndex],27))</f>
        <v/>
      </c>
      <c r="AC58" s="17">
        <f>IF(COUNTIFS(T_SelfStock_Log[Part Name],$A58,T_SelfStock_Log[WeekIndex],28)=0,"",SUMIFS(T_SelfStock_Log[Self_Qty],T_SelfStock_Log[Part Name],$A58,T_SelfStock_Log[WeekIndex],28))</f>
        <v/>
      </c>
      <c r="AD58" s="17">
        <f>IF(COUNTIFS(T_SelfStock_Log[Part Name],$A58,T_SelfStock_Log[WeekIndex],29)=0,"",SUMIFS(T_SelfStock_Log[Self_Qty],T_SelfStock_Log[Part Name],$A58,T_SelfStock_Log[WeekIndex],29))</f>
        <v/>
      </c>
      <c r="AE58" s="17">
        <f>IF(COUNTIFS(T_SelfStock_Log[Part Name],$A58,T_SelfStock_Log[WeekIndex],30)=0,"",SUMIFS(T_SelfStock_Log[Self_Qty],T_SelfStock_Log[Part Name],$A58,T_SelfStock_Log[WeekIndex],30))</f>
        <v/>
      </c>
      <c r="AF58" s="17">
        <f>IF(COUNTIFS(T_SelfStock_Log[Part Name],$A58,T_SelfStock_Log[WeekIndex],31)=0,"",SUMIFS(T_SelfStock_Log[Self_Qty],T_SelfStock_Log[Part Name],$A58,T_SelfStock_Log[WeekIndex],31))</f>
        <v/>
      </c>
      <c r="AG58" s="17">
        <f>IF(COUNTIFS(T_SelfStock_Log[Part Name],$A58,T_SelfStock_Log[WeekIndex],32)=0,"",SUMIFS(T_SelfStock_Log[Self_Qty],T_SelfStock_Log[Part Name],$A58,T_SelfStock_Log[WeekIndex],32))</f>
        <v/>
      </c>
      <c r="AH58" s="17">
        <f>IF(COUNTIFS(T_SelfStock_Log[Part Name],$A58,T_SelfStock_Log[WeekIndex],33)=0,"",SUMIFS(T_SelfStock_Log[Self_Qty],T_SelfStock_Log[Part Name],$A58,T_SelfStock_Log[WeekIndex],33))</f>
        <v/>
      </c>
      <c r="AI58" s="17">
        <f>IF(COUNTIFS(T_SelfStock_Log[Part Name],$A58,T_SelfStock_Log[WeekIndex],34)=0,"",SUMIFS(T_SelfStock_Log[Self_Qty],T_SelfStock_Log[Part Name],$A58,T_SelfStock_Log[WeekIndex],34))</f>
        <v/>
      </c>
      <c r="AJ58" s="17">
        <f>IF(COUNTIFS(T_SelfStock_Log[Part Name],$A58,T_SelfStock_Log[WeekIndex],35)=0,"",SUMIFS(T_SelfStock_Log[Self_Qty],T_SelfStock_Log[Part Name],$A58,T_SelfStock_Log[WeekIndex],35))</f>
        <v/>
      </c>
      <c r="AK58" s="17">
        <f>IF(COUNTIFS(T_SelfStock_Log[Part Name],$A58,T_SelfStock_Log[WeekIndex],36)=0,"",SUMIFS(T_SelfStock_Log[Self_Qty],T_SelfStock_Log[Part Name],$A58,T_SelfStock_Log[WeekIndex],36))</f>
        <v/>
      </c>
      <c r="AL58" s="17">
        <f>IF(COUNTIFS(T_SelfStock_Log[Part Name],$A58,T_SelfStock_Log[WeekIndex],37)=0,"",SUMIFS(T_SelfStock_Log[Self_Qty],T_SelfStock_Log[Part Name],$A58,T_SelfStock_Log[WeekIndex],37))</f>
        <v/>
      </c>
      <c r="AM58" s="17">
        <f>IF(COUNTIFS(T_SelfStock_Log[Part Name],$A58,T_SelfStock_Log[WeekIndex],38)=0,"",SUMIFS(T_SelfStock_Log[Self_Qty],T_SelfStock_Log[Part Name],$A58,T_SelfStock_Log[WeekIndex],38))</f>
        <v/>
      </c>
      <c r="AN58" s="17">
        <f>IF(COUNTIFS(T_SelfStock_Log[Part Name],$A58,T_SelfStock_Log[WeekIndex],39)=0,"",SUMIFS(T_SelfStock_Log[Self_Qty],T_SelfStock_Log[Part Name],$A58,T_SelfStock_Log[WeekIndex],39))</f>
        <v/>
      </c>
      <c r="AO58" s="17">
        <f>IF(COUNTIFS(T_SelfStock_Log[Part Name],$A58,T_SelfStock_Log[WeekIndex],40)=0,"",SUMIFS(T_SelfStock_Log[Self_Qty],T_SelfStock_Log[Part Name],$A58,T_SelfStock_Log[WeekIndex],40))</f>
        <v/>
      </c>
      <c r="AP58" s="17">
        <f>IF(COUNTIFS(T_SelfStock_Log[Part Name],$A58,T_SelfStock_Log[WeekIndex],41)=0,"",SUMIFS(T_SelfStock_Log[Self_Qty],T_SelfStock_Log[Part Name],$A58,T_SelfStock_Log[WeekIndex],41))</f>
        <v/>
      </c>
      <c r="AQ58" s="17">
        <f>IF(COUNTIFS(T_SelfStock_Log[Part Name],$A58,T_SelfStock_Log[WeekIndex],42)=0,"",SUMIFS(T_SelfStock_Log[Self_Qty],T_SelfStock_Log[Part Name],$A58,T_SelfStock_Log[WeekIndex],42))</f>
        <v/>
      </c>
      <c r="AR58" s="17">
        <f>IF(COUNTIFS(T_SelfStock_Log[Part Name],$A58,T_SelfStock_Log[WeekIndex],43)=0,"",SUMIFS(T_SelfStock_Log[Self_Qty],T_SelfStock_Log[Part Name],$A58,T_SelfStock_Log[WeekIndex],43))</f>
        <v/>
      </c>
      <c r="AS58" s="17">
        <f>IF(COUNTIFS(T_SelfStock_Log[Part Name],$A58,T_SelfStock_Log[WeekIndex],44)=0,"",SUMIFS(T_SelfStock_Log[Self_Qty],T_SelfStock_Log[Part Name],$A58,T_SelfStock_Log[WeekIndex],44))</f>
        <v/>
      </c>
      <c r="AT58" s="17">
        <f>IF(COUNTIFS(T_SelfStock_Log[Part Name],$A58,T_SelfStock_Log[WeekIndex],45)=0,"",SUMIFS(T_SelfStock_Log[Self_Qty],T_SelfStock_Log[Part Name],$A58,T_SelfStock_Log[WeekIndex],45))</f>
        <v/>
      </c>
      <c r="AU58" s="17">
        <f>IF(COUNTIFS(T_SelfStock_Log[Part Name],$A58,T_SelfStock_Log[WeekIndex],46)=0,"",SUMIFS(T_SelfStock_Log[Self_Qty],T_SelfStock_Log[Part Name],$A58,T_SelfStock_Log[WeekIndex],46))</f>
        <v/>
      </c>
      <c r="AV58" s="17">
        <f>IF(COUNTIFS(T_SelfStock_Log[Part Name],$A58,T_SelfStock_Log[WeekIndex],47)=0,"",SUMIFS(T_SelfStock_Log[Self_Qty],T_SelfStock_Log[Part Name],$A58,T_SelfStock_Log[WeekIndex],47))</f>
        <v/>
      </c>
      <c r="AW58" s="17">
        <f>IF(COUNTIFS(T_SelfStock_Log[Part Name],$A58,T_SelfStock_Log[WeekIndex],48)=0,"",SUMIFS(T_SelfStock_Log[Self_Qty],T_SelfStock_Log[Part Name],$A58,T_SelfStock_Log[WeekIndex],48))</f>
        <v/>
      </c>
      <c r="AX58" s="17">
        <f>IF(COUNTIFS(T_SelfStock_Log[Part Name],$A58,T_SelfStock_Log[WeekIndex],49)=0,"",SUMIFS(T_SelfStock_Log[Self_Qty],T_SelfStock_Log[Part Name],$A58,T_SelfStock_Log[WeekIndex],49))</f>
        <v/>
      </c>
      <c r="AY58" s="17">
        <f>IF(COUNTIFS(T_SelfStock_Log[Part Name],$A58,T_SelfStock_Log[WeekIndex],50)=0,"",SUMIFS(T_SelfStock_Log[Self_Qty],T_SelfStock_Log[Part Name],$A58,T_SelfStock_Log[WeekIndex],50))</f>
        <v/>
      </c>
      <c r="AZ58" s="17">
        <f>IF(COUNTIFS(T_SelfStock_Log[Part Name],$A58,T_SelfStock_Log[WeekIndex],51)=0,"",SUMIFS(T_SelfStock_Log[Self_Qty],T_SelfStock_Log[Part Name],$A58,T_SelfStock_Log[WeekIndex],51))</f>
        <v/>
      </c>
      <c r="BA58" s="17">
        <f>IF(COUNTIFS(T_SelfStock_Log[Part Name],$A58,T_SelfStock_Log[WeekIndex],52)=0,"",SUMIFS(T_SelfStock_Log[Self_Qty],T_SelfStock_Log[Part Name],$A58,T_SelfStock_Log[WeekIndex],52))</f>
        <v/>
      </c>
      <c r="BB58" s="17">
        <f>IF(COUNTIFS(T_SelfStock_Log[Part Name],$A58,T_SelfStock_Log[WeekIndex],53)=0,"",SUMIFS(T_SelfStock_Log[Self_Qty],T_SelfStock_Log[Part Name],$A58,T_SelfStock_Log[WeekIndex],53))</f>
        <v/>
      </c>
      <c r="BC58" s="17">
        <f>IF(COUNTIFS(T_SelfStock_Log[Part Name],$A58,T_SelfStock_Log[WeekIndex],54)=0,"",SUMIFS(T_SelfStock_Log[Self_Qty],T_SelfStock_Log[Part Name],$A58,T_SelfStock_Log[WeekIndex],54))</f>
        <v/>
      </c>
      <c r="BD58" s="17">
        <f>IF(COUNTIFS(T_SelfStock_Log[Part Name],$A58,T_SelfStock_Log[WeekIndex],55)=0,"",SUMIFS(T_SelfStock_Log[Self_Qty],T_SelfStock_Log[Part Name],$A58,T_SelfStock_Log[WeekIndex],55))</f>
        <v/>
      </c>
      <c r="BE58" s="17">
        <f>IF(COUNTIFS(T_SelfStock_Log[Part Name],$A58,T_SelfStock_Log[WeekIndex],56)=0,"",SUMIFS(T_SelfStock_Log[Self_Qty],T_SelfStock_Log[Part Name],$A58,T_SelfStock_Log[WeekIndex],56))</f>
        <v/>
      </c>
      <c r="BF58" s="17">
        <f>IF(COUNTIFS(T_SelfStock_Log[Part Name],$A58,T_SelfStock_Log[WeekIndex],57)=0,"",SUMIFS(T_SelfStock_Log[Self_Qty],T_SelfStock_Log[Part Name],$A58,T_SelfStock_Log[WeekIndex],57))</f>
        <v/>
      </c>
      <c r="BG58" s="17">
        <f>IF(COUNTIFS(T_SelfStock_Log[Part Name],$A58,T_SelfStock_Log[WeekIndex],58)=0,"",SUMIFS(T_SelfStock_Log[Self_Qty],T_SelfStock_Log[Part Name],$A58,T_SelfStock_Log[WeekIndex],58))</f>
        <v/>
      </c>
      <c r="BH58" s="17">
        <f>IF(COUNTIFS(T_SelfStock_Log[Part Name],$A58,T_SelfStock_Log[WeekIndex],59)=0,"",SUMIFS(T_SelfStock_Log[Self_Qty],T_SelfStock_Log[Part Name],$A58,T_SelfStock_Log[WeekIndex],59))</f>
        <v/>
      </c>
      <c r="BI58" s="17">
        <f>IF(COUNTIFS(T_SelfStock_Log[Part Name],$A58,T_SelfStock_Log[WeekIndex],60)=0,"",SUMIFS(T_SelfStock_Log[Self_Qty],T_SelfStock_Log[Part Name],$A58,T_SelfStock_Log[WeekIndex],60))</f>
        <v/>
      </c>
      <c r="BJ58" s="17">
        <f>IF(COUNTIFS(T_SelfStock_Log[Part Name],$A58,T_SelfStock_Log[WeekIndex],61)=0,"",SUMIFS(T_SelfStock_Log[Self_Qty],T_SelfStock_Log[Part Name],$A58,T_SelfStock_Log[WeekIndex],61))</f>
        <v/>
      </c>
      <c r="BK58" s="17">
        <f>IF(COUNTIFS(T_SelfStock_Log[Part Name],$A58,T_SelfStock_Log[WeekIndex],62)=0,"",SUMIFS(T_SelfStock_Log[Self_Qty],T_SelfStock_Log[Part Name],$A58,T_SelfStock_Log[WeekIndex],62))</f>
        <v/>
      </c>
      <c r="BL58" s="17">
        <f>IF(COUNTIFS(T_SelfStock_Log[Part Name],$A58,T_SelfStock_Log[WeekIndex],63)=0,"",SUMIFS(T_SelfStock_Log[Self_Qty],T_SelfStock_Log[Part Name],$A58,T_SelfStock_Log[WeekIndex],63))</f>
        <v/>
      </c>
      <c r="BM58" s="17">
        <f>IF(COUNTIFS(T_SelfStock_Log[Part Name],$A58,T_SelfStock_Log[WeekIndex],64)=0,"",SUMIFS(T_SelfStock_Log[Self_Qty],T_SelfStock_Log[Part Name],$A58,T_SelfStock_Log[WeekIndex],64))</f>
        <v/>
      </c>
      <c r="BN58" s="17">
        <f>IF(COUNTIFS(T_SelfStock_Log[Part Name],$A58,T_SelfStock_Log[WeekIndex],65)=0,"",SUMIFS(T_SelfStock_Log[Self_Qty],T_SelfStock_Log[Part Name],$A58,T_SelfStock_Log[WeekIndex],65))</f>
        <v/>
      </c>
      <c r="BO58" s="17">
        <f>IF(COUNTIFS(T_SelfStock_Log[Part Name],$A58,T_SelfStock_Log[WeekIndex],66)=0,"",SUMIFS(T_SelfStock_Log[Self_Qty],T_SelfStock_Log[Part Name],$A58,T_SelfStock_Log[WeekIndex],66))</f>
        <v/>
      </c>
      <c r="BP58" s="17">
        <f>IF(COUNTIFS(T_SelfStock_Log[Part Name],$A58,T_SelfStock_Log[WeekIndex],67)=0,"",SUMIFS(T_SelfStock_Log[Self_Qty],T_SelfStock_Log[Part Name],$A58,T_SelfStock_Log[WeekIndex],67))</f>
        <v/>
      </c>
      <c r="BQ58" s="17">
        <f>IF(COUNTIFS(T_SelfStock_Log[Part Name],$A58,T_SelfStock_Log[WeekIndex],68)=0,"",SUMIFS(T_SelfStock_Log[Self_Qty],T_SelfStock_Log[Part Name],$A58,T_SelfStock_Log[WeekIndex],68))</f>
        <v/>
      </c>
      <c r="BR58" s="17">
        <f>IF(COUNTIFS(T_SelfStock_Log[Part Name],$A58,T_SelfStock_Log[WeekIndex],69)=0,"",SUMIFS(T_SelfStock_Log[Self_Qty],T_SelfStock_Log[Part Name],$A58,T_SelfStock_Log[WeekIndex],69))</f>
        <v/>
      </c>
      <c r="BS58" s="17">
        <f>IF(COUNTIFS(T_SelfStock_Log[Part Name],$A58,T_SelfStock_Log[WeekIndex],70)=0,"",SUMIFS(T_SelfStock_Log[Self_Qty],T_SelfStock_Log[Part Name],$A58,T_SelfStock_Log[WeekIndex],70))</f>
        <v/>
      </c>
      <c r="BT58" s="17">
        <f>IF(COUNTIFS(T_SelfStock_Log[Part Name],$A58,T_SelfStock_Log[WeekIndex],71)=0,"",SUMIFS(T_SelfStock_Log[Self_Qty],T_SelfStock_Log[Part Name],$A58,T_SelfStock_Log[WeekIndex],71))</f>
        <v/>
      </c>
      <c r="BU58" s="17">
        <f>IF(COUNTIFS(T_SelfStock_Log[Part Name],$A58,T_SelfStock_Log[WeekIndex],72)=0,"",SUMIFS(T_SelfStock_Log[Self_Qty],T_SelfStock_Log[Part Name],$A58,T_SelfStock_Log[WeekIndex],72))</f>
        <v/>
      </c>
      <c r="BV58" s="17">
        <f>IF(COUNTIFS(T_SelfStock_Log[Part Name],$A58,T_SelfStock_Log[WeekIndex],73)=0,"",SUMIFS(T_SelfStock_Log[Self_Qty],T_SelfStock_Log[Part Name],$A58,T_SelfStock_Log[WeekIndex],73))</f>
        <v/>
      </c>
      <c r="BW58" s="17">
        <f>IF(COUNTIFS(T_SelfStock_Log[Part Name],$A58,T_SelfStock_Log[WeekIndex],74)=0,"",SUMIFS(T_SelfStock_Log[Self_Qty],T_SelfStock_Log[Part Name],$A58,T_SelfStock_Log[WeekIndex],74))</f>
        <v/>
      </c>
      <c r="BX58" s="17">
        <f>IF(COUNTIFS(T_SelfStock_Log[Part Name],$A58,T_SelfStock_Log[WeekIndex],75)=0,"",SUMIFS(T_SelfStock_Log[Self_Qty],T_SelfStock_Log[Part Name],$A58,T_SelfStock_Log[WeekIndex],75))</f>
        <v/>
      </c>
      <c r="BY58" s="17">
        <f>IF(COUNTIFS(T_SelfStock_Log[Part Name],$A58,T_SelfStock_Log[WeekIndex],76)=0,"",SUMIFS(T_SelfStock_Log[Self_Qty],T_SelfStock_Log[Part Name],$A58,T_SelfStock_Log[WeekIndex],76))</f>
        <v/>
      </c>
      <c r="BZ58" s="17">
        <f>IF(COUNTIFS(T_SelfStock_Log[Part Name],$A58,T_SelfStock_Log[WeekIndex],77)=0,"",SUMIFS(T_SelfStock_Log[Self_Qty],T_SelfStock_Log[Part Name],$A58,T_SelfStock_Log[WeekIndex],77))</f>
        <v/>
      </c>
      <c r="CA58" s="17">
        <f>IF(COUNTIFS(T_SelfStock_Log[Part Name],$A58,T_SelfStock_Log[WeekIndex],78)=0,"",SUMIFS(T_SelfStock_Log[Self_Qty],T_SelfStock_Log[Part Name],$A58,T_SelfStock_Log[WeekIndex],78))</f>
        <v/>
      </c>
      <c r="CB58" s="17">
        <f>IF(COUNTIFS(T_SelfStock_Log[Part Name],$A58,T_SelfStock_Log[WeekIndex],79)=0,"",SUMIFS(T_SelfStock_Log[Self_Qty],T_SelfStock_Log[Part Name],$A58,T_SelfStock_Log[WeekIndex],79))</f>
        <v/>
      </c>
      <c r="CC58" s="17">
        <f>IF(COUNTIFS(T_SelfStock_Log[Part Name],$A58,T_SelfStock_Log[WeekIndex],80)=0,"",SUMIFS(T_SelfStock_Log[Self_Qty],T_SelfStock_Log[Part Name],$A58,T_SelfStock_Log[WeekIndex],80))</f>
        <v/>
      </c>
      <c r="CD58" s="17">
        <f>IF(COUNTIFS(T_SelfStock_Log[Part Name],$A58,T_SelfStock_Log[WeekIndex],81)=0,"",SUMIFS(T_SelfStock_Log[Self_Qty],T_SelfStock_Log[Part Name],$A58,T_SelfStock_Log[WeekIndex],81))</f>
        <v/>
      </c>
      <c r="CE58" s="17">
        <f>IF(COUNTIFS(T_SelfStock_Log[Part Name],$A58,T_SelfStock_Log[WeekIndex],82)=0,"",SUMIFS(T_SelfStock_Log[Self_Qty],T_SelfStock_Log[Part Name],$A58,T_SelfStock_Log[WeekIndex],82))</f>
        <v/>
      </c>
      <c r="CF58" s="17">
        <f>IF(COUNTIFS(T_SelfStock_Log[Part Name],$A58,T_SelfStock_Log[WeekIndex],83)=0,"",SUMIFS(T_SelfStock_Log[Self_Qty],T_SelfStock_Log[Part Name],$A58,T_SelfStock_Log[WeekIndex],83))</f>
        <v/>
      </c>
      <c r="CG58" s="17">
        <f>IF(COUNTIFS(T_SelfStock_Log[Part Name],$A58,T_SelfStock_Log[WeekIndex],84)=0,"",SUMIFS(T_SelfStock_Log[Self_Qty],T_SelfStock_Log[Part Name],$A58,T_SelfStock_Log[WeekIndex],84))</f>
        <v/>
      </c>
      <c r="CH58" s="17">
        <f>IF(COUNTIFS(T_SelfStock_Log[Part Name],$A58,T_SelfStock_Log[WeekIndex],85)=0,"",SUMIFS(T_SelfStock_Log[Self_Qty],T_SelfStock_Log[Part Name],$A58,T_SelfStock_Log[WeekIndex],85))</f>
        <v/>
      </c>
      <c r="CI58" s="17">
        <f>IF(COUNTIFS(T_SelfStock_Log[Part Name],$A58,T_SelfStock_Log[WeekIndex],86)=0,"",SUMIFS(T_SelfStock_Log[Self_Qty],T_SelfStock_Log[Part Name],$A58,T_SelfStock_Log[WeekIndex],86))</f>
        <v/>
      </c>
      <c r="CJ58" s="17">
        <f>IF(COUNTIFS(T_SelfStock_Log[Part Name],$A58,T_SelfStock_Log[WeekIndex],87)=0,"",SUMIFS(T_SelfStock_Log[Self_Qty],T_SelfStock_Log[Part Name],$A58,T_SelfStock_Log[WeekIndex],87))</f>
        <v/>
      </c>
      <c r="CK58" s="17">
        <f>IF(COUNTIFS(T_SelfStock_Log[Part Name],$A58,T_SelfStock_Log[WeekIndex],88)=0,"",SUMIFS(T_SelfStock_Log[Self_Qty],T_SelfStock_Log[Part Name],$A58,T_SelfStock_Log[WeekIndex],88))</f>
        <v/>
      </c>
      <c r="CL58" s="17">
        <f>IF(COUNTIFS(T_SelfStock_Log[Part Name],$A58,T_SelfStock_Log[WeekIndex],89)=0,"",SUMIFS(T_SelfStock_Log[Self_Qty],T_SelfStock_Log[Part Name],$A58,T_SelfStock_Log[WeekIndex],89))</f>
        <v/>
      </c>
      <c r="CM58" s="17">
        <f>IF(COUNTIFS(T_SelfStock_Log[Part Name],$A58,T_SelfStock_Log[WeekIndex],90)=0,"",SUMIFS(T_SelfStock_Log[Self_Qty],T_SelfStock_Log[Part Name],$A58,T_SelfStock_Log[WeekIndex],90))</f>
        <v/>
      </c>
      <c r="CN58" s="17">
        <f>IF(COUNTIFS(T_SelfStock_Log[Part Name],$A58,T_SelfStock_Log[WeekIndex],91)=0,"",SUMIFS(T_SelfStock_Log[Self_Qty],T_SelfStock_Log[Part Name],$A58,T_SelfStock_Log[WeekIndex],91))</f>
        <v/>
      </c>
      <c r="CO58" s="17">
        <f>IF(COUNTIFS(T_SelfStock_Log[Part Name],$A58,T_SelfStock_Log[WeekIndex],92)=0,"",SUMIFS(T_SelfStock_Log[Self_Qty],T_SelfStock_Log[Part Name],$A58,T_SelfStock_Log[WeekIndex],92))</f>
        <v/>
      </c>
      <c r="CP58" s="17">
        <f>IF(COUNTIFS(T_SelfStock_Log[Part Name],$A58,T_SelfStock_Log[WeekIndex],93)=0,"",SUMIFS(T_SelfStock_Log[Self_Qty],T_SelfStock_Log[Part Name],$A58,T_SelfStock_Log[WeekIndex],93))</f>
        <v/>
      </c>
      <c r="CQ58" s="17">
        <f>IF(COUNTIFS(T_SelfStock_Log[Part Name],$A58,T_SelfStock_Log[WeekIndex],94)=0,"",SUMIFS(T_SelfStock_Log[Self_Qty],T_SelfStock_Log[Part Name],$A58,T_SelfStock_Log[WeekIndex],94))</f>
        <v/>
      </c>
      <c r="CR58" s="17">
        <f>IF(COUNTIFS(T_SelfStock_Log[Part Name],$A58,T_SelfStock_Log[WeekIndex],95)=0,"",SUMIFS(T_SelfStock_Log[Self_Qty],T_SelfStock_Log[Part Name],$A58,T_SelfStock_Log[WeekIndex],95))</f>
        <v/>
      </c>
      <c r="CS58" s="17">
        <f>IF(COUNTIFS(T_SelfStock_Log[Part Name],$A58,T_SelfStock_Log[WeekIndex],96)=0,"",SUMIFS(T_SelfStock_Log[Self_Qty],T_SelfStock_Log[Part Name],$A58,T_SelfStock_Log[WeekIndex],96))</f>
        <v/>
      </c>
      <c r="CT58" s="17">
        <f>IF(COUNTIFS(T_SelfStock_Log[Part Name],$A58,T_SelfStock_Log[WeekIndex],97)=0,"",SUMIFS(T_SelfStock_Log[Self_Qty],T_SelfStock_Log[Part Name],$A58,T_SelfStock_Log[WeekIndex],97))</f>
        <v/>
      </c>
      <c r="CU58" s="17">
        <f>IF(COUNTIFS(T_SelfStock_Log[Part Name],$A58,T_SelfStock_Log[WeekIndex],98)=0,"",SUMIFS(T_SelfStock_Log[Self_Qty],T_SelfStock_Log[Part Name],$A58,T_SelfStock_Log[WeekIndex],98))</f>
        <v/>
      </c>
      <c r="CV58" s="17">
        <f>IF(COUNTIFS(T_SelfStock_Log[Part Name],$A58,T_SelfStock_Log[WeekIndex],99)=0,"",SUMIFS(T_SelfStock_Log[Self_Qty],T_SelfStock_Log[Part Name],$A58,T_SelfStock_Log[WeekIndex],99))</f>
        <v/>
      </c>
      <c r="CW58" s="17">
        <f>IF(COUNTIFS(T_SelfStock_Log[Part Name],$A58,T_SelfStock_Log[WeekIndex],100)=0,"",SUMIFS(T_SelfStock_Log[Self_Qty],T_SelfStock_Log[Part Name],$A58,T_SelfStock_Log[WeekIndex],100))</f>
        <v/>
      </c>
      <c r="CX58" s="17">
        <f>IF(COUNTIFS(T_SelfStock_Log[Part Name],$A58,T_SelfStock_Log[WeekIndex],101)=0,"",SUMIFS(T_SelfStock_Log[Self_Qty],T_SelfStock_Log[Part Name],$A58,T_SelfStock_Log[WeekIndex],101))</f>
        <v/>
      </c>
      <c r="CY58" s="17">
        <f>IF(COUNTIFS(T_SelfStock_Log[Part Name],$A58,T_SelfStock_Log[WeekIndex],102)=0,"",SUMIFS(T_SelfStock_Log[Self_Qty],T_SelfStock_Log[Part Name],$A58,T_SelfStock_Log[WeekIndex],102))</f>
        <v/>
      </c>
      <c r="CZ58" s="17">
        <f>IF(COUNTIFS(T_SelfStock_Log[Part Name],$A58,T_SelfStock_Log[WeekIndex],103)=0,"",SUMIFS(T_SelfStock_Log[Self_Qty],T_SelfStock_Log[Part Name],$A58,T_SelfStock_Log[WeekIndex],103))</f>
        <v/>
      </c>
      <c r="DA58" s="17">
        <f>IF(COUNTIFS(T_SelfStock_Log[Part Name],$A58,T_SelfStock_Log[WeekIndex],104)=0,"",SUMIFS(T_SelfStock_Log[Self_Qty],T_SelfStock_Log[Part Name],$A58,T_SelfStock_Log[WeekIndex],104))</f>
        <v/>
      </c>
    </row>
    <row r="59">
      <c r="A59" s="19" t="inlineStr">
        <is>
          <t>CHEM-1560</t>
        </is>
      </c>
      <c r="B59" s="19">
        <f>IF(COUNTIFS(T_SelfStock_Log[Part Name],$A59,T_SelfStock_Log[WeekIndex],1)=0,"",SUMIFS(T_SelfStock_Log[Self_Qty],T_SelfStock_Log[Part Name],$A59,T_SelfStock_Log[WeekIndex],1))</f>
        <v/>
      </c>
      <c r="C59" s="19">
        <f>IF(COUNTIFS(T_SelfStock_Log[Part Name],$A59,T_SelfStock_Log[WeekIndex],2)=0,"",SUMIFS(T_SelfStock_Log[Self_Qty],T_SelfStock_Log[Part Name],$A59,T_SelfStock_Log[WeekIndex],2))</f>
        <v/>
      </c>
      <c r="D59" s="19">
        <f>IF(COUNTIFS(T_SelfStock_Log[Part Name],$A59,T_SelfStock_Log[WeekIndex],3)=0,"",SUMIFS(T_SelfStock_Log[Self_Qty],T_SelfStock_Log[Part Name],$A59,T_SelfStock_Log[WeekIndex],3))</f>
        <v/>
      </c>
      <c r="E59" s="19">
        <f>IF(COUNTIFS(T_SelfStock_Log[Part Name],$A59,T_SelfStock_Log[WeekIndex],4)=0,"",SUMIFS(T_SelfStock_Log[Self_Qty],T_SelfStock_Log[Part Name],$A59,T_SelfStock_Log[WeekIndex],4))</f>
        <v/>
      </c>
      <c r="F59" s="19">
        <f>IF(COUNTIFS(T_SelfStock_Log[Part Name],$A59,T_SelfStock_Log[WeekIndex],5)=0,"",SUMIFS(T_SelfStock_Log[Self_Qty],T_SelfStock_Log[Part Name],$A59,T_SelfStock_Log[WeekIndex],5))</f>
        <v/>
      </c>
      <c r="G59" s="19">
        <f>IF(COUNTIFS(T_SelfStock_Log[Part Name],$A59,T_SelfStock_Log[WeekIndex],6)=0,"",SUMIFS(T_SelfStock_Log[Self_Qty],T_SelfStock_Log[Part Name],$A59,T_SelfStock_Log[WeekIndex],6))</f>
        <v/>
      </c>
      <c r="H59" s="19">
        <f>IF(COUNTIFS(T_SelfStock_Log[Part Name],$A59,T_SelfStock_Log[WeekIndex],7)=0,"",SUMIFS(T_SelfStock_Log[Self_Qty],T_SelfStock_Log[Part Name],$A59,T_SelfStock_Log[WeekIndex],7))</f>
        <v/>
      </c>
      <c r="I59" s="19">
        <f>IF(COUNTIFS(T_SelfStock_Log[Part Name],$A59,T_SelfStock_Log[WeekIndex],8)=0,"",SUMIFS(T_SelfStock_Log[Self_Qty],T_SelfStock_Log[Part Name],$A59,T_SelfStock_Log[WeekIndex],8))</f>
        <v/>
      </c>
      <c r="J59" s="19">
        <f>IF(COUNTIFS(T_SelfStock_Log[Part Name],$A59,T_SelfStock_Log[WeekIndex],9)=0,"",SUMIFS(T_SelfStock_Log[Self_Qty],T_SelfStock_Log[Part Name],$A59,T_SelfStock_Log[WeekIndex],9))</f>
        <v/>
      </c>
      <c r="K59" s="19">
        <f>IF(COUNTIFS(T_SelfStock_Log[Part Name],$A59,T_SelfStock_Log[WeekIndex],10)=0,"",SUMIFS(T_SelfStock_Log[Self_Qty],T_SelfStock_Log[Part Name],$A59,T_SelfStock_Log[WeekIndex],10))</f>
        <v/>
      </c>
      <c r="L59" s="19">
        <f>IF(COUNTIFS(T_SelfStock_Log[Part Name],$A59,T_SelfStock_Log[WeekIndex],11)=0,"",SUMIFS(T_SelfStock_Log[Self_Qty],T_SelfStock_Log[Part Name],$A59,T_SelfStock_Log[WeekIndex],11))</f>
        <v/>
      </c>
      <c r="M59" s="19">
        <f>IF(COUNTIFS(T_SelfStock_Log[Part Name],$A59,T_SelfStock_Log[WeekIndex],12)=0,"",SUMIFS(T_SelfStock_Log[Self_Qty],T_SelfStock_Log[Part Name],$A59,T_SelfStock_Log[WeekIndex],12))</f>
        <v/>
      </c>
      <c r="N59" s="19">
        <f>IF(COUNTIFS(T_SelfStock_Log[Part Name],$A59,T_SelfStock_Log[WeekIndex],13)=0,"",SUMIFS(T_SelfStock_Log[Self_Qty],T_SelfStock_Log[Part Name],$A59,T_SelfStock_Log[WeekIndex],13))</f>
        <v/>
      </c>
      <c r="O59" s="19">
        <f>IF(COUNTIFS(T_SelfStock_Log[Part Name],$A59,T_SelfStock_Log[WeekIndex],14)=0,"",SUMIFS(T_SelfStock_Log[Self_Qty],T_SelfStock_Log[Part Name],$A59,T_SelfStock_Log[WeekIndex],14))</f>
        <v/>
      </c>
      <c r="P59" s="19">
        <f>IF(COUNTIFS(T_SelfStock_Log[Part Name],$A59,T_SelfStock_Log[WeekIndex],15)=0,"",SUMIFS(T_SelfStock_Log[Self_Qty],T_SelfStock_Log[Part Name],$A59,T_SelfStock_Log[WeekIndex],15))</f>
        <v/>
      </c>
      <c r="Q59" s="19">
        <f>IF(COUNTIFS(T_SelfStock_Log[Part Name],$A59,T_SelfStock_Log[WeekIndex],16)=0,"",SUMIFS(T_SelfStock_Log[Self_Qty],T_SelfStock_Log[Part Name],$A59,T_SelfStock_Log[WeekIndex],16))</f>
        <v/>
      </c>
      <c r="R59" s="19">
        <f>IF(COUNTIFS(T_SelfStock_Log[Part Name],$A59,T_SelfStock_Log[WeekIndex],17)=0,"",SUMIFS(T_SelfStock_Log[Self_Qty],T_SelfStock_Log[Part Name],$A59,T_SelfStock_Log[WeekIndex],17))</f>
        <v/>
      </c>
      <c r="S59" s="19">
        <f>IF(COUNTIFS(T_SelfStock_Log[Part Name],$A59,T_SelfStock_Log[WeekIndex],18)=0,"",SUMIFS(T_SelfStock_Log[Self_Qty],T_SelfStock_Log[Part Name],$A59,T_SelfStock_Log[WeekIndex],18))</f>
        <v/>
      </c>
      <c r="T59" s="19">
        <f>IF(COUNTIFS(T_SelfStock_Log[Part Name],$A59,T_SelfStock_Log[WeekIndex],19)=0,"",SUMIFS(T_SelfStock_Log[Self_Qty],T_SelfStock_Log[Part Name],$A59,T_SelfStock_Log[WeekIndex],19))</f>
        <v/>
      </c>
      <c r="U59" s="19">
        <f>IF(COUNTIFS(T_SelfStock_Log[Part Name],$A59,T_SelfStock_Log[WeekIndex],20)=0,"",SUMIFS(T_SelfStock_Log[Self_Qty],T_SelfStock_Log[Part Name],$A59,T_SelfStock_Log[WeekIndex],20))</f>
        <v/>
      </c>
      <c r="V59" s="19">
        <f>IF(COUNTIFS(T_SelfStock_Log[Part Name],$A59,T_SelfStock_Log[WeekIndex],21)=0,"",SUMIFS(T_SelfStock_Log[Self_Qty],T_SelfStock_Log[Part Name],$A59,T_SelfStock_Log[WeekIndex],21))</f>
        <v/>
      </c>
      <c r="W59" s="19">
        <f>IF(COUNTIFS(T_SelfStock_Log[Part Name],$A59,T_SelfStock_Log[WeekIndex],22)=0,"",SUMIFS(T_SelfStock_Log[Self_Qty],T_SelfStock_Log[Part Name],$A59,T_SelfStock_Log[WeekIndex],22))</f>
        <v/>
      </c>
      <c r="X59" s="19">
        <f>IF(COUNTIFS(T_SelfStock_Log[Part Name],$A59,T_SelfStock_Log[WeekIndex],23)=0,"",SUMIFS(T_SelfStock_Log[Self_Qty],T_SelfStock_Log[Part Name],$A59,T_SelfStock_Log[WeekIndex],23))</f>
        <v/>
      </c>
      <c r="Y59" s="19">
        <f>IF(COUNTIFS(T_SelfStock_Log[Part Name],$A59,T_SelfStock_Log[WeekIndex],24)=0,"",SUMIFS(T_SelfStock_Log[Self_Qty],T_SelfStock_Log[Part Name],$A59,T_SelfStock_Log[WeekIndex],24))</f>
        <v/>
      </c>
      <c r="Z59" s="19">
        <f>IF(COUNTIFS(T_SelfStock_Log[Part Name],$A59,T_SelfStock_Log[WeekIndex],25)=0,"",SUMIFS(T_SelfStock_Log[Self_Qty],T_SelfStock_Log[Part Name],$A59,T_SelfStock_Log[WeekIndex],25))</f>
        <v/>
      </c>
      <c r="AA59" s="19">
        <f>IF(COUNTIFS(T_SelfStock_Log[Part Name],$A59,T_SelfStock_Log[WeekIndex],26)=0,"",SUMIFS(T_SelfStock_Log[Self_Qty],T_SelfStock_Log[Part Name],$A59,T_SelfStock_Log[WeekIndex],26))</f>
        <v/>
      </c>
      <c r="AB59" s="19">
        <f>IF(COUNTIFS(T_SelfStock_Log[Part Name],$A59,T_SelfStock_Log[WeekIndex],27)=0,"",SUMIFS(T_SelfStock_Log[Self_Qty],T_SelfStock_Log[Part Name],$A59,T_SelfStock_Log[WeekIndex],27))</f>
        <v/>
      </c>
      <c r="AC59" s="19">
        <f>IF(COUNTIFS(T_SelfStock_Log[Part Name],$A59,T_SelfStock_Log[WeekIndex],28)=0,"",SUMIFS(T_SelfStock_Log[Self_Qty],T_SelfStock_Log[Part Name],$A59,T_SelfStock_Log[WeekIndex],28))</f>
        <v/>
      </c>
      <c r="AD59" s="19">
        <f>IF(COUNTIFS(T_SelfStock_Log[Part Name],$A59,T_SelfStock_Log[WeekIndex],29)=0,"",SUMIFS(T_SelfStock_Log[Self_Qty],T_SelfStock_Log[Part Name],$A59,T_SelfStock_Log[WeekIndex],29))</f>
        <v/>
      </c>
      <c r="AE59" s="19">
        <f>IF(COUNTIFS(T_SelfStock_Log[Part Name],$A59,T_SelfStock_Log[WeekIndex],30)=0,"",SUMIFS(T_SelfStock_Log[Self_Qty],T_SelfStock_Log[Part Name],$A59,T_SelfStock_Log[WeekIndex],30))</f>
        <v/>
      </c>
      <c r="AF59" s="19">
        <f>IF(COUNTIFS(T_SelfStock_Log[Part Name],$A59,T_SelfStock_Log[WeekIndex],31)=0,"",SUMIFS(T_SelfStock_Log[Self_Qty],T_SelfStock_Log[Part Name],$A59,T_SelfStock_Log[WeekIndex],31))</f>
        <v/>
      </c>
      <c r="AG59" s="19">
        <f>IF(COUNTIFS(T_SelfStock_Log[Part Name],$A59,T_SelfStock_Log[WeekIndex],32)=0,"",SUMIFS(T_SelfStock_Log[Self_Qty],T_SelfStock_Log[Part Name],$A59,T_SelfStock_Log[WeekIndex],32))</f>
        <v/>
      </c>
      <c r="AH59" s="19">
        <f>IF(COUNTIFS(T_SelfStock_Log[Part Name],$A59,T_SelfStock_Log[WeekIndex],33)=0,"",SUMIFS(T_SelfStock_Log[Self_Qty],T_SelfStock_Log[Part Name],$A59,T_SelfStock_Log[WeekIndex],33))</f>
        <v/>
      </c>
      <c r="AI59" s="19">
        <f>IF(COUNTIFS(T_SelfStock_Log[Part Name],$A59,T_SelfStock_Log[WeekIndex],34)=0,"",SUMIFS(T_SelfStock_Log[Self_Qty],T_SelfStock_Log[Part Name],$A59,T_SelfStock_Log[WeekIndex],34))</f>
        <v/>
      </c>
      <c r="AJ59" s="19">
        <f>IF(COUNTIFS(T_SelfStock_Log[Part Name],$A59,T_SelfStock_Log[WeekIndex],35)=0,"",SUMIFS(T_SelfStock_Log[Self_Qty],T_SelfStock_Log[Part Name],$A59,T_SelfStock_Log[WeekIndex],35))</f>
        <v/>
      </c>
      <c r="AK59" s="19">
        <f>IF(COUNTIFS(T_SelfStock_Log[Part Name],$A59,T_SelfStock_Log[WeekIndex],36)=0,"",SUMIFS(T_SelfStock_Log[Self_Qty],T_SelfStock_Log[Part Name],$A59,T_SelfStock_Log[WeekIndex],36))</f>
        <v/>
      </c>
      <c r="AL59" s="19">
        <f>IF(COUNTIFS(T_SelfStock_Log[Part Name],$A59,T_SelfStock_Log[WeekIndex],37)=0,"",SUMIFS(T_SelfStock_Log[Self_Qty],T_SelfStock_Log[Part Name],$A59,T_SelfStock_Log[WeekIndex],37))</f>
        <v/>
      </c>
      <c r="AM59" s="19">
        <f>IF(COUNTIFS(T_SelfStock_Log[Part Name],$A59,T_SelfStock_Log[WeekIndex],38)=0,"",SUMIFS(T_SelfStock_Log[Self_Qty],T_SelfStock_Log[Part Name],$A59,T_SelfStock_Log[WeekIndex],38))</f>
        <v/>
      </c>
      <c r="AN59" s="19">
        <f>IF(COUNTIFS(T_SelfStock_Log[Part Name],$A59,T_SelfStock_Log[WeekIndex],39)=0,"",SUMIFS(T_SelfStock_Log[Self_Qty],T_SelfStock_Log[Part Name],$A59,T_SelfStock_Log[WeekIndex],39))</f>
        <v/>
      </c>
      <c r="AO59" s="19">
        <f>IF(COUNTIFS(T_SelfStock_Log[Part Name],$A59,T_SelfStock_Log[WeekIndex],40)=0,"",SUMIFS(T_SelfStock_Log[Self_Qty],T_SelfStock_Log[Part Name],$A59,T_SelfStock_Log[WeekIndex],40))</f>
        <v/>
      </c>
      <c r="AP59" s="19">
        <f>IF(COUNTIFS(T_SelfStock_Log[Part Name],$A59,T_SelfStock_Log[WeekIndex],41)=0,"",SUMIFS(T_SelfStock_Log[Self_Qty],T_SelfStock_Log[Part Name],$A59,T_SelfStock_Log[WeekIndex],41))</f>
        <v/>
      </c>
      <c r="AQ59" s="19">
        <f>IF(COUNTIFS(T_SelfStock_Log[Part Name],$A59,T_SelfStock_Log[WeekIndex],42)=0,"",SUMIFS(T_SelfStock_Log[Self_Qty],T_SelfStock_Log[Part Name],$A59,T_SelfStock_Log[WeekIndex],42))</f>
        <v/>
      </c>
      <c r="AR59" s="19">
        <f>IF(COUNTIFS(T_SelfStock_Log[Part Name],$A59,T_SelfStock_Log[WeekIndex],43)=0,"",SUMIFS(T_SelfStock_Log[Self_Qty],T_SelfStock_Log[Part Name],$A59,T_SelfStock_Log[WeekIndex],43))</f>
        <v/>
      </c>
      <c r="AS59" s="19">
        <f>IF(COUNTIFS(T_SelfStock_Log[Part Name],$A59,T_SelfStock_Log[WeekIndex],44)=0,"",SUMIFS(T_SelfStock_Log[Self_Qty],T_SelfStock_Log[Part Name],$A59,T_SelfStock_Log[WeekIndex],44))</f>
        <v/>
      </c>
      <c r="AT59" s="19">
        <f>IF(COUNTIFS(T_SelfStock_Log[Part Name],$A59,T_SelfStock_Log[WeekIndex],45)=0,"",SUMIFS(T_SelfStock_Log[Self_Qty],T_SelfStock_Log[Part Name],$A59,T_SelfStock_Log[WeekIndex],45))</f>
        <v/>
      </c>
      <c r="AU59" s="19">
        <f>IF(COUNTIFS(T_SelfStock_Log[Part Name],$A59,T_SelfStock_Log[WeekIndex],46)=0,"",SUMIFS(T_SelfStock_Log[Self_Qty],T_SelfStock_Log[Part Name],$A59,T_SelfStock_Log[WeekIndex],46))</f>
        <v/>
      </c>
      <c r="AV59" s="19">
        <f>IF(COUNTIFS(T_SelfStock_Log[Part Name],$A59,T_SelfStock_Log[WeekIndex],47)=0,"",SUMIFS(T_SelfStock_Log[Self_Qty],T_SelfStock_Log[Part Name],$A59,T_SelfStock_Log[WeekIndex],47))</f>
        <v/>
      </c>
      <c r="AW59" s="19">
        <f>IF(COUNTIFS(T_SelfStock_Log[Part Name],$A59,T_SelfStock_Log[WeekIndex],48)=0,"",SUMIFS(T_SelfStock_Log[Self_Qty],T_SelfStock_Log[Part Name],$A59,T_SelfStock_Log[WeekIndex],48))</f>
        <v/>
      </c>
      <c r="AX59" s="19">
        <f>IF(COUNTIFS(T_SelfStock_Log[Part Name],$A59,T_SelfStock_Log[WeekIndex],49)=0,"",SUMIFS(T_SelfStock_Log[Self_Qty],T_SelfStock_Log[Part Name],$A59,T_SelfStock_Log[WeekIndex],49))</f>
        <v/>
      </c>
      <c r="AY59" s="19">
        <f>IF(COUNTIFS(T_SelfStock_Log[Part Name],$A59,T_SelfStock_Log[WeekIndex],50)=0,"",SUMIFS(T_SelfStock_Log[Self_Qty],T_SelfStock_Log[Part Name],$A59,T_SelfStock_Log[WeekIndex],50))</f>
        <v/>
      </c>
      <c r="AZ59" s="19">
        <f>IF(COUNTIFS(T_SelfStock_Log[Part Name],$A59,T_SelfStock_Log[WeekIndex],51)=0,"",SUMIFS(T_SelfStock_Log[Self_Qty],T_SelfStock_Log[Part Name],$A59,T_SelfStock_Log[WeekIndex],51))</f>
        <v/>
      </c>
      <c r="BA59" s="19">
        <f>IF(COUNTIFS(T_SelfStock_Log[Part Name],$A59,T_SelfStock_Log[WeekIndex],52)=0,"",SUMIFS(T_SelfStock_Log[Self_Qty],T_SelfStock_Log[Part Name],$A59,T_SelfStock_Log[WeekIndex],52))</f>
        <v/>
      </c>
      <c r="BB59" s="19">
        <f>IF(COUNTIFS(T_SelfStock_Log[Part Name],$A59,T_SelfStock_Log[WeekIndex],53)=0,"",SUMIFS(T_SelfStock_Log[Self_Qty],T_SelfStock_Log[Part Name],$A59,T_SelfStock_Log[WeekIndex],53))</f>
        <v/>
      </c>
      <c r="BC59" s="19">
        <f>IF(COUNTIFS(T_SelfStock_Log[Part Name],$A59,T_SelfStock_Log[WeekIndex],54)=0,"",SUMIFS(T_SelfStock_Log[Self_Qty],T_SelfStock_Log[Part Name],$A59,T_SelfStock_Log[WeekIndex],54))</f>
        <v/>
      </c>
      <c r="BD59" s="19">
        <f>IF(COUNTIFS(T_SelfStock_Log[Part Name],$A59,T_SelfStock_Log[WeekIndex],55)=0,"",SUMIFS(T_SelfStock_Log[Self_Qty],T_SelfStock_Log[Part Name],$A59,T_SelfStock_Log[WeekIndex],55))</f>
        <v/>
      </c>
      <c r="BE59" s="19">
        <f>IF(COUNTIFS(T_SelfStock_Log[Part Name],$A59,T_SelfStock_Log[WeekIndex],56)=0,"",SUMIFS(T_SelfStock_Log[Self_Qty],T_SelfStock_Log[Part Name],$A59,T_SelfStock_Log[WeekIndex],56))</f>
        <v/>
      </c>
      <c r="BF59" s="19">
        <f>IF(COUNTIFS(T_SelfStock_Log[Part Name],$A59,T_SelfStock_Log[WeekIndex],57)=0,"",SUMIFS(T_SelfStock_Log[Self_Qty],T_SelfStock_Log[Part Name],$A59,T_SelfStock_Log[WeekIndex],57))</f>
        <v/>
      </c>
      <c r="BG59" s="19">
        <f>IF(COUNTIFS(T_SelfStock_Log[Part Name],$A59,T_SelfStock_Log[WeekIndex],58)=0,"",SUMIFS(T_SelfStock_Log[Self_Qty],T_SelfStock_Log[Part Name],$A59,T_SelfStock_Log[WeekIndex],58))</f>
        <v/>
      </c>
      <c r="BH59" s="19">
        <f>IF(COUNTIFS(T_SelfStock_Log[Part Name],$A59,T_SelfStock_Log[WeekIndex],59)=0,"",SUMIFS(T_SelfStock_Log[Self_Qty],T_SelfStock_Log[Part Name],$A59,T_SelfStock_Log[WeekIndex],59))</f>
        <v/>
      </c>
      <c r="BI59" s="19">
        <f>IF(COUNTIFS(T_SelfStock_Log[Part Name],$A59,T_SelfStock_Log[WeekIndex],60)=0,"",SUMIFS(T_SelfStock_Log[Self_Qty],T_SelfStock_Log[Part Name],$A59,T_SelfStock_Log[WeekIndex],60))</f>
        <v/>
      </c>
      <c r="BJ59" s="19">
        <f>IF(COUNTIFS(T_SelfStock_Log[Part Name],$A59,T_SelfStock_Log[WeekIndex],61)=0,"",SUMIFS(T_SelfStock_Log[Self_Qty],T_SelfStock_Log[Part Name],$A59,T_SelfStock_Log[WeekIndex],61))</f>
        <v/>
      </c>
      <c r="BK59" s="19">
        <f>IF(COUNTIFS(T_SelfStock_Log[Part Name],$A59,T_SelfStock_Log[WeekIndex],62)=0,"",SUMIFS(T_SelfStock_Log[Self_Qty],T_SelfStock_Log[Part Name],$A59,T_SelfStock_Log[WeekIndex],62))</f>
        <v/>
      </c>
      <c r="BL59" s="19">
        <f>IF(COUNTIFS(T_SelfStock_Log[Part Name],$A59,T_SelfStock_Log[WeekIndex],63)=0,"",SUMIFS(T_SelfStock_Log[Self_Qty],T_SelfStock_Log[Part Name],$A59,T_SelfStock_Log[WeekIndex],63))</f>
        <v/>
      </c>
      <c r="BM59" s="19">
        <f>IF(COUNTIFS(T_SelfStock_Log[Part Name],$A59,T_SelfStock_Log[WeekIndex],64)=0,"",SUMIFS(T_SelfStock_Log[Self_Qty],T_SelfStock_Log[Part Name],$A59,T_SelfStock_Log[WeekIndex],64))</f>
        <v/>
      </c>
      <c r="BN59" s="19">
        <f>IF(COUNTIFS(T_SelfStock_Log[Part Name],$A59,T_SelfStock_Log[WeekIndex],65)=0,"",SUMIFS(T_SelfStock_Log[Self_Qty],T_SelfStock_Log[Part Name],$A59,T_SelfStock_Log[WeekIndex],65))</f>
        <v/>
      </c>
      <c r="BO59" s="19">
        <f>IF(COUNTIFS(T_SelfStock_Log[Part Name],$A59,T_SelfStock_Log[WeekIndex],66)=0,"",SUMIFS(T_SelfStock_Log[Self_Qty],T_SelfStock_Log[Part Name],$A59,T_SelfStock_Log[WeekIndex],66))</f>
        <v/>
      </c>
      <c r="BP59" s="19">
        <f>IF(COUNTIFS(T_SelfStock_Log[Part Name],$A59,T_SelfStock_Log[WeekIndex],67)=0,"",SUMIFS(T_SelfStock_Log[Self_Qty],T_SelfStock_Log[Part Name],$A59,T_SelfStock_Log[WeekIndex],67))</f>
        <v/>
      </c>
      <c r="BQ59" s="19">
        <f>IF(COUNTIFS(T_SelfStock_Log[Part Name],$A59,T_SelfStock_Log[WeekIndex],68)=0,"",SUMIFS(T_SelfStock_Log[Self_Qty],T_SelfStock_Log[Part Name],$A59,T_SelfStock_Log[WeekIndex],68))</f>
        <v/>
      </c>
      <c r="BR59" s="19">
        <f>IF(COUNTIFS(T_SelfStock_Log[Part Name],$A59,T_SelfStock_Log[WeekIndex],69)=0,"",SUMIFS(T_SelfStock_Log[Self_Qty],T_SelfStock_Log[Part Name],$A59,T_SelfStock_Log[WeekIndex],69))</f>
        <v/>
      </c>
      <c r="BS59" s="19">
        <f>IF(COUNTIFS(T_SelfStock_Log[Part Name],$A59,T_SelfStock_Log[WeekIndex],70)=0,"",SUMIFS(T_SelfStock_Log[Self_Qty],T_SelfStock_Log[Part Name],$A59,T_SelfStock_Log[WeekIndex],70))</f>
        <v/>
      </c>
      <c r="BT59" s="19">
        <f>IF(COUNTIFS(T_SelfStock_Log[Part Name],$A59,T_SelfStock_Log[WeekIndex],71)=0,"",SUMIFS(T_SelfStock_Log[Self_Qty],T_SelfStock_Log[Part Name],$A59,T_SelfStock_Log[WeekIndex],71))</f>
        <v/>
      </c>
      <c r="BU59" s="19">
        <f>IF(COUNTIFS(T_SelfStock_Log[Part Name],$A59,T_SelfStock_Log[WeekIndex],72)=0,"",SUMIFS(T_SelfStock_Log[Self_Qty],T_SelfStock_Log[Part Name],$A59,T_SelfStock_Log[WeekIndex],72))</f>
        <v/>
      </c>
      <c r="BV59" s="19">
        <f>IF(COUNTIFS(T_SelfStock_Log[Part Name],$A59,T_SelfStock_Log[WeekIndex],73)=0,"",SUMIFS(T_SelfStock_Log[Self_Qty],T_SelfStock_Log[Part Name],$A59,T_SelfStock_Log[WeekIndex],73))</f>
        <v/>
      </c>
      <c r="BW59" s="19">
        <f>IF(COUNTIFS(T_SelfStock_Log[Part Name],$A59,T_SelfStock_Log[WeekIndex],74)=0,"",SUMIFS(T_SelfStock_Log[Self_Qty],T_SelfStock_Log[Part Name],$A59,T_SelfStock_Log[WeekIndex],74))</f>
        <v/>
      </c>
      <c r="BX59" s="19">
        <f>IF(COUNTIFS(T_SelfStock_Log[Part Name],$A59,T_SelfStock_Log[WeekIndex],75)=0,"",SUMIFS(T_SelfStock_Log[Self_Qty],T_SelfStock_Log[Part Name],$A59,T_SelfStock_Log[WeekIndex],75))</f>
        <v/>
      </c>
      <c r="BY59" s="19">
        <f>IF(COUNTIFS(T_SelfStock_Log[Part Name],$A59,T_SelfStock_Log[WeekIndex],76)=0,"",SUMIFS(T_SelfStock_Log[Self_Qty],T_SelfStock_Log[Part Name],$A59,T_SelfStock_Log[WeekIndex],76))</f>
        <v/>
      </c>
      <c r="BZ59" s="19">
        <f>IF(COUNTIFS(T_SelfStock_Log[Part Name],$A59,T_SelfStock_Log[WeekIndex],77)=0,"",SUMIFS(T_SelfStock_Log[Self_Qty],T_SelfStock_Log[Part Name],$A59,T_SelfStock_Log[WeekIndex],77))</f>
        <v/>
      </c>
      <c r="CA59" s="19">
        <f>IF(COUNTIFS(T_SelfStock_Log[Part Name],$A59,T_SelfStock_Log[WeekIndex],78)=0,"",SUMIFS(T_SelfStock_Log[Self_Qty],T_SelfStock_Log[Part Name],$A59,T_SelfStock_Log[WeekIndex],78))</f>
        <v/>
      </c>
      <c r="CB59" s="19">
        <f>IF(COUNTIFS(T_SelfStock_Log[Part Name],$A59,T_SelfStock_Log[WeekIndex],79)=0,"",SUMIFS(T_SelfStock_Log[Self_Qty],T_SelfStock_Log[Part Name],$A59,T_SelfStock_Log[WeekIndex],79))</f>
        <v/>
      </c>
      <c r="CC59" s="19">
        <f>IF(COUNTIFS(T_SelfStock_Log[Part Name],$A59,T_SelfStock_Log[WeekIndex],80)=0,"",SUMIFS(T_SelfStock_Log[Self_Qty],T_SelfStock_Log[Part Name],$A59,T_SelfStock_Log[WeekIndex],80))</f>
        <v/>
      </c>
      <c r="CD59" s="19">
        <f>IF(COUNTIFS(T_SelfStock_Log[Part Name],$A59,T_SelfStock_Log[WeekIndex],81)=0,"",SUMIFS(T_SelfStock_Log[Self_Qty],T_SelfStock_Log[Part Name],$A59,T_SelfStock_Log[WeekIndex],81))</f>
        <v/>
      </c>
      <c r="CE59" s="19">
        <f>IF(COUNTIFS(T_SelfStock_Log[Part Name],$A59,T_SelfStock_Log[WeekIndex],82)=0,"",SUMIFS(T_SelfStock_Log[Self_Qty],T_SelfStock_Log[Part Name],$A59,T_SelfStock_Log[WeekIndex],82))</f>
        <v/>
      </c>
      <c r="CF59" s="19">
        <f>IF(COUNTIFS(T_SelfStock_Log[Part Name],$A59,T_SelfStock_Log[WeekIndex],83)=0,"",SUMIFS(T_SelfStock_Log[Self_Qty],T_SelfStock_Log[Part Name],$A59,T_SelfStock_Log[WeekIndex],83))</f>
        <v/>
      </c>
      <c r="CG59" s="19">
        <f>IF(COUNTIFS(T_SelfStock_Log[Part Name],$A59,T_SelfStock_Log[WeekIndex],84)=0,"",SUMIFS(T_SelfStock_Log[Self_Qty],T_SelfStock_Log[Part Name],$A59,T_SelfStock_Log[WeekIndex],84))</f>
        <v/>
      </c>
      <c r="CH59" s="19">
        <f>IF(COUNTIFS(T_SelfStock_Log[Part Name],$A59,T_SelfStock_Log[WeekIndex],85)=0,"",SUMIFS(T_SelfStock_Log[Self_Qty],T_SelfStock_Log[Part Name],$A59,T_SelfStock_Log[WeekIndex],85))</f>
        <v/>
      </c>
      <c r="CI59" s="19">
        <f>IF(COUNTIFS(T_SelfStock_Log[Part Name],$A59,T_SelfStock_Log[WeekIndex],86)=0,"",SUMIFS(T_SelfStock_Log[Self_Qty],T_SelfStock_Log[Part Name],$A59,T_SelfStock_Log[WeekIndex],86))</f>
        <v/>
      </c>
      <c r="CJ59" s="19">
        <f>IF(COUNTIFS(T_SelfStock_Log[Part Name],$A59,T_SelfStock_Log[WeekIndex],87)=0,"",SUMIFS(T_SelfStock_Log[Self_Qty],T_SelfStock_Log[Part Name],$A59,T_SelfStock_Log[WeekIndex],87))</f>
        <v/>
      </c>
      <c r="CK59" s="19">
        <f>IF(COUNTIFS(T_SelfStock_Log[Part Name],$A59,T_SelfStock_Log[WeekIndex],88)=0,"",SUMIFS(T_SelfStock_Log[Self_Qty],T_SelfStock_Log[Part Name],$A59,T_SelfStock_Log[WeekIndex],88))</f>
        <v/>
      </c>
      <c r="CL59" s="19">
        <f>IF(COUNTIFS(T_SelfStock_Log[Part Name],$A59,T_SelfStock_Log[WeekIndex],89)=0,"",SUMIFS(T_SelfStock_Log[Self_Qty],T_SelfStock_Log[Part Name],$A59,T_SelfStock_Log[WeekIndex],89))</f>
        <v/>
      </c>
      <c r="CM59" s="19">
        <f>IF(COUNTIFS(T_SelfStock_Log[Part Name],$A59,T_SelfStock_Log[WeekIndex],90)=0,"",SUMIFS(T_SelfStock_Log[Self_Qty],T_SelfStock_Log[Part Name],$A59,T_SelfStock_Log[WeekIndex],90))</f>
        <v/>
      </c>
      <c r="CN59" s="19">
        <f>IF(COUNTIFS(T_SelfStock_Log[Part Name],$A59,T_SelfStock_Log[WeekIndex],91)=0,"",SUMIFS(T_SelfStock_Log[Self_Qty],T_SelfStock_Log[Part Name],$A59,T_SelfStock_Log[WeekIndex],91))</f>
        <v/>
      </c>
      <c r="CO59" s="19">
        <f>IF(COUNTIFS(T_SelfStock_Log[Part Name],$A59,T_SelfStock_Log[WeekIndex],92)=0,"",SUMIFS(T_SelfStock_Log[Self_Qty],T_SelfStock_Log[Part Name],$A59,T_SelfStock_Log[WeekIndex],92))</f>
        <v/>
      </c>
      <c r="CP59" s="19">
        <f>IF(COUNTIFS(T_SelfStock_Log[Part Name],$A59,T_SelfStock_Log[WeekIndex],93)=0,"",SUMIFS(T_SelfStock_Log[Self_Qty],T_SelfStock_Log[Part Name],$A59,T_SelfStock_Log[WeekIndex],93))</f>
        <v/>
      </c>
      <c r="CQ59" s="19">
        <f>IF(COUNTIFS(T_SelfStock_Log[Part Name],$A59,T_SelfStock_Log[WeekIndex],94)=0,"",SUMIFS(T_SelfStock_Log[Self_Qty],T_SelfStock_Log[Part Name],$A59,T_SelfStock_Log[WeekIndex],94))</f>
        <v/>
      </c>
      <c r="CR59" s="19">
        <f>IF(COUNTIFS(T_SelfStock_Log[Part Name],$A59,T_SelfStock_Log[WeekIndex],95)=0,"",SUMIFS(T_SelfStock_Log[Self_Qty],T_SelfStock_Log[Part Name],$A59,T_SelfStock_Log[WeekIndex],95))</f>
        <v/>
      </c>
      <c r="CS59" s="19">
        <f>IF(COUNTIFS(T_SelfStock_Log[Part Name],$A59,T_SelfStock_Log[WeekIndex],96)=0,"",SUMIFS(T_SelfStock_Log[Self_Qty],T_SelfStock_Log[Part Name],$A59,T_SelfStock_Log[WeekIndex],96))</f>
        <v/>
      </c>
      <c r="CT59" s="19">
        <f>IF(COUNTIFS(T_SelfStock_Log[Part Name],$A59,T_SelfStock_Log[WeekIndex],97)=0,"",SUMIFS(T_SelfStock_Log[Self_Qty],T_SelfStock_Log[Part Name],$A59,T_SelfStock_Log[WeekIndex],97))</f>
        <v/>
      </c>
      <c r="CU59" s="19">
        <f>IF(COUNTIFS(T_SelfStock_Log[Part Name],$A59,T_SelfStock_Log[WeekIndex],98)=0,"",SUMIFS(T_SelfStock_Log[Self_Qty],T_SelfStock_Log[Part Name],$A59,T_SelfStock_Log[WeekIndex],98))</f>
        <v/>
      </c>
      <c r="CV59" s="19">
        <f>IF(COUNTIFS(T_SelfStock_Log[Part Name],$A59,T_SelfStock_Log[WeekIndex],99)=0,"",SUMIFS(T_SelfStock_Log[Self_Qty],T_SelfStock_Log[Part Name],$A59,T_SelfStock_Log[WeekIndex],99))</f>
        <v/>
      </c>
      <c r="CW59" s="19">
        <f>IF(COUNTIFS(T_SelfStock_Log[Part Name],$A59,T_SelfStock_Log[WeekIndex],100)=0,"",SUMIFS(T_SelfStock_Log[Self_Qty],T_SelfStock_Log[Part Name],$A59,T_SelfStock_Log[WeekIndex],100))</f>
        <v/>
      </c>
      <c r="CX59" s="19">
        <f>IF(COUNTIFS(T_SelfStock_Log[Part Name],$A59,T_SelfStock_Log[WeekIndex],101)=0,"",SUMIFS(T_SelfStock_Log[Self_Qty],T_SelfStock_Log[Part Name],$A59,T_SelfStock_Log[WeekIndex],101))</f>
        <v/>
      </c>
      <c r="CY59" s="19">
        <f>IF(COUNTIFS(T_SelfStock_Log[Part Name],$A59,T_SelfStock_Log[WeekIndex],102)=0,"",SUMIFS(T_SelfStock_Log[Self_Qty],T_SelfStock_Log[Part Name],$A59,T_SelfStock_Log[WeekIndex],102))</f>
        <v/>
      </c>
      <c r="CZ59" s="19">
        <f>IF(COUNTIFS(T_SelfStock_Log[Part Name],$A59,T_SelfStock_Log[WeekIndex],103)=0,"",SUMIFS(T_SelfStock_Log[Self_Qty],T_SelfStock_Log[Part Name],$A59,T_SelfStock_Log[WeekIndex],103))</f>
        <v/>
      </c>
      <c r="DA59" s="19">
        <f>IF(COUNTIFS(T_SelfStock_Log[Part Name],$A59,T_SelfStock_Log[WeekIndex],104)=0,"",SUMIFS(T_SelfStock_Log[Self_Qty],T_SelfStock_Log[Part Name],$A59,T_SelfStock_Log[WeekIndex],104))</f>
        <v/>
      </c>
    </row>
    <row r="60">
      <c r="A60" s="17" t="inlineStr">
        <is>
          <t>CHEM-1690</t>
        </is>
      </c>
      <c r="B60" s="17">
        <f>IF(COUNTIFS(T_SelfStock_Log[Part Name],$A60,T_SelfStock_Log[WeekIndex],1)=0,"",SUMIFS(T_SelfStock_Log[Self_Qty],T_SelfStock_Log[Part Name],$A60,T_SelfStock_Log[WeekIndex],1))</f>
        <v/>
      </c>
      <c r="C60" s="17">
        <f>IF(COUNTIFS(T_SelfStock_Log[Part Name],$A60,T_SelfStock_Log[WeekIndex],2)=0,"",SUMIFS(T_SelfStock_Log[Self_Qty],T_SelfStock_Log[Part Name],$A60,T_SelfStock_Log[WeekIndex],2))</f>
        <v/>
      </c>
      <c r="D60" s="17">
        <f>IF(COUNTIFS(T_SelfStock_Log[Part Name],$A60,T_SelfStock_Log[WeekIndex],3)=0,"",SUMIFS(T_SelfStock_Log[Self_Qty],T_SelfStock_Log[Part Name],$A60,T_SelfStock_Log[WeekIndex],3))</f>
        <v/>
      </c>
      <c r="E60" s="17">
        <f>IF(COUNTIFS(T_SelfStock_Log[Part Name],$A60,T_SelfStock_Log[WeekIndex],4)=0,"",SUMIFS(T_SelfStock_Log[Self_Qty],T_SelfStock_Log[Part Name],$A60,T_SelfStock_Log[WeekIndex],4))</f>
        <v/>
      </c>
      <c r="F60" s="17">
        <f>IF(COUNTIFS(T_SelfStock_Log[Part Name],$A60,T_SelfStock_Log[WeekIndex],5)=0,"",SUMIFS(T_SelfStock_Log[Self_Qty],T_SelfStock_Log[Part Name],$A60,T_SelfStock_Log[WeekIndex],5))</f>
        <v/>
      </c>
      <c r="G60" s="17">
        <f>IF(COUNTIFS(T_SelfStock_Log[Part Name],$A60,T_SelfStock_Log[WeekIndex],6)=0,"",SUMIFS(T_SelfStock_Log[Self_Qty],T_SelfStock_Log[Part Name],$A60,T_SelfStock_Log[WeekIndex],6))</f>
        <v/>
      </c>
      <c r="H60" s="17">
        <f>IF(COUNTIFS(T_SelfStock_Log[Part Name],$A60,T_SelfStock_Log[WeekIndex],7)=0,"",SUMIFS(T_SelfStock_Log[Self_Qty],T_SelfStock_Log[Part Name],$A60,T_SelfStock_Log[WeekIndex],7))</f>
        <v/>
      </c>
      <c r="I60" s="17">
        <f>IF(COUNTIFS(T_SelfStock_Log[Part Name],$A60,T_SelfStock_Log[WeekIndex],8)=0,"",SUMIFS(T_SelfStock_Log[Self_Qty],T_SelfStock_Log[Part Name],$A60,T_SelfStock_Log[WeekIndex],8))</f>
        <v/>
      </c>
      <c r="J60" s="17">
        <f>IF(COUNTIFS(T_SelfStock_Log[Part Name],$A60,T_SelfStock_Log[WeekIndex],9)=0,"",SUMIFS(T_SelfStock_Log[Self_Qty],T_SelfStock_Log[Part Name],$A60,T_SelfStock_Log[WeekIndex],9))</f>
        <v/>
      </c>
      <c r="K60" s="17">
        <f>IF(COUNTIFS(T_SelfStock_Log[Part Name],$A60,T_SelfStock_Log[WeekIndex],10)=0,"",SUMIFS(T_SelfStock_Log[Self_Qty],T_SelfStock_Log[Part Name],$A60,T_SelfStock_Log[WeekIndex],10))</f>
        <v/>
      </c>
      <c r="L60" s="17">
        <f>IF(COUNTIFS(T_SelfStock_Log[Part Name],$A60,T_SelfStock_Log[WeekIndex],11)=0,"",SUMIFS(T_SelfStock_Log[Self_Qty],T_SelfStock_Log[Part Name],$A60,T_SelfStock_Log[WeekIndex],11))</f>
        <v/>
      </c>
      <c r="M60" s="17">
        <f>IF(COUNTIFS(T_SelfStock_Log[Part Name],$A60,T_SelfStock_Log[WeekIndex],12)=0,"",SUMIFS(T_SelfStock_Log[Self_Qty],T_SelfStock_Log[Part Name],$A60,T_SelfStock_Log[WeekIndex],12))</f>
        <v/>
      </c>
      <c r="N60" s="17">
        <f>IF(COUNTIFS(T_SelfStock_Log[Part Name],$A60,T_SelfStock_Log[WeekIndex],13)=0,"",SUMIFS(T_SelfStock_Log[Self_Qty],T_SelfStock_Log[Part Name],$A60,T_SelfStock_Log[WeekIndex],13))</f>
        <v/>
      </c>
      <c r="O60" s="17">
        <f>IF(COUNTIFS(T_SelfStock_Log[Part Name],$A60,T_SelfStock_Log[WeekIndex],14)=0,"",SUMIFS(T_SelfStock_Log[Self_Qty],T_SelfStock_Log[Part Name],$A60,T_SelfStock_Log[WeekIndex],14))</f>
        <v/>
      </c>
      <c r="P60" s="17">
        <f>IF(COUNTIFS(T_SelfStock_Log[Part Name],$A60,T_SelfStock_Log[WeekIndex],15)=0,"",SUMIFS(T_SelfStock_Log[Self_Qty],T_SelfStock_Log[Part Name],$A60,T_SelfStock_Log[WeekIndex],15))</f>
        <v/>
      </c>
      <c r="Q60" s="17">
        <f>IF(COUNTIFS(T_SelfStock_Log[Part Name],$A60,T_SelfStock_Log[WeekIndex],16)=0,"",SUMIFS(T_SelfStock_Log[Self_Qty],T_SelfStock_Log[Part Name],$A60,T_SelfStock_Log[WeekIndex],16))</f>
        <v/>
      </c>
      <c r="R60" s="17">
        <f>IF(COUNTIFS(T_SelfStock_Log[Part Name],$A60,T_SelfStock_Log[WeekIndex],17)=0,"",SUMIFS(T_SelfStock_Log[Self_Qty],T_SelfStock_Log[Part Name],$A60,T_SelfStock_Log[WeekIndex],17))</f>
        <v/>
      </c>
      <c r="S60" s="17">
        <f>IF(COUNTIFS(T_SelfStock_Log[Part Name],$A60,T_SelfStock_Log[WeekIndex],18)=0,"",SUMIFS(T_SelfStock_Log[Self_Qty],T_SelfStock_Log[Part Name],$A60,T_SelfStock_Log[WeekIndex],18))</f>
        <v/>
      </c>
      <c r="T60" s="17">
        <f>IF(COUNTIFS(T_SelfStock_Log[Part Name],$A60,T_SelfStock_Log[WeekIndex],19)=0,"",SUMIFS(T_SelfStock_Log[Self_Qty],T_SelfStock_Log[Part Name],$A60,T_SelfStock_Log[WeekIndex],19))</f>
        <v/>
      </c>
      <c r="U60" s="17">
        <f>IF(COUNTIFS(T_SelfStock_Log[Part Name],$A60,T_SelfStock_Log[WeekIndex],20)=0,"",SUMIFS(T_SelfStock_Log[Self_Qty],T_SelfStock_Log[Part Name],$A60,T_SelfStock_Log[WeekIndex],20))</f>
        <v/>
      </c>
      <c r="V60" s="17">
        <f>IF(COUNTIFS(T_SelfStock_Log[Part Name],$A60,T_SelfStock_Log[WeekIndex],21)=0,"",SUMIFS(T_SelfStock_Log[Self_Qty],T_SelfStock_Log[Part Name],$A60,T_SelfStock_Log[WeekIndex],21))</f>
        <v/>
      </c>
      <c r="W60" s="17">
        <f>IF(COUNTIFS(T_SelfStock_Log[Part Name],$A60,T_SelfStock_Log[WeekIndex],22)=0,"",SUMIFS(T_SelfStock_Log[Self_Qty],T_SelfStock_Log[Part Name],$A60,T_SelfStock_Log[WeekIndex],22))</f>
        <v/>
      </c>
      <c r="X60" s="17">
        <f>IF(COUNTIFS(T_SelfStock_Log[Part Name],$A60,T_SelfStock_Log[WeekIndex],23)=0,"",SUMIFS(T_SelfStock_Log[Self_Qty],T_SelfStock_Log[Part Name],$A60,T_SelfStock_Log[WeekIndex],23))</f>
        <v/>
      </c>
      <c r="Y60" s="17">
        <f>IF(COUNTIFS(T_SelfStock_Log[Part Name],$A60,T_SelfStock_Log[WeekIndex],24)=0,"",SUMIFS(T_SelfStock_Log[Self_Qty],T_SelfStock_Log[Part Name],$A60,T_SelfStock_Log[WeekIndex],24))</f>
        <v/>
      </c>
      <c r="Z60" s="17">
        <f>IF(COUNTIFS(T_SelfStock_Log[Part Name],$A60,T_SelfStock_Log[WeekIndex],25)=0,"",SUMIFS(T_SelfStock_Log[Self_Qty],T_SelfStock_Log[Part Name],$A60,T_SelfStock_Log[WeekIndex],25))</f>
        <v/>
      </c>
      <c r="AA60" s="17">
        <f>IF(COUNTIFS(T_SelfStock_Log[Part Name],$A60,T_SelfStock_Log[WeekIndex],26)=0,"",SUMIFS(T_SelfStock_Log[Self_Qty],T_SelfStock_Log[Part Name],$A60,T_SelfStock_Log[WeekIndex],26))</f>
        <v/>
      </c>
      <c r="AB60" s="17">
        <f>IF(COUNTIFS(T_SelfStock_Log[Part Name],$A60,T_SelfStock_Log[WeekIndex],27)=0,"",SUMIFS(T_SelfStock_Log[Self_Qty],T_SelfStock_Log[Part Name],$A60,T_SelfStock_Log[WeekIndex],27))</f>
        <v/>
      </c>
      <c r="AC60" s="17">
        <f>IF(COUNTIFS(T_SelfStock_Log[Part Name],$A60,T_SelfStock_Log[WeekIndex],28)=0,"",SUMIFS(T_SelfStock_Log[Self_Qty],T_SelfStock_Log[Part Name],$A60,T_SelfStock_Log[WeekIndex],28))</f>
        <v/>
      </c>
      <c r="AD60" s="17">
        <f>IF(COUNTIFS(T_SelfStock_Log[Part Name],$A60,T_SelfStock_Log[WeekIndex],29)=0,"",SUMIFS(T_SelfStock_Log[Self_Qty],T_SelfStock_Log[Part Name],$A60,T_SelfStock_Log[WeekIndex],29))</f>
        <v/>
      </c>
      <c r="AE60" s="17">
        <f>IF(COUNTIFS(T_SelfStock_Log[Part Name],$A60,T_SelfStock_Log[WeekIndex],30)=0,"",SUMIFS(T_SelfStock_Log[Self_Qty],T_SelfStock_Log[Part Name],$A60,T_SelfStock_Log[WeekIndex],30))</f>
        <v/>
      </c>
      <c r="AF60" s="17">
        <f>IF(COUNTIFS(T_SelfStock_Log[Part Name],$A60,T_SelfStock_Log[WeekIndex],31)=0,"",SUMIFS(T_SelfStock_Log[Self_Qty],T_SelfStock_Log[Part Name],$A60,T_SelfStock_Log[WeekIndex],31))</f>
        <v/>
      </c>
      <c r="AG60" s="17">
        <f>IF(COUNTIFS(T_SelfStock_Log[Part Name],$A60,T_SelfStock_Log[WeekIndex],32)=0,"",SUMIFS(T_SelfStock_Log[Self_Qty],T_SelfStock_Log[Part Name],$A60,T_SelfStock_Log[WeekIndex],32))</f>
        <v/>
      </c>
      <c r="AH60" s="17">
        <f>IF(COUNTIFS(T_SelfStock_Log[Part Name],$A60,T_SelfStock_Log[WeekIndex],33)=0,"",SUMIFS(T_SelfStock_Log[Self_Qty],T_SelfStock_Log[Part Name],$A60,T_SelfStock_Log[WeekIndex],33))</f>
        <v/>
      </c>
      <c r="AI60" s="17">
        <f>IF(COUNTIFS(T_SelfStock_Log[Part Name],$A60,T_SelfStock_Log[WeekIndex],34)=0,"",SUMIFS(T_SelfStock_Log[Self_Qty],T_SelfStock_Log[Part Name],$A60,T_SelfStock_Log[WeekIndex],34))</f>
        <v/>
      </c>
      <c r="AJ60" s="17">
        <f>IF(COUNTIFS(T_SelfStock_Log[Part Name],$A60,T_SelfStock_Log[WeekIndex],35)=0,"",SUMIFS(T_SelfStock_Log[Self_Qty],T_SelfStock_Log[Part Name],$A60,T_SelfStock_Log[WeekIndex],35))</f>
        <v/>
      </c>
      <c r="AK60" s="17">
        <f>IF(COUNTIFS(T_SelfStock_Log[Part Name],$A60,T_SelfStock_Log[WeekIndex],36)=0,"",SUMIFS(T_SelfStock_Log[Self_Qty],T_SelfStock_Log[Part Name],$A60,T_SelfStock_Log[WeekIndex],36))</f>
        <v/>
      </c>
      <c r="AL60" s="17">
        <f>IF(COUNTIFS(T_SelfStock_Log[Part Name],$A60,T_SelfStock_Log[WeekIndex],37)=0,"",SUMIFS(T_SelfStock_Log[Self_Qty],T_SelfStock_Log[Part Name],$A60,T_SelfStock_Log[WeekIndex],37))</f>
        <v/>
      </c>
      <c r="AM60" s="17">
        <f>IF(COUNTIFS(T_SelfStock_Log[Part Name],$A60,T_SelfStock_Log[WeekIndex],38)=0,"",SUMIFS(T_SelfStock_Log[Self_Qty],T_SelfStock_Log[Part Name],$A60,T_SelfStock_Log[WeekIndex],38))</f>
        <v/>
      </c>
      <c r="AN60" s="17">
        <f>IF(COUNTIFS(T_SelfStock_Log[Part Name],$A60,T_SelfStock_Log[WeekIndex],39)=0,"",SUMIFS(T_SelfStock_Log[Self_Qty],T_SelfStock_Log[Part Name],$A60,T_SelfStock_Log[WeekIndex],39))</f>
        <v/>
      </c>
      <c r="AO60" s="17">
        <f>IF(COUNTIFS(T_SelfStock_Log[Part Name],$A60,T_SelfStock_Log[WeekIndex],40)=0,"",SUMIFS(T_SelfStock_Log[Self_Qty],T_SelfStock_Log[Part Name],$A60,T_SelfStock_Log[WeekIndex],40))</f>
        <v/>
      </c>
      <c r="AP60" s="17">
        <f>IF(COUNTIFS(T_SelfStock_Log[Part Name],$A60,T_SelfStock_Log[WeekIndex],41)=0,"",SUMIFS(T_SelfStock_Log[Self_Qty],T_SelfStock_Log[Part Name],$A60,T_SelfStock_Log[WeekIndex],41))</f>
        <v/>
      </c>
      <c r="AQ60" s="17">
        <f>IF(COUNTIFS(T_SelfStock_Log[Part Name],$A60,T_SelfStock_Log[WeekIndex],42)=0,"",SUMIFS(T_SelfStock_Log[Self_Qty],T_SelfStock_Log[Part Name],$A60,T_SelfStock_Log[WeekIndex],42))</f>
        <v/>
      </c>
      <c r="AR60" s="17">
        <f>IF(COUNTIFS(T_SelfStock_Log[Part Name],$A60,T_SelfStock_Log[WeekIndex],43)=0,"",SUMIFS(T_SelfStock_Log[Self_Qty],T_SelfStock_Log[Part Name],$A60,T_SelfStock_Log[WeekIndex],43))</f>
        <v/>
      </c>
      <c r="AS60" s="17">
        <f>IF(COUNTIFS(T_SelfStock_Log[Part Name],$A60,T_SelfStock_Log[WeekIndex],44)=0,"",SUMIFS(T_SelfStock_Log[Self_Qty],T_SelfStock_Log[Part Name],$A60,T_SelfStock_Log[WeekIndex],44))</f>
        <v/>
      </c>
      <c r="AT60" s="17">
        <f>IF(COUNTIFS(T_SelfStock_Log[Part Name],$A60,T_SelfStock_Log[WeekIndex],45)=0,"",SUMIFS(T_SelfStock_Log[Self_Qty],T_SelfStock_Log[Part Name],$A60,T_SelfStock_Log[WeekIndex],45))</f>
        <v/>
      </c>
      <c r="AU60" s="17">
        <f>IF(COUNTIFS(T_SelfStock_Log[Part Name],$A60,T_SelfStock_Log[WeekIndex],46)=0,"",SUMIFS(T_SelfStock_Log[Self_Qty],T_SelfStock_Log[Part Name],$A60,T_SelfStock_Log[WeekIndex],46))</f>
        <v/>
      </c>
      <c r="AV60" s="17">
        <f>IF(COUNTIFS(T_SelfStock_Log[Part Name],$A60,T_SelfStock_Log[WeekIndex],47)=0,"",SUMIFS(T_SelfStock_Log[Self_Qty],T_SelfStock_Log[Part Name],$A60,T_SelfStock_Log[WeekIndex],47))</f>
        <v/>
      </c>
      <c r="AW60" s="17">
        <f>IF(COUNTIFS(T_SelfStock_Log[Part Name],$A60,T_SelfStock_Log[WeekIndex],48)=0,"",SUMIFS(T_SelfStock_Log[Self_Qty],T_SelfStock_Log[Part Name],$A60,T_SelfStock_Log[WeekIndex],48))</f>
        <v/>
      </c>
      <c r="AX60" s="17">
        <f>IF(COUNTIFS(T_SelfStock_Log[Part Name],$A60,T_SelfStock_Log[WeekIndex],49)=0,"",SUMIFS(T_SelfStock_Log[Self_Qty],T_SelfStock_Log[Part Name],$A60,T_SelfStock_Log[WeekIndex],49))</f>
        <v/>
      </c>
      <c r="AY60" s="17">
        <f>IF(COUNTIFS(T_SelfStock_Log[Part Name],$A60,T_SelfStock_Log[WeekIndex],50)=0,"",SUMIFS(T_SelfStock_Log[Self_Qty],T_SelfStock_Log[Part Name],$A60,T_SelfStock_Log[WeekIndex],50))</f>
        <v/>
      </c>
      <c r="AZ60" s="17">
        <f>IF(COUNTIFS(T_SelfStock_Log[Part Name],$A60,T_SelfStock_Log[WeekIndex],51)=0,"",SUMIFS(T_SelfStock_Log[Self_Qty],T_SelfStock_Log[Part Name],$A60,T_SelfStock_Log[WeekIndex],51))</f>
        <v/>
      </c>
      <c r="BA60" s="17">
        <f>IF(COUNTIFS(T_SelfStock_Log[Part Name],$A60,T_SelfStock_Log[WeekIndex],52)=0,"",SUMIFS(T_SelfStock_Log[Self_Qty],T_SelfStock_Log[Part Name],$A60,T_SelfStock_Log[WeekIndex],52))</f>
        <v/>
      </c>
      <c r="BB60" s="17">
        <f>IF(COUNTIFS(T_SelfStock_Log[Part Name],$A60,T_SelfStock_Log[WeekIndex],53)=0,"",SUMIFS(T_SelfStock_Log[Self_Qty],T_SelfStock_Log[Part Name],$A60,T_SelfStock_Log[WeekIndex],53))</f>
        <v/>
      </c>
      <c r="BC60" s="17">
        <f>IF(COUNTIFS(T_SelfStock_Log[Part Name],$A60,T_SelfStock_Log[WeekIndex],54)=0,"",SUMIFS(T_SelfStock_Log[Self_Qty],T_SelfStock_Log[Part Name],$A60,T_SelfStock_Log[WeekIndex],54))</f>
        <v/>
      </c>
      <c r="BD60" s="17">
        <f>IF(COUNTIFS(T_SelfStock_Log[Part Name],$A60,T_SelfStock_Log[WeekIndex],55)=0,"",SUMIFS(T_SelfStock_Log[Self_Qty],T_SelfStock_Log[Part Name],$A60,T_SelfStock_Log[WeekIndex],55))</f>
        <v/>
      </c>
      <c r="BE60" s="17">
        <f>IF(COUNTIFS(T_SelfStock_Log[Part Name],$A60,T_SelfStock_Log[WeekIndex],56)=0,"",SUMIFS(T_SelfStock_Log[Self_Qty],T_SelfStock_Log[Part Name],$A60,T_SelfStock_Log[WeekIndex],56))</f>
        <v/>
      </c>
      <c r="BF60" s="17">
        <f>IF(COUNTIFS(T_SelfStock_Log[Part Name],$A60,T_SelfStock_Log[WeekIndex],57)=0,"",SUMIFS(T_SelfStock_Log[Self_Qty],T_SelfStock_Log[Part Name],$A60,T_SelfStock_Log[WeekIndex],57))</f>
        <v/>
      </c>
      <c r="BG60" s="17">
        <f>IF(COUNTIFS(T_SelfStock_Log[Part Name],$A60,T_SelfStock_Log[WeekIndex],58)=0,"",SUMIFS(T_SelfStock_Log[Self_Qty],T_SelfStock_Log[Part Name],$A60,T_SelfStock_Log[WeekIndex],58))</f>
        <v/>
      </c>
      <c r="BH60" s="17">
        <f>IF(COUNTIFS(T_SelfStock_Log[Part Name],$A60,T_SelfStock_Log[WeekIndex],59)=0,"",SUMIFS(T_SelfStock_Log[Self_Qty],T_SelfStock_Log[Part Name],$A60,T_SelfStock_Log[WeekIndex],59))</f>
        <v/>
      </c>
      <c r="BI60" s="17">
        <f>IF(COUNTIFS(T_SelfStock_Log[Part Name],$A60,T_SelfStock_Log[WeekIndex],60)=0,"",SUMIFS(T_SelfStock_Log[Self_Qty],T_SelfStock_Log[Part Name],$A60,T_SelfStock_Log[WeekIndex],60))</f>
        <v/>
      </c>
      <c r="BJ60" s="17">
        <f>IF(COUNTIFS(T_SelfStock_Log[Part Name],$A60,T_SelfStock_Log[WeekIndex],61)=0,"",SUMIFS(T_SelfStock_Log[Self_Qty],T_SelfStock_Log[Part Name],$A60,T_SelfStock_Log[WeekIndex],61))</f>
        <v/>
      </c>
      <c r="BK60" s="17">
        <f>IF(COUNTIFS(T_SelfStock_Log[Part Name],$A60,T_SelfStock_Log[WeekIndex],62)=0,"",SUMIFS(T_SelfStock_Log[Self_Qty],T_SelfStock_Log[Part Name],$A60,T_SelfStock_Log[WeekIndex],62))</f>
        <v/>
      </c>
      <c r="BL60" s="17">
        <f>IF(COUNTIFS(T_SelfStock_Log[Part Name],$A60,T_SelfStock_Log[WeekIndex],63)=0,"",SUMIFS(T_SelfStock_Log[Self_Qty],T_SelfStock_Log[Part Name],$A60,T_SelfStock_Log[WeekIndex],63))</f>
        <v/>
      </c>
      <c r="BM60" s="17">
        <f>IF(COUNTIFS(T_SelfStock_Log[Part Name],$A60,T_SelfStock_Log[WeekIndex],64)=0,"",SUMIFS(T_SelfStock_Log[Self_Qty],T_SelfStock_Log[Part Name],$A60,T_SelfStock_Log[WeekIndex],64))</f>
        <v/>
      </c>
      <c r="BN60" s="17">
        <f>IF(COUNTIFS(T_SelfStock_Log[Part Name],$A60,T_SelfStock_Log[WeekIndex],65)=0,"",SUMIFS(T_SelfStock_Log[Self_Qty],T_SelfStock_Log[Part Name],$A60,T_SelfStock_Log[WeekIndex],65))</f>
        <v/>
      </c>
      <c r="BO60" s="17">
        <f>IF(COUNTIFS(T_SelfStock_Log[Part Name],$A60,T_SelfStock_Log[WeekIndex],66)=0,"",SUMIFS(T_SelfStock_Log[Self_Qty],T_SelfStock_Log[Part Name],$A60,T_SelfStock_Log[WeekIndex],66))</f>
        <v/>
      </c>
      <c r="BP60" s="17">
        <f>IF(COUNTIFS(T_SelfStock_Log[Part Name],$A60,T_SelfStock_Log[WeekIndex],67)=0,"",SUMIFS(T_SelfStock_Log[Self_Qty],T_SelfStock_Log[Part Name],$A60,T_SelfStock_Log[WeekIndex],67))</f>
        <v/>
      </c>
      <c r="BQ60" s="17">
        <f>IF(COUNTIFS(T_SelfStock_Log[Part Name],$A60,T_SelfStock_Log[WeekIndex],68)=0,"",SUMIFS(T_SelfStock_Log[Self_Qty],T_SelfStock_Log[Part Name],$A60,T_SelfStock_Log[WeekIndex],68))</f>
        <v/>
      </c>
      <c r="BR60" s="17">
        <f>IF(COUNTIFS(T_SelfStock_Log[Part Name],$A60,T_SelfStock_Log[WeekIndex],69)=0,"",SUMIFS(T_SelfStock_Log[Self_Qty],T_SelfStock_Log[Part Name],$A60,T_SelfStock_Log[WeekIndex],69))</f>
        <v/>
      </c>
      <c r="BS60" s="17">
        <f>IF(COUNTIFS(T_SelfStock_Log[Part Name],$A60,T_SelfStock_Log[WeekIndex],70)=0,"",SUMIFS(T_SelfStock_Log[Self_Qty],T_SelfStock_Log[Part Name],$A60,T_SelfStock_Log[WeekIndex],70))</f>
        <v/>
      </c>
      <c r="BT60" s="17">
        <f>IF(COUNTIFS(T_SelfStock_Log[Part Name],$A60,T_SelfStock_Log[WeekIndex],71)=0,"",SUMIFS(T_SelfStock_Log[Self_Qty],T_SelfStock_Log[Part Name],$A60,T_SelfStock_Log[WeekIndex],71))</f>
        <v/>
      </c>
      <c r="BU60" s="17">
        <f>IF(COUNTIFS(T_SelfStock_Log[Part Name],$A60,T_SelfStock_Log[WeekIndex],72)=0,"",SUMIFS(T_SelfStock_Log[Self_Qty],T_SelfStock_Log[Part Name],$A60,T_SelfStock_Log[WeekIndex],72))</f>
        <v/>
      </c>
      <c r="BV60" s="17">
        <f>IF(COUNTIFS(T_SelfStock_Log[Part Name],$A60,T_SelfStock_Log[WeekIndex],73)=0,"",SUMIFS(T_SelfStock_Log[Self_Qty],T_SelfStock_Log[Part Name],$A60,T_SelfStock_Log[WeekIndex],73))</f>
        <v/>
      </c>
      <c r="BW60" s="17">
        <f>IF(COUNTIFS(T_SelfStock_Log[Part Name],$A60,T_SelfStock_Log[WeekIndex],74)=0,"",SUMIFS(T_SelfStock_Log[Self_Qty],T_SelfStock_Log[Part Name],$A60,T_SelfStock_Log[WeekIndex],74))</f>
        <v/>
      </c>
      <c r="BX60" s="17">
        <f>IF(COUNTIFS(T_SelfStock_Log[Part Name],$A60,T_SelfStock_Log[WeekIndex],75)=0,"",SUMIFS(T_SelfStock_Log[Self_Qty],T_SelfStock_Log[Part Name],$A60,T_SelfStock_Log[WeekIndex],75))</f>
        <v/>
      </c>
      <c r="BY60" s="17">
        <f>IF(COUNTIFS(T_SelfStock_Log[Part Name],$A60,T_SelfStock_Log[WeekIndex],76)=0,"",SUMIFS(T_SelfStock_Log[Self_Qty],T_SelfStock_Log[Part Name],$A60,T_SelfStock_Log[WeekIndex],76))</f>
        <v/>
      </c>
      <c r="BZ60" s="17">
        <f>IF(COUNTIFS(T_SelfStock_Log[Part Name],$A60,T_SelfStock_Log[WeekIndex],77)=0,"",SUMIFS(T_SelfStock_Log[Self_Qty],T_SelfStock_Log[Part Name],$A60,T_SelfStock_Log[WeekIndex],77))</f>
        <v/>
      </c>
      <c r="CA60" s="17">
        <f>IF(COUNTIFS(T_SelfStock_Log[Part Name],$A60,T_SelfStock_Log[WeekIndex],78)=0,"",SUMIFS(T_SelfStock_Log[Self_Qty],T_SelfStock_Log[Part Name],$A60,T_SelfStock_Log[WeekIndex],78))</f>
        <v/>
      </c>
      <c r="CB60" s="17">
        <f>IF(COUNTIFS(T_SelfStock_Log[Part Name],$A60,T_SelfStock_Log[WeekIndex],79)=0,"",SUMIFS(T_SelfStock_Log[Self_Qty],T_SelfStock_Log[Part Name],$A60,T_SelfStock_Log[WeekIndex],79))</f>
        <v/>
      </c>
      <c r="CC60" s="17">
        <f>IF(COUNTIFS(T_SelfStock_Log[Part Name],$A60,T_SelfStock_Log[WeekIndex],80)=0,"",SUMIFS(T_SelfStock_Log[Self_Qty],T_SelfStock_Log[Part Name],$A60,T_SelfStock_Log[WeekIndex],80))</f>
        <v/>
      </c>
      <c r="CD60" s="17">
        <f>IF(COUNTIFS(T_SelfStock_Log[Part Name],$A60,T_SelfStock_Log[WeekIndex],81)=0,"",SUMIFS(T_SelfStock_Log[Self_Qty],T_SelfStock_Log[Part Name],$A60,T_SelfStock_Log[WeekIndex],81))</f>
        <v/>
      </c>
      <c r="CE60" s="17">
        <f>IF(COUNTIFS(T_SelfStock_Log[Part Name],$A60,T_SelfStock_Log[WeekIndex],82)=0,"",SUMIFS(T_SelfStock_Log[Self_Qty],T_SelfStock_Log[Part Name],$A60,T_SelfStock_Log[WeekIndex],82))</f>
        <v/>
      </c>
      <c r="CF60" s="17">
        <f>IF(COUNTIFS(T_SelfStock_Log[Part Name],$A60,T_SelfStock_Log[WeekIndex],83)=0,"",SUMIFS(T_SelfStock_Log[Self_Qty],T_SelfStock_Log[Part Name],$A60,T_SelfStock_Log[WeekIndex],83))</f>
        <v/>
      </c>
      <c r="CG60" s="17">
        <f>IF(COUNTIFS(T_SelfStock_Log[Part Name],$A60,T_SelfStock_Log[WeekIndex],84)=0,"",SUMIFS(T_SelfStock_Log[Self_Qty],T_SelfStock_Log[Part Name],$A60,T_SelfStock_Log[WeekIndex],84))</f>
        <v/>
      </c>
      <c r="CH60" s="17">
        <f>IF(COUNTIFS(T_SelfStock_Log[Part Name],$A60,T_SelfStock_Log[WeekIndex],85)=0,"",SUMIFS(T_SelfStock_Log[Self_Qty],T_SelfStock_Log[Part Name],$A60,T_SelfStock_Log[WeekIndex],85))</f>
        <v/>
      </c>
      <c r="CI60" s="17">
        <f>IF(COUNTIFS(T_SelfStock_Log[Part Name],$A60,T_SelfStock_Log[WeekIndex],86)=0,"",SUMIFS(T_SelfStock_Log[Self_Qty],T_SelfStock_Log[Part Name],$A60,T_SelfStock_Log[WeekIndex],86))</f>
        <v/>
      </c>
      <c r="CJ60" s="17">
        <f>IF(COUNTIFS(T_SelfStock_Log[Part Name],$A60,T_SelfStock_Log[WeekIndex],87)=0,"",SUMIFS(T_SelfStock_Log[Self_Qty],T_SelfStock_Log[Part Name],$A60,T_SelfStock_Log[WeekIndex],87))</f>
        <v/>
      </c>
      <c r="CK60" s="17">
        <f>IF(COUNTIFS(T_SelfStock_Log[Part Name],$A60,T_SelfStock_Log[WeekIndex],88)=0,"",SUMIFS(T_SelfStock_Log[Self_Qty],T_SelfStock_Log[Part Name],$A60,T_SelfStock_Log[WeekIndex],88))</f>
        <v/>
      </c>
      <c r="CL60" s="17">
        <f>IF(COUNTIFS(T_SelfStock_Log[Part Name],$A60,T_SelfStock_Log[WeekIndex],89)=0,"",SUMIFS(T_SelfStock_Log[Self_Qty],T_SelfStock_Log[Part Name],$A60,T_SelfStock_Log[WeekIndex],89))</f>
        <v/>
      </c>
      <c r="CM60" s="17">
        <f>IF(COUNTIFS(T_SelfStock_Log[Part Name],$A60,T_SelfStock_Log[WeekIndex],90)=0,"",SUMIFS(T_SelfStock_Log[Self_Qty],T_SelfStock_Log[Part Name],$A60,T_SelfStock_Log[WeekIndex],90))</f>
        <v/>
      </c>
      <c r="CN60" s="17">
        <f>IF(COUNTIFS(T_SelfStock_Log[Part Name],$A60,T_SelfStock_Log[WeekIndex],91)=0,"",SUMIFS(T_SelfStock_Log[Self_Qty],T_SelfStock_Log[Part Name],$A60,T_SelfStock_Log[WeekIndex],91))</f>
        <v/>
      </c>
      <c r="CO60" s="17">
        <f>IF(COUNTIFS(T_SelfStock_Log[Part Name],$A60,T_SelfStock_Log[WeekIndex],92)=0,"",SUMIFS(T_SelfStock_Log[Self_Qty],T_SelfStock_Log[Part Name],$A60,T_SelfStock_Log[WeekIndex],92))</f>
        <v/>
      </c>
      <c r="CP60" s="17">
        <f>IF(COUNTIFS(T_SelfStock_Log[Part Name],$A60,T_SelfStock_Log[WeekIndex],93)=0,"",SUMIFS(T_SelfStock_Log[Self_Qty],T_SelfStock_Log[Part Name],$A60,T_SelfStock_Log[WeekIndex],93))</f>
        <v/>
      </c>
      <c r="CQ60" s="17">
        <f>IF(COUNTIFS(T_SelfStock_Log[Part Name],$A60,T_SelfStock_Log[WeekIndex],94)=0,"",SUMIFS(T_SelfStock_Log[Self_Qty],T_SelfStock_Log[Part Name],$A60,T_SelfStock_Log[WeekIndex],94))</f>
        <v/>
      </c>
      <c r="CR60" s="17">
        <f>IF(COUNTIFS(T_SelfStock_Log[Part Name],$A60,T_SelfStock_Log[WeekIndex],95)=0,"",SUMIFS(T_SelfStock_Log[Self_Qty],T_SelfStock_Log[Part Name],$A60,T_SelfStock_Log[WeekIndex],95))</f>
        <v/>
      </c>
      <c r="CS60" s="17">
        <f>IF(COUNTIFS(T_SelfStock_Log[Part Name],$A60,T_SelfStock_Log[WeekIndex],96)=0,"",SUMIFS(T_SelfStock_Log[Self_Qty],T_SelfStock_Log[Part Name],$A60,T_SelfStock_Log[WeekIndex],96))</f>
        <v/>
      </c>
      <c r="CT60" s="17">
        <f>IF(COUNTIFS(T_SelfStock_Log[Part Name],$A60,T_SelfStock_Log[WeekIndex],97)=0,"",SUMIFS(T_SelfStock_Log[Self_Qty],T_SelfStock_Log[Part Name],$A60,T_SelfStock_Log[WeekIndex],97))</f>
        <v/>
      </c>
      <c r="CU60" s="17">
        <f>IF(COUNTIFS(T_SelfStock_Log[Part Name],$A60,T_SelfStock_Log[WeekIndex],98)=0,"",SUMIFS(T_SelfStock_Log[Self_Qty],T_SelfStock_Log[Part Name],$A60,T_SelfStock_Log[WeekIndex],98))</f>
        <v/>
      </c>
      <c r="CV60" s="17">
        <f>IF(COUNTIFS(T_SelfStock_Log[Part Name],$A60,T_SelfStock_Log[WeekIndex],99)=0,"",SUMIFS(T_SelfStock_Log[Self_Qty],T_SelfStock_Log[Part Name],$A60,T_SelfStock_Log[WeekIndex],99))</f>
        <v/>
      </c>
      <c r="CW60" s="17">
        <f>IF(COUNTIFS(T_SelfStock_Log[Part Name],$A60,T_SelfStock_Log[WeekIndex],100)=0,"",SUMIFS(T_SelfStock_Log[Self_Qty],T_SelfStock_Log[Part Name],$A60,T_SelfStock_Log[WeekIndex],100))</f>
        <v/>
      </c>
      <c r="CX60" s="17">
        <f>IF(COUNTIFS(T_SelfStock_Log[Part Name],$A60,T_SelfStock_Log[WeekIndex],101)=0,"",SUMIFS(T_SelfStock_Log[Self_Qty],T_SelfStock_Log[Part Name],$A60,T_SelfStock_Log[WeekIndex],101))</f>
        <v/>
      </c>
      <c r="CY60" s="17">
        <f>IF(COUNTIFS(T_SelfStock_Log[Part Name],$A60,T_SelfStock_Log[WeekIndex],102)=0,"",SUMIFS(T_SelfStock_Log[Self_Qty],T_SelfStock_Log[Part Name],$A60,T_SelfStock_Log[WeekIndex],102))</f>
        <v/>
      </c>
      <c r="CZ60" s="17">
        <f>IF(COUNTIFS(T_SelfStock_Log[Part Name],$A60,T_SelfStock_Log[WeekIndex],103)=0,"",SUMIFS(T_SelfStock_Log[Self_Qty],T_SelfStock_Log[Part Name],$A60,T_SelfStock_Log[WeekIndex],103))</f>
        <v/>
      </c>
      <c r="DA60" s="17">
        <f>IF(COUNTIFS(T_SelfStock_Log[Part Name],$A60,T_SelfStock_Log[WeekIndex],104)=0,"",SUMIFS(T_SelfStock_Log[Self_Qty],T_SelfStock_Log[Part Name],$A60,T_SelfStock_Log[WeekIndex],104))</f>
        <v/>
      </c>
    </row>
    <row r="61">
      <c r="A61" s="19" t="inlineStr">
        <is>
          <t>CHEM-1720</t>
        </is>
      </c>
      <c r="B61" s="19">
        <f>IF(COUNTIFS(T_SelfStock_Log[Part Name],$A61,T_SelfStock_Log[WeekIndex],1)=0,"",SUMIFS(T_SelfStock_Log[Self_Qty],T_SelfStock_Log[Part Name],$A61,T_SelfStock_Log[WeekIndex],1))</f>
        <v/>
      </c>
      <c r="C61" s="19">
        <f>IF(COUNTIFS(T_SelfStock_Log[Part Name],$A61,T_SelfStock_Log[WeekIndex],2)=0,"",SUMIFS(T_SelfStock_Log[Self_Qty],T_SelfStock_Log[Part Name],$A61,T_SelfStock_Log[WeekIndex],2))</f>
        <v/>
      </c>
      <c r="D61" s="19">
        <f>IF(COUNTIFS(T_SelfStock_Log[Part Name],$A61,T_SelfStock_Log[WeekIndex],3)=0,"",SUMIFS(T_SelfStock_Log[Self_Qty],T_SelfStock_Log[Part Name],$A61,T_SelfStock_Log[WeekIndex],3))</f>
        <v/>
      </c>
      <c r="E61" s="19">
        <f>IF(COUNTIFS(T_SelfStock_Log[Part Name],$A61,T_SelfStock_Log[WeekIndex],4)=0,"",SUMIFS(T_SelfStock_Log[Self_Qty],T_SelfStock_Log[Part Name],$A61,T_SelfStock_Log[WeekIndex],4))</f>
        <v/>
      </c>
      <c r="F61" s="19">
        <f>IF(COUNTIFS(T_SelfStock_Log[Part Name],$A61,T_SelfStock_Log[WeekIndex],5)=0,"",SUMIFS(T_SelfStock_Log[Self_Qty],T_SelfStock_Log[Part Name],$A61,T_SelfStock_Log[WeekIndex],5))</f>
        <v/>
      </c>
      <c r="G61" s="19">
        <f>IF(COUNTIFS(T_SelfStock_Log[Part Name],$A61,T_SelfStock_Log[WeekIndex],6)=0,"",SUMIFS(T_SelfStock_Log[Self_Qty],T_SelfStock_Log[Part Name],$A61,T_SelfStock_Log[WeekIndex],6))</f>
        <v/>
      </c>
      <c r="H61" s="19">
        <f>IF(COUNTIFS(T_SelfStock_Log[Part Name],$A61,T_SelfStock_Log[WeekIndex],7)=0,"",SUMIFS(T_SelfStock_Log[Self_Qty],T_SelfStock_Log[Part Name],$A61,T_SelfStock_Log[WeekIndex],7))</f>
        <v/>
      </c>
      <c r="I61" s="19">
        <f>IF(COUNTIFS(T_SelfStock_Log[Part Name],$A61,T_SelfStock_Log[WeekIndex],8)=0,"",SUMIFS(T_SelfStock_Log[Self_Qty],T_SelfStock_Log[Part Name],$A61,T_SelfStock_Log[WeekIndex],8))</f>
        <v/>
      </c>
      <c r="J61" s="19">
        <f>IF(COUNTIFS(T_SelfStock_Log[Part Name],$A61,T_SelfStock_Log[WeekIndex],9)=0,"",SUMIFS(T_SelfStock_Log[Self_Qty],T_SelfStock_Log[Part Name],$A61,T_SelfStock_Log[WeekIndex],9))</f>
        <v/>
      </c>
      <c r="K61" s="19">
        <f>IF(COUNTIFS(T_SelfStock_Log[Part Name],$A61,T_SelfStock_Log[WeekIndex],10)=0,"",SUMIFS(T_SelfStock_Log[Self_Qty],T_SelfStock_Log[Part Name],$A61,T_SelfStock_Log[WeekIndex],10))</f>
        <v/>
      </c>
      <c r="L61" s="19">
        <f>IF(COUNTIFS(T_SelfStock_Log[Part Name],$A61,T_SelfStock_Log[WeekIndex],11)=0,"",SUMIFS(T_SelfStock_Log[Self_Qty],T_SelfStock_Log[Part Name],$A61,T_SelfStock_Log[WeekIndex],11))</f>
        <v/>
      </c>
      <c r="M61" s="19">
        <f>IF(COUNTIFS(T_SelfStock_Log[Part Name],$A61,T_SelfStock_Log[WeekIndex],12)=0,"",SUMIFS(T_SelfStock_Log[Self_Qty],T_SelfStock_Log[Part Name],$A61,T_SelfStock_Log[WeekIndex],12))</f>
        <v/>
      </c>
      <c r="N61" s="19">
        <f>IF(COUNTIFS(T_SelfStock_Log[Part Name],$A61,T_SelfStock_Log[WeekIndex],13)=0,"",SUMIFS(T_SelfStock_Log[Self_Qty],T_SelfStock_Log[Part Name],$A61,T_SelfStock_Log[WeekIndex],13))</f>
        <v/>
      </c>
      <c r="O61" s="19">
        <f>IF(COUNTIFS(T_SelfStock_Log[Part Name],$A61,T_SelfStock_Log[WeekIndex],14)=0,"",SUMIFS(T_SelfStock_Log[Self_Qty],T_SelfStock_Log[Part Name],$A61,T_SelfStock_Log[WeekIndex],14))</f>
        <v/>
      </c>
      <c r="P61" s="19">
        <f>IF(COUNTIFS(T_SelfStock_Log[Part Name],$A61,T_SelfStock_Log[WeekIndex],15)=0,"",SUMIFS(T_SelfStock_Log[Self_Qty],T_SelfStock_Log[Part Name],$A61,T_SelfStock_Log[WeekIndex],15))</f>
        <v/>
      </c>
      <c r="Q61" s="19">
        <f>IF(COUNTIFS(T_SelfStock_Log[Part Name],$A61,T_SelfStock_Log[WeekIndex],16)=0,"",SUMIFS(T_SelfStock_Log[Self_Qty],T_SelfStock_Log[Part Name],$A61,T_SelfStock_Log[WeekIndex],16))</f>
        <v/>
      </c>
      <c r="R61" s="19">
        <f>IF(COUNTIFS(T_SelfStock_Log[Part Name],$A61,T_SelfStock_Log[WeekIndex],17)=0,"",SUMIFS(T_SelfStock_Log[Self_Qty],T_SelfStock_Log[Part Name],$A61,T_SelfStock_Log[WeekIndex],17))</f>
        <v/>
      </c>
      <c r="S61" s="19">
        <f>IF(COUNTIFS(T_SelfStock_Log[Part Name],$A61,T_SelfStock_Log[WeekIndex],18)=0,"",SUMIFS(T_SelfStock_Log[Self_Qty],T_SelfStock_Log[Part Name],$A61,T_SelfStock_Log[WeekIndex],18))</f>
        <v/>
      </c>
      <c r="T61" s="19">
        <f>IF(COUNTIFS(T_SelfStock_Log[Part Name],$A61,T_SelfStock_Log[WeekIndex],19)=0,"",SUMIFS(T_SelfStock_Log[Self_Qty],T_SelfStock_Log[Part Name],$A61,T_SelfStock_Log[WeekIndex],19))</f>
        <v/>
      </c>
      <c r="U61" s="19">
        <f>IF(COUNTIFS(T_SelfStock_Log[Part Name],$A61,T_SelfStock_Log[WeekIndex],20)=0,"",SUMIFS(T_SelfStock_Log[Self_Qty],T_SelfStock_Log[Part Name],$A61,T_SelfStock_Log[WeekIndex],20))</f>
        <v/>
      </c>
      <c r="V61" s="19">
        <f>IF(COUNTIFS(T_SelfStock_Log[Part Name],$A61,T_SelfStock_Log[WeekIndex],21)=0,"",SUMIFS(T_SelfStock_Log[Self_Qty],T_SelfStock_Log[Part Name],$A61,T_SelfStock_Log[WeekIndex],21))</f>
        <v/>
      </c>
      <c r="W61" s="19">
        <f>IF(COUNTIFS(T_SelfStock_Log[Part Name],$A61,T_SelfStock_Log[WeekIndex],22)=0,"",SUMIFS(T_SelfStock_Log[Self_Qty],T_SelfStock_Log[Part Name],$A61,T_SelfStock_Log[WeekIndex],22))</f>
        <v/>
      </c>
      <c r="X61" s="19">
        <f>IF(COUNTIFS(T_SelfStock_Log[Part Name],$A61,T_SelfStock_Log[WeekIndex],23)=0,"",SUMIFS(T_SelfStock_Log[Self_Qty],T_SelfStock_Log[Part Name],$A61,T_SelfStock_Log[WeekIndex],23))</f>
        <v/>
      </c>
      <c r="Y61" s="19">
        <f>IF(COUNTIFS(T_SelfStock_Log[Part Name],$A61,T_SelfStock_Log[WeekIndex],24)=0,"",SUMIFS(T_SelfStock_Log[Self_Qty],T_SelfStock_Log[Part Name],$A61,T_SelfStock_Log[WeekIndex],24))</f>
        <v/>
      </c>
      <c r="Z61" s="19">
        <f>IF(COUNTIFS(T_SelfStock_Log[Part Name],$A61,T_SelfStock_Log[WeekIndex],25)=0,"",SUMIFS(T_SelfStock_Log[Self_Qty],T_SelfStock_Log[Part Name],$A61,T_SelfStock_Log[WeekIndex],25))</f>
        <v/>
      </c>
      <c r="AA61" s="19">
        <f>IF(COUNTIFS(T_SelfStock_Log[Part Name],$A61,T_SelfStock_Log[WeekIndex],26)=0,"",SUMIFS(T_SelfStock_Log[Self_Qty],T_SelfStock_Log[Part Name],$A61,T_SelfStock_Log[WeekIndex],26))</f>
        <v/>
      </c>
      <c r="AB61" s="19">
        <f>IF(COUNTIFS(T_SelfStock_Log[Part Name],$A61,T_SelfStock_Log[WeekIndex],27)=0,"",SUMIFS(T_SelfStock_Log[Self_Qty],T_SelfStock_Log[Part Name],$A61,T_SelfStock_Log[WeekIndex],27))</f>
        <v/>
      </c>
      <c r="AC61" s="19">
        <f>IF(COUNTIFS(T_SelfStock_Log[Part Name],$A61,T_SelfStock_Log[WeekIndex],28)=0,"",SUMIFS(T_SelfStock_Log[Self_Qty],T_SelfStock_Log[Part Name],$A61,T_SelfStock_Log[WeekIndex],28))</f>
        <v/>
      </c>
      <c r="AD61" s="19">
        <f>IF(COUNTIFS(T_SelfStock_Log[Part Name],$A61,T_SelfStock_Log[WeekIndex],29)=0,"",SUMIFS(T_SelfStock_Log[Self_Qty],T_SelfStock_Log[Part Name],$A61,T_SelfStock_Log[WeekIndex],29))</f>
        <v/>
      </c>
      <c r="AE61" s="19">
        <f>IF(COUNTIFS(T_SelfStock_Log[Part Name],$A61,T_SelfStock_Log[WeekIndex],30)=0,"",SUMIFS(T_SelfStock_Log[Self_Qty],T_SelfStock_Log[Part Name],$A61,T_SelfStock_Log[WeekIndex],30))</f>
        <v/>
      </c>
      <c r="AF61" s="19">
        <f>IF(COUNTIFS(T_SelfStock_Log[Part Name],$A61,T_SelfStock_Log[WeekIndex],31)=0,"",SUMIFS(T_SelfStock_Log[Self_Qty],T_SelfStock_Log[Part Name],$A61,T_SelfStock_Log[WeekIndex],31))</f>
        <v/>
      </c>
      <c r="AG61" s="19">
        <f>IF(COUNTIFS(T_SelfStock_Log[Part Name],$A61,T_SelfStock_Log[WeekIndex],32)=0,"",SUMIFS(T_SelfStock_Log[Self_Qty],T_SelfStock_Log[Part Name],$A61,T_SelfStock_Log[WeekIndex],32))</f>
        <v/>
      </c>
      <c r="AH61" s="19">
        <f>IF(COUNTIFS(T_SelfStock_Log[Part Name],$A61,T_SelfStock_Log[WeekIndex],33)=0,"",SUMIFS(T_SelfStock_Log[Self_Qty],T_SelfStock_Log[Part Name],$A61,T_SelfStock_Log[WeekIndex],33))</f>
        <v/>
      </c>
      <c r="AI61" s="19">
        <f>IF(COUNTIFS(T_SelfStock_Log[Part Name],$A61,T_SelfStock_Log[WeekIndex],34)=0,"",SUMIFS(T_SelfStock_Log[Self_Qty],T_SelfStock_Log[Part Name],$A61,T_SelfStock_Log[WeekIndex],34))</f>
        <v/>
      </c>
      <c r="AJ61" s="19">
        <f>IF(COUNTIFS(T_SelfStock_Log[Part Name],$A61,T_SelfStock_Log[WeekIndex],35)=0,"",SUMIFS(T_SelfStock_Log[Self_Qty],T_SelfStock_Log[Part Name],$A61,T_SelfStock_Log[WeekIndex],35))</f>
        <v/>
      </c>
      <c r="AK61" s="19">
        <f>IF(COUNTIFS(T_SelfStock_Log[Part Name],$A61,T_SelfStock_Log[WeekIndex],36)=0,"",SUMIFS(T_SelfStock_Log[Self_Qty],T_SelfStock_Log[Part Name],$A61,T_SelfStock_Log[WeekIndex],36))</f>
        <v/>
      </c>
      <c r="AL61" s="19">
        <f>IF(COUNTIFS(T_SelfStock_Log[Part Name],$A61,T_SelfStock_Log[WeekIndex],37)=0,"",SUMIFS(T_SelfStock_Log[Self_Qty],T_SelfStock_Log[Part Name],$A61,T_SelfStock_Log[WeekIndex],37))</f>
        <v/>
      </c>
      <c r="AM61" s="19">
        <f>IF(COUNTIFS(T_SelfStock_Log[Part Name],$A61,T_SelfStock_Log[WeekIndex],38)=0,"",SUMIFS(T_SelfStock_Log[Self_Qty],T_SelfStock_Log[Part Name],$A61,T_SelfStock_Log[WeekIndex],38))</f>
        <v/>
      </c>
      <c r="AN61" s="19">
        <f>IF(COUNTIFS(T_SelfStock_Log[Part Name],$A61,T_SelfStock_Log[WeekIndex],39)=0,"",SUMIFS(T_SelfStock_Log[Self_Qty],T_SelfStock_Log[Part Name],$A61,T_SelfStock_Log[WeekIndex],39))</f>
        <v/>
      </c>
      <c r="AO61" s="19">
        <f>IF(COUNTIFS(T_SelfStock_Log[Part Name],$A61,T_SelfStock_Log[WeekIndex],40)=0,"",SUMIFS(T_SelfStock_Log[Self_Qty],T_SelfStock_Log[Part Name],$A61,T_SelfStock_Log[WeekIndex],40))</f>
        <v/>
      </c>
      <c r="AP61" s="19">
        <f>IF(COUNTIFS(T_SelfStock_Log[Part Name],$A61,T_SelfStock_Log[WeekIndex],41)=0,"",SUMIFS(T_SelfStock_Log[Self_Qty],T_SelfStock_Log[Part Name],$A61,T_SelfStock_Log[WeekIndex],41))</f>
        <v/>
      </c>
      <c r="AQ61" s="19">
        <f>IF(COUNTIFS(T_SelfStock_Log[Part Name],$A61,T_SelfStock_Log[WeekIndex],42)=0,"",SUMIFS(T_SelfStock_Log[Self_Qty],T_SelfStock_Log[Part Name],$A61,T_SelfStock_Log[WeekIndex],42))</f>
        <v/>
      </c>
      <c r="AR61" s="19">
        <f>IF(COUNTIFS(T_SelfStock_Log[Part Name],$A61,T_SelfStock_Log[WeekIndex],43)=0,"",SUMIFS(T_SelfStock_Log[Self_Qty],T_SelfStock_Log[Part Name],$A61,T_SelfStock_Log[WeekIndex],43))</f>
        <v/>
      </c>
      <c r="AS61" s="19">
        <f>IF(COUNTIFS(T_SelfStock_Log[Part Name],$A61,T_SelfStock_Log[WeekIndex],44)=0,"",SUMIFS(T_SelfStock_Log[Self_Qty],T_SelfStock_Log[Part Name],$A61,T_SelfStock_Log[WeekIndex],44))</f>
        <v/>
      </c>
      <c r="AT61" s="19">
        <f>IF(COUNTIFS(T_SelfStock_Log[Part Name],$A61,T_SelfStock_Log[WeekIndex],45)=0,"",SUMIFS(T_SelfStock_Log[Self_Qty],T_SelfStock_Log[Part Name],$A61,T_SelfStock_Log[WeekIndex],45))</f>
        <v/>
      </c>
      <c r="AU61" s="19">
        <f>IF(COUNTIFS(T_SelfStock_Log[Part Name],$A61,T_SelfStock_Log[WeekIndex],46)=0,"",SUMIFS(T_SelfStock_Log[Self_Qty],T_SelfStock_Log[Part Name],$A61,T_SelfStock_Log[WeekIndex],46))</f>
        <v/>
      </c>
      <c r="AV61" s="19">
        <f>IF(COUNTIFS(T_SelfStock_Log[Part Name],$A61,T_SelfStock_Log[WeekIndex],47)=0,"",SUMIFS(T_SelfStock_Log[Self_Qty],T_SelfStock_Log[Part Name],$A61,T_SelfStock_Log[WeekIndex],47))</f>
        <v/>
      </c>
      <c r="AW61" s="19">
        <f>IF(COUNTIFS(T_SelfStock_Log[Part Name],$A61,T_SelfStock_Log[WeekIndex],48)=0,"",SUMIFS(T_SelfStock_Log[Self_Qty],T_SelfStock_Log[Part Name],$A61,T_SelfStock_Log[WeekIndex],48))</f>
        <v/>
      </c>
      <c r="AX61" s="19">
        <f>IF(COUNTIFS(T_SelfStock_Log[Part Name],$A61,T_SelfStock_Log[WeekIndex],49)=0,"",SUMIFS(T_SelfStock_Log[Self_Qty],T_SelfStock_Log[Part Name],$A61,T_SelfStock_Log[WeekIndex],49))</f>
        <v/>
      </c>
      <c r="AY61" s="19">
        <f>IF(COUNTIFS(T_SelfStock_Log[Part Name],$A61,T_SelfStock_Log[WeekIndex],50)=0,"",SUMIFS(T_SelfStock_Log[Self_Qty],T_SelfStock_Log[Part Name],$A61,T_SelfStock_Log[WeekIndex],50))</f>
        <v/>
      </c>
      <c r="AZ61" s="19">
        <f>IF(COUNTIFS(T_SelfStock_Log[Part Name],$A61,T_SelfStock_Log[WeekIndex],51)=0,"",SUMIFS(T_SelfStock_Log[Self_Qty],T_SelfStock_Log[Part Name],$A61,T_SelfStock_Log[WeekIndex],51))</f>
        <v/>
      </c>
      <c r="BA61" s="19">
        <f>IF(COUNTIFS(T_SelfStock_Log[Part Name],$A61,T_SelfStock_Log[WeekIndex],52)=0,"",SUMIFS(T_SelfStock_Log[Self_Qty],T_SelfStock_Log[Part Name],$A61,T_SelfStock_Log[WeekIndex],52))</f>
        <v/>
      </c>
      <c r="BB61" s="19">
        <f>IF(COUNTIFS(T_SelfStock_Log[Part Name],$A61,T_SelfStock_Log[WeekIndex],53)=0,"",SUMIFS(T_SelfStock_Log[Self_Qty],T_SelfStock_Log[Part Name],$A61,T_SelfStock_Log[WeekIndex],53))</f>
        <v/>
      </c>
      <c r="BC61" s="19">
        <f>IF(COUNTIFS(T_SelfStock_Log[Part Name],$A61,T_SelfStock_Log[WeekIndex],54)=0,"",SUMIFS(T_SelfStock_Log[Self_Qty],T_SelfStock_Log[Part Name],$A61,T_SelfStock_Log[WeekIndex],54))</f>
        <v/>
      </c>
      <c r="BD61" s="19">
        <f>IF(COUNTIFS(T_SelfStock_Log[Part Name],$A61,T_SelfStock_Log[WeekIndex],55)=0,"",SUMIFS(T_SelfStock_Log[Self_Qty],T_SelfStock_Log[Part Name],$A61,T_SelfStock_Log[WeekIndex],55))</f>
        <v/>
      </c>
      <c r="BE61" s="19">
        <f>IF(COUNTIFS(T_SelfStock_Log[Part Name],$A61,T_SelfStock_Log[WeekIndex],56)=0,"",SUMIFS(T_SelfStock_Log[Self_Qty],T_SelfStock_Log[Part Name],$A61,T_SelfStock_Log[WeekIndex],56))</f>
        <v/>
      </c>
      <c r="BF61" s="19">
        <f>IF(COUNTIFS(T_SelfStock_Log[Part Name],$A61,T_SelfStock_Log[WeekIndex],57)=0,"",SUMIFS(T_SelfStock_Log[Self_Qty],T_SelfStock_Log[Part Name],$A61,T_SelfStock_Log[WeekIndex],57))</f>
        <v/>
      </c>
      <c r="BG61" s="19">
        <f>IF(COUNTIFS(T_SelfStock_Log[Part Name],$A61,T_SelfStock_Log[WeekIndex],58)=0,"",SUMIFS(T_SelfStock_Log[Self_Qty],T_SelfStock_Log[Part Name],$A61,T_SelfStock_Log[WeekIndex],58))</f>
        <v/>
      </c>
      <c r="BH61" s="19">
        <f>IF(COUNTIFS(T_SelfStock_Log[Part Name],$A61,T_SelfStock_Log[WeekIndex],59)=0,"",SUMIFS(T_SelfStock_Log[Self_Qty],T_SelfStock_Log[Part Name],$A61,T_SelfStock_Log[WeekIndex],59))</f>
        <v/>
      </c>
      <c r="BI61" s="19">
        <f>IF(COUNTIFS(T_SelfStock_Log[Part Name],$A61,T_SelfStock_Log[WeekIndex],60)=0,"",SUMIFS(T_SelfStock_Log[Self_Qty],T_SelfStock_Log[Part Name],$A61,T_SelfStock_Log[WeekIndex],60))</f>
        <v/>
      </c>
      <c r="BJ61" s="19">
        <f>IF(COUNTIFS(T_SelfStock_Log[Part Name],$A61,T_SelfStock_Log[WeekIndex],61)=0,"",SUMIFS(T_SelfStock_Log[Self_Qty],T_SelfStock_Log[Part Name],$A61,T_SelfStock_Log[WeekIndex],61))</f>
        <v/>
      </c>
      <c r="BK61" s="19">
        <f>IF(COUNTIFS(T_SelfStock_Log[Part Name],$A61,T_SelfStock_Log[WeekIndex],62)=0,"",SUMIFS(T_SelfStock_Log[Self_Qty],T_SelfStock_Log[Part Name],$A61,T_SelfStock_Log[WeekIndex],62))</f>
        <v/>
      </c>
      <c r="BL61" s="19">
        <f>IF(COUNTIFS(T_SelfStock_Log[Part Name],$A61,T_SelfStock_Log[WeekIndex],63)=0,"",SUMIFS(T_SelfStock_Log[Self_Qty],T_SelfStock_Log[Part Name],$A61,T_SelfStock_Log[WeekIndex],63))</f>
        <v/>
      </c>
      <c r="BM61" s="19">
        <f>IF(COUNTIFS(T_SelfStock_Log[Part Name],$A61,T_SelfStock_Log[WeekIndex],64)=0,"",SUMIFS(T_SelfStock_Log[Self_Qty],T_SelfStock_Log[Part Name],$A61,T_SelfStock_Log[WeekIndex],64))</f>
        <v/>
      </c>
      <c r="BN61" s="19">
        <f>IF(COUNTIFS(T_SelfStock_Log[Part Name],$A61,T_SelfStock_Log[WeekIndex],65)=0,"",SUMIFS(T_SelfStock_Log[Self_Qty],T_SelfStock_Log[Part Name],$A61,T_SelfStock_Log[WeekIndex],65))</f>
        <v/>
      </c>
      <c r="BO61" s="19">
        <f>IF(COUNTIFS(T_SelfStock_Log[Part Name],$A61,T_SelfStock_Log[WeekIndex],66)=0,"",SUMIFS(T_SelfStock_Log[Self_Qty],T_SelfStock_Log[Part Name],$A61,T_SelfStock_Log[WeekIndex],66))</f>
        <v/>
      </c>
      <c r="BP61" s="19">
        <f>IF(COUNTIFS(T_SelfStock_Log[Part Name],$A61,T_SelfStock_Log[WeekIndex],67)=0,"",SUMIFS(T_SelfStock_Log[Self_Qty],T_SelfStock_Log[Part Name],$A61,T_SelfStock_Log[WeekIndex],67))</f>
        <v/>
      </c>
      <c r="BQ61" s="19">
        <f>IF(COUNTIFS(T_SelfStock_Log[Part Name],$A61,T_SelfStock_Log[WeekIndex],68)=0,"",SUMIFS(T_SelfStock_Log[Self_Qty],T_SelfStock_Log[Part Name],$A61,T_SelfStock_Log[WeekIndex],68))</f>
        <v/>
      </c>
      <c r="BR61" s="19">
        <f>IF(COUNTIFS(T_SelfStock_Log[Part Name],$A61,T_SelfStock_Log[WeekIndex],69)=0,"",SUMIFS(T_SelfStock_Log[Self_Qty],T_SelfStock_Log[Part Name],$A61,T_SelfStock_Log[WeekIndex],69))</f>
        <v/>
      </c>
      <c r="BS61" s="19">
        <f>IF(COUNTIFS(T_SelfStock_Log[Part Name],$A61,T_SelfStock_Log[WeekIndex],70)=0,"",SUMIFS(T_SelfStock_Log[Self_Qty],T_SelfStock_Log[Part Name],$A61,T_SelfStock_Log[WeekIndex],70))</f>
        <v/>
      </c>
      <c r="BT61" s="19">
        <f>IF(COUNTIFS(T_SelfStock_Log[Part Name],$A61,T_SelfStock_Log[WeekIndex],71)=0,"",SUMIFS(T_SelfStock_Log[Self_Qty],T_SelfStock_Log[Part Name],$A61,T_SelfStock_Log[WeekIndex],71))</f>
        <v/>
      </c>
      <c r="BU61" s="19">
        <f>IF(COUNTIFS(T_SelfStock_Log[Part Name],$A61,T_SelfStock_Log[WeekIndex],72)=0,"",SUMIFS(T_SelfStock_Log[Self_Qty],T_SelfStock_Log[Part Name],$A61,T_SelfStock_Log[WeekIndex],72))</f>
        <v/>
      </c>
      <c r="BV61" s="19">
        <f>IF(COUNTIFS(T_SelfStock_Log[Part Name],$A61,T_SelfStock_Log[WeekIndex],73)=0,"",SUMIFS(T_SelfStock_Log[Self_Qty],T_SelfStock_Log[Part Name],$A61,T_SelfStock_Log[WeekIndex],73))</f>
        <v/>
      </c>
      <c r="BW61" s="19">
        <f>IF(COUNTIFS(T_SelfStock_Log[Part Name],$A61,T_SelfStock_Log[WeekIndex],74)=0,"",SUMIFS(T_SelfStock_Log[Self_Qty],T_SelfStock_Log[Part Name],$A61,T_SelfStock_Log[WeekIndex],74))</f>
        <v/>
      </c>
      <c r="BX61" s="19">
        <f>IF(COUNTIFS(T_SelfStock_Log[Part Name],$A61,T_SelfStock_Log[WeekIndex],75)=0,"",SUMIFS(T_SelfStock_Log[Self_Qty],T_SelfStock_Log[Part Name],$A61,T_SelfStock_Log[WeekIndex],75))</f>
        <v/>
      </c>
      <c r="BY61" s="19">
        <f>IF(COUNTIFS(T_SelfStock_Log[Part Name],$A61,T_SelfStock_Log[WeekIndex],76)=0,"",SUMIFS(T_SelfStock_Log[Self_Qty],T_SelfStock_Log[Part Name],$A61,T_SelfStock_Log[WeekIndex],76))</f>
        <v/>
      </c>
      <c r="BZ61" s="19">
        <f>IF(COUNTIFS(T_SelfStock_Log[Part Name],$A61,T_SelfStock_Log[WeekIndex],77)=0,"",SUMIFS(T_SelfStock_Log[Self_Qty],T_SelfStock_Log[Part Name],$A61,T_SelfStock_Log[WeekIndex],77))</f>
        <v/>
      </c>
      <c r="CA61" s="19">
        <f>IF(COUNTIFS(T_SelfStock_Log[Part Name],$A61,T_SelfStock_Log[WeekIndex],78)=0,"",SUMIFS(T_SelfStock_Log[Self_Qty],T_SelfStock_Log[Part Name],$A61,T_SelfStock_Log[WeekIndex],78))</f>
        <v/>
      </c>
      <c r="CB61" s="19">
        <f>IF(COUNTIFS(T_SelfStock_Log[Part Name],$A61,T_SelfStock_Log[WeekIndex],79)=0,"",SUMIFS(T_SelfStock_Log[Self_Qty],T_SelfStock_Log[Part Name],$A61,T_SelfStock_Log[WeekIndex],79))</f>
        <v/>
      </c>
      <c r="CC61" s="19">
        <f>IF(COUNTIFS(T_SelfStock_Log[Part Name],$A61,T_SelfStock_Log[WeekIndex],80)=0,"",SUMIFS(T_SelfStock_Log[Self_Qty],T_SelfStock_Log[Part Name],$A61,T_SelfStock_Log[WeekIndex],80))</f>
        <v/>
      </c>
      <c r="CD61" s="19">
        <f>IF(COUNTIFS(T_SelfStock_Log[Part Name],$A61,T_SelfStock_Log[WeekIndex],81)=0,"",SUMIFS(T_SelfStock_Log[Self_Qty],T_SelfStock_Log[Part Name],$A61,T_SelfStock_Log[WeekIndex],81))</f>
        <v/>
      </c>
      <c r="CE61" s="19">
        <f>IF(COUNTIFS(T_SelfStock_Log[Part Name],$A61,T_SelfStock_Log[WeekIndex],82)=0,"",SUMIFS(T_SelfStock_Log[Self_Qty],T_SelfStock_Log[Part Name],$A61,T_SelfStock_Log[WeekIndex],82))</f>
        <v/>
      </c>
      <c r="CF61" s="19">
        <f>IF(COUNTIFS(T_SelfStock_Log[Part Name],$A61,T_SelfStock_Log[WeekIndex],83)=0,"",SUMIFS(T_SelfStock_Log[Self_Qty],T_SelfStock_Log[Part Name],$A61,T_SelfStock_Log[WeekIndex],83))</f>
        <v/>
      </c>
      <c r="CG61" s="19">
        <f>IF(COUNTIFS(T_SelfStock_Log[Part Name],$A61,T_SelfStock_Log[WeekIndex],84)=0,"",SUMIFS(T_SelfStock_Log[Self_Qty],T_SelfStock_Log[Part Name],$A61,T_SelfStock_Log[WeekIndex],84))</f>
        <v/>
      </c>
      <c r="CH61" s="19">
        <f>IF(COUNTIFS(T_SelfStock_Log[Part Name],$A61,T_SelfStock_Log[WeekIndex],85)=0,"",SUMIFS(T_SelfStock_Log[Self_Qty],T_SelfStock_Log[Part Name],$A61,T_SelfStock_Log[WeekIndex],85))</f>
        <v/>
      </c>
      <c r="CI61" s="19">
        <f>IF(COUNTIFS(T_SelfStock_Log[Part Name],$A61,T_SelfStock_Log[WeekIndex],86)=0,"",SUMIFS(T_SelfStock_Log[Self_Qty],T_SelfStock_Log[Part Name],$A61,T_SelfStock_Log[WeekIndex],86))</f>
        <v/>
      </c>
      <c r="CJ61" s="19">
        <f>IF(COUNTIFS(T_SelfStock_Log[Part Name],$A61,T_SelfStock_Log[WeekIndex],87)=0,"",SUMIFS(T_SelfStock_Log[Self_Qty],T_SelfStock_Log[Part Name],$A61,T_SelfStock_Log[WeekIndex],87))</f>
        <v/>
      </c>
      <c r="CK61" s="19">
        <f>IF(COUNTIFS(T_SelfStock_Log[Part Name],$A61,T_SelfStock_Log[WeekIndex],88)=0,"",SUMIFS(T_SelfStock_Log[Self_Qty],T_SelfStock_Log[Part Name],$A61,T_SelfStock_Log[WeekIndex],88))</f>
        <v/>
      </c>
      <c r="CL61" s="19">
        <f>IF(COUNTIFS(T_SelfStock_Log[Part Name],$A61,T_SelfStock_Log[WeekIndex],89)=0,"",SUMIFS(T_SelfStock_Log[Self_Qty],T_SelfStock_Log[Part Name],$A61,T_SelfStock_Log[WeekIndex],89))</f>
        <v/>
      </c>
      <c r="CM61" s="19">
        <f>IF(COUNTIFS(T_SelfStock_Log[Part Name],$A61,T_SelfStock_Log[WeekIndex],90)=0,"",SUMIFS(T_SelfStock_Log[Self_Qty],T_SelfStock_Log[Part Name],$A61,T_SelfStock_Log[WeekIndex],90))</f>
        <v/>
      </c>
      <c r="CN61" s="19">
        <f>IF(COUNTIFS(T_SelfStock_Log[Part Name],$A61,T_SelfStock_Log[WeekIndex],91)=0,"",SUMIFS(T_SelfStock_Log[Self_Qty],T_SelfStock_Log[Part Name],$A61,T_SelfStock_Log[WeekIndex],91))</f>
        <v/>
      </c>
      <c r="CO61" s="19">
        <f>IF(COUNTIFS(T_SelfStock_Log[Part Name],$A61,T_SelfStock_Log[WeekIndex],92)=0,"",SUMIFS(T_SelfStock_Log[Self_Qty],T_SelfStock_Log[Part Name],$A61,T_SelfStock_Log[WeekIndex],92))</f>
        <v/>
      </c>
      <c r="CP61" s="19">
        <f>IF(COUNTIFS(T_SelfStock_Log[Part Name],$A61,T_SelfStock_Log[WeekIndex],93)=0,"",SUMIFS(T_SelfStock_Log[Self_Qty],T_SelfStock_Log[Part Name],$A61,T_SelfStock_Log[WeekIndex],93))</f>
        <v/>
      </c>
      <c r="CQ61" s="19">
        <f>IF(COUNTIFS(T_SelfStock_Log[Part Name],$A61,T_SelfStock_Log[WeekIndex],94)=0,"",SUMIFS(T_SelfStock_Log[Self_Qty],T_SelfStock_Log[Part Name],$A61,T_SelfStock_Log[WeekIndex],94))</f>
        <v/>
      </c>
      <c r="CR61" s="19">
        <f>IF(COUNTIFS(T_SelfStock_Log[Part Name],$A61,T_SelfStock_Log[WeekIndex],95)=0,"",SUMIFS(T_SelfStock_Log[Self_Qty],T_SelfStock_Log[Part Name],$A61,T_SelfStock_Log[WeekIndex],95))</f>
        <v/>
      </c>
      <c r="CS61" s="19">
        <f>IF(COUNTIFS(T_SelfStock_Log[Part Name],$A61,T_SelfStock_Log[WeekIndex],96)=0,"",SUMIFS(T_SelfStock_Log[Self_Qty],T_SelfStock_Log[Part Name],$A61,T_SelfStock_Log[WeekIndex],96))</f>
        <v/>
      </c>
      <c r="CT61" s="19">
        <f>IF(COUNTIFS(T_SelfStock_Log[Part Name],$A61,T_SelfStock_Log[WeekIndex],97)=0,"",SUMIFS(T_SelfStock_Log[Self_Qty],T_SelfStock_Log[Part Name],$A61,T_SelfStock_Log[WeekIndex],97))</f>
        <v/>
      </c>
      <c r="CU61" s="19">
        <f>IF(COUNTIFS(T_SelfStock_Log[Part Name],$A61,T_SelfStock_Log[WeekIndex],98)=0,"",SUMIFS(T_SelfStock_Log[Self_Qty],T_SelfStock_Log[Part Name],$A61,T_SelfStock_Log[WeekIndex],98))</f>
        <v/>
      </c>
      <c r="CV61" s="19">
        <f>IF(COUNTIFS(T_SelfStock_Log[Part Name],$A61,T_SelfStock_Log[WeekIndex],99)=0,"",SUMIFS(T_SelfStock_Log[Self_Qty],T_SelfStock_Log[Part Name],$A61,T_SelfStock_Log[WeekIndex],99))</f>
        <v/>
      </c>
      <c r="CW61" s="19">
        <f>IF(COUNTIFS(T_SelfStock_Log[Part Name],$A61,T_SelfStock_Log[WeekIndex],100)=0,"",SUMIFS(T_SelfStock_Log[Self_Qty],T_SelfStock_Log[Part Name],$A61,T_SelfStock_Log[WeekIndex],100))</f>
        <v/>
      </c>
      <c r="CX61" s="19">
        <f>IF(COUNTIFS(T_SelfStock_Log[Part Name],$A61,T_SelfStock_Log[WeekIndex],101)=0,"",SUMIFS(T_SelfStock_Log[Self_Qty],T_SelfStock_Log[Part Name],$A61,T_SelfStock_Log[WeekIndex],101))</f>
        <v/>
      </c>
      <c r="CY61" s="19">
        <f>IF(COUNTIFS(T_SelfStock_Log[Part Name],$A61,T_SelfStock_Log[WeekIndex],102)=0,"",SUMIFS(T_SelfStock_Log[Self_Qty],T_SelfStock_Log[Part Name],$A61,T_SelfStock_Log[WeekIndex],102))</f>
        <v/>
      </c>
      <c r="CZ61" s="19">
        <f>IF(COUNTIFS(T_SelfStock_Log[Part Name],$A61,T_SelfStock_Log[WeekIndex],103)=0,"",SUMIFS(T_SelfStock_Log[Self_Qty],T_SelfStock_Log[Part Name],$A61,T_SelfStock_Log[WeekIndex],103))</f>
        <v/>
      </c>
      <c r="DA61" s="19">
        <f>IF(COUNTIFS(T_SelfStock_Log[Part Name],$A61,T_SelfStock_Log[WeekIndex],104)=0,"",SUMIFS(T_SelfStock_Log[Self_Qty],T_SelfStock_Log[Part Name],$A61,T_SelfStock_Log[WeekIndex],104))</f>
        <v/>
      </c>
    </row>
  </sheetData>
  <conditionalFormatting sqref="B5:DA61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A6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5" t="inlineStr">
        <is>
          <t>選択週を入力（例: W23。現在年の週Noで検索します）</t>
        </is>
      </c>
      <c r="C1" s="10" t="inlineStr"/>
      <c r="D1" s="11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12" t="inlineStr">
        <is>
          <t>→WeekIndex</t>
        </is>
      </c>
      <c r="F1" s="12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13" t="n"/>
      <c r="B2" s="13">
        <f>'Cal_Weeks'!G4</f>
        <v/>
      </c>
      <c r="C2" s="13">
        <f>IF(TEXT('Cal_Weeks'!B5,"mmm-yy")&lt;&gt;TEXT('Cal_Weeks'!B4,"mmm-yy"),'Cal_Weeks'!G5,"")</f>
        <v/>
      </c>
      <c r="D2" s="13">
        <f>IF(TEXT('Cal_Weeks'!B6,"mmm-yy")&lt;&gt;TEXT('Cal_Weeks'!B5,"mmm-yy"),'Cal_Weeks'!G6,"")</f>
        <v/>
      </c>
      <c r="E2" s="13">
        <f>IF(TEXT('Cal_Weeks'!B7,"mmm-yy")&lt;&gt;TEXT('Cal_Weeks'!B6,"mmm-yy"),'Cal_Weeks'!G7,"")</f>
        <v/>
      </c>
      <c r="F2" s="13">
        <f>IF(TEXT('Cal_Weeks'!B8,"mmm-yy")&lt;&gt;TEXT('Cal_Weeks'!B7,"mmm-yy"),'Cal_Weeks'!G8,"")</f>
        <v/>
      </c>
      <c r="G2" s="13">
        <f>IF(TEXT('Cal_Weeks'!B9,"mmm-yy")&lt;&gt;TEXT('Cal_Weeks'!B8,"mmm-yy"),'Cal_Weeks'!G9,"")</f>
        <v/>
      </c>
      <c r="H2" s="13">
        <f>IF(TEXT('Cal_Weeks'!B10,"mmm-yy")&lt;&gt;TEXT('Cal_Weeks'!B9,"mmm-yy"),'Cal_Weeks'!G10,"")</f>
        <v/>
      </c>
      <c r="I2" s="13">
        <f>IF(TEXT('Cal_Weeks'!B11,"mmm-yy")&lt;&gt;TEXT('Cal_Weeks'!B10,"mmm-yy"),'Cal_Weeks'!G11,"")</f>
        <v/>
      </c>
      <c r="J2" s="13">
        <f>IF(TEXT('Cal_Weeks'!B12,"mmm-yy")&lt;&gt;TEXT('Cal_Weeks'!B11,"mmm-yy"),'Cal_Weeks'!G12,"")</f>
        <v/>
      </c>
      <c r="K2" s="13">
        <f>IF(TEXT('Cal_Weeks'!B13,"mmm-yy")&lt;&gt;TEXT('Cal_Weeks'!B12,"mmm-yy"),'Cal_Weeks'!G13,"")</f>
        <v/>
      </c>
      <c r="L2" s="13">
        <f>IF(TEXT('Cal_Weeks'!B14,"mmm-yy")&lt;&gt;TEXT('Cal_Weeks'!B13,"mmm-yy"),'Cal_Weeks'!G14,"")</f>
        <v/>
      </c>
      <c r="M2" s="13">
        <f>IF(TEXT('Cal_Weeks'!B15,"mmm-yy")&lt;&gt;TEXT('Cal_Weeks'!B14,"mmm-yy"),'Cal_Weeks'!G15,"")</f>
        <v/>
      </c>
      <c r="N2" s="13">
        <f>IF(TEXT('Cal_Weeks'!B16,"mmm-yy")&lt;&gt;TEXT('Cal_Weeks'!B15,"mmm-yy"),'Cal_Weeks'!G16,"")</f>
        <v/>
      </c>
      <c r="O2" s="13">
        <f>IF(TEXT('Cal_Weeks'!B17,"mmm-yy")&lt;&gt;TEXT('Cal_Weeks'!B16,"mmm-yy"),'Cal_Weeks'!G17,"")</f>
        <v/>
      </c>
      <c r="P2" s="13">
        <f>IF(TEXT('Cal_Weeks'!B18,"mmm-yy")&lt;&gt;TEXT('Cal_Weeks'!B17,"mmm-yy"),'Cal_Weeks'!G18,"")</f>
        <v/>
      </c>
      <c r="Q2" s="13">
        <f>IF(TEXT('Cal_Weeks'!B19,"mmm-yy")&lt;&gt;TEXT('Cal_Weeks'!B18,"mmm-yy"),'Cal_Weeks'!G19,"")</f>
        <v/>
      </c>
      <c r="R2" s="13">
        <f>IF(TEXT('Cal_Weeks'!B20,"mmm-yy")&lt;&gt;TEXT('Cal_Weeks'!B19,"mmm-yy"),'Cal_Weeks'!G20,"")</f>
        <v/>
      </c>
      <c r="S2" s="13">
        <f>IF(TEXT('Cal_Weeks'!B21,"mmm-yy")&lt;&gt;TEXT('Cal_Weeks'!B20,"mmm-yy"),'Cal_Weeks'!G21,"")</f>
        <v/>
      </c>
      <c r="T2" s="13">
        <f>IF(TEXT('Cal_Weeks'!B22,"mmm-yy")&lt;&gt;TEXT('Cal_Weeks'!B21,"mmm-yy"),'Cal_Weeks'!G22,"")</f>
        <v/>
      </c>
      <c r="U2" s="13">
        <f>IF(TEXT('Cal_Weeks'!B23,"mmm-yy")&lt;&gt;TEXT('Cal_Weeks'!B22,"mmm-yy"),'Cal_Weeks'!G23,"")</f>
        <v/>
      </c>
      <c r="V2" s="13">
        <f>IF(TEXT('Cal_Weeks'!B24,"mmm-yy")&lt;&gt;TEXT('Cal_Weeks'!B23,"mmm-yy"),'Cal_Weeks'!G24,"")</f>
        <v/>
      </c>
      <c r="W2" s="13">
        <f>IF(TEXT('Cal_Weeks'!B25,"mmm-yy")&lt;&gt;TEXT('Cal_Weeks'!B24,"mmm-yy"),'Cal_Weeks'!G25,"")</f>
        <v/>
      </c>
      <c r="X2" s="13">
        <f>IF(TEXT('Cal_Weeks'!B26,"mmm-yy")&lt;&gt;TEXT('Cal_Weeks'!B25,"mmm-yy"),'Cal_Weeks'!G26,"")</f>
        <v/>
      </c>
      <c r="Y2" s="13">
        <f>IF(TEXT('Cal_Weeks'!B27,"mmm-yy")&lt;&gt;TEXT('Cal_Weeks'!B26,"mmm-yy"),'Cal_Weeks'!G27,"")</f>
        <v/>
      </c>
      <c r="Z2" s="13">
        <f>IF(TEXT('Cal_Weeks'!B28,"mmm-yy")&lt;&gt;TEXT('Cal_Weeks'!B27,"mmm-yy"),'Cal_Weeks'!G28,"")</f>
        <v/>
      </c>
      <c r="AA2" s="13">
        <f>IF(TEXT('Cal_Weeks'!B29,"mmm-yy")&lt;&gt;TEXT('Cal_Weeks'!B28,"mmm-yy"),'Cal_Weeks'!G29,"")</f>
        <v/>
      </c>
      <c r="AB2" s="13">
        <f>IF(TEXT('Cal_Weeks'!B30,"mmm-yy")&lt;&gt;TEXT('Cal_Weeks'!B29,"mmm-yy"),'Cal_Weeks'!G30,"")</f>
        <v/>
      </c>
      <c r="AC2" s="13">
        <f>IF(TEXT('Cal_Weeks'!B31,"mmm-yy")&lt;&gt;TEXT('Cal_Weeks'!B30,"mmm-yy"),'Cal_Weeks'!G31,"")</f>
        <v/>
      </c>
      <c r="AD2" s="13">
        <f>IF(TEXT('Cal_Weeks'!B32,"mmm-yy")&lt;&gt;TEXT('Cal_Weeks'!B31,"mmm-yy"),'Cal_Weeks'!G32,"")</f>
        <v/>
      </c>
      <c r="AE2" s="13">
        <f>IF(TEXT('Cal_Weeks'!B33,"mmm-yy")&lt;&gt;TEXT('Cal_Weeks'!B32,"mmm-yy"),'Cal_Weeks'!G33,"")</f>
        <v/>
      </c>
      <c r="AF2" s="13">
        <f>IF(TEXT('Cal_Weeks'!B34,"mmm-yy")&lt;&gt;TEXT('Cal_Weeks'!B33,"mmm-yy"),'Cal_Weeks'!G34,"")</f>
        <v/>
      </c>
      <c r="AG2" s="13">
        <f>IF(TEXT('Cal_Weeks'!B35,"mmm-yy")&lt;&gt;TEXT('Cal_Weeks'!B34,"mmm-yy"),'Cal_Weeks'!G35,"")</f>
        <v/>
      </c>
      <c r="AH2" s="13">
        <f>IF(TEXT('Cal_Weeks'!B36,"mmm-yy")&lt;&gt;TEXT('Cal_Weeks'!B35,"mmm-yy"),'Cal_Weeks'!G36,"")</f>
        <v/>
      </c>
      <c r="AI2" s="13">
        <f>IF(TEXT('Cal_Weeks'!B37,"mmm-yy")&lt;&gt;TEXT('Cal_Weeks'!B36,"mmm-yy"),'Cal_Weeks'!G37,"")</f>
        <v/>
      </c>
      <c r="AJ2" s="13">
        <f>IF(TEXT('Cal_Weeks'!B38,"mmm-yy")&lt;&gt;TEXT('Cal_Weeks'!B37,"mmm-yy"),'Cal_Weeks'!G38,"")</f>
        <v/>
      </c>
      <c r="AK2" s="13">
        <f>IF(TEXT('Cal_Weeks'!B39,"mmm-yy")&lt;&gt;TEXT('Cal_Weeks'!B38,"mmm-yy"),'Cal_Weeks'!G39,"")</f>
        <v/>
      </c>
      <c r="AL2" s="13">
        <f>IF(TEXT('Cal_Weeks'!B40,"mmm-yy")&lt;&gt;TEXT('Cal_Weeks'!B39,"mmm-yy"),'Cal_Weeks'!G40,"")</f>
        <v/>
      </c>
      <c r="AM2" s="13">
        <f>IF(TEXT('Cal_Weeks'!B41,"mmm-yy")&lt;&gt;TEXT('Cal_Weeks'!B40,"mmm-yy"),'Cal_Weeks'!G41,"")</f>
        <v/>
      </c>
      <c r="AN2" s="13">
        <f>IF(TEXT('Cal_Weeks'!B42,"mmm-yy")&lt;&gt;TEXT('Cal_Weeks'!B41,"mmm-yy"),'Cal_Weeks'!G42,"")</f>
        <v/>
      </c>
      <c r="AO2" s="13">
        <f>IF(TEXT('Cal_Weeks'!B43,"mmm-yy")&lt;&gt;TEXT('Cal_Weeks'!B42,"mmm-yy"),'Cal_Weeks'!G43,"")</f>
        <v/>
      </c>
      <c r="AP2" s="13">
        <f>IF(TEXT('Cal_Weeks'!B44,"mmm-yy")&lt;&gt;TEXT('Cal_Weeks'!B43,"mmm-yy"),'Cal_Weeks'!G44,"")</f>
        <v/>
      </c>
      <c r="AQ2" s="13">
        <f>IF(TEXT('Cal_Weeks'!B45,"mmm-yy")&lt;&gt;TEXT('Cal_Weeks'!B44,"mmm-yy"),'Cal_Weeks'!G45,"")</f>
        <v/>
      </c>
      <c r="AR2" s="13">
        <f>IF(TEXT('Cal_Weeks'!B46,"mmm-yy")&lt;&gt;TEXT('Cal_Weeks'!B45,"mmm-yy"),'Cal_Weeks'!G46,"")</f>
        <v/>
      </c>
      <c r="AS2" s="13">
        <f>IF(TEXT('Cal_Weeks'!B47,"mmm-yy")&lt;&gt;TEXT('Cal_Weeks'!B46,"mmm-yy"),'Cal_Weeks'!G47,"")</f>
        <v/>
      </c>
      <c r="AT2" s="13">
        <f>IF(TEXT('Cal_Weeks'!B48,"mmm-yy")&lt;&gt;TEXT('Cal_Weeks'!B47,"mmm-yy"),'Cal_Weeks'!G48,"")</f>
        <v/>
      </c>
      <c r="AU2" s="13">
        <f>IF(TEXT('Cal_Weeks'!B49,"mmm-yy")&lt;&gt;TEXT('Cal_Weeks'!B48,"mmm-yy"),'Cal_Weeks'!G49,"")</f>
        <v/>
      </c>
      <c r="AV2" s="13">
        <f>IF(TEXT('Cal_Weeks'!B50,"mmm-yy")&lt;&gt;TEXT('Cal_Weeks'!B49,"mmm-yy"),'Cal_Weeks'!G50,"")</f>
        <v/>
      </c>
      <c r="AW2" s="13">
        <f>IF(TEXT('Cal_Weeks'!B51,"mmm-yy")&lt;&gt;TEXT('Cal_Weeks'!B50,"mmm-yy"),'Cal_Weeks'!G51,"")</f>
        <v/>
      </c>
      <c r="AX2" s="13">
        <f>IF(TEXT('Cal_Weeks'!B52,"mmm-yy")&lt;&gt;TEXT('Cal_Weeks'!B51,"mmm-yy"),'Cal_Weeks'!G52,"")</f>
        <v/>
      </c>
      <c r="AY2" s="13">
        <f>IF(TEXT('Cal_Weeks'!B53,"mmm-yy")&lt;&gt;TEXT('Cal_Weeks'!B52,"mmm-yy"),'Cal_Weeks'!G53,"")</f>
        <v/>
      </c>
      <c r="AZ2" s="13">
        <f>IF(TEXT('Cal_Weeks'!B54,"mmm-yy")&lt;&gt;TEXT('Cal_Weeks'!B53,"mmm-yy"),'Cal_Weeks'!G54,"")</f>
        <v/>
      </c>
      <c r="BA2" s="13">
        <f>IF(TEXT('Cal_Weeks'!B55,"mmm-yy")&lt;&gt;TEXT('Cal_Weeks'!B54,"mmm-yy"),'Cal_Weeks'!G55,"")</f>
        <v/>
      </c>
      <c r="BB2" s="13">
        <f>IF(TEXT('Cal_Weeks'!B56,"mmm-yy")&lt;&gt;TEXT('Cal_Weeks'!B55,"mmm-yy"),'Cal_Weeks'!G56,"")</f>
        <v/>
      </c>
      <c r="BC2" s="13">
        <f>IF(TEXT('Cal_Weeks'!B57,"mmm-yy")&lt;&gt;TEXT('Cal_Weeks'!B56,"mmm-yy"),'Cal_Weeks'!G57,"")</f>
        <v/>
      </c>
      <c r="BD2" s="13">
        <f>IF(TEXT('Cal_Weeks'!B58,"mmm-yy")&lt;&gt;TEXT('Cal_Weeks'!B57,"mmm-yy"),'Cal_Weeks'!G58,"")</f>
        <v/>
      </c>
      <c r="BE2" s="13">
        <f>IF(TEXT('Cal_Weeks'!B59,"mmm-yy")&lt;&gt;TEXT('Cal_Weeks'!B58,"mmm-yy"),'Cal_Weeks'!G59,"")</f>
        <v/>
      </c>
      <c r="BF2" s="13">
        <f>IF(TEXT('Cal_Weeks'!B60,"mmm-yy")&lt;&gt;TEXT('Cal_Weeks'!B59,"mmm-yy"),'Cal_Weeks'!G60,"")</f>
        <v/>
      </c>
      <c r="BG2" s="13">
        <f>IF(TEXT('Cal_Weeks'!B61,"mmm-yy")&lt;&gt;TEXT('Cal_Weeks'!B60,"mmm-yy"),'Cal_Weeks'!G61,"")</f>
        <v/>
      </c>
      <c r="BH2" s="13">
        <f>IF(TEXT('Cal_Weeks'!B62,"mmm-yy")&lt;&gt;TEXT('Cal_Weeks'!B61,"mmm-yy"),'Cal_Weeks'!G62,"")</f>
        <v/>
      </c>
      <c r="BI2" s="13">
        <f>IF(TEXT('Cal_Weeks'!B63,"mmm-yy")&lt;&gt;TEXT('Cal_Weeks'!B62,"mmm-yy"),'Cal_Weeks'!G63,"")</f>
        <v/>
      </c>
      <c r="BJ2" s="13">
        <f>IF(TEXT('Cal_Weeks'!B64,"mmm-yy")&lt;&gt;TEXT('Cal_Weeks'!B63,"mmm-yy"),'Cal_Weeks'!G64,"")</f>
        <v/>
      </c>
      <c r="BK2" s="13">
        <f>IF(TEXT('Cal_Weeks'!B65,"mmm-yy")&lt;&gt;TEXT('Cal_Weeks'!B64,"mmm-yy"),'Cal_Weeks'!G65,"")</f>
        <v/>
      </c>
      <c r="BL2" s="13">
        <f>IF(TEXT('Cal_Weeks'!B66,"mmm-yy")&lt;&gt;TEXT('Cal_Weeks'!B65,"mmm-yy"),'Cal_Weeks'!G66,"")</f>
        <v/>
      </c>
      <c r="BM2" s="13">
        <f>IF(TEXT('Cal_Weeks'!B67,"mmm-yy")&lt;&gt;TEXT('Cal_Weeks'!B66,"mmm-yy"),'Cal_Weeks'!G67,"")</f>
        <v/>
      </c>
      <c r="BN2" s="13">
        <f>IF(TEXT('Cal_Weeks'!B68,"mmm-yy")&lt;&gt;TEXT('Cal_Weeks'!B67,"mmm-yy"),'Cal_Weeks'!G68,"")</f>
        <v/>
      </c>
      <c r="BO2" s="13">
        <f>IF(TEXT('Cal_Weeks'!B69,"mmm-yy")&lt;&gt;TEXT('Cal_Weeks'!B68,"mmm-yy"),'Cal_Weeks'!G69,"")</f>
        <v/>
      </c>
      <c r="BP2" s="13">
        <f>IF(TEXT('Cal_Weeks'!B70,"mmm-yy")&lt;&gt;TEXT('Cal_Weeks'!B69,"mmm-yy"),'Cal_Weeks'!G70,"")</f>
        <v/>
      </c>
      <c r="BQ2" s="13">
        <f>IF(TEXT('Cal_Weeks'!B71,"mmm-yy")&lt;&gt;TEXT('Cal_Weeks'!B70,"mmm-yy"),'Cal_Weeks'!G71,"")</f>
        <v/>
      </c>
      <c r="BR2" s="13">
        <f>IF(TEXT('Cal_Weeks'!B72,"mmm-yy")&lt;&gt;TEXT('Cal_Weeks'!B71,"mmm-yy"),'Cal_Weeks'!G72,"")</f>
        <v/>
      </c>
      <c r="BS2" s="13">
        <f>IF(TEXT('Cal_Weeks'!B73,"mmm-yy")&lt;&gt;TEXT('Cal_Weeks'!B72,"mmm-yy"),'Cal_Weeks'!G73,"")</f>
        <v/>
      </c>
      <c r="BT2" s="13">
        <f>IF(TEXT('Cal_Weeks'!B74,"mmm-yy")&lt;&gt;TEXT('Cal_Weeks'!B73,"mmm-yy"),'Cal_Weeks'!G74,"")</f>
        <v/>
      </c>
      <c r="BU2" s="13">
        <f>IF(TEXT('Cal_Weeks'!B75,"mmm-yy")&lt;&gt;TEXT('Cal_Weeks'!B74,"mmm-yy"),'Cal_Weeks'!G75,"")</f>
        <v/>
      </c>
      <c r="BV2" s="13">
        <f>IF(TEXT('Cal_Weeks'!B76,"mmm-yy")&lt;&gt;TEXT('Cal_Weeks'!B75,"mmm-yy"),'Cal_Weeks'!G76,"")</f>
        <v/>
      </c>
      <c r="BW2" s="13">
        <f>IF(TEXT('Cal_Weeks'!B77,"mmm-yy")&lt;&gt;TEXT('Cal_Weeks'!B76,"mmm-yy"),'Cal_Weeks'!G77,"")</f>
        <v/>
      </c>
      <c r="BX2" s="13">
        <f>IF(TEXT('Cal_Weeks'!B78,"mmm-yy")&lt;&gt;TEXT('Cal_Weeks'!B77,"mmm-yy"),'Cal_Weeks'!G78,"")</f>
        <v/>
      </c>
      <c r="BY2" s="13">
        <f>IF(TEXT('Cal_Weeks'!B79,"mmm-yy")&lt;&gt;TEXT('Cal_Weeks'!B78,"mmm-yy"),'Cal_Weeks'!G79,"")</f>
        <v/>
      </c>
      <c r="BZ2" s="13">
        <f>IF(TEXT('Cal_Weeks'!B80,"mmm-yy")&lt;&gt;TEXT('Cal_Weeks'!B79,"mmm-yy"),'Cal_Weeks'!G80,"")</f>
        <v/>
      </c>
      <c r="CA2" s="13">
        <f>IF(TEXT('Cal_Weeks'!B81,"mmm-yy")&lt;&gt;TEXT('Cal_Weeks'!B80,"mmm-yy"),'Cal_Weeks'!G81,"")</f>
        <v/>
      </c>
      <c r="CB2" s="13">
        <f>IF(TEXT('Cal_Weeks'!B82,"mmm-yy")&lt;&gt;TEXT('Cal_Weeks'!B81,"mmm-yy"),'Cal_Weeks'!G82,"")</f>
        <v/>
      </c>
      <c r="CC2" s="13">
        <f>IF(TEXT('Cal_Weeks'!B83,"mmm-yy")&lt;&gt;TEXT('Cal_Weeks'!B82,"mmm-yy"),'Cal_Weeks'!G83,"")</f>
        <v/>
      </c>
      <c r="CD2" s="13">
        <f>IF(TEXT('Cal_Weeks'!B84,"mmm-yy")&lt;&gt;TEXT('Cal_Weeks'!B83,"mmm-yy"),'Cal_Weeks'!G84,"")</f>
        <v/>
      </c>
      <c r="CE2" s="13">
        <f>IF(TEXT('Cal_Weeks'!B85,"mmm-yy")&lt;&gt;TEXT('Cal_Weeks'!B84,"mmm-yy"),'Cal_Weeks'!G85,"")</f>
        <v/>
      </c>
      <c r="CF2" s="13">
        <f>IF(TEXT('Cal_Weeks'!B86,"mmm-yy")&lt;&gt;TEXT('Cal_Weeks'!B85,"mmm-yy"),'Cal_Weeks'!G86,"")</f>
        <v/>
      </c>
      <c r="CG2" s="13">
        <f>IF(TEXT('Cal_Weeks'!B87,"mmm-yy")&lt;&gt;TEXT('Cal_Weeks'!B86,"mmm-yy"),'Cal_Weeks'!G87,"")</f>
        <v/>
      </c>
      <c r="CH2" s="13">
        <f>IF(TEXT('Cal_Weeks'!B88,"mmm-yy")&lt;&gt;TEXT('Cal_Weeks'!B87,"mmm-yy"),'Cal_Weeks'!G88,"")</f>
        <v/>
      </c>
      <c r="CI2" s="13">
        <f>IF(TEXT('Cal_Weeks'!B89,"mmm-yy")&lt;&gt;TEXT('Cal_Weeks'!B88,"mmm-yy"),'Cal_Weeks'!G89,"")</f>
        <v/>
      </c>
      <c r="CJ2" s="13">
        <f>IF(TEXT('Cal_Weeks'!B90,"mmm-yy")&lt;&gt;TEXT('Cal_Weeks'!B89,"mmm-yy"),'Cal_Weeks'!G90,"")</f>
        <v/>
      </c>
      <c r="CK2" s="13">
        <f>IF(TEXT('Cal_Weeks'!B91,"mmm-yy")&lt;&gt;TEXT('Cal_Weeks'!B90,"mmm-yy"),'Cal_Weeks'!G91,"")</f>
        <v/>
      </c>
      <c r="CL2" s="13">
        <f>IF(TEXT('Cal_Weeks'!B92,"mmm-yy")&lt;&gt;TEXT('Cal_Weeks'!B91,"mmm-yy"),'Cal_Weeks'!G92,"")</f>
        <v/>
      </c>
      <c r="CM2" s="13">
        <f>IF(TEXT('Cal_Weeks'!B93,"mmm-yy")&lt;&gt;TEXT('Cal_Weeks'!B92,"mmm-yy"),'Cal_Weeks'!G93,"")</f>
        <v/>
      </c>
      <c r="CN2" s="13">
        <f>IF(TEXT('Cal_Weeks'!B94,"mmm-yy")&lt;&gt;TEXT('Cal_Weeks'!B93,"mmm-yy"),'Cal_Weeks'!G94,"")</f>
        <v/>
      </c>
      <c r="CO2" s="13">
        <f>IF(TEXT('Cal_Weeks'!B95,"mmm-yy")&lt;&gt;TEXT('Cal_Weeks'!B94,"mmm-yy"),'Cal_Weeks'!G95,"")</f>
        <v/>
      </c>
      <c r="CP2" s="13">
        <f>IF(TEXT('Cal_Weeks'!B96,"mmm-yy")&lt;&gt;TEXT('Cal_Weeks'!B95,"mmm-yy"),'Cal_Weeks'!G96,"")</f>
        <v/>
      </c>
      <c r="CQ2" s="13">
        <f>IF(TEXT('Cal_Weeks'!B97,"mmm-yy")&lt;&gt;TEXT('Cal_Weeks'!B96,"mmm-yy"),'Cal_Weeks'!G97,"")</f>
        <v/>
      </c>
      <c r="CR2" s="13">
        <f>IF(TEXT('Cal_Weeks'!B98,"mmm-yy")&lt;&gt;TEXT('Cal_Weeks'!B97,"mmm-yy"),'Cal_Weeks'!G98,"")</f>
        <v/>
      </c>
      <c r="CS2" s="13">
        <f>IF(TEXT('Cal_Weeks'!B99,"mmm-yy")&lt;&gt;TEXT('Cal_Weeks'!B98,"mmm-yy"),'Cal_Weeks'!G99,"")</f>
        <v/>
      </c>
      <c r="CT2" s="13">
        <f>IF(TEXT('Cal_Weeks'!B100,"mmm-yy")&lt;&gt;TEXT('Cal_Weeks'!B99,"mmm-yy"),'Cal_Weeks'!G100,"")</f>
        <v/>
      </c>
      <c r="CU2" s="13">
        <f>IF(TEXT('Cal_Weeks'!B101,"mmm-yy")&lt;&gt;TEXT('Cal_Weeks'!B100,"mmm-yy"),'Cal_Weeks'!G101,"")</f>
        <v/>
      </c>
      <c r="CV2" s="13">
        <f>IF(TEXT('Cal_Weeks'!B102,"mmm-yy")&lt;&gt;TEXT('Cal_Weeks'!B101,"mmm-yy"),'Cal_Weeks'!G102,"")</f>
        <v/>
      </c>
      <c r="CW2" s="13">
        <f>IF(TEXT('Cal_Weeks'!B103,"mmm-yy")&lt;&gt;TEXT('Cal_Weeks'!B102,"mmm-yy"),'Cal_Weeks'!G103,"")</f>
        <v/>
      </c>
      <c r="CX2" s="13">
        <f>IF(TEXT('Cal_Weeks'!B104,"mmm-yy")&lt;&gt;TEXT('Cal_Weeks'!B103,"mmm-yy"),'Cal_Weeks'!G104,"")</f>
        <v/>
      </c>
      <c r="CY2" s="13">
        <f>IF(TEXT('Cal_Weeks'!B105,"mmm-yy")&lt;&gt;TEXT('Cal_Weeks'!B104,"mmm-yy"),'Cal_Weeks'!G105,"")</f>
        <v/>
      </c>
      <c r="CZ2" s="13">
        <f>IF(TEXT('Cal_Weeks'!B106,"mmm-yy")&lt;&gt;TEXT('Cal_Weeks'!B105,"mmm-yy"),'Cal_Weeks'!G106,"")</f>
        <v/>
      </c>
      <c r="DA2" s="13">
        <f>IF(TEXT('Cal_Weeks'!B107,"mmm-yy")&lt;&gt;TEXT('Cal_Weeks'!B106,"mmm-yy"),'Cal_Weeks'!G107,"")</f>
        <v/>
      </c>
    </row>
    <row r="3">
      <c r="A3" s="14" t="n"/>
      <c r="B3" s="15">
        <f>'Cal_Weeks'!B4</f>
        <v/>
      </c>
      <c r="C3" s="15">
        <f>'Cal_Weeks'!B5</f>
        <v/>
      </c>
      <c r="D3" s="15">
        <f>'Cal_Weeks'!B6</f>
        <v/>
      </c>
      <c r="E3" s="15">
        <f>'Cal_Weeks'!B7</f>
        <v/>
      </c>
      <c r="F3" s="15">
        <f>'Cal_Weeks'!B8</f>
        <v/>
      </c>
      <c r="G3" s="15">
        <f>'Cal_Weeks'!B9</f>
        <v/>
      </c>
      <c r="H3" s="15">
        <f>'Cal_Weeks'!B10</f>
        <v/>
      </c>
      <c r="I3" s="15">
        <f>'Cal_Weeks'!B11</f>
        <v/>
      </c>
      <c r="J3" s="15">
        <f>'Cal_Weeks'!B12</f>
        <v/>
      </c>
      <c r="K3" s="15">
        <f>'Cal_Weeks'!B13</f>
        <v/>
      </c>
      <c r="L3" s="15">
        <f>'Cal_Weeks'!B14</f>
        <v/>
      </c>
      <c r="M3" s="15">
        <f>'Cal_Weeks'!B15</f>
        <v/>
      </c>
      <c r="N3" s="15">
        <f>'Cal_Weeks'!B16</f>
        <v/>
      </c>
      <c r="O3" s="15">
        <f>'Cal_Weeks'!B17</f>
        <v/>
      </c>
      <c r="P3" s="15">
        <f>'Cal_Weeks'!B18</f>
        <v/>
      </c>
      <c r="Q3" s="15">
        <f>'Cal_Weeks'!B19</f>
        <v/>
      </c>
      <c r="R3" s="15">
        <f>'Cal_Weeks'!B20</f>
        <v/>
      </c>
      <c r="S3" s="15">
        <f>'Cal_Weeks'!B21</f>
        <v/>
      </c>
      <c r="T3" s="15">
        <f>'Cal_Weeks'!B22</f>
        <v/>
      </c>
      <c r="U3" s="15">
        <f>'Cal_Weeks'!B23</f>
        <v/>
      </c>
      <c r="V3" s="15">
        <f>'Cal_Weeks'!B24</f>
        <v/>
      </c>
      <c r="W3" s="15">
        <f>'Cal_Weeks'!B25</f>
        <v/>
      </c>
      <c r="X3" s="15">
        <f>'Cal_Weeks'!B26</f>
        <v/>
      </c>
      <c r="Y3" s="15">
        <f>'Cal_Weeks'!B27</f>
        <v/>
      </c>
      <c r="Z3" s="15">
        <f>'Cal_Weeks'!B28</f>
        <v/>
      </c>
      <c r="AA3" s="15">
        <f>'Cal_Weeks'!B29</f>
        <v/>
      </c>
      <c r="AB3" s="15">
        <f>'Cal_Weeks'!B30</f>
        <v/>
      </c>
      <c r="AC3" s="15">
        <f>'Cal_Weeks'!B31</f>
        <v/>
      </c>
      <c r="AD3" s="15">
        <f>'Cal_Weeks'!B32</f>
        <v/>
      </c>
      <c r="AE3" s="15">
        <f>'Cal_Weeks'!B33</f>
        <v/>
      </c>
      <c r="AF3" s="15">
        <f>'Cal_Weeks'!B34</f>
        <v/>
      </c>
      <c r="AG3" s="15">
        <f>'Cal_Weeks'!B35</f>
        <v/>
      </c>
      <c r="AH3" s="15">
        <f>'Cal_Weeks'!B36</f>
        <v/>
      </c>
      <c r="AI3" s="15">
        <f>'Cal_Weeks'!B37</f>
        <v/>
      </c>
      <c r="AJ3" s="15">
        <f>'Cal_Weeks'!B38</f>
        <v/>
      </c>
      <c r="AK3" s="15">
        <f>'Cal_Weeks'!B39</f>
        <v/>
      </c>
      <c r="AL3" s="15">
        <f>'Cal_Weeks'!B40</f>
        <v/>
      </c>
      <c r="AM3" s="15">
        <f>'Cal_Weeks'!B41</f>
        <v/>
      </c>
      <c r="AN3" s="15">
        <f>'Cal_Weeks'!B42</f>
        <v/>
      </c>
      <c r="AO3" s="15">
        <f>'Cal_Weeks'!B43</f>
        <v/>
      </c>
      <c r="AP3" s="15">
        <f>'Cal_Weeks'!B44</f>
        <v/>
      </c>
      <c r="AQ3" s="15">
        <f>'Cal_Weeks'!B45</f>
        <v/>
      </c>
      <c r="AR3" s="15">
        <f>'Cal_Weeks'!B46</f>
        <v/>
      </c>
      <c r="AS3" s="15">
        <f>'Cal_Weeks'!B47</f>
        <v/>
      </c>
      <c r="AT3" s="15">
        <f>'Cal_Weeks'!B48</f>
        <v/>
      </c>
      <c r="AU3" s="15">
        <f>'Cal_Weeks'!B49</f>
        <v/>
      </c>
      <c r="AV3" s="15">
        <f>'Cal_Weeks'!B50</f>
        <v/>
      </c>
      <c r="AW3" s="15">
        <f>'Cal_Weeks'!B51</f>
        <v/>
      </c>
      <c r="AX3" s="15">
        <f>'Cal_Weeks'!B52</f>
        <v/>
      </c>
      <c r="AY3" s="15">
        <f>'Cal_Weeks'!B53</f>
        <v/>
      </c>
      <c r="AZ3" s="15">
        <f>'Cal_Weeks'!B54</f>
        <v/>
      </c>
      <c r="BA3" s="15">
        <f>'Cal_Weeks'!B55</f>
        <v/>
      </c>
      <c r="BB3" s="15">
        <f>'Cal_Weeks'!B56</f>
        <v/>
      </c>
      <c r="BC3" s="15">
        <f>'Cal_Weeks'!B57</f>
        <v/>
      </c>
      <c r="BD3" s="15">
        <f>'Cal_Weeks'!B58</f>
        <v/>
      </c>
      <c r="BE3" s="15">
        <f>'Cal_Weeks'!B59</f>
        <v/>
      </c>
      <c r="BF3" s="15">
        <f>'Cal_Weeks'!B60</f>
        <v/>
      </c>
      <c r="BG3" s="15">
        <f>'Cal_Weeks'!B61</f>
        <v/>
      </c>
      <c r="BH3" s="15">
        <f>'Cal_Weeks'!B62</f>
        <v/>
      </c>
      <c r="BI3" s="15">
        <f>'Cal_Weeks'!B63</f>
        <v/>
      </c>
      <c r="BJ3" s="15">
        <f>'Cal_Weeks'!B64</f>
        <v/>
      </c>
      <c r="BK3" s="15">
        <f>'Cal_Weeks'!B65</f>
        <v/>
      </c>
      <c r="BL3" s="15">
        <f>'Cal_Weeks'!B66</f>
        <v/>
      </c>
      <c r="BM3" s="15">
        <f>'Cal_Weeks'!B67</f>
        <v/>
      </c>
      <c r="BN3" s="15">
        <f>'Cal_Weeks'!B68</f>
        <v/>
      </c>
      <c r="BO3" s="15">
        <f>'Cal_Weeks'!B69</f>
        <v/>
      </c>
      <c r="BP3" s="15">
        <f>'Cal_Weeks'!B70</f>
        <v/>
      </c>
      <c r="BQ3" s="15">
        <f>'Cal_Weeks'!B71</f>
        <v/>
      </c>
      <c r="BR3" s="15">
        <f>'Cal_Weeks'!B72</f>
        <v/>
      </c>
      <c r="BS3" s="15">
        <f>'Cal_Weeks'!B73</f>
        <v/>
      </c>
      <c r="BT3" s="15">
        <f>'Cal_Weeks'!B74</f>
        <v/>
      </c>
      <c r="BU3" s="15">
        <f>'Cal_Weeks'!B75</f>
        <v/>
      </c>
      <c r="BV3" s="15">
        <f>'Cal_Weeks'!B76</f>
        <v/>
      </c>
      <c r="BW3" s="15">
        <f>'Cal_Weeks'!B77</f>
        <v/>
      </c>
      <c r="BX3" s="15">
        <f>'Cal_Weeks'!B78</f>
        <v/>
      </c>
      <c r="BY3" s="15">
        <f>'Cal_Weeks'!B79</f>
        <v/>
      </c>
      <c r="BZ3" s="15">
        <f>'Cal_Weeks'!B80</f>
        <v/>
      </c>
      <c r="CA3" s="15">
        <f>'Cal_Weeks'!B81</f>
        <v/>
      </c>
      <c r="CB3" s="15">
        <f>'Cal_Weeks'!B82</f>
        <v/>
      </c>
      <c r="CC3" s="15">
        <f>'Cal_Weeks'!B83</f>
        <v/>
      </c>
      <c r="CD3" s="15">
        <f>'Cal_Weeks'!B84</f>
        <v/>
      </c>
      <c r="CE3" s="15">
        <f>'Cal_Weeks'!B85</f>
        <v/>
      </c>
      <c r="CF3" s="15">
        <f>'Cal_Weeks'!B86</f>
        <v/>
      </c>
      <c r="CG3" s="15">
        <f>'Cal_Weeks'!B87</f>
        <v/>
      </c>
      <c r="CH3" s="15">
        <f>'Cal_Weeks'!B88</f>
        <v/>
      </c>
      <c r="CI3" s="15">
        <f>'Cal_Weeks'!B89</f>
        <v/>
      </c>
      <c r="CJ3" s="15">
        <f>'Cal_Weeks'!B90</f>
        <v/>
      </c>
      <c r="CK3" s="15">
        <f>'Cal_Weeks'!B91</f>
        <v/>
      </c>
      <c r="CL3" s="15">
        <f>'Cal_Weeks'!B92</f>
        <v/>
      </c>
      <c r="CM3" s="15">
        <f>'Cal_Weeks'!B93</f>
        <v/>
      </c>
      <c r="CN3" s="15">
        <f>'Cal_Weeks'!B94</f>
        <v/>
      </c>
      <c r="CO3" s="15">
        <f>'Cal_Weeks'!B95</f>
        <v/>
      </c>
      <c r="CP3" s="15">
        <f>'Cal_Weeks'!B96</f>
        <v/>
      </c>
      <c r="CQ3" s="15">
        <f>'Cal_Weeks'!B97</f>
        <v/>
      </c>
      <c r="CR3" s="15">
        <f>'Cal_Weeks'!B98</f>
        <v/>
      </c>
      <c r="CS3" s="15">
        <f>'Cal_Weeks'!B99</f>
        <v/>
      </c>
      <c r="CT3" s="15">
        <f>'Cal_Weeks'!B100</f>
        <v/>
      </c>
      <c r="CU3" s="15">
        <f>'Cal_Weeks'!B101</f>
        <v/>
      </c>
      <c r="CV3" s="15">
        <f>'Cal_Weeks'!B102</f>
        <v/>
      </c>
      <c r="CW3" s="15">
        <f>'Cal_Weeks'!B103</f>
        <v/>
      </c>
      <c r="CX3" s="15">
        <f>'Cal_Weeks'!B104</f>
        <v/>
      </c>
      <c r="CY3" s="15">
        <f>'Cal_Weeks'!B105</f>
        <v/>
      </c>
      <c r="CZ3" s="15">
        <f>'Cal_Weeks'!B106</f>
        <v/>
      </c>
      <c r="DA3" s="15">
        <f>'Cal_Weeks'!B107</f>
        <v/>
      </c>
    </row>
    <row r="4">
      <c r="A4" s="14" t="n"/>
      <c r="B4" s="14">
        <f>'Cal_Weeks'!D4</f>
        <v/>
      </c>
      <c r="C4" s="14">
        <f>'Cal_Weeks'!D5</f>
        <v/>
      </c>
      <c r="D4" s="14">
        <f>'Cal_Weeks'!D6</f>
        <v/>
      </c>
      <c r="E4" s="14">
        <f>'Cal_Weeks'!D7</f>
        <v/>
      </c>
      <c r="F4" s="14">
        <f>'Cal_Weeks'!D8</f>
        <v/>
      </c>
      <c r="G4" s="14">
        <f>'Cal_Weeks'!D9</f>
        <v/>
      </c>
      <c r="H4" s="14">
        <f>'Cal_Weeks'!D10</f>
        <v/>
      </c>
      <c r="I4" s="14">
        <f>'Cal_Weeks'!D11</f>
        <v/>
      </c>
      <c r="J4" s="14">
        <f>'Cal_Weeks'!D12</f>
        <v/>
      </c>
      <c r="K4" s="14">
        <f>'Cal_Weeks'!D13</f>
        <v/>
      </c>
      <c r="L4" s="14">
        <f>'Cal_Weeks'!D14</f>
        <v/>
      </c>
      <c r="M4" s="14">
        <f>'Cal_Weeks'!D15</f>
        <v/>
      </c>
      <c r="N4" s="14">
        <f>'Cal_Weeks'!D16</f>
        <v/>
      </c>
      <c r="O4" s="14">
        <f>'Cal_Weeks'!D17</f>
        <v/>
      </c>
      <c r="P4" s="14">
        <f>'Cal_Weeks'!D18</f>
        <v/>
      </c>
      <c r="Q4" s="14">
        <f>'Cal_Weeks'!D19</f>
        <v/>
      </c>
      <c r="R4" s="14">
        <f>'Cal_Weeks'!D20</f>
        <v/>
      </c>
      <c r="S4" s="14">
        <f>'Cal_Weeks'!D21</f>
        <v/>
      </c>
      <c r="T4" s="14">
        <f>'Cal_Weeks'!D22</f>
        <v/>
      </c>
      <c r="U4" s="14">
        <f>'Cal_Weeks'!D23</f>
        <v/>
      </c>
      <c r="V4" s="14">
        <f>'Cal_Weeks'!D24</f>
        <v/>
      </c>
      <c r="W4" s="14">
        <f>'Cal_Weeks'!D25</f>
        <v/>
      </c>
      <c r="X4" s="14">
        <f>'Cal_Weeks'!D26</f>
        <v/>
      </c>
      <c r="Y4" s="14">
        <f>'Cal_Weeks'!D27</f>
        <v/>
      </c>
      <c r="Z4" s="14">
        <f>'Cal_Weeks'!D28</f>
        <v/>
      </c>
      <c r="AA4" s="14">
        <f>'Cal_Weeks'!D29</f>
        <v/>
      </c>
      <c r="AB4" s="14">
        <f>'Cal_Weeks'!D30</f>
        <v/>
      </c>
      <c r="AC4" s="14">
        <f>'Cal_Weeks'!D31</f>
        <v/>
      </c>
      <c r="AD4" s="14">
        <f>'Cal_Weeks'!D32</f>
        <v/>
      </c>
      <c r="AE4" s="14">
        <f>'Cal_Weeks'!D33</f>
        <v/>
      </c>
      <c r="AF4" s="14">
        <f>'Cal_Weeks'!D34</f>
        <v/>
      </c>
      <c r="AG4" s="14">
        <f>'Cal_Weeks'!D35</f>
        <v/>
      </c>
      <c r="AH4" s="14">
        <f>'Cal_Weeks'!D36</f>
        <v/>
      </c>
      <c r="AI4" s="14">
        <f>'Cal_Weeks'!D37</f>
        <v/>
      </c>
      <c r="AJ4" s="14">
        <f>'Cal_Weeks'!D38</f>
        <v/>
      </c>
      <c r="AK4" s="14">
        <f>'Cal_Weeks'!D39</f>
        <v/>
      </c>
      <c r="AL4" s="14">
        <f>'Cal_Weeks'!D40</f>
        <v/>
      </c>
      <c r="AM4" s="14">
        <f>'Cal_Weeks'!D41</f>
        <v/>
      </c>
      <c r="AN4" s="14">
        <f>'Cal_Weeks'!D42</f>
        <v/>
      </c>
      <c r="AO4" s="14">
        <f>'Cal_Weeks'!D43</f>
        <v/>
      </c>
      <c r="AP4" s="14">
        <f>'Cal_Weeks'!D44</f>
        <v/>
      </c>
      <c r="AQ4" s="14">
        <f>'Cal_Weeks'!D45</f>
        <v/>
      </c>
      <c r="AR4" s="14">
        <f>'Cal_Weeks'!D46</f>
        <v/>
      </c>
      <c r="AS4" s="14">
        <f>'Cal_Weeks'!D47</f>
        <v/>
      </c>
      <c r="AT4" s="14">
        <f>'Cal_Weeks'!D48</f>
        <v/>
      </c>
      <c r="AU4" s="14">
        <f>'Cal_Weeks'!D49</f>
        <v/>
      </c>
      <c r="AV4" s="14">
        <f>'Cal_Weeks'!D50</f>
        <v/>
      </c>
      <c r="AW4" s="14">
        <f>'Cal_Weeks'!D51</f>
        <v/>
      </c>
      <c r="AX4" s="14">
        <f>'Cal_Weeks'!D52</f>
        <v/>
      </c>
      <c r="AY4" s="14">
        <f>'Cal_Weeks'!D53</f>
        <v/>
      </c>
      <c r="AZ4" s="14">
        <f>'Cal_Weeks'!D54</f>
        <v/>
      </c>
      <c r="BA4" s="14">
        <f>'Cal_Weeks'!D55</f>
        <v/>
      </c>
      <c r="BB4" s="14">
        <f>'Cal_Weeks'!D56</f>
        <v/>
      </c>
      <c r="BC4" s="14">
        <f>'Cal_Weeks'!D57</f>
        <v/>
      </c>
      <c r="BD4" s="14">
        <f>'Cal_Weeks'!D58</f>
        <v/>
      </c>
      <c r="BE4" s="14">
        <f>'Cal_Weeks'!D59</f>
        <v/>
      </c>
      <c r="BF4" s="14">
        <f>'Cal_Weeks'!D60</f>
        <v/>
      </c>
      <c r="BG4" s="14">
        <f>'Cal_Weeks'!D61</f>
        <v/>
      </c>
      <c r="BH4" s="14">
        <f>'Cal_Weeks'!D62</f>
        <v/>
      </c>
      <c r="BI4" s="14">
        <f>'Cal_Weeks'!D63</f>
        <v/>
      </c>
      <c r="BJ4" s="14">
        <f>'Cal_Weeks'!D64</f>
        <v/>
      </c>
      <c r="BK4" s="14">
        <f>'Cal_Weeks'!D65</f>
        <v/>
      </c>
      <c r="BL4" s="14">
        <f>'Cal_Weeks'!D66</f>
        <v/>
      </c>
      <c r="BM4" s="14">
        <f>'Cal_Weeks'!D67</f>
        <v/>
      </c>
      <c r="BN4" s="14">
        <f>'Cal_Weeks'!D68</f>
        <v/>
      </c>
      <c r="BO4" s="14">
        <f>'Cal_Weeks'!D69</f>
        <v/>
      </c>
      <c r="BP4" s="14">
        <f>'Cal_Weeks'!D70</f>
        <v/>
      </c>
      <c r="BQ4" s="14">
        <f>'Cal_Weeks'!D71</f>
        <v/>
      </c>
      <c r="BR4" s="14">
        <f>'Cal_Weeks'!D72</f>
        <v/>
      </c>
      <c r="BS4" s="14">
        <f>'Cal_Weeks'!D73</f>
        <v/>
      </c>
      <c r="BT4" s="14">
        <f>'Cal_Weeks'!D74</f>
        <v/>
      </c>
      <c r="BU4" s="14">
        <f>'Cal_Weeks'!D75</f>
        <v/>
      </c>
      <c r="BV4" s="14">
        <f>'Cal_Weeks'!D76</f>
        <v/>
      </c>
      <c r="BW4" s="14">
        <f>'Cal_Weeks'!D77</f>
        <v/>
      </c>
      <c r="BX4" s="14">
        <f>'Cal_Weeks'!D78</f>
        <v/>
      </c>
      <c r="BY4" s="14">
        <f>'Cal_Weeks'!D79</f>
        <v/>
      </c>
      <c r="BZ4" s="14">
        <f>'Cal_Weeks'!D80</f>
        <v/>
      </c>
      <c r="CA4" s="14">
        <f>'Cal_Weeks'!D81</f>
        <v/>
      </c>
      <c r="CB4" s="14">
        <f>'Cal_Weeks'!D82</f>
        <v/>
      </c>
      <c r="CC4" s="14">
        <f>'Cal_Weeks'!D83</f>
        <v/>
      </c>
      <c r="CD4" s="14">
        <f>'Cal_Weeks'!D84</f>
        <v/>
      </c>
      <c r="CE4" s="14">
        <f>'Cal_Weeks'!D85</f>
        <v/>
      </c>
      <c r="CF4" s="14">
        <f>'Cal_Weeks'!D86</f>
        <v/>
      </c>
      <c r="CG4" s="14">
        <f>'Cal_Weeks'!D87</f>
        <v/>
      </c>
      <c r="CH4" s="14">
        <f>'Cal_Weeks'!D88</f>
        <v/>
      </c>
      <c r="CI4" s="14">
        <f>'Cal_Weeks'!D89</f>
        <v/>
      </c>
      <c r="CJ4" s="14">
        <f>'Cal_Weeks'!D90</f>
        <v/>
      </c>
      <c r="CK4" s="14">
        <f>'Cal_Weeks'!D91</f>
        <v/>
      </c>
      <c r="CL4" s="14">
        <f>'Cal_Weeks'!D92</f>
        <v/>
      </c>
      <c r="CM4" s="14">
        <f>'Cal_Weeks'!D93</f>
        <v/>
      </c>
      <c r="CN4" s="14">
        <f>'Cal_Weeks'!D94</f>
        <v/>
      </c>
      <c r="CO4" s="14">
        <f>'Cal_Weeks'!D95</f>
        <v/>
      </c>
      <c r="CP4" s="14">
        <f>'Cal_Weeks'!D96</f>
        <v/>
      </c>
      <c r="CQ4" s="14">
        <f>'Cal_Weeks'!D97</f>
        <v/>
      </c>
      <c r="CR4" s="14">
        <f>'Cal_Weeks'!D98</f>
        <v/>
      </c>
      <c r="CS4" s="14">
        <f>'Cal_Weeks'!D99</f>
        <v/>
      </c>
      <c r="CT4" s="14">
        <f>'Cal_Weeks'!D100</f>
        <v/>
      </c>
      <c r="CU4" s="14">
        <f>'Cal_Weeks'!D101</f>
        <v/>
      </c>
      <c r="CV4" s="14">
        <f>'Cal_Weeks'!D102</f>
        <v/>
      </c>
      <c r="CW4" s="14">
        <f>'Cal_Weeks'!D103</f>
        <v/>
      </c>
      <c r="CX4" s="14">
        <f>'Cal_Weeks'!D104</f>
        <v/>
      </c>
      <c r="CY4" s="14">
        <f>'Cal_Weeks'!D105</f>
        <v/>
      </c>
      <c r="CZ4" s="14">
        <f>'Cal_Weeks'!D106</f>
        <v/>
      </c>
      <c r="DA4" s="14">
        <f>'Cal_Weeks'!D107</f>
        <v/>
      </c>
    </row>
    <row r="5">
      <c r="A5" s="16" t="inlineStr">
        <is>
          <t>Part Name</t>
        </is>
      </c>
      <c r="B5" s="16" t="inlineStr">
        <is>
          <t>2026-W01</t>
        </is>
      </c>
      <c r="C5" s="16" t="inlineStr">
        <is>
          <t>2026-W02</t>
        </is>
      </c>
      <c r="D5" s="16" t="inlineStr">
        <is>
          <t>2026-W03</t>
        </is>
      </c>
      <c r="E5" s="16" t="inlineStr">
        <is>
          <t>2026-W04</t>
        </is>
      </c>
      <c r="F5" s="16" t="inlineStr">
        <is>
          <t>2026-W05</t>
        </is>
      </c>
      <c r="G5" s="16" t="inlineStr">
        <is>
          <t>2026-W06</t>
        </is>
      </c>
      <c r="H5" s="16" t="inlineStr">
        <is>
          <t>2026-W07</t>
        </is>
      </c>
      <c r="I5" s="16" t="inlineStr">
        <is>
          <t>2026-W08</t>
        </is>
      </c>
      <c r="J5" s="16" t="inlineStr">
        <is>
          <t>2026-W09</t>
        </is>
      </c>
      <c r="K5" s="16" t="inlineStr">
        <is>
          <t>2026-W10</t>
        </is>
      </c>
      <c r="L5" s="16" t="inlineStr">
        <is>
          <t>2026-W11</t>
        </is>
      </c>
      <c r="M5" s="16" t="inlineStr">
        <is>
          <t>2026-W12</t>
        </is>
      </c>
      <c r="N5" s="16" t="inlineStr">
        <is>
          <t>2026-W13</t>
        </is>
      </c>
      <c r="O5" s="16" t="inlineStr">
        <is>
          <t>2026-W14</t>
        </is>
      </c>
      <c r="P5" s="16" t="inlineStr">
        <is>
          <t>2026-W15</t>
        </is>
      </c>
      <c r="Q5" s="16" t="inlineStr">
        <is>
          <t>2026-W16</t>
        </is>
      </c>
      <c r="R5" s="16" t="inlineStr">
        <is>
          <t>2026-W17</t>
        </is>
      </c>
      <c r="S5" s="16" t="inlineStr">
        <is>
          <t>2026-W18</t>
        </is>
      </c>
      <c r="T5" s="16" t="inlineStr">
        <is>
          <t>2026-W19</t>
        </is>
      </c>
      <c r="U5" s="16" t="inlineStr">
        <is>
          <t>2026-W20</t>
        </is>
      </c>
      <c r="V5" s="16" t="inlineStr">
        <is>
          <t>2026-W21</t>
        </is>
      </c>
      <c r="W5" s="16" t="inlineStr">
        <is>
          <t>2026-W22</t>
        </is>
      </c>
      <c r="X5" s="16" t="inlineStr">
        <is>
          <t>2026-W23</t>
        </is>
      </c>
      <c r="Y5" s="16" t="inlineStr">
        <is>
          <t>2026-W24</t>
        </is>
      </c>
      <c r="Z5" s="16" t="inlineStr">
        <is>
          <t>2026-W25</t>
        </is>
      </c>
      <c r="AA5" s="16" t="inlineStr">
        <is>
          <t>2026-W26</t>
        </is>
      </c>
      <c r="AB5" s="16" t="inlineStr">
        <is>
          <t>2026-W27</t>
        </is>
      </c>
      <c r="AC5" s="16" t="inlineStr">
        <is>
          <t>2026-W28</t>
        </is>
      </c>
      <c r="AD5" s="16" t="inlineStr">
        <is>
          <t>2026-W29</t>
        </is>
      </c>
      <c r="AE5" s="16" t="inlineStr">
        <is>
          <t>2026-W30</t>
        </is>
      </c>
      <c r="AF5" s="16" t="inlineStr">
        <is>
          <t>2026-W31</t>
        </is>
      </c>
      <c r="AG5" s="16" t="inlineStr">
        <is>
          <t>2026-W32</t>
        </is>
      </c>
      <c r="AH5" s="16" t="inlineStr">
        <is>
          <t>2026-W33</t>
        </is>
      </c>
      <c r="AI5" s="16" t="inlineStr">
        <is>
          <t>2026-W34</t>
        </is>
      </c>
      <c r="AJ5" s="16" t="inlineStr">
        <is>
          <t>2026-W35</t>
        </is>
      </c>
      <c r="AK5" s="16" t="inlineStr">
        <is>
          <t>2026-W36</t>
        </is>
      </c>
      <c r="AL5" s="16" t="inlineStr">
        <is>
          <t>2026-W37</t>
        </is>
      </c>
      <c r="AM5" s="16" t="inlineStr">
        <is>
          <t>2026-W38</t>
        </is>
      </c>
      <c r="AN5" s="16" t="inlineStr">
        <is>
          <t>2026-W39</t>
        </is>
      </c>
      <c r="AO5" s="16" t="inlineStr">
        <is>
          <t>2026-W40</t>
        </is>
      </c>
      <c r="AP5" s="16" t="inlineStr">
        <is>
          <t>2026-W41</t>
        </is>
      </c>
      <c r="AQ5" s="16" t="inlineStr">
        <is>
          <t>2026-W42</t>
        </is>
      </c>
      <c r="AR5" s="16" t="inlineStr">
        <is>
          <t>2026-W43</t>
        </is>
      </c>
      <c r="AS5" s="16" t="inlineStr">
        <is>
          <t>2026-W44</t>
        </is>
      </c>
      <c r="AT5" s="16" t="inlineStr">
        <is>
          <t>2026-W45</t>
        </is>
      </c>
      <c r="AU5" s="16" t="inlineStr">
        <is>
          <t>2026-W46</t>
        </is>
      </c>
      <c r="AV5" s="16" t="inlineStr">
        <is>
          <t>2026-W47</t>
        </is>
      </c>
      <c r="AW5" s="16" t="inlineStr">
        <is>
          <t>2026-W48</t>
        </is>
      </c>
      <c r="AX5" s="16" t="inlineStr">
        <is>
          <t>2026-W49</t>
        </is>
      </c>
      <c r="AY5" s="16" t="inlineStr">
        <is>
          <t>2026-W50</t>
        </is>
      </c>
      <c r="AZ5" s="16" t="inlineStr">
        <is>
          <t>2026-W51</t>
        </is>
      </c>
      <c r="BA5" s="16" t="inlineStr">
        <is>
          <t>2026-W52</t>
        </is>
      </c>
      <c r="BB5" s="16" t="inlineStr">
        <is>
          <t>2027-W01</t>
        </is>
      </c>
      <c r="BC5" s="16" t="inlineStr">
        <is>
          <t>2027-W02</t>
        </is>
      </c>
      <c r="BD5" s="16" t="inlineStr">
        <is>
          <t>2027-W03</t>
        </is>
      </c>
      <c r="BE5" s="16" t="inlineStr">
        <is>
          <t>2027-W04</t>
        </is>
      </c>
      <c r="BF5" s="16" t="inlineStr">
        <is>
          <t>2027-W05</t>
        </is>
      </c>
      <c r="BG5" s="16" t="inlineStr">
        <is>
          <t>2027-W06</t>
        </is>
      </c>
      <c r="BH5" s="16" t="inlineStr">
        <is>
          <t>2027-W07</t>
        </is>
      </c>
      <c r="BI5" s="16" t="inlineStr">
        <is>
          <t>2027-W08</t>
        </is>
      </c>
      <c r="BJ5" s="16" t="inlineStr">
        <is>
          <t>2027-W09</t>
        </is>
      </c>
      <c r="BK5" s="16" t="inlineStr">
        <is>
          <t>2027-W10</t>
        </is>
      </c>
      <c r="BL5" s="16" t="inlineStr">
        <is>
          <t>2027-W11</t>
        </is>
      </c>
      <c r="BM5" s="16" t="inlineStr">
        <is>
          <t>2027-W12</t>
        </is>
      </c>
      <c r="BN5" s="16" t="inlineStr">
        <is>
          <t>2027-W13</t>
        </is>
      </c>
      <c r="BO5" s="16" t="inlineStr">
        <is>
          <t>2027-W14</t>
        </is>
      </c>
      <c r="BP5" s="16" t="inlineStr">
        <is>
          <t>2027-W15</t>
        </is>
      </c>
      <c r="BQ5" s="16" t="inlineStr">
        <is>
          <t>2027-W16</t>
        </is>
      </c>
      <c r="BR5" s="16" t="inlineStr">
        <is>
          <t>2027-W17</t>
        </is>
      </c>
      <c r="BS5" s="16" t="inlineStr">
        <is>
          <t>2027-W18</t>
        </is>
      </c>
      <c r="BT5" s="16" t="inlineStr">
        <is>
          <t>2027-W19</t>
        </is>
      </c>
      <c r="BU5" s="16" t="inlineStr">
        <is>
          <t>2027-W20</t>
        </is>
      </c>
      <c r="BV5" s="16" t="inlineStr">
        <is>
          <t>2027-W21</t>
        </is>
      </c>
      <c r="BW5" s="16" t="inlineStr">
        <is>
          <t>2027-W22</t>
        </is>
      </c>
      <c r="BX5" s="16" t="inlineStr">
        <is>
          <t>2027-W23</t>
        </is>
      </c>
      <c r="BY5" s="16" t="inlineStr">
        <is>
          <t>2027-W24</t>
        </is>
      </c>
      <c r="BZ5" s="16" t="inlineStr">
        <is>
          <t>2027-W25</t>
        </is>
      </c>
      <c r="CA5" s="16" t="inlineStr">
        <is>
          <t>2027-W26</t>
        </is>
      </c>
      <c r="CB5" s="16" t="inlineStr">
        <is>
          <t>2027-W27</t>
        </is>
      </c>
      <c r="CC5" s="16" t="inlineStr">
        <is>
          <t>2027-W28</t>
        </is>
      </c>
      <c r="CD5" s="16" t="inlineStr">
        <is>
          <t>2027-W29</t>
        </is>
      </c>
      <c r="CE5" s="16" t="inlineStr">
        <is>
          <t>2027-W30</t>
        </is>
      </c>
      <c r="CF5" s="16" t="inlineStr">
        <is>
          <t>2027-W31</t>
        </is>
      </c>
      <c r="CG5" s="16" t="inlineStr">
        <is>
          <t>2027-W32</t>
        </is>
      </c>
      <c r="CH5" s="16" t="inlineStr">
        <is>
          <t>2027-W33</t>
        </is>
      </c>
      <c r="CI5" s="16" t="inlineStr">
        <is>
          <t>2027-W34</t>
        </is>
      </c>
      <c r="CJ5" s="16" t="inlineStr">
        <is>
          <t>2027-W35</t>
        </is>
      </c>
      <c r="CK5" s="16" t="inlineStr">
        <is>
          <t>2027-W36</t>
        </is>
      </c>
      <c r="CL5" s="16" t="inlineStr">
        <is>
          <t>2027-W37</t>
        </is>
      </c>
      <c r="CM5" s="16" t="inlineStr">
        <is>
          <t>2027-W38</t>
        </is>
      </c>
      <c r="CN5" s="16" t="inlineStr">
        <is>
          <t>2027-W39</t>
        </is>
      </c>
      <c r="CO5" s="16" t="inlineStr">
        <is>
          <t>2027-W40</t>
        </is>
      </c>
      <c r="CP5" s="16" t="inlineStr">
        <is>
          <t>2027-W41</t>
        </is>
      </c>
      <c r="CQ5" s="16" t="inlineStr">
        <is>
          <t>2027-W42</t>
        </is>
      </c>
      <c r="CR5" s="16" t="inlineStr">
        <is>
          <t>2027-W43</t>
        </is>
      </c>
      <c r="CS5" s="16" t="inlineStr">
        <is>
          <t>2027-W44</t>
        </is>
      </c>
      <c r="CT5" s="16" t="inlineStr">
        <is>
          <t>2027-W45</t>
        </is>
      </c>
      <c r="CU5" s="16" t="inlineStr">
        <is>
          <t>2027-W46</t>
        </is>
      </c>
      <c r="CV5" s="16" t="inlineStr">
        <is>
          <t>2027-W47</t>
        </is>
      </c>
      <c r="CW5" s="16" t="inlineStr">
        <is>
          <t>2027-W48</t>
        </is>
      </c>
      <c r="CX5" s="16" t="inlineStr">
        <is>
          <t>2027-W49</t>
        </is>
      </c>
      <c r="CY5" s="16" t="inlineStr">
        <is>
          <t>2027-W50</t>
        </is>
      </c>
      <c r="CZ5" s="16" t="inlineStr">
        <is>
          <t>2027-W51</t>
        </is>
      </c>
      <c r="DA5" s="16" t="inlineStr">
        <is>
          <t>2027-W52</t>
        </is>
      </c>
    </row>
    <row r="6">
      <c r="A6" s="17" t="inlineStr">
        <is>
          <t>7EP</t>
        </is>
      </c>
      <c r="B6" s="17">
        <f>IF(COUNTIFS(T_TTAFStock_Log[Part Name],$A6,T_TTAFStock_Log[WeekIndex],1)=0,"",SUMIFS(T_TTAFStock_Log[TTAF_Qty],T_TTAFStock_Log[Part Name],$A6,T_TTAFStock_Log[WeekIndex],1))</f>
        <v/>
      </c>
      <c r="C6" s="17">
        <f>IF(COUNTIFS(T_TTAFStock_Log[Part Name],$A6,T_TTAFStock_Log[WeekIndex],2)=0,"",SUMIFS(T_TTAFStock_Log[TTAF_Qty],T_TTAFStock_Log[Part Name],$A6,T_TTAFStock_Log[WeekIndex],2))</f>
        <v/>
      </c>
      <c r="D6" s="17">
        <f>IF(COUNTIFS(T_TTAFStock_Log[Part Name],$A6,T_TTAFStock_Log[WeekIndex],3)=0,"",SUMIFS(T_TTAFStock_Log[TTAF_Qty],T_TTAFStock_Log[Part Name],$A6,T_TTAFStock_Log[WeekIndex],3))</f>
        <v/>
      </c>
      <c r="E6" s="17">
        <f>IF(COUNTIFS(T_TTAFStock_Log[Part Name],$A6,T_TTAFStock_Log[WeekIndex],4)=0,"",SUMIFS(T_TTAFStock_Log[TTAF_Qty],T_TTAFStock_Log[Part Name],$A6,T_TTAFStock_Log[WeekIndex],4))</f>
        <v/>
      </c>
      <c r="F6" s="17">
        <f>IF(COUNTIFS(T_TTAFStock_Log[Part Name],$A6,T_TTAFStock_Log[WeekIndex],5)=0,"",SUMIFS(T_TTAFStock_Log[TTAF_Qty],T_TTAFStock_Log[Part Name],$A6,T_TTAFStock_Log[WeekIndex],5))</f>
        <v/>
      </c>
      <c r="G6" s="17">
        <f>IF(COUNTIFS(T_TTAFStock_Log[Part Name],$A6,T_TTAFStock_Log[WeekIndex],6)=0,"",SUMIFS(T_TTAFStock_Log[TTAF_Qty],T_TTAFStock_Log[Part Name],$A6,T_TTAFStock_Log[WeekIndex],6))</f>
        <v/>
      </c>
      <c r="H6" s="17">
        <f>IF(COUNTIFS(T_TTAFStock_Log[Part Name],$A6,T_TTAFStock_Log[WeekIndex],7)=0,"",SUMIFS(T_TTAFStock_Log[TTAF_Qty],T_TTAFStock_Log[Part Name],$A6,T_TTAFStock_Log[WeekIndex],7))</f>
        <v/>
      </c>
      <c r="I6" s="17">
        <f>IF(COUNTIFS(T_TTAFStock_Log[Part Name],$A6,T_TTAFStock_Log[WeekIndex],8)=0,"",SUMIFS(T_TTAFStock_Log[TTAF_Qty],T_TTAFStock_Log[Part Name],$A6,T_TTAFStock_Log[WeekIndex],8))</f>
        <v/>
      </c>
      <c r="J6" s="17">
        <f>IF(COUNTIFS(T_TTAFStock_Log[Part Name],$A6,T_TTAFStock_Log[WeekIndex],9)=0,"",SUMIFS(T_TTAFStock_Log[TTAF_Qty],T_TTAFStock_Log[Part Name],$A6,T_TTAFStock_Log[WeekIndex],9))</f>
        <v/>
      </c>
      <c r="K6" s="17">
        <f>IF(COUNTIFS(T_TTAFStock_Log[Part Name],$A6,T_TTAFStock_Log[WeekIndex],10)=0,"",SUMIFS(T_TTAFStock_Log[TTAF_Qty],T_TTAFStock_Log[Part Name],$A6,T_TTAFStock_Log[WeekIndex],10))</f>
        <v/>
      </c>
      <c r="L6" s="17">
        <f>IF(COUNTIFS(T_TTAFStock_Log[Part Name],$A6,T_TTAFStock_Log[WeekIndex],11)=0,"",SUMIFS(T_TTAFStock_Log[TTAF_Qty],T_TTAFStock_Log[Part Name],$A6,T_TTAFStock_Log[WeekIndex],11))</f>
        <v/>
      </c>
      <c r="M6" s="17">
        <f>IF(COUNTIFS(T_TTAFStock_Log[Part Name],$A6,T_TTAFStock_Log[WeekIndex],12)=0,"",SUMIFS(T_TTAFStock_Log[TTAF_Qty],T_TTAFStock_Log[Part Name],$A6,T_TTAFStock_Log[WeekIndex],12))</f>
        <v/>
      </c>
      <c r="N6" s="17">
        <f>IF(COUNTIFS(T_TTAFStock_Log[Part Name],$A6,T_TTAFStock_Log[WeekIndex],13)=0,"",SUMIFS(T_TTAFStock_Log[TTAF_Qty],T_TTAFStock_Log[Part Name],$A6,T_TTAFStock_Log[WeekIndex],13))</f>
        <v/>
      </c>
      <c r="O6" s="17">
        <f>IF(COUNTIFS(T_TTAFStock_Log[Part Name],$A6,T_TTAFStock_Log[WeekIndex],14)=0,"",SUMIFS(T_TTAFStock_Log[TTAF_Qty],T_TTAFStock_Log[Part Name],$A6,T_TTAFStock_Log[WeekIndex],14))</f>
        <v/>
      </c>
      <c r="P6" s="17">
        <f>IF(COUNTIFS(T_TTAFStock_Log[Part Name],$A6,T_TTAFStock_Log[WeekIndex],15)=0,"",SUMIFS(T_TTAFStock_Log[TTAF_Qty],T_TTAFStock_Log[Part Name],$A6,T_TTAFStock_Log[WeekIndex],15))</f>
        <v/>
      </c>
      <c r="Q6" s="17">
        <f>IF(COUNTIFS(T_TTAFStock_Log[Part Name],$A6,T_TTAFStock_Log[WeekIndex],16)=0,"",SUMIFS(T_TTAFStock_Log[TTAF_Qty],T_TTAFStock_Log[Part Name],$A6,T_TTAFStock_Log[WeekIndex],16))</f>
        <v/>
      </c>
      <c r="R6" s="17">
        <f>IF(COUNTIFS(T_TTAFStock_Log[Part Name],$A6,T_TTAFStock_Log[WeekIndex],17)=0,"",SUMIFS(T_TTAFStock_Log[TTAF_Qty],T_TTAFStock_Log[Part Name],$A6,T_TTAFStock_Log[WeekIndex],17))</f>
        <v/>
      </c>
      <c r="S6" s="17">
        <f>IF(COUNTIFS(T_TTAFStock_Log[Part Name],$A6,T_TTAFStock_Log[WeekIndex],18)=0,"",SUMIFS(T_TTAFStock_Log[TTAF_Qty],T_TTAFStock_Log[Part Name],$A6,T_TTAFStock_Log[WeekIndex],18))</f>
        <v/>
      </c>
      <c r="T6" s="17">
        <f>IF(COUNTIFS(T_TTAFStock_Log[Part Name],$A6,T_TTAFStock_Log[WeekIndex],19)=0,"",SUMIFS(T_TTAFStock_Log[TTAF_Qty],T_TTAFStock_Log[Part Name],$A6,T_TTAFStock_Log[WeekIndex],19))</f>
        <v/>
      </c>
      <c r="U6" s="17">
        <f>IF(COUNTIFS(T_TTAFStock_Log[Part Name],$A6,T_TTAFStock_Log[WeekIndex],20)=0,"",SUMIFS(T_TTAFStock_Log[TTAF_Qty],T_TTAFStock_Log[Part Name],$A6,T_TTAFStock_Log[WeekIndex],20))</f>
        <v/>
      </c>
      <c r="V6" s="17">
        <f>IF(COUNTIFS(T_TTAFStock_Log[Part Name],$A6,T_TTAFStock_Log[WeekIndex],21)=0,"",SUMIFS(T_TTAFStock_Log[TTAF_Qty],T_TTAFStock_Log[Part Name],$A6,T_TTAFStock_Log[WeekIndex],21))</f>
        <v/>
      </c>
      <c r="W6" s="17">
        <f>IF(COUNTIFS(T_TTAFStock_Log[Part Name],$A6,T_TTAFStock_Log[WeekIndex],22)=0,"",SUMIFS(T_TTAFStock_Log[TTAF_Qty],T_TTAFStock_Log[Part Name],$A6,T_TTAFStock_Log[WeekIndex],22))</f>
        <v/>
      </c>
      <c r="X6" s="17">
        <f>IF(COUNTIFS(T_TTAFStock_Log[Part Name],$A6,T_TTAFStock_Log[WeekIndex],23)=0,"",SUMIFS(T_TTAFStock_Log[TTAF_Qty],T_TTAFStock_Log[Part Name],$A6,T_TTAFStock_Log[WeekIndex],23))</f>
        <v/>
      </c>
      <c r="Y6" s="17">
        <f>IF(COUNTIFS(T_TTAFStock_Log[Part Name],$A6,T_TTAFStock_Log[WeekIndex],24)=0,"",SUMIFS(T_TTAFStock_Log[TTAF_Qty],T_TTAFStock_Log[Part Name],$A6,T_TTAFStock_Log[WeekIndex],24))</f>
        <v/>
      </c>
      <c r="Z6" s="17">
        <f>IF(COUNTIFS(T_TTAFStock_Log[Part Name],$A6,T_TTAFStock_Log[WeekIndex],25)=0,"",SUMIFS(T_TTAFStock_Log[TTAF_Qty],T_TTAFStock_Log[Part Name],$A6,T_TTAFStock_Log[WeekIndex],25))</f>
        <v/>
      </c>
      <c r="AA6" s="17">
        <f>IF(COUNTIFS(T_TTAFStock_Log[Part Name],$A6,T_TTAFStock_Log[WeekIndex],26)=0,"",SUMIFS(T_TTAFStock_Log[TTAF_Qty],T_TTAFStock_Log[Part Name],$A6,T_TTAFStock_Log[WeekIndex],26))</f>
        <v/>
      </c>
      <c r="AB6" s="17">
        <f>IF(COUNTIFS(T_TTAFStock_Log[Part Name],$A6,T_TTAFStock_Log[WeekIndex],27)=0,"",SUMIFS(T_TTAFStock_Log[TTAF_Qty],T_TTAFStock_Log[Part Name],$A6,T_TTAFStock_Log[WeekIndex],27))</f>
        <v/>
      </c>
      <c r="AC6" s="17">
        <f>IF(COUNTIFS(T_TTAFStock_Log[Part Name],$A6,T_TTAFStock_Log[WeekIndex],28)=0,"",SUMIFS(T_TTAFStock_Log[TTAF_Qty],T_TTAFStock_Log[Part Name],$A6,T_TTAFStock_Log[WeekIndex],28))</f>
        <v/>
      </c>
      <c r="AD6" s="17">
        <f>IF(COUNTIFS(T_TTAFStock_Log[Part Name],$A6,T_TTAFStock_Log[WeekIndex],29)=0,"",SUMIFS(T_TTAFStock_Log[TTAF_Qty],T_TTAFStock_Log[Part Name],$A6,T_TTAFStock_Log[WeekIndex],29))</f>
        <v/>
      </c>
      <c r="AE6" s="17">
        <f>IF(COUNTIFS(T_TTAFStock_Log[Part Name],$A6,T_TTAFStock_Log[WeekIndex],30)=0,"",SUMIFS(T_TTAFStock_Log[TTAF_Qty],T_TTAFStock_Log[Part Name],$A6,T_TTAFStock_Log[WeekIndex],30))</f>
        <v/>
      </c>
      <c r="AF6" s="17">
        <f>IF(COUNTIFS(T_TTAFStock_Log[Part Name],$A6,T_TTAFStock_Log[WeekIndex],31)=0,"",SUMIFS(T_TTAFStock_Log[TTAF_Qty],T_TTAFStock_Log[Part Name],$A6,T_TTAFStock_Log[WeekIndex],31))</f>
        <v/>
      </c>
      <c r="AG6" s="17">
        <f>IF(COUNTIFS(T_TTAFStock_Log[Part Name],$A6,T_TTAFStock_Log[WeekIndex],32)=0,"",SUMIFS(T_TTAFStock_Log[TTAF_Qty],T_TTAFStock_Log[Part Name],$A6,T_TTAFStock_Log[WeekIndex],32))</f>
        <v/>
      </c>
      <c r="AH6" s="17">
        <f>IF(COUNTIFS(T_TTAFStock_Log[Part Name],$A6,T_TTAFStock_Log[WeekIndex],33)=0,"",SUMIFS(T_TTAFStock_Log[TTAF_Qty],T_TTAFStock_Log[Part Name],$A6,T_TTAFStock_Log[WeekIndex],33))</f>
        <v/>
      </c>
      <c r="AI6" s="17">
        <f>IF(COUNTIFS(T_TTAFStock_Log[Part Name],$A6,T_TTAFStock_Log[WeekIndex],34)=0,"",SUMIFS(T_TTAFStock_Log[TTAF_Qty],T_TTAFStock_Log[Part Name],$A6,T_TTAFStock_Log[WeekIndex],34))</f>
        <v/>
      </c>
      <c r="AJ6" s="17">
        <f>IF(COUNTIFS(T_TTAFStock_Log[Part Name],$A6,T_TTAFStock_Log[WeekIndex],35)=0,"",SUMIFS(T_TTAFStock_Log[TTAF_Qty],T_TTAFStock_Log[Part Name],$A6,T_TTAFStock_Log[WeekIndex],35))</f>
        <v/>
      </c>
      <c r="AK6" s="17">
        <f>IF(COUNTIFS(T_TTAFStock_Log[Part Name],$A6,T_TTAFStock_Log[WeekIndex],36)=0,"",SUMIFS(T_TTAFStock_Log[TTAF_Qty],T_TTAFStock_Log[Part Name],$A6,T_TTAFStock_Log[WeekIndex],36))</f>
        <v/>
      </c>
      <c r="AL6" s="17">
        <f>IF(COUNTIFS(T_TTAFStock_Log[Part Name],$A6,T_TTAFStock_Log[WeekIndex],37)=0,"",SUMIFS(T_TTAFStock_Log[TTAF_Qty],T_TTAFStock_Log[Part Name],$A6,T_TTAFStock_Log[WeekIndex],37))</f>
        <v/>
      </c>
      <c r="AM6" s="17">
        <f>IF(COUNTIFS(T_TTAFStock_Log[Part Name],$A6,T_TTAFStock_Log[WeekIndex],38)=0,"",SUMIFS(T_TTAFStock_Log[TTAF_Qty],T_TTAFStock_Log[Part Name],$A6,T_TTAFStock_Log[WeekIndex],38))</f>
        <v/>
      </c>
      <c r="AN6" s="17">
        <f>IF(COUNTIFS(T_TTAFStock_Log[Part Name],$A6,T_TTAFStock_Log[WeekIndex],39)=0,"",SUMIFS(T_TTAFStock_Log[TTAF_Qty],T_TTAFStock_Log[Part Name],$A6,T_TTAFStock_Log[WeekIndex],39))</f>
        <v/>
      </c>
      <c r="AO6" s="17">
        <f>IF(COUNTIFS(T_TTAFStock_Log[Part Name],$A6,T_TTAFStock_Log[WeekIndex],40)=0,"",SUMIFS(T_TTAFStock_Log[TTAF_Qty],T_TTAFStock_Log[Part Name],$A6,T_TTAFStock_Log[WeekIndex],40))</f>
        <v/>
      </c>
      <c r="AP6" s="17">
        <f>IF(COUNTIFS(T_TTAFStock_Log[Part Name],$A6,T_TTAFStock_Log[WeekIndex],41)=0,"",SUMIFS(T_TTAFStock_Log[TTAF_Qty],T_TTAFStock_Log[Part Name],$A6,T_TTAFStock_Log[WeekIndex],41))</f>
        <v/>
      </c>
      <c r="AQ6" s="17">
        <f>IF(COUNTIFS(T_TTAFStock_Log[Part Name],$A6,T_TTAFStock_Log[WeekIndex],42)=0,"",SUMIFS(T_TTAFStock_Log[TTAF_Qty],T_TTAFStock_Log[Part Name],$A6,T_TTAFStock_Log[WeekIndex],42))</f>
        <v/>
      </c>
      <c r="AR6" s="17">
        <f>IF(COUNTIFS(T_TTAFStock_Log[Part Name],$A6,T_TTAFStock_Log[WeekIndex],43)=0,"",SUMIFS(T_TTAFStock_Log[TTAF_Qty],T_TTAFStock_Log[Part Name],$A6,T_TTAFStock_Log[WeekIndex],43))</f>
        <v/>
      </c>
      <c r="AS6" s="17">
        <f>IF(COUNTIFS(T_TTAFStock_Log[Part Name],$A6,T_TTAFStock_Log[WeekIndex],44)=0,"",SUMIFS(T_TTAFStock_Log[TTAF_Qty],T_TTAFStock_Log[Part Name],$A6,T_TTAFStock_Log[WeekIndex],44))</f>
        <v/>
      </c>
      <c r="AT6" s="17">
        <f>IF(COUNTIFS(T_TTAFStock_Log[Part Name],$A6,T_TTAFStock_Log[WeekIndex],45)=0,"",SUMIFS(T_TTAFStock_Log[TTAF_Qty],T_TTAFStock_Log[Part Name],$A6,T_TTAFStock_Log[WeekIndex],45))</f>
        <v/>
      </c>
      <c r="AU6" s="17">
        <f>IF(COUNTIFS(T_TTAFStock_Log[Part Name],$A6,T_TTAFStock_Log[WeekIndex],46)=0,"",SUMIFS(T_TTAFStock_Log[TTAF_Qty],T_TTAFStock_Log[Part Name],$A6,T_TTAFStock_Log[WeekIndex],46))</f>
        <v/>
      </c>
      <c r="AV6" s="17">
        <f>IF(COUNTIFS(T_TTAFStock_Log[Part Name],$A6,T_TTAFStock_Log[WeekIndex],47)=0,"",SUMIFS(T_TTAFStock_Log[TTAF_Qty],T_TTAFStock_Log[Part Name],$A6,T_TTAFStock_Log[WeekIndex],47))</f>
        <v/>
      </c>
      <c r="AW6" s="17">
        <f>IF(COUNTIFS(T_TTAFStock_Log[Part Name],$A6,T_TTAFStock_Log[WeekIndex],48)=0,"",SUMIFS(T_TTAFStock_Log[TTAF_Qty],T_TTAFStock_Log[Part Name],$A6,T_TTAFStock_Log[WeekIndex],48))</f>
        <v/>
      </c>
      <c r="AX6" s="17">
        <f>IF(COUNTIFS(T_TTAFStock_Log[Part Name],$A6,T_TTAFStock_Log[WeekIndex],49)=0,"",SUMIFS(T_TTAFStock_Log[TTAF_Qty],T_TTAFStock_Log[Part Name],$A6,T_TTAFStock_Log[WeekIndex],49))</f>
        <v/>
      </c>
      <c r="AY6" s="17">
        <f>IF(COUNTIFS(T_TTAFStock_Log[Part Name],$A6,T_TTAFStock_Log[WeekIndex],50)=0,"",SUMIFS(T_TTAFStock_Log[TTAF_Qty],T_TTAFStock_Log[Part Name],$A6,T_TTAFStock_Log[WeekIndex],50))</f>
        <v/>
      </c>
      <c r="AZ6" s="17">
        <f>IF(COUNTIFS(T_TTAFStock_Log[Part Name],$A6,T_TTAFStock_Log[WeekIndex],51)=0,"",SUMIFS(T_TTAFStock_Log[TTAF_Qty],T_TTAFStock_Log[Part Name],$A6,T_TTAFStock_Log[WeekIndex],51))</f>
        <v/>
      </c>
      <c r="BA6" s="17">
        <f>IF(COUNTIFS(T_TTAFStock_Log[Part Name],$A6,T_TTAFStock_Log[WeekIndex],52)=0,"",SUMIFS(T_TTAFStock_Log[TTAF_Qty],T_TTAFStock_Log[Part Name],$A6,T_TTAFStock_Log[WeekIndex],52))</f>
        <v/>
      </c>
      <c r="BB6" s="17">
        <f>IF(COUNTIFS(T_TTAFStock_Log[Part Name],$A6,T_TTAFStock_Log[WeekIndex],53)=0,"",SUMIFS(T_TTAFStock_Log[TTAF_Qty],T_TTAFStock_Log[Part Name],$A6,T_TTAFStock_Log[WeekIndex],53))</f>
        <v/>
      </c>
      <c r="BC6" s="17">
        <f>IF(COUNTIFS(T_TTAFStock_Log[Part Name],$A6,T_TTAFStock_Log[WeekIndex],54)=0,"",SUMIFS(T_TTAFStock_Log[TTAF_Qty],T_TTAFStock_Log[Part Name],$A6,T_TTAFStock_Log[WeekIndex],54))</f>
        <v/>
      </c>
      <c r="BD6" s="17">
        <f>IF(COUNTIFS(T_TTAFStock_Log[Part Name],$A6,T_TTAFStock_Log[WeekIndex],55)=0,"",SUMIFS(T_TTAFStock_Log[TTAF_Qty],T_TTAFStock_Log[Part Name],$A6,T_TTAFStock_Log[WeekIndex],55))</f>
        <v/>
      </c>
      <c r="BE6" s="17">
        <f>IF(COUNTIFS(T_TTAFStock_Log[Part Name],$A6,T_TTAFStock_Log[WeekIndex],56)=0,"",SUMIFS(T_TTAFStock_Log[TTAF_Qty],T_TTAFStock_Log[Part Name],$A6,T_TTAFStock_Log[WeekIndex],56))</f>
        <v/>
      </c>
      <c r="BF6" s="17">
        <f>IF(COUNTIFS(T_TTAFStock_Log[Part Name],$A6,T_TTAFStock_Log[WeekIndex],57)=0,"",SUMIFS(T_TTAFStock_Log[TTAF_Qty],T_TTAFStock_Log[Part Name],$A6,T_TTAFStock_Log[WeekIndex],57))</f>
        <v/>
      </c>
      <c r="BG6" s="17">
        <f>IF(COUNTIFS(T_TTAFStock_Log[Part Name],$A6,T_TTAFStock_Log[WeekIndex],58)=0,"",SUMIFS(T_TTAFStock_Log[TTAF_Qty],T_TTAFStock_Log[Part Name],$A6,T_TTAFStock_Log[WeekIndex],58))</f>
        <v/>
      </c>
      <c r="BH6" s="17">
        <f>IF(COUNTIFS(T_TTAFStock_Log[Part Name],$A6,T_TTAFStock_Log[WeekIndex],59)=0,"",SUMIFS(T_TTAFStock_Log[TTAF_Qty],T_TTAFStock_Log[Part Name],$A6,T_TTAFStock_Log[WeekIndex],59))</f>
        <v/>
      </c>
      <c r="BI6" s="17">
        <f>IF(COUNTIFS(T_TTAFStock_Log[Part Name],$A6,T_TTAFStock_Log[WeekIndex],60)=0,"",SUMIFS(T_TTAFStock_Log[TTAF_Qty],T_TTAFStock_Log[Part Name],$A6,T_TTAFStock_Log[WeekIndex],60))</f>
        <v/>
      </c>
      <c r="BJ6" s="17">
        <f>IF(COUNTIFS(T_TTAFStock_Log[Part Name],$A6,T_TTAFStock_Log[WeekIndex],61)=0,"",SUMIFS(T_TTAFStock_Log[TTAF_Qty],T_TTAFStock_Log[Part Name],$A6,T_TTAFStock_Log[WeekIndex],61))</f>
        <v/>
      </c>
      <c r="BK6" s="17">
        <f>IF(COUNTIFS(T_TTAFStock_Log[Part Name],$A6,T_TTAFStock_Log[WeekIndex],62)=0,"",SUMIFS(T_TTAFStock_Log[TTAF_Qty],T_TTAFStock_Log[Part Name],$A6,T_TTAFStock_Log[WeekIndex],62))</f>
        <v/>
      </c>
      <c r="BL6" s="17">
        <f>IF(COUNTIFS(T_TTAFStock_Log[Part Name],$A6,T_TTAFStock_Log[WeekIndex],63)=0,"",SUMIFS(T_TTAFStock_Log[TTAF_Qty],T_TTAFStock_Log[Part Name],$A6,T_TTAFStock_Log[WeekIndex],63))</f>
        <v/>
      </c>
      <c r="BM6" s="17">
        <f>IF(COUNTIFS(T_TTAFStock_Log[Part Name],$A6,T_TTAFStock_Log[WeekIndex],64)=0,"",SUMIFS(T_TTAFStock_Log[TTAF_Qty],T_TTAFStock_Log[Part Name],$A6,T_TTAFStock_Log[WeekIndex],64))</f>
        <v/>
      </c>
      <c r="BN6" s="17">
        <f>IF(COUNTIFS(T_TTAFStock_Log[Part Name],$A6,T_TTAFStock_Log[WeekIndex],65)=0,"",SUMIFS(T_TTAFStock_Log[TTAF_Qty],T_TTAFStock_Log[Part Name],$A6,T_TTAFStock_Log[WeekIndex],65))</f>
        <v/>
      </c>
      <c r="BO6" s="17">
        <f>IF(COUNTIFS(T_TTAFStock_Log[Part Name],$A6,T_TTAFStock_Log[WeekIndex],66)=0,"",SUMIFS(T_TTAFStock_Log[TTAF_Qty],T_TTAFStock_Log[Part Name],$A6,T_TTAFStock_Log[WeekIndex],66))</f>
        <v/>
      </c>
      <c r="BP6" s="17">
        <f>IF(COUNTIFS(T_TTAFStock_Log[Part Name],$A6,T_TTAFStock_Log[WeekIndex],67)=0,"",SUMIFS(T_TTAFStock_Log[TTAF_Qty],T_TTAFStock_Log[Part Name],$A6,T_TTAFStock_Log[WeekIndex],67))</f>
        <v/>
      </c>
      <c r="BQ6" s="17">
        <f>IF(COUNTIFS(T_TTAFStock_Log[Part Name],$A6,T_TTAFStock_Log[WeekIndex],68)=0,"",SUMIFS(T_TTAFStock_Log[TTAF_Qty],T_TTAFStock_Log[Part Name],$A6,T_TTAFStock_Log[WeekIndex],68))</f>
        <v/>
      </c>
      <c r="BR6" s="17">
        <f>IF(COUNTIFS(T_TTAFStock_Log[Part Name],$A6,T_TTAFStock_Log[WeekIndex],69)=0,"",SUMIFS(T_TTAFStock_Log[TTAF_Qty],T_TTAFStock_Log[Part Name],$A6,T_TTAFStock_Log[WeekIndex],69))</f>
        <v/>
      </c>
      <c r="BS6" s="17">
        <f>IF(COUNTIFS(T_TTAFStock_Log[Part Name],$A6,T_TTAFStock_Log[WeekIndex],70)=0,"",SUMIFS(T_TTAFStock_Log[TTAF_Qty],T_TTAFStock_Log[Part Name],$A6,T_TTAFStock_Log[WeekIndex],70))</f>
        <v/>
      </c>
      <c r="BT6" s="17">
        <f>IF(COUNTIFS(T_TTAFStock_Log[Part Name],$A6,T_TTAFStock_Log[WeekIndex],71)=0,"",SUMIFS(T_TTAFStock_Log[TTAF_Qty],T_TTAFStock_Log[Part Name],$A6,T_TTAFStock_Log[WeekIndex],71))</f>
        <v/>
      </c>
      <c r="BU6" s="17">
        <f>IF(COUNTIFS(T_TTAFStock_Log[Part Name],$A6,T_TTAFStock_Log[WeekIndex],72)=0,"",SUMIFS(T_TTAFStock_Log[TTAF_Qty],T_TTAFStock_Log[Part Name],$A6,T_TTAFStock_Log[WeekIndex],72))</f>
        <v/>
      </c>
      <c r="BV6" s="17">
        <f>IF(COUNTIFS(T_TTAFStock_Log[Part Name],$A6,T_TTAFStock_Log[WeekIndex],73)=0,"",SUMIFS(T_TTAFStock_Log[TTAF_Qty],T_TTAFStock_Log[Part Name],$A6,T_TTAFStock_Log[WeekIndex],73))</f>
        <v/>
      </c>
      <c r="BW6" s="17">
        <f>IF(COUNTIFS(T_TTAFStock_Log[Part Name],$A6,T_TTAFStock_Log[WeekIndex],74)=0,"",SUMIFS(T_TTAFStock_Log[TTAF_Qty],T_TTAFStock_Log[Part Name],$A6,T_TTAFStock_Log[WeekIndex],74))</f>
        <v/>
      </c>
      <c r="BX6" s="17">
        <f>IF(COUNTIFS(T_TTAFStock_Log[Part Name],$A6,T_TTAFStock_Log[WeekIndex],75)=0,"",SUMIFS(T_TTAFStock_Log[TTAF_Qty],T_TTAFStock_Log[Part Name],$A6,T_TTAFStock_Log[WeekIndex],75))</f>
        <v/>
      </c>
      <c r="BY6" s="17">
        <f>IF(COUNTIFS(T_TTAFStock_Log[Part Name],$A6,T_TTAFStock_Log[WeekIndex],76)=0,"",SUMIFS(T_TTAFStock_Log[TTAF_Qty],T_TTAFStock_Log[Part Name],$A6,T_TTAFStock_Log[WeekIndex],76))</f>
        <v/>
      </c>
      <c r="BZ6" s="17">
        <f>IF(COUNTIFS(T_TTAFStock_Log[Part Name],$A6,T_TTAFStock_Log[WeekIndex],77)=0,"",SUMIFS(T_TTAFStock_Log[TTAF_Qty],T_TTAFStock_Log[Part Name],$A6,T_TTAFStock_Log[WeekIndex],77))</f>
        <v/>
      </c>
      <c r="CA6" s="17">
        <f>IF(COUNTIFS(T_TTAFStock_Log[Part Name],$A6,T_TTAFStock_Log[WeekIndex],78)=0,"",SUMIFS(T_TTAFStock_Log[TTAF_Qty],T_TTAFStock_Log[Part Name],$A6,T_TTAFStock_Log[WeekIndex],78))</f>
        <v/>
      </c>
      <c r="CB6" s="17">
        <f>IF(COUNTIFS(T_TTAFStock_Log[Part Name],$A6,T_TTAFStock_Log[WeekIndex],79)=0,"",SUMIFS(T_TTAFStock_Log[TTAF_Qty],T_TTAFStock_Log[Part Name],$A6,T_TTAFStock_Log[WeekIndex],79))</f>
        <v/>
      </c>
      <c r="CC6" s="17">
        <f>IF(COUNTIFS(T_TTAFStock_Log[Part Name],$A6,T_TTAFStock_Log[WeekIndex],80)=0,"",SUMIFS(T_TTAFStock_Log[TTAF_Qty],T_TTAFStock_Log[Part Name],$A6,T_TTAFStock_Log[WeekIndex],80))</f>
        <v/>
      </c>
      <c r="CD6" s="17">
        <f>IF(COUNTIFS(T_TTAFStock_Log[Part Name],$A6,T_TTAFStock_Log[WeekIndex],81)=0,"",SUMIFS(T_TTAFStock_Log[TTAF_Qty],T_TTAFStock_Log[Part Name],$A6,T_TTAFStock_Log[WeekIndex],81))</f>
        <v/>
      </c>
      <c r="CE6" s="17">
        <f>IF(COUNTIFS(T_TTAFStock_Log[Part Name],$A6,T_TTAFStock_Log[WeekIndex],82)=0,"",SUMIFS(T_TTAFStock_Log[TTAF_Qty],T_TTAFStock_Log[Part Name],$A6,T_TTAFStock_Log[WeekIndex],82))</f>
        <v/>
      </c>
      <c r="CF6" s="17">
        <f>IF(COUNTIFS(T_TTAFStock_Log[Part Name],$A6,T_TTAFStock_Log[WeekIndex],83)=0,"",SUMIFS(T_TTAFStock_Log[TTAF_Qty],T_TTAFStock_Log[Part Name],$A6,T_TTAFStock_Log[WeekIndex],83))</f>
        <v/>
      </c>
      <c r="CG6" s="17">
        <f>IF(COUNTIFS(T_TTAFStock_Log[Part Name],$A6,T_TTAFStock_Log[WeekIndex],84)=0,"",SUMIFS(T_TTAFStock_Log[TTAF_Qty],T_TTAFStock_Log[Part Name],$A6,T_TTAFStock_Log[WeekIndex],84))</f>
        <v/>
      </c>
      <c r="CH6" s="17">
        <f>IF(COUNTIFS(T_TTAFStock_Log[Part Name],$A6,T_TTAFStock_Log[WeekIndex],85)=0,"",SUMIFS(T_TTAFStock_Log[TTAF_Qty],T_TTAFStock_Log[Part Name],$A6,T_TTAFStock_Log[WeekIndex],85))</f>
        <v/>
      </c>
      <c r="CI6" s="17">
        <f>IF(COUNTIFS(T_TTAFStock_Log[Part Name],$A6,T_TTAFStock_Log[WeekIndex],86)=0,"",SUMIFS(T_TTAFStock_Log[TTAF_Qty],T_TTAFStock_Log[Part Name],$A6,T_TTAFStock_Log[WeekIndex],86))</f>
        <v/>
      </c>
      <c r="CJ6" s="17">
        <f>IF(COUNTIFS(T_TTAFStock_Log[Part Name],$A6,T_TTAFStock_Log[WeekIndex],87)=0,"",SUMIFS(T_TTAFStock_Log[TTAF_Qty],T_TTAFStock_Log[Part Name],$A6,T_TTAFStock_Log[WeekIndex],87))</f>
        <v/>
      </c>
      <c r="CK6" s="17">
        <f>IF(COUNTIFS(T_TTAFStock_Log[Part Name],$A6,T_TTAFStock_Log[WeekIndex],88)=0,"",SUMIFS(T_TTAFStock_Log[TTAF_Qty],T_TTAFStock_Log[Part Name],$A6,T_TTAFStock_Log[WeekIndex],88))</f>
        <v/>
      </c>
      <c r="CL6" s="17">
        <f>IF(COUNTIFS(T_TTAFStock_Log[Part Name],$A6,T_TTAFStock_Log[WeekIndex],89)=0,"",SUMIFS(T_TTAFStock_Log[TTAF_Qty],T_TTAFStock_Log[Part Name],$A6,T_TTAFStock_Log[WeekIndex],89))</f>
        <v/>
      </c>
      <c r="CM6" s="17">
        <f>IF(COUNTIFS(T_TTAFStock_Log[Part Name],$A6,T_TTAFStock_Log[WeekIndex],90)=0,"",SUMIFS(T_TTAFStock_Log[TTAF_Qty],T_TTAFStock_Log[Part Name],$A6,T_TTAFStock_Log[WeekIndex],90))</f>
        <v/>
      </c>
      <c r="CN6" s="17">
        <f>IF(COUNTIFS(T_TTAFStock_Log[Part Name],$A6,T_TTAFStock_Log[WeekIndex],91)=0,"",SUMIFS(T_TTAFStock_Log[TTAF_Qty],T_TTAFStock_Log[Part Name],$A6,T_TTAFStock_Log[WeekIndex],91))</f>
        <v/>
      </c>
      <c r="CO6" s="17">
        <f>IF(COUNTIFS(T_TTAFStock_Log[Part Name],$A6,T_TTAFStock_Log[WeekIndex],92)=0,"",SUMIFS(T_TTAFStock_Log[TTAF_Qty],T_TTAFStock_Log[Part Name],$A6,T_TTAFStock_Log[WeekIndex],92))</f>
        <v/>
      </c>
      <c r="CP6" s="17">
        <f>IF(COUNTIFS(T_TTAFStock_Log[Part Name],$A6,T_TTAFStock_Log[WeekIndex],93)=0,"",SUMIFS(T_TTAFStock_Log[TTAF_Qty],T_TTAFStock_Log[Part Name],$A6,T_TTAFStock_Log[WeekIndex],93))</f>
        <v/>
      </c>
      <c r="CQ6" s="17">
        <f>IF(COUNTIFS(T_TTAFStock_Log[Part Name],$A6,T_TTAFStock_Log[WeekIndex],94)=0,"",SUMIFS(T_TTAFStock_Log[TTAF_Qty],T_TTAFStock_Log[Part Name],$A6,T_TTAFStock_Log[WeekIndex],94))</f>
        <v/>
      </c>
      <c r="CR6" s="17">
        <f>IF(COUNTIFS(T_TTAFStock_Log[Part Name],$A6,T_TTAFStock_Log[WeekIndex],95)=0,"",SUMIFS(T_TTAFStock_Log[TTAF_Qty],T_TTAFStock_Log[Part Name],$A6,T_TTAFStock_Log[WeekIndex],95))</f>
        <v/>
      </c>
      <c r="CS6" s="17">
        <f>IF(COUNTIFS(T_TTAFStock_Log[Part Name],$A6,T_TTAFStock_Log[WeekIndex],96)=0,"",SUMIFS(T_TTAFStock_Log[TTAF_Qty],T_TTAFStock_Log[Part Name],$A6,T_TTAFStock_Log[WeekIndex],96))</f>
        <v/>
      </c>
      <c r="CT6" s="17">
        <f>IF(COUNTIFS(T_TTAFStock_Log[Part Name],$A6,T_TTAFStock_Log[WeekIndex],97)=0,"",SUMIFS(T_TTAFStock_Log[TTAF_Qty],T_TTAFStock_Log[Part Name],$A6,T_TTAFStock_Log[WeekIndex],97))</f>
        <v/>
      </c>
      <c r="CU6" s="17">
        <f>IF(COUNTIFS(T_TTAFStock_Log[Part Name],$A6,T_TTAFStock_Log[WeekIndex],98)=0,"",SUMIFS(T_TTAFStock_Log[TTAF_Qty],T_TTAFStock_Log[Part Name],$A6,T_TTAFStock_Log[WeekIndex],98))</f>
        <v/>
      </c>
      <c r="CV6" s="17">
        <f>IF(COUNTIFS(T_TTAFStock_Log[Part Name],$A6,T_TTAFStock_Log[WeekIndex],99)=0,"",SUMIFS(T_TTAFStock_Log[TTAF_Qty],T_TTAFStock_Log[Part Name],$A6,T_TTAFStock_Log[WeekIndex],99))</f>
        <v/>
      </c>
      <c r="CW6" s="17">
        <f>IF(COUNTIFS(T_TTAFStock_Log[Part Name],$A6,T_TTAFStock_Log[WeekIndex],100)=0,"",SUMIFS(T_TTAFStock_Log[TTAF_Qty],T_TTAFStock_Log[Part Name],$A6,T_TTAFStock_Log[WeekIndex],100))</f>
        <v/>
      </c>
      <c r="CX6" s="17">
        <f>IF(COUNTIFS(T_TTAFStock_Log[Part Name],$A6,T_TTAFStock_Log[WeekIndex],101)=0,"",SUMIFS(T_TTAFStock_Log[TTAF_Qty],T_TTAFStock_Log[Part Name],$A6,T_TTAFStock_Log[WeekIndex],101))</f>
        <v/>
      </c>
      <c r="CY6" s="17">
        <f>IF(COUNTIFS(T_TTAFStock_Log[Part Name],$A6,T_TTAFStock_Log[WeekIndex],102)=0,"",SUMIFS(T_TTAFStock_Log[TTAF_Qty],T_TTAFStock_Log[Part Name],$A6,T_TTAFStock_Log[WeekIndex],102))</f>
        <v/>
      </c>
      <c r="CZ6" s="17">
        <f>IF(COUNTIFS(T_TTAFStock_Log[Part Name],$A6,T_TTAFStock_Log[WeekIndex],103)=0,"",SUMIFS(T_TTAFStock_Log[TTAF_Qty],T_TTAFStock_Log[Part Name],$A6,T_TTAFStock_Log[WeekIndex],103))</f>
        <v/>
      </c>
      <c r="DA6" s="17">
        <f>IF(COUNTIFS(T_TTAFStock_Log[Part Name],$A6,T_TTAFStock_Log[WeekIndex],104)=0,"",SUMIFS(T_TTAFStock_Log[TTAF_Qty],T_TTAFStock_Log[Part Name],$A6,T_TTAFStock_Log[WeekIndex],104))</f>
        <v/>
      </c>
    </row>
    <row r="7">
      <c r="A7" s="19" t="inlineStr">
        <is>
          <t>1EK</t>
        </is>
      </c>
      <c r="B7" s="19">
        <f>IF(COUNTIFS(T_TTAFStock_Log[Part Name],$A7,T_TTAFStock_Log[WeekIndex],1)=0,"",SUMIFS(T_TTAFStock_Log[TTAF_Qty],T_TTAFStock_Log[Part Name],$A7,T_TTAFStock_Log[WeekIndex],1))</f>
        <v/>
      </c>
      <c r="C7" s="19">
        <f>IF(COUNTIFS(T_TTAFStock_Log[Part Name],$A7,T_TTAFStock_Log[WeekIndex],2)=0,"",SUMIFS(T_TTAFStock_Log[TTAF_Qty],T_TTAFStock_Log[Part Name],$A7,T_TTAFStock_Log[WeekIndex],2))</f>
        <v/>
      </c>
      <c r="D7" s="19">
        <f>IF(COUNTIFS(T_TTAFStock_Log[Part Name],$A7,T_TTAFStock_Log[WeekIndex],3)=0,"",SUMIFS(T_TTAFStock_Log[TTAF_Qty],T_TTAFStock_Log[Part Name],$A7,T_TTAFStock_Log[WeekIndex],3))</f>
        <v/>
      </c>
      <c r="E7" s="19">
        <f>IF(COUNTIFS(T_TTAFStock_Log[Part Name],$A7,T_TTAFStock_Log[WeekIndex],4)=0,"",SUMIFS(T_TTAFStock_Log[TTAF_Qty],T_TTAFStock_Log[Part Name],$A7,T_TTAFStock_Log[WeekIndex],4))</f>
        <v/>
      </c>
      <c r="F7" s="19">
        <f>IF(COUNTIFS(T_TTAFStock_Log[Part Name],$A7,T_TTAFStock_Log[WeekIndex],5)=0,"",SUMIFS(T_TTAFStock_Log[TTAF_Qty],T_TTAFStock_Log[Part Name],$A7,T_TTAFStock_Log[WeekIndex],5))</f>
        <v/>
      </c>
      <c r="G7" s="19">
        <f>IF(COUNTIFS(T_TTAFStock_Log[Part Name],$A7,T_TTAFStock_Log[WeekIndex],6)=0,"",SUMIFS(T_TTAFStock_Log[TTAF_Qty],T_TTAFStock_Log[Part Name],$A7,T_TTAFStock_Log[WeekIndex],6))</f>
        <v/>
      </c>
      <c r="H7" s="19">
        <f>IF(COUNTIFS(T_TTAFStock_Log[Part Name],$A7,T_TTAFStock_Log[WeekIndex],7)=0,"",SUMIFS(T_TTAFStock_Log[TTAF_Qty],T_TTAFStock_Log[Part Name],$A7,T_TTAFStock_Log[WeekIndex],7))</f>
        <v/>
      </c>
      <c r="I7" s="19">
        <f>IF(COUNTIFS(T_TTAFStock_Log[Part Name],$A7,T_TTAFStock_Log[WeekIndex],8)=0,"",SUMIFS(T_TTAFStock_Log[TTAF_Qty],T_TTAFStock_Log[Part Name],$A7,T_TTAFStock_Log[WeekIndex],8))</f>
        <v/>
      </c>
      <c r="J7" s="19">
        <f>IF(COUNTIFS(T_TTAFStock_Log[Part Name],$A7,T_TTAFStock_Log[WeekIndex],9)=0,"",SUMIFS(T_TTAFStock_Log[TTAF_Qty],T_TTAFStock_Log[Part Name],$A7,T_TTAFStock_Log[WeekIndex],9))</f>
        <v/>
      </c>
      <c r="K7" s="19">
        <f>IF(COUNTIFS(T_TTAFStock_Log[Part Name],$A7,T_TTAFStock_Log[WeekIndex],10)=0,"",SUMIFS(T_TTAFStock_Log[TTAF_Qty],T_TTAFStock_Log[Part Name],$A7,T_TTAFStock_Log[WeekIndex],10))</f>
        <v/>
      </c>
      <c r="L7" s="19">
        <f>IF(COUNTIFS(T_TTAFStock_Log[Part Name],$A7,T_TTAFStock_Log[WeekIndex],11)=0,"",SUMIFS(T_TTAFStock_Log[TTAF_Qty],T_TTAFStock_Log[Part Name],$A7,T_TTAFStock_Log[WeekIndex],11))</f>
        <v/>
      </c>
      <c r="M7" s="19">
        <f>IF(COUNTIFS(T_TTAFStock_Log[Part Name],$A7,T_TTAFStock_Log[WeekIndex],12)=0,"",SUMIFS(T_TTAFStock_Log[TTAF_Qty],T_TTAFStock_Log[Part Name],$A7,T_TTAFStock_Log[WeekIndex],12))</f>
        <v/>
      </c>
      <c r="N7" s="19">
        <f>IF(COUNTIFS(T_TTAFStock_Log[Part Name],$A7,T_TTAFStock_Log[WeekIndex],13)=0,"",SUMIFS(T_TTAFStock_Log[TTAF_Qty],T_TTAFStock_Log[Part Name],$A7,T_TTAFStock_Log[WeekIndex],13))</f>
        <v/>
      </c>
      <c r="O7" s="19">
        <f>IF(COUNTIFS(T_TTAFStock_Log[Part Name],$A7,T_TTAFStock_Log[WeekIndex],14)=0,"",SUMIFS(T_TTAFStock_Log[TTAF_Qty],T_TTAFStock_Log[Part Name],$A7,T_TTAFStock_Log[WeekIndex],14))</f>
        <v/>
      </c>
      <c r="P7" s="19">
        <f>IF(COUNTIFS(T_TTAFStock_Log[Part Name],$A7,T_TTAFStock_Log[WeekIndex],15)=0,"",SUMIFS(T_TTAFStock_Log[TTAF_Qty],T_TTAFStock_Log[Part Name],$A7,T_TTAFStock_Log[WeekIndex],15))</f>
        <v/>
      </c>
      <c r="Q7" s="19">
        <f>IF(COUNTIFS(T_TTAFStock_Log[Part Name],$A7,T_TTAFStock_Log[WeekIndex],16)=0,"",SUMIFS(T_TTAFStock_Log[TTAF_Qty],T_TTAFStock_Log[Part Name],$A7,T_TTAFStock_Log[WeekIndex],16))</f>
        <v/>
      </c>
      <c r="R7" s="19">
        <f>IF(COUNTIFS(T_TTAFStock_Log[Part Name],$A7,T_TTAFStock_Log[WeekIndex],17)=0,"",SUMIFS(T_TTAFStock_Log[TTAF_Qty],T_TTAFStock_Log[Part Name],$A7,T_TTAFStock_Log[WeekIndex],17))</f>
        <v/>
      </c>
      <c r="S7" s="19">
        <f>IF(COUNTIFS(T_TTAFStock_Log[Part Name],$A7,T_TTAFStock_Log[WeekIndex],18)=0,"",SUMIFS(T_TTAFStock_Log[TTAF_Qty],T_TTAFStock_Log[Part Name],$A7,T_TTAFStock_Log[WeekIndex],18))</f>
        <v/>
      </c>
      <c r="T7" s="19">
        <f>IF(COUNTIFS(T_TTAFStock_Log[Part Name],$A7,T_TTAFStock_Log[WeekIndex],19)=0,"",SUMIFS(T_TTAFStock_Log[TTAF_Qty],T_TTAFStock_Log[Part Name],$A7,T_TTAFStock_Log[WeekIndex],19))</f>
        <v/>
      </c>
      <c r="U7" s="19">
        <f>IF(COUNTIFS(T_TTAFStock_Log[Part Name],$A7,T_TTAFStock_Log[WeekIndex],20)=0,"",SUMIFS(T_TTAFStock_Log[TTAF_Qty],T_TTAFStock_Log[Part Name],$A7,T_TTAFStock_Log[WeekIndex],20))</f>
        <v/>
      </c>
      <c r="V7" s="19">
        <f>IF(COUNTIFS(T_TTAFStock_Log[Part Name],$A7,T_TTAFStock_Log[WeekIndex],21)=0,"",SUMIFS(T_TTAFStock_Log[TTAF_Qty],T_TTAFStock_Log[Part Name],$A7,T_TTAFStock_Log[WeekIndex],21))</f>
        <v/>
      </c>
      <c r="W7" s="19">
        <f>IF(COUNTIFS(T_TTAFStock_Log[Part Name],$A7,T_TTAFStock_Log[WeekIndex],22)=0,"",SUMIFS(T_TTAFStock_Log[TTAF_Qty],T_TTAFStock_Log[Part Name],$A7,T_TTAFStock_Log[WeekIndex],22))</f>
        <v/>
      </c>
      <c r="X7" s="19">
        <f>IF(COUNTIFS(T_TTAFStock_Log[Part Name],$A7,T_TTAFStock_Log[WeekIndex],23)=0,"",SUMIFS(T_TTAFStock_Log[TTAF_Qty],T_TTAFStock_Log[Part Name],$A7,T_TTAFStock_Log[WeekIndex],23))</f>
        <v/>
      </c>
      <c r="Y7" s="19">
        <f>IF(COUNTIFS(T_TTAFStock_Log[Part Name],$A7,T_TTAFStock_Log[WeekIndex],24)=0,"",SUMIFS(T_TTAFStock_Log[TTAF_Qty],T_TTAFStock_Log[Part Name],$A7,T_TTAFStock_Log[WeekIndex],24))</f>
        <v/>
      </c>
      <c r="Z7" s="19">
        <f>IF(COUNTIFS(T_TTAFStock_Log[Part Name],$A7,T_TTAFStock_Log[WeekIndex],25)=0,"",SUMIFS(T_TTAFStock_Log[TTAF_Qty],T_TTAFStock_Log[Part Name],$A7,T_TTAFStock_Log[WeekIndex],25))</f>
        <v/>
      </c>
      <c r="AA7" s="19">
        <f>IF(COUNTIFS(T_TTAFStock_Log[Part Name],$A7,T_TTAFStock_Log[WeekIndex],26)=0,"",SUMIFS(T_TTAFStock_Log[TTAF_Qty],T_TTAFStock_Log[Part Name],$A7,T_TTAFStock_Log[WeekIndex],26))</f>
        <v/>
      </c>
      <c r="AB7" s="19">
        <f>IF(COUNTIFS(T_TTAFStock_Log[Part Name],$A7,T_TTAFStock_Log[WeekIndex],27)=0,"",SUMIFS(T_TTAFStock_Log[TTAF_Qty],T_TTAFStock_Log[Part Name],$A7,T_TTAFStock_Log[WeekIndex],27))</f>
        <v/>
      </c>
      <c r="AC7" s="19">
        <f>IF(COUNTIFS(T_TTAFStock_Log[Part Name],$A7,T_TTAFStock_Log[WeekIndex],28)=0,"",SUMIFS(T_TTAFStock_Log[TTAF_Qty],T_TTAFStock_Log[Part Name],$A7,T_TTAFStock_Log[WeekIndex],28))</f>
        <v/>
      </c>
      <c r="AD7" s="19">
        <f>IF(COUNTIFS(T_TTAFStock_Log[Part Name],$A7,T_TTAFStock_Log[WeekIndex],29)=0,"",SUMIFS(T_TTAFStock_Log[TTAF_Qty],T_TTAFStock_Log[Part Name],$A7,T_TTAFStock_Log[WeekIndex],29))</f>
        <v/>
      </c>
      <c r="AE7" s="19">
        <f>IF(COUNTIFS(T_TTAFStock_Log[Part Name],$A7,T_TTAFStock_Log[WeekIndex],30)=0,"",SUMIFS(T_TTAFStock_Log[TTAF_Qty],T_TTAFStock_Log[Part Name],$A7,T_TTAFStock_Log[WeekIndex],30))</f>
        <v/>
      </c>
      <c r="AF7" s="19">
        <f>IF(COUNTIFS(T_TTAFStock_Log[Part Name],$A7,T_TTAFStock_Log[WeekIndex],31)=0,"",SUMIFS(T_TTAFStock_Log[TTAF_Qty],T_TTAFStock_Log[Part Name],$A7,T_TTAFStock_Log[WeekIndex],31))</f>
        <v/>
      </c>
      <c r="AG7" s="19">
        <f>IF(COUNTIFS(T_TTAFStock_Log[Part Name],$A7,T_TTAFStock_Log[WeekIndex],32)=0,"",SUMIFS(T_TTAFStock_Log[TTAF_Qty],T_TTAFStock_Log[Part Name],$A7,T_TTAFStock_Log[WeekIndex],32))</f>
        <v/>
      </c>
      <c r="AH7" s="19">
        <f>IF(COUNTIFS(T_TTAFStock_Log[Part Name],$A7,T_TTAFStock_Log[WeekIndex],33)=0,"",SUMIFS(T_TTAFStock_Log[TTAF_Qty],T_TTAFStock_Log[Part Name],$A7,T_TTAFStock_Log[WeekIndex],33))</f>
        <v/>
      </c>
      <c r="AI7" s="19">
        <f>IF(COUNTIFS(T_TTAFStock_Log[Part Name],$A7,T_TTAFStock_Log[WeekIndex],34)=0,"",SUMIFS(T_TTAFStock_Log[TTAF_Qty],T_TTAFStock_Log[Part Name],$A7,T_TTAFStock_Log[WeekIndex],34))</f>
        <v/>
      </c>
      <c r="AJ7" s="19">
        <f>IF(COUNTIFS(T_TTAFStock_Log[Part Name],$A7,T_TTAFStock_Log[WeekIndex],35)=0,"",SUMIFS(T_TTAFStock_Log[TTAF_Qty],T_TTAFStock_Log[Part Name],$A7,T_TTAFStock_Log[WeekIndex],35))</f>
        <v/>
      </c>
      <c r="AK7" s="19">
        <f>IF(COUNTIFS(T_TTAFStock_Log[Part Name],$A7,T_TTAFStock_Log[WeekIndex],36)=0,"",SUMIFS(T_TTAFStock_Log[TTAF_Qty],T_TTAFStock_Log[Part Name],$A7,T_TTAFStock_Log[WeekIndex],36))</f>
        <v/>
      </c>
      <c r="AL7" s="19">
        <f>IF(COUNTIFS(T_TTAFStock_Log[Part Name],$A7,T_TTAFStock_Log[WeekIndex],37)=0,"",SUMIFS(T_TTAFStock_Log[TTAF_Qty],T_TTAFStock_Log[Part Name],$A7,T_TTAFStock_Log[WeekIndex],37))</f>
        <v/>
      </c>
      <c r="AM7" s="19">
        <f>IF(COUNTIFS(T_TTAFStock_Log[Part Name],$A7,T_TTAFStock_Log[WeekIndex],38)=0,"",SUMIFS(T_TTAFStock_Log[TTAF_Qty],T_TTAFStock_Log[Part Name],$A7,T_TTAFStock_Log[WeekIndex],38))</f>
        <v/>
      </c>
      <c r="AN7" s="19">
        <f>IF(COUNTIFS(T_TTAFStock_Log[Part Name],$A7,T_TTAFStock_Log[WeekIndex],39)=0,"",SUMIFS(T_TTAFStock_Log[TTAF_Qty],T_TTAFStock_Log[Part Name],$A7,T_TTAFStock_Log[WeekIndex],39))</f>
        <v/>
      </c>
      <c r="AO7" s="19">
        <f>IF(COUNTIFS(T_TTAFStock_Log[Part Name],$A7,T_TTAFStock_Log[WeekIndex],40)=0,"",SUMIFS(T_TTAFStock_Log[TTAF_Qty],T_TTAFStock_Log[Part Name],$A7,T_TTAFStock_Log[WeekIndex],40))</f>
        <v/>
      </c>
      <c r="AP7" s="19">
        <f>IF(COUNTIFS(T_TTAFStock_Log[Part Name],$A7,T_TTAFStock_Log[WeekIndex],41)=0,"",SUMIFS(T_TTAFStock_Log[TTAF_Qty],T_TTAFStock_Log[Part Name],$A7,T_TTAFStock_Log[WeekIndex],41))</f>
        <v/>
      </c>
      <c r="AQ7" s="19">
        <f>IF(COUNTIFS(T_TTAFStock_Log[Part Name],$A7,T_TTAFStock_Log[WeekIndex],42)=0,"",SUMIFS(T_TTAFStock_Log[TTAF_Qty],T_TTAFStock_Log[Part Name],$A7,T_TTAFStock_Log[WeekIndex],42))</f>
        <v/>
      </c>
      <c r="AR7" s="19">
        <f>IF(COUNTIFS(T_TTAFStock_Log[Part Name],$A7,T_TTAFStock_Log[WeekIndex],43)=0,"",SUMIFS(T_TTAFStock_Log[TTAF_Qty],T_TTAFStock_Log[Part Name],$A7,T_TTAFStock_Log[WeekIndex],43))</f>
        <v/>
      </c>
      <c r="AS7" s="19">
        <f>IF(COUNTIFS(T_TTAFStock_Log[Part Name],$A7,T_TTAFStock_Log[WeekIndex],44)=0,"",SUMIFS(T_TTAFStock_Log[TTAF_Qty],T_TTAFStock_Log[Part Name],$A7,T_TTAFStock_Log[WeekIndex],44))</f>
        <v/>
      </c>
      <c r="AT7" s="19">
        <f>IF(COUNTIFS(T_TTAFStock_Log[Part Name],$A7,T_TTAFStock_Log[WeekIndex],45)=0,"",SUMIFS(T_TTAFStock_Log[TTAF_Qty],T_TTAFStock_Log[Part Name],$A7,T_TTAFStock_Log[WeekIndex],45))</f>
        <v/>
      </c>
      <c r="AU7" s="19">
        <f>IF(COUNTIFS(T_TTAFStock_Log[Part Name],$A7,T_TTAFStock_Log[WeekIndex],46)=0,"",SUMIFS(T_TTAFStock_Log[TTAF_Qty],T_TTAFStock_Log[Part Name],$A7,T_TTAFStock_Log[WeekIndex],46))</f>
        <v/>
      </c>
      <c r="AV7" s="19">
        <f>IF(COUNTIFS(T_TTAFStock_Log[Part Name],$A7,T_TTAFStock_Log[WeekIndex],47)=0,"",SUMIFS(T_TTAFStock_Log[TTAF_Qty],T_TTAFStock_Log[Part Name],$A7,T_TTAFStock_Log[WeekIndex],47))</f>
        <v/>
      </c>
      <c r="AW7" s="19">
        <f>IF(COUNTIFS(T_TTAFStock_Log[Part Name],$A7,T_TTAFStock_Log[WeekIndex],48)=0,"",SUMIFS(T_TTAFStock_Log[TTAF_Qty],T_TTAFStock_Log[Part Name],$A7,T_TTAFStock_Log[WeekIndex],48))</f>
        <v/>
      </c>
      <c r="AX7" s="19">
        <f>IF(COUNTIFS(T_TTAFStock_Log[Part Name],$A7,T_TTAFStock_Log[WeekIndex],49)=0,"",SUMIFS(T_TTAFStock_Log[TTAF_Qty],T_TTAFStock_Log[Part Name],$A7,T_TTAFStock_Log[WeekIndex],49))</f>
        <v/>
      </c>
      <c r="AY7" s="19">
        <f>IF(COUNTIFS(T_TTAFStock_Log[Part Name],$A7,T_TTAFStock_Log[WeekIndex],50)=0,"",SUMIFS(T_TTAFStock_Log[TTAF_Qty],T_TTAFStock_Log[Part Name],$A7,T_TTAFStock_Log[WeekIndex],50))</f>
        <v/>
      </c>
      <c r="AZ7" s="19">
        <f>IF(COUNTIFS(T_TTAFStock_Log[Part Name],$A7,T_TTAFStock_Log[WeekIndex],51)=0,"",SUMIFS(T_TTAFStock_Log[TTAF_Qty],T_TTAFStock_Log[Part Name],$A7,T_TTAFStock_Log[WeekIndex],51))</f>
        <v/>
      </c>
      <c r="BA7" s="19">
        <f>IF(COUNTIFS(T_TTAFStock_Log[Part Name],$A7,T_TTAFStock_Log[WeekIndex],52)=0,"",SUMIFS(T_TTAFStock_Log[TTAF_Qty],T_TTAFStock_Log[Part Name],$A7,T_TTAFStock_Log[WeekIndex],52))</f>
        <v/>
      </c>
      <c r="BB7" s="19">
        <f>IF(COUNTIFS(T_TTAFStock_Log[Part Name],$A7,T_TTAFStock_Log[WeekIndex],53)=0,"",SUMIFS(T_TTAFStock_Log[TTAF_Qty],T_TTAFStock_Log[Part Name],$A7,T_TTAFStock_Log[WeekIndex],53))</f>
        <v/>
      </c>
      <c r="BC7" s="19">
        <f>IF(COUNTIFS(T_TTAFStock_Log[Part Name],$A7,T_TTAFStock_Log[WeekIndex],54)=0,"",SUMIFS(T_TTAFStock_Log[TTAF_Qty],T_TTAFStock_Log[Part Name],$A7,T_TTAFStock_Log[WeekIndex],54))</f>
        <v/>
      </c>
      <c r="BD7" s="19">
        <f>IF(COUNTIFS(T_TTAFStock_Log[Part Name],$A7,T_TTAFStock_Log[WeekIndex],55)=0,"",SUMIFS(T_TTAFStock_Log[TTAF_Qty],T_TTAFStock_Log[Part Name],$A7,T_TTAFStock_Log[WeekIndex],55))</f>
        <v/>
      </c>
      <c r="BE7" s="19">
        <f>IF(COUNTIFS(T_TTAFStock_Log[Part Name],$A7,T_TTAFStock_Log[WeekIndex],56)=0,"",SUMIFS(T_TTAFStock_Log[TTAF_Qty],T_TTAFStock_Log[Part Name],$A7,T_TTAFStock_Log[WeekIndex],56))</f>
        <v/>
      </c>
      <c r="BF7" s="19">
        <f>IF(COUNTIFS(T_TTAFStock_Log[Part Name],$A7,T_TTAFStock_Log[WeekIndex],57)=0,"",SUMIFS(T_TTAFStock_Log[TTAF_Qty],T_TTAFStock_Log[Part Name],$A7,T_TTAFStock_Log[WeekIndex],57))</f>
        <v/>
      </c>
      <c r="BG7" s="19">
        <f>IF(COUNTIFS(T_TTAFStock_Log[Part Name],$A7,T_TTAFStock_Log[WeekIndex],58)=0,"",SUMIFS(T_TTAFStock_Log[TTAF_Qty],T_TTAFStock_Log[Part Name],$A7,T_TTAFStock_Log[WeekIndex],58))</f>
        <v/>
      </c>
      <c r="BH7" s="19">
        <f>IF(COUNTIFS(T_TTAFStock_Log[Part Name],$A7,T_TTAFStock_Log[WeekIndex],59)=0,"",SUMIFS(T_TTAFStock_Log[TTAF_Qty],T_TTAFStock_Log[Part Name],$A7,T_TTAFStock_Log[WeekIndex],59))</f>
        <v/>
      </c>
      <c r="BI7" s="19">
        <f>IF(COUNTIFS(T_TTAFStock_Log[Part Name],$A7,T_TTAFStock_Log[WeekIndex],60)=0,"",SUMIFS(T_TTAFStock_Log[TTAF_Qty],T_TTAFStock_Log[Part Name],$A7,T_TTAFStock_Log[WeekIndex],60))</f>
        <v/>
      </c>
      <c r="BJ7" s="19">
        <f>IF(COUNTIFS(T_TTAFStock_Log[Part Name],$A7,T_TTAFStock_Log[WeekIndex],61)=0,"",SUMIFS(T_TTAFStock_Log[TTAF_Qty],T_TTAFStock_Log[Part Name],$A7,T_TTAFStock_Log[WeekIndex],61))</f>
        <v/>
      </c>
      <c r="BK7" s="19">
        <f>IF(COUNTIFS(T_TTAFStock_Log[Part Name],$A7,T_TTAFStock_Log[WeekIndex],62)=0,"",SUMIFS(T_TTAFStock_Log[TTAF_Qty],T_TTAFStock_Log[Part Name],$A7,T_TTAFStock_Log[WeekIndex],62))</f>
        <v/>
      </c>
      <c r="BL7" s="19">
        <f>IF(COUNTIFS(T_TTAFStock_Log[Part Name],$A7,T_TTAFStock_Log[WeekIndex],63)=0,"",SUMIFS(T_TTAFStock_Log[TTAF_Qty],T_TTAFStock_Log[Part Name],$A7,T_TTAFStock_Log[WeekIndex],63))</f>
        <v/>
      </c>
      <c r="BM7" s="19">
        <f>IF(COUNTIFS(T_TTAFStock_Log[Part Name],$A7,T_TTAFStock_Log[WeekIndex],64)=0,"",SUMIFS(T_TTAFStock_Log[TTAF_Qty],T_TTAFStock_Log[Part Name],$A7,T_TTAFStock_Log[WeekIndex],64))</f>
        <v/>
      </c>
      <c r="BN7" s="19">
        <f>IF(COUNTIFS(T_TTAFStock_Log[Part Name],$A7,T_TTAFStock_Log[WeekIndex],65)=0,"",SUMIFS(T_TTAFStock_Log[TTAF_Qty],T_TTAFStock_Log[Part Name],$A7,T_TTAFStock_Log[WeekIndex],65))</f>
        <v/>
      </c>
      <c r="BO7" s="19">
        <f>IF(COUNTIFS(T_TTAFStock_Log[Part Name],$A7,T_TTAFStock_Log[WeekIndex],66)=0,"",SUMIFS(T_TTAFStock_Log[TTAF_Qty],T_TTAFStock_Log[Part Name],$A7,T_TTAFStock_Log[WeekIndex],66))</f>
        <v/>
      </c>
      <c r="BP7" s="19">
        <f>IF(COUNTIFS(T_TTAFStock_Log[Part Name],$A7,T_TTAFStock_Log[WeekIndex],67)=0,"",SUMIFS(T_TTAFStock_Log[TTAF_Qty],T_TTAFStock_Log[Part Name],$A7,T_TTAFStock_Log[WeekIndex],67))</f>
        <v/>
      </c>
      <c r="BQ7" s="19">
        <f>IF(COUNTIFS(T_TTAFStock_Log[Part Name],$A7,T_TTAFStock_Log[WeekIndex],68)=0,"",SUMIFS(T_TTAFStock_Log[TTAF_Qty],T_TTAFStock_Log[Part Name],$A7,T_TTAFStock_Log[WeekIndex],68))</f>
        <v/>
      </c>
      <c r="BR7" s="19">
        <f>IF(COUNTIFS(T_TTAFStock_Log[Part Name],$A7,T_TTAFStock_Log[WeekIndex],69)=0,"",SUMIFS(T_TTAFStock_Log[TTAF_Qty],T_TTAFStock_Log[Part Name],$A7,T_TTAFStock_Log[WeekIndex],69))</f>
        <v/>
      </c>
      <c r="BS7" s="19">
        <f>IF(COUNTIFS(T_TTAFStock_Log[Part Name],$A7,T_TTAFStock_Log[WeekIndex],70)=0,"",SUMIFS(T_TTAFStock_Log[TTAF_Qty],T_TTAFStock_Log[Part Name],$A7,T_TTAFStock_Log[WeekIndex],70))</f>
        <v/>
      </c>
      <c r="BT7" s="19">
        <f>IF(COUNTIFS(T_TTAFStock_Log[Part Name],$A7,T_TTAFStock_Log[WeekIndex],71)=0,"",SUMIFS(T_TTAFStock_Log[TTAF_Qty],T_TTAFStock_Log[Part Name],$A7,T_TTAFStock_Log[WeekIndex],71))</f>
        <v/>
      </c>
      <c r="BU7" s="19">
        <f>IF(COUNTIFS(T_TTAFStock_Log[Part Name],$A7,T_TTAFStock_Log[WeekIndex],72)=0,"",SUMIFS(T_TTAFStock_Log[TTAF_Qty],T_TTAFStock_Log[Part Name],$A7,T_TTAFStock_Log[WeekIndex],72))</f>
        <v/>
      </c>
      <c r="BV7" s="19">
        <f>IF(COUNTIFS(T_TTAFStock_Log[Part Name],$A7,T_TTAFStock_Log[WeekIndex],73)=0,"",SUMIFS(T_TTAFStock_Log[TTAF_Qty],T_TTAFStock_Log[Part Name],$A7,T_TTAFStock_Log[WeekIndex],73))</f>
        <v/>
      </c>
      <c r="BW7" s="19">
        <f>IF(COUNTIFS(T_TTAFStock_Log[Part Name],$A7,T_TTAFStock_Log[WeekIndex],74)=0,"",SUMIFS(T_TTAFStock_Log[TTAF_Qty],T_TTAFStock_Log[Part Name],$A7,T_TTAFStock_Log[WeekIndex],74))</f>
        <v/>
      </c>
      <c r="BX7" s="19">
        <f>IF(COUNTIFS(T_TTAFStock_Log[Part Name],$A7,T_TTAFStock_Log[WeekIndex],75)=0,"",SUMIFS(T_TTAFStock_Log[TTAF_Qty],T_TTAFStock_Log[Part Name],$A7,T_TTAFStock_Log[WeekIndex],75))</f>
        <v/>
      </c>
      <c r="BY7" s="19">
        <f>IF(COUNTIFS(T_TTAFStock_Log[Part Name],$A7,T_TTAFStock_Log[WeekIndex],76)=0,"",SUMIFS(T_TTAFStock_Log[TTAF_Qty],T_TTAFStock_Log[Part Name],$A7,T_TTAFStock_Log[WeekIndex],76))</f>
        <v/>
      </c>
      <c r="BZ7" s="19">
        <f>IF(COUNTIFS(T_TTAFStock_Log[Part Name],$A7,T_TTAFStock_Log[WeekIndex],77)=0,"",SUMIFS(T_TTAFStock_Log[TTAF_Qty],T_TTAFStock_Log[Part Name],$A7,T_TTAFStock_Log[WeekIndex],77))</f>
        <v/>
      </c>
      <c r="CA7" s="19">
        <f>IF(COUNTIFS(T_TTAFStock_Log[Part Name],$A7,T_TTAFStock_Log[WeekIndex],78)=0,"",SUMIFS(T_TTAFStock_Log[TTAF_Qty],T_TTAFStock_Log[Part Name],$A7,T_TTAFStock_Log[WeekIndex],78))</f>
        <v/>
      </c>
      <c r="CB7" s="19">
        <f>IF(COUNTIFS(T_TTAFStock_Log[Part Name],$A7,T_TTAFStock_Log[WeekIndex],79)=0,"",SUMIFS(T_TTAFStock_Log[TTAF_Qty],T_TTAFStock_Log[Part Name],$A7,T_TTAFStock_Log[WeekIndex],79))</f>
        <v/>
      </c>
      <c r="CC7" s="19">
        <f>IF(COUNTIFS(T_TTAFStock_Log[Part Name],$A7,T_TTAFStock_Log[WeekIndex],80)=0,"",SUMIFS(T_TTAFStock_Log[TTAF_Qty],T_TTAFStock_Log[Part Name],$A7,T_TTAFStock_Log[WeekIndex],80))</f>
        <v/>
      </c>
      <c r="CD7" s="19">
        <f>IF(COUNTIFS(T_TTAFStock_Log[Part Name],$A7,T_TTAFStock_Log[WeekIndex],81)=0,"",SUMIFS(T_TTAFStock_Log[TTAF_Qty],T_TTAFStock_Log[Part Name],$A7,T_TTAFStock_Log[WeekIndex],81))</f>
        <v/>
      </c>
      <c r="CE7" s="19">
        <f>IF(COUNTIFS(T_TTAFStock_Log[Part Name],$A7,T_TTAFStock_Log[WeekIndex],82)=0,"",SUMIFS(T_TTAFStock_Log[TTAF_Qty],T_TTAFStock_Log[Part Name],$A7,T_TTAFStock_Log[WeekIndex],82))</f>
        <v/>
      </c>
      <c r="CF7" s="19">
        <f>IF(COUNTIFS(T_TTAFStock_Log[Part Name],$A7,T_TTAFStock_Log[WeekIndex],83)=0,"",SUMIFS(T_TTAFStock_Log[TTAF_Qty],T_TTAFStock_Log[Part Name],$A7,T_TTAFStock_Log[WeekIndex],83))</f>
        <v/>
      </c>
      <c r="CG7" s="19">
        <f>IF(COUNTIFS(T_TTAFStock_Log[Part Name],$A7,T_TTAFStock_Log[WeekIndex],84)=0,"",SUMIFS(T_TTAFStock_Log[TTAF_Qty],T_TTAFStock_Log[Part Name],$A7,T_TTAFStock_Log[WeekIndex],84))</f>
        <v/>
      </c>
      <c r="CH7" s="19">
        <f>IF(COUNTIFS(T_TTAFStock_Log[Part Name],$A7,T_TTAFStock_Log[WeekIndex],85)=0,"",SUMIFS(T_TTAFStock_Log[TTAF_Qty],T_TTAFStock_Log[Part Name],$A7,T_TTAFStock_Log[WeekIndex],85))</f>
        <v/>
      </c>
      <c r="CI7" s="19">
        <f>IF(COUNTIFS(T_TTAFStock_Log[Part Name],$A7,T_TTAFStock_Log[WeekIndex],86)=0,"",SUMIFS(T_TTAFStock_Log[TTAF_Qty],T_TTAFStock_Log[Part Name],$A7,T_TTAFStock_Log[WeekIndex],86))</f>
        <v/>
      </c>
      <c r="CJ7" s="19">
        <f>IF(COUNTIFS(T_TTAFStock_Log[Part Name],$A7,T_TTAFStock_Log[WeekIndex],87)=0,"",SUMIFS(T_TTAFStock_Log[TTAF_Qty],T_TTAFStock_Log[Part Name],$A7,T_TTAFStock_Log[WeekIndex],87))</f>
        <v/>
      </c>
      <c r="CK7" s="19">
        <f>IF(COUNTIFS(T_TTAFStock_Log[Part Name],$A7,T_TTAFStock_Log[WeekIndex],88)=0,"",SUMIFS(T_TTAFStock_Log[TTAF_Qty],T_TTAFStock_Log[Part Name],$A7,T_TTAFStock_Log[WeekIndex],88))</f>
        <v/>
      </c>
      <c r="CL7" s="19">
        <f>IF(COUNTIFS(T_TTAFStock_Log[Part Name],$A7,T_TTAFStock_Log[WeekIndex],89)=0,"",SUMIFS(T_TTAFStock_Log[TTAF_Qty],T_TTAFStock_Log[Part Name],$A7,T_TTAFStock_Log[WeekIndex],89))</f>
        <v/>
      </c>
      <c r="CM7" s="19">
        <f>IF(COUNTIFS(T_TTAFStock_Log[Part Name],$A7,T_TTAFStock_Log[WeekIndex],90)=0,"",SUMIFS(T_TTAFStock_Log[TTAF_Qty],T_TTAFStock_Log[Part Name],$A7,T_TTAFStock_Log[WeekIndex],90))</f>
        <v/>
      </c>
      <c r="CN7" s="19">
        <f>IF(COUNTIFS(T_TTAFStock_Log[Part Name],$A7,T_TTAFStock_Log[WeekIndex],91)=0,"",SUMIFS(T_TTAFStock_Log[TTAF_Qty],T_TTAFStock_Log[Part Name],$A7,T_TTAFStock_Log[WeekIndex],91))</f>
        <v/>
      </c>
      <c r="CO7" s="19">
        <f>IF(COUNTIFS(T_TTAFStock_Log[Part Name],$A7,T_TTAFStock_Log[WeekIndex],92)=0,"",SUMIFS(T_TTAFStock_Log[TTAF_Qty],T_TTAFStock_Log[Part Name],$A7,T_TTAFStock_Log[WeekIndex],92))</f>
        <v/>
      </c>
      <c r="CP7" s="19">
        <f>IF(COUNTIFS(T_TTAFStock_Log[Part Name],$A7,T_TTAFStock_Log[WeekIndex],93)=0,"",SUMIFS(T_TTAFStock_Log[TTAF_Qty],T_TTAFStock_Log[Part Name],$A7,T_TTAFStock_Log[WeekIndex],93))</f>
        <v/>
      </c>
      <c r="CQ7" s="19">
        <f>IF(COUNTIFS(T_TTAFStock_Log[Part Name],$A7,T_TTAFStock_Log[WeekIndex],94)=0,"",SUMIFS(T_TTAFStock_Log[TTAF_Qty],T_TTAFStock_Log[Part Name],$A7,T_TTAFStock_Log[WeekIndex],94))</f>
        <v/>
      </c>
      <c r="CR7" s="19">
        <f>IF(COUNTIFS(T_TTAFStock_Log[Part Name],$A7,T_TTAFStock_Log[WeekIndex],95)=0,"",SUMIFS(T_TTAFStock_Log[TTAF_Qty],T_TTAFStock_Log[Part Name],$A7,T_TTAFStock_Log[WeekIndex],95))</f>
        <v/>
      </c>
      <c r="CS7" s="19">
        <f>IF(COUNTIFS(T_TTAFStock_Log[Part Name],$A7,T_TTAFStock_Log[WeekIndex],96)=0,"",SUMIFS(T_TTAFStock_Log[TTAF_Qty],T_TTAFStock_Log[Part Name],$A7,T_TTAFStock_Log[WeekIndex],96))</f>
        <v/>
      </c>
      <c r="CT7" s="19">
        <f>IF(COUNTIFS(T_TTAFStock_Log[Part Name],$A7,T_TTAFStock_Log[WeekIndex],97)=0,"",SUMIFS(T_TTAFStock_Log[TTAF_Qty],T_TTAFStock_Log[Part Name],$A7,T_TTAFStock_Log[WeekIndex],97))</f>
        <v/>
      </c>
      <c r="CU7" s="19">
        <f>IF(COUNTIFS(T_TTAFStock_Log[Part Name],$A7,T_TTAFStock_Log[WeekIndex],98)=0,"",SUMIFS(T_TTAFStock_Log[TTAF_Qty],T_TTAFStock_Log[Part Name],$A7,T_TTAFStock_Log[WeekIndex],98))</f>
        <v/>
      </c>
      <c r="CV7" s="19">
        <f>IF(COUNTIFS(T_TTAFStock_Log[Part Name],$A7,T_TTAFStock_Log[WeekIndex],99)=0,"",SUMIFS(T_TTAFStock_Log[TTAF_Qty],T_TTAFStock_Log[Part Name],$A7,T_TTAFStock_Log[WeekIndex],99))</f>
        <v/>
      </c>
      <c r="CW7" s="19">
        <f>IF(COUNTIFS(T_TTAFStock_Log[Part Name],$A7,T_TTAFStock_Log[WeekIndex],100)=0,"",SUMIFS(T_TTAFStock_Log[TTAF_Qty],T_TTAFStock_Log[Part Name],$A7,T_TTAFStock_Log[WeekIndex],100))</f>
        <v/>
      </c>
      <c r="CX7" s="19">
        <f>IF(COUNTIFS(T_TTAFStock_Log[Part Name],$A7,T_TTAFStock_Log[WeekIndex],101)=0,"",SUMIFS(T_TTAFStock_Log[TTAF_Qty],T_TTAFStock_Log[Part Name],$A7,T_TTAFStock_Log[WeekIndex],101))</f>
        <v/>
      </c>
      <c r="CY7" s="19">
        <f>IF(COUNTIFS(T_TTAFStock_Log[Part Name],$A7,T_TTAFStock_Log[WeekIndex],102)=0,"",SUMIFS(T_TTAFStock_Log[TTAF_Qty],T_TTAFStock_Log[Part Name],$A7,T_TTAFStock_Log[WeekIndex],102))</f>
        <v/>
      </c>
      <c r="CZ7" s="19">
        <f>IF(COUNTIFS(T_TTAFStock_Log[Part Name],$A7,T_TTAFStock_Log[WeekIndex],103)=0,"",SUMIFS(T_TTAFStock_Log[TTAF_Qty],T_TTAFStock_Log[Part Name],$A7,T_TTAFStock_Log[WeekIndex],103))</f>
        <v/>
      </c>
      <c r="DA7" s="19">
        <f>IF(COUNTIFS(T_TTAFStock_Log[Part Name],$A7,T_TTAFStock_Log[WeekIndex],104)=0,"",SUMIFS(T_TTAFStock_Log[TTAF_Qty],T_TTAFStock_Log[Part Name],$A7,T_TTAFStock_Log[WeekIndex],104))</f>
        <v/>
      </c>
    </row>
    <row r="8">
      <c r="A8" s="17" t="inlineStr">
        <is>
          <t>4HL</t>
        </is>
      </c>
      <c r="B8" s="17">
        <f>IF(COUNTIFS(T_TTAFStock_Log[Part Name],$A8,T_TTAFStock_Log[WeekIndex],1)=0,"",SUMIFS(T_TTAFStock_Log[TTAF_Qty],T_TTAFStock_Log[Part Name],$A8,T_TTAFStock_Log[WeekIndex],1))</f>
        <v/>
      </c>
      <c r="C8" s="17">
        <f>IF(COUNTIFS(T_TTAFStock_Log[Part Name],$A8,T_TTAFStock_Log[WeekIndex],2)=0,"",SUMIFS(T_TTAFStock_Log[TTAF_Qty],T_TTAFStock_Log[Part Name],$A8,T_TTAFStock_Log[WeekIndex],2))</f>
        <v/>
      </c>
      <c r="D8" s="17">
        <f>IF(COUNTIFS(T_TTAFStock_Log[Part Name],$A8,T_TTAFStock_Log[WeekIndex],3)=0,"",SUMIFS(T_TTAFStock_Log[TTAF_Qty],T_TTAFStock_Log[Part Name],$A8,T_TTAFStock_Log[WeekIndex],3))</f>
        <v/>
      </c>
      <c r="E8" s="17">
        <f>IF(COUNTIFS(T_TTAFStock_Log[Part Name],$A8,T_TTAFStock_Log[WeekIndex],4)=0,"",SUMIFS(T_TTAFStock_Log[TTAF_Qty],T_TTAFStock_Log[Part Name],$A8,T_TTAFStock_Log[WeekIndex],4))</f>
        <v/>
      </c>
      <c r="F8" s="17">
        <f>IF(COUNTIFS(T_TTAFStock_Log[Part Name],$A8,T_TTAFStock_Log[WeekIndex],5)=0,"",SUMIFS(T_TTAFStock_Log[TTAF_Qty],T_TTAFStock_Log[Part Name],$A8,T_TTAFStock_Log[WeekIndex],5))</f>
        <v/>
      </c>
      <c r="G8" s="17">
        <f>IF(COUNTIFS(T_TTAFStock_Log[Part Name],$A8,T_TTAFStock_Log[WeekIndex],6)=0,"",SUMIFS(T_TTAFStock_Log[TTAF_Qty],T_TTAFStock_Log[Part Name],$A8,T_TTAFStock_Log[WeekIndex],6))</f>
        <v/>
      </c>
      <c r="H8" s="17">
        <f>IF(COUNTIFS(T_TTAFStock_Log[Part Name],$A8,T_TTAFStock_Log[WeekIndex],7)=0,"",SUMIFS(T_TTAFStock_Log[TTAF_Qty],T_TTAFStock_Log[Part Name],$A8,T_TTAFStock_Log[WeekIndex],7))</f>
        <v/>
      </c>
      <c r="I8" s="17">
        <f>IF(COUNTIFS(T_TTAFStock_Log[Part Name],$A8,T_TTAFStock_Log[WeekIndex],8)=0,"",SUMIFS(T_TTAFStock_Log[TTAF_Qty],T_TTAFStock_Log[Part Name],$A8,T_TTAFStock_Log[WeekIndex],8))</f>
        <v/>
      </c>
      <c r="J8" s="17">
        <f>IF(COUNTIFS(T_TTAFStock_Log[Part Name],$A8,T_TTAFStock_Log[WeekIndex],9)=0,"",SUMIFS(T_TTAFStock_Log[TTAF_Qty],T_TTAFStock_Log[Part Name],$A8,T_TTAFStock_Log[WeekIndex],9))</f>
        <v/>
      </c>
      <c r="K8" s="17">
        <f>IF(COUNTIFS(T_TTAFStock_Log[Part Name],$A8,T_TTAFStock_Log[WeekIndex],10)=0,"",SUMIFS(T_TTAFStock_Log[TTAF_Qty],T_TTAFStock_Log[Part Name],$A8,T_TTAFStock_Log[WeekIndex],10))</f>
        <v/>
      </c>
      <c r="L8" s="17">
        <f>IF(COUNTIFS(T_TTAFStock_Log[Part Name],$A8,T_TTAFStock_Log[WeekIndex],11)=0,"",SUMIFS(T_TTAFStock_Log[TTAF_Qty],T_TTAFStock_Log[Part Name],$A8,T_TTAFStock_Log[WeekIndex],11))</f>
        <v/>
      </c>
      <c r="M8" s="17">
        <f>IF(COUNTIFS(T_TTAFStock_Log[Part Name],$A8,T_TTAFStock_Log[WeekIndex],12)=0,"",SUMIFS(T_TTAFStock_Log[TTAF_Qty],T_TTAFStock_Log[Part Name],$A8,T_TTAFStock_Log[WeekIndex],12))</f>
        <v/>
      </c>
      <c r="N8" s="17">
        <f>IF(COUNTIFS(T_TTAFStock_Log[Part Name],$A8,T_TTAFStock_Log[WeekIndex],13)=0,"",SUMIFS(T_TTAFStock_Log[TTAF_Qty],T_TTAFStock_Log[Part Name],$A8,T_TTAFStock_Log[WeekIndex],13))</f>
        <v/>
      </c>
      <c r="O8" s="17">
        <f>IF(COUNTIFS(T_TTAFStock_Log[Part Name],$A8,T_TTAFStock_Log[WeekIndex],14)=0,"",SUMIFS(T_TTAFStock_Log[TTAF_Qty],T_TTAFStock_Log[Part Name],$A8,T_TTAFStock_Log[WeekIndex],14))</f>
        <v/>
      </c>
      <c r="P8" s="17">
        <f>IF(COUNTIFS(T_TTAFStock_Log[Part Name],$A8,T_TTAFStock_Log[WeekIndex],15)=0,"",SUMIFS(T_TTAFStock_Log[TTAF_Qty],T_TTAFStock_Log[Part Name],$A8,T_TTAFStock_Log[WeekIndex],15))</f>
        <v/>
      </c>
      <c r="Q8" s="17">
        <f>IF(COUNTIFS(T_TTAFStock_Log[Part Name],$A8,T_TTAFStock_Log[WeekIndex],16)=0,"",SUMIFS(T_TTAFStock_Log[TTAF_Qty],T_TTAFStock_Log[Part Name],$A8,T_TTAFStock_Log[WeekIndex],16))</f>
        <v/>
      </c>
      <c r="R8" s="17">
        <f>IF(COUNTIFS(T_TTAFStock_Log[Part Name],$A8,T_TTAFStock_Log[WeekIndex],17)=0,"",SUMIFS(T_TTAFStock_Log[TTAF_Qty],T_TTAFStock_Log[Part Name],$A8,T_TTAFStock_Log[WeekIndex],17))</f>
        <v/>
      </c>
      <c r="S8" s="17">
        <f>IF(COUNTIFS(T_TTAFStock_Log[Part Name],$A8,T_TTAFStock_Log[WeekIndex],18)=0,"",SUMIFS(T_TTAFStock_Log[TTAF_Qty],T_TTAFStock_Log[Part Name],$A8,T_TTAFStock_Log[WeekIndex],18))</f>
        <v/>
      </c>
      <c r="T8" s="17">
        <f>IF(COUNTIFS(T_TTAFStock_Log[Part Name],$A8,T_TTAFStock_Log[WeekIndex],19)=0,"",SUMIFS(T_TTAFStock_Log[TTAF_Qty],T_TTAFStock_Log[Part Name],$A8,T_TTAFStock_Log[WeekIndex],19))</f>
        <v/>
      </c>
      <c r="U8" s="17">
        <f>IF(COUNTIFS(T_TTAFStock_Log[Part Name],$A8,T_TTAFStock_Log[WeekIndex],20)=0,"",SUMIFS(T_TTAFStock_Log[TTAF_Qty],T_TTAFStock_Log[Part Name],$A8,T_TTAFStock_Log[WeekIndex],20))</f>
        <v/>
      </c>
      <c r="V8" s="17">
        <f>IF(COUNTIFS(T_TTAFStock_Log[Part Name],$A8,T_TTAFStock_Log[WeekIndex],21)=0,"",SUMIFS(T_TTAFStock_Log[TTAF_Qty],T_TTAFStock_Log[Part Name],$A8,T_TTAFStock_Log[WeekIndex],21))</f>
        <v/>
      </c>
      <c r="W8" s="17">
        <f>IF(COUNTIFS(T_TTAFStock_Log[Part Name],$A8,T_TTAFStock_Log[WeekIndex],22)=0,"",SUMIFS(T_TTAFStock_Log[TTAF_Qty],T_TTAFStock_Log[Part Name],$A8,T_TTAFStock_Log[WeekIndex],22))</f>
        <v/>
      </c>
      <c r="X8" s="17">
        <f>IF(COUNTIFS(T_TTAFStock_Log[Part Name],$A8,T_TTAFStock_Log[WeekIndex],23)=0,"",SUMIFS(T_TTAFStock_Log[TTAF_Qty],T_TTAFStock_Log[Part Name],$A8,T_TTAFStock_Log[WeekIndex],23))</f>
        <v/>
      </c>
      <c r="Y8" s="17">
        <f>IF(COUNTIFS(T_TTAFStock_Log[Part Name],$A8,T_TTAFStock_Log[WeekIndex],24)=0,"",SUMIFS(T_TTAFStock_Log[TTAF_Qty],T_TTAFStock_Log[Part Name],$A8,T_TTAFStock_Log[WeekIndex],24))</f>
        <v/>
      </c>
      <c r="Z8" s="17">
        <f>IF(COUNTIFS(T_TTAFStock_Log[Part Name],$A8,T_TTAFStock_Log[WeekIndex],25)=0,"",SUMIFS(T_TTAFStock_Log[TTAF_Qty],T_TTAFStock_Log[Part Name],$A8,T_TTAFStock_Log[WeekIndex],25))</f>
        <v/>
      </c>
      <c r="AA8" s="17">
        <f>IF(COUNTIFS(T_TTAFStock_Log[Part Name],$A8,T_TTAFStock_Log[WeekIndex],26)=0,"",SUMIFS(T_TTAFStock_Log[TTAF_Qty],T_TTAFStock_Log[Part Name],$A8,T_TTAFStock_Log[WeekIndex],26))</f>
        <v/>
      </c>
      <c r="AB8" s="17">
        <f>IF(COUNTIFS(T_TTAFStock_Log[Part Name],$A8,T_TTAFStock_Log[WeekIndex],27)=0,"",SUMIFS(T_TTAFStock_Log[TTAF_Qty],T_TTAFStock_Log[Part Name],$A8,T_TTAFStock_Log[WeekIndex],27))</f>
        <v/>
      </c>
      <c r="AC8" s="17">
        <f>IF(COUNTIFS(T_TTAFStock_Log[Part Name],$A8,T_TTAFStock_Log[WeekIndex],28)=0,"",SUMIFS(T_TTAFStock_Log[TTAF_Qty],T_TTAFStock_Log[Part Name],$A8,T_TTAFStock_Log[WeekIndex],28))</f>
        <v/>
      </c>
      <c r="AD8" s="17">
        <f>IF(COUNTIFS(T_TTAFStock_Log[Part Name],$A8,T_TTAFStock_Log[WeekIndex],29)=0,"",SUMIFS(T_TTAFStock_Log[TTAF_Qty],T_TTAFStock_Log[Part Name],$A8,T_TTAFStock_Log[WeekIndex],29))</f>
        <v/>
      </c>
      <c r="AE8" s="17">
        <f>IF(COUNTIFS(T_TTAFStock_Log[Part Name],$A8,T_TTAFStock_Log[WeekIndex],30)=0,"",SUMIFS(T_TTAFStock_Log[TTAF_Qty],T_TTAFStock_Log[Part Name],$A8,T_TTAFStock_Log[WeekIndex],30))</f>
        <v/>
      </c>
      <c r="AF8" s="17">
        <f>IF(COUNTIFS(T_TTAFStock_Log[Part Name],$A8,T_TTAFStock_Log[WeekIndex],31)=0,"",SUMIFS(T_TTAFStock_Log[TTAF_Qty],T_TTAFStock_Log[Part Name],$A8,T_TTAFStock_Log[WeekIndex],31))</f>
        <v/>
      </c>
      <c r="AG8" s="17">
        <f>IF(COUNTIFS(T_TTAFStock_Log[Part Name],$A8,T_TTAFStock_Log[WeekIndex],32)=0,"",SUMIFS(T_TTAFStock_Log[TTAF_Qty],T_TTAFStock_Log[Part Name],$A8,T_TTAFStock_Log[WeekIndex],32))</f>
        <v/>
      </c>
      <c r="AH8" s="17">
        <f>IF(COUNTIFS(T_TTAFStock_Log[Part Name],$A8,T_TTAFStock_Log[WeekIndex],33)=0,"",SUMIFS(T_TTAFStock_Log[TTAF_Qty],T_TTAFStock_Log[Part Name],$A8,T_TTAFStock_Log[WeekIndex],33))</f>
        <v/>
      </c>
      <c r="AI8" s="17">
        <f>IF(COUNTIFS(T_TTAFStock_Log[Part Name],$A8,T_TTAFStock_Log[WeekIndex],34)=0,"",SUMIFS(T_TTAFStock_Log[TTAF_Qty],T_TTAFStock_Log[Part Name],$A8,T_TTAFStock_Log[WeekIndex],34))</f>
        <v/>
      </c>
      <c r="AJ8" s="17">
        <f>IF(COUNTIFS(T_TTAFStock_Log[Part Name],$A8,T_TTAFStock_Log[WeekIndex],35)=0,"",SUMIFS(T_TTAFStock_Log[TTAF_Qty],T_TTAFStock_Log[Part Name],$A8,T_TTAFStock_Log[WeekIndex],35))</f>
        <v/>
      </c>
      <c r="AK8" s="17">
        <f>IF(COUNTIFS(T_TTAFStock_Log[Part Name],$A8,T_TTAFStock_Log[WeekIndex],36)=0,"",SUMIFS(T_TTAFStock_Log[TTAF_Qty],T_TTAFStock_Log[Part Name],$A8,T_TTAFStock_Log[WeekIndex],36))</f>
        <v/>
      </c>
      <c r="AL8" s="17">
        <f>IF(COUNTIFS(T_TTAFStock_Log[Part Name],$A8,T_TTAFStock_Log[WeekIndex],37)=0,"",SUMIFS(T_TTAFStock_Log[TTAF_Qty],T_TTAFStock_Log[Part Name],$A8,T_TTAFStock_Log[WeekIndex],37))</f>
        <v/>
      </c>
      <c r="AM8" s="17">
        <f>IF(COUNTIFS(T_TTAFStock_Log[Part Name],$A8,T_TTAFStock_Log[WeekIndex],38)=0,"",SUMIFS(T_TTAFStock_Log[TTAF_Qty],T_TTAFStock_Log[Part Name],$A8,T_TTAFStock_Log[WeekIndex],38))</f>
        <v/>
      </c>
      <c r="AN8" s="17">
        <f>IF(COUNTIFS(T_TTAFStock_Log[Part Name],$A8,T_TTAFStock_Log[WeekIndex],39)=0,"",SUMIFS(T_TTAFStock_Log[TTAF_Qty],T_TTAFStock_Log[Part Name],$A8,T_TTAFStock_Log[WeekIndex],39))</f>
        <v/>
      </c>
      <c r="AO8" s="17">
        <f>IF(COUNTIFS(T_TTAFStock_Log[Part Name],$A8,T_TTAFStock_Log[WeekIndex],40)=0,"",SUMIFS(T_TTAFStock_Log[TTAF_Qty],T_TTAFStock_Log[Part Name],$A8,T_TTAFStock_Log[WeekIndex],40))</f>
        <v/>
      </c>
      <c r="AP8" s="17">
        <f>IF(COUNTIFS(T_TTAFStock_Log[Part Name],$A8,T_TTAFStock_Log[WeekIndex],41)=0,"",SUMIFS(T_TTAFStock_Log[TTAF_Qty],T_TTAFStock_Log[Part Name],$A8,T_TTAFStock_Log[WeekIndex],41))</f>
        <v/>
      </c>
      <c r="AQ8" s="17">
        <f>IF(COUNTIFS(T_TTAFStock_Log[Part Name],$A8,T_TTAFStock_Log[WeekIndex],42)=0,"",SUMIFS(T_TTAFStock_Log[TTAF_Qty],T_TTAFStock_Log[Part Name],$A8,T_TTAFStock_Log[WeekIndex],42))</f>
        <v/>
      </c>
      <c r="AR8" s="17">
        <f>IF(COUNTIFS(T_TTAFStock_Log[Part Name],$A8,T_TTAFStock_Log[WeekIndex],43)=0,"",SUMIFS(T_TTAFStock_Log[TTAF_Qty],T_TTAFStock_Log[Part Name],$A8,T_TTAFStock_Log[WeekIndex],43))</f>
        <v/>
      </c>
      <c r="AS8" s="17">
        <f>IF(COUNTIFS(T_TTAFStock_Log[Part Name],$A8,T_TTAFStock_Log[WeekIndex],44)=0,"",SUMIFS(T_TTAFStock_Log[TTAF_Qty],T_TTAFStock_Log[Part Name],$A8,T_TTAFStock_Log[WeekIndex],44))</f>
        <v/>
      </c>
      <c r="AT8" s="17">
        <f>IF(COUNTIFS(T_TTAFStock_Log[Part Name],$A8,T_TTAFStock_Log[WeekIndex],45)=0,"",SUMIFS(T_TTAFStock_Log[TTAF_Qty],T_TTAFStock_Log[Part Name],$A8,T_TTAFStock_Log[WeekIndex],45))</f>
        <v/>
      </c>
      <c r="AU8" s="17">
        <f>IF(COUNTIFS(T_TTAFStock_Log[Part Name],$A8,T_TTAFStock_Log[WeekIndex],46)=0,"",SUMIFS(T_TTAFStock_Log[TTAF_Qty],T_TTAFStock_Log[Part Name],$A8,T_TTAFStock_Log[WeekIndex],46))</f>
        <v/>
      </c>
      <c r="AV8" s="17">
        <f>IF(COUNTIFS(T_TTAFStock_Log[Part Name],$A8,T_TTAFStock_Log[WeekIndex],47)=0,"",SUMIFS(T_TTAFStock_Log[TTAF_Qty],T_TTAFStock_Log[Part Name],$A8,T_TTAFStock_Log[WeekIndex],47))</f>
        <v/>
      </c>
      <c r="AW8" s="17">
        <f>IF(COUNTIFS(T_TTAFStock_Log[Part Name],$A8,T_TTAFStock_Log[WeekIndex],48)=0,"",SUMIFS(T_TTAFStock_Log[TTAF_Qty],T_TTAFStock_Log[Part Name],$A8,T_TTAFStock_Log[WeekIndex],48))</f>
        <v/>
      </c>
      <c r="AX8" s="17">
        <f>IF(COUNTIFS(T_TTAFStock_Log[Part Name],$A8,T_TTAFStock_Log[WeekIndex],49)=0,"",SUMIFS(T_TTAFStock_Log[TTAF_Qty],T_TTAFStock_Log[Part Name],$A8,T_TTAFStock_Log[WeekIndex],49))</f>
        <v/>
      </c>
      <c r="AY8" s="17">
        <f>IF(COUNTIFS(T_TTAFStock_Log[Part Name],$A8,T_TTAFStock_Log[WeekIndex],50)=0,"",SUMIFS(T_TTAFStock_Log[TTAF_Qty],T_TTAFStock_Log[Part Name],$A8,T_TTAFStock_Log[WeekIndex],50))</f>
        <v/>
      </c>
      <c r="AZ8" s="17">
        <f>IF(COUNTIFS(T_TTAFStock_Log[Part Name],$A8,T_TTAFStock_Log[WeekIndex],51)=0,"",SUMIFS(T_TTAFStock_Log[TTAF_Qty],T_TTAFStock_Log[Part Name],$A8,T_TTAFStock_Log[WeekIndex],51))</f>
        <v/>
      </c>
      <c r="BA8" s="17">
        <f>IF(COUNTIFS(T_TTAFStock_Log[Part Name],$A8,T_TTAFStock_Log[WeekIndex],52)=0,"",SUMIFS(T_TTAFStock_Log[TTAF_Qty],T_TTAFStock_Log[Part Name],$A8,T_TTAFStock_Log[WeekIndex],52))</f>
        <v/>
      </c>
      <c r="BB8" s="17">
        <f>IF(COUNTIFS(T_TTAFStock_Log[Part Name],$A8,T_TTAFStock_Log[WeekIndex],53)=0,"",SUMIFS(T_TTAFStock_Log[TTAF_Qty],T_TTAFStock_Log[Part Name],$A8,T_TTAFStock_Log[WeekIndex],53))</f>
        <v/>
      </c>
      <c r="BC8" s="17">
        <f>IF(COUNTIFS(T_TTAFStock_Log[Part Name],$A8,T_TTAFStock_Log[WeekIndex],54)=0,"",SUMIFS(T_TTAFStock_Log[TTAF_Qty],T_TTAFStock_Log[Part Name],$A8,T_TTAFStock_Log[WeekIndex],54))</f>
        <v/>
      </c>
      <c r="BD8" s="17">
        <f>IF(COUNTIFS(T_TTAFStock_Log[Part Name],$A8,T_TTAFStock_Log[WeekIndex],55)=0,"",SUMIFS(T_TTAFStock_Log[TTAF_Qty],T_TTAFStock_Log[Part Name],$A8,T_TTAFStock_Log[WeekIndex],55))</f>
        <v/>
      </c>
      <c r="BE8" s="17">
        <f>IF(COUNTIFS(T_TTAFStock_Log[Part Name],$A8,T_TTAFStock_Log[WeekIndex],56)=0,"",SUMIFS(T_TTAFStock_Log[TTAF_Qty],T_TTAFStock_Log[Part Name],$A8,T_TTAFStock_Log[WeekIndex],56))</f>
        <v/>
      </c>
      <c r="BF8" s="17">
        <f>IF(COUNTIFS(T_TTAFStock_Log[Part Name],$A8,T_TTAFStock_Log[WeekIndex],57)=0,"",SUMIFS(T_TTAFStock_Log[TTAF_Qty],T_TTAFStock_Log[Part Name],$A8,T_TTAFStock_Log[WeekIndex],57))</f>
        <v/>
      </c>
      <c r="BG8" s="17">
        <f>IF(COUNTIFS(T_TTAFStock_Log[Part Name],$A8,T_TTAFStock_Log[WeekIndex],58)=0,"",SUMIFS(T_TTAFStock_Log[TTAF_Qty],T_TTAFStock_Log[Part Name],$A8,T_TTAFStock_Log[WeekIndex],58))</f>
        <v/>
      </c>
      <c r="BH8" s="17">
        <f>IF(COUNTIFS(T_TTAFStock_Log[Part Name],$A8,T_TTAFStock_Log[WeekIndex],59)=0,"",SUMIFS(T_TTAFStock_Log[TTAF_Qty],T_TTAFStock_Log[Part Name],$A8,T_TTAFStock_Log[WeekIndex],59))</f>
        <v/>
      </c>
      <c r="BI8" s="17">
        <f>IF(COUNTIFS(T_TTAFStock_Log[Part Name],$A8,T_TTAFStock_Log[WeekIndex],60)=0,"",SUMIFS(T_TTAFStock_Log[TTAF_Qty],T_TTAFStock_Log[Part Name],$A8,T_TTAFStock_Log[WeekIndex],60))</f>
        <v/>
      </c>
      <c r="BJ8" s="17">
        <f>IF(COUNTIFS(T_TTAFStock_Log[Part Name],$A8,T_TTAFStock_Log[WeekIndex],61)=0,"",SUMIFS(T_TTAFStock_Log[TTAF_Qty],T_TTAFStock_Log[Part Name],$A8,T_TTAFStock_Log[WeekIndex],61))</f>
        <v/>
      </c>
      <c r="BK8" s="17">
        <f>IF(COUNTIFS(T_TTAFStock_Log[Part Name],$A8,T_TTAFStock_Log[WeekIndex],62)=0,"",SUMIFS(T_TTAFStock_Log[TTAF_Qty],T_TTAFStock_Log[Part Name],$A8,T_TTAFStock_Log[WeekIndex],62))</f>
        <v/>
      </c>
      <c r="BL8" s="17">
        <f>IF(COUNTIFS(T_TTAFStock_Log[Part Name],$A8,T_TTAFStock_Log[WeekIndex],63)=0,"",SUMIFS(T_TTAFStock_Log[TTAF_Qty],T_TTAFStock_Log[Part Name],$A8,T_TTAFStock_Log[WeekIndex],63))</f>
        <v/>
      </c>
      <c r="BM8" s="17">
        <f>IF(COUNTIFS(T_TTAFStock_Log[Part Name],$A8,T_TTAFStock_Log[WeekIndex],64)=0,"",SUMIFS(T_TTAFStock_Log[TTAF_Qty],T_TTAFStock_Log[Part Name],$A8,T_TTAFStock_Log[WeekIndex],64))</f>
        <v/>
      </c>
      <c r="BN8" s="17">
        <f>IF(COUNTIFS(T_TTAFStock_Log[Part Name],$A8,T_TTAFStock_Log[WeekIndex],65)=0,"",SUMIFS(T_TTAFStock_Log[TTAF_Qty],T_TTAFStock_Log[Part Name],$A8,T_TTAFStock_Log[WeekIndex],65))</f>
        <v/>
      </c>
      <c r="BO8" s="17">
        <f>IF(COUNTIFS(T_TTAFStock_Log[Part Name],$A8,T_TTAFStock_Log[WeekIndex],66)=0,"",SUMIFS(T_TTAFStock_Log[TTAF_Qty],T_TTAFStock_Log[Part Name],$A8,T_TTAFStock_Log[WeekIndex],66))</f>
        <v/>
      </c>
      <c r="BP8" s="17">
        <f>IF(COUNTIFS(T_TTAFStock_Log[Part Name],$A8,T_TTAFStock_Log[WeekIndex],67)=0,"",SUMIFS(T_TTAFStock_Log[TTAF_Qty],T_TTAFStock_Log[Part Name],$A8,T_TTAFStock_Log[WeekIndex],67))</f>
        <v/>
      </c>
      <c r="BQ8" s="17">
        <f>IF(COUNTIFS(T_TTAFStock_Log[Part Name],$A8,T_TTAFStock_Log[WeekIndex],68)=0,"",SUMIFS(T_TTAFStock_Log[TTAF_Qty],T_TTAFStock_Log[Part Name],$A8,T_TTAFStock_Log[WeekIndex],68))</f>
        <v/>
      </c>
      <c r="BR8" s="17">
        <f>IF(COUNTIFS(T_TTAFStock_Log[Part Name],$A8,T_TTAFStock_Log[WeekIndex],69)=0,"",SUMIFS(T_TTAFStock_Log[TTAF_Qty],T_TTAFStock_Log[Part Name],$A8,T_TTAFStock_Log[WeekIndex],69))</f>
        <v/>
      </c>
      <c r="BS8" s="17">
        <f>IF(COUNTIFS(T_TTAFStock_Log[Part Name],$A8,T_TTAFStock_Log[WeekIndex],70)=0,"",SUMIFS(T_TTAFStock_Log[TTAF_Qty],T_TTAFStock_Log[Part Name],$A8,T_TTAFStock_Log[WeekIndex],70))</f>
        <v/>
      </c>
      <c r="BT8" s="17">
        <f>IF(COUNTIFS(T_TTAFStock_Log[Part Name],$A8,T_TTAFStock_Log[WeekIndex],71)=0,"",SUMIFS(T_TTAFStock_Log[TTAF_Qty],T_TTAFStock_Log[Part Name],$A8,T_TTAFStock_Log[WeekIndex],71))</f>
        <v/>
      </c>
      <c r="BU8" s="17">
        <f>IF(COUNTIFS(T_TTAFStock_Log[Part Name],$A8,T_TTAFStock_Log[WeekIndex],72)=0,"",SUMIFS(T_TTAFStock_Log[TTAF_Qty],T_TTAFStock_Log[Part Name],$A8,T_TTAFStock_Log[WeekIndex],72))</f>
        <v/>
      </c>
      <c r="BV8" s="17">
        <f>IF(COUNTIFS(T_TTAFStock_Log[Part Name],$A8,T_TTAFStock_Log[WeekIndex],73)=0,"",SUMIFS(T_TTAFStock_Log[TTAF_Qty],T_TTAFStock_Log[Part Name],$A8,T_TTAFStock_Log[WeekIndex],73))</f>
        <v/>
      </c>
      <c r="BW8" s="17">
        <f>IF(COUNTIFS(T_TTAFStock_Log[Part Name],$A8,T_TTAFStock_Log[WeekIndex],74)=0,"",SUMIFS(T_TTAFStock_Log[TTAF_Qty],T_TTAFStock_Log[Part Name],$A8,T_TTAFStock_Log[WeekIndex],74))</f>
        <v/>
      </c>
      <c r="BX8" s="17">
        <f>IF(COUNTIFS(T_TTAFStock_Log[Part Name],$A8,T_TTAFStock_Log[WeekIndex],75)=0,"",SUMIFS(T_TTAFStock_Log[TTAF_Qty],T_TTAFStock_Log[Part Name],$A8,T_TTAFStock_Log[WeekIndex],75))</f>
        <v/>
      </c>
      <c r="BY8" s="17">
        <f>IF(COUNTIFS(T_TTAFStock_Log[Part Name],$A8,T_TTAFStock_Log[WeekIndex],76)=0,"",SUMIFS(T_TTAFStock_Log[TTAF_Qty],T_TTAFStock_Log[Part Name],$A8,T_TTAFStock_Log[WeekIndex],76))</f>
        <v/>
      </c>
      <c r="BZ8" s="17">
        <f>IF(COUNTIFS(T_TTAFStock_Log[Part Name],$A8,T_TTAFStock_Log[WeekIndex],77)=0,"",SUMIFS(T_TTAFStock_Log[TTAF_Qty],T_TTAFStock_Log[Part Name],$A8,T_TTAFStock_Log[WeekIndex],77))</f>
        <v/>
      </c>
      <c r="CA8" s="17">
        <f>IF(COUNTIFS(T_TTAFStock_Log[Part Name],$A8,T_TTAFStock_Log[WeekIndex],78)=0,"",SUMIFS(T_TTAFStock_Log[TTAF_Qty],T_TTAFStock_Log[Part Name],$A8,T_TTAFStock_Log[WeekIndex],78))</f>
        <v/>
      </c>
      <c r="CB8" s="17">
        <f>IF(COUNTIFS(T_TTAFStock_Log[Part Name],$A8,T_TTAFStock_Log[WeekIndex],79)=0,"",SUMIFS(T_TTAFStock_Log[TTAF_Qty],T_TTAFStock_Log[Part Name],$A8,T_TTAFStock_Log[WeekIndex],79))</f>
        <v/>
      </c>
      <c r="CC8" s="17">
        <f>IF(COUNTIFS(T_TTAFStock_Log[Part Name],$A8,T_TTAFStock_Log[WeekIndex],80)=0,"",SUMIFS(T_TTAFStock_Log[TTAF_Qty],T_TTAFStock_Log[Part Name],$A8,T_TTAFStock_Log[WeekIndex],80))</f>
        <v/>
      </c>
      <c r="CD8" s="17">
        <f>IF(COUNTIFS(T_TTAFStock_Log[Part Name],$A8,T_TTAFStock_Log[WeekIndex],81)=0,"",SUMIFS(T_TTAFStock_Log[TTAF_Qty],T_TTAFStock_Log[Part Name],$A8,T_TTAFStock_Log[WeekIndex],81))</f>
        <v/>
      </c>
      <c r="CE8" s="17">
        <f>IF(COUNTIFS(T_TTAFStock_Log[Part Name],$A8,T_TTAFStock_Log[WeekIndex],82)=0,"",SUMIFS(T_TTAFStock_Log[TTAF_Qty],T_TTAFStock_Log[Part Name],$A8,T_TTAFStock_Log[WeekIndex],82))</f>
        <v/>
      </c>
      <c r="CF8" s="17">
        <f>IF(COUNTIFS(T_TTAFStock_Log[Part Name],$A8,T_TTAFStock_Log[WeekIndex],83)=0,"",SUMIFS(T_TTAFStock_Log[TTAF_Qty],T_TTAFStock_Log[Part Name],$A8,T_TTAFStock_Log[WeekIndex],83))</f>
        <v/>
      </c>
      <c r="CG8" s="17">
        <f>IF(COUNTIFS(T_TTAFStock_Log[Part Name],$A8,T_TTAFStock_Log[WeekIndex],84)=0,"",SUMIFS(T_TTAFStock_Log[TTAF_Qty],T_TTAFStock_Log[Part Name],$A8,T_TTAFStock_Log[WeekIndex],84))</f>
        <v/>
      </c>
      <c r="CH8" s="17">
        <f>IF(COUNTIFS(T_TTAFStock_Log[Part Name],$A8,T_TTAFStock_Log[WeekIndex],85)=0,"",SUMIFS(T_TTAFStock_Log[TTAF_Qty],T_TTAFStock_Log[Part Name],$A8,T_TTAFStock_Log[WeekIndex],85))</f>
        <v/>
      </c>
      <c r="CI8" s="17">
        <f>IF(COUNTIFS(T_TTAFStock_Log[Part Name],$A8,T_TTAFStock_Log[WeekIndex],86)=0,"",SUMIFS(T_TTAFStock_Log[TTAF_Qty],T_TTAFStock_Log[Part Name],$A8,T_TTAFStock_Log[WeekIndex],86))</f>
        <v/>
      </c>
      <c r="CJ8" s="17">
        <f>IF(COUNTIFS(T_TTAFStock_Log[Part Name],$A8,T_TTAFStock_Log[WeekIndex],87)=0,"",SUMIFS(T_TTAFStock_Log[TTAF_Qty],T_TTAFStock_Log[Part Name],$A8,T_TTAFStock_Log[WeekIndex],87))</f>
        <v/>
      </c>
      <c r="CK8" s="17">
        <f>IF(COUNTIFS(T_TTAFStock_Log[Part Name],$A8,T_TTAFStock_Log[WeekIndex],88)=0,"",SUMIFS(T_TTAFStock_Log[TTAF_Qty],T_TTAFStock_Log[Part Name],$A8,T_TTAFStock_Log[WeekIndex],88))</f>
        <v/>
      </c>
      <c r="CL8" s="17">
        <f>IF(COUNTIFS(T_TTAFStock_Log[Part Name],$A8,T_TTAFStock_Log[WeekIndex],89)=0,"",SUMIFS(T_TTAFStock_Log[TTAF_Qty],T_TTAFStock_Log[Part Name],$A8,T_TTAFStock_Log[WeekIndex],89))</f>
        <v/>
      </c>
      <c r="CM8" s="17">
        <f>IF(COUNTIFS(T_TTAFStock_Log[Part Name],$A8,T_TTAFStock_Log[WeekIndex],90)=0,"",SUMIFS(T_TTAFStock_Log[TTAF_Qty],T_TTAFStock_Log[Part Name],$A8,T_TTAFStock_Log[WeekIndex],90))</f>
        <v/>
      </c>
      <c r="CN8" s="17">
        <f>IF(COUNTIFS(T_TTAFStock_Log[Part Name],$A8,T_TTAFStock_Log[WeekIndex],91)=0,"",SUMIFS(T_TTAFStock_Log[TTAF_Qty],T_TTAFStock_Log[Part Name],$A8,T_TTAFStock_Log[WeekIndex],91))</f>
        <v/>
      </c>
      <c r="CO8" s="17">
        <f>IF(COUNTIFS(T_TTAFStock_Log[Part Name],$A8,T_TTAFStock_Log[WeekIndex],92)=0,"",SUMIFS(T_TTAFStock_Log[TTAF_Qty],T_TTAFStock_Log[Part Name],$A8,T_TTAFStock_Log[WeekIndex],92))</f>
        <v/>
      </c>
      <c r="CP8" s="17">
        <f>IF(COUNTIFS(T_TTAFStock_Log[Part Name],$A8,T_TTAFStock_Log[WeekIndex],93)=0,"",SUMIFS(T_TTAFStock_Log[TTAF_Qty],T_TTAFStock_Log[Part Name],$A8,T_TTAFStock_Log[WeekIndex],93))</f>
        <v/>
      </c>
      <c r="CQ8" s="17">
        <f>IF(COUNTIFS(T_TTAFStock_Log[Part Name],$A8,T_TTAFStock_Log[WeekIndex],94)=0,"",SUMIFS(T_TTAFStock_Log[TTAF_Qty],T_TTAFStock_Log[Part Name],$A8,T_TTAFStock_Log[WeekIndex],94))</f>
        <v/>
      </c>
      <c r="CR8" s="17">
        <f>IF(COUNTIFS(T_TTAFStock_Log[Part Name],$A8,T_TTAFStock_Log[WeekIndex],95)=0,"",SUMIFS(T_TTAFStock_Log[TTAF_Qty],T_TTAFStock_Log[Part Name],$A8,T_TTAFStock_Log[WeekIndex],95))</f>
        <v/>
      </c>
      <c r="CS8" s="17">
        <f>IF(COUNTIFS(T_TTAFStock_Log[Part Name],$A8,T_TTAFStock_Log[WeekIndex],96)=0,"",SUMIFS(T_TTAFStock_Log[TTAF_Qty],T_TTAFStock_Log[Part Name],$A8,T_TTAFStock_Log[WeekIndex],96))</f>
        <v/>
      </c>
      <c r="CT8" s="17">
        <f>IF(COUNTIFS(T_TTAFStock_Log[Part Name],$A8,T_TTAFStock_Log[WeekIndex],97)=0,"",SUMIFS(T_TTAFStock_Log[TTAF_Qty],T_TTAFStock_Log[Part Name],$A8,T_TTAFStock_Log[WeekIndex],97))</f>
        <v/>
      </c>
      <c r="CU8" s="17">
        <f>IF(COUNTIFS(T_TTAFStock_Log[Part Name],$A8,T_TTAFStock_Log[WeekIndex],98)=0,"",SUMIFS(T_TTAFStock_Log[TTAF_Qty],T_TTAFStock_Log[Part Name],$A8,T_TTAFStock_Log[WeekIndex],98))</f>
        <v/>
      </c>
      <c r="CV8" s="17">
        <f>IF(COUNTIFS(T_TTAFStock_Log[Part Name],$A8,T_TTAFStock_Log[WeekIndex],99)=0,"",SUMIFS(T_TTAFStock_Log[TTAF_Qty],T_TTAFStock_Log[Part Name],$A8,T_TTAFStock_Log[WeekIndex],99))</f>
        <v/>
      </c>
      <c r="CW8" s="17">
        <f>IF(COUNTIFS(T_TTAFStock_Log[Part Name],$A8,T_TTAFStock_Log[WeekIndex],100)=0,"",SUMIFS(T_TTAFStock_Log[TTAF_Qty],T_TTAFStock_Log[Part Name],$A8,T_TTAFStock_Log[WeekIndex],100))</f>
        <v/>
      </c>
      <c r="CX8" s="17">
        <f>IF(COUNTIFS(T_TTAFStock_Log[Part Name],$A8,T_TTAFStock_Log[WeekIndex],101)=0,"",SUMIFS(T_TTAFStock_Log[TTAF_Qty],T_TTAFStock_Log[Part Name],$A8,T_TTAFStock_Log[WeekIndex],101))</f>
        <v/>
      </c>
      <c r="CY8" s="17">
        <f>IF(COUNTIFS(T_TTAFStock_Log[Part Name],$A8,T_TTAFStock_Log[WeekIndex],102)=0,"",SUMIFS(T_TTAFStock_Log[TTAF_Qty],T_TTAFStock_Log[Part Name],$A8,T_TTAFStock_Log[WeekIndex],102))</f>
        <v/>
      </c>
      <c r="CZ8" s="17">
        <f>IF(COUNTIFS(T_TTAFStock_Log[Part Name],$A8,T_TTAFStock_Log[WeekIndex],103)=0,"",SUMIFS(T_TTAFStock_Log[TTAF_Qty],T_TTAFStock_Log[Part Name],$A8,T_TTAFStock_Log[WeekIndex],103))</f>
        <v/>
      </c>
      <c r="DA8" s="17">
        <f>IF(COUNTIFS(T_TTAFStock_Log[Part Name],$A8,T_TTAFStock_Log[WeekIndex],104)=0,"",SUMIFS(T_TTAFStock_Log[TTAF_Qty],T_TTAFStock_Log[Part Name],$A8,T_TTAFStock_Log[WeekIndex],104))</f>
        <v/>
      </c>
    </row>
    <row r="9">
      <c r="A9" s="19" t="inlineStr">
        <is>
          <t>9RN</t>
        </is>
      </c>
      <c r="B9" s="19">
        <f>IF(COUNTIFS(T_TTAFStock_Log[Part Name],$A9,T_TTAFStock_Log[WeekIndex],1)=0,"",SUMIFS(T_TTAFStock_Log[TTAF_Qty],T_TTAFStock_Log[Part Name],$A9,T_TTAFStock_Log[WeekIndex],1))</f>
        <v/>
      </c>
      <c r="C9" s="19">
        <f>IF(COUNTIFS(T_TTAFStock_Log[Part Name],$A9,T_TTAFStock_Log[WeekIndex],2)=0,"",SUMIFS(T_TTAFStock_Log[TTAF_Qty],T_TTAFStock_Log[Part Name],$A9,T_TTAFStock_Log[WeekIndex],2))</f>
        <v/>
      </c>
      <c r="D9" s="19">
        <f>IF(COUNTIFS(T_TTAFStock_Log[Part Name],$A9,T_TTAFStock_Log[WeekIndex],3)=0,"",SUMIFS(T_TTAFStock_Log[TTAF_Qty],T_TTAFStock_Log[Part Name],$A9,T_TTAFStock_Log[WeekIndex],3))</f>
        <v/>
      </c>
      <c r="E9" s="19">
        <f>IF(COUNTIFS(T_TTAFStock_Log[Part Name],$A9,T_TTAFStock_Log[WeekIndex],4)=0,"",SUMIFS(T_TTAFStock_Log[TTAF_Qty],T_TTAFStock_Log[Part Name],$A9,T_TTAFStock_Log[WeekIndex],4))</f>
        <v/>
      </c>
      <c r="F9" s="19">
        <f>IF(COUNTIFS(T_TTAFStock_Log[Part Name],$A9,T_TTAFStock_Log[WeekIndex],5)=0,"",SUMIFS(T_TTAFStock_Log[TTAF_Qty],T_TTAFStock_Log[Part Name],$A9,T_TTAFStock_Log[WeekIndex],5))</f>
        <v/>
      </c>
      <c r="G9" s="19">
        <f>IF(COUNTIFS(T_TTAFStock_Log[Part Name],$A9,T_TTAFStock_Log[WeekIndex],6)=0,"",SUMIFS(T_TTAFStock_Log[TTAF_Qty],T_TTAFStock_Log[Part Name],$A9,T_TTAFStock_Log[WeekIndex],6))</f>
        <v/>
      </c>
      <c r="H9" s="19">
        <f>IF(COUNTIFS(T_TTAFStock_Log[Part Name],$A9,T_TTAFStock_Log[WeekIndex],7)=0,"",SUMIFS(T_TTAFStock_Log[TTAF_Qty],T_TTAFStock_Log[Part Name],$A9,T_TTAFStock_Log[WeekIndex],7))</f>
        <v/>
      </c>
      <c r="I9" s="19">
        <f>IF(COUNTIFS(T_TTAFStock_Log[Part Name],$A9,T_TTAFStock_Log[WeekIndex],8)=0,"",SUMIFS(T_TTAFStock_Log[TTAF_Qty],T_TTAFStock_Log[Part Name],$A9,T_TTAFStock_Log[WeekIndex],8))</f>
        <v/>
      </c>
      <c r="J9" s="19">
        <f>IF(COUNTIFS(T_TTAFStock_Log[Part Name],$A9,T_TTAFStock_Log[WeekIndex],9)=0,"",SUMIFS(T_TTAFStock_Log[TTAF_Qty],T_TTAFStock_Log[Part Name],$A9,T_TTAFStock_Log[WeekIndex],9))</f>
        <v/>
      </c>
      <c r="K9" s="19">
        <f>IF(COUNTIFS(T_TTAFStock_Log[Part Name],$A9,T_TTAFStock_Log[WeekIndex],10)=0,"",SUMIFS(T_TTAFStock_Log[TTAF_Qty],T_TTAFStock_Log[Part Name],$A9,T_TTAFStock_Log[WeekIndex],10))</f>
        <v/>
      </c>
      <c r="L9" s="19">
        <f>IF(COUNTIFS(T_TTAFStock_Log[Part Name],$A9,T_TTAFStock_Log[WeekIndex],11)=0,"",SUMIFS(T_TTAFStock_Log[TTAF_Qty],T_TTAFStock_Log[Part Name],$A9,T_TTAFStock_Log[WeekIndex],11))</f>
        <v/>
      </c>
      <c r="M9" s="19">
        <f>IF(COUNTIFS(T_TTAFStock_Log[Part Name],$A9,T_TTAFStock_Log[WeekIndex],12)=0,"",SUMIFS(T_TTAFStock_Log[TTAF_Qty],T_TTAFStock_Log[Part Name],$A9,T_TTAFStock_Log[WeekIndex],12))</f>
        <v/>
      </c>
      <c r="N9" s="19">
        <f>IF(COUNTIFS(T_TTAFStock_Log[Part Name],$A9,T_TTAFStock_Log[WeekIndex],13)=0,"",SUMIFS(T_TTAFStock_Log[TTAF_Qty],T_TTAFStock_Log[Part Name],$A9,T_TTAFStock_Log[WeekIndex],13))</f>
        <v/>
      </c>
      <c r="O9" s="19">
        <f>IF(COUNTIFS(T_TTAFStock_Log[Part Name],$A9,T_TTAFStock_Log[WeekIndex],14)=0,"",SUMIFS(T_TTAFStock_Log[TTAF_Qty],T_TTAFStock_Log[Part Name],$A9,T_TTAFStock_Log[WeekIndex],14))</f>
        <v/>
      </c>
      <c r="P9" s="19">
        <f>IF(COUNTIFS(T_TTAFStock_Log[Part Name],$A9,T_TTAFStock_Log[WeekIndex],15)=0,"",SUMIFS(T_TTAFStock_Log[TTAF_Qty],T_TTAFStock_Log[Part Name],$A9,T_TTAFStock_Log[WeekIndex],15))</f>
        <v/>
      </c>
      <c r="Q9" s="19">
        <f>IF(COUNTIFS(T_TTAFStock_Log[Part Name],$A9,T_TTAFStock_Log[WeekIndex],16)=0,"",SUMIFS(T_TTAFStock_Log[TTAF_Qty],T_TTAFStock_Log[Part Name],$A9,T_TTAFStock_Log[WeekIndex],16))</f>
        <v/>
      </c>
      <c r="R9" s="19">
        <f>IF(COUNTIFS(T_TTAFStock_Log[Part Name],$A9,T_TTAFStock_Log[WeekIndex],17)=0,"",SUMIFS(T_TTAFStock_Log[TTAF_Qty],T_TTAFStock_Log[Part Name],$A9,T_TTAFStock_Log[WeekIndex],17))</f>
        <v/>
      </c>
      <c r="S9" s="19">
        <f>IF(COUNTIFS(T_TTAFStock_Log[Part Name],$A9,T_TTAFStock_Log[WeekIndex],18)=0,"",SUMIFS(T_TTAFStock_Log[TTAF_Qty],T_TTAFStock_Log[Part Name],$A9,T_TTAFStock_Log[WeekIndex],18))</f>
        <v/>
      </c>
      <c r="T9" s="19">
        <f>IF(COUNTIFS(T_TTAFStock_Log[Part Name],$A9,T_TTAFStock_Log[WeekIndex],19)=0,"",SUMIFS(T_TTAFStock_Log[TTAF_Qty],T_TTAFStock_Log[Part Name],$A9,T_TTAFStock_Log[WeekIndex],19))</f>
        <v/>
      </c>
      <c r="U9" s="19">
        <f>IF(COUNTIFS(T_TTAFStock_Log[Part Name],$A9,T_TTAFStock_Log[WeekIndex],20)=0,"",SUMIFS(T_TTAFStock_Log[TTAF_Qty],T_TTAFStock_Log[Part Name],$A9,T_TTAFStock_Log[WeekIndex],20))</f>
        <v/>
      </c>
      <c r="V9" s="19">
        <f>IF(COUNTIFS(T_TTAFStock_Log[Part Name],$A9,T_TTAFStock_Log[WeekIndex],21)=0,"",SUMIFS(T_TTAFStock_Log[TTAF_Qty],T_TTAFStock_Log[Part Name],$A9,T_TTAFStock_Log[WeekIndex],21))</f>
        <v/>
      </c>
      <c r="W9" s="19">
        <f>IF(COUNTIFS(T_TTAFStock_Log[Part Name],$A9,T_TTAFStock_Log[WeekIndex],22)=0,"",SUMIFS(T_TTAFStock_Log[TTAF_Qty],T_TTAFStock_Log[Part Name],$A9,T_TTAFStock_Log[WeekIndex],22))</f>
        <v/>
      </c>
      <c r="X9" s="19">
        <f>IF(COUNTIFS(T_TTAFStock_Log[Part Name],$A9,T_TTAFStock_Log[WeekIndex],23)=0,"",SUMIFS(T_TTAFStock_Log[TTAF_Qty],T_TTAFStock_Log[Part Name],$A9,T_TTAFStock_Log[WeekIndex],23))</f>
        <v/>
      </c>
      <c r="Y9" s="19">
        <f>IF(COUNTIFS(T_TTAFStock_Log[Part Name],$A9,T_TTAFStock_Log[WeekIndex],24)=0,"",SUMIFS(T_TTAFStock_Log[TTAF_Qty],T_TTAFStock_Log[Part Name],$A9,T_TTAFStock_Log[WeekIndex],24))</f>
        <v/>
      </c>
      <c r="Z9" s="19">
        <f>IF(COUNTIFS(T_TTAFStock_Log[Part Name],$A9,T_TTAFStock_Log[WeekIndex],25)=0,"",SUMIFS(T_TTAFStock_Log[TTAF_Qty],T_TTAFStock_Log[Part Name],$A9,T_TTAFStock_Log[WeekIndex],25))</f>
        <v/>
      </c>
      <c r="AA9" s="19">
        <f>IF(COUNTIFS(T_TTAFStock_Log[Part Name],$A9,T_TTAFStock_Log[WeekIndex],26)=0,"",SUMIFS(T_TTAFStock_Log[TTAF_Qty],T_TTAFStock_Log[Part Name],$A9,T_TTAFStock_Log[WeekIndex],26))</f>
        <v/>
      </c>
      <c r="AB9" s="19">
        <f>IF(COUNTIFS(T_TTAFStock_Log[Part Name],$A9,T_TTAFStock_Log[WeekIndex],27)=0,"",SUMIFS(T_TTAFStock_Log[TTAF_Qty],T_TTAFStock_Log[Part Name],$A9,T_TTAFStock_Log[WeekIndex],27))</f>
        <v/>
      </c>
      <c r="AC9" s="19">
        <f>IF(COUNTIFS(T_TTAFStock_Log[Part Name],$A9,T_TTAFStock_Log[WeekIndex],28)=0,"",SUMIFS(T_TTAFStock_Log[TTAF_Qty],T_TTAFStock_Log[Part Name],$A9,T_TTAFStock_Log[WeekIndex],28))</f>
        <v/>
      </c>
      <c r="AD9" s="19">
        <f>IF(COUNTIFS(T_TTAFStock_Log[Part Name],$A9,T_TTAFStock_Log[WeekIndex],29)=0,"",SUMIFS(T_TTAFStock_Log[TTAF_Qty],T_TTAFStock_Log[Part Name],$A9,T_TTAFStock_Log[WeekIndex],29))</f>
        <v/>
      </c>
      <c r="AE9" s="19">
        <f>IF(COUNTIFS(T_TTAFStock_Log[Part Name],$A9,T_TTAFStock_Log[WeekIndex],30)=0,"",SUMIFS(T_TTAFStock_Log[TTAF_Qty],T_TTAFStock_Log[Part Name],$A9,T_TTAFStock_Log[WeekIndex],30))</f>
        <v/>
      </c>
      <c r="AF9" s="19">
        <f>IF(COUNTIFS(T_TTAFStock_Log[Part Name],$A9,T_TTAFStock_Log[WeekIndex],31)=0,"",SUMIFS(T_TTAFStock_Log[TTAF_Qty],T_TTAFStock_Log[Part Name],$A9,T_TTAFStock_Log[WeekIndex],31))</f>
        <v/>
      </c>
      <c r="AG9" s="19">
        <f>IF(COUNTIFS(T_TTAFStock_Log[Part Name],$A9,T_TTAFStock_Log[WeekIndex],32)=0,"",SUMIFS(T_TTAFStock_Log[TTAF_Qty],T_TTAFStock_Log[Part Name],$A9,T_TTAFStock_Log[WeekIndex],32))</f>
        <v/>
      </c>
      <c r="AH9" s="19">
        <f>IF(COUNTIFS(T_TTAFStock_Log[Part Name],$A9,T_TTAFStock_Log[WeekIndex],33)=0,"",SUMIFS(T_TTAFStock_Log[TTAF_Qty],T_TTAFStock_Log[Part Name],$A9,T_TTAFStock_Log[WeekIndex],33))</f>
        <v/>
      </c>
      <c r="AI9" s="19">
        <f>IF(COUNTIFS(T_TTAFStock_Log[Part Name],$A9,T_TTAFStock_Log[WeekIndex],34)=0,"",SUMIFS(T_TTAFStock_Log[TTAF_Qty],T_TTAFStock_Log[Part Name],$A9,T_TTAFStock_Log[WeekIndex],34))</f>
        <v/>
      </c>
      <c r="AJ9" s="19">
        <f>IF(COUNTIFS(T_TTAFStock_Log[Part Name],$A9,T_TTAFStock_Log[WeekIndex],35)=0,"",SUMIFS(T_TTAFStock_Log[TTAF_Qty],T_TTAFStock_Log[Part Name],$A9,T_TTAFStock_Log[WeekIndex],35))</f>
        <v/>
      </c>
      <c r="AK9" s="19">
        <f>IF(COUNTIFS(T_TTAFStock_Log[Part Name],$A9,T_TTAFStock_Log[WeekIndex],36)=0,"",SUMIFS(T_TTAFStock_Log[TTAF_Qty],T_TTAFStock_Log[Part Name],$A9,T_TTAFStock_Log[WeekIndex],36))</f>
        <v/>
      </c>
      <c r="AL9" s="19">
        <f>IF(COUNTIFS(T_TTAFStock_Log[Part Name],$A9,T_TTAFStock_Log[WeekIndex],37)=0,"",SUMIFS(T_TTAFStock_Log[TTAF_Qty],T_TTAFStock_Log[Part Name],$A9,T_TTAFStock_Log[WeekIndex],37))</f>
        <v/>
      </c>
      <c r="AM9" s="19">
        <f>IF(COUNTIFS(T_TTAFStock_Log[Part Name],$A9,T_TTAFStock_Log[WeekIndex],38)=0,"",SUMIFS(T_TTAFStock_Log[TTAF_Qty],T_TTAFStock_Log[Part Name],$A9,T_TTAFStock_Log[WeekIndex],38))</f>
        <v/>
      </c>
      <c r="AN9" s="19">
        <f>IF(COUNTIFS(T_TTAFStock_Log[Part Name],$A9,T_TTAFStock_Log[WeekIndex],39)=0,"",SUMIFS(T_TTAFStock_Log[TTAF_Qty],T_TTAFStock_Log[Part Name],$A9,T_TTAFStock_Log[WeekIndex],39))</f>
        <v/>
      </c>
      <c r="AO9" s="19">
        <f>IF(COUNTIFS(T_TTAFStock_Log[Part Name],$A9,T_TTAFStock_Log[WeekIndex],40)=0,"",SUMIFS(T_TTAFStock_Log[TTAF_Qty],T_TTAFStock_Log[Part Name],$A9,T_TTAFStock_Log[WeekIndex],40))</f>
        <v/>
      </c>
      <c r="AP9" s="19">
        <f>IF(COUNTIFS(T_TTAFStock_Log[Part Name],$A9,T_TTAFStock_Log[WeekIndex],41)=0,"",SUMIFS(T_TTAFStock_Log[TTAF_Qty],T_TTAFStock_Log[Part Name],$A9,T_TTAFStock_Log[WeekIndex],41))</f>
        <v/>
      </c>
      <c r="AQ9" s="19">
        <f>IF(COUNTIFS(T_TTAFStock_Log[Part Name],$A9,T_TTAFStock_Log[WeekIndex],42)=0,"",SUMIFS(T_TTAFStock_Log[TTAF_Qty],T_TTAFStock_Log[Part Name],$A9,T_TTAFStock_Log[WeekIndex],42))</f>
        <v/>
      </c>
      <c r="AR9" s="19">
        <f>IF(COUNTIFS(T_TTAFStock_Log[Part Name],$A9,T_TTAFStock_Log[WeekIndex],43)=0,"",SUMIFS(T_TTAFStock_Log[TTAF_Qty],T_TTAFStock_Log[Part Name],$A9,T_TTAFStock_Log[WeekIndex],43))</f>
        <v/>
      </c>
      <c r="AS9" s="19">
        <f>IF(COUNTIFS(T_TTAFStock_Log[Part Name],$A9,T_TTAFStock_Log[WeekIndex],44)=0,"",SUMIFS(T_TTAFStock_Log[TTAF_Qty],T_TTAFStock_Log[Part Name],$A9,T_TTAFStock_Log[WeekIndex],44))</f>
        <v/>
      </c>
      <c r="AT9" s="19">
        <f>IF(COUNTIFS(T_TTAFStock_Log[Part Name],$A9,T_TTAFStock_Log[WeekIndex],45)=0,"",SUMIFS(T_TTAFStock_Log[TTAF_Qty],T_TTAFStock_Log[Part Name],$A9,T_TTAFStock_Log[WeekIndex],45))</f>
        <v/>
      </c>
      <c r="AU9" s="19">
        <f>IF(COUNTIFS(T_TTAFStock_Log[Part Name],$A9,T_TTAFStock_Log[WeekIndex],46)=0,"",SUMIFS(T_TTAFStock_Log[TTAF_Qty],T_TTAFStock_Log[Part Name],$A9,T_TTAFStock_Log[WeekIndex],46))</f>
        <v/>
      </c>
      <c r="AV9" s="19">
        <f>IF(COUNTIFS(T_TTAFStock_Log[Part Name],$A9,T_TTAFStock_Log[WeekIndex],47)=0,"",SUMIFS(T_TTAFStock_Log[TTAF_Qty],T_TTAFStock_Log[Part Name],$A9,T_TTAFStock_Log[WeekIndex],47))</f>
        <v/>
      </c>
      <c r="AW9" s="19">
        <f>IF(COUNTIFS(T_TTAFStock_Log[Part Name],$A9,T_TTAFStock_Log[WeekIndex],48)=0,"",SUMIFS(T_TTAFStock_Log[TTAF_Qty],T_TTAFStock_Log[Part Name],$A9,T_TTAFStock_Log[WeekIndex],48))</f>
        <v/>
      </c>
      <c r="AX9" s="19">
        <f>IF(COUNTIFS(T_TTAFStock_Log[Part Name],$A9,T_TTAFStock_Log[WeekIndex],49)=0,"",SUMIFS(T_TTAFStock_Log[TTAF_Qty],T_TTAFStock_Log[Part Name],$A9,T_TTAFStock_Log[WeekIndex],49))</f>
        <v/>
      </c>
      <c r="AY9" s="19">
        <f>IF(COUNTIFS(T_TTAFStock_Log[Part Name],$A9,T_TTAFStock_Log[WeekIndex],50)=0,"",SUMIFS(T_TTAFStock_Log[TTAF_Qty],T_TTAFStock_Log[Part Name],$A9,T_TTAFStock_Log[WeekIndex],50))</f>
        <v/>
      </c>
      <c r="AZ9" s="19">
        <f>IF(COUNTIFS(T_TTAFStock_Log[Part Name],$A9,T_TTAFStock_Log[WeekIndex],51)=0,"",SUMIFS(T_TTAFStock_Log[TTAF_Qty],T_TTAFStock_Log[Part Name],$A9,T_TTAFStock_Log[WeekIndex],51))</f>
        <v/>
      </c>
      <c r="BA9" s="19">
        <f>IF(COUNTIFS(T_TTAFStock_Log[Part Name],$A9,T_TTAFStock_Log[WeekIndex],52)=0,"",SUMIFS(T_TTAFStock_Log[TTAF_Qty],T_TTAFStock_Log[Part Name],$A9,T_TTAFStock_Log[WeekIndex],52))</f>
        <v/>
      </c>
      <c r="BB9" s="19">
        <f>IF(COUNTIFS(T_TTAFStock_Log[Part Name],$A9,T_TTAFStock_Log[WeekIndex],53)=0,"",SUMIFS(T_TTAFStock_Log[TTAF_Qty],T_TTAFStock_Log[Part Name],$A9,T_TTAFStock_Log[WeekIndex],53))</f>
        <v/>
      </c>
      <c r="BC9" s="19">
        <f>IF(COUNTIFS(T_TTAFStock_Log[Part Name],$A9,T_TTAFStock_Log[WeekIndex],54)=0,"",SUMIFS(T_TTAFStock_Log[TTAF_Qty],T_TTAFStock_Log[Part Name],$A9,T_TTAFStock_Log[WeekIndex],54))</f>
        <v/>
      </c>
      <c r="BD9" s="19">
        <f>IF(COUNTIFS(T_TTAFStock_Log[Part Name],$A9,T_TTAFStock_Log[WeekIndex],55)=0,"",SUMIFS(T_TTAFStock_Log[TTAF_Qty],T_TTAFStock_Log[Part Name],$A9,T_TTAFStock_Log[WeekIndex],55))</f>
        <v/>
      </c>
      <c r="BE9" s="19">
        <f>IF(COUNTIFS(T_TTAFStock_Log[Part Name],$A9,T_TTAFStock_Log[WeekIndex],56)=0,"",SUMIFS(T_TTAFStock_Log[TTAF_Qty],T_TTAFStock_Log[Part Name],$A9,T_TTAFStock_Log[WeekIndex],56))</f>
        <v/>
      </c>
      <c r="BF9" s="19">
        <f>IF(COUNTIFS(T_TTAFStock_Log[Part Name],$A9,T_TTAFStock_Log[WeekIndex],57)=0,"",SUMIFS(T_TTAFStock_Log[TTAF_Qty],T_TTAFStock_Log[Part Name],$A9,T_TTAFStock_Log[WeekIndex],57))</f>
        <v/>
      </c>
      <c r="BG9" s="19">
        <f>IF(COUNTIFS(T_TTAFStock_Log[Part Name],$A9,T_TTAFStock_Log[WeekIndex],58)=0,"",SUMIFS(T_TTAFStock_Log[TTAF_Qty],T_TTAFStock_Log[Part Name],$A9,T_TTAFStock_Log[WeekIndex],58))</f>
        <v/>
      </c>
      <c r="BH9" s="19">
        <f>IF(COUNTIFS(T_TTAFStock_Log[Part Name],$A9,T_TTAFStock_Log[WeekIndex],59)=0,"",SUMIFS(T_TTAFStock_Log[TTAF_Qty],T_TTAFStock_Log[Part Name],$A9,T_TTAFStock_Log[WeekIndex],59))</f>
        <v/>
      </c>
      <c r="BI9" s="19">
        <f>IF(COUNTIFS(T_TTAFStock_Log[Part Name],$A9,T_TTAFStock_Log[WeekIndex],60)=0,"",SUMIFS(T_TTAFStock_Log[TTAF_Qty],T_TTAFStock_Log[Part Name],$A9,T_TTAFStock_Log[WeekIndex],60))</f>
        <v/>
      </c>
      <c r="BJ9" s="19">
        <f>IF(COUNTIFS(T_TTAFStock_Log[Part Name],$A9,T_TTAFStock_Log[WeekIndex],61)=0,"",SUMIFS(T_TTAFStock_Log[TTAF_Qty],T_TTAFStock_Log[Part Name],$A9,T_TTAFStock_Log[WeekIndex],61))</f>
        <v/>
      </c>
      <c r="BK9" s="19">
        <f>IF(COUNTIFS(T_TTAFStock_Log[Part Name],$A9,T_TTAFStock_Log[WeekIndex],62)=0,"",SUMIFS(T_TTAFStock_Log[TTAF_Qty],T_TTAFStock_Log[Part Name],$A9,T_TTAFStock_Log[WeekIndex],62))</f>
        <v/>
      </c>
      <c r="BL9" s="19">
        <f>IF(COUNTIFS(T_TTAFStock_Log[Part Name],$A9,T_TTAFStock_Log[WeekIndex],63)=0,"",SUMIFS(T_TTAFStock_Log[TTAF_Qty],T_TTAFStock_Log[Part Name],$A9,T_TTAFStock_Log[WeekIndex],63))</f>
        <v/>
      </c>
      <c r="BM9" s="19">
        <f>IF(COUNTIFS(T_TTAFStock_Log[Part Name],$A9,T_TTAFStock_Log[WeekIndex],64)=0,"",SUMIFS(T_TTAFStock_Log[TTAF_Qty],T_TTAFStock_Log[Part Name],$A9,T_TTAFStock_Log[WeekIndex],64))</f>
        <v/>
      </c>
      <c r="BN9" s="19">
        <f>IF(COUNTIFS(T_TTAFStock_Log[Part Name],$A9,T_TTAFStock_Log[WeekIndex],65)=0,"",SUMIFS(T_TTAFStock_Log[TTAF_Qty],T_TTAFStock_Log[Part Name],$A9,T_TTAFStock_Log[WeekIndex],65))</f>
        <v/>
      </c>
      <c r="BO9" s="19">
        <f>IF(COUNTIFS(T_TTAFStock_Log[Part Name],$A9,T_TTAFStock_Log[WeekIndex],66)=0,"",SUMIFS(T_TTAFStock_Log[TTAF_Qty],T_TTAFStock_Log[Part Name],$A9,T_TTAFStock_Log[WeekIndex],66))</f>
        <v/>
      </c>
      <c r="BP9" s="19">
        <f>IF(COUNTIFS(T_TTAFStock_Log[Part Name],$A9,T_TTAFStock_Log[WeekIndex],67)=0,"",SUMIFS(T_TTAFStock_Log[TTAF_Qty],T_TTAFStock_Log[Part Name],$A9,T_TTAFStock_Log[WeekIndex],67))</f>
        <v/>
      </c>
      <c r="BQ9" s="19">
        <f>IF(COUNTIFS(T_TTAFStock_Log[Part Name],$A9,T_TTAFStock_Log[WeekIndex],68)=0,"",SUMIFS(T_TTAFStock_Log[TTAF_Qty],T_TTAFStock_Log[Part Name],$A9,T_TTAFStock_Log[WeekIndex],68))</f>
        <v/>
      </c>
      <c r="BR9" s="19">
        <f>IF(COUNTIFS(T_TTAFStock_Log[Part Name],$A9,T_TTAFStock_Log[WeekIndex],69)=0,"",SUMIFS(T_TTAFStock_Log[TTAF_Qty],T_TTAFStock_Log[Part Name],$A9,T_TTAFStock_Log[WeekIndex],69))</f>
        <v/>
      </c>
      <c r="BS9" s="19">
        <f>IF(COUNTIFS(T_TTAFStock_Log[Part Name],$A9,T_TTAFStock_Log[WeekIndex],70)=0,"",SUMIFS(T_TTAFStock_Log[TTAF_Qty],T_TTAFStock_Log[Part Name],$A9,T_TTAFStock_Log[WeekIndex],70))</f>
        <v/>
      </c>
      <c r="BT9" s="19">
        <f>IF(COUNTIFS(T_TTAFStock_Log[Part Name],$A9,T_TTAFStock_Log[WeekIndex],71)=0,"",SUMIFS(T_TTAFStock_Log[TTAF_Qty],T_TTAFStock_Log[Part Name],$A9,T_TTAFStock_Log[WeekIndex],71))</f>
        <v/>
      </c>
      <c r="BU9" s="19">
        <f>IF(COUNTIFS(T_TTAFStock_Log[Part Name],$A9,T_TTAFStock_Log[WeekIndex],72)=0,"",SUMIFS(T_TTAFStock_Log[TTAF_Qty],T_TTAFStock_Log[Part Name],$A9,T_TTAFStock_Log[WeekIndex],72))</f>
        <v/>
      </c>
      <c r="BV9" s="19">
        <f>IF(COUNTIFS(T_TTAFStock_Log[Part Name],$A9,T_TTAFStock_Log[WeekIndex],73)=0,"",SUMIFS(T_TTAFStock_Log[TTAF_Qty],T_TTAFStock_Log[Part Name],$A9,T_TTAFStock_Log[WeekIndex],73))</f>
        <v/>
      </c>
      <c r="BW9" s="19">
        <f>IF(COUNTIFS(T_TTAFStock_Log[Part Name],$A9,T_TTAFStock_Log[WeekIndex],74)=0,"",SUMIFS(T_TTAFStock_Log[TTAF_Qty],T_TTAFStock_Log[Part Name],$A9,T_TTAFStock_Log[WeekIndex],74))</f>
        <v/>
      </c>
      <c r="BX9" s="19">
        <f>IF(COUNTIFS(T_TTAFStock_Log[Part Name],$A9,T_TTAFStock_Log[WeekIndex],75)=0,"",SUMIFS(T_TTAFStock_Log[TTAF_Qty],T_TTAFStock_Log[Part Name],$A9,T_TTAFStock_Log[WeekIndex],75))</f>
        <v/>
      </c>
      <c r="BY9" s="19">
        <f>IF(COUNTIFS(T_TTAFStock_Log[Part Name],$A9,T_TTAFStock_Log[WeekIndex],76)=0,"",SUMIFS(T_TTAFStock_Log[TTAF_Qty],T_TTAFStock_Log[Part Name],$A9,T_TTAFStock_Log[WeekIndex],76))</f>
        <v/>
      </c>
      <c r="BZ9" s="19">
        <f>IF(COUNTIFS(T_TTAFStock_Log[Part Name],$A9,T_TTAFStock_Log[WeekIndex],77)=0,"",SUMIFS(T_TTAFStock_Log[TTAF_Qty],T_TTAFStock_Log[Part Name],$A9,T_TTAFStock_Log[WeekIndex],77))</f>
        <v/>
      </c>
      <c r="CA9" s="19">
        <f>IF(COUNTIFS(T_TTAFStock_Log[Part Name],$A9,T_TTAFStock_Log[WeekIndex],78)=0,"",SUMIFS(T_TTAFStock_Log[TTAF_Qty],T_TTAFStock_Log[Part Name],$A9,T_TTAFStock_Log[WeekIndex],78))</f>
        <v/>
      </c>
      <c r="CB9" s="19">
        <f>IF(COUNTIFS(T_TTAFStock_Log[Part Name],$A9,T_TTAFStock_Log[WeekIndex],79)=0,"",SUMIFS(T_TTAFStock_Log[TTAF_Qty],T_TTAFStock_Log[Part Name],$A9,T_TTAFStock_Log[WeekIndex],79))</f>
        <v/>
      </c>
      <c r="CC9" s="19">
        <f>IF(COUNTIFS(T_TTAFStock_Log[Part Name],$A9,T_TTAFStock_Log[WeekIndex],80)=0,"",SUMIFS(T_TTAFStock_Log[TTAF_Qty],T_TTAFStock_Log[Part Name],$A9,T_TTAFStock_Log[WeekIndex],80))</f>
        <v/>
      </c>
      <c r="CD9" s="19">
        <f>IF(COUNTIFS(T_TTAFStock_Log[Part Name],$A9,T_TTAFStock_Log[WeekIndex],81)=0,"",SUMIFS(T_TTAFStock_Log[TTAF_Qty],T_TTAFStock_Log[Part Name],$A9,T_TTAFStock_Log[WeekIndex],81))</f>
        <v/>
      </c>
      <c r="CE9" s="19">
        <f>IF(COUNTIFS(T_TTAFStock_Log[Part Name],$A9,T_TTAFStock_Log[WeekIndex],82)=0,"",SUMIFS(T_TTAFStock_Log[TTAF_Qty],T_TTAFStock_Log[Part Name],$A9,T_TTAFStock_Log[WeekIndex],82))</f>
        <v/>
      </c>
      <c r="CF9" s="19">
        <f>IF(COUNTIFS(T_TTAFStock_Log[Part Name],$A9,T_TTAFStock_Log[WeekIndex],83)=0,"",SUMIFS(T_TTAFStock_Log[TTAF_Qty],T_TTAFStock_Log[Part Name],$A9,T_TTAFStock_Log[WeekIndex],83))</f>
        <v/>
      </c>
      <c r="CG9" s="19">
        <f>IF(COUNTIFS(T_TTAFStock_Log[Part Name],$A9,T_TTAFStock_Log[WeekIndex],84)=0,"",SUMIFS(T_TTAFStock_Log[TTAF_Qty],T_TTAFStock_Log[Part Name],$A9,T_TTAFStock_Log[WeekIndex],84))</f>
        <v/>
      </c>
      <c r="CH9" s="19">
        <f>IF(COUNTIFS(T_TTAFStock_Log[Part Name],$A9,T_TTAFStock_Log[WeekIndex],85)=0,"",SUMIFS(T_TTAFStock_Log[TTAF_Qty],T_TTAFStock_Log[Part Name],$A9,T_TTAFStock_Log[WeekIndex],85))</f>
        <v/>
      </c>
      <c r="CI9" s="19">
        <f>IF(COUNTIFS(T_TTAFStock_Log[Part Name],$A9,T_TTAFStock_Log[WeekIndex],86)=0,"",SUMIFS(T_TTAFStock_Log[TTAF_Qty],T_TTAFStock_Log[Part Name],$A9,T_TTAFStock_Log[WeekIndex],86))</f>
        <v/>
      </c>
      <c r="CJ9" s="19">
        <f>IF(COUNTIFS(T_TTAFStock_Log[Part Name],$A9,T_TTAFStock_Log[WeekIndex],87)=0,"",SUMIFS(T_TTAFStock_Log[TTAF_Qty],T_TTAFStock_Log[Part Name],$A9,T_TTAFStock_Log[WeekIndex],87))</f>
        <v/>
      </c>
      <c r="CK9" s="19">
        <f>IF(COUNTIFS(T_TTAFStock_Log[Part Name],$A9,T_TTAFStock_Log[WeekIndex],88)=0,"",SUMIFS(T_TTAFStock_Log[TTAF_Qty],T_TTAFStock_Log[Part Name],$A9,T_TTAFStock_Log[WeekIndex],88))</f>
        <v/>
      </c>
      <c r="CL9" s="19">
        <f>IF(COUNTIFS(T_TTAFStock_Log[Part Name],$A9,T_TTAFStock_Log[WeekIndex],89)=0,"",SUMIFS(T_TTAFStock_Log[TTAF_Qty],T_TTAFStock_Log[Part Name],$A9,T_TTAFStock_Log[WeekIndex],89))</f>
        <v/>
      </c>
      <c r="CM9" s="19">
        <f>IF(COUNTIFS(T_TTAFStock_Log[Part Name],$A9,T_TTAFStock_Log[WeekIndex],90)=0,"",SUMIFS(T_TTAFStock_Log[TTAF_Qty],T_TTAFStock_Log[Part Name],$A9,T_TTAFStock_Log[WeekIndex],90))</f>
        <v/>
      </c>
      <c r="CN9" s="19">
        <f>IF(COUNTIFS(T_TTAFStock_Log[Part Name],$A9,T_TTAFStock_Log[WeekIndex],91)=0,"",SUMIFS(T_TTAFStock_Log[TTAF_Qty],T_TTAFStock_Log[Part Name],$A9,T_TTAFStock_Log[WeekIndex],91))</f>
        <v/>
      </c>
      <c r="CO9" s="19">
        <f>IF(COUNTIFS(T_TTAFStock_Log[Part Name],$A9,T_TTAFStock_Log[WeekIndex],92)=0,"",SUMIFS(T_TTAFStock_Log[TTAF_Qty],T_TTAFStock_Log[Part Name],$A9,T_TTAFStock_Log[WeekIndex],92))</f>
        <v/>
      </c>
      <c r="CP9" s="19">
        <f>IF(COUNTIFS(T_TTAFStock_Log[Part Name],$A9,T_TTAFStock_Log[WeekIndex],93)=0,"",SUMIFS(T_TTAFStock_Log[TTAF_Qty],T_TTAFStock_Log[Part Name],$A9,T_TTAFStock_Log[WeekIndex],93))</f>
        <v/>
      </c>
      <c r="CQ9" s="19">
        <f>IF(COUNTIFS(T_TTAFStock_Log[Part Name],$A9,T_TTAFStock_Log[WeekIndex],94)=0,"",SUMIFS(T_TTAFStock_Log[TTAF_Qty],T_TTAFStock_Log[Part Name],$A9,T_TTAFStock_Log[WeekIndex],94))</f>
        <v/>
      </c>
      <c r="CR9" s="19">
        <f>IF(COUNTIFS(T_TTAFStock_Log[Part Name],$A9,T_TTAFStock_Log[WeekIndex],95)=0,"",SUMIFS(T_TTAFStock_Log[TTAF_Qty],T_TTAFStock_Log[Part Name],$A9,T_TTAFStock_Log[WeekIndex],95))</f>
        <v/>
      </c>
      <c r="CS9" s="19">
        <f>IF(COUNTIFS(T_TTAFStock_Log[Part Name],$A9,T_TTAFStock_Log[WeekIndex],96)=0,"",SUMIFS(T_TTAFStock_Log[TTAF_Qty],T_TTAFStock_Log[Part Name],$A9,T_TTAFStock_Log[WeekIndex],96))</f>
        <v/>
      </c>
      <c r="CT9" s="19">
        <f>IF(COUNTIFS(T_TTAFStock_Log[Part Name],$A9,T_TTAFStock_Log[WeekIndex],97)=0,"",SUMIFS(T_TTAFStock_Log[TTAF_Qty],T_TTAFStock_Log[Part Name],$A9,T_TTAFStock_Log[WeekIndex],97))</f>
        <v/>
      </c>
      <c r="CU9" s="19">
        <f>IF(COUNTIFS(T_TTAFStock_Log[Part Name],$A9,T_TTAFStock_Log[WeekIndex],98)=0,"",SUMIFS(T_TTAFStock_Log[TTAF_Qty],T_TTAFStock_Log[Part Name],$A9,T_TTAFStock_Log[WeekIndex],98))</f>
        <v/>
      </c>
      <c r="CV9" s="19">
        <f>IF(COUNTIFS(T_TTAFStock_Log[Part Name],$A9,T_TTAFStock_Log[WeekIndex],99)=0,"",SUMIFS(T_TTAFStock_Log[TTAF_Qty],T_TTAFStock_Log[Part Name],$A9,T_TTAFStock_Log[WeekIndex],99))</f>
        <v/>
      </c>
      <c r="CW9" s="19">
        <f>IF(COUNTIFS(T_TTAFStock_Log[Part Name],$A9,T_TTAFStock_Log[WeekIndex],100)=0,"",SUMIFS(T_TTAFStock_Log[TTAF_Qty],T_TTAFStock_Log[Part Name],$A9,T_TTAFStock_Log[WeekIndex],100))</f>
        <v/>
      </c>
      <c r="CX9" s="19">
        <f>IF(COUNTIFS(T_TTAFStock_Log[Part Name],$A9,T_TTAFStock_Log[WeekIndex],101)=0,"",SUMIFS(T_TTAFStock_Log[TTAF_Qty],T_TTAFStock_Log[Part Name],$A9,T_TTAFStock_Log[WeekIndex],101))</f>
        <v/>
      </c>
      <c r="CY9" s="19">
        <f>IF(COUNTIFS(T_TTAFStock_Log[Part Name],$A9,T_TTAFStock_Log[WeekIndex],102)=0,"",SUMIFS(T_TTAFStock_Log[TTAF_Qty],T_TTAFStock_Log[Part Name],$A9,T_TTAFStock_Log[WeekIndex],102))</f>
        <v/>
      </c>
      <c r="CZ9" s="19">
        <f>IF(COUNTIFS(T_TTAFStock_Log[Part Name],$A9,T_TTAFStock_Log[WeekIndex],103)=0,"",SUMIFS(T_TTAFStock_Log[TTAF_Qty],T_TTAFStock_Log[Part Name],$A9,T_TTAFStock_Log[WeekIndex],103))</f>
        <v/>
      </c>
      <c r="DA9" s="19">
        <f>IF(COUNTIFS(T_TTAFStock_Log[Part Name],$A9,T_TTAFStock_Log[WeekIndex],104)=0,"",SUMIFS(T_TTAFStock_Log[TTAF_Qty],T_TTAFStock_Log[Part Name],$A9,T_TTAFStock_Log[WeekIndex],104))</f>
        <v/>
      </c>
    </row>
    <row r="10">
      <c r="A10" s="17" t="inlineStr">
        <is>
          <t>7CL</t>
        </is>
      </c>
      <c r="B10" s="17">
        <f>IF(COUNTIFS(T_TTAFStock_Log[Part Name],$A10,T_TTAFStock_Log[WeekIndex],1)=0,"",SUMIFS(T_TTAFStock_Log[TTAF_Qty],T_TTAFStock_Log[Part Name],$A10,T_TTAFStock_Log[WeekIndex],1))</f>
        <v/>
      </c>
      <c r="C10" s="17">
        <f>IF(COUNTIFS(T_TTAFStock_Log[Part Name],$A10,T_TTAFStock_Log[WeekIndex],2)=0,"",SUMIFS(T_TTAFStock_Log[TTAF_Qty],T_TTAFStock_Log[Part Name],$A10,T_TTAFStock_Log[WeekIndex],2))</f>
        <v/>
      </c>
      <c r="D10" s="17">
        <f>IF(COUNTIFS(T_TTAFStock_Log[Part Name],$A10,T_TTAFStock_Log[WeekIndex],3)=0,"",SUMIFS(T_TTAFStock_Log[TTAF_Qty],T_TTAFStock_Log[Part Name],$A10,T_TTAFStock_Log[WeekIndex],3))</f>
        <v/>
      </c>
      <c r="E10" s="17">
        <f>IF(COUNTIFS(T_TTAFStock_Log[Part Name],$A10,T_TTAFStock_Log[WeekIndex],4)=0,"",SUMIFS(T_TTAFStock_Log[TTAF_Qty],T_TTAFStock_Log[Part Name],$A10,T_TTAFStock_Log[WeekIndex],4))</f>
        <v/>
      </c>
      <c r="F10" s="17">
        <f>IF(COUNTIFS(T_TTAFStock_Log[Part Name],$A10,T_TTAFStock_Log[WeekIndex],5)=0,"",SUMIFS(T_TTAFStock_Log[TTAF_Qty],T_TTAFStock_Log[Part Name],$A10,T_TTAFStock_Log[WeekIndex],5))</f>
        <v/>
      </c>
      <c r="G10" s="17">
        <f>IF(COUNTIFS(T_TTAFStock_Log[Part Name],$A10,T_TTAFStock_Log[WeekIndex],6)=0,"",SUMIFS(T_TTAFStock_Log[TTAF_Qty],T_TTAFStock_Log[Part Name],$A10,T_TTAFStock_Log[WeekIndex],6))</f>
        <v/>
      </c>
      <c r="H10" s="17">
        <f>IF(COUNTIFS(T_TTAFStock_Log[Part Name],$A10,T_TTAFStock_Log[WeekIndex],7)=0,"",SUMIFS(T_TTAFStock_Log[TTAF_Qty],T_TTAFStock_Log[Part Name],$A10,T_TTAFStock_Log[WeekIndex],7))</f>
        <v/>
      </c>
      <c r="I10" s="17">
        <f>IF(COUNTIFS(T_TTAFStock_Log[Part Name],$A10,T_TTAFStock_Log[WeekIndex],8)=0,"",SUMIFS(T_TTAFStock_Log[TTAF_Qty],T_TTAFStock_Log[Part Name],$A10,T_TTAFStock_Log[WeekIndex],8))</f>
        <v/>
      </c>
      <c r="J10" s="17">
        <f>IF(COUNTIFS(T_TTAFStock_Log[Part Name],$A10,T_TTAFStock_Log[WeekIndex],9)=0,"",SUMIFS(T_TTAFStock_Log[TTAF_Qty],T_TTAFStock_Log[Part Name],$A10,T_TTAFStock_Log[WeekIndex],9))</f>
        <v/>
      </c>
      <c r="K10" s="17">
        <f>IF(COUNTIFS(T_TTAFStock_Log[Part Name],$A10,T_TTAFStock_Log[WeekIndex],10)=0,"",SUMIFS(T_TTAFStock_Log[TTAF_Qty],T_TTAFStock_Log[Part Name],$A10,T_TTAFStock_Log[WeekIndex],10))</f>
        <v/>
      </c>
      <c r="L10" s="17">
        <f>IF(COUNTIFS(T_TTAFStock_Log[Part Name],$A10,T_TTAFStock_Log[WeekIndex],11)=0,"",SUMIFS(T_TTAFStock_Log[TTAF_Qty],T_TTAFStock_Log[Part Name],$A10,T_TTAFStock_Log[WeekIndex],11))</f>
        <v/>
      </c>
      <c r="M10" s="17">
        <f>IF(COUNTIFS(T_TTAFStock_Log[Part Name],$A10,T_TTAFStock_Log[WeekIndex],12)=0,"",SUMIFS(T_TTAFStock_Log[TTAF_Qty],T_TTAFStock_Log[Part Name],$A10,T_TTAFStock_Log[WeekIndex],12))</f>
        <v/>
      </c>
      <c r="N10" s="17">
        <f>IF(COUNTIFS(T_TTAFStock_Log[Part Name],$A10,T_TTAFStock_Log[WeekIndex],13)=0,"",SUMIFS(T_TTAFStock_Log[TTAF_Qty],T_TTAFStock_Log[Part Name],$A10,T_TTAFStock_Log[WeekIndex],13))</f>
        <v/>
      </c>
      <c r="O10" s="17">
        <f>IF(COUNTIFS(T_TTAFStock_Log[Part Name],$A10,T_TTAFStock_Log[WeekIndex],14)=0,"",SUMIFS(T_TTAFStock_Log[TTAF_Qty],T_TTAFStock_Log[Part Name],$A10,T_TTAFStock_Log[WeekIndex],14))</f>
        <v/>
      </c>
      <c r="P10" s="17">
        <f>IF(COUNTIFS(T_TTAFStock_Log[Part Name],$A10,T_TTAFStock_Log[WeekIndex],15)=0,"",SUMIFS(T_TTAFStock_Log[TTAF_Qty],T_TTAFStock_Log[Part Name],$A10,T_TTAFStock_Log[WeekIndex],15))</f>
        <v/>
      </c>
      <c r="Q10" s="17">
        <f>IF(COUNTIFS(T_TTAFStock_Log[Part Name],$A10,T_TTAFStock_Log[WeekIndex],16)=0,"",SUMIFS(T_TTAFStock_Log[TTAF_Qty],T_TTAFStock_Log[Part Name],$A10,T_TTAFStock_Log[WeekIndex],16))</f>
        <v/>
      </c>
      <c r="R10" s="17">
        <f>IF(COUNTIFS(T_TTAFStock_Log[Part Name],$A10,T_TTAFStock_Log[WeekIndex],17)=0,"",SUMIFS(T_TTAFStock_Log[TTAF_Qty],T_TTAFStock_Log[Part Name],$A10,T_TTAFStock_Log[WeekIndex],17))</f>
        <v/>
      </c>
      <c r="S10" s="17">
        <f>IF(COUNTIFS(T_TTAFStock_Log[Part Name],$A10,T_TTAFStock_Log[WeekIndex],18)=0,"",SUMIFS(T_TTAFStock_Log[TTAF_Qty],T_TTAFStock_Log[Part Name],$A10,T_TTAFStock_Log[WeekIndex],18))</f>
        <v/>
      </c>
      <c r="T10" s="17">
        <f>IF(COUNTIFS(T_TTAFStock_Log[Part Name],$A10,T_TTAFStock_Log[WeekIndex],19)=0,"",SUMIFS(T_TTAFStock_Log[TTAF_Qty],T_TTAFStock_Log[Part Name],$A10,T_TTAFStock_Log[WeekIndex],19))</f>
        <v/>
      </c>
      <c r="U10" s="17">
        <f>IF(COUNTIFS(T_TTAFStock_Log[Part Name],$A10,T_TTAFStock_Log[WeekIndex],20)=0,"",SUMIFS(T_TTAFStock_Log[TTAF_Qty],T_TTAFStock_Log[Part Name],$A10,T_TTAFStock_Log[WeekIndex],20))</f>
        <v/>
      </c>
      <c r="V10" s="17">
        <f>IF(COUNTIFS(T_TTAFStock_Log[Part Name],$A10,T_TTAFStock_Log[WeekIndex],21)=0,"",SUMIFS(T_TTAFStock_Log[TTAF_Qty],T_TTAFStock_Log[Part Name],$A10,T_TTAFStock_Log[WeekIndex],21))</f>
        <v/>
      </c>
      <c r="W10" s="17">
        <f>IF(COUNTIFS(T_TTAFStock_Log[Part Name],$A10,T_TTAFStock_Log[WeekIndex],22)=0,"",SUMIFS(T_TTAFStock_Log[TTAF_Qty],T_TTAFStock_Log[Part Name],$A10,T_TTAFStock_Log[WeekIndex],22))</f>
        <v/>
      </c>
      <c r="X10" s="17">
        <f>IF(COUNTIFS(T_TTAFStock_Log[Part Name],$A10,T_TTAFStock_Log[WeekIndex],23)=0,"",SUMIFS(T_TTAFStock_Log[TTAF_Qty],T_TTAFStock_Log[Part Name],$A10,T_TTAFStock_Log[WeekIndex],23))</f>
        <v/>
      </c>
      <c r="Y10" s="17">
        <f>IF(COUNTIFS(T_TTAFStock_Log[Part Name],$A10,T_TTAFStock_Log[WeekIndex],24)=0,"",SUMIFS(T_TTAFStock_Log[TTAF_Qty],T_TTAFStock_Log[Part Name],$A10,T_TTAFStock_Log[WeekIndex],24))</f>
        <v/>
      </c>
      <c r="Z10" s="17">
        <f>IF(COUNTIFS(T_TTAFStock_Log[Part Name],$A10,T_TTAFStock_Log[WeekIndex],25)=0,"",SUMIFS(T_TTAFStock_Log[TTAF_Qty],T_TTAFStock_Log[Part Name],$A10,T_TTAFStock_Log[WeekIndex],25))</f>
        <v/>
      </c>
      <c r="AA10" s="17">
        <f>IF(COUNTIFS(T_TTAFStock_Log[Part Name],$A10,T_TTAFStock_Log[WeekIndex],26)=0,"",SUMIFS(T_TTAFStock_Log[TTAF_Qty],T_TTAFStock_Log[Part Name],$A10,T_TTAFStock_Log[WeekIndex],26))</f>
        <v/>
      </c>
      <c r="AB10" s="17">
        <f>IF(COUNTIFS(T_TTAFStock_Log[Part Name],$A10,T_TTAFStock_Log[WeekIndex],27)=0,"",SUMIFS(T_TTAFStock_Log[TTAF_Qty],T_TTAFStock_Log[Part Name],$A10,T_TTAFStock_Log[WeekIndex],27))</f>
        <v/>
      </c>
      <c r="AC10" s="17">
        <f>IF(COUNTIFS(T_TTAFStock_Log[Part Name],$A10,T_TTAFStock_Log[WeekIndex],28)=0,"",SUMIFS(T_TTAFStock_Log[TTAF_Qty],T_TTAFStock_Log[Part Name],$A10,T_TTAFStock_Log[WeekIndex],28))</f>
        <v/>
      </c>
      <c r="AD10" s="17">
        <f>IF(COUNTIFS(T_TTAFStock_Log[Part Name],$A10,T_TTAFStock_Log[WeekIndex],29)=0,"",SUMIFS(T_TTAFStock_Log[TTAF_Qty],T_TTAFStock_Log[Part Name],$A10,T_TTAFStock_Log[WeekIndex],29))</f>
        <v/>
      </c>
      <c r="AE10" s="17">
        <f>IF(COUNTIFS(T_TTAFStock_Log[Part Name],$A10,T_TTAFStock_Log[WeekIndex],30)=0,"",SUMIFS(T_TTAFStock_Log[TTAF_Qty],T_TTAFStock_Log[Part Name],$A10,T_TTAFStock_Log[WeekIndex],30))</f>
        <v/>
      </c>
      <c r="AF10" s="17">
        <f>IF(COUNTIFS(T_TTAFStock_Log[Part Name],$A10,T_TTAFStock_Log[WeekIndex],31)=0,"",SUMIFS(T_TTAFStock_Log[TTAF_Qty],T_TTAFStock_Log[Part Name],$A10,T_TTAFStock_Log[WeekIndex],31))</f>
        <v/>
      </c>
      <c r="AG10" s="17">
        <f>IF(COUNTIFS(T_TTAFStock_Log[Part Name],$A10,T_TTAFStock_Log[WeekIndex],32)=0,"",SUMIFS(T_TTAFStock_Log[TTAF_Qty],T_TTAFStock_Log[Part Name],$A10,T_TTAFStock_Log[WeekIndex],32))</f>
        <v/>
      </c>
      <c r="AH10" s="17">
        <f>IF(COUNTIFS(T_TTAFStock_Log[Part Name],$A10,T_TTAFStock_Log[WeekIndex],33)=0,"",SUMIFS(T_TTAFStock_Log[TTAF_Qty],T_TTAFStock_Log[Part Name],$A10,T_TTAFStock_Log[WeekIndex],33))</f>
        <v/>
      </c>
      <c r="AI10" s="17">
        <f>IF(COUNTIFS(T_TTAFStock_Log[Part Name],$A10,T_TTAFStock_Log[WeekIndex],34)=0,"",SUMIFS(T_TTAFStock_Log[TTAF_Qty],T_TTAFStock_Log[Part Name],$A10,T_TTAFStock_Log[WeekIndex],34))</f>
        <v/>
      </c>
      <c r="AJ10" s="17">
        <f>IF(COUNTIFS(T_TTAFStock_Log[Part Name],$A10,T_TTAFStock_Log[WeekIndex],35)=0,"",SUMIFS(T_TTAFStock_Log[TTAF_Qty],T_TTAFStock_Log[Part Name],$A10,T_TTAFStock_Log[WeekIndex],35))</f>
        <v/>
      </c>
      <c r="AK10" s="17">
        <f>IF(COUNTIFS(T_TTAFStock_Log[Part Name],$A10,T_TTAFStock_Log[WeekIndex],36)=0,"",SUMIFS(T_TTAFStock_Log[TTAF_Qty],T_TTAFStock_Log[Part Name],$A10,T_TTAFStock_Log[WeekIndex],36))</f>
        <v/>
      </c>
      <c r="AL10" s="17">
        <f>IF(COUNTIFS(T_TTAFStock_Log[Part Name],$A10,T_TTAFStock_Log[WeekIndex],37)=0,"",SUMIFS(T_TTAFStock_Log[TTAF_Qty],T_TTAFStock_Log[Part Name],$A10,T_TTAFStock_Log[WeekIndex],37))</f>
        <v/>
      </c>
      <c r="AM10" s="17">
        <f>IF(COUNTIFS(T_TTAFStock_Log[Part Name],$A10,T_TTAFStock_Log[WeekIndex],38)=0,"",SUMIFS(T_TTAFStock_Log[TTAF_Qty],T_TTAFStock_Log[Part Name],$A10,T_TTAFStock_Log[WeekIndex],38))</f>
        <v/>
      </c>
      <c r="AN10" s="17">
        <f>IF(COUNTIFS(T_TTAFStock_Log[Part Name],$A10,T_TTAFStock_Log[WeekIndex],39)=0,"",SUMIFS(T_TTAFStock_Log[TTAF_Qty],T_TTAFStock_Log[Part Name],$A10,T_TTAFStock_Log[WeekIndex],39))</f>
        <v/>
      </c>
      <c r="AO10" s="17">
        <f>IF(COUNTIFS(T_TTAFStock_Log[Part Name],$A10,T_TTAFStock_Log[WeekIndex],40)=0,"",SUMIFS(T_TTAFStock_Log[TTAF_Qty],T_TTAFStock_Log[Part Name],$A10,T_TTAFStock_Log[WeekIndex],40))</f>
        <v/>
      </c>
      <c r="AP10" s="17">
        <f>IF(COUNTIFS(T_TTAFStock_Log[Part Name],$A10,T_TTAFStock_Log[WeekIndex],41)=0,"",SUMIFS(T_TTAFStock_Log[TTAF_Qty],T_TTAFStock_Log[Part Name],$A10,T_TTAFStock_Log[WeekIndex],41))</f>
        <v/>
      </c>
      <c r="AQ10" s="17">
        <f>IF(COUNTIFS(T_TTAFStock_Log[Part Name],$A10,T_TTAFStock_Log[WeekIndex],42)=0,"",SUMIFS(T_TTAFStock_Log[TTAF_Qty],T_TTAFStock_Log[Part Name],$A10,T_TTAFStock_Log[WeekIndex],42))</f>
        <v/>
      </c>
      <c r="AR10" s="17">
        <f>IF(COUNTIFS(T_TTAFStock_Log[Part Name],$A10,T_TTAFStock_Log[WeekIndex],43)=0,"",SUMIFS(T_TTAFStock_Log[TTAF_Qty],T_TTAFStock_Log[Part Name],$A10,T_TTAFStock_Log[WeekIndex],43))</f>
        <v/>
      </c>
      <c r="AS10" s="17">
        <f>IF(COUNTIFS(T_TTAFStock_Log[Part Name],$A10,T_TTAFStock_Log[WeekIndex],44)=0,"",SUMIFS(T_TTAFStock_Log[TTAF_Qty],T_TTAFStock_Log[Part Name],$A10,T_TTAFStock_Log[WeekIndex],44))</f>
        <v/>
      </c>
      <c r="AT10" s="17">
        <f>IF(COUNTIFS(T_TTAFStock_Log[Part Name],$A10,T_TTAFStock_Log[WeekIndex],45)=0,"",SUMIFS(T_TTAFStock_Log[TTAF_Qty],T_TTAFStock_Log[Part Name],$A10,T_TTAFStock_Log[WeekIndex],45))</f>
        <v/>
      </c>
      <c r="AU10" s="17">
        <f>IF(COUNTIFS(T_TTAFStock_Log[Part Name],$A10,T_TTAFStock_Log[WeekIndex],46)=0,"",SUMIFS(T_TTAFStock_Log[TTAF_Qty],T_TTAFStock_Log[Part Name],$A10,T_TTAFStock_Log[WeekIndex],46))</f>
        <v/>
      </c>
      <c r="AV10" s="17">
        <f>IF(COUNTIFS(T_TTAFStock_Log[Part Name],$A10,T_TTAFStock_Log[WeekIndex],47)=0,"",SUMIFS(T_TTAFStock_Log[TTAF_Qty],T_TTAFStock_Log[Part Name],$A10,T_TTAFStock_Log[WeekIndex],47))</f>
        <v/>
      </c>
      <c r="AW10" s="17">
        <f>IF(COUNTIFS(T_TTAFStock_Log[Part Name],$A10,T_TTAFStock_Log[WeekIndex],48)=0,"",SUMIFS(T_TTAFStock_Log[TTAF_Qty],T_TTAFStock_Log[Part Name],$A10,T_TTAFStock_Log[WeekIndex],48))</f>
        <v/>
      </c>
      <c r="AX10" s="17">
        <f>IF(COUNTIFS(T_TTAFStock_Log[Part Name],$A10,T_TTAFStock_Log[WeekIndex],49)=0,"",SUMIFS(T_TTAFStock_Log[TTAF_Qty],T_TTAFStock_Log[Part Name],$A10,T_TTAFStock_Log[WeekIndex],49))</f>
        <v/>
      </c>
      <c r="AY10" s="17">
        <f>IF(COUNTIFS(T_TTAFStock_Log[Part Name],$A10,T_TTAFStock_Log[WeekIndex],50)=0,"",SUMIFS(T_TTAFStock_Log[TTAF_Qty],T_TTAFStock_Log[Part Name],$A10,T_TTAFStock_Log[WeekIndex],50))</f>
        <v/>
      </c>
      <c r="AZ10" s="17">
        <f>IF(COUNTIFS(T_TTAFStock_Log[Part Name],$A10,T_TTAFStock_Log[WeekIndex],51)=0,"",SUMIFS(T_TTAFStock_Log[TTAF_Qty],T_TTAFStock_Log[Part Name],$A10,T_TTAFStock_Log[WeekIndex],51))</f>
        <v/>
      </c>
      <c r="BA10" s="17">
        <f>IF(COUNTIFS(T_TTAFStock_Log[Part Name],$A10,T_TTAFStock_Log[WeekIndex],52)=0,"",SUMIFS(T_TTAFStock_Log[TTAF_Qty],T_TTAFStock_Log[Part Name],$A10,T_TTAFStock_Log[WeekIndex],52))</f>
        <v/>
      </c>
      <c r="BB10" s="17">
        <f>IF(COUNTIFS(T_TTAFStock_Log[Part Name],$A10,T_TTAFStock_Log[WeekIndex],53)=0,"",SUMIFS(T_TTAFStock_Log[TTAF_Qty],T_TTAFStock_Log[Part Name],$A10,T_TTAFStock_Log[WeekIndex],53))</f>
        <v/>
      </c>
      <c r="BC10" s="17">
        <f>IF(COUNTIFS(T_TTAFStock_Log[Part Name],$A10,T_TTAFStock_Log[WeekIndex],54)=0,"",SUMIFS(T_TTAFStock_Log[TTAF_Qty],T_TTAFStock_Log[Part Name],$A10,T_TTAFStock_Log[WeekIndex],54))</f>
        <v/>
      </c>
      <c r="BD10" s="17">
        <f>IF(COUNTIFS(T_TTAFStock_Log[Part Name],$A10,T_TTAFStock_Log[WeekIndex],55)=0,"",SUMIFS(T_TTAFStock_Log[TTAF_Qty],T_TTAFStock_Log[Part Name],$A10,T_TTAFStock_Log[WeekIndex],55))</f>
        <v/>
      </c>
      <c r="BE10" s="17">
        <f>IF(COUNTIFS(T_TTAFStock_Log[Part Name],$A10,T_TTAFStock_Log[WeekIndex],56)=0,"",SUMIFS(T_TTAFStock_Log[TTAF_Qty],T_TTAFStock_Log[Part Name],$A10,T_TTAFStock_Log[WeekIndex],56))</f>
        <v/>
      </c>
      <c r="BF10" s="17">
        <f>IF(COUNTIFS(T_TTAFStock_Log[Part Name],$A10,T_TTAFStock_Log[WeekIndex],57)=0,"",SUMIFS(T_TTAFStock_Log[TTAF_Qty],T_TTAFStock_Log[Part Name],$A10,T_TTAFStock_Log[WeekIndex],57))</f>
        <v/>
      </c>
      <c r="BG10" s="17">
        <f>IF(COUNTIFS(T_TTAFStock_Log[Part Name],$A10,T_TTAFStock_Log[WeekIndex],58)=0,"",SUMIFS(T_TTAFStock_Log[TTAF_Qty],T_TTAFStock_Log[Part Name],$A10,T_TTAFStock_Log[WeekIndex],58))</f>
        <v/>
      </c>
      <c r="BH10" s="17">
        <f>IF(COUNTIFS(T_TTAFStock_Log[Part Name],$A10,T_TTAFStock_Log[WeekIndex],59)=0,"",SUMIFS(T_TTAFStock_Log[TTAF_Qty],T_TTAFStock_Log[Part Name],$A10,T_TTAFStock_Log[WeekIndex],59))</f>
        <v/>
      </c>
      <c r="BI10" s="17">
        <f>IF(COUNTIFS(T_TTAFStock_Log[Part Name],$A10,T_TTAFStock_Log[WeekIndex],60)=0,"",SUMIFS(T_TTAFStock_Log[TTAF_Qty],T_TTAFStock_Log[Part Name],$A10,T_TTAFStock_Log[WeekIndex],60))</f>
        <v/>
      </c>
      <c r="BJ10" s="17">
        <f>IF(COUNTIFS(T_TTAFStock_Log[Part Name],$A10,T_TTAFStock_Log[WeekIndex],61)=0,"",SUMIFS(T_TTAFStock_Log[TTAF_Qty],T_TTAFStock_Log[Part Name],$A10,T_TTAFStock_Log[WeekIndex],61))</f>
        <v/>
      </c>
      <c r="BK10" s="17">
        <f>IF(COUNTIFS(T_TTAFStock_Log[Part Name],$A10,T_TTAFStock_Log[WeekIndex],62)=0,"",SUMIFS(T_TTAFStock_Log[TTAF_Qty],T_TTAFStock_Log[Part Name],$A10,T_TTAFStock_Log[WeekIndex],62))</f>
        <v/>
      </c>
      <c r="BL10" s="17">
        <f>IF(COUNTIFS(T_TTAFStock_Log[Part Name],$A10,T_TTAFStock_Log[WeekIndex],63)=0,"",SUMIFS(T_TTAFStock_Log[TTAF_Qty],T_TTAFStock_Log[Part Name],$A10,T_TTAFStock_Log[WeekIndex],63))</f>
        <v/>
      </c>
      <c r="BM10" s="17">
        <f>IF(COUNTIFS(T_TTAFStock_Log[Part Name],$A10,T_TTAFStock_Log[WeekIndex],64)=0,"",SUMIFS(T_TTAFStock_Log[TTAF_Qty],T_TTAFStock_Log[Part Name],$A10,T_TTAFStock_Log[WeekIndex],64))</f>
        <v/>
      </c>
      <c r="BN10" s="17">
        <f>IF(COUNTIFS(T_TTAFStock_Log[Part Name],$A10,T_TTAFStock_Log[WeekIndex],65)=0,"",SUMIFS(T_TTAFStock_Log[TTAF_Qty],T_TTAFStock_Log[Part Name],$A10,T_TTAFStock_Log[WeekIndex],65))</f>
        <v/>
      </c>
      <c r="BO10" s="17">
        <f>IF(COUNTIFS(T_TTAFStock_Log[Part Name],$A10,T_TTAFStock_Log[WeekIndex],66)=0,"",SUMIFS(T_TTAFStock_Log[TTAF_Qty],T_TTAFStock_Log[Part Name],$A10,T_TTAFStock_Log[WeekIndex],66))</f>
        <v/>
      </c>
      <c r="BP10" s="17">
        <f>IF(COUNTIFS(T_TTAFStock_Log[Part Name],$A10,T_TTAFStock_Log[WeekIndex],67)=0,"",SUMIFS(T_TTAFStock_Log[TTAF_Qty],T_TTAFStock_Log[Part Name],$A10,T_TTAFStock_Log[WeekIndex],67))</f>
        <v/>
      </c>
      <c r="BQ10" s="17">
        <f>IF(COUNTIFS(T_TTAFStock_Log[Part Name],$A10,T_TTAFStock_Log[WeekIndex],68)=0,"",SUMIFS(T_TTAFStock_Log[TTAF_Qty],T_TTAFStock_Log[Part Name],$A10,T_TTAFStock_Log[WeekIndex],68))</f>
        <v/>
      </c>
      <c r="BR10" s="17">
        <f>IF(COUNTIFS(T_TTAFStock_Log[Part Name],$A10,T_TTAFStock_Log[WeekIndex],69)=0,"",SUMIFS(T_TTAFStock_Log[TTAF_Qty],T_TTAFStock_Log[Part Name],$A10,T_TTAFStock_Log[WeekIndex],69))</f>
        <v/>
      </c>
      <c r="BS10" s="17">
        <f>IF(COUNTIFS(T_TTAFStock_Log[Part Name],$A10,T_TTAFStock_Log[WeekIndex],70)=0,"",SUMIFS(T_TTAFStock_Log[TTAF_Qty],T_TTAFStock_Log[Part Name],$A10,T_TTAFStock_Log[WeekIndex],70))</f>
        <v/>
      </c>
      <c r="BT10" s="17">
        <f>IF(COUNTIFS(T_TTAFStock_Log[Part Name],$A10,T_TTAFStock_Log[WeekIndex],71)=0,"",SUMIFS(T_TTAFStock_Log[TTAF_Qty],T_TTAFStock_Log[Part Name],$A10,T_TTAFStock_Log[WeekIndex],71))</f>
        <v/>
      </c>
      <c r="BU10" s="17">
        <f>IF(COUNTIFS(T_TTAFStock_Log[Part Name],$A10,T_TTAFStock_Log[WeekIndex],72)=0,"",SUMIFS(T_TTAFStock_Log[TTAF_Qty],T_TTAFStock_Log[Part Name],$A10,T_TTAFStock_Log[WeekIndex],72))</f>
        <v/>
      </c>
      <c r="BV10" s="17">
        <f>IF(COUNTIFS(T_TTAFStock_Log[Part Name],$A10,T_TTAFStock_Log[WeekIndex],73)=0,"",SUMIFS(T_TTAFStock_Log[TTAF_Qty],T_TTAFStock_Log[Part Name],$A10,T_TTAFStock_Log[WeekIndex],73))</f>
        <v/>
      </c>
      <c r="BW10" s="17">
        <f>IF(COUNTIFS(T_TTAFStock_Log[Part Name],$A10,T_TTAFStock_Log[WeekIndex],74)=0,"",SUMIFS(T_TTAFStock_Log[TTAF_Qty],T_TTAFStock_Log[Part Name],$A10,T_TTAFStock_Log[WeekIndex],74))</f>
        <v/>
      </c>
      <c r="BX10" s="17">
        <f>IF(COUNTIFS(T_TTAFStock_Log[Part Name],$A10,T_TTAFStock_Log[WeekIndex],75)=0,"",SUMIFS(T_TTAFStock_Log[TTAF_Qty],T_TTAFStock_Log[Part Name],$A10,T_TTAFStock_Log[WeekIndex],75))</f>
        <v/>
      </c>
      <c r="BY10" s="17">
        <f>IF(COUNTIFS(T_TTAFStock_Log[Part Name],$A10,T_TTAFStock_Log[WeekIndex],76)=0,"",SUMIFS(T_TTAFStock_Log[TTAF_Qty],T_TTAFStock_Log[Part Name],$A10,T_TTAFStock_Log[WeekIndex],76))</f>
        <v/>
      </c>
      <c r="BZ10" s="17">
        <f>IF(COUNTIFS(T_TTAFStock_Log[Part Name],$A10,T_TTAFStock_Log[WeekIndex],77)=0,"",SUMIFS(T_TTAFStock_Log[TTAF_Qty],T_TTAFStock_Log[Part Name],$A10,T_TTAFStock_Log[WeekIndex],77))</f>
        <v/>
      </c>
      <c r="CA10" s="17">
        <f>IF(COUNTIFS(T_TTAFStock_Log[Part Name],$A10,T_TTAFStock_Log[WeekIndex],78)=0,"",SUMIFS(T_TTAFStock_Log[TTAF_Qty],T_TTAFStock_Log[Part Name],$A10,T_TTAFStock_Log[WeekIndex],78))</f>
        <v/>
      </c>
      <c r="CB10" s="17">
        <f>IF(COUNTIFS(T_TTAFStock_Log[Part Name],$A10,T_TTAFStock_Log[WeekIndex],79)=0,"",SUMIFS(T_TTAFStock_Log[TTAF_Qty],T_TTAFStock_Log[Part Name],$A10,T_TTAFStock_Log[WeekIndex],79))</f>
        <v/>
      </c>
      <c r="CC10" s="17">
        <f>IF(COUNTIFS(T_TTAFStock_Log[Part Name],$A10,T_TTAFStock_Log[WeekIndex],80)=0,"",SUMIFS(T_TTAFStock_Log[TTAF_Qty],T_TTAFStock_Log[Part Name],$A10,T_TTAFStock_Log[WeekIndex],80))</f>
        <v/>
      </c>
      <c r="CD10" s="17">
        <f>IF(COUNTIFS(T_TTAFStock_Log[Part Name],$A10,T_TTAFStock_Log[WeekIndex],81)=0,"",SUMIFS(T_TTAFStock_Log[TTAF_Qty],T_TTAFStock_Log[Part Name],$A10,T_TTAFStock_Log[WeekIndex],81))</f>
        <v/>
      </c>
      <c r="CE10" s="17">
        <f>IF(COUNTIFS(T_TTAFStock_Log[Part Name],$A10,T_TTAFStock_Log[WeekIndex],82)=0,"",SUMIFS(T_TTAFStock_Log[TTAF_Qty],T_TTAFStock_Log[Part Name],$A10,T_TTAFStock_Log[WeekIndex],82))</f>
        <v/>
      </c>
      <c r="CF10" s="17">
        <f>IF(COUNTIFS(T_TTAFStock_Log[Part Name],$A10,T_TTAFStock_Log[WeekIndex],83)=0,"",SUMIFS(T_TTAFStock_Log[TTAF_Qty],T_TTAFStock_Log[Part Name],$A10,T_TTAFStock_Log[WeekIndex],83))</f>
        <v/>
      </c>
      <c r="CG10" s="17">
        <f>IF(COUNTIFS(T_TTAFStock_Log[Part Name],$A10,T_TTAFStock_Log[WeekIndex],84)=0,"",SUMIFS(T_TTAFStock_Log[TTAF_Qty],T_TTAFStock_Log[Part Name],$A10,T_TTAFStock_Log[WeekIndex],84))</f>
        <v/>
      </c>
      <c r="CH10" s="17">
        <f>IF(COUNTIFS(T_TTAFStock_Log[Part Name],$A10,T_TTAFStock_Log[WeekIndex],85)=0,"",SUMIFS(T_TTAFStock_Log[TTAF_Qty],T_TTAFStock_Log[Part Name],$A10,T_TTAFStock_Log[WeekIndex],85))</f>
        <v/>
      </c>
      <c r="CI10" s="17">
        <f>IF(COUNTIFS(T_TTAFStock_Log[Part Name],$A10,T_TTAFStock_Log[WeekIndex],86)=0,"",SUMIFS(T_TTAFStock_Log[TTAF_Qty],T_TTAFStock_Log[Part Name],$A10,T_TTAFStock_Log[WeekIndex],86))</f>
        <v/>
      </c>
      <c r="CJ10" s="17">
        <f>IF(COUNTIFS(T_TTAFStock_Log[Part Name],$A10,T_TTAFStock_Log[WeekIndex],87)=0,"",SUMIFS(T_TTAFStock_Log[TTAF_Qty],T_TTAFStock_Log[Part Name],$A10,T_TTAFStock_Log[WeekIndex],87))</f>
        <v/>
      </c>
      <c r="CK10" s="17">
        <f>IF(COUNTIFS(T_TTAFStock_Log[Part Name],$A10,T_TTAFStock_Log[WeekIndex],88)=0,"",SUMIFS(T_TTAFStock_Log[TTAF_Qty],T_TTAFStock_Log[Part Name],$A10,T_TTAFStock_Log[WeekIndex],88))</f>
        <v/>
      </c>
      <c r="CL10" s="17">
        <f>IF(COUNTIFS(T_TTAFStock_Log[Part Name],$A10,T_TTAFStock_Log[WeekIndex],89)=0,"",SUMIFS(T_TTAFStock_Log[TTAF_Qty],T_TTAFStock_Log[Part Name],$A10,T_TTAFStock_Log[WeekIndex],89))</f>
        <v/>
      </c>
      <c r="CM10" s="17">
        <f>IF(COUNTIFS(T_TTAFStock_Log[Part Name],$A10,T_TTAFStock_Log[WeekIndex],90)=0,"",SUMIFS(T_TTAFStock_Log[TTAF_Qty],T_TTAFStock_Log[Part Name],$A10,T_TTAFStock_Log[WeekIndex],90))</f>
        <v/>
      </c>
      <c r="CN10" s="17">
        <f>IF(COUNTIFS(T_TTAFStock_Log[Part Name],$A10,T_TTAFStock_Log[WeekIndex],91)=0,"",SUMIFS(T_TTAFStock_Log[TTAF_Qty],T_TTAFStock_Log[Part Name],$A10,T_TTAFStock_Log[WeekIndex],91))</f>
        <v/>
      </c>
      <c r="CO10" s="17">
        <f>IF(COUNTIFS(T_TTAFStock_Log[Part Name],$A10,T_TTAFStock_Log[WeekIndex],92)=0,"",SUMIFS(T_TTAFStock_Log[TTAF_Qty],T_TTAFStock_Log[Part Name],$A10,T_TTAFStock_Log[WeekIndex],92))</f>
        <v/>
      </c>
      <c r="CP10" s="17">
        <f>IF(COUNTIFS(T_TTAFStock_Log[Part Name],$A10,T_TTAFStock_Log[WeekIndex],93)=0,"",SUMIFS(T_TTAFStock_Log[TTAF_Qty],T_TTAFStock_Log[Part Name],$A10,T_TTAFStock_Log[WeekIndex],93))</f>
        <v/>
      </c>
      <c r="CQ10" s="17">
        <f>IF(COUNTIFS(T_TTAFStock_Log[Part Name],$A10,T_TTAFStock_Log[WeekIndex],94)=0,"",SUMIFS(T_TTAFStock_Log[TTAF_Qty],T_TTAFStock_Log[Part Name],$A10,T_TTAFStock_Log[WeekIndex],94))</f>
        <v/>
      </c>
      <c r="CR10" s="17">
        <f>IF(COUNTIFS(T_TTAFStock_Log[Part Name],$A10,T_TTAFStock_Log[WeekIndex],95)=0,"",SUMIFS(T_TTAFStock_Log[TTAF_Qty],T_TTAFStock_Log[Part Name],$A10,T_TTAFStock_Log[WeekIndex],95))</f>
        <v/>
      </c>
      <c r="CS10" s="17">
        <f>IF(COUNTIFS(T_TTAFStock_Log[Part Name],$A10,T_TTAFStock_Log[WeekIndex],96)=0,"",SUMIFS(T_TTAFStock_Log[TTAF_Qty],T_TTAFStock_Log[Part Name],$A10,T_TTAFStock_Log[WeekIndex],96))</f>
        <v/>
      </c>
      <c r="CT10" s="17">
        <f>IF(COUNTIFS(T_TTAFStock_Log[Part Name],$A10,T_TTAFStock_Log[WeekIndex],97)=0,"",SUMIFS(T_TTAFStock_Log[TTAF_Qty],T_TTAFStock_Log[Part Name],$A10,T_TTAFStock_Log[WeekIndex],97))</f>
        <v/>
      </c>
      <c r="CU10" s="17">
        <f>IF(COUNTIFS(T_TTAFStock_Log[Part Name],$A10,T_TTAFStock_Log[WeekIndex],98)=0,"",SUMIFS(T_TTAFStock_Log[TTAF_Qty],T_TTAFStock_Log[Part Name],$A10,T_TTAFStock_Log[WeekIndex],98))</f>
        <v/>
      </c>
      <c r="CV10" s="17">
        <f>IF(COUNTIFS(T_TTAFStock_Log[Part Name],$A10,T_TTAFStock_Log[WeekIndex],99)=0,"",SUMIFS(T_TTAFStock_Log[TTAF_Qty],T_TTAFStock_Log[Part Name],$A10,T_TTAFStock_Log[WeekIndex],99))</f>
        <v/>
      </c>
      <c r="CW10" s="17">
        <f>IF(COUNTIFS(T_TTAFStock_Log[Part Name],$A10,T_TTAFStock_Log[WeekIndex],100)=0,"",SUMIFS(T_TTAFStock_Log[TTAF_Qty],T_TTAFStock_Log[Part Name],$A10,T_TTAFStock_Log[WeekIndex],100))</f>
        <v/>
      </c>
      <c r="CX10" s="17">
        <f>IF(COUNTIFS(T_TTAFStock_Log[Part Name],$A10,T_TTAFStock_Log[WeekIndex],101)=0,"",SUMIFS(T_TTAFStock_Log[TTAF_Qty],T_TTAFStock_Log[Part Name],$A10,T_TTAFStock_Log[WeekIndex],101))</f>
        <v/>
      </c>
      <c r="CY10" s="17">
        <f>IF(COUNTIFS(T_TTAFStock_Log[Part Name],$A10,T_TTAFStock_Log[WeekIndex],102)=0,"",SUMIFS(T_TTAFStock_Log[TTAF_Qty],T_TTAFStock_Log[Part Name],$A10,T_TTAFStock_Log[WeekIndex],102))</f>
        <v/>
      </c>
      <c r="CZ10" s="17">
        <f>IF(COUNTIFS(T_TTAFStock_Log[Part Name],$A10,T_TTAFStock_Log[WeekIndex],103)=0,"",SUMIFS(T_TTAFStock_Log[TTAF_Qty],T_TTAFStock_Log[Part Name],$A10,T_TTAFStock_Log[WeekIndex],103))</f>
        <v/>
      </c>
      <c r="DA10" s="17">
        <f>IF(COUNTIFS(T_TTAFStock_Log[Part Name],$A10,T_TTAFStock_Log[WeekIndex],104)=0,"",SUMIFS(T_TTAFStock_Log[TTAF_Qty],T_TTAFStock_Log[Part Name],$A10,T_TTAFStock_Log[WeekIndex],104))</f>
        <v/>
      </c>
    </row>
    <row r="11">
      <c r="A11" s="19" t="inlineStr">
        <is>
          <t>OJN</t>
        </is>
      </c>
      <c r="B11" s="19">
        <f>IF(COUNTIFS(T_TTAFStock_Log[Part Name],$A11,T_TTAFStock_Log[WeekIndex],1)=0,"",SUMIFS(T_TTAFStock_Log[TTAF_Qty],T_TTAFStock_Log[Part Name],$A11,T_TTAFStock_Log[WeekIndex],1))</f>
        <v/>
      </c>
      <c r="C11" s="19">
        <f>IF(COUNTIFS(T_TTAFStock_Log[Part Name],$A11,T_TTAFStock_Log[WeekIndex],2)=0,"",SUMIFS(T_TTAFStock_Log[TTAF_Qty],T_TTAFStock_Log[Part Name],$A11,T_TTAFStock_Log[WeekIndex],2))</f>
        <v/>
      </c>
      <c r="D11" s="19">
        <f>IF(COUNTIFS(T_TTAFStock_Log[Part Name],$A11,T_TTAFStock_Log[WeekIndex],3)=0,"",SUMIFS(T_TTAFStock_Log[TTAF_Qty],T_TTAFStock_Log[Part Name],$A11,T_TTAFStock_Log[WeekIndex],3))</f>
        <v/>
      </c>
      <c r="E11" s="19">
        <f>IF(COUNTIFS(T_TTAFStock_Log[Part Name],$A11,T_TTAFStock_Log[WeekIndex],4)=0,"",SUMIFS(T_TTAFStock_Log[TTAF_Qty],T_TTAFStock_Log[Part Name],$A11,T_TTAFStock_Log[WeekIndex],4))</f>
        <v/>
      </c>
      <c r="F11" s="19">
        <f>IF(COUNTIFS(T_TTAFStock_Log[Part Name],$A11,T_TTAFStock_Log[WeekIndex],5)=0,"",SUMIFS(T_TTAFStock_Log[TTAF_Qty],T_TTAFStock_Log[Part Name],$A11,T_TTAFStock_Log[WeekIndex],5))</f>
        <v/>
      </c>
      <c r="G11" s="19">
        <f>IF(COUNTIFS(T_TTAFStock_Log[Part Name],$A11,T_TTAFStock_Log[WeekIndex],6)=0,"",SUMIFS(T_TTAFStock_Log[TTAF_Qty],T_TTAFStock_Log[Part Name],$A11,T_TTAFStock_Log[WeekIndex],6))</f>
        <v/>
      </c>
      <c r="H11" s="19">
        <f>IF(COUNTIFS(T_TTAFStock_Log[Part Name],$A11,T_TTAFStock_Log[WeekIndex],7)=0,"",SUMIFS(T_TTAFStock_Log[TTAF_Qty],T_TTAFStock_Log[Part Name],$A11,T_TTAFStock_Log[WeekIndex],7))</f>
        <v/>
      </c>
      <c r="I11" s="19">
        <f>IF(COUNTIFS(T_TTAFStock_Log[Part Name],$A11,T_TTAFStock_Log[WeekIndex],8)=0,"",SUMIFS(T_TTAFStock_Log[TTAF_Qty],T_TTAFStock_Log[Part Name],$A11,T_TTAFStock_Log[WeekIndex],8))</f>
        <v/>
      </c>
      <c r="J11" s="19">
        <f>IF(COUNTIFS(T_TTAFStock_Log[Part Name],$A11,T_TTAFStock_Log[WeekIndex],9)=0,"",SUMIFS(T_TTAFStock_Log[TTAF_Qty],T_TTAFStock_Log[Part Name],$A11,T_TTAFStock_Log[WeekIndex],9))</f>
        <v/>
      </c>
      <c r="K11" s="19">
        <f>IF(COUNTIFS(T_TTAFStock_Log[Part Name],$A11,T_TTAFStock_Log[WeekIndex],10)=0,"",SUMIFS(T_TTAFStock_Log[TTAF_Qty],T_TTAFStock_Log[Part Name],$A11,T_TTAFStock_Log[WeekIndex],10))</f>
        <v/>
      </c>
      <c r="L11" s="19">
        <f>IF(COUNTIFS(T_TTAFStock_Log[Part Name],$A11,T_TTAFStock_Log[WeekIndex],11)=0,"",SUMIFS(T_TTAFStock_Log[TTAF_Qty],T_TTAFStock_Log[Part Name],$A11,T_TTAFStock_Log[WeekIndex],11))</f>
        <v/>
      </c>
      <c r="M11" s="19">
        <f>IF(COUNTIFS(T_TTAFStock_Log[Part Name],$A11,T_TTAFStock_Log[WeekIndex],12)=0,"",SUMIFS(T_TTAFStock_Log[TTAF_Qty],T_TTAFStock_Log[Part Name],$A11,T_TTAFStock_Log[WeekIndex],12))</f>
        <v/>
      </c>
      <c r="N11" s="19">
        <f>IF(COUNTIFS(T_TTAFStock_Log[Part Name],$A11,T_TTAFStock_Log[WeekIndex],13)=0,"",SUMIFS(T_TTAFStock_Log[TTAF_Qty],T_TTAFStock_Log[Part Name],$A11,T_TTAFStock_Log[WeekIndex],13))</f>
        <v/>
      </c>
      <c r="O11" s="19">
        <f>IF(COUNTIFS(T_TTAFStock_Log[Part Name],$A11,T_TTAFStock_Log[WeekIndex],14)=0,"",SUMIFS(T_TTAFStock_Log[TTAF_Qty],T_TTAFStock_Log[Part Name],$A11,T_TTAFStock_Log[WeekIndex],14))</f>
        <v/>
      </c>
      <c r="P11" s="19">
        <f>IF(COUNTIFS(T_TTAFStock_Log[Part Name],$A11,T_TTAFStock_Log[WeekIndex],15)=0,"",SUMIFS(T_TTAFStock_Log[TTAF_Qty],T_TTAFStock_Log[Part Name],$A11,T_TTAFStock_Log[WeekIndex],15))</f>
        <v/>
      </c>
      <c r="Q11" s="19">
        <f>IF(COUNTIFS(T_TTAFStock_Log[Part Name],$A11,T_TTAFStock_Log[WeekIndex],16)=0,"",SUMIFS(T_TTAFStock_Log[TTAF_Qty],T_TTAFStock_Log[Part Name],$A11,T_TTAFStock_Log[WeekIndex],16))</f>
        <v/>
      </c>
      <c r="R11" s="19">
        <f>IF(COUNTIFS(T_TTAFStock_Log[Part Name],$A11,T_TTAFStock_Log[WeekIndex],17)=0,"",SUMIFS(T_TTAFStock_Log[TTAF_Qty],T_TTAFStock_Log[Part Name],$A11,T_TTAFStock_Log[WeekIndex],17))</f>
        <v/>
      </c>
      <c r="S11" s="19">
        <f>IF(COUNTIFS(T_TTAFStock_Log[Part Name],$A11,T_TTAFStock_Log[WeekIndex],18)=0,"",SUMIFS(T_TTAFStock_Log[TTAF_Qty],T_TTAFStock_Log[Part Name],$A11,T_TTAFStock_Log[WeekIndex],18))</f>
        <v/>
      </c>
      <c r="T11" s="19">
        <f>IF(COUNTIFS(T_TTAFStock_Log[Part Name],$A11,T_TTAFStock_Log[WeekIndex],19)=0,"",SUMIFS(T_TTAFStock_Log[TTAF_Qty],T_TTAFStock_Log[Part Name],$A11,T_TTAFStock_Log[WeekIndex],19))</f>
        <v/>
      </c>
      <c r="U11" s="19">
        <f>IF(COUNTIFS(T_TTAFStock_Log[Part Name],$A11,T_TTAFStock_Log[WeekIndex],20)=0,"",SUMIFS(T_TTAFStock_Log[TTAF_Qty],T_TTAFStock_Log[Part Name],$A11,T_TTAFStock_Log[WeekIndex],20))</f>
        <v/>
      </c>
      <c r="V11" s="19">
        <f>IF(COUNTIFS(T_TTAFStock_Log[Part Name],$A11,T_TTAFStock_Log[WeekIndex],21)=0,"",SUMIFS(T_TTAFStock_Log[TTAF_Qty],T_TTAFStock_Log[Part Name],$A11,T_TTAFStock_Log[WeekIndex],21))</f>
        <v/>
      </c>
      <c r="W11" s="19">
        <f>IF(COUNTIFS(T_TTAFStock_Log[Part Name],$A11,T_TTAFStock_Log[WeekIndex],22)=0,"",SUMIFS(T_TTAFStock_Log[TTAF_Qty],T_TTAFStock_Log[Part Name],$A11,T_TTAFStock_Log[WeekIndex],22))</f>
        <v/>
      </c>
      <c r="X11" s="19">
        <f>IF(COUNTIFS(T_TTAFStock_Log[Part Name],$A11,T_TTAFStock_Log[WeekIndex],23)=0,"",SUMIFS(T_TTAFStock_Log[TTAF_Qty],T_TTAFStock_Log[Part Name],$A11,T_TTAFStock_Log[WeekIndex],23))</f>
        <v/>
      </c>
      <c r="Y11" s="19">
        <f>IF(COUNTIFS(T_TTAFStock_Log[Part Name],$A11,T_TTAFStock_Log[WeekIndex],24)=0,"",SUMIFS(T_TTAFStock_Log[TTAF_Qty],T_TTAFStock_Log[Part Name],$A11,T_TTAFStock_Log[WeekIndex],24))</f>
        <v/>
      </c>
      <c r="Z11" s="19">
        <f>IF(COUNTIFS(T_TTAFStock_Log[Part Name],$A11,T_TTAFStock_Log[WeekIndex],25)=0,"",SUMIFS(T_TTAFStock_Log[TTAF_Qty],T_TTAFStock_Log[Part Name],$A11,T_TTAFStock_Log[WeekIndex],25))</f>
        <v/>
      </c>
      <c r="AA11" s="19">
        <f>IF(COUNTIFS(T_TTAFStock_Log[Part Name],$A11,T_TTAFStock_Log[WeekIndex],26)=0,"",SUMIFS(T_TTAFStock_Log[TTAF_Qty],T_TTAFStock_Log[Part Name],$A11,T_TTAFStock_Log[WeekIndex],26))</f>
        <v/>
      </c>
      <c r="AB11" s="19">
        <f>IF(COUNTIFS(T_TTAFStock_Log[Part Name],$A11,T_TTAFStock_Log[WeekIndex],27)=0,"",SUMIFS(T_TTAFStock_Log[TTAF_Qty],T_TTAFStock_Log[Part Name],$A11,T_TTAFStock_Log[WeekIndex],27))</f>
        <v/>
      </c>
      <c r="AC11" s="19">
        <f>IF(COUNTIFS(T_TTAFStock_Log[Part Name],$A11,T_TTAFStock_Log[WeekIndex],28)=0,"",SUMIFS(T_TTAFStock_Log[TTAF_Qty],T_TTAFStock_Log[Part Name],$A11,T_TTAFStock_Log[WeekIndex],28))</f>
        <v/>
      </c>
      <c r="AD11" s="19">
        <f>IF(COUNTIFS(T_TTAFStock_Log[Part Name],$A11,T_TTAFStock_Log[WeekIndex],29)=0,"",SUMIFS(T_TTAFStock_Log[TTAF_Qty],T_TTAFStock_Log[Part Name],$A11,T_TTAFStock_Log[WeekIndex],29))</f>
        <v/>
      </c>
      <c r="AE11" s="19">
        <f>IF(COUNTIFS(T_TTAFStock_Log[Part Name],$A11,T_TTAFStock_Log[WeekIndex],30)=0,"",SUMIFS(T_TTAFStock_Log[TTAF_Qty],T_TTAFStock_Log[Part Name],$A11,T_TTAFStock_Log[WeekIndex],30))</f>
        <v/>
      </c>
      <c r="AF11" s="19">
        <f>IF(COUNTIFS(T_TTAFStock_Log[Part Name],$A11,T_TTAFStock_Log[WeekIndex],31)=0,"",SUMIFS(T_TTAFStock_Log[TTAF_Qty],T_TTAFStock_Log[Part Name],$A11,T_TTAFStock_Log[WeekIndex],31))</f>
        <v/>
      </c>
      <c r="AG11" s="19">
        <f>IF(COUNTIFS(T_TTAFStock_Log[Part Name],$A11,T_TTAFStock_Log[WeekIndex],32)=0,"",SUMIFS(T_TTAFStock_Log[TTAF_Qty],T_TTAFStock_Log[Part Name],$A11,T_TTAFStock_Log[WeekIndex],32))</f>
        <v/>
      </c>
      <c r="AH11" s="19">
        <f>IF(COUNTIFS(T_TTAFStock_Log[Part Name],$A11,T_TTAFStock_Log[WeekIndex],33)=0,"",SUMIFS(T_TTAFStock_Log[TTAF_Qty],T_TTAFStock_Log[Part Name],$A11,T_TTAFStock_Log[WeekIndex],33))</f>
        <v/>
      </c>
      <c r="AI11" s="19">
        <f>IF(COUNTIFS(T_TTAFStock_Log[Part Name],$A11,T_TTAFStock_Log[WeekIndex],34)=0,"",SUMIFS(T_TTAFStock_Log[TTAF_Qty],T_TTAFStock_Log[Part Name],$A11,T_TTAFStock_Log[WeekIndex],34))</f>
        <v/>
      </c>
      <c r="AJ11" s="19">
        <f>IF(COUNTIFS(T_TTAFStock_Log[Part Name],$A11,T_TTAFStock_Log[WeekIndex],35)=0,"",SUMIFS(T_TTAFStock_Log[TTAF_Qty],T_TTAFStock_Log[Part Name],$A11,T_TTAFStock_Log[WeekIndex],35))</f>
        <v/>
      </c>
      <c r="AK11" s="19">
        <f>IF(COUNTIFS(T_TTAFStock_Log[Part Name],$A11,T_TTAFStock_Log[WeekIndex],36)=0,"",SUMIFS(T_TTAFStock_Log[TTAF_Qty],T_TTAFStock_Log[Part Name],$A11,T_TTAFStock_Log[WeekIndex],36))</f>
        <v/>
      </c>
      <c r="AL11" s="19">
        <f>IF(COUNTIFS(T_TTAFStock_Log[Part Name],$A11,T_TTAFStock_Log[WeekIndex],37)=0,"",SUMIFS(T_TTAFStock_Log[TTAF_Qty],T_TTAFStock_Log[Part Name],$A11,T_TTAFStock_Log[WeekIndex],37))</f>
        <v/>
      </c>
      <c r="AM11" s="19">
        <f>IF(COUNTIFS(T_TTAFStock_Log[Part Name],$A11,T_TTAFStock_Log[WeekIndex],38)=0,"",SUMIFS(T_TTAFStock_Log[TTAF_Qty],T_TTAFStock_Log[Part Name],$A11,T_TTAFStock_Log[WeekIndex],38))</f>
        <v/>
      </c>
      <c r="AN11" s="19">
        <f>IF(COUNTIFS(T_TTAFStock_Log[Part Name],$A11,T_TTAFStock_Log[WeekIndex],39)=0,"",SUMIFS(T_TTAFStock_Log[TTAF_Qty],T_TTAFStock_Log[Part Name],$A11,T_TTAFStock_Log[WeekIndex],39))</f>
        <v/>
      </c>
      <c r="AO11" s="19">
        <f>IF(COUNTIFS(T_TTAFStock_Log[Part Name],$A11,T_TTAFStock_Log[WeekIndex],40)=0,"",SUMIFS(T_TTAFStock_Log[TTAF_Qty],T_TTAFStock_Log[Part Name],$A11,T_TTAFStock_Log[WeekIndex],40))</f>
        <v/>
      </c>
      <c r="AP11" s="19">
        <f>IF(COUNTIFS(T_TTAFStock_Log[Part Name],$A11,T_TTAFStock_Log[WeekIndex],41)=0,"",SUMIFS(T_TTAFStock_Log[TTAF_Qty],T_TTAFStock_Log[Part Name],$A11,T_TTAFStock_Log[WeekIndex],41))</f>
        <v/>
      </c>
      <c r="AQ11" s="19">
        <f>IF(COUNTIFS(T_TTAFStock_Log[Part Name],$A11,T_TTAFStock_Log[WeekIndex],42)=0,"",SUMIFS(T_TTAFStock_Log[TTAF_Qty],T_TTAFStock_Log[Part Name],$A11,T_TTAFStock_Log[WeekIndex],42))</f>
        <v/>
      </c>
      <c r="AR11" s="19">
        <f>IF(COUNTIFS(T_TTAFStock_Log[Part Name],$A11,T_TTAFStock_Log[WeekIndex],43)=0,"",SUMIFS(T_TTAFStock_Log[TTAF_Qty],T_TTAFStock_Log[Part Name],$A11,T_TTAFStock_Log[WeekIndex],43))</f>
        <v/>
      </c>
      <c r="AS11" s="19">
        <f>IF(COUNTIFS(T_TTAFStock_Log[Part Name],$A11,T_TTAFStock_Log[WeekIndex],44)=0,"",SUMIFS(T_TTAFStock_Log[TTAF_Qty],T_TTAFStock_Log[Part Name],$A11,T_TTAFStock_Log[WeekIndex],44))</f>
        <v/>
      </c>
      <c r="AT11" s="19">
        <f>IF(COUNTIFS(T_TTAFStock_Log[Part Name],$A11,T_TTAFStock_Log[WeekIndex],45)=0,"",SUMIFS(T_TTAFStock_Log[TTAF_Qty],T_TTAFStock_Log[Part Name],$A11,T_TTAFStock_Log[WeekIndex],45))</f>
        <v/>
      </c>
      <c r="AU11" s="19">
        <f>IF(COUNTIFS(T_TTAFStock_Log[Part Name],$A11,T_TTAFStock_Log[WeekIndex],46)=0,"",SUMIFS(T_TTAFStock_Log[TTAF_Qty],T_TTAFStock_Log[Part Name],$A11,T_TTAFStock_Log[WeekIndex],46))</f>
        <v/>
      </c>
      <c r="AV11" s="19">
        <f>IF(COUNTIFS(T_TTAFStock_Log[Part Name],$A11,T_TTAFStock_Log[WeekIndex],47)=0,"",SUMIFS(T_TTAFStock_Log[TTAF_Qty],T_TTAFStock_Log[Part Name],$A11,T_TTAFStock_Log[WeekIndex],47))</f>
        <v/>
      </c>
      <c r="AW11" s="19">
        <f>IF(COUNTIFS(T_TTAFStock_Log[Part Name],$A11,T_TTAFStock_Log[WeekIndex],48)=0,"",SUMIFS(T_TTAFStock_Log[TTAF_Qty],T_TTAFStock_Log[Part Name],$A11,T_TTAFStock_Log[WeekIndex],48))</f>
        <v/>
      </c>
      <c r="AX11" s="19">
        <f>IF(COUNTIFS(T_TTAFStock_Log[Part Name],$A11,T_TTAFStock_Log[WeekIndex],49)=0,"",SUMIFS(T_TTAFStock_Log[TTAF_Qty],T_TTAFStock_Log[Part Name],$A11,T_TTAFStock_Log[WeekIndex],49))</f>
        <v/>
      </c>
      <c r="AY11" s="19">
        <f>IF(COUNTIFS(T_TTAFStock_Log[Part Name],$A11,T_TTAFStock_Log[WeekIndex],50)=0,"",SUMIFS(T_TTAFStock_Log[TTAF_Qty],T_TTAFStock_Log[Part Name],$A11,T_TTAFStock_Log[WeekIndex],50))</f>
        <v/>
      </c>
      <c r="AZ11" s="19">
        <f>IF(COUNTIFS(T_TTAFStock_Log[Part Name],$A11,T_TTAFStock_Log[WeekIndex],51)=0,"",SUMIFS(T_TTAFStock_Log[TTAF_Qty],T_TTAFStock_Log[Part Name],$A11,T_TTAFStock_Log[WeekIndex],51))</f>
        <v/>
      </c>
      <c r="BA11" s="19">
        <f>IF(COUNTIFS(T_TTAFStock_Log[Part Name],$A11,T_TTAFStock_Log[WeekIndex],52)=0,"",SUMIFS(T_TTAFStock_Log[TTAF_Qty],T_TTAFStock_Log[Part Name],$A11,T_TTAFStock_Log[WeekIndex],52))</f>
        <v/>
      </c>
      <c r="BB11" s="19">
        <f>IF(COUNTIFS(T_TTAFStock_Log[Part Name],$A11,T_TTAFStock_Log[WeekIndex],53)=0,"",SUMIFS(T_TTAFStock_Log[TTAF_Qty],T_TTAFStock_Log[Part Name],$A11,T_TTAFStock_Log[WeekIndex],53))</f>
        <v/>
      </c>
      <c r="BC11" s="19">
        <f>IF(COUNTIFS(T_TTAFStock_Log[Part Name],$A11,T_TTAFStock_Log[WeekIndex],54)=0,"",SUMIFS(T_TTAFStock_Log[TTAF_Qty],T_TTAFStock_Log[Part Name],$A11,T_TTAFStock_Log[WeekIndex],54))</f>
        <v/>
      </c>
      <c r="BD11" s="19">
        <f>IF(COUNTIFS(T_TTAFStock_Log[Part Name],$A11,T_TTAFStock_Log[WeekIndex],55)=0,"",SUMIFS(T_TTAFStock_Log[TTAF_Qty],T_TTAFStock_Log[Part Name],$A11,T_TTAFStock_Log[WeekIndex],55))</f>
        <v/>
      </c>
      <c r="BE11" s="19">
        <f>IF(COUNTIFS(T_TTAFStock_Log[Part Name],$A11,T_TTAFStock_Log[WeekIndex],56)=0,"",SUMIFS(T_TTAFStock_Log[TTAF_Qty],T_TTAFStock_Log[Part Name],$A11,T_TTAFStock_Log[WeekIndex],56))</f>
        <v/>
      </c>
      <c r="BF11" s="19">
        <f>IF(COUNTIFS(T_TTAFStock_Log[Part Name],$A11,T_TTAFStock_Log[WeekIndex],57)=0,"",SUMIFS(T_TTAFStock_Log[TTAF_Qty],T_TTAFStock_Log[Part Name],$A11,T_TTAFStock_Log[WeekIndex],57))</f>
        <v/>
      </c>
      <c r="BG11" s="19">
        <f>IF(COUNTIFS(T_TTAFStock_Log[Part Name],$A11,T_TTAFStock_Log[WeekIndex],58)=0,"",SUMIFS(T_TTAFStock_Log[TTAF_Qty],T_TTAFStock_Log[Part Name],$A11,T_TTAFStock_Log[WeekIndex],58))</f>
        <v/>
      </c>
      <c r="BH11" s="19">
        <f>IF(COUNTIFS(T_TTAFStock_Log[Part Name],$A11,T_TTAFStock_Log[WeekIndex],59)=0,"",SUMIFS(T_TTAFStock_Log[TTAF_Qty],T_TTAFStock_Log[Part Name],$A11,T_TTAFStock_Log[WeekIndex],59))</f>
        <v/>
      </c>
      <c r="BI11" s="19">
        <f>IF(COUNTIFS(T_TTAFStock_Log[Part Name],$A11,T_TTAFStock_Log[WeekIndex],60)=0,"",SUMIFS(T_TTAFStock_Log[TTAF_Qty],T_TTAFStock_Log[Part Name],$A11,T_TTAFStock_Log[WeekIndex],60))</f>
        <v/>
      </c>
      <c r="BJ11" s="19">
        <f>IF(COUNTIFS(T_TTAFStock_Log[Part Name],$A11,T_TTAFStock_Log[WeekIndex],61)=0,"",SUMIFS(T_TTAFStock_Log[TTAF_Qty],T_TTAFStock_Log[Part Name],$A11,T_TTAFStock_Log[WeekIndex],61))</f>
        <v/>
      </c>
      <c r="BK11" s="19">
        <f>IF(COUNTIFS(T_TTAFStock_Log[Part Name],$A11,T_TTAFStock_Log[WeekIndex],62)=0,"",SUMIFS(T_TTAFStock_Log[TTAF_Qty],T_TTAFStock_Log[Part Name],$A11,T_TTAFStock_Log[WeekIndex],62))</f>
        <v/>
      </c>
      <c r="BL11" s="19">
        <f>IF(COUNTIFS(T_TTAFStock_Log[Part Name],$A11,T_TTAFStock_Log[WeekIndex],63)=0,"",SUMIFS(T_TTAFStock_Log[TTAF_Qty],T_TTAFStock_Log[Part Name],$A11,T_TTAFStock_Log[WeekIndex],63))</f>
        <v/>
      </c>
      <c r="BM11" s="19">
        <f>IF(COUNTIFS(T_TTAFStock_Log[Part Name],$A11,T_TTAFStock_Log[WeekIndex],64)=0,"",SUMIFS(T_TTAFStock_Log[TTAF_Qty],T_TTAFStock_Log[Part Name],$A11,T_TTAFStock_Log[WeekIndex],64))</f>
        <v/>
      </c>
      <c r="BN11" s="19">
        <f>IF(COUNTIFS(T_TTAFStock_Log[Part Name],$A11,T_TTAFStock_Log[WeekIndex],65)=0,"",SUMIFS(T_TTAFStock_Log[TTAF_Qty],T_TTAFStock_Log[Part Name],$A11,T_TTAFStock_Log[WeekIndex],65))</f>
        <v/>
      </c>
      <c r="BO11" s="19">
        <f>IF(COUNTIFS(T_TTAFStock_Log[Part Name],$A11,T_TTAFStock_Log[WeekIndex],66)=0,"",SUMIFS(T_TTAFStock_Log[TTAF_Qty],T_TTAFStock_Log[Part Name],$A11,T_TTAFStock_Log[WeekIndex],66))</f>
        <v/>
      </c>
      <c r="BP11" s="19">
        <f>IF(COUNTIFS(T_TTAFStock_Log[Part Name],$A11,T_TTAFStock_Log[WeekIndex],67)=0,"",SUMIFS(T_TTAFStock_Log[TTAF_Qty],T_TTAFStock_Log[Part Name],$A11,T_TTAFStock_Log[WeekIndex],67))</f>
        <v/>
      </c>
      <c r="BQ11" s="19">
        <f>IF(COUNTIFS(T_TTAFStock_Log[Part Name],$A11,T_TTAFStock_Log[WeekIndex],68)=0,"",SUMIFS(T_TTAFStock_Log[TTAF_Qty],T_TTAFStock_Log[Part Name],$A11,T_TTAFStock_Log[WeekIndex],68))</f>
        <v/>
      </c>
      <c r="BR11" s="19">
        <f>IF(COUNTIFS(T_TTAFStock_Log[Part Name],$A11,T_TTAFStock_Log[WeekIndex],69)=0,"",SUMIFS(T_TTAFStock_Log[TTAF_Qty],T_TTAFStock_Log[Part Name],$A11,T_TTAFStock_Log[WeekIndex],69))</f>
        <v/>
      </c>
      <c r="BS11" s="19">
        <f>IF(COUNTIFS(T_TTAFStock_Log[Part Name],$A11,T_TTAFStock_Log[WeekIndex],70)=0,"",SUMIFS(T_TTAFStock_Log[TTAF_Qty],T_TTAFStock_Log[Part Name],$A11,T_TTAFStock_Log[WeekIndex],70))</f>
        <v/>
      </c>
      <c r="BT11" s="19">
        <f>IF(COUNTIFS(T_TTAFStock_Log[Part Name],$A11,T_TTAFStock_Log[WeekIndex],71)=0,"",SUMIFS(T_TTAFStock_Log[TTAF_Qty],T_TTAFStock_Log[Part Name],$A11,T_TTAFStock_Log[WeekIndex],71))</f>
        <v/>
      </c>
      <c r="BU11" s="19">
        <f>IF(COUNTIFS(T_TTAFStock_Log[Part Name],$A11,T_TTAFStock_Log[WeekIndex],72)=0,"",SUMIFS(T_TTAFStock_Log[TTAF_Qty],T_TTAFStock_Log[Part Name],$A11,T_TTAFStock_Log[WeekIndex],72))</f>
        <v/>
      </c>
      <c r="BV11" s="19">
        <f>IF(COUNTIFS(T_TTAFStock_Log[Part Name],$A11,T_TTAFStock_Log[WeekIndex],73)=0,"",SUMIFS(T_TTAFStock_Log[TTAF_Qty],T_TTAFStock_Log[Part Name],$A11,T_TTAFStock_Log[WeekIndex],73))</f>
        <v/>
      </c>
      <c r="BW11" s="19">
        <f>IF(COUNTIFS(T_TTAFStock_Log[Part Name],$A11,T_TTAFStock_Log[WeekIndex],74)=0,"",SUMIFS(T_TTAFStock_Log[TTAF_Qty],T_TTAFStock_Log[Part Name],$A11,T_TTAFStock_Log[WeekIndex],74))</f>
        <v/>
      </c>
      <c r="BX11" s="19">
        <f>IF(COUNTIFS(T_TTAFStock_Log[Part Name],$A11,T_TTAFStock_Log[WeekIndex],75)=0,"",SUMIFS(T_TTAFStock_Log[TTAF_Qty],T_TTAFStock_Log[Part Name],$A11,T_TTAFStock_Log[WeekIndex],75))</f>
        <v/>
      </c>
      <c r="BY11" s="19">
        <f>IF(COUNTIFS(T_TTAFStock_Log[Part Name],$A11,T_TTAFStock_Log[WeekIndex],76)=0,"",SUMIFS(T_TTAFStock_Log[TTAF_Qty],T_TTAFStock_Log[Part Name],$A11,T_TTAFStock_Log[WeekIndex],76))</f>
        <v/>
      </c>
      <c r="BZ11" s="19">
        <f>IF(COUNTIFS(T_TTAFStock_Log[Part Name],$A11,T_TTAFStock_Log[WeekIndex],77)=0,"",SUMIFS(T_TTAFStock_Log[TTAF_Qty],T_TTAFStock_Log[Part Name],$A11,T_TTAFStock_Log[WeekIndex],77))</f>
        <v/>
      </c>
      <c r="CA11" s="19">
        <f>IF(COUNTIFS(T_TTAFStock_Log[Part Name],$A11,T_TTAFStock_Log[WeekIndex],78)=0,"",SUMIFS(T_TTAFStock_Log[TTAF_Qty],T_TTAFStock_Log[Part Name],$A11,T_TTAFStock_Log[WeekIndex],78))</f>
        <v/>
      </c>
      <c r="CB11" s="19">
        <f>IF(COUNTIFS(T_TTAFStock_Log[Part Name],$A11,T_TTAFStock_Log[WeekIndex],79)=0,"",SUMIFS(T_TTAFStock_Log[TTAF_Qty],T_TTAFStock_Log[Part Name],$A11,T_TTAFStock_Log[WeekIndex],79))</f>
        <v/>
      </c>
      <c r="CC11" s="19">
        <f>IF(COUNTIFS(T_TTAFStock_Log[Part Name],$A11,T_TTAFStock_Log[WeekIndex],80)=0,"",SUMIFS(T_TTAFStock_Log[TTAF_Qty],T_TTAFStock_Log[Part Name],$A11,T_TTAFStock_Log[WeekIndex],80))</f>
        <v/>
      </c>
      <c r="CD11" s="19">
        <f>IF(COUNTIFS(T_TTAFStock_Log[Part Name],$A11,T_TTAFStock_Log[WeekIndex],81)=0,"",SUMIFS(T_TTAFStock_Log[TTAF_Qty],T_TTAFStock_Log[Part Name],$A11,T_TTAFStock_Log[WeekIndex],81))</f>
        <v/>
      </c>
      <c r="CE11" s="19">
        <f>IF(COUNTIFS(T_TTAFStock_Log[Part Name],$A11,T_TTAFStock_Log[WeekIndex],82)=0,"",SUMIFS(T_TTAFStock_Log[TTAF_Qty],T_TTAFStock_Log[Part Name],$A11,T_TTAFStock_Log[WeekIndex],82))</f>
        <v/>
      </c>
      <c r="CF11" s="19">
        <f>IF(COUNTIFS(T_TTAFStock_Log[Part Name],$A11,T_TTAFStock_Log[WeekIndex],83)=0,"",SUMIFS(T_TTAFStock_Log[TTAF_Qty],T_TTAFStock_Log[Part Name],$A11,T_TTAFStock_Log[WeekIndex],83))</f>
        <v/>
      </c>
      <c r="CG11" s="19">
        <f>IF(COUNTIFS(T_TTAFStock_Log[Part Name],$A11,T_TTAFStock_Log[WeekIndex],84)=0,"",SUMIFS(T_TTAFStock_Log[TTAF_Qty],T_TTAFStock_Log[Part Name],$A11,T_TTAFStock_Log[WeekIndex],84))</f>
        <v/>
      </c>
      <c r="CH11" s="19">
        <f>IF(COUNTIFS(T_TTAFStock_Log[Part Name],$A11,T_TTAFStock_Log[WeekIndex],85)=0,"",SUMIFS(T_TTAFStock_Log[TTAF_Qty],T_TTAFStock_Log[Part Name],$A11,T_TTAFStock_Log[WeekIndex],85))</f>
        <v/>
      </c>
      <c r="CI11" s="19">
        <f>IF(COUNTIFS(T_TTAFStock_Log[Part Name],$A11,T_TTAFStock_Log[WeekIndex],86)=0,"",SUMIFS(T_TTAFStock_Log[TTAF_Qty],T_TTAFStock_Log[Part Name],$A11,T_TTAFStock_Log[WeekIndex],86))</f>
        <v/>
      </c>
      <c r="CJ11" s="19">
        <f>IF(COUNTIFS(T_TTAFStock_Log[Part Name],$A11,T_TTAFStock_Log[WeekIndex],87)=0,"",SUMIFS(T_TTAFStock_Log[TTAF_Qty],T_TTAFStock_Log[Part Name],$A11,T_TTAFStock_Log[WeekIndex],87))</f>
        <v/>
      </c>
      <c r="CK11" s="19">
        <f>IF(COUNTIFS(T_TTAFStock_Log[Part Name],$A11,T_TTAFStock_Log[WeekIndex],88)=0,"",SUMIFS(T_TTAFStock_Log[TTAF_Qty],T_TTAFStock_Log[Part Name],$A11,T_TTAFStock_Log[WeekIndex],88))</f>
        <v/>
      </c>
      <c r="CL11" s="19">
        <f>IF(COUNTIFS(T_TTAFStock_Log[Part Name],$A11,T_TTAFStock_Log[WeekIndex],89)=0,"",SUMIFS(T_TTAFStock_Log[TTAF_Qty],T_TTAFStock_Log[Part Name],$A11,T_TTAFStock_Log[WeekIndex],89))</f>
        <v/>
      </c>
      <c r="CM11" s="19">
        <f>IF(COUNTIFS(T_TTAFStock_Log[Part Name],$A11,T_TTAFStock_Log[WeekIndex],90)=0,"",SUMIFS(T_TTAFStock_Log[TTAF_Qty],T_TTAFStock_Log[Part Name],$A11,T_TTAFStock_Log[WeekIndex],90))</f>
        <v/>
      </c>
      <c r="CN11" s="19">
        <f>IF(COUNTIFS(T_TTAFStock_Log[Part Name],$A11,T_TTAFStock_Log[WeekIndex],91)=0,"",SUMIFS(T_TTAFStock_Log[TTAF_Qty],T_TTAFStock_Log[Part Name],$A11,T_TTAFStock_Log[WeekIndex],91))</f>
        <v/>
      </c>
      <c r="CO11" s="19">
        <f>IF(COUNTIFS(T_TTAFStock_Log[Part Name],$A11,T_TTAFStock_Log[WeekIndex],92)=0,"",SUMIFS(T_TTAFStock_Log[TTAF_Qty],T_TTAFStock_Log[Part Name],$A11,T_TTAFStock_Log[WeekIndex],92))</f>
        <v/>
      </c>
      <c r="CP11" s="19">
        <f>IF(COUNTIFS(T_TTAFStock_Log[Part Name],$A11,T_TTAFStock_Log[WeekIndex],93)=0,"",SUMIFS(T_TTAFStock_Log[TTAF_Qty],T_TTAFStock_Log[Part Name],$A11,T_TTAFStock_Log[WeekIndex],93))</f>
        <v/>
      </c>
      <c r="CQ11" s="19">
        <f>IF(COUNTIFS(T_TTAFStock_Log[Part Name],$A11,T_TTAFStock_Log[WeekIndex],94)=0,"",SUMIFS(T_TTAFStock_Log[TTAF_Qty],T_TTAFStock_Log[Part Name],$A11,T_TTAFStock_Log[WeekIndex],94))</f>
        <v/>
      </c>
      <c r="CR11" s="19">
        <f>IF(COUNTIFS(T_TTAFStock_Log[Part Name],$A11,T_TTAFStock_Log[WeekIndex],95)=0,"",SUMIFS(T_TTAFStock_Log[TTAF_Qty],T_TTAFStock_Log[Part Name],$A11,T_TTAFStock_Log[WeekIndex],95))</f>
        <v/>
      </c>
      <c r="CS11" s="19">
        <f>IF(COUNTIFS(T_TTAFStock_Log[Part Name],$A11,T_TTAFStock_Log[WeekIndex],96)=0,"",SUMIFS(T_TTAFStock_Log[TTAF_Qty],T_TTAFStock_Log[Part Name],$A11,T_TTAFStock_Log[WeekIndex],96))</f>
        <v/>
      </c>
      <c r="CT11" s="19">
        <f>IF(COUNTIFS(T_TTAFStock_Log[Part Name],$A11,T_TTAFStock_Log[WeekIndex],97)=0,"",SUMIFS(T_TTAFStock_Log[TTAF_Qty],T_TTAFStock_Log[Part Name],$A11,T_TTAFStock_Log[WeekIndex],97))</f>
        <v/>
      </c>
      <c r="CU11" s="19">
        <f>IF(COUNTIFS(T_TTAFStock_Log[Part Name],$A11,T_TTAFStock_Log[WeekIndex],98)=0,"",SUMIFS(T_TTAFStock_Log[TTAF_Qty],T_TTAFStock_Log[Part Name],$A11,T_TTAFStock_Log[WeekIndex],98))</f>
        <v/>
      </c>
      <c r="CV11" s="19">
        <f>IF(COUNTIFS(T_TTAFStock_Log[Part Name],$A11,T_TTAFStock_Log[WeekIndex],99)=0,"",SUMIFS(T_TTAFStock_Log[TTAF_Qty],T_TTAFStock_Log[Part Name],$A11,T_TTAFStock_Log[WeekIndex],99))</f>
        <v/>
      </c>
      <c r="CW11" s="19">
        <f>IF(COUNTIFS(T_TTAFStock_Log[Part Name],$A11,T_TTAFStock_Log[WeekIndex],100)=0,"",SUMIFS(T_TTAFStock_Log[TTAF_Qty],T_TTAFStock_Log[Part Name],$A11,T_TTAFStock_Log[WeekIndex],100))</f>
        <v/>
      </c>
      <c r="CX11" s="19">
        <f>IF(COUNTIFS(T_TTAFStock_Log[Part Name],$A11,T_TTAFStock_Log[WeekIndex],101)=0,"",SUMIFS(T_TTAFStock_Log[TTAF_Qty],T_TTAFStock_Log[Part Name],$A11,T_TTAFStock_Log[WeekIndex],101))</f>
        <v/>
      </c>
      <c r="CY11" s="19">
        <f>IF(COUNTIFS(T_TTAFStock_Log[Part Name],$A11,T_TTAFStock_Log[WeekIndex],102)=0,"",SUMIFS(T_TTAFStock_Log[TTAF_Qty],T_TTAFStock_Log[Part Name],$A11,T_TTAFStock_Log[WeekIndex],102))</f>
        <v/>
      </c>
      <c r="CZ11" s="19">
        <f>IF(COUNTIFS(T_TTAFStock_Log[Part Name],$A11,T_TTAFStock_Log[WeekIndex],103)=0,"",SUMIFS(T_TTAFStock_Log[TTAF_Qty],T_TTAFStock_Log[Part Name],$A11,T_TTAFStock_Log[WeekIndex],103))</f>
        <v/>
      </c>
      <c r="DA11" s="19">
        <f>IF(COUNTIFS(T_TTAFStock_Log[Part Name],$A11,T_TTAFStock_Log[WeekIndex],104)=0,"",SUMIFS(T_TTAFStock_Log[TTAF_Qty],T_TTAFStock_Log[Part Name],$A11,T_TTAFStock_Log[WeekIndex],104))</f>
        <v/>
      </c>
    </row>
    <row r="12">
      <c r="A12" s="17" t="inlineStr">
        <is>
          <t>TDJ</t>
        </is>
      </c>
      <c r="B12" s="17">
        <f>IF(COUNTIFS(T_TTAFStock_Log[Part Name],$A12,T_TTAFStock_Log[WeekIndex],1)=0,"",SUMIFS(T_TTAFStock_Log[TTAF_Qty],T_TTAFStock_Log[Part Name],$A12,T_TTAFStock_Log[WeekIndex],1))</f>
        <v/>
      </c>
      <c r="C12" s="17">
        <f>IF(COUNTIFS(T_TTAFStock_Log[Part Name],$A12,T_TTAFStock_Log[WeekIndex],2)=0,"",SUMIFS(T_TTAFStock_Log[TTAF_Qty],T_TTAFStock_Log[Part Name],$A12,T_TTAFStock_Log[WeekIndex],2))</f>
        <v/>
      </c>
      <c r="D12" s="17">
        <f>IF(COUNTIFS(T_TTAFStock_Log[Part Name],$A12,T_TTAFStock_Log[WeekIndex],3)=0,"",SUMIFS(T_TTAFStock_Log[TTAF_Qty],T_TTAFStock_Log[Part Name],$A12,T_TTAFStock_Log[WeekIndex],3))</f>
        <v/>
      </c>
      <c r="E12" s="17">
        <f>IF(COUNTIFS(T_TTAFStock_Log[Part Name],$A12,T_TTAFStock_Log[WeekIndex],4)=0,"",SUMIFS(T_TTAFStock_Log[TTAF_Qty],T_TTAFStock_Log[Part Name],$A12,T_TTAFStock_Log[WeekIndex],4))</f>
        <v/>
      </c>
      <c r="F12" s="17">
        <f>IF(COUNTIFS(T_TTAFStock_Log[Part Name],$A12,T_TTAFStock_Log[WeekIndex],5)=0,"",SUMIFS(T_TTAFStock_Log[TTAF_Qty],T_TTAFStock_Log[Part Name],$A12,T_TTAFStock_Log[WeekIndex],5))</f>
        <v/>
      </c>
      <c r="G12" s="17">
        <f>IF(COUNTIFS(T_TTAFStock_Log[Part Name],$A12,T_TTAFStock_Log[WeekIndex],6)=0,"",SUMIFS(T_TTAFStock_Log[TTAF_Qty],T_TTAFStock_Log[Part Name],$A12,T_TTAFStock_Log[WeekIndex],6))</f>
        <v/>
      </c>
      <c r="H12" s="17">
        <f>IF(COUNTIFS(T_TTAFStock_Log[Part Name],$A12,T_TTAFStock_Log[WeekIndex],7)=0,"",SUMIFS(T_TTAFStock_Log[TTAF_Qty],T_TTAFStock_Log[Part Name],$A12,T_TTAFStock_Log[WeekIndex],7))</f>
        <v/>
      </c>
      <c r="I12" s="17">
        <f>IF(COUNTIFS(T_TTAFStock_Log[Part Name],$A12,T_TTAFStock_Log[WeekIndex],8)=0,"",SUMIFS(T_TTAFStock_Log[TTAF_Qty],T_TTAFStock_Log[Part Name],$A12,T_TTAFStock_Log[WeekIndex],8))</f>
        <v/>
      </c>
      <c r="J12" s="17">
        <f>IF(COUNTIFS(T_TTAFStock_Log[Part Name],$A12,T_TTAFStock_Log[WeekIndex],9)=0,"",SUMIFS(T_TTAFStock_Log[TTAF_Qty],T_TTAFStock_Log[Part Name],$A12,T_TTAFStock_Log[WeekIndex],9))</f>
        <v/>
      </c>
      <c r="K12" s="17">
        <f>IF(COUNTIFS(T_TTAFStock_Log[Part Name],$A12,T_TTAFStock_Log[WeekIndex],10)=0,"",SUMIFS(T_TTAFStock_Log[TTAF_Qty],T_TTAFStock_Log[Part Name],$A12,T_TTAFStock_Log[WeekIndex],10))</f>
        <v/>
      </c>
      <c r="L12" s="17">
        <f>IF(COUNTIFS(T_TTAFStock_Log[Part Name],$A12,T_TTAFStock_Log[WeekIndex],11)=0,"",SUMIFS(T_TTAFStock_Log[TTAF_Qty],T_TTAFStock_Log[Part Name],$A12,T_TTAFStock_Log[WeekIndex],11))</f>
        <v/>
      </c>
      <c r="M12" s="17">
        <f>IF(COUNTIFS(T_TTAFStock_Log[Part Name],$A12,T_TTAFStock_Log[WeekIndex],12)=0,"",SUMIFS(T_TTAFStock_Log[TTAF_Qty],T_TTAFStock_Log[Part Name],$A12,T_TTAFStock_Log[WeekIndex],12))</f>
        <v/>
      </c>
      <c r="N12" s="17">
        <f>IF(COUNTIFS(T_TTAFStock_Log[Part Name],$A12,T_TTAFStock_Log[WeekIndex],13)=0,"",SUMIFS(T_TTAFStock_Log[TTAF_Qty],T_TTAFStock_Log[Part Name],$A12,T_TTAFStock_Log[WeekIndex],13))</f>
        <v/>
      </c>
      <c r="O12" s="17">
        <f>IF(COUNTIFS(T_TTAFStock_Log[Part Name],$A12,T_TTAFStock_Log[WeekIndex],14)=0,"",SUMIFS(T_TTAFStock_Log[TTAF_Qty],T_TTAFStock_Log[Part Name],$A12,T_TTAFStock_Log[WeekIndex],14))</f>
        <v/>
      </c>
      <c r="P12" s="17">
        <f>IF(COUNTIFS(T_TTAFStock_Log[Part Name],$A12,T_TTAFStock_Log[WeekIndex],15)=0,"",SUMIFS(T_TTAFStock_Log[TTAF_Qty],T_TTAFStock_Log[Part Name],$A12,T_TTAFStock_Log[WeekIndex],15))</f>
        <v/>
      </c>
      <c r="Q12" s="17">
        <f>IF(COUNTIFS(T_TTAFStock_Log[Part Name],$A12,T_TTAFStock_Log[WeekIndex],16)=0,"",SUMIFS(T_TTAFStock_Log[TTAF_Qty],T_TTAFStock_Log[Part Name],$A12,T_TTAFStock_Log[WeekIndex],16))</f>
        <v/>
      </c>
      <c r="R12" s="17">
        <f>IF(COUNTIFS(T_TTAFStock_Log[Part Name],$A12,T_TTAFStock_Log[WeekIndex],17)=0,"",SUMIFS(T_TTAFStock_Log[TTAF_Qty],T_TTAFStock_Log[Part Name],$A12,T_TTAFStock_Log[WeekIndex],17))</f>
        <v/>
      </c>
      <c r="S12" s="17">
        <f>IF(COUNTIFS(T_TTAFStock_Log[Part Name],$A12,T_TTAFStock_Log[WeekIndex],18)=0,"",SUMIFS(T_TTAFStock_Log[TTAF_Qty],T_TTAFStock_Log[Part Name],$A12,T_TTAFStock_Log[WeekIndex],18))</f>
        <v/>
      </c>
      <c r="T12" s="17">
        <f>IF(COUNTIFS(T_TTAFStock_Log[Part Name],$A12,T_TTAFStock_Log[WeekIndex],19)=0,"",SUMIFS(T_TTAFStock_Log[TTAF_Qty],T_TTAFStock_Log[Part Name],$A12,T_TTAFStock_Log[WeekIndex],19))</f>
        <v/>
      </c>
      <c r="U12" s="17">
        <f>IF(COUNTIFS(T_TTAFStock_Log[Part Name],$A12,T_TTAFStock_Log[WeekIndex],20)=0,"",SUMIFS(T_TTAFStock_Log[TTAF_Qty],T_TTAFStock_Log[Part Name],$A12,T_TTAFStock_Log[WeekIndex],20))</f>
        <v/>
      </c>
      <c r="V12" s="17">
        <f>IF(COUNTIFS(T_TTAFStock_Log[Part Name],$A12,T_TTAFStock_Log[WeekIndex],21)=0,"",SUMIFS(T_TTAFStock_Log[TTAF_Qty],T_TTAFStock_Log[Part Name],$A12,T_TTAFStock_Log[WeekIndex],21))</f>
        <v/>
      </c>
      <c r="W12" s="17">
        <f>IF(COUNTIFS(T_TTAFStock_Log[Part Name],$A12,T_TTAFStock_Log[WeekIndex],22)=0,"",SUMIFS(T_TTAFStock_Log[TTAF_Qty],T_TTAFStock_Log[Part Name],$A12,T_TTAFStock_Log[WeekIndex],22))</f>
        <v/>
      </c>
      <c r="X12" s="17">
        <f>IF(COUNTIFS(T_TTAFStock_Log[Part Name],$A12,T_TTAFStock_Log[WeekIndex],23)=0,"",SUMIFS(T_TTAFStock_Log[TTAF_Qty],T_TTAFStock_Log[Part Name],$A12,T_TTAFStock_Log[WeekIndex],23))</f>
        <v/>
      </c>
      <c r="Y12" s="17">
        <f>IF(COUNTIFS(T_TTAFStock_Log[Part Name],$A12,T_TTAFStock_Log[WeekIndex],24)=0,"",SUMIFS(T_TTAFStock_Log[TTAF_Qty],T_TTAFStock_Log[Part Name],$A12,T_TTAFStock_Log[WeekIndex],24))</f>
        <v/>
      </c>
      <c r="Z12" s="17">
        <f>IF(COUNTIFS(T_TTAFStock_Log[Part Name],$A12,T_TTAFStock_Log[WeekIndex],25)=0,"",SUMIFS(T_TTAFStock_Log[TTAF_Qty],T_TTAFStock_Log[Part Name],$A12,T_TTAFStock_Log[WeekIndex],25))</f>
        <v/>
      </c>
      <c r="AA12" s="17">
        <f>IF(COUNTIFS(T_TTAFStock_Log[Part Name],$A12,T_TTAFStock_Log[WeekIndex],26)=0,"",SUMIFS(T_TTAFStock_Log[TTAF_Qty],T_TTAFStock_Log[Part Name],$A12,T_TTAFStock_Log[WeekIndex],26))</f>
        <v/>
      </c>
      <c r="AB12" s="17">
        <f>IF(COUNTIFS(T_TTAFStock_Log[Part Name],$A12,T_TTAFStock_Log[WeekIndex],27)=0,"",SUMIFS(T_TTAFStock_Log[TTAF_Qty],T_TTAFStock_Log[Part Name],$A12,T_TTAFStock_Log[WeekIndex],27))</f>
        <v/>
      </c>
      <c r="AC12" s="17">
        <f>IF(COUNTIFS(T_TTAFStock_Log[Part Name],$A12,T_TTAFStock_Log[WeekIndex],28)=0,"",SUMIFS(T_TTAFStock_Log[TTAF_Qty],T_TTAFStock_Log[Part Name],$A12,T_TTAFStock_Log[WeekIndex],28))</f>
        <v/>
      </c>
      <c r="AD12" s="17">
        <f>IF(COUNTIFS(T_TTAFStock_Log[Part Name],$A12,T_TTAFStock_Log[WeekIndex],29)=0,"",SUMIFS(T_TTAFStock_Log[TTAF_Qty],T_TTAFStock_Log[Part Name],$A12,T_TTAFStock_Log[WeekIndex],29))</f>
        <v/>
      </c>
      <c r="AE12" s="17">
        <f>IF(COUNTIFS(T_TTAFStock_Log[Part Name],$A12,T_TTAFStock_Log[WeekIndex],30)=0,"",SUMIFS(T_TTAFStock_Log[TTAF_Qty],T_TTAFStock_Log[Part Name],$A12,T_TTAFStock_Log[WeekIndex],30))</f>
        <v/>
      </c>
      <c r="AF12" s="17">
        <f>IF(COUNTIFS(T_TTAFStock_Log[Part Name],$A12,T_TTAFStock_Log[WeekIndex],31)=0,"",SUMIFS(T_TTAFStock_Log[TTAF_Qty],T_TTAFStock_Log[Part Name],$A12,T_TTAFStock_Log[WeekIndex],31))</f>
        <v/>
      </c>
      <c r="AG12" s="17">
        <f>IF(COUNTIFS(T_TTAFStock_Log[Part Name],$A12,T_TTAFStock_Log[WeekIndex],32)=0,"",SUMIFS(T_TTAFStock_Log[TTAF_Qty],T_TTAFStock_Log[Part Name],$A12,T_TTAFStock_Log[WeekIndex],32))</f>
        <v/>
      </c>
      <c r="AH12" s="17">
        <f>IF(COUNTIFS(T_TTAFStock_Log[Part Name],$A12,T_TTAFStock_Log[WeekIndex],33)=0,"",SUMIFS(T_TTAFStock_Log[TTAF_Qty],T_TTAFStock_Log[Part Name],$A12,T_TTAFStock_Log[WeekIndex],33))</f>
        <v/>
      </c>
      <c r="AI12" s="17">
        <f>IF(COUNTIFS(T_TTAFStock_Log[Part Name],$A12,T_TTAFStock_Log[WeekIndex],34)=0,"",SUMIFS(T_TTAFStock_Log[TTAF_Qty],T_TTAFStock_Log[Part Name],$A12,T_TTAFStock_Log[WeekIndex],34))</f>
        <v/>
      </c>
      <c r="AJ12" s="17">
        <f>IF(COUNTIFS(T_TTAFStock_Log[Part Name],$A12,T_TTAFStock_Log[WeekIndex],35)=0,"",SUMIFS(T_TTAFStock_Log[TTAF_Qty],T_TTAFStock_Log[Part Name],$A12,T_TTAFStock_Log[WeekIndex],35))</f>
        <v/>
      </c>
      <c r="AK12" s="17">
        <f>IF(COUNTIFS(T_TTAFStock_Log[Part Name],$A12,T_TTAFStock_Log[WeekIndex],36)=0,"",SUMIFS(T_TTAFStock_Log[TTAF_Qty],T_TTAFStock_Log[Part Name],$A12,T_TTAFStock_Log[WeekIndex],36))</f>
        <v/>
      </c>
      <c r="AL12" s="17">
        <f>IF(COUNTIFS(T_TTAFStock_Log[Part Name],$A12,T_TTAFStock_Log[WeekIndex],37)=0,"",SUMIFS(T_TTAFStock_Log[TTAF_Qty],T_TTAFStock_Log[Part Name],$A12,T_TTAFStock_Log[WeekIndex],37))</f>
        <v/>
      </c>
      <c r="AM12" s="17">
        <f>IF(COUNTIFS(T_TTAFStock_Log[Part Name],$A12,T_TTAFStock_Log[WeekIndex],38)=0,"",SUMIFS(T_TTAFStock_Log[TTAF_Qty],T_TTAFStock_Log[Part Name],$A12,T_TTAFStock_Log[WeekIndex],38))</f>
        <v/>
      </c>
      <c r="AN12" s="17">
        <f>IF(COUNTIFS(T_TTAFStock_Log[Part Name],$A12,T_TTAFStock_Log[WeekIndex],39)=0,"",SUMIFS(T_TTAFStock_Log[TTAF_Qty],T_TTAFStock_Log[Part Name],$A12,T_TTAFStock_Log[WeekIndex],39))</f>
        <v/>
      </c>
      <c r="AO12" s="17">
        <f>IF(COUNTIFS(T_TTAFStock_Log[Part Name],$A12,T_TTAFStock_Log[WeekIndex],40)=0,"",SUMIFS(T_TTAFStock_Log[TTAF_Qty],T_TTAFStock_Log[Part Name],$A12,T_TTAFStock_Log[WeekIndex],40))</f>
        <v/>
      </c>
      <c r="AP12" s="17">
        <f>IF(COUNTIFS(T_TTAFStock_Log[Part Name],$A12,T_TTAFStock_Log[WeekIndex],41)=0,"",SUMIFS(T_TTAFStock_Log[TTAF_Qty],T_TTAFStock_Log[Part Name],$A12,T_TTAFStock_Log[WeekIndex],41))</f>
        <v/>
      </c>
      <c r="AQ12" s="17">
        <f>IF(COUNTIFS(T_TTAFStock_Log[Part Name],$A12,T_TTAFStock_Log[WeekIndex],42)=0,"",SUMIFS(T_TTAFStock_Log[TTAF_Qty],T_TTAFStock_Log[Part Name],$A12,T_TTAFStock_Log[WeekIndex],42))</f>
        <v/>
      </c>
      <c r="AR12" s="17">
        <f>IF(COUNTIFS(T_TTAFStock_Log[Part Name],$A12,T_TTAFStock_Log[WeekIndex],43)=0,"",SUMIFS(T_TTAFStock_Log[TTAF_Qty],T_TTAFStock_Log[Part Name],$A12,T_TTAFStock_Log[WeekIndex],43))</f>
        <v/>
      </c>
      <c r="AS12" s="17">
        <f>IF(COUNTIFS(T_TTAFStock_Log[Part Name],$A12,T_TTAFStock_Log[WeekIndex],44)=0,"",SUMIFS(T_TTAFStock_Log[TTAF_Qty],T_TTAFStock_Log[Part Name],$A12,T_TTAFStock_Log[WeekIndex],44))</f>
        <v/>
      </c>
      <c r="AT12" s="17">
        <f>IF(COUNTIFS(T_TTAFStock_Log[Part Name],$A12,T_TTAFStock_Log[WeekIndex],45)=0,"",SUMIFS(T_TTAFStock_Log[TTAF_Qty],T_TTAFStock_Log[Part Name],$A12,T_TTAFStock_Log[WeekIndex],45))</f>
        <v/>
      </c>
      <c r="AU12" s="17">
        <f>IF(COUNTIFS(T_TTAFStock_Log[Part Name],$A12,T_TTAFStock_Log[WeekIndex],46)=0,"",SUMIFS(T_TTAFStock_Log[TTAF_Qty],T_TTAFStock_Log[Part Name],$A12,T_TTAFStock_Log[WeekIndex],46))</f>
        <v/>
      </c>
      <c r="AV12" s="17">
        <f>IF(COUNTIFS(T_TTAFStock_Log[Part Name],$A12,T_TTAFStock_Log[WeekIndex],47)=0,"",SUMIFS(T_TTAFStock_Log[TTAF_Qty],T_TTAFStock_Log[Part Name],$A12,T_TTAFStock_Log[WeekIndex],47))</f>
        <v/>
      </c>
      <c r="AW12" s="17">
        <f>IF(COUNTIFS(T_TTAFStock_Log[Part Name],$A12,T_TTAFStock_Log[WeekIndex],48)=0,"",SUMIFS(T_TTAFStock_Log[TTAF_Qty],T_TTAFStock_Log[Part Name],$A12,T_TTAFStock_Log[WeekIndex],48))</f>
        <v/>
      </c>
      <c r="AX12" s="17">
        <f>IF(COUNTIFS(T_TTAFStock_Log[Part Name],$A12,T_TTAFStock_Log[WeekIndex],49)=0,"",SUMIFS(T_TTAFStock_Log[TTAF_Qty],T_TTAFStock_Log[Part Name],$A12,T_TTAFStock_Log[WeekIndex],49))</f>
        <v/>
      </c>
      <c r="AY12" s="17">
        <f>IF(COUNTIFS(T_TTAFStock_Log[Part Name],$A12,T_TTAFStock_Log[WeekIndex],50)=0,"",SUMIFS(T_TTAFStock_Log[TTAF_Qty],T_TTAFStock_Log[Part Name],$A12,T_TTAFStock_Log[WeekIndex],50))</f>
        <v/>
      </c>
      <c r="AZ12" s="17">
        <f>IF(COUNTIFS(T_TTAFStock_Log[Part Name],$A12,T_TTAFStock_Log[WeekIndex],51)=0,"",SUMIFS(T_TTAFStock_Log[TTAF_Qty],T_TTAFStock_Log[Part Name],$A12,T_TTAFStock_Log[WeekIndex],51))</f>
        <v/>
      </c>
      <c r="BA12" s="17">
        <f>IF(COUNTIFS(T_TTAFStock_Log[Part Name],$A12,T_TTAFStock_Log[WeekIndex],52)=0,"",SUMIFS(T_TTAFStock_Log[TTAF_Qty],T_TTAFStock_Log[Part Name],$A12,T_TTAFStock_Log[WeekIndex],52))</f>
        <v/>
      </c>
      <c r="BB12" s="17">
        <f>IF(COUNTIFS(T_TTAFStock_Log[Part Name],$A12,T_TTAFStock_Log[WeekIndex],53)=0,"",SUMIFS(T_TTAFStock_Log[TTAF_Qty],T_TTAFStock_Log[Part Name],$A12,T_TTAFStock_Log[WeekIndex],53))</f>
        <v/>
      </c>
      <c r="BC12" s="17">
        <f>IF(COUNTIFS(T_TTAFStock_Log[Part Name],$A12,T_TTAFStock_Log[WeekIndex],54)=0,"",SUMIFS(T_TTAFStock_Log[TTAF_Qty],T_TTAFStock_Log[Part Name],$A12,T_TTAFStock_Log[WeekIndex],54))</f>
        <v/>
      </c>
      <c r="BD12" s="17">
        <f>IF(COUNTIFS(T_TTAFStock_Log[Part Name],$A12,T_TTAFStock_Log[WeekIndex],55)=0,"",SUMIFS(T_TTAFStock_Log[TTAF_Qty],T_TTAFStock_Log[Part Name],$A12,T_TTAFStock_Log[WeekIndex],55))</f>
        <v/>
      </c>
      <c r="BE12" s="17">
        <f>IF(COUNTIFS(T_TTAFStock_Log[Part Name],$A12,T_TTAFStock_Log[WeekIndex],56)=0,"",SUMIFS(T_TTAFStock_Log[TTAF_Qty],T_TTAFStock_Log[Part Name],$A12,T_TTAFStock_Log[WeekIndex],56))</f>
        <v/>
      </c>
      <c r="BF12" s="17">
        <f>IF(COUNTIFS(T_TTAFStock_Log[Part Name],$A12,T_TTAFStock_Log[WeekIndex],57)=0,"",SUMIFS(T_TTAFStock_Log[TTAF_Qty],T_TTAFStock_Log[Part Name],$A12,T_TTAFStock_Log[WeekIndex],57))</f>
        <v/>
      </c>
      <c r="BG12" s="17">
        <f>IF(COUNTIFS(T_TTAFStock_Log[Part Name],$A12,T_TTAFStock_Log[WeekIndex],58)=0,"",SUMIFS(T_TTAFStock_Log[TTAF_Qty],T_TTAFStock_Log[Part Name],$A12,T_TTAFStock_Log[WeekIndex],58))</f>
        <v/>
      </c>
      <c r="BH12" s="17">
        <f>IF(COUNTIFS(T_TTAFStock_Log[Part Name],$A12,T_TTAFStock_Log[WeekIndex],59)=0,"",SUMIFS(T_TTAFStock_Log[TTAF_Qty],T_TTAFStock_Log[Part Name],$A12,T_TTAFStock_Log[WeekIndex],59))</f>
        <v/>
      </c>
      <c r="BI12" s="17">
        <f>IF(COUNTIFS(T_TTAFStock_Log[Part Name],$A12,T_TTAFStock_Log[WeekIndex],60)=0,"",SUMIFS(T_TTAFStock_Log[TTAF_Qty],T_TTAFStock_Log[Part Name],$A12,T_TTAFStock_Log[WeekIndex],60))</f>
        <v/>
      </c>
      <c r="BJ12" s="17">
        <f>IF(COUNTIFS(T_TTAFStock_Log[Part Name],$A12,T_TTAFStock_Log[WeekIndex],61)=0,"",SUMIFS(T_TTAFStock_Log[TTAF_Qty],T_TTAFStock_Log[Part Name],$A12,T_TTAFStock_Log[WeekIndex],61))</f>
        <v/>
      </c>
      <c r="BK12" s="17">
        <f>IF(COUNTIFS(T_TTAFStock_Log[Part Name],$A12,T_TTAFStock_Log[WeekIndex],62)=0,"",SUMIFS(T_TTAFStock_Log[TTAF_Qty],T_TTAFStock_Log[Part Name],$A12,T_TTAFStock_Log[WeekIndex],62))</f>
        <v/>
      </c>
      <c r="BL12" s="17">
        <f>IF(COUNTIFS(T_TTAFStock_Log[Part Name],$A12,T_TTAFStock_Log[WeekIndex],63)=0,"",SUMIFS(T_TTAFStock_Log[TTAF_Qty],T_TTAFStock_Log[Part Name],$A12,T_TTAFStock_Log[WeekIndex],63))</f>
        <v/>
      </c>
      <c r="BM12" s="17">
        <f>IF(COUNTIFS(T_TTAFStock_Log[Part Name],$A12,T_TTAFStock_Log[WeekIndex],64)=0,"",SUMIFS(T_TTAFStock_Log[TTAF_Qty],T_TTAFStock_Log[Part Name],$A12,T_TTAFStock_Log[WeekIndex],64))</f>
        <v/>
      </c>
      <c r="BN12" s="17">
        <f>IF(COUNTIFS(T_TTAFStock_Log[Part Name],$A12,T_TTAFStock_Log[WeekIndex],65)=0,"",SUMIFS(T_TTAFStock_Log[TTAF_Qty],T_TTAFStock_Log[Part Name],$A12,T_TTAFStock_Log[WeekIndex],65))</f>
        <v/>
      </c>
      <c r="BO12" s="17">
        <f>IF(COUNTIFS(T_TTAFStock_Log[Part Name],$A12,T_TTAFStock_Log[WeekIndex],66)=0,"",SUMIFS(T_TTAFStock_Log[TTAF_Qty],T_TTAFStock_Log[Part Name],$A12,T_TTAFStock_Log[WeekIndex],66))</f>
        <v/>
      </c>
      <c r="BP12" s="17">
        <f>IF(COUNTIFS(T_TTAFStock_Log[Part Name],$A12,T_TTAFStock_Log[WeekIndex],67)=0,"",SUMIFS(T_TTAFStock_Log[TTAF_Qty],T_TTAFStock_Log[Part Name],$A12,T_TTAFStock_Log[WeekIndex],67))</f>
        <v/>
      </c>
      <c r="BQ12" s="17">
        <f>IF(COUNTIFS(T_TTAFStock_Log[Part Name],$A12,T_TTAFStock_Log[WeekIndex],68)=0,"",SUMIFS(T_TTAFStock_Log[TTAF_Qty],T_TTAFStock_Log[Part Name],$A12,T_TTAFStock_Log[WeekIndex],68))</f>
        <v/>
      </c>
      <c r="BR12" s="17">
        <f>IF(COUNTIFS(T_TTAFStock_Log[Part Name],$A12,T_TTAFStock_Log[WeekIndex],69)=0,"",SUMIFS(T_TTAFStock_Log[TTAF_Qty],T_TTAFStock_Log[Part Name],$A12,T_TTAFStock_Log[WeekIndex],69))</f>
        <v/>
      </c>
      <c r="BS12" s="17">
        <f>IF(COUNTIFS(T_TTAFStock_Log[Part Name],$A12,T_TTAFStock_Log[WeekIndex],70)=0,"",SUMIFS(T_TTAFStock_Log[TTAF_Qty],T_TTAFStock_Log[Part Name],$A12,T_TTAFStock_Log[WeekIndex],70))</f>
        <v/>
      </c>
      <c r="BT12" s="17">
        <f>IF(COUNTIFS(T_TTAFStock_Log[Part Name],$A12,T_TTAFStock_Log[WeekIndex],71)=0,"",SUMIFS(T_TTAFStock_Log[TTAF_Qty],T_TTAFStock_Log[Part Name],$A12,T_TTAFStock_Log[WeekIndex],71))</f>
        <v/>
      </c>
      <c r="BU12" s="17">
        <f>IF(COUNTIFS(T_TTAFStock_Log[Part Name],$A12,T_TTAFStock_Log[WeekIndex],72)=0,"",SUMIFS(T_TTAFStock_Log[TTAF_Qty],T_TTAFStock_Log[Part Name],$A12,T_TTAFStock_Log[WeekIndex],72))</f>
        <v/>
      </c>
      <c r="BV12" s="17">
        <f>IF(COUNTIFS(T_TTAFStock_Log[Part Name],$A12,T_TTAFStock_Log[WeekIndex],73)=0,"",SUMIFS(T_TTAFStock_Log[TTAF_Qty],T_TTAFStock_Log[Part Name],$A12,T_TTAFStock_Log[WeekIndex],73))</f>
        <v/>
      </c>
      <c r="BW12" s="17">
        <f>IF(COUNTIFS(T_TTAFStock_Log[Part Name],$A12,T_TTAFStock_Log[WeekIndex],74)=0,"",SUMIFS(T_TTAFStock_Log[TTAF_Qty],T_TTAFStock_Log[Part Name],$A12,T_TTAFStock_Log[WeekIndex],74))</f>
        <v/>
      </c>
      <c r="BX12" s="17">
        <f>IF(COUNTIFS(T_TTAFStock_Log[Part Name],$A12,T_TTAFStock_Log[WeekIndex],75)=0,"",SUMIFS(T_TTAFStock_Log[TTAF_Qty],T_TTAFStock_Log[Part Name],$A12,T_TTAFStock_Log[WeekIndex],75))</f>
        <v/>
      </c>
      <c r="BY12" s="17">
        <f>IF(COUNTIFS(T_TTAFStock_Log[Part Name],$A12,T_TTAFStock_Log[WeekIndex],76)=0,"",SUMIFS(T_TTAFStock_Log[TTAF_Qty],T_TTAFStock_Log[Part Name],$A12,T_TTAFStock_Log[WeekIndex],76))</f>
        <v/>
      </c>
      <c r="BZ12" s="17">
        <f>IF(COUNTIFS(T_TTAFStock_Log[Part Name],$A12,T_TTAFStock_Log[WeekIndex],77)=0,"",SUMIFS(T_TTAFStock_Log[TTAF_Qty],T_TTAFStock_Log[Part Name],$A12,T_TTAFStock_Log[WeekIndex],77))</f>
        <v/>
      </c>
      <c r="CA12" s="17">
        <f>IF(COUNTIFS(T_TTAFStock_Log[Part Name],$A12,T_TTAFStock_Log[WeekIndex],78)=0,"",SUMIFS(T_TTAFStock_Log[TTAF_Qty],T_TTAFStock_Log[Part Name],$A12,T_TTAFStock_Log[WeekIndex],78))</f>
        <v/>
      </c>
      <c r="CB12" s="17">
        <f>IF(COUNTIFS(T_TTAFStock_Log[Part Name],$A12,T_TTAFStock_Log[WeekIndex],79)=0,"",SUMIFS(T_TTAFStock_Log[TTAF_Qty],T_TTAFStock_Log[Part Name],$A12,T_TTAFStock_Log[WeekIndex],79))</f>
        <v/>
      </c>
      <c r="CC12" s="17">
        <f>IF(COUNTIFS(T_TTAFStock_Log[Part Name],$A12,T_TTAFStock_Log[WeekIndex],80)=0,"",SUMIFS(T_TTAFStock_Log[TTAF_Qty],T_TTAFStock_Log[Part Name],$A12,T_TTAFStock_Log[WeekIndex],80))</f>
        <v/>
      </c>
      <c r="CD12" s="17">
        <f>IF(COUNTIFS(T_TTAFStock_Log[Part Name],$A12,T_TTAFStock_Log[WeekIndex],81)=0,"",SUMIFS(T_TTAFStock_Log[TTAF_Qty],T_TTAFStock_Log[Part Name],$A12,T_TTAFStock_Log[WeekIndex],81))</f>
        <v/>
      </c>
      <c r="CE12" s="17">
        <f>IF(COUNTIFS(T_TTAFStock_Log[Part Name],$A12,T_TTAFStock_Log[WeekIndex],82)=0,"",SUMIFS(T_TTAFStock_Log[TTAF_Qty],T_TTAFStock_Log[Part Name],$A12,T_TTAFStock_Log[WeekIndex],82))</f>
        <v/>
      </c>
      <c r="CF12" s="17">
        <f>IF(COUNTIFS(T_TTAFStock_Log[Part Name],$A12,T_TTAFStock_Log[WeekIndex],83)=0,"",SUMIFS(T_TTAFStock_Log[TTAF_Qty],T_TTAFStock_Log[Part Name],$A12,T_TTAFStock_Log[WeekIndex],83))</f>
        <v/>
      </c>
      <c r="CG12" s="17">
        <f>IF(COUNTIFS(T_TTAFStock_Log[Part Name],$A12,T_TTAFStock_Log[WeekIndex],84)=0,"",SUMIFS(T_TTAFStock_Log[TTAF_Qty],T_TTAFStock_Log[Part Name],$A12,T_TTAFStock_Log[WeekIndex],84))</f>
        <v/>
      </c>
      <c r="CH12" s="17">
        <f>IF(COUNTIFS(T_TTAFStock_Log[Part Name],$A12,T_TTAFStock_Log[WeekIndex],85)=0,"",SUMIFS(T_TTAFStock_Log[TTAF_Qty],T_TTAFStock_Log[Part Name],$A12,T_TTAFStock_Log[WeekIndex],85))</f>
        <v/>
      </c>
      <c r="CI12" s="17">
        <f>IF(COUNTIFS(T_TTAFStock_Log[Part Name],$A12,T_TTAFStock_Log[WeekIndex],86)=0,"",SUMIFS(T_TTAFStock_Log[TTAF_Qty],T_TTAFStock_Log[Part Name],$A12,T_TTAFStock_Log[WeekIndex],86))</f>
        <v/>
      </c>
      <c r="CJ12" s="17">
        <f>IF(COUNTIFS(T_TTAFStock_Log[Part Name],$A12,T_TTAFStock_Log[WeekIndex],87)=0,"",SUMIFS(T_TTAFStock_Log[TTAF_Qty],T_TTAFStock_Log[Part Name],$A12,T_TTAFStock_Log[WeekIndex],87))</f>
        <v/>
      </c>
      <c r="CK12" s="17">
        <f>IF(COUNTIFS(T_TTAFStock_Log[Part Name],$A12,T_TTAFStock_Log[WeekIndex],88)=0,"",SUMIFS(T_TTAFStock_Log[TTAF_Qty],T_TTAFStock_Log[Part Name],$A12,T_TTAFStock_Log[WeekIndex],88))</f>
        <v/>
      </c>
      <c r="CL12" s="17">
        <f>IF(COUNTIFS(T_TTAFStock_Log[Part Name],$A12,T_TTAFStock_Log[WeekIndex],89)=0,"",SUMIFS(T_TTAFStock_Log[TTAF_Qty],T_TTAFStock_Log[Part Name],$A12,T_TTAFStock_Log[WeekIndex],89))</f>
        <v/>
      </c>
      <c r="CM12" s="17">
        <f>IF(COUNTIFS(T_TTAFStock_Log[Part Name],$A12,T_TTAFStock_Log[WeekIndex],90)=0,"",SUMIFS(T_TTAFStock_Log[TTAF_Qty],T_TTAFStock_Log[Part Name],$A12,T_TTAFStock_Log[WeekIndex],90))</f>
        <v/>
      </c>
      <c r="CN12" s="17">
        <f>IF(COUNTIFS(T_TTAFStock_Log[Part Name],$A12,T_TTAFStock_Log[WeekIndex],91)=0,"",SUMIFS(T_TTAFStock_Log[TTAF_Qty],T_TTAFStock_Log[Part Name],$A12,T_TTAFStock_Log[WeekIndex],91))</f>
        <v/>
      </c>
      <c r="CO12" s="17">
        <f>IF(COUNTIFS(T_TTAFStock_Log[Part Name],$A12,T_TTAFStock_Log[WeekIndex],92)=0,"",SUMIFS(T_TTAFStock_Log[TTAF_Qty],T_TTAFStock_Log[Part Name],$A12,T_TTAFStock_Log[WeekIndex],92))</f>
        <v/>
      </c>
      <c r="CP12" s="17">
        <f>IF(COUNTIFS(T_TTAFStock_Log[Part Name],$A12,T_TTAFStock_Log[WeekIndex],93)=0,"",SUMIFS(T_TTAFStock_Log[TTAF_Qty],T_TTAFStock_Log[Part Name],$A12,T_TTAFStock_Log[WeekIndex],93))</f>
        <v/>
      </c>
      <c r="CQ12" s="17">
        <f>IF(COUNTIFS(T_TTAFStock_Log[Part Name],$A12,T_TTAFStock_Log[WeekIndex],94)=0,"",SUMIFS(T_TTAFStock_Log[TTAF_Qty],T_TTAFStock_Log[Part Name],$A12,T_TTAFStock_Log[WeekIndex],94))</f>
        <v/>
      </c>
      <c r="CR12" s="17">
        <f>IF(COUNTIFS(T_TTAFStock_Log[Part Name],$A12,T_TTAFStock_Log[WeekIndex],95)=0,"",SUMIFS(T_TTAFStock_Log[TTAF_Qty],T_TTAFStock_Log[Part Name],$A12,T_TTAFStock_Log[WeekIndex],95))</f>
        <v/>
      </c>
      <c r="CS12" s="17">
        <f>IF(COUNTIFS(T_TTAFStock_Log[Part Name],$A12,T_TTAFStock_Log[WeekIndex],96)=0,"",SUMIFS(T_TTAFStock_Log[TTAF_Qty],T_TTAFStock_Log[Part Name],$A12,T_TTAFStock_Log[WeekIndex],96))</f>
        <v/>
      </c>
      <c r="CT12" s="17">
        <f>IF(COUNTIFS(T_TTAFStock_Log[Part Name],$A12,T_TTAFStock_Log[WeekIndex],97)=0,"",SUMIFS(T_TTAFStock_Log[TTAF_Qty],T_TTAFStock_Log[Part Name],$A12,T_TTAFStock_Log[WeekIndex],97))</f>
        <v/>
      </c>
      <c r="CU12" s="17">
        <f>IF(COUNTIFS(T_TTAFStock_Log[Part Name],$A12,T_TTAFStock_Log[WeekIndex],98)=0,"",SUMIFS(T_TTAFStock_Log[TTAF_Qty],T_TTAFStock_Log[Part Name],$A12,T_TTAFStock_Log[WeekIndex],98))</f>
        <v/>
      </c>
      <c r="CV12" s="17">
        <f>IF(COUNTIFS(T_TTAFStock_Log[Part Name],$A12,T_TTAFStock_Log[WeekIndex],99)=0,"",SUMIFS(T_TTAFStock_Log[TTAF_Qty],T_TTAFStock_Log[Part Name],$A12,T_TTAFStock_Log[WeekIndex],99))</f>
        <v/>
      </c>
      <c r="CW12" s="17">
        <f>IF(COUNTIFS(T_TTAFStock_Log[Part Name],$A12,T_TTAFStock_Log[WeekIndex],100)=0,"",SUMIFS(T_TTAFStock_Log[TTAF_Qty],T_TTAFStock_Log[Part Name],$A12,T_TTAFStock_Log[WeekIndex],100))</f>
        <v/>
      </c>
      <c r="CX12" s="17">
        <f>IF(COUNTIFS(T_TTAFStock_Log[Part Name],$A12,T_TTAFStock_Log[WeekIndex],101)=0,"",SUMIFS(T_TTAFStock_Log[TTAF_Qty],T_TTAFStock_Log[Part Name],$A12,T_TTAFStock_Log[WeekIndex],101))</f>
        <v/>
      </c>
      <c r="CY12" s="17">
        <f>IF(COUNTIFS(T_TTAFStock_Log[Part Name],$A12,T_TTAFStock_Log[WeekIndex],102)=0,"",SUMIFS(T_TTAFStock_Log[TTAF_Qty],T_TTAFStock_Log[Part Name],$A12,T_TTAFStock_Log[WeekIndex],102))</f>
        <v/>
      </c>
      <c r="CZ12" s="17">
        <f>IF(COUNTIFS(T_TTAFStock_Log[Part Name],$A12,T_TTAFStock_Log[WeekIndex],103)=0,"",SUMIFS(T_TTAFStock_Log[TTAF_Qty],T_TTAFStock_Log[Part Name],$A12,T_TTAFStock_Log[WeekIndex],103))</f>
        <v/>
      </c>
      <c r="DA12" s="17">
        <f>IF(COUNTIFS(T_TTAFStock_Log[Part Name],$A12,T_TTAFStock_Log[WeekIndex],104)=0,"",SUMIFS(T_TTAFStock_Log[TTAF_Qty],T_TTAFStock_Log[Part Name],$A12,T_TTAFStock_Log[WeekIndex],104))</f>
        <v/>
      </c>
    </row>
    <row r="13">
      <c r="A13" s="19" t="inlineStr">
        <is>
          <t>3TP</t>
        </is>
      </c>
      <c r="B13" s="19">
        <f>IF(COUNTIFS(T_TTAFStock_Log[Part Name],$A13,T_TTAFStock_Log[WeekIndex],1)=0,"",SUMIFS(T_TTAFStock_Log[TTAF_Qty],T_TTAFStock_Log[Part Name],$A13,T_TTAFStock_Log[WeekIndex],1))</f>
        <v/>
      </c>
      <c r="C13" s="19">
        <f>IF(COUNTIFS(T_TTAFStock_Log[Part Name],$A13,T_TTAFStock_Log[WeekIndex],2)=0,"",SUMIFS(T_TTAFStock_Log[TTAF_Qty],T_TTAFStock_Log[Part Name],$A13,T_TTAFStock_Log[WeekIndex],2))</f>
        <v/>
      </c>
      <c r="D13" s="19">
        <f>IF(COUNTIFS(T_TTAFStock_Log[Part Name],$A13,T_TTAFStock_Log[WeekIndex],3)=0,"",SUMIFS(T_TTAFStock_Log[TTAF_Qty],T_TTAFStock_Log[Part Name],$A13,T_TTAFStock_Log[WeekIndex],3))</f>
        <v/>
      </c>
      <c r="E13" s="19">
        <f>IF(COUNTIFS(T_TTAFStock_Log[Part Name],$A13,T_TTAFStock_Log[WeekIndex],4)=0,"",SUMIFS(T_TTAFStock_Log[TTAF_Qty],T_TTAFStock_Log[Part Name],$A13,T_TTAFStock_Log[WeekIndex],4))</f>
        <v/>
      </c>
      <c r="F13" s="19">
        <f>IF(COUNTIFS(T_TTAFStock_Log[Part Name],$A13,T_TTAFStock_Log[WeekIndex],5)=0,"",SUMIFS(T_TTAFStock_Log[TTAF_Qty],T_TTAFStock_Log[Part Name],$A13,T_TTAFStock_Log[WeekIndex],5))</f>
        <v/>
      </c>
      <c r="G13" s="19">
        <f>IF(COUNTIFS(T_TTAFStock_Log[Part Name],$A13,T_TTAFStock_Log[WeekIndex],6)=0,"",SUMIFS(T_TTAFStock_Log[TTAF_Qty],T_TTAFStock_Log[Part Name],$A13,T_TTAFStock_Log[WeekIndex],6))</f>
        <v/>
      </c>
      <c r="H13" s="19">
        <f>IF(COUNTIFS(T_TTAFStock_Log[Part Name],$A13,T_TTAFStock_Log[WeekIndex],7)=0,"",SUMIFS(T_TTAFStock_Log[TTAF_Qty],T_TTAFStock_Log[Part Name],$A13,T_TTAFStock_Log[WeekIndex],7))</f>
        <v/>
      </c>
      <c r="I13" s="19">
        <f>IF(COUNTIFS(T_TTAFStock_Log[Part Name],$A13,T_TTAFStock_Log[WeekIndex],8)=0,"",SUMIFS(T_TTAFStock_Log[TTAF_Qty],T_TTAFStock_Log[Part Name],$A13,T_TTAFStock_Log[WeekIndex],8))</f>
        <v/>
      </c>
      <c r="J13" s="19">
        <f>IF(COUNTIFS(T_TTAFStock_Log[Part Name],$A13,T_TTAFStock_Log[WeekIndex],9)=0,"",SUMIFS(T_TTAFStock_Log[TTAF_Qty],T_TTAFStock_Log[Part Name],$A13,T_TTAFStock_Log[WeekIndex],9))</f>
        <v/>
      </c>
      <c r="K13" s="19">
        <f>IF(COUNTIFS(T_TTAFStock_Log[Part Name],$A13,T_TTAFStock_Log[WeekIndex],10)=0,"",SUMIFS(T_TTAFStock_Log[TTAF_Qty],T_TTAFStock_Log[Part Name],$A13,T_TTAFStock_Log[WeekIndex],10))</f>
        <v/>
      </c>
      <c r="L13" s="19">
        <f>IF(COUNTIFS(T_TTAFStock_Log[Part Name],$A13,T_TTAFStock_Log[WeekIndex],11)=0,"",SUMIFS(T_TTAFStock_Log[TTAF_Qty],T_TTAFStock_Log[Part Name],$A13,T_TTAFStock_Log[WeekIndex],11))</f>
        <v/>
      </c>
      <c r="M13" s="19">
        <f>IF(COUNTIFS(T_TTAFStock_Log[Part Name],$A13,T_TTAFStock_Log[WeekIndex],12)=0,"",SUMIFS(T_TTAFStock_Log[TTAF_Qty],T_TTAFStock_Log[Part Name],$A13,T_TTAFStock_Log[WeekIndex],12))</f>
        <v/>
      </c>
      <c r="N13" s="19">
        <f>IF(COUNTIFS(T_TTAFStock_Log[Part Name],$A13,T_TTAFStock_Log[WeekIndex],13)=0,"",SUMIFS(T_TTAFStock_Log[TTAF_Qty],T_TTAFStock_Log[Part Name],$A13,T_TTAFStock_Log[WeekIndex],13))</f>
        <v/>
      </c>
      <c r="O13" s="19">
        <f>IF(COUNTIFS(T_TTAFStock_Log[Part Name],$A13,T_TTAFStock_Log[WeekIndex],14)=0,"",SUMIFS(T_TTAFStock_Log[TTAF_Qty],T_TTAFStock_Log[Part Name],$A13,T_TTAFStock_Log[WeekIndex],14))</f>
        <v/>
      </c>
      <c r="P13" s="19">
        <f>IF(COUNTIFS(T_TTAFStock_Log[Part Name],$A13,T_TTAFStock_Log[WeekIndex],15)=0,"",SUMIFS(T_TTAFStock_Log[TTAF_Qty],T_TTAFStock_Log[Part Name],$A13,T_TTAFStock_Log[WeekIndex],15))</f>
        <v/>
      </c>
      <c r="Q13" s="19">
        <f>IF(COUNTIFS(T_TTAFStock_Log[Part Name],$A13,T_TTAFStock_Log[WeekIndex],16)=0,"",SUMIFS(T_TTAFStock_Log[TTAF_Qty],T_TTAFStock_Log[Part Name],$A13,T_TTAFStock_Log[WeekIndex],16))</f>
        <v/>
      </c>
      <c r="R13" s="19">
        <f>IF(COUNTIFS(T_TTAFStock_Log[Part Name],$A13,T_TTAFStock_Log[WeekIndex],17)=0,"",SUMIFS(T_TTAFStock_Log[TTAF_Qty],T_TTAFStock_Log[Part Name],$A13,T_TTAFStock_Log[WeekIndex],17))</f>
        <v/>
      </c>
      <c r="S13" s="19">
        <f>IF(COUNTIFS(T_TTAFStock_Log[Part Name],$A13,T_TTAFStock_Log[WeekIndex],18)=0,"",SUMIFS(T_TTAFStock_Log[TTAF_Qty],T_TTAFStock_Log[Part Name],$A13,T_TTAFStock_Log[WeekIndex],18))</f>
        <v/>
      </c>
      <c r="T13" s="19">
        <f>IF(COUNTIFS(T_TTAFStock_Log[Part Name],$A13,T_TTAFStock_Log[WeekIndex],19)=0,"",SUMIFS(T_TTAFStock_Log[TTAF_Qty],T_TTAFStock_Log[Part Name],$A13,T_TTAFStock_Log[WeekIndex],19))</f>
        <v/>
      </c>
      <c r="U13" s="19">
        <f>IF(COUNTIFS(T_TTAFStock_Log[Part Name],$A13,T_TTAFStock_Log[WeekIndex],20)=0,"",SUMIFS(T_TTAFStock_Log[TTAF_Qty],T_TTAFStock_Log[Part Name],$A13,T_TTAFStock_Log[WeekIndex],20))</f>
        <v/>
      </c>
      <c r="V13" s="19">
        <f>IF(COUNTIFS(T_TTAFStock_Log[Part Name],$A13,T_TTAFStock_Log[WeekIndex],21)=0,"",SUMIFS(T_TTAFStock_Log[TTAF_Qty],T_TTAFStock_Log[Part Name],$A13,T_TTAFStock_Log[WeekIndex],21))</f>
        <v/>
      </c>
      <c r="W13" s="19">
        <f>IF(COUNTIFS(T_TTAFStock_Log[Part Name],$A13,T_TTAFStock_Log[WeekIndex],22)=0,"",SUMIFS(T_TTAFStock_Log[TTAF_Qty],T_TTAFStock_Log[Part Name],$A13,T_TTAFStock_Log[WeekIndex],22))</f>
        <v/>
      </c>
      <c r="X13" s="19">
        <f>IF(COUNTIFS(T_TTAFStock_Log[Part Name],$A13,T_TTAFStock_Log[WeekIndex],23)=0,"",SUMIFS(T_TTAFStock_Log[TTAF_Qty],T_TTAFStock_Log[Part Name],$A13,T_TTAFStock_Log[WeekIndex],23))</f>
        <v/>
      </c>
      <c r="Y13" s="19">
        <f>IF(COUNTIFS(T_TTAFStock_Log[Part Name],$A13,T_TTAFStock_Log[WeekIndex],24)=0,"",SUMIFS(T_TTAFStock_Log[TTAF_Qty],T_TTAFStock_Log[Part Name],$A13,T_TTAFStock_Log[WeekIndex],24))</f>
        <v/>
      </c>
      <c r="Z13" s="19">
        <f>IF(COUNTIFS(T_TTAFStock_Log[Part Name],$A13,T_TTAFStock_Log[WeekIndex],25)=0,"",SUMIFS(T_TTAFStock_Log[TTAF_Qty],T_TTAFStock_Log[Part Name],$A13,T_TTAFStock_Log[WeekIndex],25))</f>
        <v/>
      </c>
      <c r="AA13" s="19">
        <f>IF(COUNTIFS(T_TTAFStock_Log[Part Name],$A13,T_TTAFStock_Log[WeekIndex],26)=0,"",SUMIFS(T_TTAFStock_Log[TTAF_Qty],T_TTAFStock_Log[Part Name],$A13,T_TTAFStock_Log[WeekIndex],26))</f>
        <v/>
      </c>
      <c r="AB13" s="19">
        <f>IF(COUNTIFS(T_TTAFStock_Log[Part Name],$A13,T_TTAFStock_Log[WeekIndex],27)=0,"",SUMIFS(T_TTAFStock_Log[TTAF_Qty],T_TTAFStock_Log[Part Name],$A13,T_TTAFStock_Log[WeekIndex],27))</f>
        <v/>
      </c>
      <c r="AC13" s="19">
        <f>IF(COUNTIFS(T_TTAFStock_Log[Part Name],$A13,T_TTAFStock_Log[WeekIndex],28)=0,"",SUMIFS(T_TTAFStock_Log[TTAF_Qty],T_TTAFStock_Log[Part Name],$A13,T_TTAFStock_Log[WeekIndex],28))</f>
        <v/>
      </c>
      <c r="AD13" s="19">
        <f>IF(COUNTIFS(T_TTAFStock_Log[Part Name],$A13,T_TTAFStock_Log[WeekIndex],29)=0,"",SUMIFS(T_TTAFStock_Log[TTAF_Qty],T_TTAFStock_Log[Part Name],$A13,T_TTAFStock_Log[WeekIndex],29))</f>
        <v/>
      </c>
      <c r="AE13" s="19">
        <f>IF(COUNTIFS(T_TTAFStock_Log[Part Name],$A13,T_TTAFStock_Log[WeekIndex],30)=0,"",SUMIFS(T_TTAFStock_Log[TTAF_Qty],T_TTAFStock_Log[Part Name],$A13,T_TTAFStock_Log[WeekIndex],30))</f>
        <v/>
      </c>
      <c r="AF13" s="19">
        <f>IF(COUNTIFS(T_TTAFStock_Log[Part Name],$A13,T_TTAFStock_Log[WeekIndex],31)=0,"",SUMIFS(T_TTAFStock_Log[TTAF_Qty],T_TTAFStock_Log[Part Name],$A13,T_TTAFStock_Log[WeekIndex],31))</f>
        <v/>
      </c>
      <c r="AG13" s="19">
        <f>IF(COUNTIFS(T_TTAFStock_Log[Part Name],$A13,T_TTAFStock_Log[WeekIndex],32)=0,"",SUMIFS(T_TTAFStock_Log[TTAF_Qty],T_TTAFStock_Log[Part Name],$A13,T_TTAFStock_Log[WeekIndex],32))</f>
        <v/>
      </c>
      <c r="AH13" s="19">
        <f>IF(COUNTIFS(T_TTAFStock_Log[Part Name],$A13,T_TTAFStock_Log[WeekIndex],33)=0,"",SUMIFS(T_TTAFStock_Log[TTAF_Qty],T_TTAFStock_Log[Part Name],$A13,T_TTAFStock_Log[WeekIndex],33))</f>
        <v/>
      </c>
      <c r="AI13" s="19">
        <f>IF(COUNTIFS(T_TTAFStock_Log[Part Name],$A13,T_TTAFStock_Log[WeekIndex],34)=0,"",SUMIFS(T_TTAFStock_Log[TTAF_Qty],T_TTAFStock_Log[Part Name],$A13,T_TTAFStock_Log[WeekIndex],34))</f>
        <v/>
      </c>
      <c r="AJ13" s="19">
        <f>IF(COUNTIFS(T_TTAFStock_Log[Part Name],$A13,T_TTAFStock_Log[WeekIndex],35)=0,"",SUMIFS(T_TTAFStock_Log[TTAF_Qty],T_TTAFStock_Log[Part Name],$A13,T_TTAFStock_Log[WeekIndex],35))</f>
        <v/>
      </c>
      <c r="AK13" s="19">
        <f>IF(COUNTIFS(T_TTAFStock_Log[Part Name],$A13,T_TTAFStock_Log[WeekIndex],36)=0,"",SUMIFS(T_TTAFStock_Log[TTAF_Qty],T_TTAFStock_Log[Part Name],$A13,T_TTAFStock_Log[WeekIndex],36))</f>
        <v/>
      </c>
      <c r="AL13" s="19">
        <f>IF(COUNTIFS(T_TTAFStock_Log[Part Name],$A13,T_TTAFStock_Log[WeekIndex],37)=0,"",SUMIFS(T_TTAFStock_Log[TTAF_Qty],T_TTAFStock_Log[Part Name],$A13,T_TTAFStock_Log[WeekIndex],37))</f>
        <v/>
      </c>
      <c r="AM13" s="19">
        <f>IF(COUNTIFS(T_TTAFStock_Log[Part Name],$A13,T_TTAFStock_Log[WeekIndex],38)=0,"",SUMIFS(T_TTAFStock_Log[TTAF_Qty],T_TTAFStock_Log[Part Name],$A13,T_TTAFStock_Log[WeekIndex],38))</f>
        <v/>
      </c>
      <c r="AN13" s="19">
        <f>IF(COUNTIFS(T_TTAFStock_Log[Part Name],$A13,T_TTAFStock_Log[WeekIndex],39)=0,"",SUMIFS(T_TTAFStock_Log[TTAF_Qty],T_TTAFStock_Log[Part Name],$A13,T_TTAFStock_Log[WeekIndex],39))</f>
        <v/>
      </c>
      <c r="AO13" s="19">
        <f>IF(COUNTIFS(T_TTAFStock_Log[Part Name],$A13,T_TTAFStock_Log[WeekIndex],40)=0,"",SUMIFS(T_TTAFStock_Log[TTAF_Qty],T_TTAFStock_Log[Part Name],$A13,T_TTAFStock_Log[WeekIndex],40))</f>
        <v/>
      </c>
      <c r="AP13" s="19">
        <f>IF(COUNTIFS(T_TTAFStock_Log[Part Name],$A13,T_TTAFStock_Log[WeekIndex],41)=0,"",SUMIFS(T_TTAFStock_Log[TTAF_Qty],T_TTAFStock_Log[Part Name],$A13,T_TTAFStock_Log[WeekIndex],41))</f>
        <v/>
      </c>
      <c r="AQ13" s="19">
        <f>IF(COUNTIFS(T_TTAFStock_Log[Part Name],$A13,T_TTAFStock_Log[WeekIndex],42)=0,"",SUMIFS(T_TTAFStock_Log[TTAF_Qty],T_TTAFStock_Log[Part Name],$A13,T_TTAFStock_Log[WeekIndex],42))</f>
        <v/>
      </c>
      <c r="AR13" s="19">
        <f>IF(COUNTIFS(T_TTAFStock_Log[Part Name],$A13,T_TTAFStock_Log[WeekIndex],43)=0,"",SUMIFS(T_TTAFStock_Log[TTAF_Qty],T_TTAFStock_Log[Part Name],$A13,T_TTAFStock_Log[WeekIndex],43))</f>
        <v/>
      </c>
      <c r="AS13" s="19">
        <f>IF(COUNTIFS(T_TTAFStock_Log[Part Name],$A13,T_TTAFStock_Log[WeekIndex],44)=0,"",SUMIFS(T_TTAFStock_Log[TTAF_Qty],T_TTAFStock_Log[Part Name],$A13,T_TTAFStock_Log[WeekIndex],44))</f>
        <v/>
      </c>
      <c r="AT13" s="19">
        <f>IF(COUNTIFS(T_TTAFStock_Log[Part Name],$A13,T_TTAFStock_Log[WeekIndex],45)=0,"",SUMIFS(T_TTAFStock_Log[TTAF_Qty],T_TTAFStock_Log[Part Name],$A13,T_TTAFStock_Log[WeekIndex],45))</f>
        <v/>
      </c>
      <c r="AU13" s="19">
        <f>IF(COUNTIFS(T_TTAFStock_Log[Part Name],$A13,T_TTAFStock_Log[WeekIndex],46)=0,"",SUMIFS(T_TTAFStock_Log[TTAF_Qty],T_TTAFStock_Log[Part Name],$A13,T_TTAFStock_Log[WeekIndex],46))</f>
        <v/>
      </c>
      <c r="AV13" s="19">
        <f>IF(COUNTIFS(T_TTAFStock_Log[Part Name],$A13,T_TTAFStock_Log[WeekIndex],47)=0,"",SUMIFS(T_TTAFStock_Log[TTAF_Qty],T_TTAFStock_Log[Part Name],$A13,T_TTAFStock_Log[WeekIndex],47))</f>
        <v/>
      </c>
      <c r="AW13" s="19">
        <f>IF(COUNTIFS(T_TTAFStock_Log[Part Name],$A13,T_TTAFStock_Log[WeekIndex],48)=0,"",SUMIFS(T_TTAFStock_Log[TTAF_Qty],T_TTAFStock_Log[Part Name],$A13,T_TTAFStock_Log[WeekIndex],48))</f>
        <v/>
      </c>
      <c r="AX13" s="19">
        <f>IF(COUNTIFS(T_TTAFStock_Log[Part Name],$A13,T_TTAFStock_Log[WeekIndex],49)=0,"",SUMIFS(T_TTAFStock_Log[TTAF_Qty],T_TTAFStock_Log[Part Name],$A13,T_TTAFStock_Log[WeekIndex],49))</f>
        <v/>
      </c>
      <c r="AY13" s="19">
        <f>IF(COUNTIFS(T_TTAFStock_Log[Part Name],$A13,T_TTAFStock_Log[WeekIndex],50)=0,"",SUMIFS(T_TTAFStock_Log[TTAF_Qty],T_TTAFStock_Log[Part Name],$A13,T_TTAFStock_Log[WeekIndex],50))</f>
        <v/>
      </c>
      <c r="AZ13" s="19">
        <f>IF(COUNTIFS(T_TTAFStock_Log[Part Name],$A13,T_TTAFStock_Log[WeekIndex],51)=0,"",SUMIFS(T_TTAFStock_Log[TTAF_Qty],T_TTAFStock_Log[Part Name],$A13,T_TTAFStock_Log[WeekIndex],51))</f>
        <v/>
      </c>
      <c r="BA13" s="19">
        <f>IF(COUNTIFS(T_TTAFStock_Log[Part Name],$A13,T_TTAFStock_Log[WeekIndex],52)=0,"",SUMIFS(T_TTAFStock_Log[TTAF_Qty],T_TTAFStock_Log[Part Name],$A13,T_TTAFStock_Log[WeekIndex],52))</f>
        <v/>
      </c>
      <c r="BB13" s="19">
        <f>IF(COUNTIFS(T_TTAFStock_Log[Part Name],$A13,T_TTAFStock_Log[WeekIndex],53)=0,"",SUMIFS(T_TTAFStock_Log[TTAF_Qty],T_TTAFStock_Log[Part Name],$A13,T_TTAFStock_Log[WeekIndex],53))</f>
        <v/>
      </c>
      <c r="BC13" s="19">
        <f>IF(COUNTIFS(T_TTAFStock_Log[Part Name],$A13,T_TTAFStock_Log[WeekIndex],54)=0,"",SUMIFS(T_TTAFStock_Log[TTAF_Qty],T_TTAFStock_Log[Part Name],$A13,T_TTAFStock_Log[WeekIndex],54))</f>
        <v/>
      </c>
      <c r="BD13" s="19">
        <f>IF(COUNTIFS(T_TTAFStock_Log[Part Name],$A13,T_TTAFStock_Log[WeekIndex],55)=0,"",SUMIFS(T_TTAFStock_Log[TTAF_Qty],T_TTAFStock_Log[Part Name],$A13,T_TTAFStock_Log[WeekIndex],55))</f>
        <v/>
      </c>
      <c r="BE13" s="19">
        <f>IF(COUNTIFS(T_TTAFStock_Log[Part Name],$A13,T_TTAFStock_Log[WeekIndex],56)=0,"",SUMIFS(T_TTAFStock_Log[TTAF_Qty],T_TTAFStock_Log[Part Name],$A13,T_TTAFStock_Log[WeekIndex],56))</f>
        <v/>
      </c>
      <c r="BF13" s="19">
        <f>IF(COUNTIFS(T_TTAFStock_Log[Part Name],$A13,T_TTAFStock_Log[WeekIndex],57)=0,"",SUMIFS(T_TTAFStock_Log[TTAF_Qty],T_TTAFStock_Log[Part Name],$A13,T_TTAFStock_Log[WeekIndex],57))</f>
        <v/>
      </c>
      <c r="BG13" s="19">
        <f>IF(COUNTIFS(T_TTAFStock_Log[Part Name],$A13,T_TTAFStock_Log[WeekIndex],58)=0,"",SUMIFS(T_TTAFStock_Log[TTAF_Qty],T_TTAFStock_Log[Part Name],$A13,T_TTAFStock_Log[WeekIndex],58))</f>
        <v/>
      </c>
      <c r="BH13" s="19">
        <f>IF(COUNTIFS(T_TTAFStock_Log[Part Name],$A13,T_TTAFStock_Log[WeekIndex],59)=0,"",SUMIFS(T_TTAFStock_Log[TTAF_Qty],T_TTAFStock_Log[Part Name],$A13,T_TTAFStock_Log[WeekIndex],59))</f>
        <v/>
      </c>
      <c r="BI13" s="19">
        <f>IF(COUNTIFS(T_TTAFStock_Log[Part Name],$A13,T_TTAFStock_Log[WeekIndex],60)=0,"",SUMIFS(T_TTAFStock_Log[TTAF_Qty],T_TTAFStock_Log[Part Name],$A13,T_TTAFStock_Log[WeekIndex],60))</f>
        <v/>
      </c>
      <c r="BJ13" s="19">
        <f>IF(COUNTIFS(T_TTAFStock_Log[Part Name],$A13,T_TTAFStock_Log[WeekIndex],61)=0,"",SUMIFS(T_TTAFStock_Log[TTAF_Qty],T_TTAFStock_Log[Part Name],$A13,T_TTAFStock_Log[WeekIndex],61))</f>
        <v/>
      </c>
      <c r="BK13" s="19">
        <f>IF(COUNTIFS(T_TTAFStock_Log[Part Name],$A13,T_TTAFStock_Log[WeekIndex],62)=0,"",SUMIFS(T_TTAFStock_Log[TTAF_Qty],T_TTAFStock_Log[Part Name],$A13,T_TTAFStock_Log[WeekIndex],62))</f>
        <v/>
      </c>
      <c r="BL13" s="19">
        <f>IF(COUNTIFS(T_TTAFStock_Log[Part Name],$A13,T_TTAFStock_Log[WeekIndex],63)=0,"",SUMIFS(T_TTAFStock_Log[TTAF_Qty],T_TTAFStock_Log[Part Name],$A13,T_TTAFStock_Log[WeekIndex],63))</f>
        <v/>
      </c>
      <c r="BM13" s="19">
        <f>IF(COUNTIFS(T_TTAFStock_Log[Part Name],$A13,T_TTAFStock_Log[WeekIndex],64)=0,"",SUMIFS(T_TTAFStock_Log[TTAF_Qty],T_TTAFStock_Log[Part Name],$A13,T_TTAFStock_Log[WeekIndex],64))</f>
        <v/>
      </c>
      <c r="BN13" s="19">
        <f>IF(COUNTIFS(T_TTAFStock_Log[Part Name],$A13,T_TTAFStock_Log[WeekIndex],65)=0,"",SUMIFS(T_TTAFStock_Log[TTAF_Qty],T_TTAFStock_Log[Part Name],$A13,T_TTAFStock_Log[WeekIndex],65))</f>
        <v/>
      </c>
      <c r="BO13" s="19">
        <f>IF(COUNTIFS(T_TTAFStock_Log[Part Name],$A13,T_TTAFStock_Log[WeekIndex],66)=0,"",SUMIFS(T_TTAFStock_Log[TTAF_Qty],T_TTAFStock_Log[Part Name],$A13,T_TTAFStock_Log[WeekIndex],66))</f>
        <v/>
      </c>
      <c r="BP13" s="19">
        <f>IF(COUNTIFS(T_TTAFStock_Log[Part Name],$A13,T_TTAFStock_Log[WeekIndex],67)=0,"",SUMIFS(T_TTAFStock_Log[TTAF_Qty],T_TTAFStock_Log[Part Name],$A13,T_TTAFStock_Log[WeekIndex],67))</f>
        <v/>
      </c>
      <c r="BQ13" s="19">
        <f>IF(COUNTIFS(T_TTAFStock_Log[Part Name],$A13,T_TTAFStock_Log[WeekIndex],68)=0,"",SUMIFS(T_TTAFStock_Log[TTAF_Qty],T_TTAFStock_Log[Part Name],$A13,T_TTAFStock_Log[WeekIndex],68))</f>
        <v/>
      </c>
      <c r="BR13" s="19">
        <f>IF(COUNTIFS(T_TTAFStock_Log[Part Name],$A13,T_TTAFStock_Log[WeekIndex],69)=0,"",SUMIFS(T_TTAFStock_Log[TTAF_Qty],T_TTAFStock_Log[Part Name],$A13,T_TTAFStock_Log[WeekIndex],69))</f>
        <v/>
      </c>
      <c r="BS13" s="19">
        <f>IF(COUNTIFS(T_TTAFStock_Log[Part Name],$A13,T_TTAFStock_Log[WeekIndex],70)=0,"",SUMIFS(T_TTAFStock_Log[TTAF_Qty],T_TTAFStock_Log[Part Name],$A13,T_TTAFStock_Log[WeekIndex],70))</f>
        <v/>
      </c>
      <c r="BT13" s="19">
        <f>IF(COUNTIFS(T_TTAFStock_Log[Part Name],$A13,T_TTAFStock_Log[WeekIndex],71)=0,"",SUMIFS(T_TTAFStock_Log[TTAF_Qty],T_TTAFStock_Log[Part Name],$A13,T_TTAFStock_Log[WeekIndex],71))</f>
        <v/>
      </c>
      <c r="BU13" s="19">
        <f>IF(COUNTIFS(T_TTAFStock_Log[Part Name],$A13,T_TTAFStock_Log[WeekIndex],72)=0,"",SUMIFS(T_TTAFStock_Log[TTAF_Qty],T_TTAFStock_Log[Part Name],$A13,T_TTAFStock_Log[WeekIndex],72))</f>
        <v/>
      </c>
      <c r="BV13" s="19">
        <f>IF(COUNTIFS(T_TTAFStock_Log[Part Name],$A13,T_TTAFStock_Log[WeekIndex],73)=0,"",SUMIFS(T_TTAFStock_Log[TTAF_Qty],T_TTAFStock_Log[Part Name],$A13,T_TTAFStock_Log[WeekIndex],73))</f>
        <v/>
      </c>
      <c r="BW13" s="19">
        <f>IF(COUNTIFS(T_TTAFStock_Log[Part Name],$A13,T_TTAFStock_Log[WeekIndex],74)=0,"",SUMIFS(T_TTAFStock_Log[TTAF_Qty],T_TTAFStock_Log[Part Name],$A13,T_TTAFStock_Log[WeekIndex],74))</f>
        <v/>
      </c>
      <c r="BX13" s="19">
        <f>IF(COUNTIFS(T_TTAFStock_Log[Part Name],$A13,T_TTAFStock_Log[WeekIndex],75)=0,"",SUMIFS(T_TTAFStock_Log[TTAF_Qty],T_TTAFStock_Log[Part Name],$A13,T_TTAFStock_Log[WeekIndex],75))</f>
        <v/>
      </c>
      <c r="BY13" s="19">
        <f>IF(COUNTIFS(T_TTAFStock_Log[Part Name],$A13,T_TTAFStock_Log[WeekIndex],76)=0,"",SUMIFS(T_TTAFStock_Log[TTAF_Qty],T_TTAFStock_Log[Part Name],$A13,T_TTAFStock_Log[WeekIndex],76))</f>
        <v/>
      </c>
      <c r="BZ13" s="19">
        <f>IF(COUNTIFS(T_TTAFStock_Log[Part Name],$A13,T_TTAFStock_Log[WeekIndex],77)=0,"",SUMIFS(T_TTAFStock_Log[TTAF_Qty],T_TTAFStock_Log[Part Name],$A13,T_TTAFStock_Log[WeekIndex],77))</f>
        <v/>
      </c>
      <c r="CA13" s="19">
        <f>IF(COUNTIFS(T_TTAFStock_Log[Part Name],$A13,T_TTAFStock_Log[WeekIndex],78)=0,"",SUMIFS(T_TTAFStock_Log[TTAF_Qty],T_TTAFStock_Log[Part Name],$A13,T_TTAFStock_Log[WeekIndex],78))</f>
        <v/>
      </c>
      <c r="CB13" s="19">
        <f>IF(COUNTIFS(T_TTAFStock_Log[Part Name],$A13,T_TTAFStock_Log[WeekIndex],79)=0,"",SUMIFS(T_TTAFStock_Log[TTAF_Qty],T_TTAFStock_Log[Part Name],$A13,T_TTAFStock_Log[WeekIndex],79))</f>
        <v/>
      </c>
      <c r="CC13" s="19">
        <f>IF(COUNTIFS(T_TTAFStock_Log[Part Name],$A13,T_TTAFStock_Log[WeekIndex],80)=0,"",SUMIFS(T_TTAFStock_Log[TTAF_Qty],T_TTAFStock_Log[Part Name],$A13,T_TTAFStock_Log[WeekIndex],80))</f>
        <v/>
      </c>
      <c r="CD13" s="19">
        <f>IF(COUNTIFS(T_TTAFStock_Log[Part Name],$A13,T_TTAFStock_Log[WeekIndex],81)=0,"",SUMIFS(T_TTAFStock_Log[TTAF_Qty],T_TTAFStock_Log[Part Name],$A13,T_TTAFStock_Log[WeekIndex],81))</f>
        <v/>
      </c>
      <c r="CE13" s="19">
        <f>IF(COUNTIFS(T_TTAFStock_Log[Part Name],$A13,T_TTAFStock_Log[WeekIndex],82)=0,"",SUMIFS(T_TTAFStock_Log[TTAF_Qty],T_TTAFStock_Log[Part Name],$A13,T_TTAFStock_Log[WeekIndex],82))</f>
        <v/>
      </c>
      <c r="CF13" s="19">
        <f>IF(COUNTIFS(T_TTAFStock_Log[Part Name],$A13,T_TTAFStock_Log[WeekIndex],83)=0,"",SUMIFS(T_TTAFStock_Log[TTAF_Qty],T_TTAFStock_Log[Part Name],$A13,T_TTAFStock_Log[WeekIndex],83))</f>
        <v/>
      </c>
      <c r="CG13" s="19">
        <f>IF(COUNTIFS(T_TTAFStock_Log[Part Name],$A13,T_TTAFStock_Log[WeekIndex],84)=0,"",SUMIFS(T_TTAFStock_Log[TTAF_Qty],T_TTAFStock_Log[Part Name],$A13,T_TTAFStock_Log[WeekIndex],84))</f>
        <v/>
      </c>
      <c r="CH13" s="19">
        <f>IF(COUNTIFS(T_TTAFStock_Log[Part Name],$A13,T_TTAFStock_Log[WeekIndex],85)=0,"",SUMIFS(T_TTAFStock_Log[TTAF_Qty],T_TTAFStock_Log[Part Name],$A13,T_TTAFStock_Log[WeekIndex],85))</f>
        <v/>
      </c>
      <c r="CI13" s="19">
        <f>IF(COUNTIFS(T_TTAFStock_Log[Part Name],$A13,T_TTAFStock_Log[WeekIndex],86)=0,"",SUMIFS(T_TTAFStock_Log[TTAF_Qty],T_TTAFStock_Log[Part Name],$A13,T_TTAFStock_Log[WeekIndex],86))</f>
        <v/>
      </c>
      <c r="CJ13" s="19">
        <f>IF(COUNTIFS(T_TTAFStock_Log[Part Name],$A13,T_TTAFStock_Log[WeekIndex],87)=0,"",SUMIFS(T_TTAFStock_Log[TTAF_Qty],T_TTAFStock_Log[Part Name],$A13,T_TTAFStock_Log[WeekIndex],87))</f>
        <v/>
      </c>
      <c r="CK13" s="19">
        <f>IF(COUNTIFS(T_TTAFStock_Log[Part Name],$A13,T_TTAFStock_Log[WeekIndex],88)=0,"",SUMIFS(T_TTAFStock_Log[TTAF_Qty],T_TTAFStock_Log[Part Name],$A13,T_TTAFStock_Log[WeekIndex],88))</f>
        <v/>
      </c>
      <c r="CL13" s="19">
        <f>IF(COUNTIFS(T_TTAFStock_Log[Part Name],$A13,T_TTAFStock_Log[WeekIndex],89)=0,"",SUMIFS(T_TTAFStock_Log[TTAF_Qty],T_TTAFStock_Log[Part Name],$A13,T_TTAFStock_Log[WeekIndex],89))</f>
        <v/>
      </c>
      <c r="CM13" s="19">
        <f>IF(COUNTIFS(T_TTAFStock_Log[Part Name],$A13,T_TTAFStock_Log[WeekIndex],90)=0,"",SUMIFS(T_TTAFStock_Log[TTAF_Qty],T_TTAFStock_Log[Part Name],$A13,T_TTAFStock_Log[WeekIndex],90))</f>
        <v/>
      </c>
      <c r="CN13" s="19">
        <f>IF(COUNTIFS(T_TTAFStock_Log[Part Name],$A13,T_TTAFStock_Log[WeekIndex],91)=0,"",SUMIFS(T_TTAFStock_Log[TTAF_Qty],T_TTAFStock_Log[Part Name],$A13,T_TTAFStock_Log[WeekIndex],91))</f>
        <v/>
      </c>
      <c r="CO13" s="19">
        <f>IF(COUNTIFS(T_TTAFStock_Log[Part Name],$A13,T_TTAFStock_Log[WeekIndex],92)=0,"",SUMIFS(T_TTAFStock_Log[TTAF_Qty],T_TTAFStock_Log[Part Name],$A13,T_TTAFStock_Log[WeekIndex],92))</f>
        <v/>
      </c>
      <c r="CP13" s="19">
        <f>IF(COUNTIFS(T_TTAFStock_Log[Part Name],$A13,T_TTAFStock_Log[WeekIndex],93)=0,"",SUMIFS(T_TTAFStock_Log[TTAF_Qty],T_TTAFStock_Log[Part Name],$A13,T_TTAFStock_Log[WeekIndex],93))</f>
        <v/>
      </c>
      <c r="CQ13" s="19">
        <f>IF(COUNTIFS(T_TTAFStock_Log[Part Name],$A13,T_TTAFStock_Log[WeekIndex],94)=0,"",SUMIFS(T_TTAFStock_Log[TTAF_Qty],T_TTAFStock_Log[Part Name],$A13,T_TTAFStock_Log[WeekIndex],94))</f>
        <v/>
      </c>
      <c r="CR13" s="19">
        <f>IF(COUNTIFS(T_TTAFStock_Log[Part Name],$A13,T_TTAFStock_Log[WeekIndex],95)=0,"",SUMIFS(T_TTAFStock_Log[TTAF_Qty],T_TTAFStock_Log[Part Name],$A13,T_TTAFStock_Log[WeekIndex],95))</f>
        <v/>
      </c>
      <c r="CS13" s="19">
        <f>IF(COUNTIFS(T_TTAFStock_Log[Part Name],$A13,T_TTAFStock_Log[WeekIndex],96)=0,"",SUMIFS(T_TTAFStock_Log[TTAF_Qty],T_TTAFStock_Log[Part Name],$A13,T_TTAFStock_Log[WeekIndex],96))</f>
        <v/>
      </c>
      <c r="CT13" s="19">
        <f>IF(COUNTIFS(T_TTAFStock_Log[Part Name],$A13,T_TTAFStock_Log[WeekIndex],97)=0,"",SUMIFS(T_TTAFStock_Log[TTAF_Qty],T_TTAFStock_Log[Part Name],$A13,T_TTAFStock_Log[WeekIndex],97))</f>
        <v/>
      </c>
      <c r="CU13" s="19">
        <f>IF(COUNTIFS(T_TTAFStock_Log[Part Name],$A13,T_TTAFStock_Log[WeekIndex],98)=0,"",SUMIFS(T_TTAFStock_Log[TTAF_Qty],T_TTAFStock_Log[Part Name],$A13,T_TTAFStock_Log[WeekIndex],98))</f>
        <v/>
      </c>
      <c r="CV13" s="19">
        <f>IF(COUNTIFS(T_TTAFStock_Log[Part Name],$A13,T_TTAFStock_Log[WeekIndex],99)=0,"",SUMIFS(T_TTAFStock_Log[TTAF_Qty],T_TTAFStock_Log[Part Name],$A13,T_TTAFStock_Log[WeekIndex],99))</f>
        <v/>
      </c>
      <c r="CW13" s="19">
        <f>IF(COUNTIFS(T_TTAFStock_Log[Part Name],$A13,T_TTAFStock_Log[WeekIndex],100)=0,"",SUMIFS(T_TTAFStock_Log[TTAF_Qty],T_TTAFStock_Log[Part Name],$A13,T_TTAFStock_Log[WeekIndex],100))</f>
        <v/>
      </c>
      <c r="CX13" s="19">
        <f>IF(COUNTIFS(T_TTAFStock_Log[Part Name],$A13,T_TTAFStock_Log[WeekIndex],101)=0,"",SUMIFS(T_TTAFStock_Log[TTAF_Qty],T_TTAFStock_Log[Part Name],$A13,T_TTAFStock_Log[WeekIndex],101))</f>
        <v/>
      </c>
      <c r="CY13" s="19">
        <f>IF(COUNTIFS(T_TTAFStock_Log[Part Name],$A13,T_TTAFStock_Log[WeekIndex],102)=0,"",SUMIFS(T_TTAFStock_Log[TTAF_Qty],T_TTAFStock_Log[Part Name],$A13,T_TTAFStock_Log[WeekIndex],102))</f>
        <v/>
      </c>
      <c r="CZ13" s="19">
        <f>IF(COUNTIFS(T_TTAFStock_Log[Part Name],$A13,T_TTAFStock_Log[WeekIndex],103)=0,"",SUMIFS(T_TTAFStock_Log[TTAF_Qty],T_TTAFStock_Log[Part Name],$A13,T_TTAFStock_Log[WeekIndex],103))</f>
        <v/>
      </c>
      <c r="DA13" s="19">
        <f>IF(COUNTIFS(T_TTAFStock_Log[Part Name],$A13,T_TTAFStock_Log[WeekIndex],104)=0,"",SUMIFS(T_TTAFStock_Log[TTAF_Qty],T_TTAFStock_Log[Part Name],$A13,T_TTAFStock_Log[WeekIndex],104))</f>
        <v/>
      </c>
    </row>
    <row r="14">
      <c r="A14" s="17" t="inlineStr">
        <is>
          <t>KEJ</t>
        </is>
      </c>
      <c r="B14" s="17">
        <f>IF(COUNTIFS(T_TTAFStock_Log[Part Name],$A14,T_TTAFStock_Log[WeekIndex],1)=0,"",SUMIFS(T_TTAFStock_Log[TTAF_Qty],T_TTAFStock_Log[Part Name],$A14,T_TTAFStock_Log[WeekIndex],1))</f>
        <v/>
      </c>
      <c r="C14" s="17">
        <f>IF(COUNTIFS(T_TTAFStock_Log[Part Name],$A14,T_TTAFStock_Log[WeekIndex],2)=0,"",SUMIFS(T_TTAFStock_Log[TTAF_Qty],T_TTAFStock_Log[Part Name],$A14,T_TTAFStock_Log[WeekIndex],2))</f>
        <v/>
      </c>
      <c r="D14" s="17">
        <f>IF(COUNTIFS(T_TTAFStock_Log[Part Name],$A14,T_TTAFStock_Log[WeekIndex],3)=0,"",SUMIFS(T_TTAFStock_Log[TTAF_Qty],T_TTAFStock_Log[Part Name],$A14,T_TTAFStock_Log[WeekIndex],3))</f>
        <v/>
      </c>
      <c r="E14" s="17">
        <f>IF(COUNTIFS(T_TTAFStock_Log[Part Name],$A14,T_TTAFStock_Log[WeekIndex],4)=0,"",SUMIFS(T_TTAFStock_Log[TTAF_Qty],T_TTAFStock_Log[Part Name],$A14,T_TTAFStock_Log[WeekIndex],4))</f>
        <v/>
      </c>
      <c r="F14" s="17">
        <f>IF(COUNTIFS(T_TTAFStock_Log[Part Name],$A14,T_TTAFStock_Log[WeekIndex],5)=0,"",SUMIFS(T_TTAFStock_Log[TTAF_Qty],T_TTAFStock_Log[Part Name],$A14,T_TTAFStock_Log[WeekIndex],5))</f>
        <v/>
      </c>
      <c r="G14" s="17">
        <f>IF(COUNTIFS(T_TTAFStock_Log[Part Name],$A14,T_TTAFStock_Log[WeekIndex],6)=0,"",SUMIFS(T_TTAFStock_Log[TTAF_Qty],T_TTAFStock_Log[Part Name],$A14,T_TTAFStock_Log[WeekIndex],6))</f>
        <v/>
      </c>
      <c r="H14" s="17">
        <f>IF(COUNTIFS(T_TTAFStock_Log[Part Name],$A14,T_TTAFStock_Log[WeekIndex],7)=0,"",SUMIFS(T_TTAFStock_Log[TTAF_Qty],T_TTAFStock_Log[Part Name],$A14,T_TTAFStock_Log[WeekIndex],7))</f>
        <v/>
      </c>
      <c r="I14" s="17">
        <f>IF(COUNTIFS(T_TTAFStock_Log[Part Name],$A14,T_TTAFStock_Log[WeekIndex],8)=0,"",SUMIFS(T_TTAFStock_Log[TTAF_Qty],T_TTAFStock_Log[Part Name],$A14,T_TTAFStock_Log[WeekIndex],8))</f>
        <v/>
      </c>
      <c r="J14" s="17">
        <f>IF(COUNTIFS(T_TTAFStock_Log[Part Name],$A14,T_TTAFStock_Log[WeekIndex],9)=0,"",SUMIFS(T_TTAFStock_Log[TTAF_Qty],T_TTAFStock_Log[Part Name],$A14,T_TTAFStock_Log[WeekIndex],9))</f>
        <v/>
      </c>
      <c r="K14" s="17">
        <f>IF(COUNTIFS(T_TTAFStock_Log[Part Name],$A14,T_TTAFStock_Log[WeekIndex],10)=0,"",SUMIFS(T_TTAFStock_Log[TTAF_Qty],T_TTAFStock_Log[Part Name],$A14,T_TTAFStock_Log[WeekIndex],10))</f>
        <v/>
      </c>
      <c r="L14" s="17">
        <f>IF(COUNTIFS(T_TTAFStock_Log[Part Name],$A14,T_TTAFStock_Log[WeekIndex],11)=0,"",SUMIFS(T_TTAFStock_Log[TTAF_Qty],T_TTAFStock_Log[Part Name],$A14,T_TTAFStock_Log[WeekIndex],11))</f>
        <v/>
      </c>
      <c r="M14" s="17">
        <f>IF(COUNTIFS(T_TTAFStock_Log[Part Name],$A14,T_TTAFStock_Log[WeekIndex],12)=0,"",SUMIFS(T_TTAFStock_Log[TTAF_Qty],T_TTAFStock_Log[Part Name],$A14,T_TTAFStock_Log[WeekIndex],12))</f>
        <v/>
      </c>
      <c r="N14" s="17">
        <f>IF(COUNTIFS(T_TTAFStock_Log[Part Name],$A14,T_TTAFStock_Log[WeekIndex],13)=0,"",SUMIFS(T_TTAFStock_Log[TTAF_Qty],T_TTAFStock_Log[Part Name],$A14,T_TTAFStock_Log[WeekIndex],13))</f>
        <v/>
      </c>
      <c r="O14" s="17">
        <f>IF(COUNTIFS(T_TTAFStock_Log[Part Name],$A14,T_TTAFStock_Log[WeekIndex],14)=0,"",SUMIFS(T_TTAFStock_Log[TTAF_Qty],T_TTAFStock_Log[Part Name],$A14,T_TTAFStock_Log[WeekIndex],14))</f>
        <v/>
      </c>
      <c r="P14" s="17">
        <f>IF(COUNTIFS(T_TTAFStock_Log[Part Name],$A14,T_TTAFStock_Log[WeekIndex],15)=0,"",SUMIFS(T_TTAFStock_Log[TTAF_Qty],T_TTAFStock_Log[Part Name],$A14,T_TTAFStock_Log[WeekIndex],15))</f>
        <v/>
      </c>
      <c r="Q14" s="17">
        <f>IF(COUNTIFS(T_TTAFStock_Log[Part Name],$A14,T_TTAFStock_Log[WeekIndex],16)=0,"",SUMIFS(T_TTAFStock_Log[TTAF_Qty],T_TTAFStock_Log[Part Name],$A14,T_TTAFStock_Log[WeekIndex],16))</f>
        <v/>
      </c>
      <c r="R14" s="17">
        <f>IF(COUNTIFS(T_TTAFStock_Log[Part Name],$A14,T_TTAFStock_Log[WeekIndex],17)=0,"",SUMIFS(T_TTAFStock_Log[TTAF_Qty],T_TTAFStock_Log[Part Name],$A14,T_TTAFStock_Log[WeekIndex],17))</f>
        <v/>
      </c>
      <c r="S14" s="17">
        <f>IF(COUNTIFS(T_TTAFStock_Log[Part Name],$A14,T_TTAFStock_Log[WeekIndex],18)=0,"",SUMIFS(T_TTAFStock_Log[TTAF_Qty],T_TTAFStock_Log[Part Name],$A14,T_TTAFStock_Log[WeekIndex],18))</f>
        <v/>
      </c>
      <c r="T14" s="17">
        <f>IF(COUNTIFS(T_TTAFStock_Log[Part Name],$A14,T_TTAFStock_Log[WeekIndex],19)=0,"",SUMIFS(T_TTAFStock_Log[TTAF_Qty],T_TTAFStock_Log[Part Name],$A14,T_TTAFStock_Log[WeekIndex],19))</f>
        <v/>
      </c>
      <c r="U14" s="17">
        <f>IF(COUNTIFS(T_TTAFStock_Log[Part Name],$A14,T_TTAFStock_Log[WeekIndex],20)=0,"",SUMIFS(T_TTAFStock_Log[TTAF_Qty],T_TTAFStock_Log[Part Name],$A14,T_TTAFStock_Log[WeekIndex],20))</f>
        <v/>
      </c>
      <c r="V14" s="17">
        <f>IF(COUNTIFS(T_TTAFStock_Log[Part Name],$A14,T_TTAFStock_Log[WeekIndex],21)=0,"",SUMIFS(T_TTAFStock_Log[TTAF_Qty],T_TTAFStock_Log[Part Name],$A14,T_TTAFStock_Log[WeekIndex],21))</f>
        <v/>
      </c>
      <c r="W14" s="17">
        <f>IF(COUNTIFS(T_TTAFStock_Log[Part Name],$A14,T_TTAFStock_Log[WeekIndex],22)=0,"",SUMIFS(T_TTAFStock_Log[TTAF_Qty],T_TTAFStock_Log[Part Name],$A14,T_TTAFStock_Log[WeekIndex],22))</f>
        <v/>
      </c>
      <c r="X14" s="17">
        <f>IF(COUNTIFS(T_TTAFStock_Log[Part Name],$A14,T_TTAFStock_Log[WeekIndex],23)=0,"",SUMIFS(T_TTAFStock_Log[TTAF_Qty],T_TTAFStock_Log[Part Name],$A14,T_TTAFStock_Log[WeekIndex],23))</f>
        <v/>
      </c>
      <c r="Y14" s="17">
        <f>IF(COUNTIFS(T_TTAFStock_Log[Part Name],$A14,T_TTAFStock_Log[WeekIndex],24)=0,"",SUMIFS(T_TTAFStock_Log[TTAF_Qty],T_TTAFStock_Log[Part Name],$A14,T_TTAFStock_Log[WeekIndex],24))</f>
        <v/>
      </c>
      <c r="Z14" s="17">
        <f>IF(COUNTIFS(T_TTAFStock_Log[Part Name],$A14,T_TTAFStock_Log[WeekIndex],25)=0,"",SUMIFS(T_TTAFStock_Log[TTAF_Qty],T_TTAFStock_Log[Part Name],$A14,T_TTAFStock_Log[WeekIndex],25))</f>
        <v/>
      </c>
      <c r="AA14" s="17">
        <f>IF(COUNTIFS(T_TTAFStock_Log[Part Name],$A14,T_TTAFStock_Log[WeekIndex],26)=0,"",SUMIFS(T_TTAFStock_Log[TTAF_Qty],T_TTAFStock_Log[Part Name],$A14,T_TTAFStock_Log[WeekIndex],26))</f>
        <v/>
      </c>
      <c r="AB14" s="17">
        <f>IF(COUNTIFS(T_TTAFStock_Log[Part Name],$A14,T_TTAFStock_Log[WeekIndex],27)=0,"",SUMIFS(T_TTAFStock_Log[TTAF_Qty],T_TTAFStock_Log[Part Name],$A14,T_TTAFStock_Log[WeekIndex],27))</f>
        <v/>
      </c>
      <c r="AC14" s="17">
        <f>IF(COUNTIFS(T_TTAFStock_Log[Part Name],$A14,T_TTAFStock_Log[WeekIndex],28)=0,"",SUMIFS(T_TTAFStock_Log[TTAF_Qty],T_TTAFStock_Log[Part Name],$A14,T_TTAFStock_Log[WeekIndex],28))</f>
        <v/>
      </c>
      <c r="AD14" s="17">
        <f>IF(COUNTIFS(T_TTAFStock_Log[Part Name],$A14,T_TTAFStock_Log[WeekIndex],29)=0,"",SUMIFS(T_TTAFStock_Log[TTAF_Qty],T_TTAFStock_Log[Part Name],$A14,T_TTAFStock_Log[WeekIndex],29))</f>
        <v/>
      </c>
      <c r="AE14" s="17">
        <f>IF(COUNTIFS(T_TTAFStock_Log[Part Name],$A14,T_TTAFStock_Log[WeekIndex],30)=0,"",SUMIFS(T_TTAFStock_Log[TTAF_Qty],T_TTAFStock_Log[Part Name],$A14,T_TTAFStock_Log[WeekIndex],30))</f>
        <v/>
      </c>
      <c r="AF14" s="17">
        <f>IF(COUNTIFS(T_TTAFStock_Log[Part Name],$A14,T_TTAFStock_Log[WeekIndex],31)=0,"",SUMIFS(T_TTAFStock_Log[TTAF_Qty],T_TTAFStock_Log[Part Name],$A14,T_TTAFStock_Log[WeekIndex],31))</f>
        <v/>
      </c>
      <c r="AG14" s="17">
        <f>IF(COUNTIFS(T_TTAFStock_Log[Part Name],$A14,T_TTAFStock_Log[WeekIndex],32)=0,"",SUMIFS(T_TTAFStock_Log[TTAF_Qty],T_TTAFStock_Log[Part Name],$A14,T_TTAFStock_Log[WeekIndex],32))</f>
        <v/>
      </c>
      <c r="AH14" s="17">
        <f>IF(COUNTIFS(T_TTAFStock_Log[Part Name],$A14,T_TTAFStock_Log[WeekIndex],33)=0,"",SUMIFS(T_TTAFStock_Log[TTAF_Qty],T_TTAFStock_Log[Part Name],$A14,T_TTAFStock_Log[WeekIndex],33))</f>
        <v/>
      </c>
      <c r="AI14" s="17">
        <f>IF(COUNTIFS(T_TTAFStock_Log[Part Name],$A14,T_TTAFStock_Log[WeekIndex],34)=0,"",SUMIFS(T_TTAFStock_Log[TTAF_Qty],T_TTAFStock_Log[Part Name],$A14,T_TTAFStock_Log[WeekIndex],34))</f>
        <v/>
      </c>
      <c r="AJ14" s="17">
        <f>IF(COUNTIFS(T_TTAFStock_Log[Part Name],$A14,T_TTAFStock_Log[WeekIndex],35)=0,"",SUMIFS(T_TTAFStock_Log[TTAF_Qty],T_TTAFStock_Log[Part Name],$A14,T_TTAFStock_Log[WeekIndex],35))</f>
        <v/>
      </c>
      <c r="AK14" s="17">
        <f>IF(COUNTIFS(T_TTAFStock_Log[Part Name],$A14,T_TTAFStock_Log[WeekIndex],36)=0,"",SUMIFS(T_TTAFStock_Log[TTAF_Qty],T_TTAFStock_Log[Part Name],$A14,T_TTAFStock_Log[WeekIndex],36))</f>
        <v/>
      </c>
      <c r="AL14" s="17">
        <f>IF(COUNTIFS(T_TTAFStock_Log[Part Name],$A14,T_TTAFStock_Log[WeekIndex],37)=0,"",SUMIFS(T_TTAFStock_Log[TTAF_Qty],T_TTAFStock_Log[Part Name],$A14,T_TTAFStock_Log[WeekIndex],37))</f>
        <v/>
      </c>
      <c r="AM14" s="17">
        <f>IF(COUNTIFS(T_TTAFStock_Log[Part Name],$A14,T_TTAFStock_Log[WeekIndex],38)=0,"",SUMIFS(T_TTAFStock_Log[TTAF_Qty],T_TTAFStock_Log[Part Name],$A14,T_TTAFStock_Log[WeekIndex],38))</f>
        <v/>
      </c>
      <c r="AN14" s="17">
        <f>IF(COUNTIFS(T_TTAFStock_Log[Part Name],$A14,T_TTAFStock_Log[WeekIndex],39)=0,"",SUMIFS(T_TTAFStock_Log[TTAF_Qty],T_TTAFStock_Log[Part Name],$A14,T_TTAFStock_Log[WeekIndex],39))</f>
        <v/>
      </c>
      <c r="AO14" s="17">
        <f>IF(COUNTIFS(T_TTAFStock_Log[Part Name],$A14,T_TTAFStock_Log[WeekIndex],40)=0,"",SUMIFS(T_TTAFStock_Log[TTAF_Qty],T_TTAFStock_Log[Part Name],$A14,T_TTAFStock_Log[WeekIndex],40))</f>
        <v/>
      </c>
      <c r="AP14" s="17">
        <f>IF(COUNTIFS(T_TTAFStock_Log[Part Name],$A14,T_TTAFStock_Log[WeekIndex],41)=0,"",SUMIFS(T_TTAFStock_Log[TTAF_Qty],T_TTAFStock_Log[Part Name],$A14,T_TTAFStock_Log[WeekIndex],41))</f>
        <v/>
      </c>
      <c r="AQ14" s="17">
        <f>IF(COUNTIFS(T_TTAFStock_Log[Part Name],$A14,T_TTAFStock_Log[WeekIndex],42)=0,"",SUMIFS(T_TTAFStock_Log[TTAF_Qty],T_TTAFStock_Log[Part Name],$A14,T_TTAFStock_Log[WeekIndex],42))</f>
        <v/>
      </c>
      <c r="AR14" s="17">
        <f>IF(COUNTIFS(T_TTAFStock_Log[Part Name],$A14,T_TTAFStock_Log[WeekIndex],43)=0,"",SUMIFS(T_TTAFStock_Log[TTAF_Qty],T_TTAFStock_Log[Part Name],$A14,T_TTAFStock_Log[WeekIndex],43))</f>
        <v/>
      </c>
      <c r="AS14" s="17">
        <f>IF(COUNTIFS(T_TTAFStock_Log[Part Name],$A14,T_TTAFStock_Log[WeekIndex],44)=0,"",SUMIFS(T_TTAFStock_Log[TTAF_Qty],T_TTAFStock_Log[Part Name],$A14,T_TTAFStock_Log[WeekIndex],44))</f>
        <v/>
      </c>
      <c r="AT14" s="17">
        <f>IF(COUNTIFS(T_TTAFStock_Log[Part Name],$A14,T_TTAFStock_Log[WeekIndex],45)=0,"",SUMIFS(T_TTAFStock_Log[TTAF_Qty],T_TTAFStock_Log[Part Name],$A14,T_TTAFStock_Log[WeekIndex],45))</f>
        <v/>
      </c>
      <c r="AU14" s="17">
        <f>IF(COUNTIFS(T_TTAFStock_Log[Part Name],$A14,T_TTAFStock_Log[WeekIndex],46)=0,"",SUMIFS(T_TTAFStock_Log[TTAF_Qty],T_TTAFStock_Log[Part Name],$A14,T_TTAFStock_Log[WeekIndex],46))</f>
        <v/>
      </c>
      <c r="AV14" s="17">
        <f>IF(COUNTIFS(T_TTAFStock_Log[Part Name],$A14,T_TTAFStock_Log[WeekIndex],47)=0,"",SUMIFS(T_TTAFStock_Log[TTAF_Qty],T_TTAFStock_Log[Part Name],$A14,T_TTAFStock_Log[WeekIndex],47))</f>
        <v/>
      </c>
      <c r="AW14" s="17">
        <f>IF(COUNTIFS(T_TTAFStock_Log[Part Name],$A14,T_TTAFStock_Log[WeekIndex],48)=0,"",SUMIFS(T_TTAFStock_Log[TTAF_Qty],T_TTAFStock_Log[Part Name],$A14,T_TTAFStock_Log[WeekIndex],48))</f>
        <v/>
      </c>
      <c r="AX14" s="17">
        <f>IF(COUNTIFS(T_TTAFStock_Log[Part Name],$A14,T_TTAFStock_Log[WeekIndex],49)=0,"",SUMIFS(T_TTAFStock_Log[TTAF_Qty],T_TTAFStock_Log[Part Name],$A14,T_TTAFStock_Log[WeekIndex],49))</f>
        <v/>
      </c>
      <c r="AY14" s="17">
        <f>IF(COUNTIFS(T_TTAFStock_Log[Part Name],$A14,T_TTAFStock_Log[WeekIndex],50)=0,"",SUMIFS(T_TTAFStock_Log[TTAF_Qty],T_TTAFStock_Log[Part Name],$A14,T_TTAFStock_Log[WeekIndex],50))</f>
        <v/>
      </c>
      <c r="AZ14" s="17">
        <f>IF(COUNTIFS(T_TTAFStock_Log[Part Name],$A14,T_TTAFStock_Log[WeekIndex],51)=0,"",SUMIFS(T_TTAFStock_Log[TTAF_Qty],T_TTAFStock_Log[Part Name],$A14,T_TTAFStock_Log[WeekIndex],51))</f>
        <v/>
      </c>
      <c r="BA14" s="17">
        <f>IF(COUNTIFS(T_TTAFStock_Log[Part Name],$A14,T_TTAFStock_Log[WeekIndex],52)=0,"",SUMIFS(T_TTAFStock_Log[TTAF_Qty],T_TTAFStock_Log[Part Name],$A14,T_TTAFStock_Log[WeekIndex],52))</f>
        <v/>
      </c>
      <c r="BB14" s="17">
        <f>IF(COUNTIFS(T_TTAFStock_Log[Part Name],$A14,T_TTAFStock_Log[WeekIndex],53)=0,"",SUMIFS(T_TTAFStock_Log[TTAF_Qty],T_TTAFStock_Log[Part Name],$A14,T_TTAFStock_Log[WeekIndex],53))</f>
        <v/>
      </c>
      <c r="BC14" s="17">
        <f>IF(COUNTIFS(T_TTAFStock_Log[Part Name],$A14,T_TTAFStock_Log[WeekIndex],54)=0,"",SUMIFS(T_TTAFStock_Log[TTAF_Qty],T_TTAFStock_Log[Part Name],$A14,T_TTAFStock_Log[WeekIndex],54))</f>
        <v/>
      </c>
      <c r="BD14" s="17">
        <f>IF(COUNTIFS(T_TTAFStock_Log[Part Name],$A14,T_TTAFStock_Log[WeekIndex],55)=0,"",SUMIFS(T_TTAFStock_Log[TTAF_Qty],T_TTAFStock_Log[Part Name],$A14,T_TTAFStock_Log[WeekIndex],55))</f>
        <v/>
      </c>
      <c r="BE14" s="17">
        <f>IF(COUNTIFS(T_TTAFStock_Log[Part Name],$A14,T_TTAFStock_Log[WeekIndex],56)=0,"",SUMIFS(T_TTAFStock_Log[TTAF_Qty],T_TTAFStock_Log[Part Name],$A14,T_TTAFStock_Log[WeekIndex],56))</f>
        <v/>
      </c>
      <c r="BF14" s="17">
        <f>IF(COUNTIFS(T_TTAFStock_Log[Part Name],$A14,T_TTAFStock_Log[WeekIndex],57)=0,"",SUMIFS(T_TTAFStock_Log[TTAF_Qty],T_TTAFStock_Log[Part Name],$A14,T_TTAFStock_Log[WeekIndex],57))</f>
        <v/>
      </c>
      <c r="BG14" s="17">
        <f>IF(COUNTIFS(T_TTAFStock_Log[Part Name],$A14,T_TTAFStock_Log[WeekIndex],58)=0,"",SUMIFS(T_TTAFStock_Log[TTAF_Qty],T_TTAFStock_Log[Part Name],$A14,T_TTAFStock_Log[WeekIndex],58))</f>
        <v/>
      </c>
      <c r="BH14" s="17">
        <f>IF(COUNTIFS(T_TTAFStock_Log[Part Name],$A14,T_TTAFStock_Log[WeekIndex],59)=0,"",SUMIFS(T_TTAFStock_Log[TTAF_Qty],T_TTAFStock_Log[Part Name],$A14,T_TTAFStock_Log[WeekIndex],59))</f>
        <v/>
      </c>
      <c r="BI14" s="17">
        <f>IF(COUNTIFS(T_TTAFStock_Log[Part Name],$A14,T_TTAFStock_Log[WeekIndex],60)=0,"",SUMIFS(T_TTAFStock_Log[TTAF_Qty],T_TTAFStock_Log[Part Name],$A14,T_TTAFStock_Log[WeekIndex],60))</f>
        <v/>
      </c>
      <c r="BJ14" s="17">
        <f>IF(COUNTIFS(T_TTAFStock_Log[Part Name],$A14,T_TTAFStock_Log[WeekIndex],61)=0,"",SUMIFS(T_TTAFStock_Log[TTAF_Qty],T_TTAFStock_Log[Part Name],$A14,T_TTAFStock_Log[WeekIndex],61))</f>
        <v/>
      </c>
      <c r="BK14" s="17">
        <f>IF(COUNTIFS(T_TTAFStock_Log[Part Name],$A14,T_TTAFStock_Log[WeekIndex],62)=0,"",SUMIFS(T_TTAFStock_Log[TTAF_Qty],T_TTAFStock_Log[Part Name],$A14,T_TTAFStock_Log[WeekIndex],62))</f>
        <v/>
      </c>
      <c r="BL14" s="17">
        <f>IF(COUNTIFS(T_TTAFStock_Log[Part Name],$A14,T_TTAFStock_Log[WeekIndex],63)=0,"",SUMIFS(T_TTAFStock_Log[TTAF_Qty],T_TTAFStock_Log[Part Name],$A14,T_TTAFStock_Log[WeekIndex],63))</f>
        <v/>
      </c>
      <c r="BM14" s="17">
        <f>IF(COUNTIFS(T_TTAFStock_Log[Part Name],$A14,T_TTAFStock_Log[WeekIndex],64)=0,"",SUMIFS(T_TTAFStock_Log[TTAF_Qty],T_TTAFStock_Log[Part Name],$A14,T_TTAFStock_Log[WeekIndex],64))</f>
        <v/>
      </c>
      <c r="BN14" s="17">
        <f>IF(COUNTIFS(T_TTAFStock_Log[Part Name],$A14,T_TTAFStock_Log[WeekIndex],65)=0,"",SUMIFS(T_TTAFStock_Log[TTAF_Qty],T_TTAFStock_Log[Part Name],$A14,T_TTAFStock_Log[WeekIndex],65))</f>
        <v/>
      </c>
      <c r="BO14" s="17">
        <f>IF(COUNTIFS(T_TTAFStock_Log[Part Name],$A14,T_TTAFStock_Log[WeekIndex],66)=0,"",SUMIFS(T_TTAFStock_Log[TTAF_Qty],T_TTAFStock_Log[Part Name],$A14,T_TTAFStock_Log[WeekIndex],66))</f>
        <v/>
      </c>
      <c r="BP14" s="17">
        <f>IF(COUNTIFS(T_TTAFStock_Log[Part Name],$A14,T_TTAFStock_Log[WeekIndex],67)=0,"",SUMIFS(T_TTAFStock_Log[TTAF_Qty],T_TTAFStock_Log[Part Name],$A14,T_TTAFStock_Log[WeekIndex],67))</f>
        <v/>
      </c>
      <c r="BQ14" s="17">
        <f>IF(COUNTIFS(T_TTAFStock_Log[Part Name],$A14,T_TTAFStock_Log[WeekIndex],68)=0,"",SUMIFS(T_TTAFStock_Log[TTAF_Qty],T_TTAFStock_Log[Part Name],$A14,T_TTAFStock_Log[WeekIndex],68))</f>
        <v/>
      </c>
      <c r="BR14" s="17">
        <f>IF(COUNTIFS(T_TTAFStock_Log[Part Name],$A14,T_TTAFStock_Log[WeekIndex],69)=0,"",SUMIFS(T_TTAFStock_Log[TTAF_Qty],T_TTAFStock_Log[Part Name],$A14,T_TTAFStock_Log[WeekIndex],69))</f>
        <v/>
      </c>
      <c r="BS14" s="17">
        <f>IF(COUNTIFS(T_TTAFStock_Log[Part Name],$A14,T_TTAFStock_Log[WeekIndex],70)=0,"",SUMIFS(T_TTAFStock_Log[TTAF_Qty],T_TTAFStock_Log[Part Name],$A14,T_TTAFStock_Log[WeekIndex],70))</f>
        <v/>
      </c>
      <c r="BT14" s="17">
        <f>IF(COUNTIFS(T_TTAFStock_Log[Part Name],$A14,T_TTAFStock_Log[WeekIndex],71)=0,"",SUMIFS(T_TTAFStock_Log[TTAF_Qty],T_TTAFStock_Log[Part Name],$A14,T_TTAFStock_Log[WeekIndex],71))</f>
        <v/>
      </c>
      <c r="BU14" s="17">
        <f>IF(COUNTIFS(T_TTAFStock_Log[Part Name],$A14,T_TTAFStock_Log[WeekIndex],72)=0,"",SUMIFS(T_TTAFStock_Log[TTAF_Qty],T_TTAFStock_Log[Part Name],$A14,T_TTAFStock_Log[WeekIndex],72))</f>
        <v/>
      </c>
      <c r="BV14" s="17">
        <f>IF(COUNTIFS(T_TTAFStock_Log[Part Name],$A14,T_TTAFStock_Log[WeekIndex],73)=0,"",SUMIFS(T_TTAFStock_Log[TTAF_Qty],T_TTAFStock_Log[Part Name],$A14,T_TTAFStock_Log[WeekIndex],73))</f>
        <v/>
      </c>
      <c r="BW14" s="17">
        <f>IF(COUNTIFS(T_TTAFStock_Log[Part Name],$A14,T_TTAFStock_Log[WeekIndex],74)=0,"",SUMIFS(T_TTAFStock_Log[TTAF_Qty],T_TTAFStock_Log[Part Name],$A14,T_TTAFStock_Log[WeekIndex],74))</f>
        <v/>
      </c>
      <c r="BX14" s="17">
        <f>IF(COUNTIFS(T_TTAFStock_Log[Part Name],$A14,T_TTAFStock_Log[WeekIndex],75)=0,"",SUMIFS(T_TTAFStock_Log[TTAF_Qty],T_TTAFStock_Log[Part Name],$A14,T_TTAFStock_Log[WeekIndex],75))</f>
        <v/>
      </c>
      <c r="BY14" s="17">
        <f>IF(COUNTIFS(T_TTAFStock_Log[Part Name],$A14,T_TTAFStock_Log[WeekIndex],76)=0,"",SUMIFS(T_TTAFStock_Log[TTAF_Qty],T_TTAFStock_Log[Part Name],$A14,T_TTAFStock_Log[WeekIndex],76))</f>
        <v/>
      </c>
      <c r="BZ14" s="17">
        <f>IF(COUNTIFS(T_TTAFStock_Log[Part Name],$A14,T_TTAFStock_Log[WeekIndex],77)=0,"",SUMIFS(T_TTAFStock_Log[TTAF_Qty],T_TTAFStock_Log[Part Name],$A14,T_TTAFStock_Log[WeekIndex],77))</f>
        <v/>
      </c>
      <c r="CA14" s="17">
        <f>IF(COUNTIFS(T_TTAFStock_Log[Part Name],$A14,T_TTAFStock_Log[WeekIndex],78)=0,"",SUMIFS(T_TTAFStock_Log[TTAF_Qty],T_TTAFStock_Log[Part Name],$A14,T_TTAFStock_Log[WeekIndex],78))</f>
        <v/>
      </c>
      <c r="CB14" s="17">
        <f>IF(COUNTIFS(T_TTAFStock_Log[Part Name],$A14,T_TTAFStock_Log[WeekIndex],79)=0,"",SUMIFS(T_TTAFStock_Log[TTAF_Qty],T_TTAFStock_Log[Part Name],$A14,T_TTAFStock_Log[WeekIndex],79))</f>
        <v/>
      </c>
      <c r="CC14" s="17">
        <f>IF(COUNTIFS(T_TTAFStock_Log[Part Name],$A14,T_TTAFStock_Log[WeekIndex],80)=0,"",SUMIFS(T_TTAFStock_Log[TTAF_Qty],T_TTAFStock_Log[Part Name],$A14,T_TTAFStock_Log[WeekIndex],80))</f>
        <v/>
      </c>
      <c r="CD14" s="17">
        <f>IF(COUNTIFS(T_TTAFStock_Log[Part Name],$A14,T_TTAFStock_Log[WeekIndex],81)=0,"",SUMIFS(T_TTAFStock_Log[TTAF_Qty],T_TTAFStock_Log[Part Name],$A14,T_TTAFStock_Log[WeekIndex],81))</f>
        <v/>
      </c>
      <c r="CE14" s="17">
        <f>IF(COUNTIFS(T_TTAFStock_Log[Part Name],$A14,T_TTAFStock_Log[WeekIndex],82)=0,"",SUMIFS(T_TTAFStock_Log[TTAF_Qty],T_TTAFStock_Log[Part Name],$A14,T_TTAFStock_Log[WeekIndex],82))</f>
        <v/>
      </c>
      <c r="CF14" s="17">
        <f>IF(COUNTIFS(T_TTAFStock_Log[Part Name],$A14,T_TTAFStock_Log[WeekIndex],83)=0,"",SUMIFS(T_TTAFStock_Log[TTAF_Qty],T_TTAFStock_Log[Part Name],$A14,T_TTAFStock_Log[WeekIndex],83))</f>
        <v/>
      </c>
      <c r="CG14" s="17">
        <f>IF(COUNTIFS(T_TTAFStock_Log[Part Name],$A14,T_TTAFStock_Log[WeekIndex],84)=0,"",SUMIFS(T_TTAFStock_Log[TTAF_Qty],T_TTAFStock_Log[Part Name],$A14,T_TTAFStock_Log[WeekIndex],84))</f>
        <v/>
      </c>
      <c r="CH14" s="17">
        <f>IF(COUNTIFS(T_TTAFStock_Log[Part Name],$A14,T_TTAFStock_Log[WeekIndex],85)=0,"",SUMIFS(T_TTAFStock_Log[TTAF_Qty],T_TTAFStock_Log[Part Name],$A14,T_TTAFStock_Log[WeekIndex],85))</f>
        <v/>
      </c>
      <c r="CI14" s="17">
        <f>IF(COUNTIFS(T_TTAFStock_Log[Part Name],$A14,T_TTAFStock_Log[WeekIndex],86)=0,"",SUMIFS(T_TTAFStock_Log[TTAF_Qty],T_TTAFStock_Log[Part Name],$A14,T_TTAFStock_Log[WeekIndex],86))</f>
        <v/>
      </c>
      <c r="CJ14" s="17">
        <f>IF(COUNTIFS(T_TTAFStock_Log[Part Name],$A14,T_TTAFStock_Log[WeekIndex],87)=0,"",SUMIFS(T_TTAFStock_Log[TTAF_Qty],T_TTAFStock_Log[Part Name],$A14,T_TTAFStock_Log[WeekIndex],87))</f>
        <v/>
      </c>
      <c r="CK14" s="17">
        <f>IF(COUNTIFS(T_TTAFStock_Log[Part Name],$A14,T_TTAFStock_Log[WeekIndex],88)=0,"",SUMIFS(T_TTAFStock_Log[TTAF_Qty],T_TTAFStock_Log[Part Name],$A14,T_TTAFStock_Log[WeekIndex],88))</f>
        <v/>
      </c>
      <c r="CL14" s="17">
        <f>IF(COUNTIFS(T_TTAFStock_Log[Part Name],$A14,T_TTAFStock_Log[WeekIndex],89)=0,"",SUMIFS(T_TTAFStock_Log[TTAF_Qty],T_TTAFStock_Log[Part Name],$A14,T_TTAFStock_Log[WeekIndex],89))</f>
        <v/>
      </c>
      <c r="CM14" s="17">
        <f>IF(COUNTIFS(T_TTAFStock_Log[Part Name],$A14,T_TTAFStock_Log[WeekIndex],90)=0,"",SUMIFS(T_TTAFStock_Log[TTAF_Qty],T_TTAFStock_Log[Part Name],$A14,T_TTAFStock_Log[WeekIndex],90))</f>
        <v/>
      </c>
      <c r="CN14" s="17">
        <f>IF(COUNTIFS(T_TTAFStock_Log[Part Name],$A14,T_TTAFStock_Log[WeekIndex],91)=0,"",SUMIFS(T_TTAFStock_Log[TTAF_Qty],T_TTAFStock_Log[Part Name],$A14,T_TTAFStock_Log[WeekIndex],91))</f>
        <v/>
      </c>
      <c r="CO14" s="17">
        <f>IF(COUNTIFS(T_TTAFStock_Log[Part Name],$A14,T_TTAFStock_Log[WeekIndex],92)=0,"",SUMIFS(T_TTAFStock_Log[TTAF_Qty],T_TTAFStock_Log[Part Name],$A14,T_TTAFStock_Log[WeekIndex],92))</f>
        <v/>
      </c>
      <c r="CP14" s="17">
        <f>IF(COUNTIFS(T_TTAFStock_Log[Part Name],$A14,T_TTAFStock_Log[WeekIndex],93)=0,"",SUMIFS(T_TTAFStock_Log[TTAF_Qty],T_TTAFStock_Log[Part Name],$A14,T_TTAFStock_Log[WeekIndex],93))</f>
        <v/>
      </c>
      <c r="CQ14" s="17">
        <f>IF(COUNTIFS(T_TTAFStock_Log[Part Name],$A14,T_TTAFStock_Log[WeekIndex],94)=0,"",SUMIFS(T_TTAFStock_Log[TTAF_Qty],T_TTAFStock_Log[Part Name],$A14,T_TTAFStock_Log[WeekIndex],94))</f>
        <v/>
      </c>
      <c r="CR14" s="17">
        <f>IF(COUNTIFS(T_TTAFStock_Log[Part Name],$A14,T_TTAFStock_Log[WeekIndex],95)=0,"",SUMIFS(T_TTAFStock_Log[TTAF_Qty],T_TTAFStock_Log[Part Name],$A14,T_TTAFStock_Log[WeekIndex],95))</f>
        <v/>
      </c>
      <c r="CS14" s="17">
        <f>IF(COUNTIFS(T_TTAFStock_Log[Part Name],$A14,T_TTAFStock_Log[WeekIndex],96)=0,"",SUMIFS(T_TTAFStock_Log[TTAF_Qty],T_TTAFStock_Log[Part Name],$A14,T_TTAFStock_Log[WeekIndex],96))</f>
        <v/>
      </c>
      <c r="CT14" s="17">
        <f>IF(COUNTIFS(T_TTAFStock_Log[Part Name],$A14,T_TTAFStock_Log[WeekIndex],97)=0,"",SUMIFS(T_TTAFStock_Log[TTAF_Qty],T_TTAFStock_Log[Part Name],$A14,T_TTAFStock_Log[WeekIndex],97))</f>
        <v/>
      </c>
      <c r="CU14" s="17">
        <f>IF(COUNTIFS(T_TTAFStock_Log[Part Name],$A14,T_TTAFStock_Log[WeekIndex],98)=0,"",SUMIFS(T_TTAFStock_Log[TTAF_Qty],T_TTAFStock_Log[Part Name],$A14,T_TTAFStock_Log[WeekIndex],98))</f>
        <v/>
      </c>
      <c r="CV14" s="17">
        <f>IF(COUNTIFS(T_TTAFStock_Log[Part Name],$A14,T_TTAFStock_Log[WeekIndex],99)=0,"",SUMIFS(T_TTAFStock_Log[TTAF_Qty],T_TTAFStock_Log[Part Name],$A14,T_TTAFStock_Log[WeekIndex],99))</f>
        <v/>
      </c>
      <c r="CW14" s="17">
        <f>IF(COUNTIFS(T_TTAFStock_Log[Part Name],$A14,T_TTAFStock_Log[WeekIndex],100)=0,"",SUMIFS(T_TTAFStock_Log[TTAF_Qty],T_TTAFStock_Log[Part Name],$A14,T_TTAFStock_Log[WeekIndex],100))</f>
        <v/>
      </c>
      <c r="CX14" s="17">
        <f>IF(COUNTIFS(T_TTAFStock_Log[Part Name],$A14,T_TTAFStock_Log[WeekIndex],101)=0,"",SUMIFS(T_TTAFStock_Log[TTAF_Qty],T_TTAFStock_Log[Part Name],$A14,T_TTAFStock_Log[WeekIndex],101))</f>
        <v/>
      </c>
      <c r="CY14" s="17">
        <f>IF(COUNTIFS(T_TTAFStock_Log[Part Name],$A14,T_TTAFStock_Log[WeekIndex],102)=0,"",SUMIFS(T_TTAFStock_Log[TTAF_Qty],T_TTAFStock_Log[Part Name],$A14,T_TTAFStock_Log[WeekIndex],102))</f>
        <v/>
      </c>
      <c r="CZ14" s="17">
        <f>IF(COUNTIFS(T_TTAFStock_Log[Part Name],$A14,T_TTAFStock_Log[WeekIndex],103)=0,"",SUMIFS(T_TTAFStock_Log[TTAF_Qty],T_TTAFStock_Log[Part Name],$A14,T_TTAFStock_Log[WeekIndex],103))</f>
        <v/>
      </c>
      <c r="DA14" s="17">
        <f>IF(COUNTIFS(T_TTAFStock_Log[Part Name],$A14,T_TTAFStock_Log[WeekIndex],104)=0,"",SUMIFS(T_TTAFStock_Log[TTAF_Qty],T_TTAFStock_Log[Part Name],$A14,T_TTAFStock_Log[WeekIndex],104))</f>
        <v/>
      </c>
    </row>
    <row r="15">
      <c r="A15" s="19" t="inlineStr">
        <is>
          <t>JEJ</t>
        </is>
      </c>
      <c r="B15" s="19">
        <f>IF(COUNTIFS(T_TTAFStock_Log[Part Name],$A15,T_TTAFStock_Log[WeekIndex],1)=0,"",SUMIFS(T_TTAFStock_Log[TTAF_Qty],T_TTAFStock_Log[Part Name],$A15,T_TTAFStock_Log[WeekIndex],1))</f>
        <v/>
      </c>
      <c r="C15" s="19">
        <f>IF(COUNTIFS(T_TTAFStock_Log[Part Name],$A15,T_TTAFStock_Log[WeekIndex],2)=0,"",SUMIFS(T_TTAFStock_Log[TTAF_Qty],T_TTAFStock_Log[Part Name],$A15,T_TTAFStock_Log[WeekIndex],2))</f>
        <v/>
      </c>
      <c r="D15" s="19">
        <f>IF(COUNTIFS(T_TTAFStock_Log[Part Name],$A15,T_TTAFStock_Log[WeekIndex],3)=0,"",SUMIFS(T_TTAFStock_Log[TTAF_Qty],T_TTAFStock_Log[Part Name],$A15,T_TTAFStock_Log[WeekIndex],3))</f>
        <v/>
      </c>
      <c r="E15" s="19">
        <f>IF(COUNTIFS(T_TTAFStock_Log[Part Name],$A15,T_TTAFStock_Log[WeekIndex],4)=0,"",SUMIFS(T_TTAFStock_Log[TTAF_Qty],T_TTAFStock_Log[Part Name],$A15,T_TTAFStock_Log[WeekIndex],4))</f>
        <v/>
      </c>
      <c r="F15" s="19">
        <f>IF(COUNTIFS(T_TTAFStock_Log[Part Name],$A15,T_TTAFStock_Log[WeekIndex],5)=0,"",SUMIFS(T_TTAFStock_Log[TTAF_Qty],T_TTAFStock_Log[Part Name],$A15,T_TTAFStock_Log[WeekIndex],5))</f>
        <v/>
      </c>
      <c r="G15" s="19">
        <f>IF(COUNTIFS(T_TTAFStock_Log[Part Name],$A15,T_TTAFStock_Log[WeekIndex],6)=0,"",SUMIFS(T_TTAFStock_Log[TTAF_Qty],T_TTAFStock_Log[Part Name],$A15,T_TTAFStock_Log[WeekIndex],6))</f>
        <v/>
      </c>
      <c r="H15" s="19">
        <f>IF(COUNTIFS(T_TTAFStock_Log[Part Name],$A15,T_TTAFStock_Log[WeekIndex],7)=0,"",SUMIFS(T_TTAFStock_Log[TTAF_Qty],T_TTAFStock_Log[Part Name],$A15,T_TTAFStock_Log[WeekIndex],7))</f>
        <v/>
      </c>
      <c r="I15" s="19">
        <f>IF(COUNTIFS(T_TTAFStock_Log[Part Name],$A15,T_TTAFStock_Log[WeekIndex],8)=0,"",SUMIFS(T_TTAFStock_Log[TTAF_Qty],T_TTAFStock_Log[Part Name],$A15,T_TTAFStock_Log[WeekIndex],8))</f>
        <v/>
      </c>
      <c r="J15" s="19">
        <f>IF(COUNTIFS(T_TTAFStock_Log[Part Name],$A15,T_TTAFStock_Log[WeekIndex],9)=0,"",SUMIFS(T_TTAFStock_Log[TTAF_Qty],T_TTAFStock_Log[Part Name],$A15,T_TTAFStock_Log[WeekIndex],9))</f>
        <v/>
      </c>
      <c r="K15" s="19">
        <f>IF(COUNTIFS(T_TTAFStock_Log[Part Name],$A15,T_TTAFStock_Log[WeekIndex],10)=0,"",SUMIFS(T_TTAFStock_Log[TTAF_Qty],T_TTAFStock_Log[Part Name],$A15,T_TTAFStock_Log[WeekIndex],10))</f>
        <v/>
      </c>
      <c r="L15" s="19">
        <f>IF(COUNTIFS(T_TTAFStock_Log[Part Name],$A15,T_TTAFStock_Log[WeekIndex],11)=0,"",SUMIFS(T_TTAFStock_Log[TTAF_Qty],T_TTAFStock_Log[Part Name],$A15,T_TTAFStock_Log[WeekIndex],11))</f>
        <v/>
      </c>
      <c r="M15" s="19">
        <f>IF(COUNTIFS(T_TTAFStock_Log[Part Name],$A15,T_TTAFStock_Log[WeekIndex],12)=0,"",SUMIFS(T_TTAFStock_Log[TTAF_Qty],T_TTAFStock_Log[Part Name],$A15,T_TTAFStock_Log[WeekIndex],12))</f>
        <v/>
      </c>
      <c r="N15" s="19">
        <f>IF(COUNTIFS(T_TTAFStock_Log[Part Name],$A15,T_TTAFStock_Log[WeekIndex],13)=0,"",SUMIFS(T_TTAFStock_Log[TTAF_Qty],T_TTAFStock_Log[Part Name],$A15,T_TTAFStock_Log[WeekIndex],13))</f>
        <v/>
      </c>
      <c r="O15" s="19">
        <f>IF(COUNTIFS(T_TTAFStock_Log[Part Name],$A15,T_TTAFStock_Log[WeekIndex],14)=0,"",SUMIFS(T_TTAFStock_Log[TTAF_Qty],T_TTAFStock_Log[Part Name],$A15,T_TTAFStock_Log[WeekIndex],14))</f>
        <v/>
      </c>
      <c r="P15" s="19">
        <f>IF(COUNTIFS(T_TTAFStock_Log[Part Name],$A15,T_TTAFStock_Log[WeekIndex],15)=0,"",SUMIFS(T_TTAFStock_Log[TTAF_Qty],T_TTAFStock_Log[Part Name],$A15,T_TTAFStock_Log[WeekIndex],15))</f>
        <v/>
      </c>
      <c r="Q15" s="19">
        <f>IF(COUNTIFS(T_TTAFStock_Log[Part Name],$A15,T_TTAFStock_Log[WeekIndex],16)=0,"",SUMIFS(T_TTAFStock_Log[TTAF_Qty],T_TTAFStock_Log[Part Name],$A15,T_TTAFStock_Log[WeekIndex],16))</f>
        <v/>
      </c>
      <c r="R15" s="19">
        <f>IF(COUNTIFS(T_TTAFStock_Log[Part Name],$A15,T_TTAFStock_Log[WeekIndex],17)=0,"",SUMIFS(T_TTAFStock_Log[TTAF_Qty],T_TTAFStock_Log[Part Name],$A15,T_TTAFStock_Log[WeekIndex],17))</f>
        <v/>
      </c>
      <c r="S15" s="19">
        <f>IF(COUNTIFS(T_TTAFStock_Log[Part Name],$A15,T_TTAFStock_Log[WeekIndex],18)=0,"",SUMIFS(T_TTAFStock_Log[TTAF_Qty],T_TTAFStock_Log[Part Name],$A15,T_TTAFStock_Log[WeekIndex],18))</f>
        <v/>
      </c>
      <c r="T15" s="19">
        <f>IF(COUNTIFS(T_TTAFStock_Log[Part Name],$A15,T_TTAFStock_Log[WeekIndex],19)=0,"",SUMIFS(T_TTAFStock_Log[TTAF_Qty],T_TTAFStock_Log[Part Name],$A15,T_TTAFStock_Log[WeekIndex],19))</f>
        <v/>
      </c>
      <c r="U15" s="19">
        <f>IF(COUNTIFS(T_TTAFStock_Log[Part Name],$A15,T_TTAFStock_Log[WeekIndex],20)=0,"",SUMIFS(T_TTAFStock_Log[TTAF_Qty],T_TTAFStock_Log[Part Name],$A15,T_TTAFStock_Log[WeekIndex],20))</f>
        <v/>
      </c>
      <c r="V15" s="19">
        <f>IF(COUNTIFS(T_TTAFStock_Log[Part Name],$A15,T_TTAFStock_Log[WeekIndex],21)=0,"",SUMIFS(T_TTAFStock_Log[TTAF_Qty],T_TTAFStock_Log[Part Name],$A15,T_TTAFStock_Log[WeekIndex],21))</f>
        <v/>
      </c>
      <c r="W15" s="19">
        <f>IF(COUNTIFS(T_TTAFStock_Log[Part Name],$A15,T_TTAFStock_Log[WeekIndex],22)=0,"",SUMIFS(T_TTAFStock_Log[TTAF_Qty],T_TTAFStock_Log[Part Name],$A15,T_TTAFStock_Log[WeekIndex],22))</f>
        <v/>
      </c>
      <c r="X15" s="19">
        <f>IF(COUNTIFS(T_TTAFStock_Log[Part Name],$A15,T_TTAFStock_Log[WeekIndex],23)=0,"",SUMIFS(T_TTAFStock_Log[TTAF_Qty],T_TTAFStock_Log[Part Name],$A15,T_TTAFStock_Log[WeekIndex],23))</f>
        <v/>
      </c>
      <c r="Y15" s="19">
        <f>IF(COUNTIFS(T_TTAFStock_Log[Part Name],$A15,T_TTAFStock_Log[WeekIndex],24)=0,"",SUMIFS(T_TTAFStock_Log[TTAF_Qty],T_TTAFStock_Log[Part Name],$A15,T_TTAFStock_Log[WeekIndex],24))</f>
        <v/>
      </c>
      <c r="Z15" s="19">
        <f>IF(COUNTIFS(T_TTAFStock_Log[Part Name],$A15,T_TTAFStock_Log[WeekIndex],25)=0,"",SUMIFS(T_TTAFStock_Log[TTAF_Qty],T_TTAFStock_Log[Part Name],$A15,T_TTAFStock_Log[WeekIndex],25))</f>
        <v/>
      </c>
      <c r="AA15" s="19">
        <f>IF(COUNTIFS(T_TTAFStock_Log[Part Name],$A15,T_TTAFStock_Log[WeekIndex],26)=0,"",SUMIFS(T_TTAFStock_Log[TTAF_Qty],T_TTAFStock_Log[Part Name],$A15,T_TTAFStock_Log[WeekIndex],26))</f>
        <v/>
      </c>
      <c r="AB15" s="19">
        <f>IF(COUNTIFS(T_TTAFStock_Log[Part Name],$A15,T_TTAFStock_Log[WeekIndex],27)=0,"",SUMIFS(T_TTAFStock_Log[TTAF_Qty],T_TTAFStock_Log[Part Name],$A15,T_TTAFStock_Log[WeekIndex],27))</f>
        <v/>
      </c>
      <c r="AC15" s="19">
        <f>IF(COUNTIFS(T_TTAFStock_Log[Part Name],$A15,T_TTAFStock_Log[WeekIndex],28)=0,"",SUMIFS(T_TTAFStock_Log[TTAF_Qty],T_TTAFStock_Log[Part Name],$A15,T_TTAFStock_Log[WeekIndex],28))</f>
        <v/>
      </c>
      <c r="AD15" s="19">
        <f>IF(COUNTIFS(T_TTAFStock_Log[Part Name],$A15,T_TTAFStock_Log[WeekIndex],29)=0,"",SUMIFS(T_TTAFStock_Log[TTAF_Qty],T_TTAFStock_Log[Part Name],$A15,T_TTAFStock_Log[WeekIndex],29))</f>
        <v/>
      </c>
      <c r="AE15" s="19">
        <f>IF(COUNTIFS(T_TTAFStock_Log[Part Name],$A15,T_TTAFStock_Log[WeekIndex],30)=0,"",SUMIFS(T_TTAFStock_Log[TTAF_Qty],T_TTAFStock_Log[Part Name],$A15,T_TTAFStock_Log[WeekIndex],30))</f>
        <v/>
      </c>
      <c r="AF15" s="19">
        <f>IF(COUNTIFS(T_TTAFStock_Log[Part Name],$A15,T_TTAFStock_Log[WeekIndex],31)=0,"",SUMIFS(T_TTAFStock_Log[TTAF_Qty],T_TTAFStock_Log[Part Name],$A15,T_TTAFStock_Log[WeekIndex],31))</f>
        <v/>
      </c>
      <c r="AG15" s="19">
        <f>IF(COUNTIFS(T_TTAFStock_Log[Part Name],$A15,T_TTAFStock_Log[WeekIndex],32)=0,"",SUMIFS(T_TTAFStock_Log[TTAF_Qty],T_TTAFStock_Log[Part Name],$A15,T_TTAFStock_Log[WeekIndex],32))</f>
        <v/>
      </c>
      <c r="AH15" s="19">
        <f>IF(COUNTIFS(T_TTAFStock_Log[Part Name],$A15,T_TTAFStock_Log[WeekIndex],33)=0,"",SUMIFS(T_TTAFStock_Log[TTAF_Qty],T_TTAFStock_Log[Part Name],$A15,T_TTAFStock_Log[WeekIndex],33))</f>
        <v/>
      </c>
      <c r="AI15" s="19">
        <f>IF(COUNTIFS(T_TTAFStock_Log[Part Name],$A15,T_TTAFStock_Log[WeekIndex],34)=0,"",SUMIFS(T_TTAFStock_Log[TTAF_Qty],T_TTAFStock_Log[Part Name],$A15,T_TTAFStock_Log[WeekIndex],34))</f>
        <v/>
      </c>
      <c r="AJ15" s="19">
        <f>IF(COUNTIFS(T_TTAFStock_Log[Part Name],$A15,T_TTAFStock_Log[WeekIndex],35)=0,"",SUMIFS(T_TTAFStock_Log[TTAF_Qty],T_TTAFStock_Log[Part Name],$A15,T_TTAFStock_Log[WeekIndex],35))</f>
        <v/>
      </c>
      <c r="AK15" s="19">
        <f>IF(COUNTIFS(T_TTAFStock_Log[Part Name],$A15,T_TTAFStock_Log[WeekIndex],36)=0,"",SUMIFS(T_TTAFStock_Log[TTAF_Qty],T_TTAFStock_Log[Part Name],$A15,T_TTAFStock_Log[WeekIndex],36))</f>
        <v/>
      </c>
      <c r="AL15" s="19">
        <f>IF(COUNTIFS(T_TTAFStock_Log[Part Name],$A15,T_TTAFStock_Log[WeekIndex],37)=0,"",SUMIFS(T_TTAFStock_Log[TTAF_Qty],T_TTAFStock_Log[Part Name],$A15,T_TTAFStock_Log[WeekIndex],37))</f>
        <v/>
      </c>
      <c r="AM15" s="19">
        <f>IF(COUNTIFS(T_TTAFStock_Log[Part Name],$A15,T_TTAFStock_Log[WeekIndex],38)=0,"",SUMIFS(T_TTAFStock_Log[TTAF_Qty],T_TTAFStock_Log[Part Name],$A15,T_TTAFStock_Log[WeekIndex],38))</f>
        <v/>
      </c>
      <c r="AN15" s="19">
        <f>IF(COUNTIFS(T_TTAFStock_Log[Part Name],$A15,T_TTAFStock_Log[WeekIndex],39)=0,"",SUMIFS(T_TTAFStock_Log[TTAF_Qty],T_TTAFStock_Log[Part Name],$A15,T_TTAFStock_Log[WeekIndex],39))</f>
        <v/>
      </c>
      <c r="AO15" s="19">
        <f>IF(COUNTIFS(T_TTAFStock_Log[Part Name],$A15,T_TTAFStock_Log[WeekIndex],40)=0,"",SUMIFS(T_TTAFStock_Log[TTAF_Qty],T_TTAFStock_Log[Part Name],$A15,T_TTAFStock_Log[WeekIndex],40))</f>
        <v/>
      </c>
      <c r="AP15" s="19">
        <f>IF(COUNTIFS(T_TTAFStock_Log[Part Name],$A15,T_TTAFStock_Log[WeekIndex],41)=0,"",SUMIFS(T_TTAFStock_Log[TTAF_Qty],T_TTAFStock_Log[Part Name],$A15,T_TTAFStock_Log[WeekIndex],41))</f>
        <v/>
      </c>
      <c r="AQ15" s="19">
        <f>IF(COUNTIFS(T_TTAFStock_Log[Part Name],$A15,T_TTAFStock_Log[WeekIndex],42)=0,"",SUMIFS(T_TTAFStock_Log[TTAF_Qty],T_TTAFStock_Log[Part Name],$A15,T_TTAFStock_Log[WeekIndex],42))</f>
        <v/>
      </c>
      <c r="AR15" s="19">
        <f>IF(COUNTIFS(T_TTAFStock_Log[Part Name],$A15,T_TTAFStock_Log[WeekIndex],43)=0,"",SUMIFS(T_TTAFStock_Log[TTAF_Qty],T_TTAFStock_Log[Part Name],$A15,T_TTAFStock_Log[WeekIndex],43))</f>
        <v/>
      </c>
      <c r="AS15" s="19">
        <f>IF(COUNTIFS(T_TTAFStock_Log[Part Name],$A15,T_TTAFStock_Log[WeekIndex],44)=0,"",SUMIFS(T_TTAFStock_Log[TTAF_Qty],T_TTAFStock_Log[Part Name],$A15,T_TTAFStock_Log[WeekIndex],44))</f>
        <v/>
      </c>
      <c r="AT15" s="19">
        <f>IF(COUNTIFS(T_TTAFStock_Log[Part Name],$A15,T_TTAFStock_Log[WeekIndex],45)=0,"",SUMIFS(T_TTAFStock_Log[TTAF_Qty],T_TTAFStock_Log[Part Name],$A15,T_TTAFStock_Log[WeekIndex],45))</f>
        <v/>
      </c>
      <c r="AU15" s="19">
        <f>IF(COUNTIFS(T_TTAFStock_Log[Part Name],$A15,T_TTAFStock_Log[WeekIndex],46)=0,"",SUMIFS(T_TTAFStock_Log[TTAF_Qty],T_TTAFStock_Log[Part Name],$A15,T_TTAFStock_Log[WeekIndex],46))</f>
        <v/>
      </c>
      <c r="AV15" s="19">
        <f>IF(COUNTIFS(T_TTAFStock_Log[Part Name],$A15,T_TTAFStock_Log[WeekIndex],47)=0,"",SUMIFS(T_TTAFStock_Log[TTAF_Qty],T_TTAFStock_Log[Part Name],$A15,T_TTAFStock_Log[WeekIndex],47))</f>
        <v/>
      </c>
      <c r="AW15" s="19">
        <f>IF(COUNTIFS(T_TTAFStock_Log[Part Name],$A15,T_TTAFStock_Log[WeekIndex],48)=0,"",SUMIFS(T_TTAFStock_Log[TTAF_Qty],T_TTAFStock_Log[Part Name],$A15,T_TTAFStock_Log[WeekIndex],48))</f>
        <v/>
      </c>
      <c r="AX15" s="19">
        <f>IF(COUNTIFS(T_TTAFStock_Log[Part Name],$A15,T_TTAFStock_Log[WeekIndex],49)=0,"",SUMIFS(T_TTAFStock_Log[TTAF_Qty],T_TTAFStock_Log[Part Name],$A15,T_TTAFStock_Log[WeekIndex],49))</f>
        <v/>
      </c>
      <c r="AY15" s="19">
        <f>IF(COUNTIFS(T_TTAFStock_Log[Part Name],$A15,T_TTAFStock_Log[WeekIndex],50)=0,"",SUMIFS(T_TTAFStock_Log[TTAF_Qty],T_TTAFStock_Log[Part Name],$A15,T_TTAFStock_Log[WeekIndex],50))</f>
        <v/>
      </c>
      <c r="AZ15" s="19">
        <f>IF(COUNTIFS(T_TTAFStock_Log[Part Name],$A15,T_TTAFStock_Log[WeekIndex],51)=0,"",SUMIFS(T_TTAFStock_Log[TTAF_Qty],T_TTAFStock_Log[Part Name],$A15,T_TTAFStock_Log[WeekIndex],51))</f>
        <v/>
      </c>
      <c r="BA15" s="19">
        <f>IF(COUNTIFS(T_TTAFStock_Log[Part Name],$A15,T_TTAFStock_Log[WeekIndex],52)=0,"",SUMIFS(T_TTAFStock_Log[TTAF_Qty],T_TTAFStock_Log[Part Name],$A15,T_TTAFStock_Log[WeekIndex],52))</f>
        <v/>
      </c>
      <c r="BB15" s="19">
        <f>IF(COUNTIFS(T_TTAFStock_Log[Part Name],$A15,T_TTAFStock_Log[WeekIndex],53)=0,"",SUMIFS(T_TTAFStock_Log[TTAF_Qty],T_TTAFStock_Log[Part Name],$A15,T_TTAFStock_Log[WeekIndex],53))</f>
        <v/>
      </c>
      <c r="BC15" s="19">
        <f>IF(COUNTIFS(T_TTAFStock_Log[Part Name],$A15,T_TTAFStock_Log[WeekIndex],54)=0,"",SUMIFS(T_TTAFStock_Log[TTAF_Qty],T_TTAFStock_Log[Part Name],$A15,T_TTAFStock_Log[WeekIndex],54))</f>
        <v/>
      </c>
      <c r="BD15" s="19">
        <f>IF(COUNTIFS(T_TTAFStock_Log[Part Name],$A15,T_TTAFStock_Log[WeekIndex],55)=0,"",SUMIFS(T_TTAFStock_Log[TTAF_Qty],T_TTAFStock_Log[Part Name],$A15,T_TTAFStock_Log[WeekIndex],55))</f>
        <v/>
      </c>
      <c r="BE15" s="19">
        <f>IF(COUNTIFS(T_TTAFStock_Log[Part Name],$A15,T_TTAFStock_Log[WeekIndex],56)=0,"",SUMIFS(T_TTAFStock_Log[TTAF_Qty],T_TTAFStock_Log[Part Name],$A15,T_TTAFStock_Log[WeekIndex],56))</f>
        <v/>
      </c>
      <c r="BF15" s="19">
        <f>IF(COUNTIFS(T_TTAFStock_Log[Part Name],$A15,T_TTAFStock_Log[WeekIndex],57)=0,"",SUMIFS(T_TTAFStock_Log[TTAF_Qty],T_TTAFStock_Log[Part Name],$A15,T_TTAFStock_Log[WeekIndex],57))</f>
        <v/>
      </c>
      <c r="BG15" s="19">
        <f>IF(COUNTIFS(T_TTAFStock_Log[Part Name],$A15,T_TTAFStock_Log[WeekIndex],58)=0,"",SUMIFS(T_TTAFStock_Log[TTAF_Qty],T_TTAFStock_Log[Part Name],$A15,T_TTAFStock_Log[WeekIndex],58))</f>
        <v/>
      </c>
      <c r="BH15" s="19">
        <f>IF(COUNTIFS(T_TTAFStock_Log[Part Name],$A15,T_TTAFStock_Log[WeekIndex],59)=0,"",SUMIFS(T_TTAFStock_Log[TTAF_Qty],T_TTAFStock_Log[Part Name],$A15,T_TTAFStock_Log[WeekIndex],59))</f>
        <v/>
      </c>
      <c r="BI15" s="19">
        <f>IF(COUNTIFS(T_TTAFStock_Log[Part Name],$A15,T_TTAFStock_Log[WeekIndex],60)=0,"",SUMIFS(T_TTAFStock_Log[TTAF_Qty],T_TTAFStock_Log[Part Name],$A15,T_TTAFStock_Log[WeekIndex],60))</f>
        <v/>
      </c>
      <c r="BJ15" s="19">
        <f>IF(COUNTIFS(T_TTAFStock_Log[Part Name],$A15,T_TTAFStock_Log[WeekIndex],61)=0,"",SUMIFS(T_TTAFStock_Log[TTAF_Qty],T_TTAFStock_Log[Part Name],$A15,T_TTAFStock_Log[WeekIndex],61))</f>
        <v/>
      </c>
      <c r="BK15" s="19">
        <f>IF(COUNTIFS(T_TTAFStock_Log[Part Name],$A15,T_TTAFStock_Log[WeekIndex],62)=0,"",SUMIFS(T_TTAFStock_Log[TTAF_Qty],T_TTAFStock_Log[Part Name],$A15,T_TTAFStock_Log[WeekIndex],62))</f>
        <v/>
      </c>
      <c r="BL15" s="19">
        <f>IF(COUNTIFS(T_TTAFStock_Log[Part Name],$A15,T_TTAFStock_Log[WeekIndex],63)=0,"",SUMIFS(T_TTAFStock_Log[TTAF_Qty],T_TTAFStock_Log[Part Name],$A15,T_TTAFStock_Log[WeekIndex],63))</f>
        <v/>
      </c>
      <c r="BM15" s="19">
        <f>IF(COUNTIFS(T_TTAFStock_Log[Part Name],$A15,T_TTAFStock_Log[WeekIndex],64)=0,"",SUMIFS(T_TTAFStock_Log[TTAF_Qty],T_TTAFStock_Log[Part Name],$A15,T_TTAFStock_Log[WeekIndex],64))</f>
        <v/>
      </c>
      <c r="BN15" s="19">
        <f>IF(COUNTIFS(T_TTAFStock_Log[Part Name],$A15,T_TTAFStock_Log[WeekIndex],65)=0,"",SUMIFS(T_TTAFStock_Log[TTAF_Qty],T_TTAFStock_Log[Part Name],$A15,T_TTAFStock_Log[WeekIndex],65))</f>
        <v/>
      </c>
      <c r="BO15" s="19">
        <f>IF(COUNTIFS(T_TTAFStock_Log[Part Name],$A15,T_TTAFStock_Log[WeekIndex],66)=0,"",SUMIFS(T_TTAFStock_Log[TTAF_Qty],T_TTAFStock_Log[Part Name],$A15,T_TTAFStock_Log[WeekIndex],66))</f>
        <v/>
      </c>
      <c r="BP15" s="19">
        <f>IF(COUNTIFS(T_TTAFStock_Log[Part Name],$A15,T_TTAFStock_Log[WeekIndex],67)=0,"",SUMIFS(T_TTAFStock_Log[TTAF_Qty],T_TTAFStock_Log[Part Name],$A15,T_TTAFStock_Log[WeekIndex],67))</f>
        <v/>
      </c>
      <c r="BQ15" s="19">
        <f>IF(COUNTIFS(T_TTAFStock_Log[Part Name],$A15,T_TTAFStock_Log[WeekIndex],68)=0,"",SUMIFS(T_TTAFStock_Log[TTAF_Qty],T_TTAFStock_Log[Part Name],$A15,T_TTAFStock_Log[WeekIndex],68))</f>
        <v/>
      </c>
      <c r="BR15" s="19">
        <f>IF(COUNTIFS(T_TTAFStock_Log[Part Name],$A15,T_TTAFStock_Log[WeekIndex],69)=0,"",SUMIFS(T_TTAFStock_Log[TTAF_Qty],T_TTAFStock_Log[Part Name],$A15,T_TTAFStock_Log[WeekIndex],69))</f>
        <v/>
      </c>
      <c r="BS15" s="19">
        <f>IF(COUNTIFS(T_TTAFStock_Log[Part Name],$A15,T_TTAFStock_Log[WeekIndex],70)=0,"",SUMIFS(T_TTAFStock_Log[TTAF_Qty],T_TTAFStock_Log[Part Name],$A15,T_TTAFStock_Log[WeekIndex],70))</f>
        <v/>
      </c>
      <c r="BT15" s="19">
        <f>IF(COUNTIFS(T_TTAFStock_Log[Part Name],$A15,T_TTAFStock_Log[WeekIndex],71)=0,"",SUMIFS(T_TTAFStock_Log[TTAF_Qty],T_TTAFStock_Log[Part Name],$A15,T_TTAFStock_Log[WeekIndex],71))</f>
        <v/>
      </c>
      <c r="BU15" s="19">
        <f>IF(COUNTIFS(T_TTAFStock_Log[Part Name],$A15,T_TTAFStock_Log[WeekIndex],72)=0,"",SUMIFS(T_TTAFStock_Log[TTAF_Qty],T_TTAFStock_Log[Part Name],$A15,T_TTAFStock_Log[WeekIndex],72))</f>
        <v/>
      </c>
      <c r="BV15" s="19">
        <f>IF(COUNTIFS(T_TTAFStock_Log[Part Name],$A15,T_TTAFStock_Log[WeekIndex],73)=0,"",SUMIFS(T_TTAFStock_Log[TTAF_Qty],T_TTAFStock_Log[Part Name],$A15,T_TTAFStock_Log[WeekIndex],73))</f>
        <v/>
      </c>
      <c r="BW15" s="19">
        <f>IF(COUNTIFS(T_TTAFStock_Log[Part Name],$A15,T_TTAFStock_Log[WeekIndex],74)=0,"",SUMIFS(T_TTAFStock_Log[TTAF_Qty],T_TTAFStock_Log[Part Name],$A15,T_TTAFStock_Log[WeekIndex],74))</f>
        <v/>
      </c>
      <c r="BX15" s="19">
        <f>IF(COUNTIFS(T_TTAFStock_Log[Part Name],$A15,T_TTAFStock_Log[WeekIndex],75)=0,"",SUMIFS(T_TTAFStock_Log[TTAF_Qty],T_TTAFStock_Log[Part Name],$A15,T_TTAFStock_Log[WeekIndex],75))</f>
        <v/>
      </c>
      <c r="BY15" s="19">
        <f>IF(COUNTIFS(T_TTAFStock_Log[Part Name],$A15,T_TTAFStock_Log[WeekIndex],76)=0,"",SUMIFS(T_TTAFStock_Log[TTAF_Qty],T_TTAFStock_Log[Part Name],$A15,T_TTAFStock_Log[WeekIndex],76))</f>
        <v/>
      </c>
      <c r="BZ15" s="19">
        <f>IF(COUNTIFS(T_TTAFStock_Log[Part Name],$A15,T_TTAFStock_Log[WeekIndex],77)=0,"",SUMIFS(T_TTAFStock_Log[TTAF_Qty],T_TTAFStock_Log[Part Name],$A15,T_TTAFStock_Log[WeekIndex],77))</f>
        <v/>
      </c>
      <c r="CA15" s="19">
        <f>IF(COUNTIFS(T_TTAFStock_Log[Part Name],$A15,T_TTAFStock_Log[WeekIndex],78)=0,"",SUMIFS(T_TTAFStock_Log[TTAF_Qty],T_TTAFStock_Log[Part Name],$A15,T_TTAFStock_Log[WeekIndex],78))</f>
        <v/>
      </c>
      <c r="CB15" s="19">
        <f>IF(COUNTIFS(T_TTAFStock_Log[Part Name],$A15,T_TTAFStock_Log[WeekIndex],79)=0,"",SUMIFS(T_TTAFStock_Log[TTAF_Qty],T_TTAFStock_Log[Part Name],$A15,T_TTAFStock_Log[WeekIndex],79))</f>
        <v/>
      </c>
      <c r="CC15" s="19">
        <f>IF(COUNTIFS(T_TTAFStock_Log[Part Name],$A15,T_TTAFStock_Log[WeekIndex],80)=0,"",SUMIFS(T_TTAFStock_Log[TTAF_Qty],T_TTAFStock_Log[Part Name],$A15,T_TTAFStock_Log[WeekIndex],80))</f>
        <v/>
      </c>
      <c r="CD15" s="19">
        <f>IF(COUNTIFS(T_TTAFStock_Log[Part Name],$A15,T_TTAFStock_Log[WeekIndex],81)=0,"",SUMIFS(T_TTAFStock_Log[TTAF_Qty],T_TTAFStock_Log[Part Name],$A15,T_TTAFStock_Log[WeekIndex],81))</f>
        <v/>
      </c>
      <c r="CE15" s="19">
        <f>IF(COUNTIFS(T_TTAFStock_Log[Part Name],$A15,T_TTAFStock_Log[WeekIndex],82)=0,"",SUMIFS(T_TTAFStock_Log[TTAF_Qty],T_TTAFStock_Log[Part Name],$A15,T_TTAFStock_Log[WeekIndex],82))</f>
        <v/>
      </c>
      <c r="CF15" s="19">
        <f>IF(COUNTIFS(T_TTAFStock_Log[Part Name],$A15,T_TTAFStock_Log[WeekIndex],83)=0,"",SUMIFS(T_TTAFStock_Log[TTAF_Qty],T_TTAFStock_Log[Part Name],$A15,T_TTAFStock_Log[WeekIndex],83))</f>
        <v/>
      </c>
      <c r="CG15" s="19">
        <f>IF(COUNTIFS(T_TTAFStock_Log[Part Name],$A15,T_TTAFStock_Log[WeekIndex],84)=0,"",SUMIFS(T_TTAFStock_Log[TTAF_Qty],T_TTAFStock_Log[Part Name],$A15,T_TTAFStock_Log[WeekIndex],84))</f>
        <v/>
      </c>
      <c r="CH15" s="19">
        <f>IF(COUNTIFS(T_TTAFStock_Log[Part Name],$A15,T_TTAFStock_Log[WeekIndex],85)=0,"",SUMIFS(T_TTAFStock_Log[TTAF_Qty],T_TTAFStock_Log[Part Name],$A15,T_TTAFStock_Log[WeekIndex],85))</f>
        <v/>
      </c>
      <c r="CI15" s="19">
        <f>IF(COUNTIFS(T_TTAFStock_Log[Part Name],$A15,T_TTAFStock_Log[WeekIndex],86)=0,"",SUMIFS(T_TTAFStock_Log[TTAF_Qty],T_TTAFStock_Log[Part Name],$A15,T_TTAFStock_Log[WeekIndex],86))</f>
        <v/>
      </c>
      <c r="CJ15" s="19">
        <f>IF(COUNTIFS(T_TTAFStock_Log[Part Name],$A15,T_TTAFStock_Log[WeekIndex],87)=0,"",SUMIFS(T_TTAFStock_Log[TTAF_Qty],T_TTAFStock_Log[Part Name],$A15,T_TTAFStock_Log[WeekIndex],87))</f>
        <v/>
      </c>
      <c r="CK15" s="19">
        <f>IF(COUNTIFS(T_TTAFStock_Log[Part Name],$A15,T_TTAFStock_Log[WeekIndex],88)=0,"",SUMIFS(T_TTAFStock_Log[TTAF_Qty],T_TTAFStock_Log[Part Name],$A15,T_TTAFStock_Log[WeekIndex],88))</f>
        <v/>
      </c>
      <c r="CL15" s="19">
        <f>IF(COUNTIFS(T_TTAFStock_Log[Part Name],$A15,T_TTAFStock_Log[WeekIndex],89)=0,"",SUMIFS(T_TTAFStock_Log[TTAF_Qty],T_TTAFStock_Log[Part Name],$A15,T_TTAFStock_Log[WeekIndex],89))</f>
        <v/>
      </c>
      <c r="CM15" s="19">
        <f>IF(COUNTIFS(T_TTAFStock_Log[Part Name],$A15,T_TTAFStock_Log[WeekIndex],90)=0,"",SUMIFS(T_TTAFStock_Log[TTAF_Qty],T_TTAFStock_Log[Part Name],$A15,T_TTAFStock_Log[WeekIndex],90))</f>
        <v/>
      </c>
      <c r="CN15" s="19">
        <f>IF(COUNTIFS(T_TTAFStock_Log[Part Name],$A15,T_TTAFStock_Log[WeekIndex],91)=0,"",SUMIFS(T_TTAFStock_Log[TTAF_Qty],T_TTAFStock_Log[Part Name],$A15,T_TTAFStock_Log[WeekIndex],91))</f>
        <v/>
      </c>
      <c r="CO15" s="19">
        <f>IF(COUNTIFS(T_TTAFStock_Log[Part Name],$A15,T_TTAFStock_Log[WeekIndex],92)=0,"",SUMIFS(T_TTAFStock_Log[TTAF_Qty],T_TTAFStock_Log[Part Name],$A15,T_TTAFStock_Log[WeekIndex],92))</f>
        <v/>
      </c>
      <c r="CP15" s="19">
        <f>IF(COUNTIFS(T_TTAFStock_Log[Part Name],$A15,T_TTAFStock_Log[WeekIndex],93)=0,"",SUMIFS(T_TTAFStock_Log[TTAF_Qty],T_TTAFStock_Log[Part Name],$A15,T_TTAFStock_Log[WeekIndex],93))</f>
        <v/>
      </c>
      <c r="CQ15" s="19">
        <f>IF(COUNTIFS(T_TTAFStock_Log[Part Name],$A15,T_TTAFStock_Log[WeekIndex],94)=0,"",SUMIFS(T_TTAFStock_Log[TTAF_Qty],T_TTAFStock_Log[Part Name],$A15,T_TTAFStock_Log[WeekIndex],94))</f>
        <v/>
      </c>
      <c r="CR15" s="19">
        <f>IF(COUNTIFS(T_TTAFStock_Log[Part Name],$A15,T_TTAFStock_Log[WeekIndex],95)=0,"",SUMIFS(T_TTAFStock_Log[TTAF_Qty],T_TTAFStock_Log[Part Name],$A15,T_TTAFStock_Log[WeekIndex],95))</f>
        <v/>
      </c>
      <c r="CS15" s="19">
        <f>IF(COUNTIFS(T_TTAFStock_Log[Part Name],$A15,T_TTAFStock_Log[WeekIndex],96)=0,"",SUMIFS(T_TTAFStock_Log[TTAF_Qty],T_TTAFStock_Log[Part Name],$A15,T_TTAFStock_Log[WeekIndex],96))</f>
        <v/>
      </c>
      <c r="CT15" s="19">
        <f>IF(COUNTIFS(T_TTAFStock_Log[Part Name],$A15,T_TTAFStock_Log[WeekIndex],97)=0,"",SUMIFS(T_TTAFStock_Log[TTAF_Qty],T_TTAFStock_Log[Part Name],$A15,T_TTAFStock_Log[WeekIndex],97))</f>
        <v/>
      </c>
      <c r="CU15" s="19">
        <f>IF(COUNTIFS(T_TTAFStock_Log[Part Name],$A15,T_TTAFStock_Log[WeekIndex],98)=0,"",SUMIFS(T_TTAFStock_Log[TTAF_Qty],T_TTAFStock_Log[Part Name],$A15,T_TTAFStock_Log[WeekIndex],98))</f>
        <v/>
      </c>
      <c r="CV15" s="19">
        <f>IF(COUNTIFS(T_TTAFStock_Log[Part Name],$A15,T_TTAFStock_Log[WeekIndex],99)=0,"",SUMIFS(T_TTAFStock_Log[TTAF_Qty],T_TTAFStock_Log[Part Name],$A15,T_TTAFStock_Log[WeekIndex],99))</f>
        <v/>
      </c>
      <c r="CW15" s="19">
        <f>IF(COUNTIFS(T_TTAFStock_Log[Part Name],$A15,T_TTAFStock_Log[WeekIndex],100)=0,"",SUMIFS(T_TTAFStock_Log[TTAF_Qty],T_TTAFStock_Log[Part Name],$A15,T_TTAFStock_Log[WeekIndex],100))</f>
        <v/>
      </c>
      <c r="CX15" s="19">
        <f>IF(COUNTIFS(T_TTAFStock_Log[Part Name],$A15,T_TTAFStock_Log[WeekIndex],101)=0,"",SUMIFS(T_TTAFStock_Log[TTAF_Qty],T_TTAFStock_Log[Part Name],$A15,T_TTAFStock_Log[WeekIndex],101))</f>
        <v/>
      </c>
      <c r="CY15" s="19">
        <f>IF(COUNTIFS(T_TTAFStock_Log[Part Name],$A15,T_TTAFStock_Log[WeekIndex],102)=0,"",SUMIFS(T_TTAFStock_Log[TTAF_Qty],T_TTAFStock_Log[Part Name],$A15,T_TTAFStock_Log[WeekIndex],102))</f>
        <v/>
      </c>
      <c r="CZ15" s="19">
        <f>IF(COUNTIFS(T_TTAFStock_Log[Part Name],$A15,T_TTAFStock_Log[WeekIndex],103)=0,"",SUMIFS(T_TTAFStock_Log[TTAF_Qty],T_TTAFStock_Log[Part Name],$A15,T_TTAFStock_Log[WeekIndex],103))</f>
        <v/>
      </c>
      <c r="DA15" s="19">
        <f>IF(COUNTIFS(T_TTAFStock_Log[Part Name],$A15,T_TTAFStock_Log[WeekIndex],104)=0,"",SUMIFS(T_TTAFStock_Log[TTAF_Qty],T_TTAFStock_Log[Part Name],$A15,T_TTAFStock_Log[WeekIndex],104))</f>
        <v/>
      </c>
    </row>
    <row r="16">
      <c r="A16" s="17" t="inlineStr">
        <is>
          <t>YAN</t>
        </is>
      </c>
      <c r="B16" s="17">
        <f>IF(COUNTIFS(T_TTAFStock_Log[Part Name],$A16,T_TTAFStock_Log[WeekIndex],1)=0,"",SUMIFS(T_TTAFStock_Log[TTAF_Qty],T_TTAFStock_Log[Part Name],$A16,T_TTAFStock_Log[WeekIndex],1))</f>
        <v/>
      </c>
      <c r="C16" s="17">
        <f>IF(COUNTIFS(T_TTAFStock_Log[Part Name],$A16,T_TTAFStock_Log[WeekIndex],2)=0,"",SUMIFS(T_TTAFStock_Log[TTAF_Qty],T_TTAFStock_Log[Part Name],$A16,T_TTAFStock_Log[WeekIndex],2))</f>
        <v/>
      </c>
      <c r="D16" s="17">
        <f>IF(COUNTIFS(T_TTAFStock_Log[Part Name],$A16,T_TTAFStock_Log[WeekIndex],3)=0,"",SUMIFS(T_TTAFStock_Log[TTAF_Qty],T_TTAFStock_Log[Part Name],$A16,T_TTAFStock_Log[WeekIndex],3))</f>
        <v/>
      </c>
      <c r="E16" s="17">
        <f>IF(COUNTIFS(T_TTAFStock_Log[Part Name],$A16,T_TTAFStock_Log[WeekIndex],4)=0,"",SUMIFS(T_TTAFStock_Log[TTAF_Qty],T_TTAFStock_Log[Part Name],$A16,T_TTAFStock_Log[WeekIndex],4))</f>
        <v/>
      </c>
      <c r="F16" s="17">
        <f>IF(COUNTIFS(T_TTAFStock_Log[Part Name],$A16,T_TTAFStock_Log[WeekIndex],5)=0,"",SUMIFS(T_TTAFStock_Log[TTAF_Qty],T_TTAFStock_Log[Part Name],$A16,T_TTAFStock_Log[WeekIndex],5))</f>
        <v/>
      </c>
      <c r="G16" s="17">
        <f>IF(COUNTIFS(T_TTAFStock_Log[Part Name],$A16,T_TTAFStock_Log[WeekIndex],6)=0,"",SUMIFS(T_TTAFStock_Log[TTAF_Qty],T_TTAFStock_Log[Part Name],$A16,T_TTAFStock_Log[WeekIndex],6))</f>
        <v/>
      </c>
      <c r="H16" s="17">
        <f>IF(COUNTIFS(T_TTAFStock_Log[Part Name],$A16,T_TTAFStock_Log[WeekIndex],7)=0,"",SUMIFS(T_TTAFStock_Log[TTAF_Qty],T_TTAFStock_Log[Part Name],$A16,T_TTAFStock_Log[WeekIndex],7))</f>
        <v/>
      </c>
      <c r="I16" s="17">
        <f>IF(COUNTIFS(T_TTAFStock_Log[Part Name],$A16,T_TTAFStock_Log[WeekIndex],8)=0,"",SUMIFS(T_TTAFStock_Log[TTAF_Qty],T_TTAFStock_Log[Part Name],$A16,T_TTAFStock_Log[WeekIndex],8))</f>
        <v/>
      </c>
      <c r="J16" s="17">
        <f>IF(COUNTIFS(T_TTAFStock_Log[Part Name],$A16,T_TTAFStock_Log[WeekIndex],9)=0,"",SUMIFS(T_TTAFStock_Log[TTAF_Qty],T_TTAFStock_Log[Part Name],$A16,T_TTAFStock_Log[WeekIndex],9))</f>
        <v/>
      </c>
      <c r="K16" s="17">
        <f>IF(COUNTIFS(T_TTAFStock_Log[Part Name],$A16,T_TTAFStock_Log[WeekIndex],10)=0,"",SUMIFS(T_TTAFStock_Log[TTAF_Qty],T_TTAFStock_Log[Part Name],$A16,T_TTAFStock_Log[WeekIndex],10))</f>
        <v/>
      </c>
      <c r="L16" s="17">
        <f>IF(COUNTIFS(T_TTAFStock_Log[Part Name],$A16,T_TTAFStock_Log[WeekIndex],11)=0,"",SUMIFS(T_TTAFStock_Log[TTAF_Qty],T_TTAFStock_Log[Part Name],$A16,T_TTAFStock_Log[WeekIndex],11))</f>
        <v/>
      </c>
      <c r="M16" s="17">
        <f>IF(COUNTIFS(T_TTAFStock_Log[Part Name],$A16,T_TTAFStock_Log[WeekIndex],12)=0,"",SUMIFS(T_TTAFStock_Log[TTAF_Qty],T_TTAFStock_Log[Part Name],$A16,T_TTAFStock_Log[WeekIndex],12))</f>
        <v/>
      </c>
      <c r="N16" s="17">
        <f>IF(COUNTIFS(T_TTAFStock_Log[Part Name],$A16,T_TTAFStock_Log[WeekIndex],13)=0,"",SUMIFS(T_TTAFStock_Log[TTAF_Qty],T_TTAFStock_Log[Part Name],$A16,T_TTAFStock_Log[WeekIndex],13))</f>
        <v/>
      </c>
      <c r="O16" s="17">
        <f>IF(COUNTIFS(T_TTAFStock_Log[Part Name],$A16,T_TTAFStock_Log[WeekIndex],14)=0,"",SUMIFS(T_TTAFStock_Log[TTAF_Qty],T_TTAFStock_Log[Part Name],$A16,T_TTAFStock_Log[WeekIndex],14))</f>
        <v/>
      </c>
      <c r="P16" s="17">
        <f>IF(COUNTIFS(T_TTAFStock_Log[Part Name],$A16,T_TTAFStock_Log[WeekIndex],15)=0,"",SUMIFS(T_TTAFStock_Log[TTAF_Qty],T_TTAFStock_Log[Part Name],$A16,T_TTAFStock_Log[WeekIndex],15))</f>
        <v/>
      </c>
      <c r="Q16" s="17">
        <f>IF(COUNTIFS(T_TTAFStock_Log[Part Name],$A16,T_TTAFStock_Log[WeekIndex],16)=0,"",SUMIFS(T_TTAFStock_Log[TTAF_Qty],T_TTAFStock_Log[Part Name],$A16,T_TTAFStock_Log[WeekIndex],16))</f>
        <v/>
      </c>
      <c r="R16" s="17">
        <f>IF(COUNTIFS(T_TTAFStock_Log[Part Name],$A16,T_TTAFStock_Log[WeekIndex],17)=0,"",SUMIFS(T_TTAFStock_Log[TTAF_Qty],T_TTAFStock_Log[Part Name],$A16,T_TTAFStock_Log[WeekIndex],17))</f>
        <v/>
      </c>
      <c r="S16" s="17">
        <f>IF(COUNTIFS(T_TTAFStock_Log[Part Name],$A16,T_TTAFStock_Log[WeekIndex],18)=0,"",SUMIFS(T_TTAFStock_Log[TTAF_Qty],T_TTAFStock_Log[Part Name],$A16,T_TTAFStock_Log[WeekIndex],18))</f>
        <v/>
      </c>
      <c r="T16" s="17">
        <f>IF(COUNTIFS(T_TTAFStock_Log[Part Name],$A16,T_TTAFStock_Log[WeekIndex],19)=0,"",SUMIFS(T_TTAFStock_Log[TTAF_Qty],T_TTAFStock_Log[Part Name],$A16,T_TTAFStock_Log[WeekIndex],19))</f>
        <v/>
      </c>
      <c r="U16" s="17">
        <f>IF(COUNTIFS(T_TTAFStock_Log[Part Name],$A16,T_TTAFStock_Log[WeekIndex],20)=0,"",SUMIFS(T_TTAFStock_Log[TTAF_Qty],T_TTAFStock_Log[Part Name],$A16,T_TTAFStock_Log[WeekIndex],20))</f>
        <v/>
      </c>
      <c r="V16" s="17">
        <f>IF(COUNTIFS(T_TTAFStock_Log[Part Name],$A16,T_TTAFStock_Log[WeekIndex],21)=0,"",SUMIFS(T_TTAFStock_Log[TTAF_Qty],T_TTAFStock_Log[Part Name],$A16,T_TTAFStock_Log[WeekIndex],21))</f>
        <v/>
      </c>
      <c r="W16" s="17">
        <f>IF(COUNTIFS(T_TTAFStock_Log[Part Name],$A16,T_TTAFStock_Log[WeekIndex],22)=0,"",SUMIFS(T_TTAFStock_Log[TTAF_Qty],T_TTAFStock_Log[Part Name],$A16,T_TTAFStock_Log[WeekIndex],22))</f>
        <v/>
      </c>
      <c r="X16" s="17">
        <f>IF(COUNTIFS(T_TTAFStock_Log[Part Name],$A16,T_TTAFStock_Log[WeekIndex],23)=0,"",SUMIFS(T_TTAFStock_Log[TTAF_Qty],T_TTAFStock_Log[Part Name],$A16,T_TTAFStock_Log[WeekIndex],23))</f>
        <v/>
      </c>
      <c r="Y16" s="17">
        <f>IF(COUNTIFS(T_TTAFStock_Log[Part Name],$A16,T_TTAFStock_Log[WeekIndex],24)=0,"",SUMIFS(T_TTAFStock_Log[TTAF_Qty],T_TTAFStock_Log[Part Name],$A16,T_TTAFStock_Log[WeekIndex],24))</f>
        <v/>
      </c>
      <c r="Z16" s="17">
        <f>IF(COUNTIFS(T_TTAFStock_Log[Part Name],$A16,T_TTAFStock_Log[WeekIndex],25)=0,"",SUMIFS(T_TTAFStock_Log[TTAF_Qty],T_TTAFStock_Log[Part Name],$A16,T_TTAFStock_Log[WeekIndex],25))</f>
        <v/>
      </c>
      <c r="AA16" s="17">
        <f>IF(COUNTIFS(T_TTAFStock_Log[Part Name],$A16,T_TTAFStock_Log[WeekIndex],26)=0,"",SUMIFS(T_TTAFStock_Log[TTAF_Qty],T_TTAFStock_Log[Part Name],$A16,T_TTAFStock_Log[WeekIndex],26))</f>
        <v/>
      </c>
      <c r="AB16" s="17">
        <f>IF(COUNTIFS(T_TTAFStock_Log[Part Name],$A16,T_TTAFStock_Log[WeekIndex],27)=0,"",SUMIFS(T_TTAFStock_Log[TTAF_Qty],T_TTAFStock_Log[Part Name],$A16,T_TTAFStock_Log[WeekIndex],27))</f>
        <v/>
      </c>
      <c r="AC16" s="17">
        <f>IF(COUNTIFS(T_TTAFStock_Log[Part Name],$A16,T_TTAFStock_Log[WeekIndex],28)=0,"",SUMIFS(T_TTAFStock_Log[TTAF_Qty],T_TTAFStock_Log[Part Name],$A16,T_TTAFStock_Log[WeekIndex],28))</f>
        <v/>
      </c>
      <c r="AD16" s="17">
        <f>IF(COUNTIFS(T_TTAFStock_Log[Part Name],$A16,T_TTAFStock_Log[WeekIndex],29)=0,"",SUMIFS(T_TTAFStock_Log[TTAF_Qty],T_TTAFStock_Log[Part Name],$A16,T_TTAFStock_Log[WeekIndex],29))</f>
        <v/>
      </c>
      <c r="AE16" s="17">
        <f>IF(COUNTIFS(T_TTAFStock_Log[Part Name],$A16,T_TTAFStock_Log[WeekIndex],30)=0,"",SUMIFS(T_TTAFStock_Log[TTAF_Qty],T_TTAFStock_Log[Part Name],$A16,T_TTAFStock_Log[WeekIndex],30))</f>
        <v/>
      </c>
      <c r="AF16" s="17">
        <f>IF(COUNTIFS(T_TTAFStock_Log[Part Name],$A16,T_TTAFStock_Log[WeekIndex],31)=0,"",SUMIFS(T_TTAFStock_Log[TTAF_Qty],T_TTAFStock_Log[Part Name],$A16,T_TTAFStock_Log[WeekIndex],31))</f>
        <v/>
      </c>
      <c r="AG16" s="17">
        <f>IF(COUNTIFS(T_TTAFStock_Log[Part Name],$A16,T_TTAFStock_Log[WeekIndex],32)=0,"",SUMIFS(T_TTAFStock_Log[TTAF_Qty],T_TTAFStock_Log[Part Name],$A16,T_TTAFStock_Log[WeekIndex],32))</f>
        <v/>
      </c>
      <c r="AH16" s="17">
        <f>IF(COUNTIFS(T_TTAFStock_Log[Part Name],$A16,T_TTAFStock_Log[WeekIndex],33)=0,"",SUMIFS(T_TTAFStock_Log[TTAF_Qty],T_TTAFStock_Log[Part Name],$A16,T_TTAFStock_Log[WeekIndex],33))</f>
        <v/>
      </c>
      <c r="AI16" s="17">
        <f>IF(COUNTIFS(T_TTAFStock_Log[Part Name],$A16,T_TTAFStock_Log[WeekIndex],34)=0,"",SUMIFS(T_TTAFStock_Log[TTAF_Qty],T_TTAFStock_Log[Part Name],$A16,T_TTAFStock_Log[WeekIndex],34))</f>
        <v/>
      </c>
      <c r="AJ16" s="17">
        <f>IF(COUNTIFS(T_TTAFStock_Log[Part Name],$A16,T_TTAFStock_Log[WeekIndex],35)=0,"",SUMIFS(T_TTAFStock_Log[TTAF_Qty],T_TTAFStock_Log[Part Name],$A16,T_TTAFStock_Log[WeekIndex],35))</f>
        <v/>
      </c>
      <c r="AK16" s="17">
        <f>IF(COUNTIFS(T_TTAFStock_Log[Part Name],$A16,T_TTAFStock_Log[WeekIndex],36)=0,"",SUMIFS(T_TTAFStock_Log[TTAF_Qty],T_TTAFStock_Log[Part Name],$A16,T_TTAFStock_Log[WeekIndex],36))</f>
        <v/>
      </c>
      <c r="AL16" s="17">
        <f>IF(COUNTIFS(T_TTAFStock_Log[Part Name],$A16,T_TTAFStock_Log[WeekIndex],37)=0,"",SUMIFS(T_TTAFStock_Log[TTAF_Qty],T_TTAFStock_Log[Part Name],$A16,T_TTAFStock_Log[WeekIndex],37))</f>
        <v/>
      </c>
      <c r="AM16" s="17">
        <f>IF(COUNTIFS(T_TTAFStock_Log[Part Name],$A16,T_TTAFStock_Log[WeekIndex],38)=0,"",SUMIFS(T_TTAFStock_Log[TTAF_Qty],T_TTAFStock_Log[Part Name],$A16,T_TTAFStock_Log[WeekIndex],38))</f>
        <v/>
      </c>
      <c r="AN16" s="17">
        <f>IF(COUNTIFS(T_TTAFStock_Log[Part Name],$A16,T_TTAFStock_Log[WeekIndex],39)=0,"",SUMIFS(T_TTAFStock_Log[TTAF_Qty],T_TTAFStock_Log[Part Name],$A16,T_TTAFStock_Log[WeekIndex],39))</f>
        <v/>
      </c>
      <c r="AO16" s="17">
        <f>IF(COUNTIFS(T_TTAFStock_Log[Part Name],$A16,T_TTAFStock_Log[WeekIndex],40)=0,"",SUMIFS(T_TTAFStock_Log[TTAF_Qty],T_TTAFStock_Log[Part Name],$A16,T_TTAFStock_Log[WeekIndex],40))</f>
        <v/>
      </c>
      <c r="AP16" s="17">
        <f>IF(COUNTIFS(T_TTAFStock_Log[Part Name],$A16,T_TTAFStock_Log[WeekIndex],41)=0,"",SUMIFS(T_TTAFStock_Log[TTAF_Qty],T_TTAFStock_Log[Part Name],$A16,T_TTAFStock_Log[WeekIndex],41))</f>
        <v/>
      </c>
      <c r="AQ16" s="17">
        <f>IF(COUNTIFS(T_TTAFStock_Log[Part Name],$A16,T_TTAFStock_Log[WeekIndex],42)=0,"",SUMIFS(T_TTAFStock_Log[TTAF_Qty],T_TTAFStock_Log[Part Name],$A16,T_TTAFStock_Log[WeekIndex],42))</f>
        <v/>
      </c>
      <c r="AR16" s="17">
        <f>IF(COUNTIFS(T_TTAFStock_Log[Part Name],$A16,T_TTAFStock_Log[WeekIndex],43)=0,"",SUMIFS(T_TTAFStock_Log[TTAF_Qty],T_TTAFStock_Log[Part Name],$A16,T_TTAFStock_Log[WeekIndex],43))</f>
        <v/>
      </c>
      <c r="AS16" s="17">
        <f>IF(COUNTIFS(T_TTAFStock_Log[Part Name],$A16,T_TTAFStock_Log[WeekIndex],44)=0,"",SUMIFS(T_TTAFStock_Log[TTAF_Qty],T_TTAFStock_Log[Part Name],$A16,T_TTAFStock_Log[WeekIndex],44))</f>
        <v/>
      </c>
      <c r="AT16" s="17">
        <f>IF(COUNTIFS(T_TTAFStock_Log[Part Name],$A16,T_TTAFStock_Log[WeekIndex],45)=0,"",SUMIFS(T_TTAFStock_Log[TTAF_Qty],T_TTAFStock_Log[Part Name],$A16,T_TTAFStock_Log[WeekIndex],45))</f>
        <v/>
      </c>
      <c r="AU16" s="17">
        <f>IF(COUNTIFS(T_TTAFStock_Log[Part Name],$A16,T_TTAFStock_Log[WeekIndex],46)=0,"",SUMIFS(T_TTAFStock_Log[TTAF_Qty],T_TTAFStock_Log[Part Name],$A16,T_TTAFStock_Log[WeekIndex],46))</f>
        <v/>
      </c>
      <c r="AV16" s="17">
        <f>IF(COUNTIFS(T_TTAFStock_Log[Part Name],$A16,T_TTAFStock_Log[WeekIndex],47)=0,"",SUMIFS(T_TTAFStock_Log[TTAF_Qty],T_TTAFStock_Log[Part Name],$A16,T_TTAFStock_Log[WeekIndex],47))</f>
        <v/>
      </c>
      <c r="AW16" s="17">
        <f>IF(COUNTIFS(T_TTAFStock_Log[Part Name],$A16,T_TTAFStock_Log[WeekIndex],48)=0,"",SUMIFS(T_TTAFStock_Log[TTAF_Qty],T_TTAFStock_Log[Part Name],$A16,T_TTAFStock_Log[WeekIndex],48))</f>
        <v/>
      </c>
      <c r="AX16" s="17">
        <f>IF(COUNTIFS(T_TTAFStock_Log[Part Name],$A16,T_TTAFStock_Log[WeekIndex],49)=0,"",SUMIFS(T_TTAFStock_Log[TTAF_Qty],T_TTAFStock_Log[Part Name],$A16,T_TTAFStock_Log[WeekIndex],49))</f>
        <v/>
      </c>
      <c r="AY16" s="17">
        <f>IF(COUNTIFS(T_TTAFStock_Log[Part Name],$A16,T_TTAFStock_Log[WeekIndex],50)=0,"",SUMIFS(T_TTAFStock_Log[TTAF_Qty],T_TTAFStock_Log[Part Name],$A16,T_TTAFStock_Log[WeekIndex],50))</f>
        <v/>
      </c>
      <c r="AZ16" s="17">
        <f>IF(COUNTIFS(T_TTAFStock_Log[Part Name],$A16,T_TTAFStock_Log[WeekIndex],51)=0,"",SUMIFS(T_TTAFStock_Log[TTAF_Qty],T_TTAFStock_Log[Part Name],$A16,T_TTAFStock_Log[WeekIndex],51))</f>
        <v/>
      </c>
      <c r="BA16" s="17">
        <f>IF(COUNTIFS(T_TTAFStock_Log[Part Name],$A16,T_TTAFStock_Log[WeekIndex],52)=0,"",SUMIFS(T_TTAFStock_Log[TTAF_Qty],T_TTAFStock_Log[Part Name],$A16,T_TTAFStock_Log[WeekIndex],52))</f>
        <v/>
      </c>
      <c r="BB16" s="17">
        <f>IF(COUNTIFS(T_TTAFStock_Log[Part Name],$A16,T_TTAFStock_Log[WeekIndex],53)=0,"",SUMIFS(T_TTAFStock_Log[TTAF_Qty],T_TTAFStock_Log[Part Name],$A16,T_TTAFStock_Log[WeekIndex],53))</f>
        <v/>
      </c>
      <c r="BC16" s="17">
        <f>IF(COUNTIFS(T_TTAFStock_Log[Part Name],$A16,T_TTAFStock_Log[WeekIndex],54)=0,"",SUMIFS(T_TTAFStock_Log[TTAF_Qty],T_TTAFStock_Log[Part Name],$A16,T_TTAFStock_Log[WeekIndex],54))</f>
        <v/>
      </c>
      <c r="BD16" s="17">
        <f>IF(COUNTIFS(T_TTAFStock_Log[Part Name],$A16,T_TTAFStock_Log[WeekIndex],55)=0,"",SUMIFS(T_TTAFStock_Log[TTAF_Qty],T_TTAFStock_Log[Part Name],$A16,T_TTAFStock_Log[WeekIndex],55))</f>
        <v/>
      </c>
      <c r="BE16" s="17">
        <f>IF(COUNTIFS(T_TTAFStock_Log[Part Name],$A16,T_TTAFStock_Log[WeekIndex],56)=0,"",SUMIFS(T_TTAFStock_Log[TTAF_Qty],T_TTAFStock_Log[Part Name],$A16,T_TTAFStock_Log[WeekIndex],56))</f>
        <v/>
      </c>
      <c r="BF16" s="17">
        <f>IF(COUNTIFS(T_TTAFStock_Log[Part Name],$A16,T_TTAFStock_Log[WeekIndex],57)=0,"",SUMIFS(T_TTAFStock_Log[TTAF_Qty],T_TTAFStock_Log[Part Name],$A16,T_TTAFStock_Log[WeekIndex],57))</f>
        <v/>
      </c>
      <c r="BG16" s="17">
        <f>IF(COUNTIFS(T_TTAFStock_Log[Part Name],$A16,T_TTAFStock_Log[WeekIndex],58)=0,"",SUMIFS(T_TTAFStock_Log[TTAF_Qty],T_TTAFStock_Log[Part Name],$A16,T_TTAFStock_Log[WeekIndex],58))</f>
        <v/>
      </c>
      <c r="BH16" s="17">
        <f>IF(COUNTIFS(T_TTAFStock_Log[Part Name],$A16,T_TTAFStock_Log[WeekIndex],59)=0,"",SUMIFS(T_TTAFStock_Log[TTAF_Qty],T_TTAFStock_Log[Part Name],$A16,T_TTAFStock_Log[WeekIndex],59))</f>
        <v/>
      </c>
      <c r="BI16" s="17">
        <f>IF(COUNTIFS(T_TTAFStock_Log[Part Name],$A16,T_TTAFStock_Log[WeekIndex],60)=0,"",SUMIFS(T_TTAFStock_Log[TTAF_Qty],T_TTAFStock_Log[Part Name],$A16,T_TTAFStock_Log[WeekIndex],60))</f>
        <v/>
      </c>
      <c r="BJ16" s="17">
        <f>IF(COUNTIFS(T_TTAFStock_Log[Part Name],$A16,T_TTAFStock_Log[WeekIndex],61)=0,"",SUMIFS(T_TTAFStock_Log[TTAF_Qty],T_TTAFStock_Log[Part Name],$A16,T_TTAFStock_Log[WeekIndex],61))</f>
        <v/>
      </c>
      <c r="BK16" s="17">
        <f>IF(COUNTIFS(T_TTAFStock_Log[Part Name],$A16,T_TTAFStock_Log[WeekIndex],62)=0,"",SUMIFS(T_TTAFStock_Log[TTAF_Qty],T_TTAFStock_Log[Part Name],$A16,T_TTAFStock_Log[WeekIndex],62))</f>
        <v/>
      </c>
      <c r="BL16" s="17">
        <f>IF(COUNTIFS(T_TTAFStock_Log[Part Name],$A16,T_TTAFStock_Log[WeekIndex],63)=0,"",SUMIFS(T_TTAFStock_Log[TTAF_Qty],T_TTAFStock_Log[Part Name],$A16,T_TTAFStock_Log[WeekIndex],63))</f>
        <v/>
      </c>
      <c r="BM16" s="17">
        <f>IF(COUNTIFS(T_TTAFStock_Log[Part Name],$A16,T_TTAFStock_Log[WeekIndex],64)=0,"",SUMIFS(T_TTAFStock_Log[TTAF_Qty],T_TTAFStock_Log[Part Name],$A16,T_TTAFStock_Log[WeekIndex],64))</f>
        <v/>
      </c>
      <c r="BN16" s="17">
        <f>IF(COUNTIFS(T_TTAFStock_Log[Part Name],$A16,T_TTAFStock_Log[WeekIndex],65)=0,"",SUMIFS(T_TTAFStock_Log[TTAF_Qty],T_TTAFStock_Log[Part Name],$A16,T_TTAFStock_Log[WeekIndex],65))</f>
        <v/>
      </c>
      <c r="BO16" s="17">
        <f>IF(COUNTIFS(T_TTAFStock_Log[Part Name],$A16,T_TTAFStock_Log[WeekIndex],66)=0,"",SUMIFS(T_TTAFStock_Log[TTAF_Qty],T_TTAFStock_Log[Part Name],$A16,T_TTAFStock_Log[WeekIndex],66))</f>
        <v/>
      </c>
      <c r="BP16" s="17">
        <f>IF(COUNTIFS(T_TTAFStock_Log[Part Name],$A16,T_TTAFStock_Log[WeekIndex],67)=0,"",SUMIFS(T_TTAFStock_Log[TTAF_Qty],T_TTAFStock_Log[Part Name],$A16,T_TTAFStock_Log[WeekIndex],67))</f>
        <v/>
      </c>
      <c r="BQ16" s="17">
        <f>IF(COUNTIFS(T_TTAFStock_Log[Part Name],$A16,T_TTAFStock_Log[WeekIndex],68)=0,"",SUMIFS(T_TTAFStock_Log[TTAF_Qty],T_TTAFStock_Log[Part Name],$A16,T_TTAFStock_Log[WeekIndex],68))</f>
        <v/>
      </c>
      <c r="BR16" s="17">
        <f>IF(COUNTIFS(T_TTAFStock_Log[Part Name],$A16,T_TTAFStock_Log[WeekIndex],69)=0,"",SUMIFS(T_TTAFStock_Log[TTAF_Qty],T_TTAFStock_Log[Part Name],$A16,T_TTAFStock_Log[WeekIndex],69))</f>
        <v/>
      </c>
      <c r="BS16" s="17">
        <f>IF(COUNTIFS(T_TTAFStock_Log[Part Name],$A16,T_TTAFStock_Log[WeekIndex],70)=0,"",SUMIFS(T_TTAFStock_Log[TTAF_Qty],T_TTAFStock_Log[Part Name],$A16,T_TTAFStock_Log[WeekIndex],70))</f>
        <v/>
      </c>
      <c r="BT16" s="17">
        <f>IF(COUNTIFS(T_TTAFStock_Log[Part Name],$A16,T_TTAFStock_Log[WeekIndex],71)=0,"",SUMIFS(T_TTAFStock_Log[TTAF_Qty],T_TTAFStock_Log[Part Name],$A16,T_TTAFStock_Log[WeekIndex],71))</f>
        <v/>
      </c>
      <c r="BU16" s="17">
        <f>IF(COUNTIFS(T_TTAFStock_Log[Part Name],$A16,T_TTAFStock_Log[WeekIndex],72)=0,"",SUMIFS(T_TTAFStock_Log[TTAF_Qty],T_TTAFStock_Log[Part Name],$A16,T_TTAFStock_Log[WeekIndex],72))</f>
        <v/>
      </c>
      <c r="BV16" s="17">
        <f>IF(COUNTIFS(T_TTAFStock_Log[Part Name],$A16,T_TTAFStock_Log[WeekIndex],73)=0,"",SUMIFS(T_TTAFStock_Log[TTAF_Qty],T_TTAFStock_Log[Part Name],$A16,T_TTAFStock_Log[WeekIndex],73))</f>
        <v/>
      </c>
      <c r="BW16" s="17">
        <f>IF(COUNTIFS(T_TTAFStock_Log[Part Name],$A16,T_TTAFStock_Log[WeekIndex],74)=0,"",SUMIFS(T_TTAFStock_Log[TTAF_Qty],T_TTAFStock_Log[Part Name],$A16,T_TTAFStock_Log[WeekIndex],74))</f>
        <v/>
      </c>
      <c r="BX16" s="17">
        <f>IF(COUNTIFS(T_TTAFStock_Log[Part Name],$A16,T_TTAFStock_Log[WeekIndex],75)=0,"",SUMIFS(T_TTAFStock_Log[TTAF_Qty],T_TTAFStock_Log[Part Name],$A16,T_TTAFStock_Log[WeekIndex],75))</f>
        <v/>
      </c>
      <c r="BY16" s="17">
        <f>IF(COUNTIFS(T_TTAFStock_Log[Part Name],$A16,T_TTAFStock_Log[WeekIndex],76)=0,"",SUMIFS(T_TTAFStock_Log[TTAF_Qty],T_TTAFStock_Log[Part Name],$A16,T_TTAFStock_Log[WeekIndex],76))</f>
        <v/>
      </c>
      <c r="BZ16" s="17">
        <f>IF(COUNTIFS(T_TTAFStock_Log[Part Name],$A16,T_TTAFStock_Log[WeekIndex],77)=0,"",SUMIFS(T_TTAFStock_Log[TTAF_Qty],T_TTAFStock_Log[Part Name],$A16,T_TTAFStock_Log[WeekIndex],77))</f>
        <v/>
      </c>
      <c r="CA16" s="17">
        <f>IF(COUNTIFS(T_TTAFStock_Log[Part Name],$A16,T_TTAFStock_Log[WeekIndex],78)=0,"",SUMIFS(T_TTAFStock_Log[TTAF_Qty],T_TTAFStock_Log[Part Name],$A16,T_TTAFStock_Log[WeekIndex],78))</f>
        <v/>
      </c>
      <c r="CB16" s="17">
        <f>IF(COUNTIFS(T_TTAFStock_Log[Part Name],$A16,T_TTAFStock_Log[WeekIndex],79)=0,"",SUMIFS(T_TTAFStock_Log[TTAF_Qty],T_TTAFStock_Log[Part Name],$A16,T_TTAFStock_Log[WeekIndex],79))</f>
        <v/>
      </c>
      <c r="CC16" s="17">
        <f>IF(COUNTIFS(T_TTAFStock_Log[Part Name],$A16,T_TTAFStock_Log[WeekIndex],80)=0,"",SUMIFS(T_TTAFStock_Log[TTAF_Qty],T_TTAFStock_Log[Part Name],$A16,T_TTAFStock_Log[WeekIndex],80))</f>
        <v/>
      </c>
      <c r="CD16" s="17">
        <f>IF(COUNTIFS(T_TTAFStock_Log[Part Name],$A16,T_TTAFStock_Log[WeekIndex],81)=0,"",SUMIFS(T_TTAFStock_Log[TTAF_Qty],T_TTAFStock_Log[Part Name],$A16,T_TTAFStock_Log[WeekIndex],81))</f>
        <v/>
      </c>
      <c r="CE16" s="17">
        <f>IF(COUNTIFS(T_TTAFStock_Log[Part Name],$A16,T_TTAFStock_Log[WeekIndex],82)=0,"",SUMIFS(T_TTAFStock_Log[TTAF_Qty],T_TTAFStock_Log[Part Name],$A16,T_TTAFStock_Log[WeekIndex],82))</f>
        <v/>
      </c>
      <c r="CF16" s="17">
        <f>IF(COUNTIFS(T_TTAFStock_Log[Part Name],$A16,T_TTAFStock_Log[WeekIndex],83)=0,"",SUMIFS(T_TTAFStock_Log[TTAF_Qty],T_TTAFStock_Log[Part Name],$A16,T_TTAFStock_Log[WeekIndex],83))</f>
        <v/>
      </c>
      <c r="CG16" s="17">
        <f>IF(COUNTIFS(T_TTAFStock_Log[Part Name],$A16,T_TTAFStock_Log[WeekIndex],84)=0,"",SUMIFS(T_TTAFStock_Log[TTAF_Qty],T_TTAFStock_Log[Part Name],$A16,T_TTAFStock_Log[WeekIndex],84))</f>
        <v/>
      </c>
      <c r="CH16" s="17">
        <f>IF(COUNTIFS(T_TTAFStock_Log[Part Name],$A16,T_TTAFStock_Log[WeekIndex],85)=0,"",SUMIFS(T_TTAFStock_Log[TTAF_Qty],T_TTAFStock_Log[Part Name],$A16,T_TTAFStock_Log[WeekIndex],85))</f>
        <v/>
      </c>
      <c r="CI16" s="17">
        <f>IF(COUNTIFS(T_TTAFStock_Log[Part Name],$A16,T_TTAFStock_Log[WeekIndex],86)=0,"",SUMIFS(T_TTAFStock_Log[TTAF_Qty],T_TTAFStock_Log[Part Name],$A16,T_TTAFStock_Log[WeekIndex],86))</f>
        <v/>
      </c>
      <c r="CJ16" s="17">
        <f>IF(COUNTIFS(T_TTAFStock_Log[Part Name],$A16,T_TTAFStock_Log[WeekIndex],87)=0,"",SUMIFS(T_TTAFStock_Log[TTAF_Qty],T_TTAFStock_Log[Part Name],$A16,T_TTAFStock_Log[WeekIndex],87))</f>
        <v/>
      </c>
      <c r="CK16" s="17">
        <f>IF(COUNTIFS(T_TTAFStock_Log[Part Name],$A16,T_TTAFStock_Log[WeekIndex],88)=0,"",SUMIFS(T_TTAFStock_Log[TTAF_Qty],T_TTAFStock_Log[Part Name],$A16,T_TTAFStock_Log[WeekIndex],88))</f>
        <v/>
      </c>
      <c r="CL16" s="17">
        <f>IF(COUNTIFS(T_TTAFStock_Log[Part Name],$A16,T_TTAFStock_Log[WeekIndex],89)=0,"",SUMIFS(T_TTAFStock_Log[TTAF_Qty],T_TTAFStock_Log[Part Name],$A16,T_TTAFStock_Log[WeekIndex],89))</f>
        <v/>
      </c>
      <c r="CM16" s="17">
        <f>IF(COUNTIFS(T_TTAFStock_Log[Part Name],$A16,T_TTAFStock_Log[WeekIndex],90)=0,"",SUMIFS(T_TTAFStock_Log[TTAF_Qty],T_TTAFStock_Log[Part Name],$A16,T_TTAFStock_Log[WeekIndex],90))</f>
        <v/>
      </c>
      <c r="CN16" s="17">
        <f>IF(COUNTIFS(T_TTAFStock_Log[Part Name],$A16,T_TTAFStock_Log[WeekIndex],91)=0,"",SUMIFS(T_TTAFStock_Log[TTAF_Qty],T_TTAFStock_Log[Part Name],$A16,T_TTAFStock_Log[WeekIndex],91))</f>
        <v/>
      </c>
      <c r="CO16" s="17">
        <f>IF(COUNTIFS(T_TTAFStock_Log[Part Name],$A16,T_TTAFStock_Log[WeekIndex],92)=0,"",SUMIFS(T_TTAFStock_Log[TTAF_Qty],T_TTAFStock_Log[Part Name],$A16,T_TTAFStock_Log[WeekIndex],92))</f>
        <v/>
      </c>
      <c r="CP16" s="17">
        <f>IF(COUNTIFS(T_TTAFStock_Log[Part Name],$A16,T_TTAFStock_Log[WeekIndex],93)=0,"",SUMIFS(T_TTAFStock_Log[TTAF_Qty],T_TTAFStock_Log[Part Name],$A16,T_TTAFStock_Log[WeekIndex],93))</f>
        <v/>
      </c>
      <c r="CQ16" s="17">
        <f>IF(COUNTIFS(T_TTAFStock_Log[Part Name],$A16,T_TTAFStock_Log[WeekIndex],94)=0,"",SUMIFS(T_TTAFStock_Log[TTAF_Qty],T_TTAFStock_Log[Part Name],$A16,T_TTAFStock_Log[WeekIndex],94))</f>
        <v/>
      </c>
      <c r="CR16" s="17">
        <f>IF(COUNTIFS(T_TTAFStock_Log[Part Name],$A16,T_TTAFStock_Log[WeekIndex],95)=0,"",SUMIFS(T_TTAFStock_Log[TTAF_Qty],T_TTAFStock_Log[Part Name],$A16,T_TTAFStock_Log[WeekIndex],95))</f>
        <v/>
      </c>
      <c r="CS16" s="17">
        <f>IF(COUNTIFS(T_TTAFStock_Log[Part Name],$A16,T_TTAFStock_Log[WeekIndex],96)=0,"",SUMIFS(T_TTAFStock_Log[TTAF_Qty],T_TTAFStock_Log[Part Name],$A16,T_TTAFStock_Log[WeekIndex],96))</f>
        <v/>
      </c>
      <c r="CT16" s="17">
        <f>IF(COUNTIFS(T_TTAFStock_Log[Part Name],$A16,T_TTAFStock_Log[WeekIndex],97)=0,"",SUMIFS(T_TTAFStock_Log[TTAF_Qty],T_TTAFStock_Log[Part Name],$A16,T_TTAFStock_Log[WeekIndex],97))</f>
        <v/>
      </c>
      <c r="CU16" s="17">
        <f>IF(COUNTIFS(T_TTAFStock_Log[Part Name],$A16,T_TTAFStock_Log[WeekIndex],98)=0,"",SUMIFS(T_TTAFStock_Log[TTAF_Qty],T_TTAFStock_Log[Part Name],$A16,T_TTAFStock_Log[WeekIndex],98))</f>
        <v/>
      </c>
      <c r="CV16" s="17">
        <f>IF(COUNTIFS(T_TTAFStock_Log[Part Name],$A16,T_TTAFStock_Log[WeekIndex],99)=0,"",SUMIFS(T_TTAFStock_Log[TTAF_Qty],T_TTAFStock_Log[Part Name],$A16,T_TTAFStock_Log[WeekIndex],99))</f>
        <v/>
      </c>
      <c r="CW16" s="17">
        <f>IF(COUNTIFS(T_TTAFStock_Log[Part Name],$A16,T_TTAFStock_Log[WeekIndex],100)=0,"",SUMIFS(T_TTAFStock_Log[TTAF_Qty],T_TTAFStock_Log[Part Name],$A16,T_TTAFStock_Log[WeekIndex],100))</f>
        <v/>
      </c>
      <c r="CX16" s="17">
        <f>IF(COUNTIFS(T_TTAFStock_Log[Part Name],$A16,T_TTAFStock_Log[WeekIndex],101)=0,"",SUMIFS(T_TTAFStock_Log[TTAF_Qty],T_TTAFStock_Log[Part Name],$A16,T_TTAFStock_Log[WeekIndex],101))</f>
        <v/>
      </c>
      <c r="CY16" s="17">
        <f>IF(COUNTIFS(T_TTAFStock_Log[Part Name],$A16,T_TTAFStock_Log[WeekIndex],102)=0,"",SUMIFS(T_TTAFStock_Log[TTAF_Qty],T_TTAFStock_Log[Part Name],$A16,T_TTAFStock_Log[WeekIndex],102))</f>
        <v/>
      </c>
      <c r="CZ16" s="17">
        <f>IF(COUNTIFS(T_TTAFStock_Log[Part Name],$A16,T_TTAFStock_Log[WeekIndex],103)=0,"",SUMIFS(T_TTAFStock_Log[TTAF_Qty],T_TTAFStock_Log[Part Name],$A16,T_TTAFStock_Log[WeekIndex],103))</f>
        <v/>
      </c>
      <c r="DA16" s="17">
        <f>IF(COUNTIFS(T_TTAFStock_Log[Part Name],$A16,T_TTAFStock_Log[WeekIndex],104)=0,"",SUMIFS(T_TTAFStock_Log[TTAF_Qty],T_TTAFStock_Log[Part Name],$A16,T_TTAFStock_Log[WeekIndex],104))</f>
        <v/>
      </c>
    </row>
    <row r="17">
      <c r="A17" s="19" t="inlineStr">
        <is>
          <t>ABN</t>
        </is>
      </c>
      <c r="B17" s="19">
        <f>IF(COUNTIFS(T_TTAFStock_Log[Part Name],$A17,T_TTAFStock_Log[WeekIndex],1)=0,"",SUMIFS(T_TTAFStock_Log[TTAF_Qty],T_TTAFStock_Log[Part Name],$A17,T_TTAFStock_Log[WeekIndex],1))</f>
        <v/>
      </c>
      <c r="C17" s="19">
        <f>IF(COUNTIFS(T_TTAFStock_Log[Part Name],$A17,T_TTAFStock_Log[WeekIndex],2)=0,"",SUMIFS(T_TTAFStock_Log[TTAF_Qty],T_TTAFStock_Log[Part Name],$A17,T_TTAFStock_Log[WeekIndex],2))</f>
        <v/>
      </c>
      <c r="D17" s="19">
        <f>IF(COUNTIFS(T_TTAFStock_Log[Part Name],$A17,T_TTAFStock_Log[WeekIndex],3)=0,"",SUMIFS(T_TTAFStock_Log[TTAF_Qty],T_TTAFStock_Log[Part Name],$A17,T_TTAFStock_Log[WeekIndex],3))</f>
        <v/>
      </c>
      <c r="E17" s="19">
        <f>IF(COUNTIFS(T_TTAFStock_Log[Part Name],$A17,T_TTAFStock_Log[WeekIndex],4)=0,"",SUMIFS(T_TTAFStock_Log[TTAF_Qty],T_TTAFStock_Log[Part Name],$A17,T_TTAFStock_Log[WeekIndex],4))</f>
        <v/>
      </c>
      <c r="F17" s="19">
        <f>IF(COUNTIFS(T_TTAFStock_Log[Part Name],$A17,T_TTAFStock_Log[WeekIndex],5)=0,"",SUMIFS(T_TTAFStock_Log[TTAF_Qty],T_TTAFStock_Log[Part Name],$A17,T_TTAFStock_Log[WeekIndex],5))</f>
        <v/>
      </c>
      <c r="G17" s="19">
        <f>IF(COUNTIFS(T_TTAFStock_Log[Part Name],$A17,T_TTAFStock_Log[WeekIndex],6)=0,"",SUMIFS(T_TTAFStock_Log[TTAF_Qty],T_TTAFStock_Log[Part Name],$A17,T_TTAFStock_Log[WeekIndex],6))</f>
        <v/>
      </c>
      <c r="H17" s="19">
        <f>IF(COUNTIFS(T_TTAFStock_Log[Part Name],$A17,T_TTAFStock_Log[WeekIndex],7)=0,"",SUMIFS(T_TTAFStock_Log[TTAF_Qty],T_TTAFStock_Log[Part Name],$A17,T_TTAFStock_Log[WeekIndex],7))</f>
        <v/>
      </c>
      <c r="I17" s="19">
        <f>IF(COUNTIFS(T_TTAFStock_Log[Part Name],$A17,T_TTAFStock_Log[WeekIndex],8)=0,"",SUMIFS(T_TTAFStock_Log[TTAF_Qty],T_TTAFStock_Log[Part Name],$A17,T_TTAFStock_Log[WeekIndex],8))</f>
        <v/>
      </c>
      <c r="J17" s="19">
        <f>IF(COUNTIFS(T_TTAFStock_Log[Part Name],$A17,T_TTAFStock_Log[WeekIndex],9)=0,"",SUMIFS(T_TTAFStock_Log[TTAF_Qty],T_TTAFStock_Log[Part Name],$A17,T_TTAFStock_Log[WeekIndex],9))</f>
        <v/>
      </c>
      <c r="K17" s="19">
        <f>IF(COUNTIFS(T_TTAFStock_Log[Part Name],$A17,T_TTAFStock_Log[WeekIndex],10)=0,"",SUMIFS(T_TTAFStock_Log[TTAF_Qty],T_TTAFStock_Log[Part Name],$A17,T_TTAFStock_Log[WeekIndex],10))</f>
        <v/>
      </c>
      <c r="L17" s="19">
        <f>IF(COUNTIFS(T_TTAFStock_Log[Part Name],$A17,T_TTAFStock_Log[WeekIndex],11)=0,"",SUMIFS(T_TTAFStock_Log[TTAF_Qty],T_TTAFStock_Log[Part Name],$A17,T_TTAFStock_Log[WeekIndex],11))</f>
        <v/>
      </c>
      <c r="M17" s="19">
        <f>IF(COUNTIFS(T_TTAFStock_Log[Part Name],$A17,T_TTAFStock_Log[WeekIndex],12)=0,"",SUMIFS(T_TTAFStock_Log[TTAF_Qty],T_TTAFStock_Log[Part Name],$A17,T_TTAFStock_Log[WeekIndex],12))</f>
        <v/>
      </c>
      <c r="N17" s="19">
        <f>IF(COUNTIFS(T_TTAFStock_Log[Part Name],$A17,T_TTAFStock_Log[WeekIndex],13)=0,"",SUMIFS(T_TTAFStock_Log[TTAF_Qty],T_TTAFStock_Log[Part Name],$A17,T_TTAFStock_Log[WeekIndex],13))</f>
        <v/>
      </c>
      <c r="O17" s="19">
        <f>IF(COUNTIFS(T_TTAFStock_Log[Part Name],$A17,T_TTAFStock_Log[WeekIndex],14)=0,"",SUMIFS(T_TTAFStock_Log[TTAF_Qty],T_TTAFStock_Log[Part Name],$A17,T_TTAFStock_Log[WeekIndex],14))</f>
        <v/>
      </c>
      <c r="P17" s="19">
        <f>IF(COUNTIFS(T_TTAFStock_Log[Part Name],$A17,T_TTAFStock_Log[WeekIndex],15)=0,"",SUMIFS(T_TTAFStock_Log[TTAF_Qty],T_TTAFStock_Log[Part Name],$A17,T_TTAFStock_Log[WeekIndex],15))</f>
        <v/>
      </c>
      <c r="Q17" s="19">
        <f>IF(COUNTIFS(T_TTAFStock_Log[Part Name],$A17,T_TTAFStock_Log[WeekIndex],16)=0,"",SUMIFS(T_TTAFStock_Log[TTAF_Qty],T_TTAFStock_Log[Part Name],$A17,T_TTAFStock_Log[WeekIndex],16))</f>
        <v/>
      </c>
      <c r="R17" s="19">
        <f>IF(COUNTIFS(T_TTAFStock_Log[Part Name],$A17,T_TTAFStock_Log[WeekIndex],17)=0,"",SUMIFS(T_TTAFStock_Log[TTAF_Qty],T_TTAFStock_Log[Part Name],$A17,T_TTAFStock_Log[WeekIndex],17))</f>
        <v/>
      </c>
      <c r="S17" s="19">
        <f>IF(COUNTIFS(T_TTAFStock_Log[Part Name],$A17,T_TTAFStock_Log[WeekIndex],18)=0,"",SUMIFS(T_TTAFStock_Log[TTAF_Qty],T_TTAFStock_Log[Part Name],$A17,T_TTAFStock_Log[WeekIndex],18))</f>
        <v/>
      </c>
      <c r="T17" s="19">
        <f>IF(COUNTIFS(T_TTAFStock_Log[Part Name],$A17,T_TTAFStock_Log[WeekIndex],19)=0,"",SUMIFS(T_TTAFStock_Log[TTAF_Qty],T_TTAFStock_Log[Part Name],$A17,T_TTAFStock_Log[WeekIndex],19))</f>
        <v/>
      </c>
      <c r="U17" s="19">
        <f>IF(COUNTIFS(T_TTAFStock_Log[Part Name],$A17,T_TTAFStock_Log[WeekIndex],20)=0,"",SUMIFS(T_TTAFStock_Log[TTAF_Qty],T_TTAFStock_Log[Part Name],$A17,T_TTAFStock_Log[WeekIndex],20))</f>
        <v/>
      </c>
      <c r="V17" s="19">
        <f>IF(COUNTIFS(T_TTAFStock_Log[Part Name],$A17,T_TTAFStock_Log[WeekIndex],21)=0,"",SUMIFS(T_TTAFStock_Log[TTAF_Qty],T_TTAFStock_Log[Part Name],$A17,T_TTAFStock_Log[WeekIndex],21))</f>
        <v/>
      </c>
      <c r="W17" s="19">
        <f>IF(COUNTIFS(T_TTAFStock_Log[Part Name],$A17,T_TTAFStock_Log[WeekIndex],22)=0,"",SUMIFS(T_TTAFStock_Log[TTAF_Qty],T_TTAFStock_Log[Part Name],$A17,T_TTAFStock_Log[WeekIndex],22))</f>
        <v/>
      </c>
      <c r="X17" s="19">
        <f>IF(COUNTIFS(T_TTAFStock_Log[Part Name],$A17,T_TTAFStock_Log[WeekIndex],23)=0,"",SUMIFS(T_TTAFStock_Log[TTAF_Qty],T_TTAFStock_Log[Part Name],$A17,T_TTAFStock_Log[WeekIndex],23))</f>
        <v/>
      </c>
      <c r="Y17" s="19">
        <f>IF(COUNTIFS(T_TTAFStock_Log[Part Name],$A17,T_TTAFStock_Log[WeekIndex],24)=0,"",SUMIFS(T_TTAFStock_Log[TTAF_Qty],T_TTAFStock_Log[Part Name],$A17,T_TTAFStock_Log[WeekIndex],24))</f>
        <v/>
      </c>
      <c r="Z17" s="19">
        <f>IF(COUNTIFS(T_TTAFStock_Log[Part Name],$A17,T_TTAFStock_Log[WeekIndex],25)=0,"",SUMIFS(T_TTAFStock_Log[TTAF_Qty],T_TTAFStock_Log[Part Name],$A17,T_TTAFStock_Log[WeekIndex],25))</f>
        <v/>
      </c>
      <c r="AA17" s="19">
        <f>IF(COUNTIFS(T_TTAFStock_Log[Part Name],$A17,T_TTAFStock_Log[WeekIndex],26)=0,"",SUMIFS(T_TTAFStock_Log[TTAF_Qty],T_TTAFStock_Log[Part Name],$A17,T_TTAFStock_Log[WeekIndex],26))</f>
        <v/>
      </c>
      <c r="AB17" s="19">
        <f>IF(COUNTIFS(T_TTAFStock_Log[Part Name],$A17,T_TTAFStock_Log[WeekIndex],27)=0,"",SUMIFS(T_TTAFStock_Log[TTAF_Qty],T_TTAFStock_Log[Part Name],$A17,T_TTAFStock_Log[WeekIndex],27))</f>
        <v/>
      </c>
      <c r="AC17" s="19">
        <f>IF(COUNTIFS(T_TTAFStock_Log[Part Name],$A17,T_TTAFStock_Log[WeekIndex],28)=0,"",SUMIFS(T_TTAFStock_Log[TTAF_Qty],T_TTAFStock_Log[Part Name],$A17,T_TTAFStock_Log[WeekIndex],28))</f>
        <v/>
      </c>
      <c r="AD17" s="19">
        <f>IF(COUNTIFS(T_TTAFStock_Log[Part Name],$A17,T_TTAFStock_Log[WeekIndex],29)=0,"",SUMIFS(T_TTAFStock_Log[TTAF_Qty],T_TTAFStock_Log[Part Name],$A17,T_TTAFStock_Log[WeekIndex],29))</f>
        <v/>
      </c>
      <c r="AE17" s="19">
        <f>IF(COUNTIFS(T_TTAFStock_Log[Part Name],$A17,T_TTAFStock_Log[WeekIndex],30)=0,"",SUMIFS(T_TTAFStock_Log[TTAF_Qty],T_TTAFStock_Log[Part Name],$A17,T_TTAFStock_Log[WeekIndex],30))</f>
        <v/>
      </c>
      <c r="AF17" s="19">
        <f>IF(COUNTIFS(T_TTAFStock_Log[Part Name],$A17,T_TTAFStock_Log[WeekIndex],31)=0,"",SUMIFS(T_TTAFStock_Log[TTAF_Qty],T_TTAFStock_Log[Part Name],$A17,T_TTAFStock_Log[WeekIndex],31))</f>
        <v/>
      </c>
      <c r="AG17" s="19">
        <f>IF(COUNTIFS(T_TTAFStock_Log[Part Name],$A17,T_TTAFStock_Log[WeekIndex],32)=0,"",SUMIFS(T_TTAFStock_Log[TTAF_Qty],T_TTAFStock_Log[Part Name],$A17,T_TTAFStock_Log[WeekIndex],32))</f>
        <v/>
      </c>
      <c r="AH17" s="19">
        <f>IF(COUNTIFS(T_TTAFStock_Log[Part Name],$A17,T_TTAFStock_Log[WeekIndex],33)=0,"",SUMIFS(T_TTAFStock_Log[TTAF_Qty],T_TTAFStock_Log[Part Name],$A17,T_TTAFStock_Log[WeekIndex],33))</f>
        <v/>
      </c>
      <c r="AI17" s="19">
        <f>IF(COUNTIFS(T_TTAFStock_Log[Part Name],$A17,T_TTAFStock_Log[WeekIndex],34)=0,"",SUMIFS(T_TTAFStock_Log[TTAF_Qty],T_TTAFStock_Log[Part Name],$A17,T_TTAFStock_Log[WeekIndex],34))</f>
        <v/>
      </c>
      <c r="AJ17" s="19">
        <f>IF(COUNTIFS(T_TTAFStock_Log[Part Name],$A17,T_TTAFStock_Log[WeekIndex],35)=0,"",SUMIFS(T_TTAFStock_Log[TTAF_Qty],T_TTAFStock_Log[Part Name],$A17,T_TTAFStock_Log[WeekIndex],35))</f>
        <v/>
      </c>
      <c r="AK17" s="19">
        <f>IF(COUNTIFS(T_TTAFStock_Log[Part Name],$A17,T_TTAFStock_Log[WeekIndex],36)=0,"",SUMIFS(T_TTAFStock_Log[TTAF_Qty],T_TTAFStock_Log[Part Name],$A17,T_TTAFStock_Log[WeekIndex],36))</f>
        <v/>
      </c>
      <c r="AL17" s="19">
        <f>IF(COUNTIFS(T_TTAFStock_Log[Part Name],$A17,T_TTAFStock_Log[WeekIndex],37)=0,"",SUMIFS(T_TTAFStock_Log[TTAF_Qty],T_TTAFStock_Log[Part Name],$A17,T_TTAFStock_Log[WeekIndex],37))</f>
        <v/>
      </c>
      <c r="AM17" s="19">
        <f>IF(COUNTIFS(T_TTAFStock_Log[Part Name],$A17,T_TTAFStock_Log[WeekIndex],38)=0,"",SUMIFS(T_TTAFStock_Log[TTAF_Qty],T_TTAFStock_Log[Part Name],$A17,T_TTAFStock_Log[WeekIndex],38))</f>
        <v/>
      </c>
      <c r="AN17" s="19">
        <f>IF(COUNTIFS(T_TTAFStock_Log[Part Name],$A17,T_TTAFStock_Log[WeekIndex],39)=0,"",SUMIFS(T_TTAFStock_Log[TTAF_Qty],T_TTAFStock_Log[Part Name],$A17,T_TTAFStock_Log[WeekIndex],39))</f>
        <v/>
      </c>
      <c r="AO17" s="19">
        <f>IF(COUNTIFS(T_TTAFStock_Log[Part Name],$A17,T_TTAFStock_Log[WeekIndex],40)=0,"",SUMIFS(T_TTAFStock_Log[TTAF_Qty],T_TTAFStock_Log[Part Name],$A17,T_TTAFStock_Log[WeekIndex],40))</f>
        <v/>
      </c>
      <c r="AP17" s="19">
        <f>IF(COUNTIFS(T_TTAFStock_Log[Part Name],$A17,T_TTAFStock_Log[WeekIndex],41)=0,"",SUMIFS(T_TTAFStock_Log[TTAF_Qty],T_TTAFStock_Log[Part Name],$A17,T_TTAFStock_Log[WeekIndex],41))</f>
        <v/>
      </c>
      <c r="AQ17" s="19">
        <f>IF(COUNTIFS(T_TTAFStock_Log[Part Name],$A17,T_TTAFStock_Log[WeekIndex],42)=0,"",SUMIFS(T_TTAFStock_Log[TTAF_Qty],T_TTAFStock_Log[Part Name],$A17,T_TTAFStock_Log[WeekIndex],42))</f>
        <v/>
      </c>
      <c r="AR17" s="19">
        <f>IF(COUNTIFS(T_TTAFStock_Log[Part Name],$A17,T_TTAFStock_Log[WeekIndex],43)=0,"",SUMIFS(T_TTAFStock_Log[TTAF_Qty],T_TTAFStock_Log[Part Name],$A17,T_TTAFStock_Log[WeekIndex],43))</f>
        <v/>
      </c>
      <c r="AS17" s="19">
        <f>IF(COUNTIFS(T_TTAFStock_Log[Part Name],$A17,T_TTAFStock_Log[WeekIndex],44)=0,"",SUMIFS(T_TTAFStock_Log[TTAF_Qty],T_TTAFStock_Log[Part Name],$A17,T_TTAFStock_Log[WeekIndex],44))</f>
        <v/>
      </c>
      <c r="AT17" s="19">
        <f>IF(COUNTIFS(T_TTAFStock_Log[Part Name],$A17,T_TTAFStock_Log[WeekIndex],45)=0,"",SUMIFS(T_TTAFStock_Log[TTAF_Qty],T_TTAFStock_Log[Part Name],$A17,T_TTAFStock_Log[WeekIndex],45))</f>
        <v/>
      </c>
      <c r="AU17" s="19">
        <f>IF(COUNTIFS(T_TTAFStock_Log[Part Name],$A17,T_TTAFStock_Log[WeekIndex],46)=0,"",SUMIFS(T_TTAFStock_Log[TTAF_Qty],T_TTAFStock_Log[Part Name],$A17,T_TTAFStock_Log[WeekIndex],46))</f>
        <v/>
      </c>
      <c r="AV17" s="19">
        <f>IF(COUNTIFS(T_TTAFStock_Log[Part Name],$A17,T_TTAFStock_Log[WeekIndex],47)=0,"",SUMIFS(T_TTAFStock_Log[TTAF_Qty],T_TTAFStock_Log[Part Name],$A17,T_TTAFStock_Log[WeekIndex],47))</f>
        <v/>
      </c>
      <c r="AW17" s="19">
        <f>IF(COUNTIFS(T_TTAFStock_Log[Part Name],$A17,T_TTAFStock_Log[WeekIndex],48)=0,"",SUMIFS(T_TTAFStock_Log[TTAF_Qty],T_TTAFStock_Log[Part Name],$A17,T_TTAFStock_Log[WeekIndex],48))</f>
        <v/>
      </c>
      <c r="AX17" s="19">
        <f>IF(COUNTIFS(T_TTAFStock_Log[Part Name],$A17,T_TTAFStock_Log[WeekIndex],49)=0,"",SUMIFS(T_TTAFStock_Log[TTAF_Qty],T_TTAFStock_Log[Part Name],$A17,T_TTAFStock_Log[WeekIndex],49))</f>
        <v/>
      </c>
      <c r="AY17" s="19">
        <f>IF(COUNTIFS(T_TTAFStock_Log[Part Name],$A17,T_TTAFStock_Log[WeekIndex],50)=0,"",SUMIFS(T_TTAFStock_Log[TTAF_Qty],T_TTAFStock_Log[Part Name],$A17,T_TTAFStock_Log[WeekIndex],50))</f>
        <v/>
      </c>
      <c r="AZ17" s="19">
        <f>IF(COUNTIFS(T_TTAFStock_Log[Part Name],$A17,T_TTAFStock_Log[WeekIndex],51)=0,"",SUMIFS(T_TTAFStock_Log[TTAF_Qty],T_TTAFStock_Log[Part Name],$A17,T_TTAFStock_Log[WeekIndex],51))</f>
        <v/>
      </c>
      <c r="BA17" s="19">
        <f>IF(COUNTIFS(T_TTAFStock_Log[Part Name],$A17,T_TTAFStock_Log[WeekIndex],52)=0,"",SUMIFS(T_TTAFStock_Log[TTAF_Qty],T_TTAFStock_Log[Part Name],$A17,T_TTAFStock_Log[WeekIndex],52))</f>
        <v/>
      </c>
      <c r="BB17" s="19">
        <f>IF(COUNTIFS(T_TTAFStock_Log[Part Name],$A17,T_TTAFStock_Log[WeekIndex],53)=0,"",SUMIFS(T_TTAFStock_Log[TTAF_Qty],T_TTAFStock_Log[Part Name],$A17,T_TTAFStock_Log[WeekIndex],53))</f>
        <v/>
      </c>
      <c r="BC17" s="19">
        <f>IF(COUNTIFS(T_TTAFStock_Log[Part Name],$A17,T_TTAFStock_Log[WeekIndex],54)=0,"",SUMIFS(T_TTAFStock_Log[TTAF_Qty],T_TTAFStock_Log[Part Name],$A17,T_TTAFStock_Log[WeekIndex],54))</f>
        <v/>
      </c>
      <c r="BD17" s="19">
        <f>IF(COUNTIFS(T_TTAFStock_Log[Part Name],$A17,T_TTAFStock_Log[WeekIndex],55)=0,"",SUMIFS(T_TTAFStock_Log[TTAF_Qty],T_TTAFStock_Log[Part Name],$A17,T_TTAFStock_Log[WeekIndex],55))</f>
        <v/>
      </c>
      <c r="BE17" s="19">
        <f>IF(COUNTIFS(T_TTAFStock_Log[Part Name],$A17,T_TTAFStock_Log[WeekIndex],56)=0,"",SUMIFS(T_TTAFStock_Log[TTAF_Qty],T_TTAFStock_Log[Part Name],$A17,T_TTAFStock_Log[WeekIndex],56))</f>
        <v/>
      </c>
      <c r="BF17" s="19">
        <f>IF(COUNTIFS(T_TTAFStock_Log[Part Name],$A17,T_TTAFStock_Log[WeekIndex],57)=0,"",SUMIFS(T_TTAFStock_Log[TTAF_Qty],T_TTAFStock_Log[Part Name],$A17,T_TTAFStock_Log[WeekIndex],57))</f>
        <v/>
      </c>
      <c r="BG17" s="19">
        <f>IF(COUNTIFS(T_TTAFStock_Log[Part Name],$A17,T_TTAFStock_Log[WeekIndex],58)=0,"",SUMIFS(T_TTAFStock_Log[TTAF_Qty],T_TTAFStock_Log[Part Name],$A17,T_TTAFStock_Log[WeekIndex],58))</f>
        <v/>
      </c>
      <c r="BH17" s="19">
        <f>IF(COUNTIFS(T_TTAFStock_Log[Part Name],$A17,T_TTAFStock_Log[WeekIndex],59)=0,"",SUMIFS(T_TTAFStock_Log[TTAF_Qty],T_TTAFStock_Log[Part Name],$A17,T_TTAFStock_Log[WeekIndex],59))</f>
        <v/>
      </c>
      <c r="BI17" s="19">
        <f>IF(COUNTIFS(T_TTAFStock_Log[Part Name],$A17,T_TTAFStock_Log[WeekIndex],60)=0,"",SUMIFS(T_TTAFStock_Log[TTAF_Qty],T_TTAFStock_Log[Part Name],$A17,T_TTAFStock_Log[WeekIndex],60))</f>
        <v/>
      </c>
      <c r="BJ17" s="19">
        <f>IF(COUNTIFS(T_TTAFStock_Log[Part Name],$A17,T_TTAFStock_Log[WeekIndex],61)=0,"",SUMIFS(T_TTAFStock_Log[TTAF_Qty],T_TTAFStock_Log[Part Name],$A17,T_TTAFStock_Log[WeekIndex],61))</f>
        <v/>
      </c>
      <c r="BK17" s="19">
        <f>IF(COUNTIFS(T_TTAFStock_Log[Part Name],$A17,T_TTAFStock_Log[WeekIndex],62)=0,"",SUMIFS(T_TTAFStock_Log[TTAF_Qty],T_TTAFStock_Log[Part Name],$A17,T_TTAFStock_Log[WeekIndex],62))</f>
        <v/>
      </c>
      <c r="BL17" s="19">
        <f>IF(COUNTIFS(T_TTAFStock_Log[Part Name],$A17,T_TTAFStock_Log[WeekIndex],63)=0,"",SUMIFS(T_TTAFStock_Log[TTAF_Qty],T_TTAFStock_Log[Part Name],$A17,T_TTAFStock_Log[WeekIndex],63))</f>
        <v/>
      </c>
      <c r="BM17" s="19">
        <f>IF(COUNTIFS(T_TTAFStock_Log[Part Name],$A17,T_TTAFStock_Log[WeekIndex],64)=0,"",SUMIFS(T_TTAFStock_Log[TTAF_Qty],T_TTAFStock_Log[Part Name],$A17,T_TTAFStock_Log[WeekIndex],64))</f>
        <v/>
      </c>
      <c r="BN17" s="19">
        <f>IF(COUNTIFS(T_TTAFStock_Log[Part Name],$A17,T_TTAFStock_Log[WeekIndex],65)=0,"",SUMIFS(T_TTAFStock_Log[TTAF_Qty],T_TTAFStock_Log[Part Name],$A17,T_TTAFStock_Log[WeekIndex],65))</f>
        <v/>
      </c>
      <c r="BO17" s="19">
        <f>IF(COUNTIFS(T_TTAFStock_Log[Part Name],$A17,T_TTAFStock_Log[WeekIndex],66)=0,"",SUMIFS(T_TTAFStock_Log[TTAF_Qty],T_TTAFStock_Log[Part Name],$A17,T_TTAFStock_Log[WeekIndex],66))</f>
        <v/>
      </c>
      <c r="BP17" s="19">
        <f>IF(COUNTIFS(T_TTAFStock_Log[Part Name],$A17,T_TTAFStock_Log[WeekIndex],67)=0,"",SUMIFS(T_TTAFStock_Log[TTAF_Qty],T_TTAFStock_Log[Part Name],$A17,T_TTAFStock_Log[WeekIndex],67))</f>
        <v/>
      </c>
      <c r="BQ17" s="19">
        <f>IF(COUNTIFS(T_TTAFStock_Log[Part Name],$A17,T_TTAFStock_Log[WeekIndex],68)=0,"",SUMIFS(T_TTAFStock_Log[TTAF_Qty],T_TTAFStock_Log[Part Name],$A17,T_TTAFStock_Log[WeekIndex],68))</f>
        <v/>
      </c>
      <c r="BR17" s="19">
        <f>IF(COUNTIFS(T_TTAFStock_Log[Part Name],$A17,T_TTAFStock_Log[WeekIndex],69)=0,"",SUMIFS(T_TTAFStock_Log[TTAF_Qty],T_TTAFStock_Log[Part Name],$A17,T_TTAFStock_Log[WeekIndex],69))</f>
        <v/>
      </c>
      <c r="BS17" s="19">
        <f>IF(COUNTIFS(T_TTAFStock_Log[Part Name],$A17,T_TTAFStock_Log[WeekIndex],70)=0,"",SUMIFS(T_TTAFStock_Log[TTAF_Qty],T_TTAFStock_Log[Part Name],$A17,T_TTAFStock_Log[WeekIndex],70))</f>
        <v/>
      </c>
      <c r="BT17" s="19">
        <f>IF(COUNTIFS(T_TTAFStock_Log[Part Name],$A17,T_TTAFStock_Log[WeekIndex],71)=0,"",SUMIFS(T_TTAFStock_Log[TTAF_Qty],T_TTAFStock_Log[Part Name],$A17,T_TTAFStock_Log[WeekIndex],71))</f>
        <v/>
      </c>
      <c r="BU17" s="19">
        <f>IF(COUNTIFS(T_TTAFStock_Log[Part Name],$A17,T_TTAFStock_Log[WeekIndex],72)=0,"",SUMIFS(T_TTAFStock_Log[TTAF_Qty],T_TTAFStock_Log[Part Name],$A17,T_TTAFStock_Log[WeekIndex],72))</f>
        <v/>
      </c>
      <c r="BV17" s="19">
        <f>IF(COUNTIFS(T_TTAFStock_Log[Part Name],$A17,T_TTAFStock_Log[WeekIndex],73)=0,"",SUMIFS(T_TTAFStock_Log[TTAF_Qty],T_TTAFStock_Log[Part Name],$A17,T_TTAFStock_Log[WeekIndex],73))</f>
        <v/>
      </c>
      <c r="BW17" s="19">
        <f>IF(COUNTIFS(T_TTAFStock_Log[Part Name],$A17,T_TTAFStock_Log[WeekIndex],74)=0,"",SUMIFS(T_TTAFStock_Log[TTAF_Qty],T_TTAFStock_Log[Part Name],$A17,T_TTAFStock_Log[WeekIndex],74))</f>
        <v/>
      </c>
      <c r="BX17" s="19">
        <f>IF(COUNTIFS(T_TTAFStock_Log[Part Name],$A17,T_TTAFStock_Log[WeekIndex],75)=0,"",SUMIFS(T_TTAFStock_Log[TTAF_Qty],T_TTAFStock_Log[Part Name],$A17,T_TTAFStock_Log[WeekIndex],75))</f>
        <v/>
      </c>
      <c r="BY17" s="19">
        <f>IF(COUNTIFS(T_TTAFStock_Log[Part Name],$A17,T_TTAFStock_Log[WeekIndex],76)=0,"",SUMIFS(T_TTAFStock_Log[TTAF_Qty],T_TTAFStock_Log[Part Name],$A17,T_TTAFStock_Log[WeekIndex],76))</f>
        <v/>
      </c>
      <c r="BZ17" s="19">
        <f>IF(COUNTIFS(T_TTAFStock_Log[Part Name],$A17,T_TTAFStock_Log[WeekIndex],77)=0,"",SUMIFS(T_TTAFStock_Log[TTAF_Qty],T_TTAFStock_Log[Part Name],$A17,T_TTAFStock_Log[WeekIndex],77))</f>
        <v/>
      </c>
      <c r="CA17" s="19">
        <f>IF(COUNTIFS(T_TTAFStock_Log[Part Name],$A17,T_TTAFStock_Log[WeekIndex],78)=0,"",SUMIFS(T_TTAFStock_Log[TTAF_Qty],T_TTAFStock_Log[Part Name],$A17,T_TTAFStock_Log[WeekIndex],78))</f>
        <v/>
      </c>
      <c r="CB17" s="19">
        <f>IF(COUNTIFS(T_TTAFStock_Log[Part Name],$A17,T_TTAFStock_Log[WeekIndex],79)=0,"",SUMIFS(T_TTAFStock_Log[TTAF_Qty],T_TTAFStock_Log[Part Name],$A17,T_TTAFStock_Log[WeekIndex],79))</f>
        <v/>
      </c>
      <c r="CC17" s="19">
        <f>IF(COUNTIFS(T_TTAFStock_Log[Part Name],$A17,T_TTAFStock_Log[WeekIndex],80)=0,"",SUMIFS(T_TTAFStock_Log[TTAF_Qty],T_TTAFStock_Log[Part Name],$A17,T_TTAFStock_Log[WeekIndex],80))</f>
        <v/>
      </c>
      <c r="CD17" s="19">
        <f>IF(COUNTIFS(T_TTAFStock_Log[Part Name],$A17,T_TTAFStock_Log[WeekIndex],81)=0,"",SUMIFS(T_TTAFStock_Log[TTAF_Qty],T_TTAFStock_Log[Part Name],$A17,T_TTAFStock_Log[WeekIndex],81))</f>
        <v/>
      </c>
      <c r="CE17" s="19">
        <f>IF(COUNTIFS(T_TTAFStock_Log[Part Name],$A17,T_TTAFStock_Log[WeekIndex],82)=0,"",SUMIFS(T_TTAFStock_Log[TTAF_Qty],T_TTAFStock_Log[Part Name],$A17,T_TTAFStock_Log[WeekIndex],82))</f>
        <v/>
      </c>
      <c r="CF17" s="19">
        <f>IF(COUNTIFS(T_TTAFStock_Log[Part Name],$A17,T_TTAFStock_Log[WeekIndex],83)=0,"",SUMIFS(T_TTAFStock_Log[TTAF_Qty],T_TTAFStock_Log[Part Name],$A17,T_TTAFStock_Log[WeekIndex],83))</f>
        <v/>
      </c>
      <c r="CG17" s="19">
        <f>IF(COUNTIFS(T_TTAFStock_Log[Part Name],$A17,T_TTAFStock_Log[WeekIndex],84)=0,"",SUMIFS(T_TTAFStock_Log[TTAF_Qty],T_TTAFStock_Log[Part Name],$A17,T_TTAFStock_Log[WeekIndex],84))</f>
        <v/>
      </c>
      <c r="CH17" s="19">
        <f>IF(COUNTIFS(T_TTAFStock_Log[Part Name],$A17,T_TTAFStock_Log[WeekIndex],85)=0,"",SUMIFS(T_TTAFStock_Log[TTAF_Qty],T_TTAFStock_Log[Part Name],$A17,T_TTAFStock_Log[WeekIndex],85))</f>
        <v/>
      </c>
      <c r="CI17" s="19">
        <f>IF(COUNTIFS(T_TTAFStock_Log[Part Name],$A17,T_TTAFStock_Log[WeekIndex],86)=0,"",SUMIFS(T_TTAFStock_Log[TTAF_Qty],T_TTAFStock_Log[Part Name],$A17,T_TTAFStock_Log[WeekIndex],86))</f>
        <v/>
      </c>
      <c r="CJ17" s="19">
        <f>IF(COUNTIFS(T_TTAFStock_Log[Part Name],$A17,T_TTAFStock_Log[WeekIndex],87)=0,"",SUMIFS(T_TTAFStock_Log[TTAF_Qty],T_TTAFStock_Log[Part Name],$A17,T_TTAFStock_Log[WeekIndex],87))</f>
        <v/>
      </c>
      <c r="CK17" s="19">
        <f>IF(COUNTIFS(T_TTAFStock_Log[Part Name],$A17,T_TTAFStock_Log[WeekIndex],88)=0,"",SUMIFS(T_TTAFStock_Log[TTAF_Qty],T_TTAFStock_Log[Part Name],$A17,T_TTAFStock_Log[WeekIndex],88))</f>
        <v/>
      </c>
      <c r="CL17" s="19">
        <f>IF(COUNTIFS(T_TTAFStock_Log[Part Name],$A17,T_TTAFStock_Log[WeekIndex],89)=0,"",SUMIFS(T_TTAFStock_Log[TTAF_Qty],T_TTAFStock_Log[Part Name],$A17,T_TTAFStock_Log[WeekIndex],89))</f>
        <v/>
      </c>
      <c r="CM17" s="19">
        <f>IF(COUNTIFS(T_TTAFStock_Log[Part Name],$A17,T_TTAFStock_Log[WeekIndex],90)=0,"",SUMIFS(T_TTAFStock_Log[TTAF_Qty],T_TTAFStock_Log[Part Name],$A17,T_TTAFStock_Log[WeekIndex],90))</f>
        <v/>
      </c>
      <c r="CN17" s="19">
        <f>IF(COUNTIFS(T_TTAFStock_Log[Part Name],$A17,T_TTAFStock_Log[WeekIndex],91)=0,"",SUMIFS(T_TTAFStock_Log[TTAF_Qty],T_TTAFStock_Log[Part Name],$A17,T_TTAFStock_Log[WeekIndex],91))</f>
        <v/>
      </c>
      <c r="CO17" s="19">
        <f>IF(COUNTIFS(T_TTAFStock_Log[Part Name],$A17,T_TTAFStock_Log[WeekIndex],92)=0,"",SUMIFS(T_TTAFStock_Log[TTAF_Qty],T_TTAFStock_Log[Part Name],$A17,T_TTAFStock_Log[WeekIndex],92))</f>
        <v/>
      </c>
      <c r="CP17" s="19">
        <f>IF(COUNTIFS(T_TTAFStock_Log[Part Name],$A17,T_TTAFStock_Log[WeekIndex],93)=0,"",SUMIFS(T_TTAFStock_Log[TTAF_Qty],T_TTAFStock_Log[Part Name],$A17,T_TTAFStock_Log[WeekIndex],93))</f>
        <v/>
      </c>
      <c r="CQ17" s="19">
        <f>IF(COUNTIFS(T_TTAFStock_Log[Part Name],$A17,T_TTAFStock_Log[WeekIndex],94)=0,"",SUMIFS(T_TTAFStock_Log[TTAF_Qty],T_TTAFStock_Log[Part Name],$A17,T_TTAFStock_Log[WeekIndex],94))</f>
        <v/>
      </c>
      <c r="CR17" s="19">
        <f>IF(COUNTIFS(T_TTAFStock_Log[Part Name],$A17,T_TTAFStock_Log[WeekIndex],95)=0,"",SUMIFS(T_TTAFStock_Log[TTAF_Qty],T_TTAFStock_Log[Part Name],$A17,T_TTAFStock_Log[WeekIndex],95))</f>
        <v/>
      </c>
      <c r="CS17" s="19">
        <f>IF(COUNTIFS(T_TTAFStock_Log[Part Name],$A17,T_TTAFStock_Log[WeekIndex],96)=0,"",SUMIFS(T_TTAFStock_Log[TTAF_Qty],T_TTAFStock_Log[Part Name],$A17,T_TTAFStock_Log[WeekIndex],96))</f>
        <v/>
      </c>
      <c r="CT17" s="19">
        <f>IF(COUNTIFS(T_TTAFStock_Log[Part Name],$A17,T_TTAFStock_Log[WeekIndex],97)=0,"",SUMIFS(T_TTAFStock_Log[TTAF_Qty],T_TTAFStock_Log[Part Name],$A17,T_TTAFStock_Log[WeekIndex],97))</f>
        <v/>
      </c>
      <c r="CU17" s="19">
        <f>IF(COUNTIFS(T_TTAFStock_Log[Part Name],$A17,T_TTAFStock_Log[WeekIndex],98)=0,"",SUMIFS(T_TTAFStock_Log[TTAF_Qty],T_TTAFStock_Log[Part Name],$A17,T_TTAFStock_Log[WeekIndex],98))</f>
        <v/>
      </c>
      <c r="CV17" s="19">
        <f>IF(COUNTIFS(T_TTAFStock_Log[Part Name],$A17,T_TTAFStock_Log[WeekIndex],99)=0,"",SUMIFS(T_TTAFStock_Log[TTAF_Qty],T_TTAFStock_Log[Part Name],$A17,T_TTAFStock_Log[WeekIndex],99))</f>
        <v/>
      </c>
      <c r="CW17" s="19">
        <f>IF(COUNTIFS(T_TTAFStock_Log[Part Name],$A17,T_TTAFStock_Log[WeekIndex],100)=0,"",SUMIFS(T_TTAFStock_Log[TTAF_Qty],T_TTAFStock_Log[Part Name],$A17,T_TTAFStock_Log[WeekIndex],100))</f>
        <v/>
      </c>
      <c r="CX17" s="19">
        <f>IF(COUNTIFS(T_TTAFStock_Log[Part Name],$A17,T_TTAFStock_Log[WeekIndex],101)=0,"",SUMIFS(T_TTAFStock_Log[TTAF_Qty],T_TTAFStock_Log[Part Name],$A17,T_TTAFStock_Log[WeekIndex],101))</f>
        <v/>
      </c>
      <c r="CY17" s="19">
        <f>IF(COUNTIFS(T_TTAFStock_Log[Part Name],$A17,T_TTAFStock_Log[WeekIndex],102)=0,"",SUMIFS(T_TTAFStock_Log[TTAF_Qty],T_TTAFStock_Log[Part Name],$A17,T_TTAFStock_Log[WeekIndex],102))</f>
        <v/>
      </c>
      <c r="CZ17" s="19">
        <f>IF(COUNTIFS(T_TTAFStock_Log[Part Name],$A17,T_TTAFStock_Log[WeekIndex],103)=0,"",SUMIFS(T_TTAFStock_Log[TTAF_Qty],T_TTAFStock_Log[Part Name],$A17,T_TTAFStock_Log[WeekIndex],103))</f>
        <v/>
      </c>
      <c r="DA17" s="19">
        <f>IF(COUNTIFS(T_TTAFStock_Log[Part Name],$A17,T_TTAFStock_Log[WeekIndex],104)=0,"",SUMIFS(T_TTAFStock_Log[TTAF_Qty],T_TTAFStock_Log[Part Name],$A17,T_TTAFStock_Log[WeekIndex],104))</f>
        <v/>
      </c>
    </row>
    <row r="18">
      <c r="A18" s="17" t="inlineStr">
        <is>
          <t>OLJ</t>
        </is>
      </c>
      <c r="B18" s="17">
        <f>IF(COUNTIFS(T_TTAFStock_Log[Part Name],$A18,T_TTAFStock_Log[WeekIndex],1)=0,"",SUMIFS(T_TTAFStock_Log[TTAF_Qty],T_TTAFStock_Log[Part Name],$A18,T_TTAFStock_Log[WeekIndex],1))</f>
        <v/>
      </c>
      <c r="C18" s="17">
        <f>IF(COUNTIFS(T_TTAFStock_Log[Part Name],$A18,T_TTAFStock_Log[WeekIndex],2)=0,"",SUMIFS(T_TTAFStock_Log[TTAF_Qty],T_TTAFStock_Log[Part Name],$A18,T_TTAFStock_Log[WeekIndex],2))</f>
        <v/>
      </c>
      <c r="D18" s="17">
        <f>IF(COUNTIFS(T_TTAFStock_Log[Part Name],$A18,T_TTAFStock_Log[WeekIndex],3)=0,"",SUMIFS(T_TTAFStock_Log[TTAF_Qty],T_TTAFStock_Log[Part Name],$A18,T_TTAFStock_Log[WeekIndex],3))</f>
        <v/>
      </c>
      <c r="E18" s="17">
        <f>IF(COUNTIFS(T_TTAFStock_Log[Part Name],$A18,T_TTAFStock_Log[WeekIndex],4)=0,"",SUMIFS(T_TTAFStock_Log[TTAF_Qty],T_TTAFStock_Log[Part Name],$A18,T_TTAFStock_Log[WeekIndex],4))</f>
        <v/>
      </c>
      <c r="F18" s="17">
        <f>IF(COUNTIFS(T_TTAFStock_Log[Part Name],$A18,T_TTAFStock_Log[WeekIndex],5)=0,"",SUMIFS(T_TTAFStock_Log[TTAF_Qty],T_TTAFStock_Log[Part Name],$A18,T_TTAFStock_Log[WeekIndex],5))</f>
        <v/>
      </c>
      <c r="G18" s="17">
        <f>IF(COUNTIFS(T_TTAFStock_Log[Part Name],$A18,T_TTAFStock_Log[WeekIndex],6)=0,"",SUMIFS(T_TTAFStock_Log[TTAF_Qty],T_TTAFStock_Log[Part Name],$A18,T_TTAFStock_Log[WeekIndex],6))</f>
        <v/>
      </c>
      <c r="H18" s="17">
        <f>IF(COUNTIFS(T_TTAFStock_Log[Part Name],$A18,T_TTAFStock_Log[WeekIndex],7)=0,"",SUMIFS(T_TTAFStock_Log[TTAF_Qty],T_TTAFStock_Log[Part Name],$A18,T_TTAFStock_Log[WeekIndex],7))</f>
        <v/>
      </c>
      <c r="I18" s="17">
        <f>IF(COUNTIFS(T_TTAFStock_Log[Part Name],$A18,T_TTAFStock_Log[WeekIndex],8)=0,"",SUMIFS(T_TTAFStock_Log[TTAF_Qty],T_TTAFStock_Log[Part Name],$A18,T_TTAFStock_Log[WeekIndex],8))</f>
        <v/>
      </c>
      <c r="J18" s="17">
        <f>IF(COUNTIFS(T_TTAFStock_Log[Part Name],$A18,T_TTAFStock_Log[WeekIndex],9)=0,"",SUMIFS(T_TTAFStock_Log[TTAF_Qty],T_TTAFStock_Log[Part Name],$A18,T_TTAFStock_Log[WeekIndex],9))</f>
        <v/>
      </c>
      <c r="K18" s="17">
        <f>IF(COUNTIFS(T_TTAFStock_Log[Part Name],$A18,T_TTAFStock_Log[WeekIndex],10)=0,"",SUMIFS(T_TTAFStock_Log[TTAF_Qty],T_TTAFStock_Log[Part Name],$A18,T_TTAFStock_Log[WeekIndex],10))</f>
        <v/>
      </c>
      <c r="L18" s="17">
        <f>IF(COUNTIFS(T_TTAFStock_Log[Part Name],$A18,T_TTAFStock_Log[WeekIndex],11)=0,"",SUMIFS(T_TTAFStock_Log[TTAF_Qty],T_TTAFStock_Log[Part Name],$A18,T_TTAFStock_Log[WeekIndex],11))</f>
        <v/>
      </c>
      <c r="M18" s="17">
        <f>IF(COUNTIFS(T_TTAFStock_Log[Part Name],$A18,T_TTAFStock_Log[WeekIndex],12)=0,"",SUMIFS(T_TTAFStock_Log[TTAF_Qty],T_TTAFStock_Log[Part Name],$A18,T_TTAFStock_Log[WeekIndex],12))</f>
        <v/>
      </c>
      <c r="N18" s="17">
        <f>IF(COUNTIFS(T_TTAFStock_Log[Part Name],$A18,T_TTAFStock_Log[WeekIndex],13)=0,"",SUMIFS(T_TTAFStock_Log[TTAF_Qty],T_TTAFStock_Log[Part Name],$A18,T_TTAFStock_Log[WeekIndex],13))</f>
        <v/>
      </c>
      <c r="O18" s="17">
        <f>IF(COUNTIFS(T_TTAFStock_Log[Part Name],$A18,T_TTAFStock_Log[WeekIndex],14)=0,"",SUMIFS(T_TTAFStock_Log[TTAF_Qty],T_TTAFStock_Log[Part Name],$A18,T_TTAFStock_Log[WeekIndex],14))</f>
        <v/>
      </c>
      <c r="P18" s="17">
        <f>IF(COUNTIFS(T_TTAFStock_Log[Part Name],$A18,T_TTAFStock_Log[WeekIndex],15)=0,"",SUMIFS(T_TTAFStock_Log[TTAF_Qty],T_TTAFStock_Log[Part Name],$A18,T_TTAFStock_Log[WeekIndex],15))</f>
        <v/>
      </c>
      <c r="Q18" s="17">
        <f>IF(COUNTIFS(T_TTAFStock_Log[Part Name],$A18,T_TTAFStock_Log[WeekIndex],16)=0,"",SUMIFS(T_TTAFStock_Log[TTAF_Qty],T_TTAFStock_Log[Part Name],$A18,T_TTAFStock_Log[WeekIndex],16))</f>
        <v/>
      </c>
      <c r="R18" s="17">
        <f>IF(COUNTIFS(T_TTAFStock_Log[Part Name],$A18,T_TTAFStock_Log[WeekIndex],17)=0,"",SUMIFS(T_TTAFStock_Log[TTAF_Qty],T_TTAFStock_Log[Part Name],$A18,T_TTAFStock_Log[WeekIndex],17))</f>
        <v/>
      </c>
      <c r="S18" s="17">
        <f>IF(COUNTIFS(T_TTAFStock_Log[Part Name],$A18,T_TTAFStock_Log[WeekIndex],18)=0,"",SUMIFS(T_TTAFStock_Log[TTAF_Qty],T_TTAFStock_Log[Part Name],$A18,T_TTAFStock_Log[WeekIndex],18))</f>
        <v/>
      </c>
      <c r="T18" s="17">
        <f>IF(COUNTIFS(T_TTAFStock_Log[Part Name],$A18,T_TTAFStock_Log[WeekIndex],19)=0,"",SUMIFS(T_TTAFStock_Log[TTAF_Qty],T_TTAFStock_Log[Part Name],$A18,T_TTAFStock_Log[WeekIndex],19))</f>
        <v/>
      </c>
      <c r="U18" s="17">
        <f>IF(COUNTIFS(T_TTAFStock_Log[Part Name],$A18,T_TTAFStock_Log[WeekIndex],20)=0,"",SUMIFS(T_TTAFStock_Log[TTAF_Qty],T_TTAFStock_Log[Part Name],$A18,T_TTAFStock_Log[WeekIndex],20))</f>
        <v/>
      </c>
      <c r="V18" s="17">
        <f>IF(COUNTIFS(T_TTAFStock_Log[Part Name],$A18,T_TTAFStock_Log[WeekIndex],21)=0,"",SUMIFS(T_TTAFStock_Log[TTAF_Qty],T_TTAFStock_Log[Part Name],$A18,T_TTAFStock_Log[WeekIndex],21))</f>
        <v/>
      </c>
      <c r="W18" s="17">
        <f>IF(COUNTIFS(T_TTAFStock_Log[Part Name],$A18,T_TTAFStock_Log[WeekIndex],22)=0,"",SUMIFS(T_TTAFStock_Log[TTAF_Qty],T_TTAFStock_Log[Part Name],$A18,T_TTAFStock_Log[WeekIndex],22))</f>
        <v/>
      </c>
      <c r="X18" s="17">
        <f>IF(COUNTIFS(T_TTAFStock_Log[Part Name],$A18,T_TTAFStock_Log[WeekIndex],23)=0,"",SUMIFS(T_TTAFStock_Log[TTAF_Qty],T_TTAFStock_Log[Part Name],$A18,T_TTAFStock_Log[WeekIndex],23))</f>
        <v/>
      </c>
      <c r="Y18" s="17">
        <f>IF(COUNTIFS(T_TTAFStock_Log[Part Name],$A18,T_TTAFStock_Log[WeekIndex],24)=0,"",SUMIFS(T_TTAFStock_Log[TTAF_Qty],T_TTAFStock_Log[Part Name],$A18,T_TTAFStock_Log[WeekIndex],24))</f>
        <v/>
      </c>
      <c r="Z18" s="17">
        <f>IF(COUNTIFS(T_TTAFStock_Log[Part Name],$A18,T_TTAFStock_Log[WeekIndex],25)=0,"",SUMIFS(T_TTAFStock_Log[TTAF_Qty],T_TTAFStock_Log[Part Name],$A18,T_TTAFStock_Log[WeekIndex],25))</f>
        <v/>
      </c>
      <c r="AA18" s="17">
        <f>IF(COUNTIFS(T_TTAFStock_Log[Part Name],$A18,T_TTAFStock_Log[WeekIndex],26)=0,"",SUMIFS(T_TTAFStock_Log[TTAF_Qty],T_TTAFStock_Log[Part Name],$A18,T_TTAFStock_Log[WeekIndex],26))</f>
        <v/>
      </c>
      <c r="AB18" s="17">
        <f>IF(COUNTIFS(T_TTAFStock_Log[Part Name],$A18,T_TTAFStock_Log[WeekIndex],27)=0,"",SUMIFS(T_TTAFStock_Log[TTAF_Qty],T_TTAFStock_Log[Part Name],$A18,T_TTAFStock_Log[WeekIndex],27))</f>
        <v/>
      </c>
      <c r="AC18" s="17">
        <f>IF(COUNTIFS(T_TTAFStock_Log[Part Name],$A18,T_TTAFStock_Log[WeekIndex],28)=0,"",SUMIFS(T_TTAFStock_Log[TTAF_Qty],T_TTAFStock_Log[Part Name],$A18,T_TTAFStock_Log[WeekIndex],28))</f>
        <v/>
      </c>
      <c r="AD18" s="17">
        <f>IF(COUNTIFS(T_TTAFStock_Log[Part Name],$A18,T_TTAFStock_Log[WeekIndex],29)=0,"",SUMIFS(T_TTAFStock_Log[TTAF_Qty],T_TTAFStock_Log[Part Name],$A18,T_TTAFStock_Log[WeekIndex],29))</f>
        <v/>
      </c>
      <c r="AE18" s="17">
        <f>IF(COUNTIFS(T_TTAFStock_Log[Part Name],$A18,T_TTAFStock_Log[WeekIndex],30)=0,"",SUMIFS(T_TTAFStock_Log[TTAF_Qty],T_TTAFStock_Log[Part Name],$A18,T_TTAFStock_Log[WeekIndex],30))</f>
        <v/>
      </c>
      <c r="AF18" s="17">
        <f>IF(COUNTIFS(T_TTAFStock_Log[Part Name],$A18,T_TTAFStock_Log[WeekIndex],31)=0,"",SUMIFS(T_TTAFStock_Log[TTAF_Qty],T_TTAFStock_Log[Part Name],$A18,T_TTAFStock_Log[WeekIndex],31))</f>
        <v/>
      </c>
      <c r="AG18" s="17">
        <f>IF(COUNTIFS(T_TTAFStock_Log[Part Name],$A18,T_TTAFStock_Log[WeekIndex],32)=0,"",SUMIFS(T_TTAFStock_Log[TTAF_Qty],T_TTAFStock_Log[Part Name],$A18,T_TTAFStock_Log[WeekIndex],32))</f>
        <v/>
      </c>
      <c r="AH18" s="17">
        <f>IF(COUNTIFS(T_TTAFStock_Log[Part Name],$A18,T_TTAFStock_Log[WeekIndex],33)=0,"",SUMIFS(T_TTAFStock_Log[TTAF_Qty],T_TTAFStock_Log[Part Name],$A18,T_TTAFStock_Log[WeekIndex],33))</f>
        <v/>
      </c>
      <c r="AI18" s="17">
        <f>IF(COUNTIFS(T_TTAFStock_Log[Part Name],$A18,T_TTAFStock_Log[WeekIndex],34)=0,"",SUMIFS(T_TTAFStock_Log[TTAF_Qty],T_TTAFStock_Log[Part Name],$A18,T_TTAFStock_Log[WeekIndex],34))</f>
        <v/>
      </c>
      <c r="AJ18" s="17">
        <f>IF(COUNTIFS(T_TTAFStock_Log[Part Name],$A18,T_TTAFStock_Log[WeekIndex],35)=0,"",SUMIFS(T_TTAFStock_Log[TTAF_Qty],T_TTAFStock_Log[Part Name],$A18,T_TTAFStock_Log[WeekIndex],35))</f>
        <v/>
      </c>
      <c r="AK18" s="17">
        <f>IF(COUNTIFS(T_TTAFStock_Log[Part Name],$A18,T_TTAFStock_Log[WeekIndex],36)=0,"",SUMIFS(T_TTAFStock_Log[TTAF_Qty],T_TTAFStock_Log[Part Name],$A18,T_TTAFStock_Log[WeekIndex],36))</f>
        <v/>
      </c>
      <c r="AL18" s="17">
        <f>IF(COUNTIFS(T_TTAFStock_Log[Part Name],$A18,T_TTAFStock_Log[WeekIndex],37)=0,"",SUMIFS(T_TTAFStock_Log[TTAF_Qty],T_TTAFStock_Log[Part Name],$A18,T_TTAFStock_Log[WeekIndex],37))</f>
        <v/>
      </c>
      <c r="AM18" s="17">
        <f>IF(COUNTIFS(T_TTAFStock_Log[Part Name],$A18,T_TTAFStock_Log[WeekIndex],38)=0,"",SUMIFS(T_TTAFStock_Log[TTAF_Qty],T_TTAFStock_Log[Part Name],$A18,T_TTAFStock_Log[WeekIndex],38))</f>
        <v/>
      </c>
      <c r="AN18" s="17">
        <f>IF(COUNTIFS(T_TTAFStock_Log[Part Name],$A18,T_TTAFStock_Log[WeekIndex],39)=0,"",SUMIFS(T_TTAFStock_Log[TTAF_Qty],T_TTAFStock_Log[Part Name],$A18,T_TTAFStock_Log[WeekIndex],39))</f>
        <v/>
      </c>
      <c r="AO18" s="17">
        <f>IF(COUNTIFS(T_TTAFStock_Log[Part Name],$A18,T_TTAFStock_Log[WeekIndex],40)=0,"",SUMIFS(T_TTAFStock_Log[TTAF_Qty],T_TTAFStock_Log[Part Name],$A18,T_TTAFStock_Log[WeekIndex],40))</f>
        <v/>
      </c>
      <c r="AP18" s="17">
        <f>IF(COUNTIFS(T_TTAFStock_Log[Part Name],$A18,T_TTAFStock_Log[WeekIndex],41)=0,"",SUMIFS(T_TTAFStock_Log[TTAF_Qty],T_TTAFStock_Log[Part Name],$A18,T_TTAFStock_Log[WeekIndex],41))</f>
        <v/>
      </c>
      <c r="AQ18" s="17">
        <f>IF(COUNTIFS(T_TTAFStock_Log[Part Name],$A18,T_TTAFStock_Log[WeekIndex],42)=0,"",SUMIFS(T_TTAFStock_Log[TTAF_Qty],T_TTAFStock_Log[Part Name],$A18,T_TTAFStock_Log[WeekIndex],42))</f>
        <v/>
      </c>
      <c r="AR18" s="17">
        <f>IF(COUNTIFS(T_TTAFStock_Log[Part Name],$A18,T_TTAFStock_Log[WeekIndex],43)=0,"",SUMIFS(T_TTAFStock_Log[TTAF_Qty],T_TTAFStock_Log[Part Name],$A18,T_TTAFStock_Log[WeekIndex],43))</f>
        <v/>
      </c>
      <c r="AS18" s="17">
        <f>IF(COUNTIFS(T_TTAFStock_Log[Part Name],$A18,T_TTAFStock_Log[WeekIndex],44)=0,"",SUMIFS(T_TTAFStock_Log[TTAF_Qty],T_TTAFStock_Log[Part Name],$A18,T_TTAFStock_Log[WeekIndex],44))</f>
        <v/>
      </c>
      <c r="AT18" s="17">
        <f>IF(COUNTIFS(T_TTAFStock_Log[Part Name],$A18,T_TTAFStock_Log[WeekIndex],45)=0,"",SUMIFS(T_TTAFStock_Log[TTAF_Qty],T_TTAFStock_Log[Part Name],$A18,T_TTAFStock_Log[WeekIndex],45))</f>
        <v/>
      </c>
      <c r="AU18" s="17">
        <f>IF(COUNTIFS(T_TTAFStock_Log[Part Name],$A18,T_TTAFStock_Log[WeekIndex],46)=0,"",SUMIFS(T_TTAFStock_Log[TTAF_Qty],T_TTAFStock_Log[Part Name],$A18,T_TTAFStock_Log[WeekIndex],46))</f>
        <v/>
      </c>
      <c r="AV18" s="17">
        <f>IF(COUNTIFS(T_TTAFStock_Log[Part Name],$A18,T_TTAFStock_Log[WeekIndex],47)=0,"",SUMIFS(T_TTAFStock_Log[TTAF_Qty],T_TTAFStock_Log[Part Name],$A18,T_TTAFStock_Log[WeekIndex],47))</f>
        <v/>
      </c>
      <c r="AW18" s="17">
        <f>IF(COUNTIFS(T_TTAFStock_Log[Part Name],$A18,T_TTAFStock_Log[WeekIndex],48)=0,"",SUMIFS(T_TTAFStock_Log[TTAF_Qty],T_TTAFStock_Log[Part Name],$A18,T_TTAFStock_Log[WeekIndex],48))</f>
        <v/>
      </c>
      <c r="AX18" s="17">
        <f>IF(COUNTIFS(T_TTAFStock_Log[Part Name],$A18,T_TTAFStock_Log[WeekIndex],49)=0,"",SUMIFS(T_TTAFStock_Log[TTAF_Qty],T_TTAFStock_Log[Part Name],$A18,T_TTAFStock_Log[WeekIndex],49))</f>
        <v/>
      </c>
      <c r="AY18" s="17">
        <f>IF(COUNTIFS(T_TTAFStock_Log[Part Name],$A18,T_TTAFStock_Log[WeekIndex],50)=0,"",SUMIFS(T_TTAFStock_Log[TTAF_Qty],T_TTAFStock_Log[Part Name],$A18,T_TTAFStock_Log[WeekIndex],50))</f>
        <v/>
      </c>
      <c r="AZ18" s="17">
        <f>IF(COUNTIFS(T_TTAFStock_Log[Part Name],$A18,T_TTAFStock_Log[WeekIndex],51)=0,"",SUMIFS(T_TTAFStock_Log[TTAF_Qty],T_TTAFStock_Log[Part Name],$A18,T_TTAFStock_Log[WeekIndex],51))</f>
        <v/>
      </c>
      <c r="BA18" s="17">
        <f>IF(COUNTIFS(T_TTAFStock_Log[Part Name],$A18,T_TTAFStock_Log[WeekIndex],52)=0,"",SUMIFS(T_TTAFStock_Log[TTAF_Qty],T_TTAFStock_Log[Part Name],$A18,T_TTAFStock_Log[WeekIndex],52))</f>
        <v/>
      </c>
      <c r="BB18" s="17">
        <f>IF(COUNTIFS(T_TTAFStock_Log[Part Name],$A18,T_TTAFStock_Log[WeekIndex],53)=0,"",SUMIFS(T_TTAFStock_Log[TTAF_Qty],T_TTAFStock_Log[Part Name],$A18,T_TTAFStock_Log[WeekIndex],53))</f>
        <v/>
      </c>
      <c r="BC18" s="17">
        <f>IF(COUNTIFS(T_TTAFStock_Log[Part Name],$A18,T_TTAFStock_Log[WeekIndex],54)=0,"",SUMIFS(T_TTAFStock_Log[TTAF_Qty],T_TTAFStock_Log[Part Name],$A18,T_TTAFStock_Log[WeekIndex],54))</f>
        <v/>
      </c>
      <c r="BD18" s="17">
        <f>IF(COUNTIFS(T_TTAFStock_Log[Part Name],$A18,T_TTAFStock_Log[WeekIndex],55)=0,"",SUMIFS(T_TTAFStock_Log[TTAF_Qty],T_TTAFStock_Log[Part Name],$A18,T_TTAFStock_Log[WeekIndex],55))</f>
        <v/>
      </c>
      <c r="BE18" s="17">
        <f>IF(COUNTIFS(T_TTAFStock_Log[Part Name],$A18,T_TTAFStock_Log[WeekIndex],56)=0,"",SUMIFS(T_TTAFStock_Log[TTAF_Qty],T_TTAFStock_Log[Part Name],$A18,T_TTAFStock_Log[WeekIndex],56))</f>
        <v/>
      </c>
      <c r="BF18" s="17">
        <f>IF(COUNTIFS(T_TTAFStock_Log[Part Name],$A18,T_TTAFStock_Log[WeekIndex],57)=0,"",SUMIFS(T_TTAFStock_Log[TTAF_Qty],T_TTAFStock_Log[Part Name],$A18,T_TTAFStock_Log[WeekIndex],57))</f>
        <v/>
      </c>
      <c r="BG18" s="17">
        <f>IF(COUNTIFS(T_TTAFStock_Log[Part Name],$A18,T_TTAFStock_Log[WeekIndex],58)=0,"",SUMIFS(T_TTAFStock_Log[TTAF_Qty],T_TTAFStock_Log[Part Name],$A18,T_TTAFStock_Log[WeekIndex],58))</f>
        <v/>
      </c>
      <c r="BH18" s="17">
        <f>IF(COUNTIFS(T_TTAFStock_Log[Part Name],$A18,T_TTAFStock_Log[WeekIndex],59)=0,"",SUMIFS(T_TTAFStock_Log[TTAF_Qty],T_TTAFStock_Log[Part Name],$A18,T_TTAFStock_Log[WeekIndex],59))</f>
        <v/>
      </c>
      <c r="BI18" s="17">
        <f>IF(COUNTIFS(T_TTAFStock_Log[Part Name],$A18,T_TTAFStock_Log[WeekIndex],60)=0,"",SUMIFS(T_TTAFStock_Log[TTAF_Qty],T_TTAFStock_Log[Part Name],$A18,T_TTAFStock_Log[WeekIndex],60))</f>
        <v/>
      </c>
      <c r="BJ18" s="17">
        <f>IF(COUNTIFS(T_TTAFStock_Log[Part Name],$A18,T_TTAFStock_Log[WeekIndex],61)=0,"",SUMIFS(T_TTAFStock_Log[TTAF_Qty],T_TTAFStock_Log[Part Name],$A18,T_TTAFStock_Log[WeekIndex],61))</f>
        <v/>
      </c>
      <c r="BK18" s="17">
        <f>IF(COUNTIFS(T_TTAFStock_Log[Part Name],$A18,T_TTAFStock_Log[WeekIndex],62)=0,"",SUMIFS(T_TTAFStock_Log[TTAF_Qty],T_TTAFStock_Log[Part Name],$A18,T_TTAFStock_Log[WeekIndex],62))</f>
        <v/>
      </c>
      <c r="BL18" s="17">
        <f>IF(COUNTIFS(T_TTAFStock_Log[Part Name],$A18,T_TTAFStock_Log[WeekIndex],63)=0,"",SUMIFS(T_TTAFStock_Log[TTAF_Qty],T_TTAFStock_Log[Part Name],$A18,T_TTAFStock_Log[WeekIndex],63))</f>
        <v/>
      </c>
      <c r="BM18" s="17">
        <f>IF(COUNTIFS(T_TTAFStock_Log[Part Name],$A18,T_TTAFStock_Log[WeekIndex],64)=0,"",SUMIFS(T_TTAFStock_Log[TTAF_Qty],T_TTAFStock_Log[Part Name],$A18,T_TTAFStock_Log[WeekIndex],64))</f>
        <v/>
      </c>
      <c r="BN18" s="17">
        <f>IF(COUNTIFS(T_TTAFStock_Log[Part Name],$A18,T_TTAFStock_Log[WeekIndex],65)=0,"",SUMIFS(T_TTAFStock_Log[TTAF_Qty],T_TTAFStock_Log[Part Name],$A18,T_TTAFStock_Log[WeekIndex],65))</f>
        <v/>
      </c>
      <c r="BO18" s="17">
        <f>IF(COUNTIFS(T_TTAFStock_Log[Part Name],$A18,T_TTAFStock_Log[WeekIndex],66)=0,"",SUMIFS(T_TTAFStock_Log[TTAF_Qty],T_TTAFStock_Log[Part Name],$A18,T_TTAFStock_Log[WeekIndex],66))</f>
        <v/>
      </c>
      <c r="BP18" s="17">
        <f>IF(COUNTIFS(T_TTAFStock_Log[Part Name],$A18,T_TTAFStock_Log[WeekIndex],67)=0,"",SUMIFS(T_TTAFStock_Log[TTAF_Qty],T_TTAFStock_Log[Part Name],$A18,T_TTAFStock_Log[WeekIndex],67))</f>
        <v/>
      </c>
      <c r="BQ18" s="17">
        <f>IF(COUNTIFS(T_TTAFStock_Log[Part Name],$A18,T_TTAFStock_Log[WeekIndex],68)=0,"",SUMIFS(T_TTAFStock_Log[TTAF_Qty],T_TTAFStock_Log[Part Name],$A18,T_TTAFStock_Log[WeekIndex],68))</f>
        <v/>
      </c>
      <c r="BR18" s="17">
        <f>IF(COUNTIFS(T_TTAFStock_Log[Part Name],$A18,T_TTAFStock_Log[WeekIndex],69)=0,"",SUMIFS(T_TTAFStock_Log[TTAF_Qty],T_TTAFStock_Log[Part Name],$A18,T_TTAFStock_Log[WeekIndex],69))</f>
        <v/>
      </c>
      <c r="BS18" s="17">
        <f>IF(COUNTIFS(T_TTAFStock_Log[Part Name],$A18,T_TTAFStock_Log[WeekIndex],70)=0,"",SUMIFS(T_TTAFStock_Log[TTAF_Qty],T_TTAFStock_Log[Part Name],$A18,T_TTAFStock_Log[WeekIndex],70))</f>
        <v/>
      </c>
      <c r="BT18" s="17">
        <f>IF(COUNTIFS(T_TTAFStock_Log[Part Name],$A18,T_TTAFStock_Log[WeekIndex],71)=0,"",SUMIFS(T_TTAFStock_Log[TTAF_Qty],T_TTAFStock_Log[Part Name],$A18,T_TTAFStock_Log[WeekIndex],71))</f>
        <v/>
      </c>
      <c r="BU18" s="17">
        <f>IF(COUNTIFS(T_TTAFStock_Log[Part Name],$A18,T_TTAFStock_Log[WeekIndex],72)=0,"",SUMIFS(T_TTAFStock_Log[TTAF_Qty],T_TTAFStock_Log[Part Name],$A18,T_TTAFStock_Log[WeekIndex],72))</f>
        <v/>
      </c>
      <c r="BV18" s="17">
        <f>IF(COUNTIFS(T_TTAFStock_Log[Part Name],$A18,T_TTAFStock_Log[WeekIndex],73)=0,"",SUMIFS(T_TTAFStock_Log[TTAF_Qty],T_TTAFStock_Log[Part Name],$A18,T_TTAFStock_Log[WeekIndex],73))</f>
        <v/>
      </c>
      <c r="BW18" s="17">
        <f>IF(COUNTIFS(T_TTAFStock_Log[Part Name],$A18,T_TTAFStock_Log[WeekIndex],74)=0,"",SUMIFS(T_TTAFStock_Log[TTAF_Qty],T_TTAFStock_Log[Part Name],$A18,T_TTAFStock_Log[WeekIndex],74))</f>
        <v/>
      </c>
      <c r="BX18" s="17">
        <f>IF(COUNTIFS(T_TTAFStock_Log[Part Name],$A18,T_TTAFStock_Log[WeekIndex],75)=0,"",SUMIFS(T_TTAFStock_Log[TTAF_Qty],T_TTAFStock_Log[Part Name],$A18,T_TTAFStock_Log[WeekIndex],75))</f>
        <v/>
      </c>
      <c r="BY18" s="17">
        <f>IF(COUNTIFS(T_TTAFStock_Log[Part Name],$A18,T_TTAFStock_Log[WeekIndex],76)=0,"",SUMIFS(T_TTAFStock_Log[TTAF_Qty],T_TTAFStock_Log[Part Name],$A18,T_TTAFStock_Log[WeekIndex],76))</f>
        <v/>
      </c>
      <c r="BZ18" s="17">
        <f>IF(COUNTIFS(T_TTAFStock_Log[Part Name],$A18,T_TTAFStock_Log[WeekIndex],77)=0,"",SUMIFS(T_TTAFStock_Log[TTAF_Qty],T_TTAFStock_Log[Part Name],$A18,T_TTAFStock_Log[WeekIndex],77))</f>
        <v/>
      </c>
      <c r="CA18" s="17">
        <f>IF(COUNTIFS(T_TTAFStock_Log[Part Name],$A18,T_TTAFStock_Log[WeekIndex],78)=0,"",SUMIFS(T_TTAFStock_Log[TTAF_Qty],T_TTAFStock_Log[Part Name],$A18,T_TTAFStock_Log[WeekIndex],78))</f>
        <v/>
      </c>
      <c r="CB18" s="17">
        <f>IF(COUNTIFS(T_TTAFStock_Log[Part Name],$A18,T_TTAFStock_Log[WeekIndex],79)=0,"",SUMIFS(T_TTAFStock_Log[TTAF_Qty],T_TTAFStock_Log[Part Name],$A18,T_TTAFStock_Log[WeekIndex],79))</f>
        <v/>
      </c>
      <c r="CC18" s="17">
        <f>IF(COUNTIFS(T_TTAFStock_Log[Part Name],$A18,T_TTAFStock_Log[WeekIndex],80)=0,"",SUMIFS(T_TTAFStock_Log[TTAF_Qty],T_TTAFStock_Log[Part Name],$A18,T_TTAFStock_Log[WeekIndex],80))</f>
        <v/>
      </c>
      <c r="CD18" s="17">
        <f>IF(COUNTIFS(T_TTAFStock_Log[Part Name],$A18,T_TTAFStock_Log[WeekIndex],81)=0,"",SUMIFS(T_TTAFStock_Log[TTAF_Qty],T_TTAFStock_Log[Part Name],$A18,T_TTAFStock_Log[WeekIndex],81))</f>
        <v/>
      </c>
      <c r="CE18" s="17">
        <f>IF(COUNTIFS(T_TTAFStock_Log[Part Name],$A18,T_TTAFStock_Log[WeekIndex],82)=0,"",SUMIFS(T_TTAFStock_Log[TTAF_Qty],T_TTAFStock_Log[Part Name],$A18,T_TTAFStock_Log[WeekIndex],82))</f>
        <v/>
      </c>
      <c r="CF18" s="17">
        <f>IF(COUNTIFS(T_TTAFStock_Log[Part Name],$A18,T_TTAFStock_Log[WeekIndex],83)=0,"",SUMIFS(T_TTAFStock_Log[TTAF_Qty],T_TTAFStock_Log[Part Name],$A18,T_TTAFStock_Log[WeekIndex],83))</f>
        <v/>
      </c>
      <c r="CG18" s="17">
        <f>IF(COUNTIFS(T_TTAFStock_Log[Part Name],$A18,T_TTAFStock_Log[WeekIndex],84)=0,"",SUMIFS(T_TTAFStock_Log[TTAF_Qty],T_TTAFStock_Log[Part Name],$A18,T_TTAFStock_Log[WeekIndex],84))</f>
        <v/>
      </c>
      <c r="CH18" s="17">
        <f>IF(COUNTIFS(T_TTAFStock_Log[Part Name],$A18,T_TTAFStock_Log[WeekIndex],85)=0,"",SUMIFS(T_TTAFStock_Log[TTAF_Qty],T_TTAFStock_Log[Part Name],$A18,T_TTAFStock_Log[WeekIndex],85))</f>
        <v/>
      </c>
      <c r="CI18" s="17">
        <f>IF(COUNTIFS(T_TTAFStock_Log[Part Name],$A18,T_TTAFStock_Log[WeekIndex],86)=0,"",SUMIFS(T_TTAFStock_Log[TTAF_Qty],T_TTAFStock_Log[Part Name],$A18,T_TTAFStock_Log[WeekIndex],86))</f>
        <v/>
      </c>
      <c r="CJ18" s="17">
        <f>IF(COUNTIFS(T_TTAFStock_Log[Part Name],$A18,T_TTAFStock_Log[WeekIndex],87)=0,"",SUMIFS(T_TTAFStock_Log[TTAF_Qty],T_TTAFStock_Log[Part Name],$A18,T_TTAFStock_Log[WeekIndex],87))</f>
        <v/>
      </c>
      <c r="CK18" s="17">
        <f>IF(COUNTIFS(T_TTAFStock_Log[Part Name],$A18,T_TTAFStock_Log[WeekIndex],88)=0,"",SUMIFS(T_TTAFStock_Log[TTAF_Qty],T_TTAFStock_Log[Part Name],$A18,T_TTAFStock_Log[WeekIndex],88))</f>
        <v/>
      </c>
      <c r="CL18" s="17">
        <f>IF(COUNTIFS(T_TTAFStock_Log[Part Name],$A18,T_TTAFStock_Log[WeekIndex],89)=0,"",SUMIFS(T_TTAFStock_Log[TTAF_Qty],T_TTAFStock_Log[Part Name],$A18,T_TTAFStock_Log[WeekIndex],89))</f>
        <v/>
      </c>
      <c r="CM18" s="17">
        <f>IF(COUNTIFS(T_TTAFStock_Log[Part Name],$A18,T_TTAFStock_Log[WeekIndex],90)=0,"",SUMIFS(T_TTAFStock_Log[TTAF_Qty],T_TTAFStock_Log[Part Name],$A18,T_TTAFStock_Log[WeekIndex],90))</f>
        <v/>
      </c>
      <c r="CN18" s="17">
        <f>IF(COUNTIFS(T_TTAFStock_Log[Part Name],$A18,T_TTAFStock_Log[WeekIndex],91)=0,"",SUMIFS(T_TTAFStock_Log[TTAF_Qty],T_TTAFStock_Log[Part Name],$A18,T_TTAFStock_Log[WeekIndex],91))</f>
        <v/>
      </c>
      <c r="CO18" s="17">
        <f>IF(COUNTIFS(T_TTAFStock_Log[Part Name],$A18,T_TTAFStock_Log[WeekIndex],92)=0,"",SUMIFS(T_TTAFStock_Log[TTAF_Qty],T_TTAFStock_Log[Part Name],$A18,T_TTAFStock_Log[WeekIndex],92))</f>
        <v/>
      </c>
      <c r="CP18" s="17">
        <f>IF(COUNTIFS(T_TTAFStock_Log[Part Name],$A18,T_TTAFStock_Log[WeekIndex],93)=0,"",SUMIFS(T_TTAFStock_Log[TTAF_Qty],T_TTAFStock_Log[Part Name],$A18,T_TTAFStock_Log[WeekIndex],93))</f>
        <v/>
      </c>
      <c r="CQ18" s="17">
        <f>IF(COUNTIFS(T_TTAFStock_Log[Part Name],$A18,T_TTAFStock_Log[WeekIndex],94)=0,"",SUMIFS(T_TTAFStock_Log[TTAF_Qty],T_TTAFStock_Log[Part Name],$A18,T_TTAFStock_Log[WeekIndex],94))</f>
        <v/>
      </c>
      <c r="CR18" s="17">
        <f>IF(COUNTIFS(T_TTAFStock_Log[Part Name],$A18,T_TTAFStock_Log[WeekIndex],95)=0,"",SUMIFS(T_TTAFStock_Log[TTAF_Qty],T_TTAFStock_Log[Part Name],$A18,T_TTAFStock_Log[WeekIndex],95))</f>
        <v/>
      </c>
      <c r="CS18" s="17">
        <f>IF(COUNTIFS(T_TTAFStock_Log[Part Name],$A18,T_TTAFStock_Log[WeekIndex],96)=0,"",SUMIFS(T_TTAFStock_Log[TTAF_Qty],T_TTAFStock_Log[Part Name],$A18,T_TTAFStock_Log[WeekIndex],96))</f>
        <v/>
      </c>
      <c r="CT18" s="17">
        <f>IF(COUNTIFS(T_TTAFStock_Log[Part Name],$A18,T_TTAFStock_Log[WeekIndex],97)=0,"",SUMIFS(T_TTAFStock_Log[TTAF_Qty],T_TTAFStock_Log[Part Name],$A18,T_TTAFStock_Log[WeekIndex],97))</f>
        <v/>
      </c>
      <c r="CU18" s="17">
        <f>IF(COUNTIFS(T_TTAFStock_Log[Part Name],$A18,T_TTAFStock_Log[WeekIndex],98)=0,"",SUMIFS(T_TTAFStock_Log[TTAF_Qty],T_TTAFStock_Log[Part Name],$A18,T_TTAFStock_Log[WeekIndex],98))</f>
        <v/>
      </c>
      <c r="CV18" s="17">
        <f>IF(COUNTIFS(T_TTAFStock_Log[Part Name],$A18,T_TTAFStock_Log[WeekIndex],99)=0,"",SUMIFS(T_TTAFStock_Log[TTAF_Qty],T_TTAFStock_Log[Part Name],$A18,T_TTAFStock_Log[WeekIndex],99))</f>
        <v/>
      </c>
      <c r="CW18" s="17">
        <f>IF(COUNTIFS(T_TTAFStock_Log[Part Name],$A18,T_TTAFStock_Log[WeekIndex],100)=0,"",SUMIFS(T_TTAFStock_Log[TTAF_Qty],T_TTAFStock_Log[Part Name],$A18,T_TTAFStock_Log[WeekIndex],100))</f>
        <v/>
      </c>
      <c r="CX18" s="17">
        <f>IF(COUNTIFS(T_TTAFStock_Log[Part Name],$A18,T_TTAFStock_Log[WeekIndex],101)=0,"",SUMIFS(T_TTAFStock_Log[TTAF_Qty],T_TTAFStock_Log[Part Name],$A18,T_TTAFStock_Log[WeekIndex],101))</f>
        <v/>
      </c>
      <c r="CY18" s="17">
        <f>IF(COUNTIFS(T_TTAFStock_Log[Part Name],$A18,T_TTAFStock_Log[WeekIndex],102)=0,"",SUMIFS(T_TTAFStock_Log[TTAF_Qty],T_TTAFStock_Log[Part Name],$A18,T_TTAFStock_Log[WeekIndex],102))</f>
        <v/>
      </c>
      <c r="CZ18" s="17">
        <f>IF(COUNTIFS(T_TTAFStock_Log[Part Name],$A18,T_TTAFStock_Log[WeekIndex],103)=0,"",SUMIFS(T_TTAFStock_Log[TTAF_Qty],T_TTAFStock_Log[Part Name],$A18,T_TTAFStock_Log[WeekIndex],103))</f>
        <v/>
      </c>
      <c r="DA18" s="17">
        <f>IF(COUNTIFS(T_TTAFStock_Log[Part Name],$A18,T_TTAFStock_Log[WeekIndex],104)=0,"",SUMIFS(T_TTAFStock_Log[TTAF_Qty],T_TTAFStock_Log[Part Name],$A18,T_TTAFStock_Log[WeekIndex],104))</f>
        <v/>
      </c>
    </row>
    <row r="19">
      <c r="A19" s="19" t="inlineStr">
        <is>
          <t>5SN</t>
        </is>
      </c>
      <c r="B19" s="19">
        <f>IF(COUNTIFS(T_TTAFStock_Log[Part Name],$A19,T_TTAFStock_Log[WeekIndex],1)=0,"",SUMIFS(T_TTAFStock_Log[TTAF_Qty],T_TTAFStock_Log[Part Name],$A19,T_TTAFStock_Log[WeekIndex],1))</f>
        <v/>
      </c>
      <c r="C19" s="19">
        <f>IF(COUNTIFS(T_TTAFStock_Log[Part Name],$A19,T_TTAFStock_Log[WeekIndex],2)=0,"",SUMIFS(T_TTAFStock_Log[TTAF_Qty],T_TTAFStock_Log[Part Name],$A19,T_TTAFStock_Log[WeekIndex],2))</f>
        <v/>
      </c>
      <c r="D19" s="19">
        <f>IF(COUNTIFS(T_TTAFStock_Log[Part Name],$A19,T_TTAFStock_Log[WeekIndex],3)=0,"",SUMIFS(T_TTAFStock_Log[TTAF_Qty],T_TTAFStock_Log[Part Name],$A19,T_TTAFStock_Log[WeekIndex],3))</f>
        <v/>
      </c>
      <c r="E19" s="19">
        <f>IF(COUNTIFS(T_TTAFStock_Log[Part Name],$A19,T_TTAFStock_Log[WeekIndex],4)=0,"",SUMIFS(T_TTAFStock_Log[TTAF_Qty],T_TTAFStock_Log[Part Name],$A19,T_TTAFStock_Log[WeekIndex],4))</f>
        <v/>
      </c>
      <c r="F19" s="19">
        <f>IF(COUNTIFS(T_TTAFStock_Log[Part Name],$A19,T_TTAFStock_Log[WeekIndex],5)=0,"",SUMIFS(T_TTAFStock_Log[TTAF_Qty],T_TTAFStock_Log[Part Name],$A19,T_TTAFStock_Log[WeekIndex],5))</f>
        <v/>
      </c>
      <c r="G19" s="19">
        <f>IF(COUNTIFS(T_TTAFStock_Log[Part Name],$A19,T_TTAFStock_Log[WeekIndex],6)=0,"",SUMIFS(T_TTAFStock_Log[TTAF_Qty],T_TTAFStock_Log[Part Name],$A19,T_TTAFStock_Log[WeekIndex],6))</f>
        <v/>
      </c>
      <c r="H19" s="19">
        <f>IF(COUNTIFS(T_TTAFStock_Log[Part Name],$A19,T_TTAFStock_Log[WeekIndex],7)=0,"",SUMIFS(T_TTAFStock_Log[TTAF_Qty],T_TTAFStock_Log[Part Name],$A19,T_TTAFStock_Log[WeekIndex],7))</f>
        <v/>
      </c>
      <c r="I19" s="19">
        <f>IF(COUNTIFS(T_TTAFStock_Log[Part Name],$A19,T_TTAFStock_Log[WeekIndex],8)=0,"",SUMIFS(T_TTAFStock_Log[TTAF_Qty],T_TTAFStock_Log[Part Name],$A19,T_TTAFStock_Log[WeekIndex],8))</f>
        <v/>
      </c>
      <c r="J19" s="19">
        <f>IF(COUNTIFS(T_TTAFStock_Log[Part Name],$A19,T_TTAFStock_Log[WeekIndex],9)=0,"",SUMIFS(T_TTAFStock_Log[TTAF_Qty],T_TTAFStock_Log[Part Name],$A19,T_TTAFStock_Log[WeekIndex],9))</f>
        <v/>
      </c>
      <c r="K19" s="19">
        <f>IF(COUNTIFS(T_TTAFStock_Log[Part Name],$A19,T_TTAFStock_Log[WeekIndex],10)=0,"",SUMIFS(T_TTAFStock_Log[TTAF_Qty],T_TTAFStock_Log[Part Name],$A19,T_TTAFStock_Log[WeekIndex],10))</f>
        <v/>
      </c>
      <c r="L19" s="19">
        <f>IF(COUNTIFS(T_TTAFStock_Log[Part Name],$A19,T_TTAFStock_Log[WeekIndex],11)=0,"",SUMIFS(T_TTAFStock_Log[TTAF_Qty],T_TTAFStock_Log[Part Name],$A19,T_TTAFStock_Log[WeekIndex],11))</f>
        <v/>
      </c>
      <c r="M19" s="19">
        <f>IF(COUNTIFS(T_TTAFStock_Log[Part Name],$A19,T_TTAFStock_Log[WeekIndex],12)=0,"",SUMIFS(T_TTAFStock_Log[TTAF_Qty],T_TTAFStock_Log[Part Name],$A19,T_TTAFStock_Log[WeekIndex],12))</f>
        <v/>
      </c>
      <c r="N19" s="19">
        <f>IF(COUNTIFS(T_TTAFStock_Log[Part Name],$A19,T_TTAFStock_Log[WeekIndex],13)=0,"",SUMIFS(T_TTAFStock_Log[TTAF_Qty],T_TTAFStock_Log[Part Name],$A19,T_TTAFStock_Log[WeekIndex],13))</f>
        <v/>
      </c>
      <c r="O19" s="19">
        <f>IF(COUNTIFS(T_TTAFStock_Log[Part Name],$A19,T_TTAFStock_Log[WeekIndex],14)=0,"",SUMIFS(T_TTAFStock_Log[TTAF_Qty],T_TTAFStock_Log[Part Name],$A19,T_TTAFStock_Log[WeekIndex],14))</f>
        <v/>
      </c>
      <c r="P19" s="19">
        <f>IF(COUNTIFS(T_TTAFStock_Log[Part Name],$A19,T_TTAFStock_Log[WeekIndex],15)=0,"",SUMIFS(T_TTAFStock_Log[TTAF_Qty],T_TTAFStock_Log[Part Name],$A19,T_TTAFStock_Log[WeekIndex],15))</f>
        <v/>
      </c>
      <c r="Q19" s="19">
        <f>IF(COUNTIFS(T_TTAFStock_Log[Part Name],$A19,T_TTAFStock_Log[WeekIndex],16)=0,"",SUMIFS(T_TTAFStock_Log[TTAF_Qty],T_TTAFStock_Log[Part Name],$A19,T_TTAFStock_Log[WeekIndex],16))</f>
        <v/>
      </c>
      <c r="R19" s="19">
        <f>IF(COUNTIFS(T_TTAFStock_Log[Part Name],$A19,T_TTAFStock_Log[WeekIndex],17)=0,"",SUMIFS(T_TTAFStock_Log[TTAF_Qty],T_TTAFStock_Log[Part Name],$A19,T_TTAFStock_Log[WeekIndex],17))</f>
        <v/>
      </c>
      <c r="S19" s="19">
        <f>IF(COUNTIFS(T_TTAFStock_Log[Part Name],$A19,T_TTAFStock_Log[WeekIndex],18)=0,"",SUMIFS(T_TTAFStock_Log[TTAF_Qty],T_TTAFStock_Log[Part Name],$A19,T_TTAFStock_Log[WeekIndex],18))</f>
        <v/>
      </c>
      <c r="T19" s="19">
        <f>IF(COUNTIFS(T_TTAFStock_Log[Part Name],$A19,T_TTAFStock_Log[WeekIndex],19)=0,"",SUMIFS(T_TTAFStock_Log[TTAF_Qty],T_TTAFStock_Log[Part Name],$A19,T_TTAFStock_Log[WeekIndex],19))</f>
        <v/>
      </c>
      <c r="U19" s="19">
        <f>IF(COUNTIFS(T_TTAFStock_Log[Part Name],$A19,T_TTAFStock_Log[WeekIndex],20)=0,"",SUMIFS(T_TTAFStock_Log[TTAF_Qty],T_TTAFStock_Log[Part Name],$A19,T_TTAFStock_Log[WeekIndex],20))</f>
        <v/>
      </c>
      <c r="V19" s="19">
        <f>IF(COUNTIFS(T_TTAFStock_Log[Part Name],$A19,T_TTAFStock_Log[WeekIndex],21)=0,"",SUMIFS(T_TTAFStock_Log[TTAF_Qty],T_TTAFStock_Log[Part Name],$A19,T_TTAFStock_Log[WeekIndex],21))</f>
        <v/>
      </c>
      <c r="W19" s="19">
        <f>IF(COUNTIFS(T_TTAFStock_Log[Part Name],$A19,T_TTAFStock_Log[WeekIndex],22)=0,"",SUMIFS(T_TTAFStock_Log[TTAF_Qty],T_TTAFStock_Log[Part Name],$A19,T_TTAFStock_Log[WeekIndex],22))</f>
        <v/>
      </c>
      <c r="X19" s="19">
        <f>IF(COUNTIFS(T_TTAFStock_Log[Part Name],$A19,T_TTAFStock_Log[WeekIndex],23)=0,"",SUMIFS(T_TTAFStock_Log[TTAF_Qty],T_TTAFStock_Log[Part Name],$A19,T_TTAFStock_Log[WeekIndex],23))</f>
        <v/>
      </c>
      <c r="Y19" s="19">
        <f>IF(COUNTIFS(T_TTAFStock_Log[Part Name],$A19,T_TTAFStock_Log[WeekIndex],24)=0,"",SUMIFS(T_TTAFStock_Log[TTAF_Qty],T_TTAFStock_Log[Part Name],$A19,T_TTAFStock_Log[WeekIndex],24))</f>
        <v/>
      </c>
      <c r="Z19" s="19">
        <f>IF(COUNTIFS(T_TTAFStock_Log[Part Name],$A19,T_TTAFStock_Log[WeekIndex],25)=0,"",SUMIFS(T_TTAFStock_Log[TTAF_Qty],T_TTAFStock_Log[Part Name],$A19,T_TTAFStock_Log[WeekIndex],25))</f>
        <v/>
      </c>
      <c r="AA19" s="19">
        <f>IF(COUNTIFS(T_TTAFStock_Log[Part Name],$A19,T_TTAFStock_Log[WeekIndex],26)=0,"",SUMIFS(T_TTAFStock_Log[TTAF_Qty],T_TTAFStock_Log[Part Name],$A19,T_TTAFStock_Log[WeekIndex],26))</f>
        <v/>
      </c>
      <c r="AB19" s="19">
        <f>IF(COUNTIFS(T_TTAFStock_Log[Part Name],$A19,T_TTAFStock_Log[WeekIndex],27)=0,"",SUMIFS(T_TTAFStock_Log[TTAF_Qty],T_TTAFStock_Log[Part Name],$A19,T_TTAFStock_Log[WeekIndex],27))</f>
        <v/>
      </c>
      <c r="AC19" s="19">
        <f>IF(COUNTIFS(T_TTAFStock_Log[Part Name],$A19,T_TTAFStock_Log[WeekIndex],28)=0,"",SUMIFS(T_TTAFStock_Log[TTAF_Qty],T_TTAFStock_Log[Part Name],$A19,T_TTAFStock_Log[WeekIndex],28))</f>
        <v/>
      </c>
      <c r="AD19" s="19">
        <f>IF(COUNTIFS(T_TTAFStock_Log[Part Name],$A19,T_TTAFStock_Log[WeekIndex],29)=0,"",SUMIFS(T_TTAFStock_Log[TTAF_Qty],T_TTAFStock_Log[Part Name],$A19,T_TTAFStock_Log[WeekIndex],29))</f>
        <v/>
      </c>
      <c r="AE19" s="19">
        <f>IF(COUNTIFS(T_TTAFStock_Log[Part Name],$A19,T_TTAFStock_Log[WeekIndex],30)=0,"",SUMIFS(T_TTAFStock_Log[TTAF_Qty],T_TTAFStock_Log[Part Name],$A19,T_TTAFStock_Log[WeekIndex],30))</f>
        <v/>
      </c>
      <c r="AF19" s="19">
        <f>IF(COUNTIFS(T_TTAFStock_Log[Part Name],$A19,T_TTAFStock_Log[WeekIndex],31)=0,"",SUMIFS(T_TTAFStock_Log[TTAF_Qty],T_TTAFStock_Log[Part Name],$A19,T_TTAFStock_Log[WeekIndex],31))</f>
        <v/>
      </c>
      <c r="AG19" s="19">
        <f>IF(COUNTIFS(T_TTAFStock_Log[Part Name],$A19,T_TTAFStock_Log[WeekIndex],32)=0,"",SUMIFS(T_TTAFStock_Log[TTAF_Qty],T_TTAFStock_Log[Part Name],$A19,T_TTAFStock_Log[WeekIndex],32))</f>
        <v/>
      </c>
      <c r="AH19" s="19">
        <f>IF(COUNTIFS(T_TTAFStock_Log[Part Name],$A19,T_TTAFStock_Log[WeekIndex],33)=0,"",SUMIFS(T_TTAFStock_Log[TTAF_Qty],T_TTAFStock_Log[Part Name],$A19,T_TTAFStock_Log[WeekIndex],33))</f>
        <v/>
      </c>
      <c r="AI19" s="19">
        <f>IF(COUNTIFS(T_TTAFStock_Log[Part Name],$A19,T_TTAFStock_Log[WeekIndex],34)=0,"",SUMIFS(T_TTAFStock_Log[TTAF_Qty],T_TTAFStock_Log[Part Name],$A19,T_TTAFStock_Log[WeekIndex],34))</f>
        <v/>
      </c>
      <c r="AJ19" s="19">
        <f>IF(COUNTIFS(T_TTAFStock_Log[Part Name],$A19,T_TTAFStock_Log[WeekIndex],35)=0,"",SUMIFS(T_TTAFStock_Log[TTAF_Qty],T_TTAFStock_Log[Part Name],$A19,T_TTAFStock_Log[WeekIndex],35))</f>
        <v/>
      </c>
      <c r="AK19" s="19">
        <f>IF(COUNTIFS(T_TTAFStock_Log[Part Name],$A19,T_TTAFStock_Log[WeekIndex],36)=0,"",SUMIFS(T_TTAFStock_Log[TTAF_Qty],T_TTAFStock_Log[Part Name],$A19,T_TTAFStock_Log[WeekIndex],36))</f>
        <v/>
      </c>
      <c r="AL19" s="19">
        <f>IF(COUNTIFS(T_TTAFStock_Log[Part Name],$A19,T_TTAFStock_Log[WeekIndex],37)=0,"",SUMIFS(T_TTAFStock_Log[TTAF_Qty],T_TTAFStock_Log[Part Name],$A19,T_TTAFStock_Log[WeekIndex],37))</f>
        <v/>
      </c>
      <c r="AM19" s="19">
        <f>IF(COUNTIFS(T_TTAFStock_Log[Part Name],$A19,T_TTAFStock_Log[WeekIndex],38)=0,"",SUMIFS(T_TTAFStock_Log[TTAF_Qty],T_TTAFStock_Log[Part Name],$A19,T_TTAFStock_Log[WeekIndex],38))</f>
        <v/>
      </c>
      <c r="AN19" s="19">
        <f>IF(COUNTIFS(T_TTAFStock_Log[Part Name],$A19,T_TTAFStock_Log[WeekIndex],39)=0,"",SUMIFS(T_TTAFStock_Log[TTAF_Qty],T_TTAFStock_Log[Part Name],$A19,T_TTAFStock_Log[WeekIndex],39))</f>
        <v/>
      </c>
      <c r="AO19" s="19">
        <f>IF(COUNTIFS(T_TTAFStock_Log[Part Name],$A19,T_TTAFStock_Log[WeekIndex],40)=0,"",SUMIFS(T_TTAFStock_Log[TTAF_Qty],T_TTAFStock_Log[Part Name],$A19,T_TTAFStock_Log[WeekIndex],40))</f>
        <v/>
      </c>
      <c r="AP19" s="19">
        <f>IF(COUNTIFS(T_TTAFStock_Log[Part Name],$A19,T_TTAFStock_Log[WeekIndex],41)=0,"",SUMIFS(T_TTAFStock_Log[TTAF_Qty],T_TTAFStock_Log[Part Name],$A19,T_TTAFStock_Log[WeekIndex],41))</f>
        <v/>
      </c>
      <c r="AQ19" s="19">
        <f>IF(COUNTIFS(T_TTAFStock_Log[Part Name],$A19,T_TTAFStock_Log[WeekIndex],42)=0,"",SUMIFS(T_TTAFStock_Log[TTAF_Qty],T_TTAFStock_Log[Part Name],$A19,T_TTAFStock_Log[WeekIndex],42))</f>
        <v/>
      </c>
      <c r="AR19" s="19">
        <f>IF(COUNTIFS(T_TTAFStock_Log[Part Name],$A19,T_TTAFStock_Log[WeekIndex],43)=0,"",SUMIFS(T_TTAFStock_Log[TTAF_Qty],T_TTAFStock_Log[Part Name],$A19,T_TTAFStock_Log[WeekIndex],43))</f>
        <v/>
      </c>
      <c r="AS19" s="19">
        <f>IF(COUNTIFS(T_TTAFStock_Log[Part Name],$A19,T_TTAFStock_Log[WeekIndex],44)=0,"",SUMIFS(T_TTAFStock_Log[TTAF_Qty],T_TTAFStock_Log[Part Name],$A19,T_TTAFStock_Log[WeekIndex],44))</f>
        <v/>
      </c>
      <c r="AT19" s="19">
        <f>IF(COUNTIFS(T_TTAFStock_Log[Part Name],$A19,T_TTAFStock_Log[WeekIndex],45)=0,"",SUMIFS(T_TTAFStock_Log[TTAF_Qty],T_TTAFStock_Log[Part Name],$A19,T_TTAFStock_Log[WeekIndex],45))</f>
        <v/>
      </c>
      <c r="AU19" s="19">
        <f>IF(COUNTIFS(T_TTAFStock_Log[Part Name],$A19,T_TTAFStock_Log[WeekIndex],46)=0,"",SUMIFS(T_TTAFStock_Log[TTAF_Qty],T_TTAFStock_Log[Part Name],$A19,T_TTAFStock_Log[WeekIndex],46))</f>
        <v/>
      </c>
      <c r="AV19" s="19">
        <f>IF(COUNTIFS(T_TTAFStock_Log[Part Name],$A19,T_TTAFStock_Log[WeekIndex],47)=0,"",SUMIFS(T_TTAFStock_Log[TTAF_Qty],T_TTAFStock_Log[Part Name],$A19,T_TTAFStock_Log[WeekIndex],47))</f>
        <v/>
      </c>
      <c r="AW19" s="19">
        <f>IF(COUNTIFS(T_TTAFStock_Log[Part Name],$A19,T_TTAFStock_Log[WeekIndex],48)=0,"",SUMIFS(T_TTAFStock_Log[TTAF_Qty],T_TTAFStock_Log[Part Name],$A19,T_TTAFStock_Log[WeekIndex],48))</f>
        <v/>
      </c>
      <c r="AX19" s="19">
        <f>IF(COUNTIFS(T_TTAFStock_Log[Part Name],$A19,T_TTAFStock_Log[WeekIndex],49)=0,"",SUMIFS(T_TTAFStock_Log[TTAF_Qty],T_TTAFStock_Log[Part Name],$A19,T_TTAFStock_Log[WeekIndex],49))</f>
        <v/>
      </c>
      <c r="AY19" s="19">
        <f>IF(COUNTIFS(T_TTAFStock_Log[Part Name],$A19,T_TTAFStock_Log[WeekIndex],50)=0,"",SUMIFS(T_TTAFStock_Log[TTAF_Qty],T_TTAFStock_Log[Part Name],$A19,T_TTAFStock_Log[WeekIndex],50))</f>
        <v/>
      </c>
      <c r="AZ19" s="19">
        <f>IF(COUNTIFS(T_TTAFStock_Log[Part Name],$A19,T_TTAFStock_Log[WeekIndex],51)=0,"",SUMIFS(T_TTAFStock_Log[TTAF_Qty],T_TTAFStock_Log[Part Name],$A19,T_TTAFStock_Log[WeekIndex],51))</f>
        <v/>
      </c>
      <c r="BA19" s="19">
        <f>IF(COUNTIFS(T_TTAFStock_Log[Part Name],$A19,T_TTAFStock_Log[WeekIndex],52)=0,"",SUMIFS(T_TTAFStock_Log[TTAF_Qty],T_TTAFStock_Log[Part Name],$A19,T_TTAFStock_Log[WeekIndex],52))</f>
        <v/>
      </c>
      <c r="BB19" s="19">
        <f>IF(COUNTIFS(T_TTAFStock_Log[Part Name],$A19,T_TTAFStock_Log[WeekIndex],53)=0,"",SUMIFS(T_TTAFStock_Log[TTAF_Qty],T_TTAFStock_Log[Part Name],$A19,T_TTAFStock_Log[WeekIndex],53))</f>
        <v/>
      </c>
      <c r="BC19" s="19">
        <f>IF(COUNTIFS(T_TTAFStock_Log[Part Name],$A19,T_TTAFStock_Log[WeekIndex],54)=0,"",SUMIFS(T_TTAFStock_Log[TTAF_Qty],T_TTAFStock_Log[Part Name],$A19,T_TTAFStock_Log[WeekIndex],54))</f>
        <v/>
      </c>
      <c r="BD19" s="19">
        <f>IF(COUNTIFS(T_TTAFStock_Log[Part Name],$A19,T_TTAFStock_Log[WeekIndex],55)=0,"",SUMIFS(T_TTAFStock_Log[TTAF_Qty],T_TTAFStock_Log[Part Name],$A19,T_TTAFStock_Log[WeekIndex],55))</f>
        <v/>
      </c>
      <c r="BE19" s="19">
        <f>IF(COUNTIFS(T_TTAFStock_Log[Part Name],$A19,T_TTAFStock_Log[WeekIndex],56)=0,"",SUMIFS(T_TTAFStock_Log[TTAF_Qty],T_TTAFStock_Log[Part Name],$A19,T_TTAFStock_Log[WeekIndex],56))</f>
        <v/>
      </c>
      <c r="BF19" s="19">
        <f>IF(COUNTIFS(T_TTAFStock_Log[Part Name],$A19,T_TTAFStock_Log[WeekIndex],57)=0,"",SUMIFS(T_TTAFStock_Log[TTAF_Qty],T_TTAFStock_Log[Part Name],$A19,T_TTAFStock_Log[WeekIndex],57))</f>
        <v/>
      </c>
      <c r="BG19" s="19">
        <f>IF(COUNTIFS(T_TTAFStock_Log[Part Name],$A19,T_TTAFStock_Log[WeekIndex],58)=0,"",SUMIFS(T_TTAFStock_Log[TTAF_Qty],T_TTAFStock_Log[Part Name],$A19,T_TTAFStock_Log[WeekIndex],58))</f>
        <v/>
      </c>
      <c r="BH19" s="19">
        <f>IF(COUNTIFS(T_TTAFStock_Log[Part Name],$A19,T_TTAFStock_Log[WeekIndex],59)=0,"",SUMIFS(T_TTAFStock_Log[TTAF_Qty],T_TTAFStock_Log[Part Name],$A19,T_TTAFStock_Log[WeekIndex],59))</f>
        <v/>
      </c>
      <c r="BI19" s="19">
        <f>IF(COUNTIFS(T_TTAFStock_Log[Part Name],$A19,T_TTAFStock_Log[WeekIndex],60)=0,"",SUMIFS(T_TTAFStock_Log[TTAF_Qty],T_TTAFStock_Log[Part Name],$A19,T_TTAFStock_Log[WeekIndex],60))</f>
        <v/>
      </c>
      <c r="BJ19" s="19">
        <f>IF(COUNTIFS(T_TTAFStock_Log[Part Name],$A19,T_TTAFStock_Log[WeekIndex],61)=0,"",SUMIFS(T_TTAFStock_Log[TTAF_Qty],T_TTAFStock_Log[Part Name],$A19,T_TTAFStock_Log[WeekIndex],61))</f>
        <v/>
      </c>
      <c r="BK19" s="19">
        <f>IF(COUNTIFS(T_TTAFStock_Log[Part Name],$A19,T_TTAFStock_Log[WeekIndex],62)=0,"",SUMIFS(T_TTAFStock_Log[TTAF_Qty],T_TTAFStock_Log[Part Name],$A19,T_TTAFStock_Log[WeekIndex],62))</f>
        <v/>
      </c>
      <c r="BL19" s="19">
        <f>IF(COUNTIFS(T_TTAFStock_Log[Part Name],$A19,T_TTAFStock_Log[WeekIndex],63)=0,"",SUMIFS(T_TTAFStock_Log[TTAF_Qty],T_TTAFStock_Log[Part Name],$A19,T_TTAFStock_Log[WeekIndex],63))</f>
        <v/>
      </c>
      <c r="BM19" s="19">
        <f>IF(COUNTIFS(T_TTAFStock_Log[Part Name],$A19,T_TTAFStock_Log[WeekIndex],64)=0,"",SUMIFS(T_TTAFStock_Log[TTAF_Qty],T_TTAFStock_Log[Part Name],$A19,T_TTAFStock_Log[WeekIndex],64))</f>
        <v/>
      </c>
      <c r="BN19" s="19">
        <f>IF(COUNTIFS(T_TTAFStock_Log[Part Name],$A19,T_TTAFStock_Log[WeekIndex],65)=0,"",SUMIFS(T_TTAFStock_Log[TTAF_Qty],T_TTAFStock_Log[Part Name],$A19,T_TTAFStock_Log[WeekIndex],65))</f>
        <v/>
      </c>
      <c r="BO19" s="19">
        <f>IF(COUNTIFS(T_TTAFStock_Log[Part Name],$A19,T_TTAFStock_Log[WeekIndex],66)=0,"",SUMIFS(T_TTAFStock_Log[TTAF_Qty],T_TTAFStock_Log[Part Name],$A19,T_TTAFStock_Log[WeekIndex],66))</f>
        <v/>
      </c>
      <c r="BP19" s="19">
        <f>IF(COUNTIFS(T_TTAFStock_Log[Part Name],$A19,T_TTAFStock_Log[WeekIndex],67)=0,"",SUMIFS(T_TTAFStock_Log[TTAF_Qty],T_TTAFStock_Log[Part Name],$A19,T_TTAFStock_Log[WeekIndex],67))</f>
        <v/>
      </c>
      <c r="BQ19" s="19">
        <f>IF(COUNTIFS(T_TTAFStock_Log[Part Name],$A19,T_TTAFStock_Log[WeekIndex],68)=0,"",SUMIFS(T_TTAFStock_Log[TTAF_Qty],T_TTAFStock_Log[Part Name],$A19,T_TTAFStock_Log[WeekIndex],68))</f>
        <v/>
      </c>
      <c r="BR19" s="19">
        <f>IF(COUNTIFS(T_TTAFStock_Log[Part Name],$A19,T_TTAFStock_Log[WeekIndex],69)=0,"",SUMIFS(T_TTAFStock_Log[TTAF_Qty],T_TTAFStock_Log[Part Name],$A19,T_TTAFStock_Log[WeekIndex],69))</f>
        <v/>
      </c>
      <c r="BS19" s="19">
        <f>IF(COUNTIFS(T_TTAFStock_Log[Part Name],$A19,T_TTAFStock_Log[WeekIndex],70)=0,"",SUMIFS(T_TTAFStock_Log[TTAF_Qty],T_TTAFStock_Log[Part Name],$A19,T_TTAFStock_Log[WeekIndex],70))</f>
        <v/>
      </c>
      <c r="BT19" s="19">
        <f>IF(COUNTIFS(T_TTAFStock_Log[Part Name],$A19,T_TTAFStock_Log[WeekIndex],71)=0,"",SUMIFS(T_TTAFStock_Log[TTAF_Qty],T_TTAFStock_Log[Part Name],$A19,T_TTAFStock_Log[WeekIndex],71))</f>
        <v/>
      </c>
      <c r="BU19" s="19">
        <f>IF(COUNTIFS(T_TTAFStock_Log[Part Name],$A19,T_TTAFStock_Log[WeekIndex],72)=0,"",SUMIFS(T_TTAFStock_Log[TTAF_Qty],T_TTAFStock_Log[Part Name],$A19,T_TTAFStock_Log[WeekIndex],72))</f>
        <v/>
      </c>
      <c r="BV19" s="19">
        <f>IF(COUNTIFS(T_TTAFStock_Log[Part Name],$A19,T_TTAFStock_Log[WeekIndex],73)=0,"",SUMIFS(T_TTAFStock_Log[TTAF_Qty],T_TTAFStock_Log[Part Name],$A19,T_TTAFStock_Log[WeekIndex],73))</f>
        <v/>
      </c>
      <c r="BW19" s="19">
        <f>IF(COUNTIFS(T_TTAFStock_Log[Part Name],$A19,T_TTAFStock_Log[WeekIndex],74)=0,"",SUMIFS(T_TTAFStock_Log[TTAF_Qty],T_TTAFStock_Log[Part Name],$A19,T_TTAFStock_Log[WeekIndex],74))</f>
        <v/>
      </c>
      <c r="BX19" s="19">
        <f>IF(COUNTIFS(T_TTAFStock_Log[Part Name],$A19,T_TTAFStock_Log[WeekIndex],75)=0,"",SUMIFS(T_TTAFStock_Log[TTAF_Qty],T_TTAFStock_Log[Part Name],$A19,T_TTAFStock_Log[WeekIndex],75))</f>
        <v/>
      </c>
      <c r="BY19" s="19">
        <f>IF(COUNTIFS(T_TTAFStock_Log[Part Name],$A19,T_TTAFStock_Log[WeekIndex],76)=0,"",SUMIFS(T_TTAFStock_Log[TTAF_Qty],T_TTAFStock_Log[Part Name],$A19,T_TTAFStock_Log[WeekIndex],76))</f>
        <v/>
      </c>
      <c r="BZ19" s="19">
        <f>IF(COUNTIFS(T_TTAFStock_Log[Part Name],$A19,T_TTAFStock_Log[WeekIndex],77)=0,"",SUMIFS(T_TTAFStock_Log[TTAF_Qty],T_TTAFStock_Log[Part Name],$A19,T_TTAFStock_Log[WeekIndex],77))</f>
        <v/>
      </c>
      <c r="CA19" s="19">
        <f>IF(COUNTIFS(T_TTAFStock_Log[Part Name],$A19,T_TTAFStock_Log[WeekIndex],78)=0,"",SUMIFS(T_TTAFStock_Log[TTAF_Qty],T_TTAFStock_Log[Part Name],$A19,T_TTAFStock_Log[WeekIndex],78))</f>
        <v/>
      </c>
      <c r="CB19" s="19">
        <f>IF(COUNTIFS(T_TTAFStock_Log[Part Name],$A19,T_TTAFStock_Log[WeekIndex],79)=0,"",SUMIFS(T_TTAFStock_Log[TTAF_Qty],T_TTAFStock_Log[Part Name],$A19,T_TTAFStock_Log[WeekIndex],79))</f>
        <v/>
      </c>
      <c r="CC19" s="19">
        <f>IF(COUNTIFS(T_TTAFStock_Log[Part Name],$A19,T_TTAFStock_Log[WeekIndex],80)=0,"",SUMIFS(T_TTAFStock_Log[TTAF_Qty],T_TTAFStock_Log[Part Name],$A19,T_TTAFStock_Log[WeekIndex],80))</f>
        <v/>
      </c>
      <c r="CD19" s="19">
        <f>IF(COUNTIFS(T_TTAFStock_Log[Part Name],$A19,T_TTAFStock_Log[WeekIndex],81)=0,"",SUMIFS(T_TTAFStock_Log[TTAF_Qty],T_TTAFStock_Log[Part Name],$A19,T_TTAFStock_Log[WeekIndex],81))</f>
        <v/>
      </c>
      <c r="CE19" s="19">
        <f>IF(COUNTIFS(T_TTAFStock_Log[Part Name],$A19,T_TTAFStock_Log[WeekIndex],82)=0,"",SUMIFS(T_TTAFStock_Log[TTAF_Qty],T_TTAFStock_Log[Part Name],$A19,T_TTAFStock_Log[WeekIndex],82))</f>
        <v/>
      </c>
      <c r="CF19" s="19">
        <f>IF(COUNTIFS(T_TTAFStock_Log[Part Name],$A19,T_TTAFStock_Log[WeekIndex],83)=0,"",SUMIFS(T_TTAFStock_Log[TTAF_Qty],T_TTAFStock_Log[Part Name],$A19,T_TTAFStock_Log[WeekIndex],83))</f>
        <v/>
      </c>
      <c r="CG19" s="19">
        <f>IF(COUNTIFS(T_TTAFStock_Log[Part Name],$A19,T_TTAFStock_Log[WeekIndex],84)=0,"",SUMIFS(T_TTAFStock_Log[TTAF_Qty],T_TTAFStock_Log[Part Name],$A19,T_TTAFStock_Log[WeekIndex],84))</f>
        <v/>
      </c>
      <c r="CH19" s="19">
        <f>IF(COUNTIFS(T_TTAFStock_Log[Part Name],$A19,T_TTAFStock_Log[WeekIndex],85)=0,"",SUMIFS(T_TTAFStock_Log[TTAF_Qty],T_TTAFStock_Log[Part Name],$A19,T_TTAFStock_Log[WeekIndex],85))</f>
        <v/>
      </c>
      <c r="CI19" s="19">
        <f>IF(COUNTIFS(T_TTAFStock_Log[Part Name],$A19,T_TTAFStock_Log[WeekIndex],86)=0,"",SUMIFS(T_TTAFStock_Log[TTAF_Qty],T_TTAFStock_Log[Part Name],$A19,T_TTAFStock_Log[WeekIndex],86))</f>
        <v/>
      </c>
      <c r="CJ19" s="19">
        <f>IF(COUNTIFS(T_TTAFStock_Log[Part Name],$A19,T_TTAFStock_Log[WeekIndex],87)=0,"",SUMIFS(T_TTAFStock_Log[TTAF_Qty],T_TTAFStock_Log[Part Name],$A19,T_TTAFStock_Log[WeekIndex],87))</f>
        <v/>
      </c>
      <c r="CK19" s="19">
        <f>IF(COUNTIFS(T_TTAFStock_Log[Part Name],$A19,T_TTAFStock_Log[WeekIndex],88)=0,"",SUMIFS(T_TTAFStock_Log[TTAF_Qty],T_TTAFStock_Log[Part Name],$A19,T_TTAFStock_Log[WeekIndex],88))</f>
        <v/>
      </c>
      <c r="CL19" s="19">
        <f>IF(COUNTIFS(T_TTAFStock_Log[Part Name],$A19,T_TTAFStock_Log[WeekIndex],89)=0,"",SUMIFS(T_TTAFStock_Log[TTAF_Qty],T_TTAFStock_Log[Part Name],$A19,T_TTAFStock_Log[WeekIndex],89))</f>
        <v/>
      </c>
      <c r="CM19" s="19">
        <f>IF(COUNTIFS(T_TTAFStock_Log[Part Name],$A19,T_TTAFStock_Log[WeekIndex],90)=0,"",SUMIFS(T_TTAFStock_Log[TTAF_Qty],T_TTAFStock_Log[Part Name],$A19,T_TTAFStock_Log[WeekIndex],90))</f>
        <v/>
      </c>
      <c r="CN19" s="19">
        <f>IF(COUNTIFS(T_TTAFStock_Log[Part Name],$A19,T_TTAFStock_Log[WeekIndex],91)=0,"",SUMIFS(T_TTAFStock_Log[TTAF_Qty],T_TTAFStock_Log[Part Name],$A19,T_TTAFStock_Log[WeekIndex],91))</f>
        <v/>
      </c>
      <c r="CO19" s="19">
        <f>IF(COUNTIFS(T_TTAFStock_Log[Part Name],$A19,T_TTAFStock_Log[WeekIndex],92)=0,"",SUMIFS(T_TTAFStock_Log[TTAF_Qty],T_TTAFStock_Log[Part Name],$A19,T_TTAFStock_Log[WeekIndex],92))</f>
        <v/>
      </c>
      <c r="CP19" s="19">
        <f>IF(COUNTIFS(T_TTAFStock_Log[Part Name],$A19,T_TTAFStock_Log[WeekIndex],93)=0,"",SUMIFS(T_TTAFStock_Log[TTAF_Qty],T_TTAFStock_Log[Part Name],$A19,T_TTAFStock_Log[WeekIndex],93))</f>
        <v/>
      </c>
      <c r="CQ19" s="19">
        <f>IF(COUNTIFS(T_TTAFStock_Log[Part Name],$A19,T_TTAFStock_Log[WeekIndex],94)=0,"",SUMIFS(T_TTAFStock_Log[TTAF_Qty],T_TTAFStock_Log[Part Name],$A19,T_TTAFStock_Log[WeekIndex],94))</f>
        <v/>
      </c>
      <c r="CR19" s="19">
        <f>IF(COUNTIFS(T_TTAFStock_Log[Part Name],$A19,T_TTAFStock_Log[WeekIndex],95)=0,"",SUMIFS(T_TTAFStock_Log[TTAF_Qty],T_TTAFStock_Log[Part Name],$A19,T_TTAFStock_Log[WeekIndex],95))</f>
        <v/>
      </c>
      <c r="CS19" s="19">
        <f>IF(COUNTIFS(T_TTAFStock_Log[Part Name],$A19,T_TTAFStock_Log[WeekIndex],96)=0,"",SUMIFS(T_TTAFStock_Log[TTAF_Qty],T_TTAFStock_Log[Part Name],$A19,T_TTAFStock_Log[WeekIndex],96))</f>
        <v/>
      </c>
      <c r="CT19" s="19">
        <f>IF(COUNTIFS(T_TTAFStock_Log[Part Name],$A19,T_TTAFStock_Log[WeekIndex],97)=0,"",SUMIFS(T_TTAFStock_Log[TTAF_Qty],T_TTAFStock_Log[Part Name],$A19,T_TTAFStock_Log[WeekIndex],97))</f>
        <v/>
      </c>
      <c r="CU19" s="19">
        <f>IF(COUNTIFS(T_TTAFStock_Log[Part Name],$A19,T_TTAFStock_Log[WeekIndex],98)=0,"",SUMIFS(T_TTAFStock_Log[TTAF_Qty],T_TTAFStock_Log[Part Name],$A19,T_TTAFStock_Log[WeekIndex],98))</f>
        <v/>
      </c>
      <c r="CV19" s="19">
        <f>IF(COUNTIFS(T_TTAFStock_Log[Part Name],$A19,T_TTAFStock_Log[WeekIndex],99)=0,"",SUMIFS(T_TTAFStock_Log[TTAF_Qty],T_TTAFStock_Log[Part Name],$A19,T_TTAFStock_Log[WeekIndex],99))</f>
        <v/>
      </c>
      <c r="CW19" s="19">
        <f>IF(COUNTIFS(T_TTAFStock_Log[Part Name],$A19,T_TTAFStock_Log[WeekIndex],100)=0,"",SUMIFS(T_TTAFStock_Log[TTAF_Qty],T_TTAFStock_Log[Part Name],$A19,T_TTAFStock_Log[WeekIndex],100))</f>
        <v/>
      </c>
      <c r="CX19" s="19">
        <f>IF(COUNTIFS(T_TTAFStock_Log[Part Name],$A19,T_TTAFStock_Log[WeekIndex],101)=0,"",SUMIFS(T_TTAFStock_Log[TTAF_Qty],T_TTAFStock_Log[Part Name],$A19,T_TTAFStock_Log[WeekIndex],101))</f>
        <v/>
      </c>
      <c r="CY19" s="19">
        <f>IF(COUNTIFS(T_TTAFStock_Log[Part Name],$A19,T_TTAFStock_Log[WeekIndex],102)=0,"",SUMIFS(T_TTAFStock_Log[TTAF_Qty],T_TTAFStock_Log[Part Name],$A19,T_TTAFStock_Log[WeekIndex],102))</f>
        <v/>
      </c>
      <c r="CZ19" s="19">
        <f>IF(COUNTIFS(T_TTAFStock_Log[Part Name],$A19,T_TTAFStock_Log[WeekIndex],103)=0,"",SUMIFS(T_TTAFStock_Log[TTAF_Qty],T_TTAFStock_Log[Part Name],$A19,T_TTAFStock_Log[WeekIndex],103))</f>
        <v/>
      </c>
      <c r="DA19" s="19">
        <f>IF(COUNTIFS(T_TTAFStock_Log[Part Name],$A19,T_TTAFStock_Log[WeekIndex],104)=0,"",SUMIFS(T_TTAFStock_Log[TTAF_Qty],T_TTAFStock_Log[Part Name],$A19,T_TTAFStock_Log[WeekIndex],104))</f>
        <v/>
      </c>
    </row>
    <row r="20">
      <c r="A20" s="17" t="inlineStr">
        <is>
          <t>8EN</t>
        </is>
      </c>
      <c r="B20" s="17">
        <f>IF(COUNTIFS(T_TTAFStock_Log[Part Name],$A20,T_TTAFStock_Log[WeekIndex],1)=0,"",SUMIFS(T_TTAFStock_Log[TTAF_Qty],T_TTAFStock_Log[Part Name],$A20,T_TTAFStock_Log[WeekIndex],1))</f>
        <v/>
      </c>
      <c r="C20" s="17">
        <f>IF(COUNTIFS(T_TTAFStock_Log[Part Name],$A20,T_TTAFStock_Log[WeekIndex],2)=0,"",SUMIFS(T_TTAFStock_Log[TTAF_Qty],T_TTAFStock_Log[Part Name],$A20,T_TTAFStock_Log[WeekIndex],2))</f>
        <v/>
      </c>
      <c r="D20" s="17">
        <f>IF(COUNTIFS(T_TTAFStock_Log[Part Name],$A20,T_TTAFStock_Log[WeekIndex],3)=0,"",SUMIFS(T_TTAFStock_Log[TTAF_Qty],T_TTAFStock_Log[Part Name],$A20,T_TTAFStock_Log[WeekIndex],3))</f>
        <v/>
      </c>
      <c r="E20" s="17">
        <f>IF(COUNTIFS(T_TTAFStock_Log[Part Name],$A20,T_TTAFStock_Log[WeekIndex],4)=0,"",SUMIFS(T_TTAFStock_Log[TTAF_Qty],T_TTAFStock_Log[Part Name],$A20,T_TTAFStock_Log[WeekIndex],4))</f>
        <v/>
      </c>
      <c r="F20" s="17">
        <f>IF(COUNTIFS(T_TTAFStock_Log[Part Name],$A20,T_TTAFStock_Log[WeekIndex],5)=0,"",SUMIFS(T_TTAFStock_Log[TTAF_Qty],T_TTAFStock_Log[Part Name],$A20,T_TTAFStock_Log[WeekIndex],5))</f>
        <v/>
      </c>
      <c r="G20" s="17">
        <f>IF(COUNTIFS(T_TTAFStock_Log[Part Name],$A20,T_TTAFStock_Log[WeekIndex],6)=0,"",SUMIFS(T_TTAFStock_Log[TTAF_Qty],T_TTAFStock_Log[Part Name],$A20,T_TTAFStock_Log[WeekIndex],6))</f>
        <v/>
      </c>
      <c r="H20" s="17">
        <f>IF(COUNTIFS(T_TTAFStock_Log[Part Name],$A20,T_TTAFStock_Log[WeekIndex],7)=0,"",SUMIFS(T_TTAFStock_Log[TTAF_Qty],T_TTAFStock_Log[Part Name],$A20,T_TTAFStock_Log[WeekIndex],7))</f>
        <v/>
      </c>
      <c r="I20" s="17">
        <f>IF(COUNTIFS(T_TTAFStock_Log[Part Name],$A20,T_TTAFStock_Log[WeekIndex],8)=0,"",SUMIFS(T_TTAFStock_Log[TTAF_Qty],T_TTAFStock_Log[Part Name],$A20,T_TTAFStock_Log[WeekIndex],8))</f>
        <v/>
      </c>
      <c r="J20" s="17">
        <f>IF(COUNTIFS(T_TTAFStock_Log[Part Name],$A20,T_TTAFStock_Log[WeekIndex],9)=0,"",SUMIFS(T_TTAFStock_Log[TTAF_Qty],T_TTAFStock_Log[Part Name],$A20,T_TTAFStock_Log[WeekIndex],9))</f>
        <v/>
      </c>
      <c r="K20" s="17">
        <f>IF(COUNTIFS(T_TTAFStock_Log[Part Name],$A20,T_TTAFStock_Log[WeekIndex],10)=0,"",SUMIFS(T_TTAFStock_Log[TTAF_Qty],T_TTAFStock_Log[Part Name],$A20,T_TTAFStock_Log[WeekIndex],10))</f>
        <v/>
      </c>
      <c r="L20" s="17">
        <f>IF(COUNTIFS(T_TTAFStock_Log[Part Name],$A20,T_TTAFStock_Log[WeekIndex],11)=0,"",SUMIFS(T_TTAFStock_Log[TTAF_Qty],T_TTAFStock_Log[Part Name],$A20,T_TTAFStock_Log[WeekIndex],11))</f>
        <v/>
      </c>
      <c r="M20" s="17">
        <f>IF(COUNTIFS(T_TTAFStock_Log[Part Name],$A20,T_TTAFStock_Log[WeekIndex],12)=0,"",SUMIFS(T_TTAFStock_Log[TTAF_Qty],T_TTAFStock_Log[Part Name],$A20,T_TTAFStock_Log[WeekIndex],12))</f>
        <v/>
      </c>
      <c r="N20" s="17">
        <f>IF(COUNTIFS(T_TTAFStock_Log[Part Name],$A20,T_TTAFStock_Log[WeekIndex],13)=0,"",SUMIFS(T_TTAFStock_Log[TTAF_Qty],T_TTAFStock_Log[Part Name],$A20,T_TTAFStock_Log[WeekIndex],13))</f>
        <v/>
      </c>
      <c r="O20" s="17">
        <f>IF(COUNTIFS(T_TTAFStock_Log[Part Name],$A20,T_TTAFStock_Log[WeekIndex],14)=0,"",SUMIFS(T_TTAFStock_Log[TTAF_Qty],T_TTAFStock_Log[Part Name],$A20,T_TTAFStock_Log[WeekIndex],14))</f>
        <v/>
      </c>
      <c r="P20" s="17">
        <f>IF(COUNTIFS(T_TTAFStock_Log[Part Name],$A20,T_TTAFStock_Log[WeekIndex],15)=0,"",SUMIFS(T_TTAFStock_Log[TTAF_Qty],T_TTAFStock_Log[Part Name],$A20,T_TTAFStock_Log[WeekIndex],15))</f>
        <v/>
      </c>
      <c r="Q20" s="17">
        <f>IF(COUNTIFS(T_TTAFStock_Log[Part Name],$A20,T_TTAFStock_Log[WeekIndex],16)=0,"",SUMIFS(T_TTAFStock_Log[TTAF_Qty],T_TTAFStock_Log[Part Name],$A20,T_TTAFStock_Log[WeekIndex],16))</f>
        <v/>
      </c>
      <c r="R20" s="17">
        <f>IF(COUNTIFS(T_TTAFStock_Log[Part Name],$A20,T_TTAFStock_Log[WeekIndex],17)=0,"",SUMIFS(T_TTAFStock_Log[TTAF_Qty],T_TTAFStock_Log[Part Name],$A20,T_TTAFStock_Log[WeekIndex],17))</f>
        <v/>
      </c>
      <c r="S20" s="17">
        <f>IF(COUNTIFS(T_TTAFStock_Log[Part Name],$A20,T_TTAFStock_Log[WeekIndex],18)=0,"",SUMIFS(T_TTAFStock_Log[TTAF_Qty],T_TTAFStock_Log[Part Name],$A20,T_TTAFStock_Log[WeekIndex],18))</f>
        <v/>
      </c>
      <c r="T20" s="17">
        <f>IF(COUNTIFS(T_TTAFStock_Log[Part Name],$A20,T_TTAFStock_Log[WeekIndex],19)=0,"",SUMIFS(T_TTAFStock_Log[TTAF_Qty],T_TTAFStock_Log[Part Name],$A20,T_TTAFStock_Log[WeekIndex],19))</f>
        <v/>
      </c>
      <c r="U20" s="17">
        <f>IF(COUNTIFS(T_TTAFStock_Log[Part Name],$A20,T_TTAFStock_Log[WeekIndex],20)=0,"",SUMIFS(T_TTAFStock_Log[TTAF_Qty],T_TTAFStock_Log[Part Name],$A20,T_TTAFStock_Log[WeekIndex],20))</f>
        <v/>
      </c>
      <c r="V20" s="17">
        <f>IF(COUNTIFS(T_TTAFStock_Log[Part Name],$A20,T_TTAFStock_Log[WeekIndex],21)=0,"",SUMIFS(T_TTAFStock_Log[TTAF_Qty],T_TTAFStock_Log[Part Name],$A20,T_TTAFStock_Log[WeekIndex],21))</f>
        <v/>
      </c>
      <c r="W20" s="17">
        <f>IF(COUNTIFS(T_TTAFStock_Log[Part Name],$A20,T_TTAFStock_Log[WeekIndex],22)=0,"",SUMIFS(T_TTAFStock_Log[TTAF_Qty],T_TTAFStock_Log[Part Name],$A20,T_TTAFStock_Log[WeekIndex],22))</f>
        <v/>
      </c>
      <c r="X20" s="17">
        <f>IF(COUNTIFS(T_TTAFStock_Log[Part Name],$A20,T_TTAFStock_Log[WeekIndex],23)=0,"",SUMIFS(T_TTAFStock_Log[TTAF_Qty],T_TTAFStock_Log[Part Name],$A20,T_TTAFStock_Log[WeekIndex],23))</f>
        <v/>
      </c>
      <c r="Y20" s="17">
        <f>IF(COUNTIFS(T_TTAFStock_Log[Part Name],$A20,T_TTAFStock_Log[WeekIndex],24)=0,"",SUMIFS(T_TTAFStock_Log[TTAF_Qty],T_TTAFStock_Log[Part Name],$A20,T_TTAFStock_Log[WeekIndex],24))</f>
        <v/>
      </c>
      <c r="Z20" s="17">
        <f>IF(COUNTIFS(T_TTAFStock_Log[Part Name],$A20,T_TTAFStock_Log[WeekIndex],25)=0,"",SUMIFS(T_TTAFStock_Log[TTAF_Qty],T_TTAFStock_Log[Part Name],$A20,T_TTAFStock_Log[WeekIndex],25))</f>
        <v/>
      </c>
      <c r="AA20" s="17">
        <f>IF(COUNTIFS(T_TTAFStock_Log[Part Name],$A20,T_TTAFStock_Log[WeekIndex],26)=0,"",SUMIFS(T_TTAFStock_Log[TTAF_Qty],T_TTAFStock_Log[Part Name],$A20,T_TTAFStock_Log[WeekIndex],26))</f>
        <v/>
      </c>
      <c r="AB20" s="17">
        <f>IF(COUNTIFS(T_TTAFStock_Log[Part Name],$A20,T_TTAFStock_Log[WeekIndex],27)=0,"",SUMIFS(T_TTAFStock_Log[TTAF_Qty],T_TTAFStock_Log[Part Name],$A20,T_TTAFStock_Log[WeekIndex],27))</f>
        <v/>
      </c>
      <c r="AC20" s="17">
        <f>IF(COUNTIFS(T_TTAFStock_Log[Part Name],$A20,T_TTAFStock_Log[WeekIndex],28)=0,"",SUMIFS(T_TTAFStock_Log[TTAF_Qty],T_TTAFStock_Log[Part Name],$A20,T_TTAFStock_Log[WeekIndex],28))</f>
        <v/>
      </c>
      <c r="AD20" s="17">
        <f>IF(COUNTIFS(T_TTAFStock_Log[Part Name],$A20,T_TTAFStock_Log[WeekIndex],29)=0,"",SUMIFS(T_TTAFStock_Log[TTAF_Qty],T_TTAFStock_Log[Part Name],$A20,T_TTAFStock_Log[WeekIndex],29))</f>
        <v/>
      </c>
      <c r="AE20" s="17">
        <f>IF(COUNTIFS(T_TTAFStock_Log[Part Name],$A20,T_TTAFStock_Log[WeekIndex],30)=0,"",SUMIFS(T_TTAFStock_Log[TTAF_Qty],T_TTAFStock_Log[Part Name],$A20,T_TTAFStock_Log[WeekIndex],30))</f>
        <v/>
      </c>
      <c r="AF20" s="17">
        <f>IF(COUNTIFS(T_TTAFStock_Log[Part Name],$A20,T_TTAFStock_Log[WeekIndex],31)=0,"",SUMIFS(T_TTAFStock_Log[TTAF_Qty],T_TTAFStock_Log[Part Name],$A20,T_TTAFStock_Log[WeekIndex],31))</f>
        <v/>
      </c>
      <c r="AG20" s="17">
        <f>IF(COUNTIFS(T_TTAFStock_Log[Part Name],$A20,T_TTAFStock_Log[WeekIndex],32)=0,"",SUMIFS(T_TTAFStock_Log[TTAF_Qty],T_TTAFStock_Log[Part Name],$A20,T_TTAFStock_Log[WeekIndex],32))</f>
        <v/>
      </c>
      <c r="AH20" s="17">
        <f>IF(COUNTIFS(T_TTAFStock_Log[Part Name],$A20,T_TTAFStock_Log[WeekIndex],33)=0,"",SUMIFS(T_TTAFStock_Log[TTAF_Qty],T_TTAFStock_Log[Part Name],$A20,T_TTAFStock_Log[WeekIndex],33))</f>
        <v/>
      </c>
      <c r="AI20" s="17">
        <f>IF(COUNTIFS(T_TTAFStock_Log[Part Name],$A20,T_TTAFStock_Log[WeekIndex],34)=0,"",SUMIFS(T_TTAFStock_Log[TTAF_Qty],T_TTAFStock_Log[Part Name],$A20,T_TTAFStock_Log[WeekIndex],34))</f>
        <v/>
      </c>
      <c r="AJ20" s="17">
        <f>IF(COUNTIFS(T_TTAFStock_Log[Part Name],$A20,T_TTAFStock_Log[WeekIndex],35)=0,"",SUMIFS(T_TTAFStock_Log[TTAF_Qty],T_TTAFStock_Log[Part Name],$A20,T_TTAFStock_Log[WeekIndex],35))</f>
        <v/>
      </c>
      <c r="AK20" s="17">
        <f>IF(COUNTIFS(T_TTAFStock_Log[Part Name],$A20,T_TTAFStock_Log[WeekIndex],36)=0,"",SUMIFS(T_TTAFStock_Log[TTAF_Qty],T_TTAFStock_Log[Part Name],$A20,T_TTAFStock_Log[WeekIndex],36))</f>
        <v/>
      </c>
      <c r="AL20" s="17">
        <f>IF(COUNTIFS(T_TTAFStock_Log[Part Name],$A20,T_TTAFStock_Log[WeekIndex],37)=0,"",SUMIFS(T_TTAFStock_Log[TTAF_Qty],T_TTAFStock_Log[Part Name],$A20,T_TTAFStock_Log[WeekIndex],37))</f>
        <v/>
      </c>
      <c r="AM20" s="17">
        <f>IF(COUNTIFS(T_TTAFStock_Log[Part Name],$A20,T_TTAFStock_Log[WeekIndex],38)=0,"",SUMIFS(T_TTAFStock_Log[TTAF_Qty],T_TTAFStock_Log[Part Name],$A20,T_TTAFStock_Log[WeekIndex],38))</f>
        <v/>
      </c>
      <c r="AN20" s="17">
        <f>IF(COUNTIFS(T_TTAFStock_Log[Part Name],$A20,T_TTAFStock_Log[WeekIndex],39)=0,"",SUMIFS(T_TTAFStock_Log[TTAF_Qty],T_TTAFStock_Log[Part Name],$A20,T_TTAFStock_Log[WeekIndex],39))</f>
        <v/>
      </c>
      <c r="AO20" s="17">
        <f>IF(COUNTIFS(T_TTAFStock_Log[Part Name],$A20,T_TTAFStock_Log[WeekIndex],40)=0,"",SUMIFS(T_TTAFStock_Log[TTAF_Qty],T_TTAFStock_Log[Part Name],$A20,T_TTAFStock_Log[WeekIndex],40))</f>
        <v/>
      </c>
      <c r="AP20" s="17">
        <f>IF(COUNTIFS(T_TTAFStock_Log[Part Name],$A20,T_TTAFStock_Log[WeekIndex],41)=0,"",SUMIFS(T_TTAFStock_Log[TTAF_Qty],T_TTAFStock_Log[Part Name],$A20,T_TTAFStock_Log[WeekIndex],41))</f>
        <v/>
      </c>
      <c r="AQ20" s="17">
        <f>IF(COUNTIFS(T_TTAFStock_Log[Part Name],$A20,T_TTAFStock_Log[WeekIndex],42)=0,"",SUMIFS(T_TTAFStock_Log[TTAF_Qty],T_TTAFStock_Log[Part Name],$A20,T_TTAFStock_Log[WeekIndex],42))</f>
        <v/>
      </c>
      <c r="AR20" s="17">
        <f>IF(COUNTIFS(T_TTAFStock_Log[Part Name],$A20,T_TTAFStock_Log[WeekIndex],43)=0,"",SUMIFS(T_TTAFStock_Log[TTAF_Qty],T_TTAFStock_Log[Part Name],$A20,T_TTAFStock_Log[WeekIndex],43))</f>
        <v/>
      </c>
      <c r="AS20" s="17">
        <f>IF(COUNTIFS(T_TTAFStock_Log[Part Name],$A20,T_TTAFStock_Log[WeekIndex],44)=0,"",SUMIFS(T_TTAFStock_Log[TTAF_Qty],T_TTAFStock_Log[Part Name],$A20,T_TTAFStock_Log[WeekIndex],44))</f>
        <v/>
      </c>
      <c r="AT20" s="17">
        <f>IF(COUNTIFS(T_TTAFStock_Log[Part Name],$A20,T_TTAFStock_Log[WeekIndex],45)=0,"",SUMIFS(T_TTAFStock_Log[TTAF_Qty],T_TTAFStock_Log[Part Name],$A20,T_TTAFStock_Log[WeekIndex],45))</f>
        <v/>
      </c>
      <c r="AU20" s="17">
        <f>IF(COUNTIFS(T_TTAFStock_Log[Part Name],$A20,T_TTAFStock_Log[WeekIndex],46)=0,"",SUMIFS(T_TTAFStock_Log[TTAF_Qty],T_TTAFStock_Log[Part Name],$A20,T_TTAFStock_Log[WeekIndex],46))</f>
        <v/>
      </c>
      <c r="AV20" s="17">
        <f>IF(COUNTIFS(T_TTAFStock_Log[Part Name],$A20,T_TTAFStock_Log[WeekIndex],47)=0,"",SUMIFS(T_TTAFStock_Log[TTAF_Qty],T_TTAFStock_Log[Part Name],$A20,T_TTAFStock_Log[WeekIndex],47))</f>
        <v/>
      </c>
      <c r="AW20" s="17">
        <f>IF(COUNTIFS(T_TTAFStock_Log[Part Name],$A20,T_TTAFStock_Log[WeekIndex],48)=0,"",SUMIFS(T_TTAFStock_Log[TTAF_Qty],T_TTAFStock_Log[Part Name],$A20,T_TTAFStock_Log[WeekIndex],48))</f>
        <v/>
      </c>
      <c r="AX20" s="17">
        <f>IF(COUNTIFS(T_TTAFStock_Log[Part Name],$A20,T_TTAFStock_Log[WeekIndex],49)=0,"",SUMIFS(T_TTAFStock_Log[TTAF_Qty],T_TTAFStock_Log[Part Name],$A20,T_TTAFStock_Log[WeekIndex],49))</f>
        <v/>
      </c>
      <c r="AY20" s="17">
        <f>IF(COUNTIFS(T_TTAFStock_Log[Part Name],$A20,T_TTAFStock_Log[WeekIndex],50)=0,"",SUMIFS(T_TTAFStock_Log[TTAF_Qty],T_TTAFStock_Log[Part Name],$A20,T_TTAFStock_Log[WeekIndex],50))</f>
        <v/>
      </c>
      <c r="AZ20" s="17">
        <f>IF(COUNTIFS(T_TTAFStock_Log[Part Name],$A20,T_TTAFStock_Log[WeekIndex],51)=0,"",SUMIFS(T_TTAFStock_Log[TTAF_Qty],T_TTAFStock_Log[Part Name],$A20,T_TTAFStock_Log[WeekIndex],51))</f>
        <v/>
      </c>
      <c r="BA20" s="17">
        <f>IF(COUNTIFS(T_TTAFStock_Log[Part Name],$A20,T_TTAFStock_Log[WeekIndex],52)=0,"",SUMIFS(T_TTAFStock_Log[TTAF_Qty],T_TTAFStock_Log[Part Name],$A20,T_TTAFStock_Log[WeekIndex],52))</f>
        <v/>
      </c>
      <c r="BB20" s="17">
        <f>IF(COUNTIFS(T_TTAFStock_Log[Part Name],$A20,T_TTAFStock_Log[WeekIndex],53)=0,"",SUMIFS(T_TTAFStock_Log[TTAF_Qty],T_TTAFStock_Log[Part Name],$A20,T_TTAFStock_Log[WeekIndex],53))</f>
        <v/>
      </c>
      <c r="BC20" s="17">
        <f>IF(COUNTIFS(T_TTAFStock_Log[Part Name],$A20,T_TTAFStock_Log[WeekIndex],54)=0,"",SUMIFS(T_TTAFStock_Log[TTAF_Qty],T_TTAFStock_Log[Part Name],$A20,T_TTAFStock_Log[WeekIndex],54))</f>
        <v/>
      </c>
      <c r="BD20" s="17">
        <f>IF(COUNTIFS(T_TTAFStock_Log[Part Name],$A20,T_TTAFStock_Log[WeekIndex],55)=0,"",SUMIFS(T_TTAFStock_Log[TTAF_Qty],T_TTAFStock_Log[Part Name],$A20,T_TTAFStock_Log[WeekIndex],55))</f>
        <v/>
      </c>
      <c r="BE20" s="17">
        <f>IF(COUNTIFS(T_TTAFStock_Log[Part Name],$A20,T_TTAFStock_Log[WeekIndex],56)=0,"",SUMIFS(T_TTAFStock_Log[TTAF_Qty],T_TTAFStock_Log[Part Name],$A20,T_TTAFStock_Log[WeekIndex],56))</f>
        <v/>
      </c>
      <c r="BF20" s="17">
        <f>IF(COUNTIFS(T_TTAFStock_Log[Part Name],$A20,T_TTAFStock_Log[WeekIndex],57)=0,"",SUMIFS(T_TTAFStock_Log[TTAF_Qty],T_TTAFStock_Log[Part Name],$A20,T_TTAFStock_Log[WeekIndex],57))</f>
        <v/>
      </c>
      <c r="BG20" s="17">
        <f>IF(COUNTIFS(T_TTAFStock_Log[Part Name],$A20,T_TTAFStock_Log[WeekIndex],58)=0,"",SUMIFS(T_TTAFStock_Log[TTAF_Qty],T_TTAFStock_Log[Part Name],$A20,T_TTAFStock_Log[WeekIndex],58))</f>
        <v/>
      </c>
      <c r="BH20" s="17">
        <f>IF(COUNTIFS(T_TTAFStock_Log[Part Name],$A20,T_TTAFStock_Log[WeekIndex],59)=0,"",SUMIFS(T_TTAFStock_Log[TTAF_Qty],T_TTAFStock_Log[Part Name],$A20,T_TTAFStock_Log[WeekIndex],59))</f>
        <v/>
      </c>
      <c r="BI20" s="17">
        <f>IF(COUNTIFS(T_TTAFStock_Log[Part Name],$A20,T_TTAFStock_Log[WeekIndex],60)=0,"",SUMIFS(T_TTAFStock_Log[TTAF_Qty],T_TTAFStock_Log[Part Name],$A20,T_TTAFStock_Log[WeekIndex],60))</f>
        <v/>
      </c>
      <c r="BJ20" s="17">
        <f>IF(COUNTIFS(T_TTAFStock_Log[Part Name],$A20,T_TTAFStock_Log[WeekIndex],61)=0,"",SUMIFS(T_TTAFStock_Log[TTAF_Qty],T_TTAFStock_Log[Part Name],$A20,T_TTAFStock_Log[WeekIndex],61))</f>
        <v/>
      </c>
      <c r="BK20" s="17">
        <f>IF(COUNTIFS(T_TTAFStock_Log[Part Name],$A20,T_TTAFStock_Log[WeekIndex],62)=0,"",SUMIFS(T_TTAFStock_Log[TTAF_Qty],T_TTAFStock_Log[Part Name],$A20,T_TTAFStock_Log[WeekIndex],62))</f>
        <v/>
      </c>
      <c r="BL20" s="17">
        <f>IF(COUNTIFS(T_TTAFStock_Log[Part Name],$A20,T_TTAFStock_Log[WeekIndex],63)=0,"",SUMIFS(T_TTAFStock_Log[TTAF_Qty],T_TTAFStock_Log[Part Name],$A20,T_TTAFStock_Log[WeekIndex],63))</f>
        <v/>
      </c>
      <c r="BM20" s="17">
        <f>IF(COUNTIFS(T_TTAFStock_Log[Part Name],$A20,T_TTAFStock_Log[WeekIndex],64)=0,"",SUMIFS(T_TTAFStock_Log[TTAF_Qty],T_TTAFStock_Log[Part Name],$A20,T_TTAFStock_Log[WeekIndex],64))</f>
        <v/>
      </c>
      <c r="BN20" s="17">
        <f>IF(COUNTIFS(T_TTAFStock_Log[Part Name],$A20,T_TTAFStock_Log[WeekIndex],65)=0,"",SUMIFS(T_TTAFStock_Log[TTAF_Qty],T_TTAFStock_Log[Part Name],$A20,T_TTAFStock_Log[WeekIndex],65))</f>
        <v/>
      </c>
      <c r="BO20" s="17">
        <f>IF(COUNTIFS(T_TTAFStock_Log[Part Name],$A20,T_TTAFStock_Log[WeekIndex],66)=0,"",SUMIFS(T_TTAFStock_Log[TTAF_Qty],T_TTAFStock_Log[Part Name],$A20,T_TTAFStock_Log[WeekIndex],66))</f>
        <v/>
      </c>
      <c r="BP20" s="17">
        <f>IF(COUNTIFS(T_TTAFStock_Log[Part Name],$A20,T_TTAFStock_Log[WeekIndex],67)=0,"",SUMIFS(T_TTAFStock_Log[TTAF_Qty],T_TTAFStock_Log[Part Name],$A20,T_TTAFStock_Log[WeekIndex],67))</f>
        <v/>
      </c>
      <c r="BQ20" s="17">
        <f>IF(COUNTIFS(T_TTAFStock_Log[Part Name],$A20,T_TTAFStock_Log[WeekIndex],68)=0,"",SUMIFS(T_TTAFStock_Log[TTAF_Qty],T_TTAFStock_Log[Part Name],$A20,T_TTAFStock_Log[WeekIndex],68))</f>
        <v/>
      </c>
      <c r="BR20" s="17">
        <f>IF(COUNTIFS(T_TTAFStock_Log[Part Name],$A20,T_TTAFStock_Log[WeekIndex],69)=0,"",SUMIFS(T_TTAFStock_Log[TTAF_Qty],T_TTAFStock_Log[Part Name],$A20,T_TTAFStock_Log[WeekIndex],69))</f>
        <v/>
      </c>
      <c r="BS20" s="17">
        <f>IF(COUNTIFS(T_TTAFStock_Log[Part Name],$A20,T_TTAFStock_Log[WeekIndex],70)=0,"",SUMIFS(T_TTAFStock_Log[TTAF_Qty],T_TTAFStock_Log[Part Name],$A20,T_TTAFStock_Log[WeekIndex],70))</f>
        <v/>
      </c>
      <c r="BT20" s="17">
        <f>IF(COUNTIFS(T_TTAFStock_Log[Part Name],$A20,T_TTAFStock_Log[WeekIndex],71)=0,"",SUMIFS(T_TTAFStock_Log[TTAF_Qty],T_TTAFStock_Log[Part Name],$A20,T_TTAFStock_Log[WeekIndex],71))</f>
        <v/>
      </c>
      <c r="BU20" s="17">
        <f>IF(COUNTIFS(T_TTAFStock_Log[Part Name],$A20,T_TTAFStock_Log[WeekIndex],72)=0,"",SUMIFS(T_TTAFStock_Log[TTAF_Qty],T_TTAFStock_Log[Part Name],$A20,T_TTAFStock_Log[WeekIndex],72))</f>
        <v/>
      </c>
      <c r="BV20" s="17">
        <f>IF(COUNTIFS(T_TTAFStock_Log[Part Name],$A20,T_TTAFStock_Log[WeekIndex],73)=0,"",SUMIFS(T_TTAFStock_Log[TTAF_Qty],T_TTAFStock_Log[Part Name],$A20,T_TTAFStock_Log[WeekIndex],73))</f>
        <v/>
      </c>
      <c r="BW20" s="17">
        <f>IF(COUNTIFS(T_TTAFStock_Log[Part Name],$A20,T_TTAFStock_Log[WeekIndex],74)=0,"",SUMIFS(T_TTAFStock_Log[TTAF_Qty],T_TTAFStock_Log[Part Name],$A20,T_TTAFStock_Log[WeekIndex],74))</f>
        <v/>
      </c>
      <c r="BX20" s="17">
        <f>IF(COUNTIFS(T_TTAFStock_Log[Part Name],$A20,T_TTAFStock_Log[WeekIndex],75)=0,"",SUMIFS(T_TTAFStock_Log[TTAF_Qty],T_TTAFStock_Log[Part Name],$A20,T_TTAFStock_Log[WeekIndex],75))</f>
        <v/>
      </c>
      <c r="BY20" s="17">
        <f>IF(COUNTIFS(T_TTAFStock_Log[Part Name],$A20,T_TTAFStock_Log[WeekIndex],76)=0,"",SUMIFS(T_TTAFStock_Log[TTAF_Qty],T_TTAFStock_Log[Part Name],$A20,T_TTAFStock_Log[WeekIndex],76))</f>
        <v/>
      </c>
      <c r="BZ20" s="17">
        <f>IF(COUNTIFS(T_TTAFStock_Log[Part Name],$A20,T_TTAFStock_Log[WeekIndex],77)=0,"",SUMIFS(T_TTAFStock_Log[TTAF_Qty],T_TTAFStock_Log[Part Name],$A20,T_TTAFStock_Log[WeekIndex],77))</f>
        <v/>
      </c>
      <c r="CA20" s="17">
        <f>IF(COUNTIFS(T_TTAFStock_Log[Part Name],$A20,T_TTAFStock_Log[WeekIndex],78)=0,"",SUMIFS(T_TTAFStock_Log[TTAF_Qty],T_TTAFStock_Log[Part Name],$A20,T_TTAFStock_Log[WeekIndex],78))</f>
        <v/>
      </c>
      <c r="CB20" s="17">
        <f>IF(COUNTIFS(T_TTAFStock_Log[Part Name],$A20,T_TTAFStock_Log[WeekIndex],79)=0,"",SUMIFS(T_TTAFStock_Log[TTAF_Qty],T_TTAFStock_Log[Part Name],$A20,T_TTAFStock_Log[WeekIndex],79))</f>
        <v/>
      </c>
      <c r="CC20" s="17">
        <f>IF(COUNTIFS(T_TTAFStock_Log[Part Name],$A20,T_TTAFStock_Log[WeekIndex],80)=0,"",SUMIFS(T_TTAFStock_Log[TTAF_Qty],T_TTAFStock_Log[Part Name],$A20,T_TTAFStock_Log[WeekIndex],80))</f>
        <v/>
      </c>
      <c r="CD20" s="17">
        <f>IF(COUNTIFS(T_TTAFStock_Log[Part Name],$A20,T_TTAFStock_Log[WeekIndex],81)=0,"",SUMIFS(T_TTAFStock_Log[TTAF_Qty],T_TTAFStock_Log[Part Name],$A20,T_TTAFStock_Log[WeekIndex],81))</f>
        <v/>
      </c>
      <c r="CE20" s="17">
        <f>IF(COUNTIFS(T_TTAFStock_Log[Part Name],$A20,T_TTAFStock_Log[WeekIndex],82)=0,"",SUMIFS(T_TTAFStock_Log[TTAF_Qty],T_TTAFStock_Log[Part Name],$A20,T_TTAFStock_Log[WeekIndex],82))</f>
        <v/>
      </c>
      <c r="CF20" s="17">
        <f>IF(COUNTIFS(T_TTAFStock_Log[Part Name],$A20,T_TTAFStock_Log[WeekIndex],83)=0,"",SUMIFS(T_TTAFStock_Log[TTAF_Qty],T_TTAFStock_Log[Part Name],$A20,T_TTAFStock_Log[WeekIndex],83))</f>
        <v/>
      </c>
      <c r="CG20" s="17">
        <f>IF(COUNTIFS(T_TTAFStock_Log[Part Name],$A20,T_TTAFStock_Log[WeekIndex],84)=0,"",SUMIFS(T_TTAFStock_Log[TTAF_Qty],T_TTAFStock_Log[Part Name],$A20,T_TTAFStock_Log[WeekIndex],84))</f>
        <v/>
      </c>
      <c r="CH20" s="17">
        <f>IF(COUNTIFS(T_TTAFStock_Log[Part Name],$A20,T_TTAFStock_Log[WeekIndex],85)=0,"",SUMIFS(T_TTAFStock_Log[TTAF_Qty],T_TTAFStock_Log[Part Name],$A20,T_TTAFStock_Log[WeekIndex],85))</f>
        <v/>
      </c>
      <c r="CI20" s="17">
        <f>IF(COUNTIFS(T_TTAFStock_Log[Part Name],$A20,T_TTAFStock_Log[WeekIndex],86)=0,"",SUMIFS(T_TTAFStock_Log[TTAF_Qty],T_TTAFStock_Log[Part Name],$A20,T_TTAFStock_Log[WeekIndex],86))</f>
        <v/>
      </c>
      <c r="CJ20" s="17">
        <f>IF(COUNTIFS(T_TTAFStock_Log[Part Name],$A20,T_TTAFStock_Log[WeekIndex],87)=0,"",SUMIFS(T_TTAFStock_Log[TTAF_Qty],T_TTAFStock_Log[Part Name],$A20,T_TTAFStock_Log[WeekIndex],87))</f>
        <v/>
      </c>
      <c r="CK20" s="17">
        <f>IF(COUNTIFS(T_TTAFStock_Log[Part Name],$A20,T_TTAFStock_Log[WeekIndex],88)=0,"",SUMIFS(T_TTAFStock_Log[TTAF_Qty],T_TTAFStock_Log[Part Name],$A20,T_TTAFStock_Log[WeekIndex],88))</f>
        <v/>
      </c>
      <c r="CL20" s="17">
        <f>IF(COUNTIFS(T_TTAFStock_Log[Part Name],$A20,T_TTAFStock_Log[WeekIndex],89)=0,"",SUMIFS(T_TTAFStock_Log[TTAF_Qty],T_TTAFStock_Log[Part Name],$A20,T_TTAFStock_Log[WeekIndex],89))</f>
        <v/>
      </c>
      <c r="CM20" s="17">
        <f>IF(COUNTIFS(T_TTAFStock_Log[Part Name],$A20,T_TTAFStock_Log[WeekIndex],90)=0,"",SUMIFS(T_TTAFStock_Log[TTAF_Qty],T_TTAFStock_Log[Part Name],$A20,T_TTAFStock_Log[WeekIndex],90))</f>
        <v/>
      </c>
      <c r="CN20" s="17">
        <f>IF(COUNTIFS(T_TTAFStock_Log[Part Name],$A20,T_TTAFStock_Log[WeekIndex],91)=0,"",SUMIFS(T_TTAFStock_Log[TTAF_Qty],T_TTAFStock_Log[Part Name],$A20,T_TTAFStock_Log[WeekIndex],91))</f>
        <v/>
      </c>
      <c r="CO20" s="17">
        <f>IF(COUNTIFS(T_TTAFStock_Log[Part Name],$A20,T_TTAFStock_Log[WeekIndex],92)=0,"",SUMIFS(T_TTAFStock_Log[TTAF_Qty],T_TTAFStock_Log[Part Name],$A20,T_TTAFStock_Log[WeekIndex],92))</f>
        <v/>
      </c>
      <c r="CP20" s="17">
        <f>IF(COUNTIFS(T_TTAFStock_Log[Part Name],$A20,T_TTAFStock_Log[WeekIndex],93)=0,"",SUMIFS(T_TTAFStock_Log[TTAF_Qty],T_TTAFStock_Log[Part Name],$A20,T_TTAFStock_Log[WeekIndex],93))</f>
        <v/>
      </c>
      <c r="CQ20" s="17">
        <f>IF(COUNTIFS(T_TTAFStock_Log[Part Name],$A20,T_TTAFStock_Log[WeekIndex],94)=0,"",SUMIFS(T_TTAFStock_Log[TTAF_Qty],T_TTAFStock_Log[Part Name],$A20,T_TTAFStock_Log[WeekIndex],94))</f>
        <v/>
      </c>
      <c r="CR20" s="17">
        <f>IF(COUNTIFS(T_TTAFStock_Log[Part Name],$A20,T_TTAFStock_Log[WeekIndex],95)=0,"",SUMIFS(T_TTAFStock_Log[TTAF_Qty],T_TTAFStock_Log[Part Name],$A20,T_TTAFStock_Log[WeekIndex],95))</f>
        <v/>
      </c>
      <c r="CS20" s="17">
        <f>IF(COUNTIFS(T_TTAFStock_Log[Part Name],$A20,T_TTAFStock_Log[WeekIndex],96)=0,"",SUMIFS(T_TTAFStock_Log[TTAF_Qty],T_TTAFStock_Log[Part Name],$A20,T_TTAFStock_Log[WeekIndex],96))</f>
        <v/>
      </c>
      <c r="CT20" s="17">
        <f>IF(COUNTIFS(T_TTAFStock_Log[Part Name],$A20,T_TTAFStock_Log[WeekIndex],97)=0,"",SUMIFS(T_TTAFStock_Log[TTAF_Qty],T_TTAFStock_Log[Part Name],$A20,T_TTAFStock_Log[WeekIndex],97))</f>
        <v/>
      </c>
      <c r="CU20" s="17">
        <f>IF(COUNTIFS(T_TTAFStock_Log[Part Name],$A20,T_TTAFStock_Log[WeekIndex],98)=0,"",SUMIFS(T_TTAFStock_Log[TTAF_Qty],T_TTAFStock_Log[Part Name],$A20,T_TTAFStock_Log[WeekIndex],98))</f>
        <v/>
      </c>
      <c r="CV20" s="17">
        <f>IF(COUNTIFS(T_TTAFStock_Log[Part Name],$A20,T_TTAFStock_Log[WeekIndex],99)=0,"",SUMIFS(T_TTAFStock_Log[TTAF_Qty],T_TTAFStock_Log[Part Name],$A20,T_TTAFStock_Log[WeekIndex],99))</f>
        <v/>
      </c>
      <c r="CW20" s="17">
        <f>IF(COUNTIFS(T_TTAFStock_Log[Part Name],$A20,T_TTAFStock_Log[WeekIndex],100)=0,"",SUMIFS(T_TTAFStock_Log[TTAF_Qty],T_TTAFStock_Log[Part Name],$A20,T_TTAFStock_Log[WeekIndex],100))</f>
        <v/>
      </c>
      <c r="CX20" s="17">
        <f>IF(COUNTIFS(T_TTAFStock_Log[Part Name],$A20,T_TTAFStock_Log[WeekIndex],101)=0,"",SUMIFS(T_TTAFStock_Log[TTAF_Qty],T_TTAFStock_Log[Part Name],$A20,T_TTAFStock_Log[WeekIndex],101))</f>
        <v/>
      </c>
      <c r="CY20" s="17">
        <f>IF(COUNTIFS(T_TTAFStock_Log[Part Name],$A20,T_TTAFStock_Log[WeekIndex],102)=0,"",SUMIFS(T_TTAFStock_Log[TTAF_Qty],T_TTAFStock_Log[Part Name],$A20,T_TTAFStock_Log[WeekIndex],102))</f>
        <v/>
      </c>
      <c r="CZ20" s="17">
        <f>IF(COUNTIFS(T_TTAFStock_Log[Part Name],$A20,T_TTAFStock_Log[WeekIndex],103)=0,"",SUMIFS(T_TTAFStock_Log[TTAF_Qty],T_TTAFStock_Log[Part Name],$A20,T_TTAFStock_Log[WeekIndex],103))</f>
        <v/>
      </c>
      <c r="DA20" s="17">
        <f>IF(COUNTIFS(T_TTAFStock_Log[Part Name],$A20,T_TTAFStock_Log[WeekIndex],104)=0,"",SUMIFS(T_TTAFStock_Log[TTAF_Qty],T_TTAFStock_Log[Part Name],$A20,T_TTAFStock_Log[WeekIndex],104))</f>
        <v/>
      </c>
    </row>
    <row r="21">
      <c r="A21" s="19" t="inlineStr">
        <is>
          <t>9RJ</t>
        </is>
      </c>
      <c r="B21" s="19">
        <f>IF(COUNTIFS(T_TTAFStock_Log[Part Name],$A21,T_TTAFStock_Log[WeekIndex],1)=0,"",SUMIFS(T_TTAFStock_Log[TTAF_Qty],T_TTAFStock_Log[Part Name],$A21,T_TTAFStock_Log[WeekIndex],1))</f>
        <v/>
      </c>
      <c r="C21" s="19">
        <f>IF(COUNTIFS(T_TTAFStock_Log[Part Name],$A21,T_TTAFStock_Log[WeekIndex],2)=0,"",SUMIFS(T_TTAFStock_Log[TTAF_Qty],T_TTAFStock_Log[Part Name],$A21,T_TTAFStock_Log[WeekIndex],2))</f>
        <v/>
      </c>
      <c r="D21" s="19">
        <f>IF(COUNTIFS(T_TTAFStock_Log[Part Name],$A21,T_TTAFStock_Log[WeekIndex],3)=0,"",SUMIFS(T_TTAFStock_Log[TTAF_Qty],T_TTAFStock_Log[Part Name],$A21,T_TTAFStock_Log[WeekIndex],3))</f>
        <v/>
      </c>
      <c r="E21" s="19">
        <f>IF(COUNTIFS(T_TTAFStock_Log[Part Name],$A21,T_TTAFStock_Log[WeekIndex],4)=0,"",SUMIFS(T_TTAFStock_Log[TTAF_Qty],T_TTAFStock_Log[Part Name],$A21,T_TTAFStock_Log[WeekIndex],4))</f>
        <v/>
      </c>
      <c r="F21" s="19">
        <f>IF(COUNTIFS(T_TTAFStock_Log[Part Name],$A21,T_TTAFStock_Log[WeekIndex],5)=0,"",SUMIFS(T_TTAFStock_Log[TTAF_Qty],T_TTAFStock_Log[Part Name],$A21,T_TTAFStock_Log[WeekIndex],5))</f>
        <v/>
      </c>
      <c r="G21" s="19">
        <f>IF(COUNTIFS(T_TTAFStock_Log[Part Name],$A21,T_TTAFStock_Log[WeekIndex],6)=0,"",SUMIFS(T_TTAFStock_Log[TTAF_Qty],T_TTAFStock_Log[Part Name],$A21,T_TTAFStock_Log[WeekIndex],6))</f>
        <v/>
      </c>
      <c r="H21" s="19">
        <f>IF(COUNTIFS(T_TTAFStock_Log[Part Name],$A21,T_TTAFStock_Log[WeekIndex],7)=0,"",SUMIFS(T_TTAFStock_Log[TTAF_Qty],T_TTAFStock_Log[Part Name],$A21,T_TTAFStock_Log[WeekIndex],7))</f>
        <v/>
      </c>
      <c r="I21" s="19">
        <f>IF(COUNTIFS(T_TTAFStock_Log[Part Name],$A21,T_TTAFStock_Log[WeekIndex],8)=0,"",SUMIFS(T_TTAFStock_Log[TTAF_Qty],T_TTAFStock_Log[Part Name],$A21,T_TTAFStock_Log[WeekIndex],8))</f>
        <v/>
      </c>
      <c r="J21" s="19">
        <f>IF(COUNTIFS(T_TTAFStock_Log[Part Name],$A21,T_TTAFStock_Log[WeekIndex],9)=0,"",SUMIFS(T_TTAFStock_Log[TTAF_Qty],T_TTAFStock_Log[Part Name],$A21,T_TTAFStock_Log[WeekIndex],9))</f>
        <v/>
      </c>
      <c r="K21" s="19">
        <f>IF(COUNTIFS(T_TTAFStock_Log[Part Name],$A21,T_TTAFStock_Log[WeekIndex],10)=0,"",SUMIFS(T_TTAFStock_Log[TTAF_Qty],T_TTAFStock_Log[Part Name],$A21,T_TTAFStock_Log[WeekIndex],10))</f>
        <v/>
      </c>
      <c r="L21" s="19">
        <f>IF(COUNTIFS(T_TTAFStock_Log[Part Name],$A21,T_TTAFStock_Log[WeekIndex],11)=0,"",SUMIFS(T_TTAFStock_Log[TTAF_Qty],T_TTAFStock_Log[Part Name],$A21,T_TTAFStock_Log[WeekIndex],11))</f>
        <v/>
      </c>
      <c r="M21" s="19">
        <f>IF(COUNTIFS(T_TTAFStock_Log[Part Name],$A21,T_TTAFStock_Log[WeekIndex],12)=0,"",SUMIFS(T_TTAFStock_Log[TTAF_Qty],T_TTAFStock_Log[Part Name],$A21,T_TTAFStock_Log[WeekIndex],12))</f>
        <v/>
      </c>
      <c r="N21" s="19">
        <f>IF(COUNTIFS(T_TTAFStock_Log[Part Name],$A21,T_TTAFStock_Log[WeekIndex],13)=0,"",SUMIFS(T_TTAFStock_Log[TTAF_Qty],T_TTAFStock_Log[Part Name],$A21,T_TTAFStock_Log[WeekIndex],13))</f>
        <v/>
      </c>
      <c r="O21" s="19">
        <f>IF(COUNTIFS(T_TTAFStock_Log[Part Name],$A21,T_TTAFStock_Log[WeekIndex],14)=0,"",SUMIFS(T_TTAFStock_Log[TTAF_Qty],T_TTAFStock_Log[Part Name],$A21,T_TTAFStock_Log[WeekIndex],14))</f>
        <v/>
      </c>
      <c r="P21" s="19">
        <f>IF(COUNTIFS(T_TTAFStock_Log[Part Name],$A21,T_TTAFStock_Log[WeekIndex],15)=0,"",SUMIFS(T_TTAFStock_Log[TTAF_Qty],T_TTAFStock_Log[Part Name],$A21,T_TTAFStock_Log[WeekIndex],15))</f>
        <v/>
      </c>
      <c r="Q21" s="19">
        <f>IF(COUNTIFS(T_TTAFStock_Log[Part Name],$A21,T_TTAFStock_Log[WeekIndex],16)=0,"",SUMIFS(T_TTAFStock_Log[TTAF_Qty],T_TTAFStock_Log[Part Name],$A21,T_TTAFStock_Log[WeekIndex],16))</f>
        <v/>
      </c>
      <c r="R21" s="19">
        <f>IF(COUNTIFS(T_TTAFStock_Log[Part Name],$A21,T_TTAFStock_Log[WeekIndex],17)=0,"",SUMIFS(T_TTAFStock_Log[TTAF_Qty],T_TTAFStock_Log[Part Name],$A21,T_TTAFStock_Log[WeekIndex],17))</f>
        <v/>
      </c>
      <c r="S21" s="19">
        <f>IF(COUNTIFS(T_TTAFStock_Log[Part Name],$A21,T_TTAFStock_Log[WeekIndex],18)=0,"",SUMIFS(T_TTAFStock_Log[TTAF_Qty],T_TTAFStock_Log[Part Name],$A21,T_TTAFStock_Log[WeekIndex],18))</f>
        <v/>
      </c>
      <c r="T21" s="19">
        <f>IF(COUNTIFS(T_TTAFStock_Log[Part Name],$A21,T_TTAFStock_Log[WeekIndex],19)=0,"",SUMIFS(T_TTAFStock_Log[TTAF_Qty],T_TTAFStock_Log[Part Name],$A21,T_TTAFStock_Log[WeekIndex],19))</f>
        <v/>
      </c>
      <c r="U21" s="19">
        <f>IF(COUNTIFS(T_TTAFStock_Log[Part Name],$A21,T_TTAFStock_Log[WeekIndex],20)=0,"",SUMIFS(T_TTAFStock_Log[TTAF_Qty],T_TTAFStock_Log[Part Name],$A21,T_TTAFStock_Log[WeekIndex],20))</f>
        <v/>
      </c>
      <c r="V21" s="19">
        <f>IF(COUNTIFS(T_TTAFStock_Log[Part Name],$A21,T_TTAFStock_Log[WeekIndex],21)=0,"",SUMIFS(T_TTAFStock_Log[TTAF_Qty],T_TTAFStock_Log[Part Name],$A21,T_TTAFStock_Log[WeekIndex],21))</f>
        <v/>
      </c>
      <c r="W21" s="19">
        <f>IF(COUNTIFS(T_TTAFStock_Log[Part Name],$A21,T_TTAFStock_Log[WeekIndex],22)=0,"",SUMIFS(T_TTAFStock_Log[TTAF_Qty],T_TTAFStock_Log[Part Name],$A21,T_TTAFStock_Log[WeekIndex],22))</f>
        <v/>
      </c>
      <c r="X21" s="19">
        <f>IF(COUNTIFS(T_TTAFStock_Log[Part Name],$A21,T_TTAFStock_Log[WeekIndex],23)=0,"",SUMIFS(T_TTAFStock_Log[TTAF_Qty],T_TTAFStock_Log[Part Name],$A21,T_TTAFStock_Log[WeekIndex],23))</f>
        <v/>
      </c>
      <c r="Y21" s="19">
        <f>IF(COUNTIFS(T_TTAFStock_Log[Part Name],$A21,T_TTAFStock_Log[WeekIndex],24)=0,"",SUMIFS(T_TTAFStock_Log[TTAF_Qty],T_TTAFStock_Log[Part Name],$A21,T_TTAFStock_Log[WeekIndex],24))</f>
        <v/>
      </c>
      <c r="Z21" s="19">
        <f>IF(COUNTIFS(T_TTAFStock_Log[Part Name],$A21,T_TTAFStock_Log[WeekIndex],25)=0,"",SUMIFS(T_TTAFStock_Log[TTAF_Qty],T_TTAFStock_Log[Part Name],$A21,T_TTAFStock_Log[WeekIndex],25))</f>
        <v/>
      </c>
      <c r="AA21" s="19">
        <f>IF(COUNTIFS(T_TTAFStock_Log[Part Name],$A21,T_TTAFStock_Log[WeekIndex],26)=0,"",SUMIFS(T_TTAFStock_Log[TTAF_Qty],T_TTAFStock_Log[Part Name],$A21,T_TTAFStock_Log[WeekIndex],26))</f>
        <v/>
      </c>
      <c r="AB21" s="19">
        <f>IF(COUNTIFS(T_TTAFStock_Log[Part Name],$A21,T_TTAFStock_Log[WeekIndex],27)=0,"",SUMIFS(T_TTAFStock_Log[TTAF_Qty],T_TTAFStock_Log[Part Name],$A21,T_TTAFStock_Log[WeekIndex],27))</f>
        <v/>
      </c>
      <c r="AC21" s="19">
        <f>IF(COUNTIFS(T_TTAFStock_Log[Part Name],$A21,T_TTAFStock_Log[WeekIndex],28)=0,"",SUMIFS(T_TTAFStock_Log[TTAF_Qty],T_TTAFStock_Log[Part Name],$A21,T_TTAFStock_Log[WeekIndex],28))</f>
        <v/>
      </c>
      <c r="AD21" s="19">
        <f>IF(COUNTIFS(T_TTAFStock_Log[Part Name],$A21,T_TTAFStock_Log[WeekIndex],29)=0,"",SUMIFS(T_TTAFStock_Log[TTAF_Qty],T_TTAFStock_Log[Part Name],$A21,T_TTAFStock_Log[WeekIndex],29))</f>
        <v/>
      </c>
      <c r="AE21" s="19">
        <f>IF(COUNTIFS(T_TTAFStock_Log[Part Name],$A21,T_TTAFStock_Log[WeekIndex],30)=0,"",SUMIFS(T_TTAFStock_Log[TTAF_Qty],T_TTAFStock_Log[Part Name],$A21,T_TTAFStock_Log[WeekIndex],30))</f>
        <v/>
      </c>
      <c r="AF21" s="19">
        <f>IF(COUNTIFS(T_TTAFStock_Log[Part Name],$A21,T_TTAFStock_Log[WeekIndex],31)=0,"",SUMIFS(T_TTAFStock_Log[TTAF_Qty],T_TTAFStock_Log[Part Name],$A21,T_TTAFStock_Log[WeekIndex],31))</f>
        <v/>
      </c>
      <c r="AG21" s="19">
        <f>IF(COUNTIFS(T_TTAFStock_Log[Part Name],$A21,T_TTAFStock_Log[WeekIndex],32)=0,"",SUMIFS(T_TTAFStock_Log[TTAF_Qty],T_TTAFStock_Log[Part Name],$A21,T_TTAFStock_Log[WeekIndex],32))</f>
        <v/>
      </c>
      <c r="AH21" s="19">
        <f>IF(COUNTIFS(T_TTAFStock_Log[Part Name],$A21,T_TTAFStock_Log[WeekIndex],33)=0,"",SUMIFS(T_TTAFStock_Log[TTAF_Qty],T_TTAFStock_Log[Part Name],$A21,T_TTAFStock_Log[WeekIndex],33))</f>
        <v/>
      </c>
      <c r="AI21" s="19">
        <f>IF(COUNTIFS(T_TTAFStock_Log[Part Name],$A21,T_TTAFStock_Log[WeekIndex],34)=0,"",SUMIFS(T_TTAFStock_Log[TTAF_Qty],T_TTAFStock_Log[Part Name],$A21,T_TTAFStock_Log[WeekIndex],34))</f>
        <v/>
      </c>
      <c r="AJ21" s="19">
        <f>IF(COUNTIFS(T_TTAFStock_Log[Part Name],$A21,T_TTAFStock_Log[WeekIndex],35)=0,"",SUMIFS(T_TTAFStock_Log[TTAF_Qty],T_TTAFStock_Log[Part Name],$A21,T_TTAFStock_Log[WeekIndex],35))</f>
        <v/>
      </c>
      <c r="AK21" s="19">
        <f>IF(COUNTIFS(T_TTAFStock_Log[Part Name],$A21,T_TTAFStock_Log[WeekIndex],36)=0,"",SUMIFS(T_TTAFStock_Log[TTAF_Qty],T_TTAFStock_Log[Part Name],$A21,T_TTAFStock_Log[WeekIndex],36))</f>
        <v/>
      </c>
      <c r="AL21" s="19">
        <f>IF(COUNTIFS(T_TTAFStock_Log[Part Name],$A21,T_TTAFStock_Log[WeekIndex],37)=0,"",SUMIFS(T_TTAFStock_Log[TTAF_Qty],T_TTAFStock_Log[Part Name],$A21,T_TTAFStock_Log[WeekIndex],37))</f>
        <v/>
      </c>
      <c r="AM21" s="19">
        <f>IF(COUNTIFS(T_TTAFStock_Log[Part Name],$A21,T_TTAFStock_Log[WeekIndex],38)=0,"",SUMIFS(T_TTAFStock_Log[TTAF_Qty],T_TTAFStock_Log[Part Name],$A21,T_TTAFStock_Log[WeekIndex],38))</f>
        <v/>
      </c>
      <c r="AN21" s="19">
        <f>IF(COUNTIFS(T_TTAFStock_Log[Part Name],$A21,T_TTAFStock_Log[WeekIndex],39)=0,"",SUMIFS(T_TTAFStock_Log[TTAF_Qty],T_TTAFStock_Log[Part Name],$A21,T_TTAFStock_Log[WeekIndex],39))</f>
        <v/>
      </c>
      <c r="AO21" s="19">
        <f>IF(COUNTIFS(T_TTAFStock_Log[Part Name],$A21,T_TTAFStock_Log[WeekIndex],40)=0,"",SUMIFS(T_TTAFStock_Log[TTAF_Qty],T_TTAFStock_Log[Part Name],$A21,T_TTAFStock_Log[WeekIndex],40))</f>
        <v/>
      </c>
      <c r="AP21" s="19">
        <f>IF(COUNTIFS(T_TTAFStock_Log[Part Name],$A21,T_TTAFStock_Log[WeekIndex],41)=0,"",SUMIFS(T_TTAFStock_Log[TTAF_Qty],T_TTAFStock_Log[Part Name],$A21,T_TTAFStock_Log[WeekIndex],41))</f>
        <v/>
      </c>
      <c r="AQ21" s="19">
        <f>IF(COUNTIFS(T_TTAFStock_Log[Part Name],$A21,T_TTAFStock_Log[WeekIndex],42)=0,"",SUMIFS(T_TTAFStock_Log[TTAF_Qty],T_TTAFStock_Log[Part Name],$A21,T_TTAFStock_Log[WeekIndex],42))</f>
        <v/>
      </c>
      <c r="AR21" s="19">
        <f>IF(COUNTIFS(T_TTAFStock_Log[Part Name],$A21,T_TTAFStock_Log[WeekIndex],43)=0,"",SUMIFS(T_TTAFStock_Log[TTAF_Qty],T_TTAFStock_Log[Part Name],$A21,T_TTAFStock_Log[WeekIndex],43))</f>
        <v/>
      </c>
      <c r="AS21" s="19">
        <f>IF(COUNTIFS(T_TTAFStock_Log[Part Name],$A21,T_TTAFStock_Log[WeekIndex],44)=0,"",SUMIFS(T_TTAFStock_Log[TTAF_Qty],T_TTAFStock_Log[Part Name],$A21,T_TTAFStock_Log[WeekIndex],44))</f>
        <v/>
      </c>
      <c r="AT21" s="19">
        <f>IF(COUNTIFS(T_TTAFStock_Log[Part Name],$A21,T_TTAFStock_Log[WeekIndex],45)=0,"",SUMIFS(T_TTAFStock_Log[TTAF_Qty],T_TTAFStock_Log[Part Name],$A21,T_TTAFStock_Log[WeekIndex],45))</f>
        <v/>
      </c>
      <c r="AU21" s="19">
        <f>IF(COUNTIFS(T_TTAFStock_Log[Part Name],$A21,T_TTAFStock_Log[WeekIndex],46)=0,"",SUMIFS(T_TTAFStock_Log[TTAF_Qty],T_TTAFStock_Log[Part Name],$A21,T_TTAFStock_Log[WeekIndex],46))</f>
        <v/>
      </c>
      <c r="AV21" s="19">
        <f>IF(COUNTIFS(T_TTAFStock_Log[Part Name],$A21,T_TTAFStock_Log[WeekIndex],47)=0,"",SUMIFS(T_TTAFStock_Log[TTAF_Qty],T_TTAFStock_Log[Part Name],$A21,T_TTAFStock_Log[WeekIndex],47))</f>
        <v/>
      </c>
      <c r="AW21" s="19">
        <f>IF(COUNTIFS(T_TTAFStock_Log[Part Name],$A21,T_TTAFStock_Log[WeekIndex],48)=0,"",SUMIFS(T_TTAFStock_Log[TTAF_Qty],T_TTAFStock_Log[Part Name],$A21,T_TTAFStock_Log[WeekIndex],48))</f>
        <v/>
      </c>
      <c r="AX21" s="19">
        <f>IF(COUNTIFS(T_TTAFStock_Log[Part Name],$A21,T_TTAFStock_Log[WeekIndex],49)=0,"",SUMIFS(T_TTAFStock_Log[TTAF_Qty],T_TTAFStock_Log[Part Name],$A21,T_TTAFStock_Log[WeekIndex],49))</f>
        <v/>
      </c>
      <c r="AY21" s="19">
        <f>IF(COUNTIFS(T_TTAFStock_Log[Part Name],$A21,T_TTAFStock_Log[WeekIndex],50)=0,"",SUMIFS(T_TTAFStock_Log[TTAF_Qty],T_TTAFStock_Log[Part Name],$A21,T_TTAFStock_Log[WeekIndex],50))</f>
        <v/>
      </c>
      <c r="AZ21" s="19">
        <f>IF(COUNTIFS(T_TTAFStock_Log[Part Name],$A21,T_TTAFStock_Log[WeekIndex],51)=0,"",SUMIFS(T_TTAFStock_Log[TTAF_Qty],T_TTAFStock_Log[Part Name],$A21,T_TTAFStock_Log[WeekIndex],51))</f>
        <v/>
      </c>
      <c r="BA21" s="19">
        <f>IF(COUNTIFS(T_TTAFStock_Log[Part Name],$A21,T_TTAFStock_Log[WeekIndex],52)=0,"",SUMIFS(T_TTAFStock_Log[TTAF_Qty],T_TTAFStock_Log[Part Name],$A21,T_TTAFStock_Log[WeekIndex],52))</f>
        <v/>
      </c>
      <c r="BB21" s="19">
        <f>IF(COUNTIFS(T_TTAFStock_Log[Part Name],$A21,T_TTAFStock_Log[WeekIndex],53)=0,"",SUMIFS(T_TTAFStock_Log[TTAF_Qty],T_TTAFStock_Log[Part Name],$A21,T_TTAFStock_Log[WeekIndex],53))</f>
        <v/>
      </c>
      <c r="BC21" s="19">
        <f>IF(COUNTIFS(T_TTAFStock_Log[Part Name],$A21,T_TTAFStock_Log[WeekIndex],54)=0,"",SUMIFS(T_TTAFStock_Log[TTAF_Qty],T_TTAFStock_Log[Part Name],$A21,T_TTAFStock_Log[WeekIndex],54))</f>
        <v/>
      </c>
      <c r="BD21" s="19">
        <f>IF(COUNTIFS(T_TTAFStock_Log[Part Name],$A21,T_TTAFStock_Log[WeekIndex],55)=0,"",SUMIFS(T_TTAFStock_Log[TTAF_Qty],T_TTAFStock_Log[Part Name],$A21,T_TTAFStock_Log[WeekIndex],55))</f>
        <v/>
      </c>
      <c r="BE21" s="19">
        <f>IF(COUNTIFS(T_TTAFStock_Log[Part Name],$A21,T_TTAFStock_Log[WeekIndex],56)=0,"",SUMIFS(T_TTAFStock_Log[TTAF_Qty],T_TTAFStock_Log[Part Name],$A21,T_TTAFStock_Log[WeekIndex],56))</f>
        <v/>
      </c>
      <c r="BF21" s="19">
        <f>IF(COUNTIFS(T_TTAFStock_Log[Part Name],$A21,T_TTAFStock_Log[WeekIndex],57)=0,"",SUMIFS(T_TTAFStock_Log[TTAF_Qty],T_TTAFStock_Log[Part Name],$A21,T_TTAFStock_Log[WeekIndex],57))</f>
        <v/>
      </c>
      <c r="BG21" s="19">
        <f>IF(COUNTIFS(T_TTAFStock_Log[Part Name],$A21,T_TTAFStock_Log[WeekIndex],58)=0,"",SUMIFS(T_TTAFStock_Log[TTAF_Qty],T_TTAFStock_Log[Part Name],$A21,T_TTAFStock_Log[WeekIndex],58))</f>
        <v/>
      </c>
      <c r="BH21" s="19">
        <f>IF(COUNTIFS(T_TTAFStock_Log[Part Name],$A21,T_TTAFStock_Log[WeekIndex],59)=0,"",SUMIFS(T_TTAFStock_Log[TTAF_Qty],T_TTAFStock_Log[Part Name],$A21,T_TTAFStock_Log[WeekIndex],59))</f>
        <v/>
      </c>
      <c r="BI21" s="19">
        <f>IF(COUNTIFS(T_TTAFStock_Log[Part Name],$A21,T_TTAFStock_Log[WeekIndex],60)=0,"",SUMIFS(T_TTAFStock_Log[TTAF_Qty],T_TTAFStock_Log[Part Name],$A21,T_TTAFStock_Log[WeekIndex],60))</f>
        <v/>
      </c>
      <c r="BJ21" s="19">
        <f>IF(COUNTIFS(T_TTAFStock_Log[Part Name],$A21,T_TTAFStock_Log[WeekIndex],61)=0,"",SUMIFS(T_TTAFStock_Log[TTAF_Qty],T_TTAFStock_Log[Part Name],$A21,T_TTAFStock_Log[WeekIndex],61))</f>
        <v/>
      </c>
      <c r="BK21" s="19">
        <f>IF(COUNTIFS(T_TTAFStock_Log[Part Name],$A21,T_TTAFStock_Log[WeekIndex],62)=0,"",SUMIFS(T_TTAFStock_Log[TTAF_Qty],T_TTAFStock_Log[Part Name],$A21,T_TTAFStock_Log[WeekIndex],62))</f>
        <v/>
      </c>
      <c r="BL21" s="19">
        <f>IF(COUNTIFS(T_TTAFStock_Log[Part Name],$A21,T_TTAFStock_Log[WeekIndex],63)=0,"",SUMIFS(T_TTAFStock_Log[TTAF_Qty],T_TTAFStock_Log[Part Name],$A21,T_TTAFStock_Log[WeekIndex],63))</f>
        <v/>
      </c>
      <c r="BM21" s="19">
        <f>IF(COUNTIFS(T_TTAFStock_Log[Part Name],$A21,T_TTAFStock_Log[WeekIndex],64)=0,"",SUMIFS(T_TTAFStock_Log[TTAF_Qty],T_TTAFStock_Log[Part Name],$A21,T_TTAFStock_Log[WeekIndex],64))</f>
        <v/>
      </c>
      <c r="BN21" s="19">
        <f>IF(COUNTIFS(T_TTAFStock_Log[Part Name],$A21,T_TTAFStock_Log[WeekIndex],65)=0,"",SUMIFS(T_TTAFStock_Log[TTAF_Qty],T_TTAFStock_Log[Part Name],$A21,T_TTAFStock_Log[WeekIndex],65))</f>
        <v/>
      </c>
      <c r="BO21" s="19">
        <f>IF(COUNTIFS(T_TTAFStock_Log[Part Name],$A21,T_TTAFStock_Log[WeekIndex],66)=0,"",SUMIFS(T_TTAFStock_Log[TTAF_Qty],T_TTAFStock_Log[Part Name],$A21,T_TTAFStock_Log[WeekIndex],66))</f>
        <v/>
      </c>
      <c r="BP21" s="19">
        <f>IF(COUNTIFS(T_TTAFStock_Log[Part Name],$A21,T_TTAFStock_Log[WeekIndex],67)=0,"",SUMIFS(T_TTAFStock_Log[TTAF_Qty],T_TTAFStock_Log[Part Name],$A21,T_TTAFStock_Log[WeekIndex],67))</f>
        <v/>
      </c>
      <c r="BQ21" s="19">
        <f>IF(COUNTIFS(T_TTAFStock_Log[Part Name],$A21,T_TTAFStock_Log[WeekIndex],68)=0,"",SUMIFS(T_TTAFStock_Log[TTAF_Qty],T_TTAFStock_Log[Part Name],$A21,T_TTAFStock_Log[WeekIndex],68))</f>
        <v/>
      </c>
      <c r="BR21" s="19">
        <f>IF(COUNTIFS(T_TTAFStock_Log[Part Name],$A21,T_TTAFStock_Log[WeekIndex],69)=0,"",SUMIFS(T_TTAFStock_Log[TTAF_Qty],T_TTAFStock_Log[Part Name],$A21,T_TTAFStock_Log[WeekIndex],69))</f>
        <v/>
      </c>
      <c r="BS21" s="19">
        <f>IF(COUNTIFS(T_TTAFStock_Log[Part Name],$A21,T_TTAFStock_Log[WeekIndex],70)=0,"",SUMIFS(T_TTAFStock_Log[TTAF_Qty],T_TTAFStock_Log[Part Name],$A21,T_TTAFStock_Log[WeekIndex],70))</f>
        <v/>
      </c>
      <c r="BT21" s="19">
        <f>IF(COUNTIFS(T_TTAFStock_Log[Part Name],$A21,T_TTAFStock_Log[WeekIndex],71)=0,"",SUMIFS(T_TTAFStock_Log[TTAF_Qty],T_TTAFStock_Log[Part Name],$A21,T_TTAFStock_Log[WeekIndex],71))</f>
        <v/>
      </c>
      <c r="BU21" s="19">
        <f>IF(COUNTIFS(T_TTAFStock_Log[Part Name],$A21,T_TTAFStock_Log[WeekIndex],72)=0,"",SUMIFS(T_TTAFStock_Log[TTAF_Qty],T_TTAFStock_Log[Part Name],$A21,T_TTAFStock_Log[WeekIndex],72))</f>
        <v/>
      </c>
      <c r="BV21" s="19">
        <f>IF(COUNTIFS(T_TTAFStock_Log[Part Name],$A21,T_TTAFStock_Log[WeekIndex],73)=0,"",SUMIFS(T_TTAFStock_Log[TTAF_Qty],T_TTAFStock_Log[Part Name],$A21,T_TTAFStock_Log[WeekIndex],73))</f>
        <v/>
      </c>
      <c r="BW21" s="19">
        <f>IF(COUNTIFS(T_TTAFStock_Log[Part Name],$A21,T_TTAFStock_Log[WeekIndex],74)=0,"",SUMIFS(T_TTAFStock_Log[TTAF_Qty],T_TTAFStock_Log[Part Name],$A21,T_TTAFStock_Log[WeekIndex],74))</f>
        <v/>
      </c>
      <c r="BX21" s="19">
        <f>IF(COUNTIFS(T_TTAFStock_Log[Part Name],$A21,T_TTAFStock_Log[WeekIndex],75)=0,"",SUMIFS(T_TTAFStock_Log[TTAF_Qty],T_TTAFStock_Log[Part Name],$A21,T_TTAFStock_Log[WeekIndex],75))</f>
        <v/>
      </c>
      <c r="BY21" s="19">
        <f>IF(COUNTIFS(T_TTAFStock_Log[Part Name],$A21,T_TTAFStock_Log[WeekIndex],76)=0,"",SUMIFS(T_TTAFStock_Log[TTAF_Qty],T_TTAFStock_Log[Part Name],$A21,T_TTAFStock_Log[WeekIndex],76))</f>
        <v/>
      </c>
      <c r="BZ21" s="19">
        <f>IF(COUNTIFS(T_TTAFStock_Log[Part Name],$A21,T_TTAFStock_Log[WeekIndex],77)=0,"",SUMIFS(T_TTAFStock_Log[TTAF_Qty],T_TTAFStock_Log[Part Name],$A21,T_TTAFStock_Log[WeekIndex],77))</f>
        <v/>
      </c>
      <c r="CA21" s="19">
        <f>IF(COUNTIFS(T_TTAFStock_Log[Part Name],$A21,T_TTAFStock_Log[WeekIndex],78)=0,"",SUMIFS(T_TTAFStock_Log[TTAF_Qty],T_TTAFStock_Log[Part Name],$A21,T_TTAFStock_Log[WeekIndex],78))</f>
        <v/>
      </c>
      <c r="CB21" s="19">
        <f>IF(COUNTIFS(T_TTAFStock_Log[Part Name],$A21,T_TTAFStock_Log[WeekIndex],79)=0,"",SUMIFS(T_TTAFStock_Log[TTAF_Qty],T_TTAFStock_Log[Part Name],$A21,T_TTAFStock_Log[WeekIndex],79))</f>
        <v/>
      </c>
      <c r="CC21" s="19">
        <f>IF(COUNTIFS(T_TTAFStock_Log[Part Name],$A21,T_TTAFStock_Log[WeekIndex],80)=0,"",SUMIFS(T_TTAFStock_Log[TTAF_Qty],T_TTAFStock_Log[Part Name],$A21,T_TTAFStock_Log[WeekIndex],80))</f>
        <v/>
      </c>
      <c r="CD21" s="19">
        <f>IF(COUNTIFS(T_TTAFStock_Log[Part Name],$A21,T_TTAFStock_Log[WeekIndex],81)=0,"",SUMIFS(T_TTAFStock_Log[TTAF_Qty],T_TTAFStock_Log[Part Name],$A21,T_TTAFStock_Log[WeekIndex],81))</f>
        <v/>
      </c>
      <c r="CE21" s="19">
        <f>IF(COUNTIFS(T_TTAFStock_Log[Part Name],$A21,T_TTAFStock_Log[WeekIndex],82)=0,"",SUMIFS(T_TTAFStock_Log[TTAF_Qty],T_TTAFStock_Log[Part Name],$A21,T_TTAFStock_Log[WeekIndex],82))</f>
        <v/>
      </c>
      <c r="CF21" s="19">
        <f>IF(COUNTIFS(T_TTAFStock_Log[Part Name],$A21,T_TTAFStock_Log[WeekIndex],83)=0,"",SUMIFS(T_TTAFStock_Log[TTAF_Qty],T_TTAFStock_Log[Part Name],$A21,T_TTAFStock_Log[WeekIndex],83))</f>
        <v/>
      </c>
      <c r="CG21" s="19">
        <f>IF(COUNTIFS(T_TTAFStock_Log[Part Name],$A21,T_TTAFStock_Log[WeekIndex],84)=0,"",SUMIFS(T_TTAFStock_Log[TTAF_Qty],T_TTAFStock_Log[Part Name],$A21,T_TTAFStock_Log[WeekIndex],84))</f>
        <v/>
      </c>
      <c r="CH21" s="19">
        <f>IF(COUNTIFS(T_TTAFStock_Log[Part Name],$A21,T_TTAFStock_Log[WeekIndex],85)=0,"",SUMIFS(T_TTAFStock_Log[TTAF_Qty],T_TTAFStock_Log[Part Name],$A21,T_TTAFStock_Log[WeekIndex],85))</f>
        <v/>
      </c>
      <c r="CI21" s="19">
        <f>IF(COUNTIFS(T_TTAFStock_Log[Part Name],$A21,T_TTAFStock_Log[WeekIndex],86)=0,"",SUMIFS(T_TTAFStock_Log[TTAF_Qty],T_TTAFStock_Log[Part Name],$A21,T_TTAFStock_Log[WeekIndex],86))</f>
        <v/>
      </c>
      <c r="CJ21" s="19">
        <f>IF(COUNTIFS(T_TTAFStock_Log[Part Name],$A21,T_TTAFStock_Log[WeekIndex],87)=0,"",SUMIFS(T_TTAFStock_Log[TTAF_Qty],T_TTAFStock_Log[Part Name],$A21,T_TTAFStock_Log[WeekIndex],87))</f>
        <v/>
      </c>
      <c r="CK21" s="19">
        <f>IF(COUNTIFS(T_TTAFStock_Log[Part Name],$A21,T_TTAFStock_Log[WeekIndex],88)=0,"",SUMIFS(T_TTAFStock_Log[TTAF_Qty],T_TTAFStock_Log[Part Name],$A21,T_TTAFStock_Log[WeekIndex],88))</f>
        <v/>
      </c>
      <c r="CL21" s="19">
        <f>IF(COUNTIFS(T_TTAFStock_Log[Part Name],$A21,T_TTAFStock_Log[WeekIndex],89)=0,"",SUMIFS(T_TTAFStock_Log[TTAF_Qty],T_TTAFStock_Log[Part Name],$A21,T_TTAFStock_Log[WeekIndex],89))</f>
        <v/>
      </c>
      <c r="CM21" s="19">
        <f>IF(COUNTIFS(T_TTAFStock_Log[Part Name],$A21,T_TTAFStock_Log[WeekIndex],90)=0,"",SUMIFS(T_TTAFStock_Log[TTAF_Qty],T_TTAFStock_Log[Part Name],$A21,T_TTAFStock_Log[WeekIndex],90))</f>
        <v/>
      </c>
      <c r="CN21" s="19">
        <f>IF(COUNTIFS(T_TTAFStock_Log[Part Name],$A21,T_TTAFStock_Log[WeekIndex],91)=0,"",SUMIFS(T_TTAFStock_Log[TTAF_Qty],T_TTAFStock_Log[Part Name],$A21,T_TTAFStock_Log[WeekIndex],91))</f>
        <v/>
      </c>
      <c r="CO21" s="19">
        <f>IF(COUNTIFS(T_TTAFStock_Log[Part Name],$A21,T_TTAFStock_Log[WeekIndex],92)=0,"",SUMIFS(T_TTAFStock_Log[TTAF_Qty],T_TTAFStock_Log[Part Name],$A21,T_TTAFStock_Log[WeekIndex],92))</f>
        <v/>
      </c>
      <c r="CP21" s="19">
        <f>IF(COUNTIFS(T_TTAFStock_Log[Part Name],$A21,T_TTAFStock_Log[WeekIndex],93)=0,"",SUMIFS(T_TTAFStock_Log[TTAF_Qty],T_TTAFStock_Log[Part Name],$A21,T_TTAFStock_Log[WeekIndex],93))</f>
        <v/>
      </c>
      <c r="CQ21" s="19">
        <f>IF(COUNTIFS(T_TTAFStock_Log[Part Name],$A21,T_TTAFStock_Log[WeekIndex],94)=0,"",SUMIFS(T_TTAFStock_Log[TTAF_Qty],T_TTAFStock_Log[Part Name],$A21,T_TTAFStock_Log[WeekIndex],94))</f>
        <v/>
      </c>
      <c r="CR21" s="19">
        <f>IF(COUNTIFS(T_TTAFStock_Log[Part Name],$A21,T_TTAFStock_Log[WeekIndex],95)=0,"",SUMIFS(T_TTAFStock_Log[TTAF_Qty],T_TTAFStock_Log[Part Name],$A21,T_TTAFStock_Log[WeekIndex],95))</f>
        <v/>
      </c>
      <c r="CS21" s="19">
        <f>IF(COUNTIFS(T_TTAFStock_Log[Part Name],$A21,T_TTAFStock_Log[WeekIndex],96)=0,"",SUMIFS(T_TTAFStock_Log[TTAF_Qty],T_TTAFStock_Log[Part Name],$A21,T_TTAFStock_Log[WeekIndex],96))</f>
        <v/>
      </c>
      <c r="CT21" s="19">
        <f>IF(COUNTIFS(T_TTAFStock_Log[Part Name],$A21,T_TTAFStock_Log[WeekIndex],97)=0,"",SUMIFS(T_TTAFStock_Log[TTAF_Qty],T_TTAFStock_Log[Part Name],$A21,T_TTAFStock_Log[WeekIndex],97))</f>
        <v/>
      </c>
      <c r="CU21" s="19">
        <f>IF(COUNTIFS(T_TTAFStock_Log[Part Name],$A21,T_TTAFStock_Log[WeekIndex],98)=0,"",SUMIFS(T_TTAFStock_Log[TTAF_Qty],T_TTAFStock_Log[Part Name],$A21,T_TTAFStock_Log[WeekIndex],98))</f>
        <v/>
      </c>
      <c r="CV21" s="19">
        <f>IF(COUNTIFS(T_TTAFStock_Log[Part Name],$A21,T_TTAFStock_Log[WeekIndex],99)=0,"",SUMIFS(T_TTAFStock_Log[TTAF_Qty],T_TTAFStock_Log[Part Name],$A21,T_TTAFStock_Log[WeekIndex],99))</f>
        <v/>
      </c>
      <c r="CW21" s="19">
        <f>IF(COUNTIFS(T_TTAFStock_Log[Part Name],$A21,T_TTAFStock_Log[WeekIndex],100)=0,"",SUMIFS(T_TTAFStock_Log[TTAF_Qty],T_TTAFStock_Log[Part Name],$A21,T_TTAFStock_Log[WeekIndex],100))</f>
        <v/>
      </c>
      <c r="CX21" s="19">
        <f>IF(COUNTIFS(T_TTAFStock_Log[Part Name],$A21,T_TTAFStock_Log[WeekIndex],101)=0,"",SUMIFS(T_TTAFStock_Log[TTAF_Qty],T_TTAFStock_Log[Part Name],$A21,T_TTAFStock_Log[WeekIndex],101))</f>
        <v/>
      </c>
      <c r="CY21" s="19">
        <f>IF(COUNTIFS(T_TTAFStock_Log[Part Name],$A21,T_TTAFStock_Log[WeekIndex],102)=0,"",SUMIFS(T_TTAFStock_Log[TTAF_Qty],T_TTAFStock_Log[Part Name],$A21,T_TTAFStock_Log[WeekIndex],102))</f>
        <v/>
      </c>
      <c r="CZ21" s="19">
        <f>IF(COUNTIFS(T_TTAFStock_Log[Part Name],$A21,T_TTAFStock_Log[WeekIndex],103)=0,"",SUMIFS(T_TTAFStock_Log[TTAF_Qty],T_TTAFStock_Log[Part Name],$A21,T_TTAFStock_Log[WeekIndex],103))</f>
        <v/>
      </c>
      <c r="DA21" s="19">
        <f>IF(COUNTIFS(T_TTAFStock_Log[Part Name],$A21,T_TTAFStock_Log[WeekIndex],104)=0,"",SUMIFS(T_TTAFStock_Log[TTAF_Qty],T_TTAFStock_Log[Part Name],$A21,T_TTAFStock_Log[WeekIndex],104))</f>
        <v/>
      </c>
    </row>
    <row r="22">
      <c r="A22" s="17" t="inlineStr">
        <is>
          <t>5JK</t>
        </is>
      </c>
      <c r="B22" s="17">
        <f>IF(COUNTIFS(T_TTAFStock_Log[Part Name],$A22,T_TTAFStock_Log[WeekIndex],1)=0,"",SUMIFS(T_TTAFStock_Log[TTAF_Qty],T_TTAFStock_Log[Part Name],$A22,T_TTAFStock_Log[WeekIndex],1))</f>
        <v/>
      </c>
      <c r="C22" s="17">
        <f>IF(COUNTIFS(T_TTAFStock_Log[Part Name],$A22,T_TTAFStock_Log[WeekIndex],2)=0,"",SUMIFS(T_TTAFStock_Log[TTAF_Qty],T_TTAFStock_Log[Part Name],$A22,T_TTAFStock_Log[WeekIndex],2))</f>
        <v/>
      </c>
      <c r="D22" s="17">
        <f>IF(COUNTIFS(T_TTAFStock_Log[Part Name],$A22,T_TTAFStock_Log[WeekIndex],3)=0,"",SUMIFS(T_TTAFStock_Log[TTAF_Qty],T_TTAFStock_Log[Part Name],$A22,T_TTAFStock_Log[WeekIndex],3))</f>
        <v/>
      </c>
      <c r="E22" s="17">
        <f>IF(COUNTIFS(T_TTAFStock_Log[Part Name],$A22,T_TTAFStock_Log[WeekIndex],4)=0,"",SUMIFS(T_TTAFStock_Log[TTAF_Qty],T_TTAFStock_Log[Part Name],$A22,T_TTAFStock_Log[WeekIndex],4))</f>
        <v/>
      </c>
      <c r="F22" s="17">
        <f>IF(COUNTIFS(T_TTAFStock_Log[Part Name],$A22,T_TTAFStock_Log[WeekIndex],5)=0,"",SUMIFS(T_TTAFStock_Log[TTAF_Qty],T_TTAFStock_Log[Part Name],$A22,T_TTAFStock_Log[WeekIndex],5))</f>
        <v/>
      </c>
      <c r="G22" s="17">
        <f>IF(COUNTIFS(T_TTAFStock_Log[Part Name],$A22,T_TTAFStock_Log[WeekIndex],6)=0,"",SUMIFS(T_TTAFStock_Log[TTAF_Qty],T_TTAFStock_Log[Part Name],$A22,T_TTAFStock_Log[WeekIndex],6))</f>
        <v/>
      </c>
      <c r="H22" s="17">
        <f>IF(COUNTIFS(T_TTAFStock_Log[Part Name],$A22,T_TTAFStock_Log[WeekIndex],7)=0,"",SUMIFS(T_TTAFStock_Log[TTAF_Qty],T_TTAFStock_Log[Part Name],$A22,T_TTAFStock_Log[WeekIndex],7))</f>
        <v/>
      </c>
      <c r="I22" s="17">
        <f>IF(COUNTIFS(T_TTAFStock_Log[Part Name],$A22,T_TTAFStock_Log[WeekIndex],8)=0,"",SUMIFS(T_TTAFStock_Log[TTAF_Qty],T_TTAFStock_Log[Part Name],$A22,T_TTAFStock_Log[WeekIndex],8))</f>
        <v/>
      </c>
      <c r="J22" s="17">
        <f>IF(COUNTIFS(T_TTAFStock_Log[Part Name],$A22,T_TTAFStock_Log[WeekIndex],9)=0,"",SUMIFS(T_TTAFStock_Log[TTAF_Qty],T_TTAFStock_Log[Part Name],$A22,T_TTAFStock_Log[WeekIndex],9))</f>
        <v/>
      </c>
      <c r="K22" s="17">
        <f>IF(COUNTIFS(T_TTAFStock_Log[Part Name],$A22,T_TTAFStock_Log[WeekIndex],10)=0,"",SUMIFS(T_TTAFStock_Log[TTAF_Qty],T_TTAFStock_Log[Part Name],$A22,T_TTAFStock_Log[WeekIndex],10))</f>
        <v/>
      </c>
      <c r="L22" s="17">
        <f>IF(COUNTIFS(T_TTAFStock_Log[Part Name],$A22,T_TTAFStock_Log[WeekIndex],11)=0,"",SUMIFS(T_TTAFStock_Log[TTAF_Qty],T_TTAFStock_Log[Part Name],$A22,T_TTAFStock_Log[WeekIndex],11))</f>
        <v/>
      </c>
      <c r="M22" s="17">
        <f>IF(COUNTIFS(T_TTAFStock_Log[Part Name],$A22,T_TTAFStock_Log[WeekIndex],12)=0,"",SUMIFS(T_TTAFStock_Log[TTAF_Qty],T_TTAFStock_Log[Part Name],$A22,T_TTAFStock_Log[WeekIndex],12))</f>
        <v/>
      </c>
      <c r="N22" s="17">
        <f>IF(COUNTIFS(T_TTAFStock_Log[Part Name],$A22,T_TTAFStock_Log[WeekIndex],13)=0,"",SUMIFS(T_TTAFStock_Log[TTAF_Qty],T_TTAFStock_Log[Part Name],$A22,T_TTAFStock_Log[WeekIndex],13))</f>
        <v/>
      </c>
      <c r="O22" s="17">
        <f>IF(COUNTIFS(T_TTAFStock_Log[Part Name],$A22,T_TTAFStock_Log[WeekIndex],14)=0,"",SUMIFS(T_TTAFStock_Log[TTAF_Qty],T_TTAFStock_Log[Part Name],$A22,T_TTAFStock_Log[WeekIndex],14))</f>
        <v/>
      </c>
      <c r="P22" s="17">
        <f>IF(COUNTIFS(T_TTAFStock_Log[Part Name],$A22,T_TTAFStock_Log[WeekIndex],15)=0,"",SUMIFS(T_TTAFStock_Log[TTAF_Qty],T_TTAFStock_Log[Part Name],$A22,T_TTAFStock_Log[WeekIndex],15))</f>
        <v/>
      </c>
      <c r="Q22" s="17">
        <f>IF(COUNTIFS(T_TTAFStock_Log[Part Name],$A22,T_TTAFStock_Log[WeekIndex],16)=0,"",SUMIFS(T_TTAFStock_Log[TTAF_Qty],T_TTAFStock_Log[Part Name],$A22,T_TTAFStock_Log[WeekIndex],16))</f>
        <v/>
      </c>
      <c r="R22" s="17">
        <f>IF(COUNTIFS(T_TTAFStock_Log[Part Name],$A22,T_TTAFStock_Log[WeekIndex],17)=0,"",SUMIFS(T_TTAFStock_Log[TTAF_Qty],T_TTAFStock_Log[Part Name],$A22,T_TTAFStock_Log[WeekIndex],17))</f>
        <v/>
      </c>
      <c r="S22" s="17">
        <f>IF(COUNTIFS(T_TTAFStock_Log[Part Name],$A22,T_TTAFStock_Log[WeekIndex],18)=0,"",SUMIFS(T_TTAFStock_Log[TTAF_Qty],T_TTAFStock_Log[Part Name],$A22,T_TTAFStock_Log[WeekIndex],18))</f>
        <v/>
      </c>
      <c r="T22" s="17">
        <f>IF(COUNTIFS(T_TTAFStock_Log[Part Name],$A22,T_TTAFStock_Log[WeekIndex],19)=0,"",SUMIFS(T_TTAFStock_Log[TTAF_Qty],T_TTAFStock_Log[Part Name],$A22,T_TTAFStock_Log[WeekIndex],19))</f>
        <v/>
      </c>
      <c r="U22" s="17">
        <f>IF(COUNTIFS(T_TTAFStock_Log[Part Name],$A22,T_TTAFStock_Log[WeekIndex],20)=0,"",SUMIFS(T_TTAFStock_Log[TTAF_Qty],T_TTAFStock_Log[Part Name],$A22,T_TTAFStock_Log[WeekIndex],20))</f>
        <v/>
      </c>
      <c r="V22" s="17">
        <f>IF(COUNTIFS(T_TTAFStock_Log[Part Name],$A22,T_TTAFStock_Log[WeekIndex],21)=0,"",SUMIFS(T_TTAFStock_Log[TTAF_Qty],T_TTAFStock_Log[Part Name],$A22,T_TTAFStock_Log[WeekIndex],21))</f>
        <v/>
      </c>
      <c r="W22" s="17">
        <f>IF(COUNTIFS(T_TTAFStock_Log[Part Name],$A22,T_TTAFStock_Log[WeekIndex],22)=0,"",SUMIFS(T_TTAFStock_Log[TTAF_Qty],T_TTAFStock_Log[Part Name],$A22,T_TTAFStock_Log[WeekIndex],22))</f>
        <v/>
      </c>
      <c r="X22" s="17">
        <f>IF(COUNTIFS(T_TTAFStock_Log[Part Name],$A22,T_TTAFStock_Log[WeekIndex],23)=0,"",SUMIFS(T_TTAFStock_Log[TTAF_Qty],T_TTAFStock_Log[Part Name],$A22,T_TTAFStock_Log[WeekIndex],23))</f>
        <v/>
      </c>
      <c r="Y22" s="17">
        <f>IF(COUNTIFS(T_TTAFStock_Log[Part Name],$A22,T_TTAFStock_Log[WeekIndex],24)=0,"",SUMIFS(T_TTAFStock_Log[TTAF_Qty],T_TTAFStock_Log[Part Name],$A22,T_TTAFStock_Log[WeekIndex],24))</f>
        <v/>
      </c>
      <c r="Z22" s="17">
        <f>IF(COUNTIFS(T_TTAFStock_Log[Part Name],$A22,T_TTAFStock_Log[WeekIndex],25)=0,"",SUMIFS(T_TTAFStock_Log[TTAF_Qty],T_TTAFStock_Log[Part Name],$A22,T_TTAFStock_Log[WeekIndex],25))</f>
        <v/>
      </c>
      <c r="AA22" s="17">
        <f>IF(COUNTIFS(T_TTAFStock_Log[Part Name],$A22,T_TTAFStock_Log[WeekIndex],26)=0,"",SUMIFS(T_TTAFStock_Log[TTAF_Qty],T_TTAFStock_Log[Part Name],$A22,T_TTAFStock_Log[WeekIndex],26))</f>
        <v/>
      </c>
      <c r="AB22" s="17">
        <f>IF(COUNTIFS(T_TTAFStock_Log[Part Name],$A22,T_TTAFStock_Log[WeekIndex],27)=0,"",SUMIFS(T_TTAFStock_Log[TTAF_Qty],T_TTAFStock_Log[Part Name],$A22,T_TTAFStock_Log[WeekIndex],27))</f>
        <v/>
      </c>
      <c r="AC22" s="17">
        <f>IF(COUNTIFS(T_TTAFStock_Log[Part Name],$A22,T_TTAFStock_Log[WeekIndex],28)=0,"",SUMIFS(T_TTAFStock_Log[TTAF_Qty],T_TTAFStock_Log[Part Name],$A22,T_TTAFStock_Log[WeekIndex],28))</f>
        <v/>
      </c>
      <c r="AD22" s="17">
        <f>IF(COUNTIFS(T_TTAFStock_Log[Part Name],$A22,T_TTAFStock_Log[WeekIndex],29)=0,"",SUMIFS(T_TTAFStock_Log[TTAF_Qty],T_TTAFStock_Log[Part Name],$A22,T_TTAFStock_Log[WeekIndex],29))</f>
        <v/>
      </c>
      <c r="AE22" s="17">
        <f>IF(COUNTIFS(T_TTAFStock_Log[Part Name],$A22,T_TTAFStock_Log[WeekIndex],30)=0,"",SUMIFS(T_TTAFStock_Log[TTAF_Qty],T_TTAFStock_Log[Part Name],$A22,T_TTAFStock_Log[WeekIndex],30))</f>
        <v/>
      </c>
      <c r="AF22" s="17">
        <f>IF(COUNTIFS(T_TTAFStock_Log[Part Name],$A22,T_TTAFStock_Log[WeekIndex],31)=0,"",SUMIFS(T_TTAFStock_Log[TTAF_Qty],T_TTAFStock_Log[Part Name],$A22,T_TTAFStock_Log[WeekIndex],31))</f>
        <v/>
      </c>
      <c r="AG22" s="17">
        <f>IF(COUNTIFS(T_TTAFStock_Log[Part Name],$A22,T_TTAFStock_Log[WeekIndex],32)=0,"",SUMIFS(T_TTAFStock_Log[TTAF_Qty],T_TTAFStock_Log[Part Name],$A22,T_TTAFStock_Log[WeekIndex],32))</f>
        <v/>
      </c>
      <c r="AH22" s="17">
        <f>IF(COUNTIFS(T_TTAFStock_Log[Part Name],$A22,T_TTAFStock_Log[WeekIndex],33)=0,"",SUMIFS(T_TTAFStock_Log[TTAF_Qty],T_TTAFStock_Log[Part Name],$A22,T_TTAFStock_Log[WeekIndex],33))</f>
        <v/>
      </c>
      <c r="AI22" s="17">
        <f>IF(COUNTIFS(T_TTAFStock_Log[Part Name],$A22,T_TTAFStock_Log[WeekIndex],34)=0,"",SUMIFS(T_TTAFStock_Log[TTAF_Qty],T_TTAFStock_Log[Part Name],$A22,T_TTAFStock_Log[WeekIndex],34))</f>
        <v/>
      </c>
      <c r="AJ22" s="17">
        <f>IF(COUNTIFS(T_TTAFStock_Log[Part Name],$A22,T_TTAFStock_Log[WeekIndex],35)=0,"",SUMIFS(T_TTAFStock_Log[TTAF_Qty],T_TTAFStock_Log[Part Name],$A22,T_TTAFStock_Log[WeekIndex],35))</f>
        <v/>
      </c>
      <c r="AK22" s="17">
        <f>IF(COUNTIFS(T_TTAFStock_Log[Part Name],$A22,T_TTAFStock_Log[WeekIndex],36)=0,"",SUMIFS(T_TTAFStock_Log[TTAF_Qty],T_TTAFStock_Log[Part Name],$A22,T_TTAFStock_Log[WeekIndex],36))</f>
        <v/>
      </c>
      <c r="AL22" s="17">
        <f>IF(COUNTIFS(T_TTAFStock_Log[Part Name],$A22,T_TTAFStock_Log[WeekIndex],37)=0,"",SUMIFS(T_TTAFStock_Log[TTAF_Qty],T_TTAFStock_Log[Part Name],$A22,T_TTAFStock_Log[WeekIndex],37))</f>
        <v/>
      </c>
      <c r="AM22" s="17">
        <f>IF(COUNTIFS(T_TTAFStock_Log[Part Name],$A22,T_TTAFStock_Log[WeekIndex],38)=0,"",SUMIFS(T_TTAFStock_Log[TTAF_Qty],T_TTAFStock_Log[Part Name],$A22,T_TTAFStock_Log[WeekIndex],38))</f>
        <v/>
      </c>
      <c r="AN22" s="17">
        <f>IF(COUNTIFS(T_TTAFStock_Log[Part Name],$A22,T_TTAFStock_Log[WeekIndex],39)=0,"",SUMIFS(T_TTAFStock_Log[TTAF_Qty],T_TTAFStock_Log[Part Name],$A22,T_TTAFStock_Log[WeekIndex],39))</f>
        <v/>
      </c>
      <c r="AO22" s="17">
        <f>IF(COUNTIFS(T_TTAFStock_Log[Part Name],$A22,T_TTAFStock_Log[WeekIndex],40)=0,"",SUMIFS(T_TTAFStock_Log[TTAF_Qty],T_TTAFStock_Log[Part Name],$A22,T_TTAFStock_Log[WeekIndex],40))</f>
        <v/>
      </c>
      <c r="AP22" s="17">
        <f>IF(COUNTIFS(T_TTAFStock_Log[Part Name],$A22,T_TTAFStock_Log[WeekIndex],41)=0,"",SUMIFS(T_TTAFStock_Log[TTAF_Qty],T_TTAFStock_Log[Part Name],$A22,T_TTAFStock_Log[WeekIndex],41))</f>
        <v/>
      </c>
      <c r="AQ22" s="17">
        <f>IF(COUNTIFS(T_TTAFStock_Log[Part Name],$A22,T_TTAFStock_Log[WeekIndex],42)=0,"",SUMIFS(T_TTAFStock_Log[TTAF_Qty],T_TTAFStock_Log[Part Name],$A22,T_TTAFStock_Log[WeekIndex],42))</f>
        <v/>
      </c>
      <c r="AR22" s="17">
        <f>IF(COUNTIFS(T_TTAFStock_Log[Part Name],$A22,T_TTAFStock_Log[WeekIndex],43)=0,"",SUMIFS(T_TTAFStock_Log[TTAF_Qty],T_TTAFStock_Log[Part Name],$A22,T_TTAFStock_Log[WeekIndex],43))</f>
        <v/>
      </c>
      <c r="AS22" s="17">
        <f>IF(COUNTIFS(T_TTAFStock_Log[Part Name],$A22,T_TTAFStock_Log[WeekIndex],44)=0,"",SUMIFS(T_TTAFStock_Log[TTAF_Qty],T_TTAFStock_Log[Part Name],$A22,T_TTAFStock_Log[WeekIndex],44))</f>
        <v/>
      </c>
      <c r="AT22" s="17">
        <f>IF(COUNTIFS(T_TTAFStock_Log[Part Name],$A22,T_TTAFStock_Log[WeekIndex],45)=0,"",SUMIFS(T_TTAFStock_Log[TTAF_Qty],T_TTAFStock_Log[Part Name],$A22,T_TTAFStock_Log[WeekIndex],45))</f>
        <v/>
      </c>
      <c r="AU22" s="17">
        <f>IF(COUNTIFS(T_TTAFStock_Log[Part Name],$A22,T_TTAFStock_Log[WeekIndex],46)=0,"",SUMIFS(T_TTAFStock_Log[TTAF_Qty],T_TTAFStock_Log[Part Name],$A22,T_TTAFStock_Log[WeekIndex],46))</f>
        <v/>
      </c>
      <c r="AV22" s="17">
        <f>IF(COUNTIFS(T_TTAFStock_Log[Part Name],$A22,T_TTAFStock_Log[WeekIndex],47)=0,"",SUMIFS(T_TTAFStock_Log[TTAF_Qty],T_TTAFStock_Log[Part Name],$A22,T_TTAFStock_Log[WeekIndex],47))</f>
        <v/>
      </c>
      <c r="AW22" s="17">
        <f>IF(COUNTIFS(T_TTAFStock_Log[Part Name],$A22,T_TTAFStock_Log[WeekIndex],48)=0,"",SUMIFS(T_TTAFStock_Log[TTAF_Qty],T_TTAFStock_Log[Part Name],$A22,T_TTAFStock_Log[WeekIndex],48))</f>
        <v/>
      </c>
      <c r="AX22" s="17">
        <f>IF(COUNTIFS(T_TTAFStock_Log[Part Name],$A22,T_TTAFStock_Log[WeekIndex],49)=0,"",SUMIFS(T_TTAFStock_Log[TTAF_Qty],T_TTAFStock_Log[Part Name],$A22,T_TTAFStock_Log[WeekIndex],49))</f>
        <v/>
      </c>
      <c r="AY22" s="17">
        <f>IF(COUNTIFS(T_TTAFStock_Log[Part Name],$A22,T_TTAFStock_Log[WeekIndex],50)=0,"",SUMIFS(T_TTAFStock_Log[TTAF_Qty],T_TTAFStock_Log[Part Name],$A22,T_TTAFStock_Log[WeekIndex],50))</f>
        <v/>
      </c>
      <c r="AZ22" s="17">
        <f>IF(COUNTIFS(T_TTAFStock_Log[Part Name],$A22,T_TTAFStock_Log[WeekIndex],51)=0,"",SUMIFS(T_TTAFStock_Log[TTAF_Qty],T_TTAFStock_Log[Part Name],$A22,T_TTAFStock_Log[WeekIndex],51))</f>
        <v/>
      </c>
      <c r="BA22" s="17">
        <f>IF(COUNTIFS(T_TTAFStock_Log[Part Name],$A22,T_TTAFStock_Log[WeekIndex],52)=0,"",SUMIFS(T_TTAFStock_Log[TTAF_Qty],T_TTAFStock_Log[Part Name],$A22,T_TTAFStock_Log[WeekIndex],52))</f>
        <v/>
      </c>
      <c r="BB22" s="17">
        <f>IF(COUNTIFS(T_TTAFStock_Log[Part Name],$A22,T_TTAFStock_Log[WeekIndex],53)=0,"",SUMIFS(T_TTAFStock_Log[TTAF_Qty],T_TTAFStock_Log[Part Name],$A22,T_TTAFStock_Log[WeekIndex],53))</f>
        <v/>
      </c>
      <c r="BC22" s="17">
        <f>IF(COUNTIFS(T_TTAFStock_Log[Part Name],$A22,T_TTAFStock_Log[WeekIndex],54)=0,"",SUMIFS(T_TTAFStock_Log[TTAF_Qty],T_TTAFStock_Log[Part Name],$A22,T_TTAFStock_Log[WeekIndex],54))</f>
        <v/>
      </c>
      <c r="BD22" s="17">
        <f>IF(COUNTIFS(T_TTAFStock_Log[Part Name],$A22,T_TTAFStock_Log[WeekIndex],55)=0,"",SUMIFS(T_TTAFStock_Log[TTAF_Qty],T_TTAFStock_Log[Part Name],$A22,T_TTAFStock_Log[WeekIndex],55))</f>
        <v/>
      </c>
      <c r="BE22" s="17">
        <f>IF(COUNTIFS(T_TTAFStock_Log[Part Name],$A22,T_TTAFStock_Log[WeekIndex],56)=0,"",SUMIFS(T_TTAFStock_Log[TTAF_Qty],T_TTAFStock_Log[Part Name],$A22,T_TTAFStock_Log[WeekIndex],56))</f>
        <v/>
      </c>
      <c r="BF22" s="17">
        <f>IF(COUNTIFS(T_TTAFStock_Log[Part Name],$A22,T_TTAFStock_Log[WeekIndex],57)=0,"",SUMIFS(T_TTAFStock_Log[TTAF_Qty],T_TTAFStock_Log[Part Name],$A22,T_TTAFStock_Log[WeekIndex],57))</f>
        <v/>
      </c>
      <c r="BG22" s="17">
        <f>IF(COUNTIFS(T_TTAFStock_Log[Part Name],$A22,T_TTAFStock_Log[WeekIndex],58)=0,"",SUMIFS(T_TTAFStock_Log[TTAF_Qty],T_TTAFStock_Log[Part Name],$A22,T_TTAFStock_Log[WeekIndex],58))</f>
        <v/>
      </c>
      <c r="BH22" s="17">
        <f>IF(COUNTIFS(T_TTAFStock_Log[Part Name],$A22,T_TTAFStock_Log[WeekIndex],59)=0,"",SUMIFS(T_TTAFStock_Log[TTAF_Qty],T_TTAFStock_Log[Part Name],$A22,T_TTAFStock_Log[WeekIndex],59))</f>
        <v/>
      </c>
      <c r="BI22" s="17">
        <f>IF(COUNTIFS(T_TTAFStock_Log[Part Name],$A22,T_TTAFStock_Log[WeekIndex],60)=0,"",SUMIFS(T_TTAFStock_Log[TTAF_Qty],T_TTAFStock_Log[Part Name],$A22,T_TTAFStock_Log[WeekIndex],60))</f>
        <v/>
      </c>
      <c r="BJ22" s="17">
        <f>IF(COUNTIFS(T_TTAFStock_Log[Part Name],$A22,T_TTAFStock_Log[WeekIndex],61)=0,"",SUMIFS(T_TTAFStock_Log[TTAF_Qty],T_TTAFStock_Log[Part Name],$A22,T_TTAFStock_Log[WeekIndex],61))</f>
        <v/>
      </c>
      <c r="BK22" s="17">
        <f>IF(COUNTIFS(T_TTAFStock_Log[Part Name],$A22,T_TTAFStock_Log[WeekIndex],62)=0,"",SUMIFS(T_TTAFStock_Log[TTAF_Qty],T_TTAFStock_Log[Part Name],$A22,T_TTAFStock_Log[WeekIndex],62))</f>
        <v/>
      </c>
      <c r="BL22" s="17">
        <f>IF(COUNTIFS(T_TTAFStock_Log[Part Name],$A22,T_TTAFStock_Log[WeekIndex],63)=0,"",SUMIFS(T_TTAFStock_Log[TTAF_Qty],T_TTAFStock_Log[Part Name],$A22,T_TTAFStock_Log[WeekIndex],63))</f>
        <v/>
      </c>
      <c r="BM22" s="17">
        <f>IF(COUNTIFS(T_TTAFStock_Log[Part Name],$A22,T_TTAFStock_Log[WeekIndex],64)=0,"",SUMIFS(T_TTAFStock_Log[TTAF_Qty],T_TTAFStock_Log[Part Name],$A22,T_TTAFStock_Log[WeekIndex],64))</f>
        <v/>
      </c>
      <c r="BN22" s="17">
        <f>IF(COUNTIFS(T_TTAFStock_Log[Part Name],$A22,T_TTAFStock_Log[WeekIndex],65)=0,"",SUMIFS(T_TTAFStock_Log[TTAF_Qty],T_TTAFStock_Log[Part Name],$A22,T_TTAFStock_Log[WeekIndex],65))</f>
        <v/>
      </c>
      <c r="BO22" s="17">
        <f>IF(COUNTIFS(T_TTAFStock_Log[Part Name],$A22,T_TTAFStock_Log[WeekIndex],66)=0,"",SUMIFS(T_TTAFStock_Log[TTAF_Qty],T_TTAFStock_Log[Part Name],$A22,T_TTAFStock_Log[WeekIndex],66))</f>
        <v/>
      </c>
      <c r="BP22" s="17">
        <f>IF(COUNTIFS(T_TTAFStock_Log[Part Name],$A22,T_TTAFStock_Log[WeekIndex],67)=0,"",SUMIFS(T_TTAFStock_Log[TTAF_Qty],T_TTAFStock_Log[Part Name],$A22,T_TTAFStock_Log[WeekIndex],67))</f>
        <v/>
      </c>
      <c r="BQ22" s="17">
        <f>IF(COUNTIFS(T_TTAFStock_Log[Part Name],$A22,T_TTAFStock_Log[WeekIndex],68)=0,"",SUMIFS(T_TTAFStock_Log[TTAF_Qty],T_TTAFStock_Log[Part Name],$A22,T_TTAFStock_Log[WeekIndex],68))</f>
        <v/>
      </c>
      <c r="BR22" s="17">
        <f>IF(COUNTIFS(T_TTAFStock_Log[Part Name],$A22,T_TTAFStock_Log[WeekIndex],69)=0,"",SUMIFS(T_TTAFStock_Log[TTAF_Qty],T_TTAFStock_Log[Part Name],$A22,T_TTAFStock_Log[WeekIndex],69))</f>
        <v/>
      </c>
      <c r="BS22" s="17">
        <f>IF(COUNTIFS(T_TTAFStock_Log[Part Name],$A22,T_TTAFStock_Log[WeekIndex],70)=0,"",SUMIFS(T_TTAFStock_Log[TTAF_Qty],T_TTAFStock_Log[Part Name],$A22,T_TTAFStock_Log[WeekIndex],70))</f>
        <v/>
      </c>
      <c r="BT22" s="17">
        <f>IF(COUNTIFS(T_TTAFStock_Log[Part Name],$A22,T_TTAFStock_Log[WeekIndex],71)=0,"",SUMIFS(T_TTAFStock_Log[TTAF_Qty],T_TTAFStock_Log[Part Name],$A22,T_TTAFStock_Log[WeekIndex],71))</f>
        <v/>
      </c>
      <c r="BU22" s="17">
        <f>IF(COUNTIFS(T_TTAFStock_Log[Part Name],$A22,T_TTAFStock_Log[WeekIndex],72)=0,"",SUMIFS(T_TTAFStock_Log[TTAF_Qty],T_TTAFStock_Log[Part Name],$A22,T_TTAFStock_Log[WeekIndex],72))</f>
        <v/>
      </c>
      <c r="BV22" s="17">
        <f>IF(COUNTIFS(T_TTAFStock_Log[Part Name],$A22,T_TTAFStock_Log[WeekIndex],73)=0,"",SUMIFS(T_TTAFStock_Log[TTAF_Qty],T_TTAFStock_Log[Part Name],$A22,T_TTAFStock_Log[WeekIndex],73))</f>
        <v/>
      </c>
      <c r="BW22" s="17">
        <f>IF(COUNTIFS(T_TTAFStock_Log[Part Name],$A22,T_TTAFStock_Log[WeekIndex],74)=0,"",SUMIFS(T_TTAFStock_Log[TTAF_Qty],T_TTAFStock_Log[Part Name],$A22,T_TTAFStock_Log[WeekIndex],74))</f>
        <v/>
      </c>
      <c r="BX22" s="17">
        <f>IF(COUNTIFS(T_TTAFStock_Log[Part Name],$A22,T_TTAFStock_Log[WeekIndex],75)=0,"",SUMIFS(T_TTAFStock_Log[TTAF_Qty],T_TTAFStock_Log[Part Name],$A22,T_TTAFStock_Log[WeekIndex],75))</f>
        <v/>
      </c>
      <c r="BY22" s="17">
        <f>IF(COUNTIFS(T_TTAFStock_Log[Part Name],$A22,T_TTAFStock_Log[WeekIndex],76)=0,"",SUMIFS(T_TTAFStock_Log[TTAF_Qty],T_TTAFStock_Log[Part Name],$A22,T_TTAFStock_Log[WeekIndex],76))</f>
        <v/>
      </c>
      <c r="BZ22" s="17">
        <f>IF(COUNTIFS(T_TTAFStock_Log[Part Name],$A22,T_TTAFStock_Log[WeekIndex],77)=0,"",SUMIFS(T_TTAFStock_Log[TTAF_Qty],T_TTAFStock_Log[Part Name],$A22,T_TTAFStock_Log[WeekIndex],77))</f>
        <v/>
      </c>
      <c r="CA22" s="17">
        <f>IF(COUNTIFS(T_TTAFStock_Log[Part Name],$A22,T_TTAFStock_Log[WeekIndex],78)=0,"",SUMIFS(T_TTAFStock_Log[TTAF_Qty],T_TTAFStock_Log[Part Name],$A22,T_TTAFStock_Log[WeekIndex],78))</f>
        <v/>
      </c>
      <c r="CB22" s="17">
        <f>IF(COUNTIFS(T_TTAFStock_Log[Part Name],$A22,T_TTAFStock_Log[WeekIndex],79)=0,"",SUMIFS(T_TTAFStock_Log[TTAF_Qty],T_TTAFStock_Log[Part Name],$A22,T_TTAFStock_Log[WeekIndex],79))</f>
        <v/>
      </c>
      <c r="CC22" s="17">
        <f>IF(COUNTIFS(T_TTAFStock_Log[Part Name],$A22,T_TTAFStock_Log[WeekIndex],80)=0,"",SUMIFS(T_TTAFStock_Log[TTAF_Qty],T_TTAFStock_Log[Part Name],$A22,T_TTAFStock_Log[WeekIndex],80))</f>
        <v/>
      </c>
      <c r="CD22" s="17">
        <f>IF(COUNTIFS(T_TTAFStock_Log[Part Name],$A22,T_TTAFStock_Log[WeekIndex],81)=0,"",SUMIFS(T_TTAFStock_Log[TTAF_Qty],T_TTAFStock_Log[Part Name],$A22,T_TTAFStock_Log[WeekIndex],81))</f>
        <v/>
      </c>
      <c r="CE22" s="17">
        <f>IF(COUNTIFS(T_TTAFStock_Log[Part Name],$A22,T_TTAFStock_Log[WeekIndex],82)=0,"",SUMIFS(T_TTAFStock_Log[TTAF_Qty],T_TTAFStock_Log[Part Name],$A22,T_TTAFStock_Log[WeekIndex],82))</f>
        <v/>
      </c>
      <c r="CF22" s="17">
        <f>IF(COUNTIFS(T_TTAFStock_Log[Part Name],$A22,T_TTAFStock_Log[WeekIndex],83)=0,"",SUMIFS(T_TTAFStock_Log[TTAF_Qty],T_TTAFStock_Log[Part Name],$A22,T_TTAFStock_Log[WeekIndex],83))</f>
        <v/>
      </c>
      <c r="CG22" s="17">
        <f>IF(COUNTIFS(T_TTAFStock_Log[Part Name],$A22,T_TTAFStock_Log[WeekIndex],84)=0,"",SUMIFS(T_TTAFStock_Log[TTAF_Qty],T_TTAFStock_Log[Part Name],$A22,T_TTAFStock_Log[WeekIndex],84))</f>
        <v/>
      </c>
      <c r="CH22" s="17">
        <f>IF(COUNTIFS(T_TTAFStock_Log[Part Name],$A22,T_TTAFStock_Log[WeekIndex],85)=0,"",SUMIFS(T_TTAFStock_Log[TTAF_Qty],T_TTAFStock_Log[Part Name],$A22,T_TTAFStock_Log[WeekIndex],85))</f>
        <v/>
      </c>
      <c r="CI22" s="17">
        <f>IF(COUNTIFS(T_TTAFStock_Log[Part Name],$A22,T_TTAFStock_Log[WeekIndex],86)=0,"",SUMIFS(T_TTAFStock_Log[TTAF_Qty],T_TTAFStock_Log[Part Name],$A22,T_TTAFStock_Log[WeekIndex],86))</f>
        <v/>
      </c>
      <c r="CJ22" s="17">
        <f>IF(COUNTIFS(T_TTAFStock_Log[Part Name],$A22,T_TTAFStock_Log[WeekIndex],87)=0,"",SUMIFS(T_TTAFStock_Log[TTAF_Qty],T_TTAFStock_Log[Part Name],$A22,T_TTAFStock_Log[WeekIndex],87))</f>
        <v/>
      </c>
      <c r="CK22" s="17">
        <f>IF(COUNTIFS(T_TTAFStock_Log[Part Name],$A22,T_TTAFStock_Log[WeekIndex],88)=0,"",SUMIFS(T_TTAFStock_Log[TTAF_Qty],T_TTAFStock_Log[Part Name],$A22,T_TTAFStock_Log[WeekIndex],88))</f>
        <v/>
      </c>
      <c r="CL22" s="17">
        <f>IF(COUNTIFS(T_TTAFStock_Log[Part Name],$A22,T_TTAFStock_Log[WeekIndex],89)=0,"",SUMIFS(T_TTAFStock_Log[TTAF_Qty],T_TTAFStock_Log[Part Name],$A22,T_TTAFStock_Log[WeekIndex],89))</f>
        <v/>
      </c>
      <c r="CM22" s="17">
        <f>IF(COUNTIFS(T_TTAFStock_Log[Part Name],$A22,T_TTAFStock_Log[WeekIndex],90)=0,"",SUMIFS(T_TTAFStock_Log[TTAF_Qty],T_TTAFStock_Log[Part Name],$A22,T_TTAFStock_Log[WeekIndex],90))</f>
        <v/>
      </c>
      <c r="CN22" s="17">
        <f>IF(COUNTIFS(T_TTAFStock_Log[Part Name],$A22,T_TTAFStock_Log[WeekIndex],91)=0,"",SUMIFS(T_TTAFStock_Log[TTAF_Qty],T_TTAFStock_Log[Part Name],$A22,T_TTAFStock_Log[WeekIndex],91))</f>
        <v/>
      </c>
      <c r="CO22" s="17">
        <f>IF(COUNTIFS(T_TTAFStock_Log[Part Name],$A22,T_TTAFStock_Log[WeekIndex],92)=0,"",SUMIFS(T_TTAFStock_Log[TTAF_Qty],T_TTAFStock_Log[Part Name],$A22,T_TTAFStock_Log[WeekIndex],92))</f>
        <v/>
      </c>
      <c r="CP22" s="17">
        <f>IF(COUNTIFS(T_TTAFStock_Log[Part Name],$A22,T_TTAFStock_Log[WeekIndex],93)=0,"",SUMIFS(T_TTAFStock_Log[TTAF_Qty],T_TTAFStock_Log[Part Name],$A22,T_TTAFStock_Log[WeekIndex],93))</f>
        <v/>
      </c>
      <c r="CQ22" s="17">
        <f>IF(COUNTIFS(T_TTAFStock_Log[Part Name],$A22,T_TTAFStock_Log[WeekIndex],94)=0,"",SUMIFS(T_TTAFStock_Log[TTAF_Qty],T_TTAFStock_Log[Part Name],$A22,T_TTAFStock_Log[WeekIndex],94))</f>
        <v/>
      </c>
      <c r="CR22" s="17">
        <f>IF(COUNTIFS(T_TTAFStock_Log[Part Name],$A22,T_TTAFStock_Log[WeekIndex],95)=0,"",SUMIFS(T_TTAFStock_Log[TTAF_Qty],T_TTAFStock_Log[Part Name],$A22,T_TTAFStock_Log[WeekIndex],95))</f>
        <v/>
      </c>
      <c r="CS22" s="17">
        <f>IF(COUNTIFS(T_TTAFStock_Log[Part Name],$A22,T_TTAFStock_Log[WeekIndex],96)=0,"",SUMIFS(T_TTAFStock_Log[TTAF_Qty],T_TTAFStock_Log[Part Name],$A22,T_TTAFStock_Log[WeekIndex],96))</f>
        <v/>
      </c>
      <c r="CT22" s="17">
        <f>IF(COUNTIFS(T_TTAFStock_Log[Part Name],$A22,T_TTAFStock_Log[WeekIndex],97)=0,"",SUMIFS(T_TTAFStock_Log[TTAF_Qty],T_TTAFStock_Log[Part Name],$A22,T_TTAFStock_Log[WeekIndex],97))</f>
        <v/>
      </c>
      <c r="CU22" s="17">
        <f>IF(COUNTIFS(T_TTAFStock_Log[Part Name],$A22,T_TTAFStock_Log[WeekIndex],98)=0,"",SUMIFS(T_TTAFStock_Log[TTAF_Qty],T_TTAFStock_Log[Part Name],$A22,T_TTAFStock_Log[WeekIndex],98))</f>
        <v/>
      </c>
      <c r="CV22" s="17">
        <f>IF(COUNTIFS(T_TTAFStock_Log[Part Name],$A22,T_TTAFStock_Log[WeekIndex],99)=0,"",SUMIFS(T_TTAFStock_Log[TTAF_Qty],T_TTAFStock_Log[Part Name],$A22,T_TTAFStock_Log[WeekIndex],99))</f>
        <v/>
      </c>
      <c r="CW22" s="17">
        <f>IF(COUNTIFS(T_TTAFStock_Log[Part Name],$A22,T_TTAFStock_Log[WeekIndex],100)=0,"",SUMIFS(T_TTAFStock_Log[TTAF_Qty],T_TTAFStock_Log[Part Name],$A22,T_TTAFStock_Log[WeekIndex],100))</f>
        <v/>
      </c>
      <c r="CX22" s="17">
        <f>IF(COUNTIFS(T_TTAFStock_Log[Part Name],$A22,T_TTAFStock_Log[WeekIndex],101)=0,"",SUMIFS(T_TTAFStock_Log[TTAF_Qty],T_TTAFStock_Log[Part Name],$A22,T_TTAFStock_Log[WeekIndex],101))</f>
        <v/>
      </c>
      <c r="CY22" s="17">
        <f>IF(COUNTIFS(T_TTAFStock_Log[Part Name],$A22,T_TTAFStock_Log[WeekIndex],102)=0,"",SUMIFS(T_TTAFStock_Log[TTAF_Qty],T_TTAFStock_Log[Part Name],$A22,T_TTAFStock_Log[WeekIndex],102))</f>
        <v/>
      </c>
      <c r="CZ22" s="17">
        <f>IF(COUNTIFS(T_TTAFStock_Log[Part Name],$A22,T_TTAFStock_Log[WeekIndex],103)=0,"",SUMIFS(T_TTAFStock_Log[TTAF_Qty],T_TTAFStock_Log[Part Name],$A22,T_TTAFStock_Log[WeekIndex],103))</f>
        <v/>
      </c>
      <c r="DA22" s="17">
        <f>IF(COUNTIFS(T_TTAFStock_Log[Part Name],$A22,T_TTAFStock_Log[WeekIndex],104)=0,"",SUMIFS(T_TTAFStock_Log[TTAF_Qty],T_TTAFStock_Log[Part Name],$A22,T_TTAFStock_Log[WeekIndex],104))</f>
        <v/>
      </c>
    </row>
    <row r="23">
      <c r="A23" s="19" t="inlineStr">
        <is>
          <t>26F</t>
        </is>
      </c>
      <c r="B23" s="19">
        <f>IF(COUNTIFS(T_TTAFStock_Log[Part Name],$A23,T_TTAFStock_Log[WeekIndex],1)=0,"",SUMIFS(T_TTAFStock_Log[TTAF_Qty],T_TTAFStock_Log[Part Name],$A23,T_TTAFStock_Log[WeekIndex],1))</f>
        <v/>
      </c>
      <c r="C23" s="19">
        <f>IF(COUNTIFS(T_TTAFStock_Log[Part Name],$A23,T_TTAFStock_Log[WeekIndex],2)=0,"",SUMIFS(T_TTAFStock_Log[TTAF_Qty],T_TTAFStock_Log[Part Name],$A23,T_TTAFStock_Log[WeekIndex],2))</f>
        <v/>
      </c>
      <c r="D23" s="19">
        <f>IF(COUNTIFS(T_TTAFStock_Log[Part Name],$A23,T_TTAFStock_Log[WeekIndex],3)=0,"",SUMIFS(T_TTAFStock_Log[TTAF_Qty],T_TTAFStock_Log[Part Name],$A23,T_TTAFStock_Log[WeekIndex],3))</f>
        <v/>
      </c>
      <c r="E23" s="19">
        <f>IF(COUNTIFS(T_TTAFStock_Log[Part Name],$A23,T_TTAFStock_Log[WeekIndex],4)=0,"",SUMIFS(T_TTAFStock_Log[TTAF_Qty],T_TTAFStock_Log[Part Name],$A23,T_TTAFStock_Log[WeekIndex],4))</f>
        <v/>
      </c>
      <c r="F23" s="19">
        <f>IF(COUNTIFS(T_TTAFStock_Log[Part Name],$A23,T_TTAFStock_Log[WeekIndex],5)=0,"",SUMIFS(T_TTAFStock_Log[TTAF_Qty],T_TTAFStock_Log[Part Name],$A23,T_TTAFStock_Log[WeekIndex],5))</f>
        <v/>
      </c>
      <c r="G23" s="19">
        <f>IF(COUNTIFS(T_TTAFStock_Log[Part Name],$A23,T_TTAFStock_Log[WeekIndex],6)=0,"",SUMIFS(T_TTAFStock_Log[TTAF_Qty],T_TTAFStock_Log[Part Name],$A23,T_TTAFStock_Log[WeekIndex],6))</f>
        <v/>
      </c>
      <c r="H23" s="19">
        <f>IF(COUNTIFS(T_TTAFStock_Log[Part Name],$A23,T_TTAFStock_Log[WeekIndex],7)=0,"",SUMIFS(T_TTAFStock_Log[TTAF_Qty],T_TTAFStock_Log[Part Name],$A23,T_TTAFStock_Log[WeekIndex],7))</f>
        <v/>
      </c>
      <c r="I23" s="19">
        <f>IF(COUNTIFS(T_TTAFStock_Log[Part Name],$A23,T_TTAFStock_Log[WeekIndex],8)=0,"",SUMIFS(T_TTAFStock_Log[TTAF_Qty],T_TTAFStock_Log[Part Name],$A23,T_TTAFStock_Log[WeekIndex],8))</f>
        <v/>
      </c>
      <c r="J23" s="19">
        <f>IF(COUNTIFS(T_TTAFStock_Log[Part Name],$A23,T_TTAFStock_Log[WeekIndex],9)=0,"",SUMIFS(T_TTAFStock_Log[TTAF_Qty],T_TTAFStock_Log[Part Name],$A23,T_TTAFStock_Log[WeekIndex],9))</f>
        <v/>
      </c>
      <c r="K23" s="19">
        <f>IF(COUNTIFS(T_TTAFStock_Log[Part Name],$A23,T_TTAFStock_Log[WeekIndex],10)=0,"",SUMIFS(T_TTAFStock_Log[TTAF_Qty],T_TTAFStock_Log[Part Name],$A23,T_TTAFStock_Log[WeekIndex],10))</f>
        <v/>
      </c>
      <c r="L23" s="19">
        <f>IF(COUNTIFS(T_TTAFStock_Log[Part Name],$A23,T_TTAFStock_Log[WeekIndex],11)=0,"",SUMIFS(T_TTAFStock_Log[TTAF_Qty],T_TTAFStock_Log[Part Name],$A23,T_TTAFStock_Log[WeekIndex],11))</f>
        <v/>
      </c>
      <c r="M23" s="19">
        <f>IF(COUNTIFS(T_TTAFStock_Log[Part Name],$A23,T_TTAFStock_Log[WeekIndex],12)=0,"",SUMIFS(T_TTAFStock_Log[TTAF_Qty],T_TTAFStock_Log[Part Name],$A23,T_TTAFStock_Log[WeekIndex],12))</f>
        <v/>
      </c>
      <c r="N23" s="19">
        <f>IF(COUNTIFS(T_TTAFStock_Log[Part Name],$A23,T_TTAFStock_Log[WeekIndex],13)=0,"",SUMIFS(T_TTAFStock_Log[TTAF_Qty],T_TTAFStock_Log[Part Name],$A23,T_TTAFStock_Log[WeekIndex],13))</f>
        <v/>
      </c>
      <c r="O23" s="19">
        <f>IF(COUNTIFS(T_TTAFStock_Log[Part Name],$A23,T_TTAFStock_Log[WeekIndex],14)=0,"",SUMIFS(T_TTAFStock_Log[TTAF_Qty],T_TTAFStock_Log[Part Name],$A23,T_TTAFStock_Log[WeekIndex],14))</f>
        <v/>
      </c>
      <c r="P23" s="19">
        <f>IF(COUNTIFS(T_TTAFStock_Log[Part Name],$A23,T_TTAFStock_Log[WeekIndex],15)=0,"",SUMIFS(T_TTAFStock_Log[TTAF_Qty],T_TTAFStock_Log[Part Name],$A23,T_TTAFStock_Log[WeekIndex],15))</f>
        <v/>
      </c>
      <c r="Q23" s="19">
        <f>IF(COUNTIFS(T_TTAFStock_Log[Part Name],$A23,T_TTAFStock_Log[WeekIndex],16)=0,"",SUMIFS(T_TTAFStock_Log[TTAF_Qty],T_TTAFStock_Log[Part Name],$A23,T_TTAFStock_Log[WeekIndex],16))</f>
        <v/>
      </c>
      <c r="R23" s="19">
        <f>IF(COUNTIFS(T_TTAFStock_Log[Part Name],$A23,T_TTAFStock_Log[WeekIndex],17)=0,"",SUMIFS(T_TTAFStock_Log[TTAF_Qty],T_TTAFStock_Log[Part Name],$A23,T_TTAFStock_Log[WeekIndex],17))</f>
        <v/>
      </c>
      <c r="S23" s="19">
        <f>IF(COUNTIFS(T_TTAFStock_Log[Part Name],$A23,T_TTAFStock_Log[WeekIndex],18)=0,"",SUMIFS(T_TTAFStock_Log[TTAF_Qty],T_TTAFStock_Log[Part Name],$A23,T_TTAFStock_Log[WeekIndex],18))</f>
        <v/>
      </c>
      <c r="T23" s="19">
        <f>IF(COUNTIFS(T_TTAFStock_Log[Part Name],$A23,T_TTAFStock_Log[WeekIndex],19)=0,"",SUMIFS(T_TTAFStock_Log[TTAF_Qty],T_TTAFStock_Log[Part Name],$A23,T_TTAFStock_Log[WeekIndex],19))</f>
        <v/>
      </c>
      <c r="U23" s="19">
        <f>IF(COUNTIFS(T_TTAFStock_Log[Part Name],$A23,T_TTAFStock_Log[WeekIndex],20)=0,"",SUMIFS(T_TTAFStock_Log[TTAF_Qty],T_TTAFStock_Log[Part Name],$A23,T_TTAFStock_Log[WeekIndex],20))</f>
        <v/>
      </c>
      <c r="V23" s="19">
        <f>IF(COUNTIFS(T_TTAFStock_Log[Part Name],$A23,T_TTAFStock_Log[WeekIndex],21)=0,"",SUMIFS(T_TTAFStock_Log[TTAF_Qty],T_TTAFStock_Log[Part Name],$A23,T_TTAFStock_Log[WeekIndex],21))</f>
        <v/>
      </c>
      <c r="W23" s="19">
        <f>IF(COUNTIFS(T_TTAFStock_Log[Part Name],$A23,T_TTAFStock_Log[WeekIndex],22)=0,"",SUMIFS(T_TTAFStock_Log[TTAF_Qty],T_TTAFStock_Log[Part Name],$A23,T_TTAFStock_Log[WeekIndex],22))</f>
        <v/>
      </c>
      <c r="X23" s="19">
        <f>IF(COUNTIFS(T_TTAFStock_Log[Part Name],$A23,T_TTAFStock_Log[WeekIndex],23)=0,"",SUMIFS(T_TTAFStock_Log[TTAF_Qty],T_TTAFStock_Log[Part Name],$A23,T_TTAFStock_Log[WeekIndex],23))</f>
        <v/>
      </c>
      <c r="Y23" s="19">
        <f>IF(COUNTIFS(T_TTAFStock_Log[Part Name],$A23,T_TTAFStock_Log[WeekIndex],24)=0,"",SUMIFS(T_TTAFStock_Log[TTAF_Qty],T_TTAFStock_Log[Part Name],$A23,T_TTAFStock_Log[WeekIndex],24))</f>
        <v/>
      </c>
      <c r="Z23" s="19">
        <f>IF(COUNTIFS(T_TTAFStock_Log[Part Name],$A23,T_TTAFStock_Log[WeekIndex],25)=0,"",SUMIFS(T_TTAFStock_Log[TTAF_Qty],T_TTAFStock_Log[Part Name],$A23,T_TTAFStock_Log[WeekIndex],25))</f>
        <v/>
      </c>
      <c r="AA23" s="19">
        <f>IF(COUNTIFS(T_TTAFStock_Log[Part Name],$A23,T_TTAFStock_Log[WeekIndex],26)=0,"",SUMIFS(T_TTAFStock_Log[TTAF_Qty],T_TTAFStock_Log[Part Name],$A23,T_TTAFStock_Log[WeekIndex],26))</f>
        <v/>
      </c>
      <c r="AB23" s="19">
        <f>IF(COUNTIFS(T_TTAFStock_Log[Part Name],$A23,T_TTAFStock_Log[WeekIndex],27)=0,"",SUMIFS(T_TTAFStock_Log[TTAF_Qty],T_TTAFStock_Log[Part Name],$A23,T_TTAFStock_Log[WeekIndex],27))</f>
        <v/>
      </c>
      <c r="AC23" s="19">
        <f>IF(COUNTIFS(T_TTAFStock_Log[Part Name],$A23,T_TTAFStock_Log[WeekIndex],28)=0,"",SUMIFS(T_TTAFStock_Log[TTAF_Qty],T_TTAFStock_Log[Part Name],$A23,T_TTAFStock_Log[WeekIndex],28))</f>
        <v/>
      </c>
      <c r="AD23" s="19">
        <f>IF(COUNTIFS(T_TTAFStock_Log[Part Name],$A23,T_TTAFStock_Log[WeekIndex],29)=0,"",SUMIFS(T_TTAFStock_Log[TTAF_Qty],T_TTAFStock_Log[Part Name],$A23,T_TTAFStock_Log[WeekIndex],29))</f>
        <v/>
      </c>
      <c r="AE23" s="19">
        <f>IF(COUNTIFS(T_TTAFStock_Log[Part Name],$A23,T_TTAFStock_Log[WeekIndex],30)=0,"",SUMIFS(T_TTAFStock_Log[TTAF_Qty],T_TTAFStock_Log[Part Name],$A23,T_TTAFStock_Log[WeekIndex],30))</f>
        <v/>
      </c>
      <c r="AF23" s="19">
        <f>IF(COUNTIFS(T_TTAFStock_Log[Part Name],$A23,T_TTAFStock_Log[WeekIndex],31)=0,"",SUMIFS(T_TTAFStock_Log[TTAF_Qty],T_TTAFStock_Log[Part Name],$A23,T_TTAFStock_Log[WeekIndex],31))</f>
        <v/>
      </c>
      <c r="AG23" s="19">
        <f>IF(COUNTIFS(T_TTAFStock_Log[Part Name],$A23,T_TTAFStock_Log[WeekIndex],32)=0,"",SUMIFS(T_TTAFStock_Log[TTAF_Qty],T_TTAFStock_Log[Part Name],$A23,T_TTAFStock_Log[WeekIndex],32))</f>
        <v/>
      </c>
      <c r="AH23" s="19">
        <f>IF(COUNTIFS(T_TTAFStock_Log[Part Name],$A23,T_TTAFStock_Log[WeekIndex],33)=0,"",SUMIFS(T_TTAFStock_Log[TTAF_Qty],T_TTAFStock_Log[Part Name],$A23,T_TTAFStock_Log[WeekIndex],33))</f>
        <v/>
      </c>
      <c r="AI23" s="19">
        <f>IF(COUNTIFS(T_TTAFStock_Log[Part Name],$A23,T_TTAFStock_Log[WeekIndex],34)=0,"",SUMIFS(T_TTAFStock_Log[TTAF_Qty],T_TTAFStock_Log[Part Name],$A23,T_TTAFStock_Log[WeekIndex],34))</f>
        <v/>
      </c>
      <c r="AJ23" s="19">
        <f>IF(COUNTIFS(T_TTAFStock_Log[Part Name],$A23,T_TTAFStock_Log[WeekIndex],35)=0,"",SUMIFS(T_TTAFStock_Log[TTAF_Qty],T_TTAFStock_Log[Part Name],$A23,T_TTAFStock_Log[WeekIndex],35))</f>
        <v/>
      </c>
      <c r="AK23" s="19">
        <f>IF(COUNTIFS(T_TTAFStock_Log[Part Name],$A23,T_TTAFStock_Log[WeekIndex],36)=0,"",SUMIFS(T_TTAFStock_Log[TTAF_Qty],T_TTAFStock_Log[Part Name],$A23,T_TTAFStock_Log[WeekIndex],36))</f>
        <v/>
      </c>
      <c r="AL23" s="19">
        <f>IF(COUNTIFS(T_TTAFStock_Log[Part Name],$A23,T_TTAFStock_Log[WeekIndex],37)=0,"",SUMIFS(T_TTAFStock_Log[TTAF_Qty],T_TTAFStock_Log[Part Name],$A23,T_TTAFStock_Log[WeekIndex],37))</f>
        <v/>
      </c>
      <c r="AM23" s="19">
        <f>IF(COUNTIFS(T_TTAFStock_Log[Part Name],$A23,T_TTAFStock_Log[WeekIndex],38)=0,"",SUMIFS(T_TTAFStock_Log[TTAF_Qty],T_TTAFStock_Log[Part Name],$A23,T_TTAFStock_Log[WeekIndex],38))</f>
        <v/>
      </c>
      <c r="AN23" s="19">
        <f>IF(COUNTIFS(T_TTAFStock_Log[Part Name],$A23,T_TTAFStock_Log[WeekIndex],39)=0,"",SUMIFS(T_TTAFStock_Log[TTAF_Qty],T_TTAFStock_Log[Part Name],$A23,T_TTAFStock_Log[WeekIndex],39))</f>
        <v/>
      </c>
      <c r="AO23" s="19">
        <f>IF(COUNTIFS(T_TTAFStock_Log[Part Name],$A23,T_TTAFStock_Log[WeekIndex],40)=0,"",SUMIFS(T_TTAFStock_Log[TTAF_Qty],T_TTAFStock_Log[Part Name],$A23,T_TTAFStock_Log[WeekIndex],40))</f>
        <v/>
      </c>
      <c r="AP23" s="19">
        <f>IF(COUNTIFS(T_TTAFStock_Log[Part Name],$A23,T_TTAFStock_Log[WeekIndex],41)=0,"",SUMIFS(T_TTAFStock_Log[TTAF_Qty],T_TTAFStock_Log[Part Name],$A23,T_TTAFStock_Log[WeekIndex],41))</f>
        <v/>
      </c>
      <c r="AQ23" s="19">
        <f>IF(COUNTIFS(T_TTAFStock_Log[Part Name],$A23,T_TTAFStock_Log[WeekIndex],42)=0,"",SUMIFS(T_TTAFStock_Log[TTAF_Qty],T_TTAFStock_Log[Part Name],$A23,T_TTAFStock_Log[WeekIndex],42))</f>
        <v/>
      </c>
      <c r="AR23" s="19">
        <f>IF(COUNTIFS(T_TTAFStock_Log[Part Name],$A23,T_TTAFStock_Log[WeekIndex],43)=0,"",SUMIFS(T_TTAFStock_Log[TTAF_Qty],T_TTAFStock_Log[Part Name],$A23,T_TTAFStock_Log[WeekIndex],43))</f>
        <v/>
      </c>
      <c r="AS23" s="19">
        <f>IF(COUNTIFS(T_TTAFStock_Log[Part Name],$A23,T_TTAFStock_Log[WeekIndex],44)=0,"",SUMIFS(T_TTAFStock_Log[TTAF_Qty],T_TTAFStock_Log[Part Name],$A23,T_TTAFStock_Log[WeekIndex],44))</f>
        <v/>
      </c>
      <c r="AT23" s="19">
        <f>IF(COUNTIFS(T_TTAFStock_Log[Part Name],$A23,T_TTAFStock_Log[WeekIndex],45)=0,"",SUMIFS(T_TTAFStock_Log[TTAF_Qty],T_TTAFStock_Log[Part Name],$A23,T_TTAFStock_Log[WeekIndex],45))</f>
        <v/>
      </c>
      <c r="AU23" s="19">
        <f>IF(COUNTIFS(T_TTAFStock_Log[Part Name],$A23,T_TTAFStock_Log[WeekIndex],46)=0,"",SUMIFS(T_TTAFStock_Log[TTAF_Qty],T_TTAFStock_Log[Part Name],$A23,T_TTAFStock_Log[WeekIndex],46))</f>
        <v/>
      </c>
      <c r="AV23" s="19">
        <f>IF(COUNTIFS(T_TTAFStock_Log[Part Name],$A23,T_TTAFStock_Log[WeekIndex],47)=0,"",SUMIFS(T_TTAFStock_Log[TTAF_Qty],T_TTAFStock_Log[Part Name],$A23,T_TTAFStock_Log[WeekIndex],47))</f>
        <v/>
      </c>
      <c r="AW23" s="19">
        <f>IF(COUNTIFS(T_TTAFStock_Log[Part Name],$A23,T_TTAFStock_Log[WeekIndex],48)=0,"",SUMIFS(T_TTAFStock_Log[TTAF_Qty],T_TTAFStock_Log[Part Name],$A23,T_TTAFStock_Log[WeekIndex],48))</f>
        <v/>
      </c>
      <c r="AX23" s="19">
        <f>IF(COUNTIFS(T_TTAFStock_Log[Part Name],$A23,T_TTAFStock_Log[WeekIndex],49)=0,"",SUMIFS(T_TTAFStock_Log[TTAF_Qty],T_TTAFStock_Log[Part Name],$A23,T_TTAFStock_Log[WeekIndex],49))</f>
        <v/>
      </c>
      <c r="AY23" s="19">
        <f>IF(COUNTIFS(T_TTAFStock_Log[Part Name],$A23,T_TTAFStock_Log[WeekIndex],50)=0,"",SUMIFS(T_TTAFStock_Log[TTAF_Qty],T_TTAFStock_Log[Part Name],$A23,T_TTAFStock_Log[WeekIndex],50))</f>
        <v/>
      </c>
      <c r="AZ23" s="19">
        <f>IF(COUNTIFS(T_TTAFStock_Log[Part Name],$A23,T_TTAFStock_Log[WeekIndex],51)=0,"",SUMIFS(T_TTAFStock_Log[TTAF_Qty],T_TTAFStock_Log[Part Name],$A23,T_TTAFStock_Log[WeekIndex],51))</f>
        <v/>
      </c>
      <c r="BA23" s="19">
        <f>IF(COUNTIFS(T_TTAFStock_Log[Part Name],$A23,T_TTAFStock_Log[WeekIndex],52)=0,"",SUMIFS(T_TTAFStock_Log[TTAF_Qty],T_TTAFStock_Log[Part Name],$A23,T_TTAFStock_Log[WeekIndex],52))</f>
        <v/>
      </c>
      <c r="BB23" s="19">
        <f>IF(COUNTIFS(T_TTAFStock_Log[Part Name],$A23,T_TTAFStock_Log[WeekIndex],53)=0,"",SUMIFS(T_TTAFStock_Log[TTAF_Qty],T_TTAFStock_Log[Part Name],$A23,T_TTAFStock_Log[WeekIndex],53))</f>
        <v/>
      </c>
      <c r="BC23" s="19">
        <f>IF(COUNTIFS(T_TTAFStock_Log[Part Name],$A23,T_TTAFStock_Log[WeekIndex],54)=0,"",SUMIFS(T_TTAFStock_Log[TTAF_Qty],T_TTAFStock_Log[Part Name],$A23,T_TTAFStock_Log[WeekIndex],54))</f>
        <v/>
      </c>
      <c r="BD23" s="19">
        <f>IF(COUNTIFS(T_TTAFStock_Log[Part Name],$A23,T_TTAFStock_Log[WeekIndex],55)=0,"",SUMIFS(T_TTAFStock_Log[TTAF_Qty],T_TTAFStock_Log[Part Name],$A23,T_TTAFStock_Log[WeekIndex],55))</f>
        <v/>
      </c>
      <c r="BE23" s="19">
        <f>IF(COUNTIFS(T_TTAFStock_Log[Part Name],$A23,T_TTAFStock_Log[WeekIndex],56)=0,"",SUMIFS(T_TTAFStock_Log[TTAF_Qty],T_TTAFStock_Log[Part Name],$A23,T_TTAFStock_Log[WeekIndex],56))</f>
        <v/>
      </c>
      <c r="BF23" s="19">
        <f>IF(COUNTIFS(T_TTAFStock_Log[Part Name],$A23,T_TTAFStock_Log[WeekIndex],57)=0,"",SUMIFS(T_TTAFStock_Log[TTAF_Qty],T_TTAFStock_Log[Part Name],$A23,T_TTAFStock_Log[WeekIndex],57))</f>
        <v/>
      </c>
      <c r="BG23" s="19">
        <f>IF(COUNTIFS(T_TTAFStock_Log[Part Name],$A23,T_TTAFStock_Log[WeekIndex],58)=0,"",SUMIFS(T_TTAFStock_Log[TTAF_Qty],T_TTAFStock_Log[Part Name],$A23,T_TTAFStock_Log[WeekIndex],58))</f>
        <v/>
      </c>
      <c r="BH23" s="19">
        <f>IF(COUNTIFS(T_TTAFStock_Log[Part Name],$A23,T_TTAFStock_Log[WeekIndex],59)=0,"",SUMIFS(T_TTAFStock_Log[TTAF_Qty],T_TTAFStock_Log[Part Name],$A23,T_TTAFStock_Log[WeekIndex],59))</f>
        <v/>
      </c>
      <c r="BI23" s="19">
        <f>IF(COUNTIFS(T_TTAFStock_Log[Part Name],$A23,T_TTAFStock_Log[WeekIndex],60)=0,"",SUMIFS(T_TTAFStock_Log[TTAF_Qty],T_TTAFStock_Log[Part Name],$A23,T_TTAFStock_Log[WeekIndex],60))</f>
        <v/>
      </c>
      <c r="BJ23" s="19">
        <f>IF(COUNTIFS(T_TTAFStock_Log[Part Name],$A23,T_TTAFStock_Log[WeekIndex],61)=0,"",SUMIFS(T_TTAFStock_Log[TTAF_Qty],T_TTAFStock_Log[Part Name],$A23,T_TTAFStock_Log[WeekIndex],61))</f>
        <v/>
      </c>
      <c r="BK23" s="19">
        <f>IF(COUNTIFS(T_TTAFStock_Log[Part Name],$A23,T_TTAFStock_Log[WeekIndex],62)=0,"",SUMIFS(T_TTAFStock_Log[TTAF_Qty],T_TTAFStock_Log[Part Name],$A23,T_TTAFStock_Log[WeekIndex],62))</f>
        <v/>
      </c>
      <c r="BL23" s="19">
        <f>IF(COUNTIFS(T_TTAFStock_Log[Part Name],$A23,T_TTAFStock_Log[WeekIndex],63)=0,"",SUMIFS(T_TTAFStock_Log[TTAF_Qty],T_TTAFStock_Log[Part Name],$A23,T_TTAFStock_Log[WeekIndex],63))</f>
        <v/>
      </c>
      <c r="BM23" s="19">
        <f>IF(COUNTIFS(T_TTAFStock_Log[Part Name],$A23,T_TTAFStock_Log[WeekIndex],64)=0,"",SUMIFS(T_TTAFStock_Log[TTAF_Qty],T_TTAFStock_Log[Part Name],$A23,T_TTAFStock_Log[WeekIndex],64))</f>
        <v/>
      </c>
      <c r="BN23" s="19">
        <f>IF(COUNTIFS(T_TTAFStock_Log[Part Name],$A23,T_TTAFStock_Log[WeekIndex],65)=0,"",SUMIFS(T_TTAFStock_Log[TTAF_Qty],T_TTAFStock_Log[Part Name],$A23,T_TTAFStock_Log[WeekIndex],65))</f>
        <v/>
      </c>
      <c r="BO23" s="19">
        <f>IF(COUNTIFS(T_TTAFStock_Log[Part Name],$A23,T_TTAFStock_Log[WeekIndex],66)=0,"",SUMIFS(T_TTAFStock_Log[TTAF_Qty],T_TTAFStock_Log[Part Name],$A23,T_TTAFStock_Log[WeekIndex],66))</f>
        <v/>
      </c>
      <c r="BP23" s="19">
        <f>IF(COUNTIFS(T_TTAFStock_Log[Part Name],$A23,T_TTAFStock_Log[WeekIndex],67)=0,"",SUMIFS(T_TTAFStock_Log[TTAF_Qty],T_TTAFStock_Log[Part Name],$A23,T_TTAFStock_Log[WeekIndex],67))</f>
        <v/>
      </c>
      <c r="BQ23" s="19">
        <f>IF(COUNTIFS(T_TTAFStock_Log[Part Name],$A23,T_TTAFStock_Log[WeekIndex],68)=0,"",SUMIFS(T_TTAFStock_Log[TTAF_Qty],T_TTAFStock_Log[Part Name],$A23,T_TTAFStock_Log[WeekIndex],68))</f>
        <v/>
      </c>
      <c r="BR23" s="19">
        <f>IF(COUNTIFS(T_TTAFStock_Log[Part Name],$A23,T_TTAFStock_Log[WeekIndex],69)=0,"",SUMIFS(T_TTAFStock_Log[TTAF_Qty],T_TTAFStock_Log[Part Name],$A23,T_TTAFStock_Log[WeekIndex],69))</f>
        <v/>
      </c>
      <c r="BS23" s="19">
        <f>IF(COUNTIFS(T_TTAFStock_Log[Part Name],$A23,T_TTAFStock_Log[WeekIndex],70)=0,"",SUMIFS(T_TTAFStock_Log[TTAF_Qty],T_TTAFStock_Log[Part Name],$A23,T_TTAFStock_Log[WeekIndex],70))</f>
        <v/>
      </c>
      <c r="BT23" s="19">
        <f>IF(COUNTIFS(T_TTAFStock_Log[Part Name],$A23,T_TTAFStock_Log[WeekIndex],71)=0,"",SUMIFS(T_TTAFStock_Log[TTAF_Qty],T_TTAFStock_Log[Part Name],$A23,T_TTAFStock_Log[WeekIndex],71))</f>
        <v/>
      </c>
      <c r="BU23" s="19">
        <f>IF(COUNTIFS(T_TTAFStock_Log[Part Name],$A23,T_TTAFStock_Log[WeekIndex],72)=0,"",SUMIFS(T_TTAFStock_Log[TTAF_Qty],T_TTAFStock_Log[Part Name],$A23,T_TTAFStock_Log[WeekIndex],72))</f>
        <v/>
      </c>
      <c r="BV23" s="19">
        <f>IF(COUNTIFS(T_TTAFStock_Log[Part Name],$A23,T_TTAFStock_Log[WeekIndex],73)=0,"",SUMIFS(T_TTAFStock_Log[TTAF_Qty],T_TTAFStock_Log[Part Name],$A23,T_TTAFStock_Log[WeekIndex],73))</f>
        <v/>
      </c>
      <c r="BW23" s="19">
        <f>IF(COUNTIFS(T_TTAFStock_Log[Part Name],$A23,T_TTAFStock_Log[WeekIndex],74)=0,"",SUMIFS(T_TTAFStock_Log[TTAF_Qty],T_TTAFStock_Log[Part Name],$A23,T_TTAFStock_Log[WeekIndex],74))</f>
        <v/>
      </c>
      <c r="BX23" s="19">
        <f>IF(COUNTIFS(T_TTAFStock_Log[Part Name],$A23,T_TTAFStock_Log[WeekIndex],75)=0,"",SUMIFS(T_TTAFStock_Log[TTAF_Qty],T_TTAFStock_Log[Part Name],$A23,T_TTAFStock_Log[WeekIndex],75))</f>
        <v/>
      </c>
      <c r="BY23" s="19">
        <f>IF(COUNTIFS(T_TTAFStock_Log[Part Name],$A23,T_TTAFStock_Log[WeekIndex],76)=0,"",SUMIFS(T_TTAFStock_Log[TTAF_Qty],T_TTAFStock_Log[Part Name],$A23,T_TTAFStock_Log[WeekIndex],76))</f>
        <v/>
      </c>
      <c r="BZ23" s="19">
        <f>IF(COUNTIFS(T_TTAFStock_Log[Part Name],$A23,T_TTAFStock_Log[WeekIndex],77)=0,"",SUMIFS(T_TTAFStock_Log[TTAF_Qty],T_TTAFStock_Log[Part Name],$A23,T_TTAFStock_Log[WeekIndex],77))</f>
        <v/>
      </c>
      <c r="CA23" s="19">
        <f>IF(COUNTIFS(T_TTAFStock_Log[Part Name],$A23,T_TTAFStock_Log[WeekIndex],78)=0,"",SUMIFS(T_TTAFStock_Log[TTAF_Qty],T_TTAFStock_Log[Part Name],$A23,T_TTAFStock_Log[WeekIndex],78))</f>
        <v/>
      </c>
      <c r="CB23" s="19">
        <f>IF(COUNTIFS(T_TTAFStock_Log[Part Name],$A23,T_TTAFStock_Log[WeekIndex],79)=0,"",SUMIFS(T_TTAFStock_Log[TTAF_Qty],T_TTAFStock_Log[Part Name],$A23,T_TTAFStock_Log[WeekIndex],79))</f>
        <v/>
      </c>
      <c r="CC23" s="19">
        <f>IF(COUNTIFS(T_TTAFStock_Log[Part Name],$A23,T_TTAFStock_Log[WeekIndex],80)=0,"",SUMIFS(T_TTAFStock_Log[TTAF_Qty],T_TTAFStock_Log[Part Name],$A23,T_TTAFStock_Log[WeekIndex],80))</f>
        <v/>
      </c>
      <c r="CD23" s="19">
        <f>IF(COUNTIFS(T_TTAFStock_Log[Part Name],$A23,T_TTAFStock_Log[WeekIndex],81)=0,"",SUMIFS(T_TTAFStock_Log[TTAF_Qty],T_TTAFStock_Log[Part Name],$A23,T_TTAFStock_Log[WeekIndex],81))</f>
        <v/>
      </c>
      <c r="CE23" s="19">
        <f>IF(COUNTIFS(T_TTAFStock_Log[Part Name],$A23,T_TTAFStock_Log[WeekIndex],82)=0,"",SUMIFS(T_TTAFStock_Log[TTAF_Qty],T_TTAFStock_Log[Part Name],$A23,T_TTAFStock_Log[WeekIndex],82))</f>
        <v/>
      </c>
      <c r="CF23" s="19">
        <f>IF(COUNTIFS(T_TTAFStock_Log[Part Name],$A23,T_TTAFStock_Log[WeekIndex],83)=0,"",SUMIFS(T_TTAFStock_Log[TTAF_Qty],T_TTAFStock_Log[Part Name],$A23,T_TTAFStock_Log[WeekIndex],83))</f>
        <v/>
      </c>
      <c r="CG23" s="19">
        <f>IF(COUNTIFS(T_TTAFStock_Log[Part Name],$A23,T_TTAFStock_Log[WeekIndex],84)=0,"",SUMIFS(T_TTAFStock_Log[TTAF_Qty],T_TTAFStock_Log[Part Name],$A23,T_TTAFStock_Log[WeekIndex],84))</f>
        <v/>
      </c>
      <c r="CH23" s="19">
        <f>IF(COUNTIFS(T_TTAFStock_Log[Part Name],$A23,T_TTAFStock_Log[WeekIndex],85)=0,"",SUMIFS(T_TTAFStock_Log[TTAF_Qty],T_TTAFStock_Log[Part Name],$A23,T_TTAFStock_Log[WeekIndex],85))</f>
        <v/>
      </c>
      <c r="CI23" s="19">
        <f>IF(COUNTIFS(T_TTAFStock_Log[Part Name],$A23,T_TTAFStock_Log[WeekIndex],86)=0,"",SUMIFS(T_TTAFStock_Log[TTAF_Qty],T_TTAFStock_Log[Part Name],$A23,T_TTAFStock_Log[WeekIndex],86))</f>
        <v/>
      </c>
      <c r="CJ23" s="19">
        <f>IF(COUNTIFS(T_TTAFStock_Log[Part Name],$A23,T_TTAFStock_Log[WeekIndex],87)=0,"",SUMIFS(T_TTAFStock_Log[TTAF_Qty],T_TTAFStock_Log[Part Name],$A23,T_TTAFStock_Log[WeekIndex],87))</f>
        <v/>
      </c>
      <c r="CK23" s="19">
        <f>IF(COUNTIFS(T_TTAFStock_Log[Part Name],$A23,T_TTAFStock_Log[WeekIndex],88)=0,"",SUMIFS(T_TTAFStock_Log[TTAF_Qty],T_TTAFStock_Log[Part Name],$A23,T_TTAFStock_Log[WeekIndex],88))</f>
        <v/>
      </c>
      <c r="CL23" s="19">
        <f>IF(COUNTIFS(T_TTAFStock_Log[Part Name],$A23,T_TTAFStock_Log[WeekIndex],89)=0,"",SUMIFS(T_TTAFStock_Log[TTAF_Qty],T_TTAFStock_Log[Part Name],$A23,T_TTAFStock_Log[WeekIndex],89))</f>
        <v/>
      </c>
      <c r="CM23" s="19">
        <f>IF(COUNTIFS(T_TTAFStock_Log[Part Name],$A23,T_TTAFStock_Log[WeekIndex],90)=0,"",SUMIFS(T_TTAFStock_Log[TTAF_Qty],T_TTAFStock_Log[Part Name],$A23,T_TTAFStock_Log[WeekIndex],90))</f>
        <v/>
      </c>
      <c r="CN23" s="19">
        <f>IF(COUNTIFS(T_TTAFStock_Log[Part Name],$A23,T_TTAFStock_Log[WeekIndex],91)=0,"",SUMIFS(T_TTAFStock_Log[TTAF_Qty],T_TTAFStock_Log[Part Name],$A23,T_TTAFStock_Log[WeekIndex],91))</f>
        <v/>
      </c>
      <c r="CO23" s="19">
        <f>IF(COUNTIFS(T_TTAFStock_Log[Part Name],$A23,T_TTAFStock_Log[WeekIndex],92)=0,"",SUMIFS(T_TTAFStock_Log[TTAF_Qty],T_TTAFStock_Log[Part Name],$A23,T_TTAFStock_Log[WeekIndex],92))</f>
        <v/>
      </c>
      <c r="CP23" s="19">
        <f>IF(COUNTIFS(T_TTAFStock_Log[Part Name],$A23,T_TTAFStock_Log[WeekIndex],93)=0,"",SUMIFS(T_TTAFStock_Log[TTAF_Qty],T_TTAFStock_Log[Part Name],$A23,T_TTAFStock_Log[WeekIndex],93))</f>
        <v/>
      </c>
      <c r="CQ23" s="19">
        <f>IF(COUNTIFS(T_TTAFStock_Log[Part Name],$A23,T_TTAFStock_Log[WeekIndex],94)=0,"",SUMIFS(T_TTAFStock_Log[TTAF_Qty],T_TTAFStock_Log[Part Name],$A23,T_TTAFStock_Log[WeekIndex],94))</f>
        <v/>
      </c>
      <c r="CR23" s="19">
        <f>IF(COUNTIFS(T_TTAFStock_Log[Part Name],$A23,T_TTAFStock_Log[WeekIndex],95)=0,"",SUMIFS(T_TTAFStock_Log[TTAF_Qty],T_TTAFStock_Log[Part Name],$A23,T_TTAFStock_Log[WeekIndex],95))</f>
        <v/>
      </c>
      <c r="CS23" s="19">
        <f>IF(COUNTIFS(T_TTAFStock_Log[Part Name],$A23,T_TTAFStock_Log[WeekIndex],96)=0,"",SUMIFS(T_TTAFStock_Log[TTAF_Qty],T_TTAFStock_Log[Part Name],$A23,T_TTAFStock_Log[WeekIndex],96))</f>
        <v/>
      </c>
      <c r="CT23" s="19">
        <f>IF(COUNTIFS(T_TTAFStock_Log[Part Name],$A23,T_TTAFStock_Log[WeekIndex],97)=0,"",SUMIFS(T_TTAFStock_Log[TTAF_Qty],T_TTAFStock_Log[Part Name],$A23,T_TTAFStock_Log[WeekIndex],97))</f>
        <v/>
      </c>
      <c r="CU23" s="19">
        <f>IF(COUNTIFS(T_TTAFStock_Log[Part Name],$A23,T_TTAFStock_Log[WeekIndex],98)=0,"",SUMIFS(T_TTAFStock_Log[TTAF_Qty],T_TTAFStock_Log[Part Name],$A23,T_TTAFStock_Log[WeekIndex],98))</f>
        <v/>
      </c>
      <c r="CV23" s="19">
        <f>IF(COUNTIFS(T_TTAFStock_Log[Part Name],$A23,T_TTAFStock_Log[WeekIndex],99)=0,"",SUMIFS(T_TTAFStock_Log[TTAF_Qty],T_TTAFStock_Log[Part Name],$A23,T_TTAFStock_Log[WeekIndex],99))</f>
        <v/>
      </c>
      <c r="CW23" s="19">
        <f>IF(COUNTIFS(T_TTAFStock_Log[Part Name],$A23,T_TTAFStock_Log[WeekIndex],100)=0,"",SUMIFS(T_TTAFStock_Log[TTAF_Qty],T_TTAFStock_Log[Part Name],$A23,T_TTAFStock_Log[WeekIndex],100))</f>
        <v/>
      </c>
      <c r="CX23" s="19">
        <f>IF(COUNTIFS(T_TTAFStock_Log[Part Name],$A23,T_TTAFStock_Log[WeekIndex],101)=0,"",SUMIFS(T_TTAFStock_Log[TTAF_Qty],T_TTAFStock_Log[Part Name],$A23,T_TTAFStock_Log[WeekIndex],101))</f>
        <v/>
      </c>
      <c r="CY23" s="19">
        <f>IF(COUNTIFS(T_TTAFStock_Log[Part Name],$A23,T_TTAFStock_Log[WeekIndex],102)=0,"",SUMIFS(T_TTAFStock_Log[TTAF_Qty],T_TTAFStock_Log[Part Name],$A23,T_TTAFStock_Log[WeekIndex],102))</f>
        <v/>
      </c>
      <c r="CZ23" s="19">
        <f>IF(COUNTIFS(T_TTAFStock_Log[Part Name],$A23,T_TTAFStock_Log[WeekIndex],103)=0,"",SUMIFS(T_TTAFStock_Log[TTAF_Qty],T_TTAFStock_Log[Part Name],$A23,T_TTAFStock_Log[WeekIndex],103))</f>
        <v/>
      </c>
      <c r="DA23" s="19">
        <f>IF(COUNTIFS(T_TTAFStock_Log[Part Name],$A23,T_TTAFStock_Log[WeekIndex],104)=0,"",SUMIFS(T_TTAFStock_Log[TTAF_Qty],T_TTAFStock_Log[Part Name],$A23,T_TTAFStock_Log[WeekIndex],104))</f>
        <v/>
      </c>
    </row>
    <row r="24">
      <c r="A24" s="17" t="inlineStr">
        <is>
          <t>73K</t>
        </is>
      </c>
      <c r="B24" s="17">
        <f>IF(COUNTIFS(T_TTAFStock_Log[Part Name],$A24,T_TTAFStock_Log[WeekIndex],1)=0,"",SUMIFS(T_TTAFStock_Log[TTAF_Qty],T_TTAFStock_Log[Part Name],$A24,T_TTAFStock_Log[WeekIndex],1))</f>
        <v/>
      </c>
      <c r="C24" s="17">
        <f>IF(COUNTIFS(T_TTAFStock_Log[Part Name],$A24,T_TTAFStock_Log[WeekIndex],2)=0,"",SUMIFS(T_TTAFStock_Log[TTAF_Qty],T_TTAFStock_Log[Part Name],$A24,T_TTAFStock_Log[WeekIndex],2))</f>
        <v/>
      </c>
      <c r="D24" s="17">
        <f>IF(COUNTIFS(T_TTAFStock_Log[Part Name],$A24,T_TTAFStock_Log[WeekIndex],3)=0,"",SUMIFS(T_TTAFStock_Log[TTAF_Qty],T_TTAFStock_Log[Part Name],$A24,T_TTAFStock_Log[WeekIndex],3))</f>
        <v/>
      </c>
      <c r="E24" s="17">
        <f>IF(COUNTIFS(T_TTAFStock_Log[Part Name],$A24,T_TTAFStock_Log[WeekIndex],4)=0,"",SUMIFS(T_TTAFStock_Log[TTAF_Qty],T_TTAFStock_Log[Part Name],$A24,T_TTAFStock_Log[WeekIndex],4))</f>
        <v/>
      </c>
      <c r="F24" s="17">
        <f>IF(COUNTIFS(T_TTAFStock_Log[Part Name],$A24,T_TTAFStock_Log[WeekIndex],5)=0,"",SUMIFS(T_TTAFStock_Log[TTAF_Qty],T_TTAFStock_Log[Part Name],$A24,T_TTAFStock_Log[WeekIndex],5))</f>
        <v/>
      </c>
      <c r="G24" s="17">
        <f>IF(COUNTIFS(T_TTAFStock_Log[Part Name],$A24,T_TTAFStock_Log[WeekIndex],6)=0,"",SUMIFS(T_TTAFStock_Log[TTAF_Qty],T_TTAFStock_Log[Part Name],$A24,T_TTAFStock_Log[WeekIndex],6))</f>
        <v/>
      </c>
      <c r="H24" s="17">
        <f>IF(COUNTIFS(T_TTAFStock_Log[Part Name],$A24,T_TTAFStock_Log[WeekIndex],7)=0,"",SUMIFS(T_TTAFStock_Log[TTAF_Qty],T_TTAFStock_Log[Part Name],$A24,T_TTAFStock_Log[WeekIndex],7))</f>
        <v/>
      </c>
      <c r="I24" s="17">
        <f>IF(COUNTIFS(T_TTAFStock_Log[Part Name],$A24,T_TTAFStock_Log[WeekIndex],8)=0,"",SUMIFS(T_TTAFStock_Log[TTAF_Qty],T_TTAFStock_Log[Part Name],$A24,T_TTAFStock_Log[WeekIndex],8))</f>
        <v/>
      </c>
      <c r="J24" s="17">
        <f>IF(COUNTIFS(T_TTAFStock_Log[Part Name],$A24,T_TTAFStock_Log[WeekIndex],9)=0,"",SUMIFS(T_TTAFStock_Log[TTAF_Qty],T_TTAFStock_Log[Part Name],$A24,T_TTAFStock_Log[WeekIndex],9))</f>
        <v/>
      </c>
      <c r="K24" s="17">
        <f>IF(COUNTIFS(T_TTAFStock_Log[Part Name],$A24,T_TTAFStock_Log[WeekIndex],10)=0,"",SUMIFS(T_TTAFStock_Log[TTAF_Qty],T_TTAFStock_Log[Part Name],$A24,T_TTAFStock_Log[WeekIndex],10))</f>
        <v/>
      </c>
      <c r="L24" s="17">
        <f>IF(COUNTIFS(T_TTAFStock_Log[Part Name],$A24,T_TTAFStock_Log[WeekIndex],11)=0,"",SUMIFS(T_TTAFStock_Log[TTAF_Qty],T_TTAFStock_Log[Part Name],$A24,T_TTAFStock_Log[WeekIndex],11))</f>
        <v/>
      </c>
      <c r="M24" s="17">
        <f>IF(COUNTIFS(T_TTAFStock_Log[Part Name],$A24,T_TTAFStock_Log[WeekIndex],12)=0,"",SUMIFS(T_TTAFStock_Log[TTAF_Qty],T_TTAFStock_Log[Part Name],$A24,T_TTAFStock_Log[WeekIndex],12))</f>
        <v/>
      </c>
      <c r="N24" s="17">
        <f>IF(COUNTIFS(T_TTAFStock_Log[Part Name],$A24,T_TTAFStock_Log[WeekIndex],13)=0,"",SUMIFS(T_TTAFStock_Log[TTAF_Qty],T_TTAFStock_Log[Part Name],$A24,T_TTAFStock_Log[WeekIndex],13))</f>
        <v/>
      </c>
      <c r="O24" s="17">
        <f>IF(COUNTIFS(T_TTAFStock_Log[Part Name],$A24,T_TTAFStock_Log[WeekIndex],14)=0,"",SUMIFS(T_TTAFStock_Log[TTAF_Qty],T_TTAFStock_Log[Part Name],$A24,T_TTAFStock_Log[WeekIndex],14))</f>
        <v/>
      </c>
      <c r="P24" s="17">
        <f>IF(COUNTIFS(T_TTAFStock_Log[Part Name],$A24,T_TTAFStock_Log[WeekIndex],15)=0,"",SUMIFS(T_TTAFStock_Log[TTAF_Qty],T_TTAFStock_Log[Part Name],$A24,T_TTAFStock_Log[WeekIndex],15))</f>
        <v/>
      </c>
      <c r="Q24" s="17">
        <f>IF(COUNTIFS(T_TTAFStock_Log[Part Name],$A24,T_TTAFStock_Log[WeekIndex],16)=0,"",SUMIFS(T_TTAFStock_Log[TTAF_Qty],T_TTAFStock_Log[Part Name],$A24,T_TTAFStock_Log[WeekIndex],16))</f>
        <v/>
      </c>
      <c r="R24" s="17">
        <f>IF(COUNTIFS(T_TTAFStock_Log[Part Name],$A24,T_TTAFStock_Log[WeekIndex],17)=0,"",SUMIFS(T_TTAFStock_Log[TTAF_Qty],T_TTAFStock_Log[Part Name],$A24,T_TTAFStock_Log[WeekIndex],17))</f>
        <v/>
      </c>
      <c r="S24" s="17">
        <f>IF(COUNTIFS(T_TTAFStock_Log[Part Name],$A24,T_TTAFStock_Log[WeekIndex],18)=0,"",SUMIFS(T_TTAFStock_Log[TTAF_Qty],T_TTAFStock_Log[Part Name],$A24,T_TTAFStock_Log[WeekIndex],18))</f>
        <v/>
      </c>
      <c r="T24" s="17">
        <f>IF(COUNTIFS(T_TTAFStock_Log[Part Name],$A24,T_TTAFStock_Log[WeekIndex],19)=0,"",SUMIFS(T_TTAFStock_Log[TTAF_Qty],T_TTAFStock_Log[Part Name],$A24,T_TTAFStock_Log[WeekIndex],19))</f>
        <v/>
      </c>
      <c r="U24" s="17">
        <f>IF(COUNTIFS(T_TTAFStock_Log[Part Name],$A24,T_TTAFStock_Log[WeekIndex],20)=0,"",SUMIFS(T_TTAFStock_Log[TTAF_Qty],T_TTAFStock_Log[Part Name],$A24,T_TTAFStock_Log[WeekIndex],20))</f>
        <v/>
      </c>
      <c r="V24" s="17">
        <f>IF(COUNTIFS(T_TTAFStock_Log[Part Name],$A24,T_TTAFStock_Log[WeekIndex],21)=0,"",SUMIFS(T_TTAFStock_Log[TTAF_Qty],T_TTAFStock_Log[Part Name],$A24,T_TTAFStock_Log[WeekIndex],21))</f>
        <v/>
      </c>
      <c r="W24" s="17">
        <f>IF(COUNTIFS(T_TTAFStock_Log[Part Name],$A24,T_TTAFStock_Log[WeekIndex],22)=0,"",SUMIFS(T_TTAFStock_Log[TTAF_Qty],T_TTAFStock_Log[Part Name],$A24,T_TTAFStock_Log[WeekIndex],22))</f>
        <v/>
      </c>
      <c r="X24" s="17">
        <f>IF(COUNTIFS(T_TTAFStock_Log[Part Name],$A24,T_TTAFStock_Log[WeekIndex],23)=0,"",SUMIFS(T_TTAFStock_Log[TTAF_Qty],T_TTAFStock_Log[Part Name],$A24,T_TTAFStock_Log[WeekIndex],23))</f>
        <v/>
      </c>
      <c r="Y24" s="17">
        <f>IF(COUNTIFS(T_TTAFStock_Log[Part Name],$A24,T_TTAFStock_Log[WeekIndex],24)=0,"",SUMIFS(T_TTAFStock_Log[TTAF_Qty],T_TTAFStock_Log[Part Name],$A24,T_TTAFStock_Log[WeekIndex],24))</f>
        <v/>
      </c>
      <c r="Z24" s="17">
        <f>IF(COUNTIFS(T_TTAFStock_Log[Part Name],$A24,T_TTAFStock_Log[WeekIndex],25)=0,"",SUMIFS(T_TTAFStock_Log[TTAF_Qty],T_TTAFStock_Log[Part Name],$A24,T_TTAFStock_Log[WeekIndex],25))</f>
        <v/>
      </c>
      <c r="AA24" s="17">
        <f>IF(COUNTIFS(T_TTAFStock_Log[Part Name],$A24,T_TTAFStock_Log[WeekIndex],26)=0,"",SUMIFS(T_TTAFStock_Log[TTAF_Qty],T_TTAFStock_Log[Part Name],$A24,T_TTAFStock_Log[WeekIndex],26))</f>
        <v/>
      </c>
      <c r="AB24" s="17">
        <f>IF(COUNTIFS(T_TTAFStock_Log[Part Name],$A24,T_TTAFStock_Log[WeekIndex],27)=0,"",SUMIFS(T_TTAFStock_Log[TTAF_Qty],T_TTAFStock_Log[Part Name],$A24,T_TTAFStock_Log[WeekIndex],27))</f>
        <v/>
      </c>
      <c r="AC24" s="17">
        <f>IF(COUNTIFS(T_TTAFStock_Log[Part Name],$A24,T_TTAFStock_Log[WeekIndex],28)=0,"",SUMIFS(T_TTAFStock_Log[TTAF_Qty],T_TTAFStock_Log[Part Name],$A24,T_TTAFStock_Log[WeekIndex],28))</f>
        <v/>
      </c>
      <c r="AD24" s="17">
        <f>IF(COUNTIFS(T_TTAFStock_Log[Part Name],$A24,T_TTAFStock_Log[WeekIndex],29)=0,"",SUMIFS(T_TTAFStock_Log[TTAF_Qty],T_TTAFStock_Log[Part Name],$A24,T_TTAFStock_Log[WeekIndex],29))</f>
        <v/>
      </c>
      <c r="AE24" s="17">
        <f>IF(COUNTIFS(T_TTAFStock_Log[Part Name],$A24,T_TTAFStock_Log[WeekIndex],30)=0,"",SUMIFS(T_TTAFStock_Log[TTAF_Qty],T_TTAFStock_Log[Part Name],$A24,T_TTAFStock_Log[WeekIndex],30))</f>
        <v/>
      </c>
      <c r="AF24" s="17">
        <f>IF(COUNTIFS(T_TTAFStock_Log[Part Name],$A24,T_TTAFStock_Log[WeekIndex],31)=0,"",SUMIFS(T_TTAFStock_Log[TTAF_Qty],T_TTAFStock_Log[Part Name],$A24,T_TTAFStock_Log[WeekIndex],31))</f>
        <v/>
      </c>
      <c r="AG24" s="17">
        <f>IF(COUNTIFS(T_TTAFStock_Log[Part Name],$A24,T_TTAFStock_Log[WeekIndex],32)=0,"",SUMIFS(T_TTAFStock_Log[TTAF_Qty],T_TTAFStock_Log[Part Name],$A24,T_TTAFStock_Log[WeekIndex],32))</f>
        <v/>
      </c>
      <c r="AH24" s="17">
        <f>IF(COUNTIFS(T_TTAFStock_Log[Part Name],$A24,T_TTAFStock_Log[WeekIndex],33)=0,"",SUMIFS(T_TTAFStock_Log[TTAF_Qty],T_TTAFStock_Log[Part Name],$A24,T_TTAFStock_Log[WeekIndex],33))</f>
        <v/>
      </c>
      <c r="AI24" s="17">
        <f>IF(COUNTIFS(T_TTAFStock_Log[Part Name],$A24,T_TTAFStock_Log[WeekIndex],34)=0,"",SUMIFS(T_TTAFStock_Log[TTAF_Qty],T_TTAFStock_Log[Part Name],$A24,T_TTAFStock_Log[WeekIndex],34))</f>
        <v/>
      </c>
      <c r="AJ24" s="17">
        <f>IF(COUNTIFS(T_TTAFStock_Log[Part Name],$A24,T_TTAFStock_Log[WeekIndex],35)=0,"",SUMIFS(T_TTAFStock_Log[TTAF_Qty],T_TTAFStock_Log[Part Name],$A24,T_TTAFStock_Log[WeekIndex],35))</f>
        <v/>
      </c>
      <c r="AK24" s="17">
        <f>IF(COUNTIFS(T_TTAFStock_Log[Part Name],$A24,T_TTAFStock_Log[WeekIndex],36)=0,"",SUMIFS(T_TTAFStock_Log[TTAF_Qty],T_TTAFStock_Log[Part Name],$A24,T_TTAFStock_Log[WeekIndex],36))</f>
        <v/>
      </c>
      <c r="AL24" s="17">
        <f>IF(COUNTIFS(T_TTAFStock_Log[Part Name],$A24,T_TTAFStock_Log[WeekIndex],37)=0,"",SUMIFS(T_TTAFStock_Log[TTAF_Qty],T_TTAFStock_Log[Part Name],$A24,T_TTAFStock_Log[WeekIndex],37))</f>
        <v/>
      </c>
      <c r="AM24" s="17">
        <f>IF(COUNTIFS(T_TTAFStock_Log[Part Name],$A24,T_TTAFStock_Log[WeekIndex],38)=0,"",SUMIFS(T_TTAFStock_Log[TTAF_Qty],T_TTAFStock_Log[Part Name],$A24,T_TTAFStock_Log[WeekIndex],38))</f>
        <v/>
      </c>
      <c r="AN24" s="17">
        <f>IF(COUNTIFS(T_TTAFStock_Log[Part Name],$A24,T_TTAFStock_Log[WeekIndex],39)=0,"",SUMIFS(T_TTAFStock_Log[TTAF_Qty],T_TTAFStock_Log[Part Name],$A24,T_TTAFStock_Log[WeekIndex],39))</f>
        <v/>
      </c>
      <c r="AO24" s="17">
        <f>IF(COUNTIFS(T_TTAFStock_Log[Part Name],$A24,T_TTAFStock_Log[WeekIndex],40)=0,"",SUMIFS(T_TTAFStock_Log[TTAF_Qty],T_TTAFStock_Log[Part Name],$A24,T_TTAFStock_Log[WeekIndex],40))</f>
        <v/>
      </c>
      <c r="AP24" s="17">
        <f>IF(COUNTIFS(T_TTAFStock_Log[Part Name],$A24,T_TTAFStock_Log[WeekIndex],41)=0,"",SUMIFS(T_TTAFStock_Log[TTAF_Qty],T_TTAFStock_Log[Part Name],$A24,T_TTAFStock_Log[WeekIndex],41))</f>
        <v/>
      </c>
      <c r="AQ24" s="17">
        <f>IF(COUNTIFS(T_TTAFStock_Log[Part Name],$A24,T_TTAFStock_Log[WeekIndex],42)=0,"",SUMIFS(T_TTAFStock_Log[TTAF_Qty],T_TTAFStock_Log[Part Name],$A24,T_TTAFStock_Log[WeekIndex],42))</f>
        <v/>
      </c>
      <c r="AR24" s="17">
        <f>IF(COUNTIFS(T_TTAFStock_Log[Part Name],$A24,T_TTAFStock_Log[WeekIndex],43)=0,"",SUMIFS(T_TTAFStock_Log[TTAF_Qty],T_TTAFStock_Log[Part Name],$A24,T_TTAFStock_Log[WeekIndex],43))</f>
        <v/>
      </c>
      <c r="AS24" s="17">
        <f>IF(COUNTIFS(T_TTAFStock_Log[Part Name],$A24,T_TTAFStock_Log[WeekIndex],44)=0,"",SUMIFS(T_TTAFStock_Log[TTAF_Qty],T_TTAFStock_Log[Part Name],$A24,T_TTAFStock_Log[WeekIndex],44))</f>
        <v/>
      </c>
      <c r="AT24" s="17">
        <f>IF(COUNTIFS(T_TTAFStock_Log[Part Name],$A24,T_TTAFStock_Log[WeekIndex],45)=0,"",SUMIFS(T_TTAFStock_Log[TTAF_Qty],T_TTAFStock_Log[Part Name],$A24,T_TTAFStock_Log[WeekIndex],45))</f>
        <v/>
      </c>
      <c r="AU24" s="17">
        <f>IF(COUNTIFS(T_TTAFStock_Log[Part Name],$A24,T_TTAFStock_Log[WeekIndex],46)=0,"",SUMIFS(T_TTAFStock_Log[TTAF_Qty],T_TTAFStock_Log[Part Name],$A24,T_TTAFStock_Log[WeekIndex],46))</f>
        <v/>
      </c>
      <c r="AV24" s="17">
        <f>IF(COUNTIFS(T_TTAFStock_Log[Part Name],$A24,T_TTAFStock_Log[WeekIndex],47)=0,"",SUMIFS(T_TTAFStock_Log[TTAF_Qty],T_TTAFStock_Log[Part Name],$A24,T_TTAFStock_Log[WeekIndex],47))</f>
        <v/>
      </c>
      <c r="AW24" s="17">
        <f>IF(COUNTIFS(T_TTAFStock_Log[Part Name],$A24,T_TTAFStock_Log[WeekIndex],48)=0,"",SUMIFS(T_TTAFStock_Log[TTAF_Qty],T_TTAFStock_Log[Part Name],$A24,T_TTAFStock_Log[WeekIndex],48))</f>
        <v/>
      </c>
      <c r="AX24" s="17">
        <f>IF(COUNTIFS(T_TTAFStock_Log[Part Name],$A24,T_TTAFStock_Log[WeekIndex],49)=0,"",SUMIFS(T_TTAFStock_Log[TTAF_Qty],T_TTAFStock_Log[Part Name],$A24,T_TTAFStock_Log[WeekIndex],49))</f>
        <v/>
      </c>
      <c r="AY24" s="17">
        <f>IF(COUNTIFS(T_TTAFStock_Log[Part Name],$A24,T_TTAFStock_Log[WeekIndex],50)=0,"",SUMIFS(T_TTAFStock_Log[TTAF_Qty],T_TTAFStock_Log[Part Name],$A24,T_TTAFStock_Log[WeekIndex],50))</f>
        <v/>
      </c>
      <c r="AZ24" s="17">
        <f>IF(COUNTIFS(T_TTAFStock_Log[Part Name],$A24,T_TTAFStock_Log[WeekIndex],51)=0,"",SUMIFS(T_TTAFStock_Log[TTAF_Qty],T_TTAFStock_Log[Part Name],$A24,T_TTAFStock_Log[WeekIndex],51))</f>
        <v/>
      </c>
      <c r="BA24" s="17">
        <f>IF(COUNTIFS(T_TTAFStock_Log[Part Name],$A24,T_TTAFStock_Log[WeekIndex],52)=0,"",SUMIFS(T_TTAFStock_Log[TTAF_Qty],T_TTAFStock_Log[Part Name],$A24,T_TTAFStock_Log[WeekIndex],52))</f>
        <v/>
      </c>
      <c r="BB24" s="17">
        <f>IF(COUNTIFS(T_TTAFStock_Log[Part Name],$A24,T_TTAFStock_Log[WeekIndex],53)=0,"",SUMIFS(T_TTAFStock_Log[TTAF_Qty],T_TTAFStock_Log[Part Name],$A24,T_TTAFStock_Log[WeekIndex],53))</f>
        <v/>
      </c>
      <c r="BC24" s="17">
        <f>IF(COUNTIFS(T_TTAFStock_Log[Part Name],$A24,T_TTAFStock_Log[WeekIndex],54)=0,"",SUMIFS(T_TTAFStock_Log[TTAF_Qty],T_TTAFStock_Log[Part Name],$A24,T_TTAFStock_Log[WeekIndex],54))</f>
        <v/>
      </c>
      <c r="BD24" s="17">
        <f>IF(COUNTIFS(T_TTAFStock_Log[Part Name],$A24,T_TTAFStock_Log[WeekIndex],55)=0,"",SUMIFS(T_TTAFStock_Log[TTAF_Qty],T_TTAFStock_Log[Part Name],$A24,T_TTAFStock_Log[WeekIndex],55))</f>
        <v/>
      </c>
      <c r="BE24" s="17">
        <f>IF(COUNTIFS(T_TTAFStock_Log[Part Name],$A24,T_TTAFStock_Log[WeekIndex],56)=0,"",SUMIFS(T_TTAFStock_Log[TTAF_Qty],T_TTAFStock_Log[Part Name],$A24,T_TTAFStock_Log[WeekIndex],56))</f>
        <v/>
      </c>
      <c r="BF24" s="17">
        <f>IF(COUNTIFS(T_TTAFStock_Log[Part Name],$A24,T_TTAFStock_Log[WeekIndex],57)=0,"",SUMIFS(T_TTAFStock_Log[TTAF_Qty],T_TTAFStock_Log[Part Name],$A24,T_TTAFStock_Log[WeekIndex],57))</f>
        <v/>
      </c>
      <c r="BG24" s="17">
        <f>IF(COUNTIFS(T_TTAFStock_Log[Part Name],$A24,T_TTAFStock_Log[WeekIndex],58)=0,"",SUMIFS(T_TTAFStock_Log[TTAF_Qty],T_TTAFStock_Log[Part Name],$A24,T_TTAFStock_Log[WeekIndex],58))</f>
        <v/>
      </c>
      <c r="BH24" s="17">
        <f>IF(COUNTIFS(T_TTAFStock_Log[Part Name],$A24,T_TTAFStock_Log[WeekIndex],59)=0,"",SUMIFS(T_TTAFStock_Log[TTAF_Qty],T_TTAFStock_Log[Part Name],$A24,T_TTAFStock_Log[WeekIndex],59))</f>
        <v/>
      </c>
      <c r="BI24" s="17">
        <f>IF(COUNTIFS(T_TTAFStock_Log[Part Name],$A24,T_TTAFStock_Log[WeekIndex],60)=0,"",SUMIFS(T_TTAFStock_Log[TTAF_Qty],T_TTAFStock_Log[Part Name],$A24,T_TTAFStock_Log[WeekIndex],60))</f>
        <v/>
      </c>
      <c r="BJ24" s="17">
        <f>IF(COUNTIFS(T_TTAFStock_Log[Part Name],$A24,T_TTAFStock_Log[WeekIndex],61)=0,"",SUMIFS(T_TTAFStock_Log[TTAF_Qty],T_TTAFStock_Log[Part Name],$A24,T_TTAFStock_Log[WeekIndex],61))</f>
        <v/>
      </c>
      <c r="BK24" s="17">
        <f>IF(COUNTIFS(T_TTAFStock_Log[Part Name],$A24,T_TTAFStock_Log[WeekIndex],62)=0,"",SUMIFS(T_TTAFStock_Log[TTAF_Qty],T_TTAFStock_Log[Part Name],$A24,T_TTAFStock_Log[WeekIndex],62))</f>
        <v/>
      </c>
      <c r="BL24" s="17">
        <f>IF(COUNTIFS(T_TTAFStock_Log[Part Name],$A24,T_TTAFStock_Log[WeekIndex],63)=0,"",SUMIFS(T_TTAFStock_Log[TTAF_Qty],T_TTAFStock_Log[Part Name],$A24,T_TTAFStock_Log[WeekIndex],63))</f>
        <v/>
      </c>
      <c r="BM24" s="17">
        <f>IF(COUNTIFS(T_TTAFStock_Log[Part Name],$A24,T_TTAFStock_Log[WeekIndex],64)=0,"",SUMIFS(T_TTAFStock_Log[TTAF_Qty],T_TTAFStock_Log[Part Name],$A24,T_TTAFStock_Log[WeekIndex],64))</f>
        <v/>
      </c>
      <c r="BN24" s="17">
        <f>IF(COUNTIFS(T_TTAFStock_Log[Part Name],$A24,T_TTAFStock_Log[WeekIndex],65)=0,"",SUMIFS(T_TTAFStock_Log[TTAF_Qty],T_TTAFStock_Log[Part Name],$A24,T_TTAFStock_Log[WeekIndex],65))</f>
        <v/>
      </c>
      <c r="BO24" s="17">
        <f>IF(COUNTIFS(T_TTAFStock_Log[Part Name],$A24,T_TTAFStock_Log[WeekIndex],66)=0,"",SUMIFS(T_TTAFStock_Log[TTAF_Qty],T_TTAFStock_Log[Part Name],$A24,T_TTAFStock_Log[WeekIndex],66))</f>
        <v/>
      </c>
      <c r="BP24" s="17">
        <f>IF(COUNTIFS(T_TTAFStock_Log[Part Name],$A24,T_TTAFStock_Log[WeekIndex],67)=0,"",SUMIFS(T_TTAFStock_Log[TTAF_Qty],T_TTAFStock_Log[Part Name],$A24,T_TTAFStock_Log[WeekIndex],67))</f>
        <v/>
      </c>
      <c r="BQ24" s="17">
        <f>IF(COUNTIFS(T_TTAFStock_Log[Part Name],$A24,T_TTAFStock_Log[WeekIndex],68)=0,"",SUMIFS(T_TTAFStock_Log[TTAF_Qty],T_TTAFStock_Log[Part Name],$A24,T_TTAFStock_Log[WeekIndex],68))</f>
        <v/>
      </c>
      <c r="BR24" s="17">
        <f>IF(COUNTIFS(T_TTAFStock_Log[Part Name],$A24,T_TTAFStock_Log[WeekIndex],69)=0,"",SUMIFS(T_TTAFStock_Log[TTAF_Qty],T_TTAFStock_Log[Part Name],$A24,T_TTAFStock_Log[WeekIndex],69))</f>
        <v/>
      </c>
      <c r="BS24" s="17">
        <f>IF(COUNTIFS(T_TTAFStock_Log[Part Name],$A24,T_TTAFStock_Log[WeekIndex],70)=0,"",SUMIFS(T_TTAFStock_Log[TTAF_Qty],T_TTAFStock_Log[Part Name],$A24,T_TTAFStock_Log[WeekIndex],70))</f>
        <v/>
      </c>
      <c r="BT24" s="17">
        <f>IF(COUNTIFS(T_TTAFStock_Log[Part Name],$A24,T_TTAFStock_Log[WeekIndex],71)=0,"",SUMIFS(T_TTAFStock_Log[TTAF_Qty],T_TTAFStock_Log[Part Name],$A24,T_TTAFStock_Log[WeekIndex],71))</f>
        <v/>
      </c>
      <c r="BU24" s="17">
        <f>IF(COUNTIFS(T_TTAFStock_Log[Part Name],$A24,T_TTAFStock_Log[WeekIndex],72)=0,"",SUMIFS(T_TTAFStock_Log[TTAF_Qty],T_TTAFStock_Log[Part Name],$A24,T_TTAFStock_Log[WeekIndex],72))</f>
        <v/>
      </c>
      <c r="BV24" s="17">
        <f>IF(COUNTIFS(T_TTAFStock_Log[Part Name],$A24,T_TTAFStock_Log[WeekIndex],73)=0,"",SUMIFS(T_TTAFStock_Log[TTAF_Qty],T_TTAFStock_Log[Part Name],$A24,T_TTAFStock_Log[WeekIndex],73))</f>
        <v/>
      </c>
      <c r="BW24" s="17">
        <f>IF(COUNTIFS(T_TTAFStock_Log[Part Name],$A24,T_TTAFStock_Log[WeekIndex],74)=0,"",SUMIFS(T_TTAFStock_Log[TTAF_Qty],T_TTAFStock_Log[Part Name],$A24,T_TTAFStock_Log[WeekIndex],74))</f>
        <v/>
      </c>
      <c r="BX24" s="17">
        <f>IF(COUNTIFS(T_TTAFStock_Log[Part Name],$A24,T_TTAFStock_Log[WeekIndex],75)=0,"",SUMIFS(T_TTAFStock_Log[TTAF_Qty],T_TTAFStock_Log[Part Name],$A24,T_TTAFStock_Log[WeekIndex],75))</f>
        <v/>
      </c>
      <c r="BY24" s="17">
        <f>IF(COUNTIFS(T_TTAFStock_Log[Part Name],$A24,T_TTAFStock_Log[WeekIndex],76)=0,"",SUMIFS(T_TTAFStock_Log[TTAF_Qty],T_TTAFStock_Log[Part Name],$A24,T_TTAFStock_Log[WeekIndex],76))</f>
        <v/>
      </c>
      <c r="BZ24" s="17">
        <f>IF(COUNTIFS(T_TTAFStock_Log[Part Name],$A24,T_TTAFStock_Log[WeekIndex],77)=0,"",SUMIFS(T_TTAFStock_Log[TTAF_Qty],T_TTAFStock_Log[Part Name],$A24,T_TTAFStock_Log[WeekIndex],77))</f>
        <v/>
      </c>
      <c r="CA24" s="17">
        <f>IF(COUNTIFS(T_TTAFStock_Log[Part Name],$A24,T_TTAFStock_Log[WeekIndex],78)=0,"",SUMIFS(T_TTAFStock_Log[TTAF_Qty],T_TTAFStock_Log[Part Name],$A24,T_TTAFStock_Log[WeekIndex],78))</f>
        <v/>
      </c>
      <c r="CB24" s="17">
        <f>IF(COUNTIFS(T_TTAFStock_Log[Part Name],$A24,T_TTAFStock_Log[WeekIndex],79)=0,"",SUMIFS(T_TTAFStock_Log[TTAF_Qty],T_TTAFStock_Log[Part Name],$A24,T_TTAFStock_Log[WeekIndex],79))</f>
        <v/>
      </c>
      <c r="CC24" s="17">
        <f>IF(COUNTIFS(T_TTAFStock_Log[Part Name],$A24,T_TTAFStock_Log[WeekIndex],80)=0,"",SUMIFS(T_TTAFStock_Log[TTAF_Qty],T_TTAFStock_Log[Part Name],$A24,T_TTAFStock_Log[WeekIndex],80))</f>
        <v/>
      </c>
      <c r="CD24" s="17">
        <f>IF(COUNTIFS(T_TTAFStock_Log[Part Name],$A24,T_TTAFStock_Log[WeekIndex],81)=0,"",SUMIFS(T_TTAFStock_Log[TTAF_Qty],T_TTAFStock_Log[Part Name],$A24,T_TTAFStock_Log[WeekIndex],81))</f>
        <v/>
      </c>
      <c r="CE24" s="17">
        <f>IF(COUNTIFS(T_TTAFStock_Log[Part Name],$A24,T_TTAFStock_Log[WeekIndex],82)=0,"",SUMIFS(T_TTAFStock_Log[TTAF_Qty],T_TTAFStock_Log[Part Name],$A24,T_TTAFStock_Log[WeekIndex],82))</f>
        <v/>
      </c>
      <c r="CF24" s="17">
        <f>IF(COUNTIFS(T_TTAFStock_Log[Part Name],$A24,T_TTAFStock_Log[WeekIndex],83)=0,"",SUMIFS(T_TTAFStock_Log[TTAF_Qty],T_TTAFStock_Log[Part Name],$A24,T_TTAFStock_Log[WeekIndex],83))</f>
        <v/>
      </c>
      <c r="CG24" s="17">
        <f>IF(COUNTIFS(T_TTAFStock_Log[Part Name],$A24,T_TTAFStock_Log[WeekIndex],84)=0,"",SUMIFS(T_TTAFStock_Log[TTAF_Qty],T_TTAFStock_Log[Part Name],$A24,T_TTAFStock_Log[WeekIndex],84))</f>
        <v/>
      </c>
      <c r="CH24" s="17">
        <f>IF(COUNTIFS(T_TTAFStock_Log[Part Name],$A24,T_TTAFStock_Log[WeekIndex],85)=0,"",SUMIFS(T_TTAFStock_Log[TTAF_Qty],T_TTAFStock_Log[Part Name],$A24,T_TTAFStock_Log[WeekIndex],85))</f>
        <v/>
      </c>
      <c r="CI24" s="17">
        <f>IF(COUNTIFS(T_TTAFStock_Log[Part Name],$A24,T_TTAFStock_Log[WeekIndex],86)=0,"",SUMIFS(T_TTAFStock_Log[TTAF_Qty],T_TTAFStock_Log[Part Name],$A24,T_TTAFStock_Log[WeekIndex],86))</f>
        <v/>
      </c>
      <c r="CJ24" s="17">
        <f>IF(COUNTIFS(T_TTAFStock_Log[Part Name],$A24,T_TTAFStock_Log[WeekIndex],87)=0,"",SUMIFS(T_TTAFStock_Log[TTAF_Qty],T_TTAFStock_Log[Part Name],$A24,T_TTAFStock_Log[WeekIndex],87))</f>
        <v/>
      </c>
      <c r="CK24" s="17">
        <f>IF(COUNTIFS(T_TTAFStock_Log[Part Name],$A24,T_TTAFStock_Log[WeekIndex],88)=0,"",SUMIFS(T_TTAFStock_Log[TTAF_Qty],T_TTAFStock_Log[Part Name],$A24,T_TTAFStock_Log[WeekIndex],88))</f>
        <v/>
      </c>
      <c r="CL24" s="17">
        <f>IF(COUNTIFS(T_TTAFStock_Log[Part Name],$A24,T_TTAFStock_Log[WeekIndex],89)=0,"",SUMIFS(T_TTAFStock_Log[TTAF_Qty],T_TTAFStock_Log[Part Name],$A24,T_TTAFStock_Log[WeekIndex],89))</f>
        <v/>
      </c>
      <c r="CM24" s="17">
        <f>IF(COUNTIFS(T_TTAFStock_Log[Part Name],$A24,T_TTAFStock_Log[WeekIndex],90)=0,"",SUMIFS(T_TTAFStock_Log[TTAF_Qty],T_TTAFStock_Log[Part Name],$A24,T_TTAFStock_Log[WeekIndex],90))</f>
        <v/>
      </c>
      <c r="CN24" s="17">
        <f>IF(COUNTIFS(T_TTAFStock_Log[Part Name],$A24,T_TTAFStock_Log[WeekIndex],91)=0,"",SUMIFS(T_TTAFStock_Log[TTAF_Qty],T_TTAFStock_Log[Part Name],$A24,T_TTAFStock_Log[WeekIndex],91))</f>
        <v/>
      </c>
      <c r="CO24" s="17">
        <f>IF(COUNTIFS(T_TTAFStock_Log[Part Name],$A24,T_TTAFStock_Log[WeekIndex],92)=0,"",SUMIFS(T_TTAFStock_Log[TTAF_Qty],T_TTAFStock_Log[Part Name],$A24,T_TTAFStock_Log[WeekIndex],92))</f>
        <v/>
      </c>
      <c r="CP24" s="17">
        <f>IF(COUNTIFS(T_TTAFStock_Log[Part Name],$A24,T_TTAFStock_Log[WeekIndex],93)=0,"",SUMIFS(T_TTAFStock_Log[TTAF_Qty],T_TTAFStock_Log[Part Name],$A24,T_TTAFStock_Log[WeekIndex],93))</f>
        <v/>
      </c>
      <c r="CQ24" s="17">
        <f>IF(COUNTIFS(T_TTAFStock_Log[Part Name],$A24,T_TTAFStock_Log[WeekIndex],94)=0,"",SUMIFS(T_TTAFStock_Log[TTAF_Qty],T_TTAFStock_Log[Part Name],$A24,T_TTAFStock_Log[WeekIndex],94))</f>
        <v/>
      </c>
      <c r="CR24" s="17">
        <f>IF(COUNTIFS(T_TTAFStock_Log[Part Name],$A24,T_TTAFStock_Log[WeekIndex],95)=0,"",SUMIFS(T_TTAFStock_Log[TTAF_Qty],T_TTAFStock_Log[Part Name],$A24,T_TTAFStock_Log[WeekIndex],95))</f>
        <v/>
      </c>
      <c r="CS24" s="17">
        <f>IF(COUNTIFS(T_TTAFStock_Log[Part Name],$A24,T_TTAFStock_Log[WeekIndex],96)=0,"",SUMIFS(T_TTAFStock_Log[TTAF_Qty],T_TTAFStock_Log[Part Name],$A24,T_TTAFStock_Log[WeekIndex],96))</f>
        <v/>
      </c>
      <c r="CT24" s="17">
        <f>IF(COUNTIFS(T_TTAFStock_Log[Part Name],$A24,T_TTAFStock_Log[WeekIndex],97)=0,"",SUMIFS(T_TTAFStock_Log[TTAF_Qty],T_TTAFStock_Log[Part Name],$A24,T_TTAFStock_Log[WeekIndex],97))</f>
        <v/>
      </c>
      <c r="CU24" s="17">
        <f>IF(COUNTIFS(T_TTAFStock_Log[Part Name],$A24,T_TTAFStock_Log[WeekIndex],98)=0,"",SUMIFS(T_TTAFStock_Log[TTAF_Qty],T_TTAFStock_Log[Part Name],$A24,T_TTAFStock_Log[WeekIndex],98))</f>
        <v/>
      </c>
      <c r="CV24" s="17">
        <f>IF(COUNTIFS(T_TTAFStock_Log[Part Name],$A24,T_TTAFStock_Log[WeekIndex],99)=0,"",SUMIFS(T_TTAFStock_Log[TTAF_Qty],T_TTAFStock_Log[Part Name],$A24,T_TTAFStock_Log[WeekIndex],99))</f>
        <v/>
      </c>
      <c r="CW24" s="17">
        <f>IF(COUNTIFS(T_TTAFStock_Log[Part Name],$A24,T_TTAFStock_Log[WeekIndex],100)=0,"",SUMIFS(T_TTAFStock_Log[TTAF_Qty],T_TTAFStock_Log[Part Name],$A24,T_TTAFStock_Log[WeekIndex],100))</f>
        <v/>
      </c>
      <c r="CX24" s="17">
        <f>IF(COUNTIFS(T_TTAFStock_Log[Part Name],$A24,T_TTAFStock_Log[WeekIndex],101)=0,"",SUMIFS(T_TTAFStock_Log[TTAF_Qty],T_TTAFStock_Log[Part Name],$A24,T_TTAFStock_Log[WeekIndex],101))</f>
        <v/>
      </c>
      <c r="CY24" s="17">
        <f>IF(COUNTIFS(T_TTAFStock_Log[Part Name],$A24,T_TTAFStock_Log[WeekIndex],102)=0,"",SUMIFS(T_TTAFStock_Log[TTAF_Qty],T_TTAFStock_Log[Part Name],$A24,T_TTAFStock_Log[WeekIndex],102))</f>
        <v/>
      </c>
      <c r="CZ24" s="17">
        <f>IF(COUNTIFS(T_TTAFStock_Log[Part Name],$A24,T_TTAFStock_Log[WeekIndex],103)=0,"",SUMIFS(T_TTAFStock_Log[TTAF_Qty],T_TTAFStock_Log[Part Name],$A24,T_TTAFStock_Log[WeekIndex],103))</f>
        <v/>
      </c>
      <c r="DA24" s="17">
        <f>IF(COUNTIFS(T_TTAFStock_Log[Part Name],$A24,T_TTAFStock_Log[WeekIndex],104)=0,"",SUMIFS(T_TTAFStock_Log[TTAF_Qty],T_TTAFStock_Log[Part Name],$A24,T_TTAFStock_Log[WeekIndex],104))</f>
        <v/>
      </c>
    </row>
    <row r="25">
      <c r="A25" s="19" t="inlineStr">
        <is>
          <t>1JN</t>
        </is>
      </c>
      <c r="B25" s="19">
        <f>IF(COUNTIFS(T_TTAFStock_Log[Part Name],$A25,T_TTAFStock_Log[WeekIndex],1)=0,"",SUMIFS(T_TTAFStock_Log[TTAF_Qty],T_TTAFStock_Log[Part Name],$A25,T_TTAFStock_Log[WeekIndex],1))</f>
        <v/>
      </c>
      <c r="C25" s="19">
        <f>IF(COUNTIFS(T_TTAFStock_Log[Part Name],$A25,T_TTAFStock_Log[WeekIndex],2)=0,"",SUMIFS(T_TTAFStock_Log[TTAF_Qty],T_TTAFStock_Log[Part Name],$A25,T_TTAFStock_Log[WeekIndex],2))</f>
        <v/>
      </c>
      <c r="D25" s="19">
        <f>IF(COUNTIFS(T_TTAFStock_Log[Part Name],$A25,T_TTAFStock_Log[WeekIndex],3)=0,"",SUMIFS(T_TTAFStock_Log[TTAF_Qty],T_TTAFStock_Log[Part Name],$A25,T_TTAFStock_Log[WeekIndex],3))</f>
        <v/>
      </c>
      <c r="E25" s="19">
        <f>IF(COUNTIFS(T_TTAFStock_Log[Part Name],$A25,T_TTAFStock_Log[WeekIndex],4)=0,"",SUMIFS(T_TTAFStock_Log[TTAF_Qty],T_TTAFStock_Log[Part Name],$A25,T_TTAFStock_Log[WeekIndex],4))</f>
        <v/>
      </c>
      <c r="F25" s="19">
        <f>IF(COUNTIFS(T_TTAFStock_Log[Part Name],$A25,T_TTAFStock_Log[WeekIndex],5)=0,"",SUMIFS(T_TTAFStock_Log[TTAF_Qty],T_TTAFStock_Log[Part Name],$A25,T_TTAFStock_Log[WeekIndex],5))</f>
        <v/>
      </c>
      <c r="G25" s="19">
        <f>IF(COUNTIFS(T_TTAFStock_Log[Part Name],$A25,T_TTAFStock_Log[WeekIndex],6)=0,"",SUMIFS(T_TTAFStock_Log[TTAF_Qty],T_TTAFStock_Log[Part Name],$A25,T_TTAFStock_Log[WeekIndex],6))</f>
        <v/>
      </c>
      <c r="H25" s="19">
        <f>IF(COUNTIFS(T_TTAFStock_Log[Part Name],$A25,T_TTAFStock_Log[WeekIndex],7)=0,"",SUMIFS(T_TTAFStock_Log[TTAF_Qty],T_TTAFStock_Log[Part Name],$A25,T_TTAFStock_Log[WeekIndex],7))</f>
        <v/>
      </c>
      <c r="I25" s="19">
        <f>IF(COUNTIFS(T_TTAFStock_Log[Part Name],$A25,T_TTAFStock_Log[WeekIndex],8)=0,"",SUMIFS(T_TTAFStock_Log[TTAF_Qty],T_TTAFStock_Log[Part Name],$A25,T_TTAFStock_Log[WeekIndex],8))</f>
        <v/>
      </c>
      <c r="J25" s="19">
        <f>IF(COUNTIFS(T_TTAFStock_Log[Part Name],$A25,T_TTAFStock_Log[WeekIndex],9)=0,"",SUMIFS(T_TTAFStock_Log[TTAF_Qty],T_TTAFStock_Log[Part Name],$A25,T_TTAFStock_Log[WeekIndex],9))</f>
        <v/>
      </c>
      <c r="K25" s="19">
        <f>IF(COUNTIFS(T_TTAFStock_Log[Part Name],$A25,T_TTAFStock_Log[WeekIndex],10)=0,"",SUMIFS(T_TTAFStock_Log[TTAF_Qty],T_TTAFStock_Log[Part Name],$A25,T_TTAFStock_Log[WeekIndex],10))</f>
        <v/>
      </c>
      <c r="L25" s="19">
        <f>IF(COUNTIFS(T_TTAFStock_Log[Part Name],$A25,T_TTAFStock_Log[WeekIndex],11)=0,"",SUMIFS(T_TTAFStock_Log[TTAF_Qty],T_TTAFStock_Log[Part Name],$A25,T_TTAFStock_Log[WeekIndex],11))</f>
        <v/>
      </c>
      <c r="M25" s="19">
        <f>IF(COUNTIFS(T_TTAFStock_Log[Part Name],$A25,T_TTAFStock_Log[WeekIndex],12)=0,"",SUMIFS(T_TTAFStock_Log[TTAF_Qty],T_TTAFStock_Log[Part Name],$A25,T_TTAFStock_Log[WeekIndex],12))</f>
        <v/>
      </c>
      <c r="N25" s="19">
        <f>IF(COUNTIFS(T_TTAFStock_Log[Part Name],$A25,T_TTAFStock_Log[WeekIndex],13)=0,"",SUMIFS(T_TTAFStock_Log[TTAF_Qty],T_TTAFStock_Log[Part Name],$A25,T_TTAFStock_Log[WeekIndex],13))</f>
        <v/>
      </c>
      <c r="O25" s="19">
        <f>IF(COUNTIFS(T_TTAFStock_Log[Part Name],$A25,T_TTAFStock_Log[WeekIndex],14)=0,"",SUMIFS(T_TTAFStock_Log[TTAF_Qty],T_TTAFStock_Log[Part Name],$A25,T_TTAFStock_Log[WeekIndex],14))</f>
        <v/>
      </c>
      <c r="P25" s="19">
        <f>IF(COUNTIFS(T_TTAFStock_Log[Part Name],$A25,T_TTAFStock_Log[WeekIndex],15)=0,"",SUMIFS(T_TTAFStock_Log[TTAF_Qty],T_TTAFStock_Log[Part Name],$A25,T_TTAFStock_Log[WeekIndex],15))</f>
        <v/>
      </c>
      <c r="Q25" s="19">
        <f>IF(COUNTIFS(T_TTAFStock_Log[Part Name],$A25,T_TTAFStock_Log[WeekIndex],16)=0,"",SUMIFS(T_TTAFStock_Log[TTAF_Qty],T_TTAFStock_Log[Part Name],$A25,T_TTAFStock_Log[WeekIndex],16))</f>
        <v/>
      </c>
      <c r="R25" s="19">
        <f>IF(COUNTIFS(T_TTAFStock_Log[Part Name],$A25,T_TTAFStock_Log[WeekIndex],17)=0,"",SUMIFS(T_TTAFStock_Log[TTAF_Qty],T_TTAFStock_Log[Part Name],$A25,T_TTAFStock_Log[WeekIndex],17))</f>
        <v/>
      </c>
      <c r="S25" s="19">
        <f>IF(COUNTIFS(T_TTAFStock_Log[Part Name],$A25,T_TTAFStock_Log[WeekIndex],18)=0,"",SUMIFS(T_TTAFStock_Log[TTAF_Qty],T_TTAFStock_Log[Part Name],$A25,T_TTAFStock_Log[WeekIndex],18))</f>
        <v/>
      </c>
      <c r="T25" s="19">
        <f>IF(COUNTIFS(T_TTAFStock_Log[Part Name],$A25,T_TTAFStock_Log[WeekIndex],19)=0,"",SUMIFS(T_TTAFStock_Log[TTAF_Qty],T_TTAFStock_Log[Part Name],$A25,T_TTAFStock_Log[WeekIndex],19))</f>
        <v/>
      </c>
      <c r="U25" s="19">
        <f>IF(COUNTIFS(T_TTAFStock_Log[Part Name],$A25,T_TTAFStock_Log[WeekIndex],20)=0,"",SUMIFS(T_TTAFStock_Log[TTAF_Qty],T_TTAFStock_Log[Part Name],$A25,T_TTAFStock_Log[WeekIndex],20))</f>
        <v/>
      </c>
      <c r="V25" s="19">
        <f>IF(COUNTIFS(T_TTAFStock_Log[Part Name],$A25,T_TTAFStock_Log[WeekIndex],21)=0,"",SUMIFS(T_TTAFStock_Log[TTAF_Qty],T_TTAFStock_Log[Part Name],$A25,T_TTAFStock_Log[WeekIndex],21))</f>
        <v/>
      </c>
      <c r="W25" s="19">
        <f>IF(COUNTIFS(T_TTAFStock_Log[Part Name],$A25,T_TTAFStock_Log[WeekIndex],22)=0,"",SUMIFS(T_TTAFStock_Log[TTAF_Qty],T_TTAFStock_Log[Part Name],$A25,T_TTAFStock_Log[WeekIndex],22))</f>
        <v/>
      </c>
      <c r="X25" s="19">
        <f>IF(COUNTIFS(T_TTAFStock_Log[Part Name],$A25,T_TTAFStock_Log[WeekIndex],23)=0,"",SUMIFS(T_TTAFStock_Log[TTAF_Qty],T_TTAFStock_Log[Part Name],$A25,T_TTAFStock_Log[WeekIndex],23))</f>
        <v/>
      </c>
      <c r="Y25" s="19">
        <f>IF(COUNTIFS(T_TTAFStock_Log[Part Name],$A25,T_TTAFStock_Log[WeekIndex],24)=0,"",SUMIFS(T_TTAFStock_Log[TTAF_Qty],T_TTAFStock_Log[Part Name],$A25,T_TTAFStock_Log[WeekIndex],24))</f>
        <v/>
      </c>
      <c r="Z25" s="19">
        <f>IF(COUNTIFS(T_TTAFStock_Log[Part Name],$A25,T_TTAFStock_Log[WeekIndex],25)=0,"",SUMIFS(T_TTAFStock_Log[TTAF_Qty],T_TTAFStock_Log[Part Name],$A25,T_TTAFStock_Log[WeekIndex],25))</f>
        <v/>
      </c>
      <c r="AA25" s="19">
        <f>IF(COUNTIFS(T_TTAFStock_Log[Part Name],$A25,T_TTAFStock_Log[WeekIndex],26)=0,"",SUMIFS(T_TTAFStock_Log[TTAF_Qty],T_TTAFStock_Log[Part Name],$A25,T_TTAFStock_Log[WeekIndex],26))</f>
        <v/>
      </c>
      <c r="AB25" s="19">
        <f>IF(COUNTIFS(T_TTAFStock_Log[Part Name],$A25,T_TTAFStock_Log[WeekIndex],27)=0,"",SUMIFS(T_TTAFStock_Log[TTAF_Qty],T_TTAFStock_Log[Part Name],$A25,T_TTAFStock_Log[WeekIndex],27))</f>
        <v/>
      </c>
      <c r="AC25" s="19">
        <f>IF(COUNTIFS(T_TTAFStock_Log[Part Name],$A25,T_TTAFStock_Log[WeekIndex],28)=0,"",SUMIFS(T_TTAFStock_Log[TTAF_Qty],T_TTAFStock_Log[Part Name],$A25,T_TTAFStock_Log[WeekIndex],28))</f>
        <v/>
      </c>
      <c r="AD25" s="19">
        <f>IF(COUNTIFS(T_TTAFStock_Log[Part Name],$A25,T_TTAFStock_Log[WeekIndex],29)=0,"",SUMIFS(T_TTAFStock_Log[TTAF_Qty],T_TTAFStock_Log[Part Name],$A25,T_TTAFStock_Log[WeekIndex],29))</f>
        <v/>
      </c>
      <c r="AE25" s="19">
        <f>IF(COUNTIFS(T_TTAFStock_Log[Part Name],$A25,T_TTAFStock_Log[WeekIndex],30)=0,"",SUMIFS(T_TTAFStock_Log[TTAF_Qty],T_TTAFStock_Log[Part Name],$A25,T_TTAFStock_Log[WeekIndex],30))</f>
        <v/>
      </c>
      <c r="AF25" s="19">
        <f>IF(COUNTIFS(T_TTAFStock_Log[Part Name],$A25,T_TTAFStock_Log[WeekIndex],31)=0,"",SUMIFS(T_TTAFStock_Log[TTAF_Qty],T_TTAFStock_Log[Part Name],$A25,T_TTAFStock_Log[WeekIndex],31))</f>
        <v/>
      </c>
      <c r="AG25" s="19">
        <f>IF(COUNTIFS(T_TTAFStock_Log[Part Name],$A25,T_TTAFStock_Log[WeekIndex],32)=0,"",SUMIFS(T_TTAFStock_Log[TTAF_Qty],T_TTAFStock_Log[Part Name],$A25,T_TTAFStock_Log[WeekIndex],32))</f>
        <v/>
      </c>
      <c r="AH25" s="19">
        <f>IF(COUNTIFS(T_TTAFStock_Log[Part Name],$A25,T_TTAFStock_Log[WeekIndex],33)=0,"",SUMIFS(T_TTAFStock_Log[TTAF_Qty],T_TTAFStock_Log[Part Name],$A25,T_TTAFStock_Log[WeekIndex],33))</f>
        <v/>
      </c>
      <c r="AI25" s="19">
        <f>IF(COUNTIFS(T_TTAFStock_Log[Part Name],$A25,T_TTAFStock_Log[WeekIndex],34)=0,"",SUMIFS(T_TTAFStock_Log[TTAF_Qty],T_TTAFStock_Log[Part Name],$A25,T_TTAFStock_Log[WeekIndex],34))</f>
        <v/>
      </c>
      <c r="AJ25" s="19">
        <f>IF(COUNTIFS(T_TTAFStock_Log[Part Name],$A25,T_TTAFStock_Log[WeekIndex],35)=0,"",SUMIFS(T_TTAFStock_Log[TTAF_Qty],T_TTAFStock_Log[Part Name],$A25,T_TTAFStock_Log[WeekIndex],35))</f>
        <v/>
      </c>
      <c r="AK25" s="19">
        <f>IF(COUNTIFS(T_TTAFStock_Log[Part Name],$A25,T_TTAFStock_Log[WeekIndex],36)=0,"",SUMIFS(T_TTAFStock_Log[TTAF_Qty],T_TTAFStock_Log[Part Name],$A25,T_TTAFStock_Log[WeekIndex],36))</f>
        <v/>
      </c>
      <c r="AL25" s="19">
        <f>IF(COUNTIFS(T_TTAFStock_Log[Part Name],$A25,T_TTAFStock_Log[WeekIndex],37)=0,"",SUMIFS(T_TTAFStock_Log[TTAF_Qty],T_TTAFStock_Log[Part Name],$A25,T_TTAFStock_Log[WeekIndex],37))</f>
        <v/>
      </c>
      <c r="AM25" s="19">
        <f>IF(COUNTIFS(T_TTAFStock_Log[Part Name],$A25,T_TTAFStock_Log[WeekIndex],38)=0,"",SUMIFS(T_TTAFStock_Log[TTAF_Qty],T_TTAFStock_Log[Part Name],$A25,T_TTAFStock_Log[WeekIndex],38))</f>
        <v/>
      </c>
      <c r="AN25" s="19">
        <f>IF(COUNTIFS(T_TTAFStock_Log[Part Name],$A25,T_TTAFStock_Log[WeekIndex],39)=0,"",SUMIFS(T_TTAFStock_Log[TTAF_Qty],T_TTAFStock_Log[Part Name],$A25,T_TTAFStock_Log[WeekIndex],39))</f>
        <v/>
      </c>
      <c r="AO25" s="19">
        <f>IF(COUNTIFS(T_TTAFStock_Log[Part Name],$A25,T_TTAFStock_Log[WeekIndex],40)=0,"",SUMIFS(T_TTAFStock_Log[TTAF_Qty],T_TTAFStock_Log[Part Name],$A25,T_TTAFStock_Log[WeekIndex],40))</f>
        <v/>
      </c>
      <c r="AP25" s="19">
        <f>IF(COUNTIFS(T_TTAFStock_Log[Part Name],$A25,T_TTAFStock_Log[WeekIndex],41)=0,"",SUMIFS(T_TTAFStock_Log[TTAF_Qty],T_TTAFStock_Log[Part Name],$A25,T_TTAFStock_Log[WeekIndex],41))</f>
        <v/>
      </c>
      <c r="AQ25" s="19">
        <f>IF(COUNTIFS(T_TTAFStock_Log[Part Name],$A25,T_TTAFStock_Log[WeekIndex],42)=0,"",SUMIFS(T_TTAFStock_Log[TTAF_Qty],T_TTAFStock_Log[Part Name],$A25,T_TTAFStock_Log[WeekIndex],42))</f>
        <v/>
      </c>
      <c r="AR25" s="19">
        <f>IF(COUNTIFS(T_TTAFStock_Log[Part Name],$A25,T_TTAFStock_Log[WeekIndex],43)=0,"",SUMIFS(T_TTAFStock_Log[TTAF_Qty],T_TTAFStock_Log[Part Name],$A25,T_TTAFStock_Log[WeekIndex],43))</f>
        <v/>
      </c>
      <c r="AS25" s="19">
        <f>IF(COUNTIFS(T_TTAFStock_Log[Part Name],$A25,T_TTAFStock_Log[WeekIndex],44)=0,"",SUMIFS(T_TTAFStock_Log[TTAF_Qty],T_TTAFStock_Log[Part Name],$A25,T_TTAFStock_Log[WeekIndex],44))</f>
        <v/>
      </c>
      <c r="AT25" s="19">
        <f>IF(COUNTIFS(T_TTAFStock_Log[Part Name],$A25,T_TTAFStock_Log[WeekIndex],45)=0,"",SUMIFS(T_TTAFStock_Log[TTAF_Qty],T_TTAFStock_Log[Part Name],$A25,T_TTAFStock_Log[WeekIndex],45))</f>
        <v/>
      </c>
      <c r="AU25" s="19">
        <f>IF(COUNTIFS(T_TTAFStock_Log[Part Name],$A25,T_TTAFStock_Log[WeekIndex],46)=0,"",SUMIFS(T_TTAFStock_Log[TTAF_Qty],T_TTAFStock_Log[Part Name],$A25,T_TTAFStock_Log[WeekIndex],46))</f>
        <v/>
      </c>
      <c r="AV25" s="19">
        <f>IF(COUNTIFS(T_TTAFStock_Log[Part Name],$A25,T_TTAFStock_Log[WeekIndex],47)=0,"",SUMIFS(T_TTAFStock_Log[TTAF_Qty],T_TTAFStock_Log[Part Name],$A25,T_TTAFStock_Log[WeekIndex],47))</f>
        <v/>
      </c>
      <c r="AW25" s="19">
        <f>IF(COUNTIFS(T_TTAFStock_Log[Part Name],$A25,T_TTAFStock_Log[WeekIndex],48)=0,"",SUMIFS(T_TTAFStock_Log[TTAF_Qty],T_TTAFStock_Log[Part Name],$A25,T_TTAFStock_Log[WeekIndex],48))</f>
        <v/>
      </c>
      <c r="AX25" s="19">
        <f>IF(COUNTIFS(T_TTAFStock_Log[Part Name],$A25,T_TTAFStock_Log[WeekIndex],49)=0,"",SUMIFS(T_TTAFStock_Log[TTAF_Qty],T_TTAFStock_Log[Part Name],$A25,T_TTAFStock_Log[WeekIndex],49))</f>
        <v/>
      </c>
      <c r="AY25" s="19">
        <f>IF(COUNTIFS(T_TTAFStock_Log[Part Name],$A25,T_TTAFStock_Log[WeekIndex],50)=0,"",SUMIFS(T_TTAFStock_Log[TTAF_Qty],T_TTAFStock_Log[Part Name],$A25,T_TTAFStock_Log[WeekIndex],50))</f>
        <v/>
      </c>
      <c r="AZ25" s="19">
        <f>IF(COUNTIFS(T_TTAFStock_Log[Part Name],$A25,T_TTAFStock_Log[WeekIndex],51)=0,"",SUMIFS(T_TTAFStock_Log[TTAF_Qty],T_TTAFStock_Log[Part Name],$A25,T_TTAFStock_Log[WeekIndex],51))</f>
        <v/>
      </c>
      <c r="BA25" s="19">
        <f>IF(COUNTIFS(T_TTAFStock_Log[Part Name],$A25,T_TTAFStock_Log[WeekIndex],52)=0,"",SUMIFS(T_TTAFStock_Log[TTAF_Qty],T_TTAFStock_Log[Part Name],$A25,T_TTAFStock_Log[WeekIndex],52))</f>
        <v/>
      </c>
      <c r="BB25" s="19">
        <f>IF(COUNTIFS(T_TTAFStock_Log[Part Name],$A25,T_TTAFStock_Log[WeekIndex],53)=0,"",SUMIFS(T_TTAFStock_Log[TTAF_Qty],T_TTAFStock_Log[Part Name],$A25,T_TTAFStock_Log[WeekIndex],53))</f>
        <v/>
      </c>
      <c r="BC25" s="19">
        <f>IF(COUNTIFS(T_TTAFStock_Log[Part Name],$A25,T_TTAFStock_Log[WeekIndex],54)=0,"",SUMIFS(T_TTAFStock_Log[TTAF_Qty],T_TTAFStock_Log[Part Name],$A25,T_TTAFStock_Log[WeekIndex],54))</f>
        <v/>
      </c>
      <c r="BD25" s="19">
        <f>IF(COUNTIFS(T_TTAFStock_Log[Part Name],$A25,T_TTAFStock_Log[WeekIndex],55)=0,"",SUMIFS(T_TTAFStock_Log[TTAF_Qty],T_TTAFStock_Log[Part Name],$A25,T_TTAFStock_Log[WeekIndex],55))</f>
        <v/>
      </c>
      <c r="BE25" s="19">
        <f>IF(COUNTIFS(T_TTAFStock_Log[Part Name],$A25,T_TTAFStock_Log[WeekIndex],56)=0,"",SUMIFS(T_TTAFStock_Log[TTAF_Qty],T_TTAFStock_Log[Part Name],$A25,T_TTAFStock_Log[WeekIndex],56))</f>
        <v/>
      </c>
      <c r="BF25" s="19">
        <f>IF(COUNTIFS(T_TTAFStock_Log[Part Name],$A25,T_TTAFStock_Log[WeekIndex],57)=0,"",SUMIFS(T_TTAFStock_Log[TTAF_Qty],T_TTAFStock_Log[Part Name],$A25,T_TTAFStock_Log[WeekIndex],57))</f>
        <v/>
      </c>
      <c r="BG25" s="19">
        <f>IF(COUNTIFS(T_TTAFStock_Log[Part Name],$A25,T_TTAFStock_Log[WeekIndex],58)=0,"",SUMIFS(T_TTAFStock_Log[TTAF_Qty],T_TTAFStock_Log[Part Name],$A25,T_TTAFStock_Log[WeekIndex],58))</f>
        <v/>
      </c>
      <c r="BH25" s="19">
        <f>IF(COUNTIFS(T_TTAFStock_Log[Part Name],$A25,T_TTAFStock_Log[WeekIndex],59)=0,"",SUMIFS(T_TTAFStock_Log[TTAF_Qty],T_TTAFStock_Log[Part Name],$A25,T_TTAFStock_Log[WeekIndex],59))</f>
        <v/>
      </c>
      <c r="BI25" s="19">
        <f>IF(COUNTIFS(T_TTAFStock_Log[Part Name],$A25,T_TTAFStock_Log[WeekIndex],60)=0,"",SUMIFS(T_TTAFStock_Log[TTAF_Qty],T_TTAFStock_Log[Part Name],$A25,T_TTAFStock_Log[WeekIndex],60))</f>
        <v/>
      </c>
      <c r="BJ25" s="19">
        <f>IF(COUNTIFS(T_TTAFStock_Log[Part Name],$A25,T_TTAFStock_Log[WeekIndex],61)=0,"",SUMIFS(T_TTAFStock_Log[TTAF_Qty],T_TTAFStock_Log[Part Name],$A25,T_TTAFStock_Log[WeekIndex],61))</f>
        <v/>
      </c>
      <c r="BK25" s="19">
        <f>IF(COUNTIFS(T_TTAFStock_Log[Part Name],$A25,T_TTAFStock_Log[WeekIndex],62)=0,"",SUMIFS(T_TTAFStock_Log[TTAF_Qty],T_TTAFStock_Log[Part Name],$A25,T_TTAFStock_Log[WeekIndex],62))</f>
        <v/>
      </c>
      <c r="BL25" s="19">
        <f>IF(COUNTIFS(T_TTAFStock_Log[Part Name],$A25,T_TTAFStock_Log[WeekIndex],63)=0,"",SUMIFS(T_TTAFStock_Log[TTAF_Qty],T_TTAFStock_Log[Part Name],$A25,T_TTAFStock_Log[WeekIndex],63))</f>
        <v/>
      </c>
      <c r="BM25" s="19">
        <f>IF(COUNTIFS(T_TTAFStock_Log[Part Name],$A25,T_TTAFStock_Log[WeekIndex],64)=0,"",SUMIFS(T_TTAFStock_Log[TTAF_Qty],T_TTAFStock_Log[Part Name],$A25,T_TTAFStock_Log[WeekIndex],64))</f>
        <v/>
      </c>
      <c r="BN25" s="19">
        <f>IF(COUNTIFS(T_TTAFStock_Log[Part Name],$A25,T_TTAFStock_Log[WeekIndex],65)=0,"",SUMIFS(T_TTAFStock_Log[TTAF_Qty],T_TTAFStock_Log[Part Name],$A25,T_TTAFStock_Log[WeekIndex],65))</f>
        <v/>
      </c>
      <c r="BO25" s="19">
        <f>IF(COUNTIFS(T_TTAFStock_Log[Part Name],$A25,T_TTAFStock_Log[WeekIndex],66)=0,"",SUMIFS(T_TTAFStock_Log[TTAF_Qty],T_TTAFStock_Log[Part Name],$A25,T_TTAFStock_Log[WeekIndex],66))</f>
        <v/>
      </c>
      <c r="BP25" s="19">
        <f>IF(COUNTIFS(T_TTAFStock_Log[Part Name],$A25,T_TTAFStock_Log[WeekIndex],67)=0,"",SUMIFS(T_TTAFStock_Log[TTAF_Qty],T_TTAFStock_Log[Part Name],$A25,T_TTAFStock_Log[WeekIndex],67))</f>
        <v/>
      </c>
      <c r="BQ25" s="19">
        <f>IF(COUNTIFS(T_TTAFStock_Log[Part Name],$A25,T_TTAFStock_Log[WeekIndex],68)=0,"",SUMIFS(T_TTAFStock_Log[TTAF_Qty],T_TTAFStock_Log[Part Name],$A25,T_TTAFStock_Log[WeekIndex],68))</f>
        <v/>
      </c>
      <c r="BR25" s="19">
        <f>IF(COUNTIFS(T_TTAFStock_Log[Part Name],$A25,T_TTAFStock_Log[WeekIndex],69)=0,"",SUMIFS(T_TTAFStock_Log[TTAF_Qty],T_TTAFStock_Log[Part Name],$A25,T_TTAFStock_Log[WeekIndex],69))</f>
        <v/>
      </c>
      <c r="BS25" s="19">
        <f>IF(COUNTIFS(T_TTAFStock_Log[Part Name],$A25,T_TTAFStock_Log[WeekIndex],70)=0,"",SUMIFS(T_TTAFStock_Log[TTAF_Qty],T_TTAFStock_Log[Part Name],$A25,T_TTAFStock_Log[WeekIndex],70))</f>
        <v/>
      </c>
      <c r="BT25" s="19">
        <f>IF(COUNTIFS(T_TTAFStock_Log[Part Name],$A25,T_TTAFStock_Log[WeekIndex],71)=0,"",SUMIFS(T_TTAFStock_Log[TTAF_Qty],T_TTAFStock_Log[Part Name],$A25,T_TTAFStock_Log[WeekIndex],71))</f>
        <v/>
      </c>
      <c r="BU25" s="19">
        <f>IF(COUNTIFS(T_TTAFStock_Log[Part Name],$A25,T_TTAFStock_Log[WeekIndex],72)=0,"",SUMIFS(T_TTAFStock_Log[TTAF_Qty],T_TTAFStock_Log[Part Name],$A25,T_TTAFStock_Log[WeekIndex],72))</f>
        <v/>
      </c>
      <c r="BV25" s="19">
        <f>IF(COUNTIFS(T_TTAFStock_Log[Part Name],$A25,T_TTAFStock_Log[WeekIndex],73)=0,"",SUMIFS(T_TTAFStock_Log[TTAF_Qty],T_TTAFStock_Log[Part Name],$A25,T_TTAFStock_Log[WeekIndex],73))</f>
        <v/>
      </c>
      <c r="BW25" s="19">
        <f>IF(COUNTIFS(T_TTAFStock_Log[Part Name],$A25,T_TTAFStock_Log[WeekIndex],74)=0,"",SUMIFS(T_TTAFStock_Log[TTAF_Qty],T_TTAFStock_Log[Part Name],$A25,T_TTAFStock_Log[WeekIndex],74))</f>
        <v/>
      </c>
      <c r="BX25" s="19">
        <f>IF(COUNTIFS(T_TTAFStock_Log[Part Name],$A25,T_TTAFStock_Log[WeekIndex],75)=0,"",SUMIFS(T_TTAFStock_Log[TTAF_Qty],T_TTAFStock_Log[Part Name],$A25,T_TTAFStock_Log[WeekIndex],75))</f>
        <v/>
      </c>
      <c r="BY25" s="19">
        <f>IF(COUNTIFS(T_TTAFStock_Log[Part Name],$A25,T_TTAFStock_Log[WeekIndex],76)=0,"",SUMIFS(T_TTAFStock_Log[TTAF_Qty],T_TTAFStock_Log[Part Name],$A25,T_TTAFStock_Log[WeekIndex],76))</f>
        <v/>
      </c>
      <c r="BZ25" s="19">
        <f>IF(COUNTIFS(T_TTAFStock_Log[Part Name],$A25,T_TTAFStock_Log[WeekIndex],77)=0,"",SUMIFS(T_TTAFStock_Log[TTAF_Qty],T_TTAFStock_Log[Part Name],$A25,T_TTAFStock_Log[WeekIndex],77))</f>
        <v/>
      </c>
      <c r="CA25" s="19">
        <f>IF(COUNTIFS(T_TTAFStock_Log[Part Name],$A25,T_TTAFStock_Log[WeekIndex],78)=0,"",SUMIFS(T_TTAFStock_Log[TTAF_Qty],T_TTAFStock_Log[Part Name],$A25,T_TTAFStock_Log[WeekIndex],78))</f>
        <v/>
      </c>
      <c r="CB25" s="19">
        <f>IF(COUNTIFS(T_TTAFStock_Log[Part Name],$A25,T_TTAFStock_Log[WeekIndex],79)=0,"",SUMIFS(T_TTAFStock_Log[TTAF_Qty],T_TTAFStock_Log[Part Name],$A25,T_TTAFStock_Log[WeekIndex],79))</f>
        <v/>
      </c>
      <c r="CC25" s="19">
        <f>IF(COUNTIFS(T_TTAFStock_Log[Part Name],$A25,T_TTAFStock_Log[WeekIndex],80)=0,"",SUMIFS(T_TTAFStock_Log[TTAF_Qty],T_TTAFStock_Log[Part Name],$A25,T_TTAFStock_Log[WeekIndex],80))</f>
        <v/>
      </c>
      <c r="CD25" s="19">
        <f>IF(COUNTIFS(T_TTAFStock_Log[Part Name],$A25,T_TTAFStock_Log[WeekIndex],81)=0,"",SUMIFS(T_TTAFStock_Log[TTAF_Qty],T_TTAFStock_Log[Part Name],$A25,T_TTAFStock_Log[WeekIndex],81))</f>
        <v/>
      </c>
      <c r="CE25" s="19">
        <f>IF(COUNTIFS(T_TTAFStock_Log[Part Name],$A25,T_TTAFStock_Log[WeekIndex],82)=0,"",SUMIFS(T_TTAFStock_Log[TTAF_Qty],T_TTAFStock_Log[Part Name],$A25,T_TTAFStock_Log[WeekIndex],82))</f>
        <v/>
      </c>
      <c r="CF25" s="19">
        <f>IF(COUNTIFS(T_TTAFStock_Log[Part Name],$A25,T_TTAFStock_Log[WeekIndex],83)=0,"",SUMIFS(T_TTAFStock_Log[TTAF_Qty],T_TTAFStock_Log[Part Name],$A25,T_TTAFStock_Log[WeekIndex],83))</f>
        <v/>
      </c>
      <c r="CG25" s="19">
        <f>IF(COUNTIFS(T_TTAFStock_Log[Part Name],$A25,T_TTAFStock_Log[WeekIndex],84)=0,"",SUMIFS(T_TTAFStock_Log[TTAF_Qty],T_TTAFStock_Log[Part Name],$A25,T_TTAFStock_Log[WeekIndex],84))</f>
        <v/>
      </c>
      <c r="CH25" s="19">
        <f>IF(COUNTIFS(T_TTAFStock_Log[Part Name],$A25,T_TTAFStock_Log[WeekIndex],85)=0,"",SUMIFS(T_TTAFStock_Log[TTAF_Qty],T_TTAFStock_Log[Part Name],$A25,T_TTAFStock_Log[WeekIndex],85))</f>
        <v/>
      </c>
      <c r="CI25" s="19">
        <f>IF(COUNTIFS(T_TTAFStock_Log[Part Name],$A25,T_TTAFStock_Log[WeekIndex],86)=0,"",SUMIFS(T_TTAFStock_Log[TTAF_Qty],T_TTAFStock_Log[Part Name],$A25,T_TTAFStock_Log[WeekIndex],86))</f>
        <v/>
      </c>
      <c r="CJ25" s="19">
        <f>IF(COUNTIFS(T_TTAFStock_Log[Part Name],$A25,T_TTAFStock_Log[WeekIndex],87)=0,"",SUMIFS(T_TTAFStock_Log[TTAF_Qty],T_TTAFStock_Log[Part Name],$A25,T_TTAFStock_Log[WeekIndex],87))</f>
        <v/>
      </c>
      <c r="CK25" s="19">
        <f>IF(COUNTIFS(T_TTAFStock_Log[Part Name],$A25,T_TTAFStock_Log[WeekIndex],88)=0,"",SUMIFS(T_TTAFStock_Log[TTAF_Qty],T_TTAFStock_Log[Part Name],$A25,T_TTAFStock_Log[WeekIndex],88))</f>
        <v/>
      </c>
      <c r="CL25" s="19">
        <f>IF(COUNTIFS(T_TTAFStock_Log[Part Name],$A25,T_TTAFStock_Log[WeekIndex],89)=0,"",SUMIFS(T_TTAFStock_Log[TTAF_Qty],T_TTAFStock_Log[Part Name],$A25,T_TTAFStock_Log[WeekIndex],89))</f>
        <v/>
      </c>
      <c r="CM25" s="19">
        <f>IF(COUNTIFS(T_TTAFStock_Log[Part Name],$A25,T_TTAFStock_Log[WeekIndex],90)=0,"",SUMIFS(T_TTAFStock_Log[TTAF_Qty],T_TTAFStock_Log[Part Name],$A25,T_TTAFStock_Log[WeekIndex],90))</f>
        <v/>
      </c>
      <c r="CN25" s="19">
        <f>IF(COUNTIFS(T_TTAFStock_Log[Part Name],$A25,T_TTAFStock_Log[WeekIndex],91)=0,"",SUMIFS(T_TTAFStock_Log[TTAF_Qty],T_TTAFStock_Log[Part Name],$A25,T_TTAFStock_Log[WeekIndex],91))</f>
        <v/>
      </c>
      <c r="CO25" s="19">
        <f>IF(COUNTIFS(T_TTAFStock_Log[Part Name],$A25,T_TTAFStock_Log[WeekIndex],92)=0,"",SUMIFS(T_TTAFStock_Log[TTAF_Qty],T_TTAFStock_Log[Part Name],$A25,T_TTAFStock_Log[WeekIndex],92))</f>
        <v/>
      </c>
      <c r="CP25" s="19">
        <f>IF(COUNTIFS(T_TTAFStock_Log[Part Name],$A25,T_TTAFStock_Log[WeekIndex],93)=0,"",SUMIFS(T_TTAFStock_Log[TTAF_Qty],T_TTAFStock_Log[Part Name],$A25,T_TTAFStock_Log[WeekIndex],93))</f>
        <v/>
      </c>
      <c r="CQ25" s="19">
        <f>IF(COUNTIFS(T_TTAFStock_Log[Part Name],$A25,T_TTAFStock_Log[WeekIndex],94)=0,"",SUMIFS(T_TTAFStock_Log[TTAF_Qty],T_TTAFStock_Log[Part Name],$A25,T_TTAFStock_Log[WeekIndex],94))</f>
        <v/>
      </c>
      <c r="CR25" s="19">
        <f>IF(COUNTIFS(T_TTAFStock_Log[Part Name],$A25,T_TTAFStock_Log[WeekIndex],95)=0,"",SUMIFS(T_TTAFStock_Log[TTAF_Qty],T_TTAFStock_Log[Part Name],$A25,T_TTAFStock_Log[WeekIndex],95))</f>
        <v/>
      </c>
      <c r="CS25" s="19">
        <f>IF(COUNTIFS(T_TTAFStock_Log[Part Name],$A25,T_TTAFStock_Log[WeekIndex],96)=0,"",SUMIFS(T_TTAFStock_Log[TTAF_Qty],T_TTAFStock_Log[Part Name],$A25,T_TTAFStock_Log[WeekIndex],96))</f>
        <v/>
      </c>
      <c r="CT25" s="19">
        <f>IF(COUNTIFS(T_TTAFStock_Log[Part Name],$A25,T_TTAFStock_Log[WeekIndex],97)=0,"",SUMIFS(T_TTAFStock_Log[TTAF_Qty],T_TTAFStock_Log[Part Name],$A25,T_TTAFStock_Log[WeekIndex],97))</f>
        <v/>
      </c>
      <c r="CU25" s="19">
        <f>IF(COUNTIFS(T_TTAFStock_Log[Part Name],$A25,T_TTAFStock_Log[WeekIndex],98)=0,"",SUMIFS(T_TTAFStock_Log[TTAF_Qty],T_TTAFStock_Log[Part Name],$A25,T_TTAFStock_Log[WeekIndex],98))</f>
        <v/>
      </c>
      <c r="CV25" s="19">
        <f>IF(COUNTIFS(T_TTAFStock_Log[Part Name],$A25,T_TTAFStock_Log[WeekIndex],99)=0,"",SUMIFS(T_TTAFStock_Log[TTAF_Qty],T_TTAFStock_Log[Part Name],$A25,T_TTAFStock_Log[WeekIndex],99))</f>
        <v/>
      </c>
      <c r="CW25" s="19">
        <f>IF(COUNTIFS(T_TTAFStock_Log[Part Name],$A25,T_TTAFStock_Log[WeekIndex],100)=0,"",SUMIFS(T_TTAFStock_Log[TTAF_Qty],T_TTAFStock_Log[Part Name],$A25,T_TTAFStock_Log[WeekIndex],100))</f>
        <v/>
      </c>
      <c r="CX25" s="19">
        <f>IF(COUNTIFS(T_TTAFStock_Log[Part Name],$A25,T_TTAFStock_Log[WeekIndex],101)=0,"",SUMIFS(T_TTAFStock_Log[TTAF_Qty],T_TTAFStock_Log[Part Name],$A25,T_TTAFStock_Log[WeekIndex],101))</f>
        <v/>
      </c>
      <c r="CY25" s="19">
        <f>IF(COUNTIFS(T_TTAFStock_Log[Part Name],$A25,T_TTAFStock_Log[WeekIndex],102)=0,"",SUMIFS(T_TTAFStock_Log[TTAF_Qty],T_TTAFStock_Log[Part Name],$A25,T_TTAFStock_Log[WeekIndex],102))</f>
        <v/>
      </c>
      <c r="CZ25" s="19">
        <f>IF(COUNTIFS(T_TTAFStock_Log[Part Name],$A25,T_TTAFStock_Log[WeekIndex],103)=0,"",SUMIFS(T_TTAFStock_Log[TTAF_Qty],T_TTAFStock_Log[Part Name],$A25,T_TTAFStock_Log[WeekIndex],103))</f>
        <v/>
      </c>
      <c r="DA25" s="19">
        <f>IF(COUNTIFS(T_TTAFStock_Log[Part Name],$A25,T_TTAFStock_Log[WeekIndex],104)=0,"",SUMIFS(T_TTAFStock_Log[TTAF_Qty],T_TTAFStock_Log[Part Name],$A25,T_TTAFStock_Log[WeekIndex],104))</f>
        <v/>
      </c>
    </row>
    <row r="26">
      <c r="A26" s="17" t="inlineStr">
        <is>
          <t>CHEM-1670</t>
        </is>
      </c>
      <c r="B26" s="17">
        <f>IF(COUNTIFS(T_TTAFStock_Log[Part Name],$A26,T_TTAFStock_Log[WeekIndex],1)=0,"",SUMIFS(T_TTAFStock_Log[TTAF_Qty],T_TTAFStock_Log[Part Name],$A26,T_TTAFStock_Log[WeekIndex],1))</f>
        <v/>
      </c>
      <c r="C26" s="17">
        <f>IF(COUNTIFS(T_TTAFStock_Log[Part Name],$A26,T_TTAFStock_Log[WeekIndex],2)=0,"",SUMIFS(T_TTAFStock_Log[TTAF_Qty],T_TTAFStock_Log[Part Name],$A26,T_TTAFStock_Log[WeekIndex],2))</f>
        <v/>
      </c>
      <c r="D26" s="17">
        <f>IF(COUNTIFS(T_TTAFStock_Log[Part Name],$A26,T_TTAFStock_Log[WeekIndex],3)=0,"",SUMIFS(T_TTAFStock_Log[TTAF_Qty],T_TTAFStock_Log[Part Name],$A26,T_TTAFStock_Log[WeekIndex],3))</f>
        <v/>
      </c>
      <c r="E26" s="17">
        <f>IF(COUNTIFS(T_TTAFStock_Log[Part Name],$A26,T_TTAFStock_Log[WeekIndex],4)=0,"",SUMIFS(T_TTAFStock_Log[TTAF_Qty],T_TTAFStock_Log[Part Name],$A26,T_TTAFStock_Log[WeekIndex],4))</f>
        <v/>
      </c>
      <c r="F26" s="17">
        <f>IF(COUNTIFS(T_TTAFStock_Log[Part Name],$A26,T_TTAFStock_Log[WeekIndex],5)=0,"",SUMIFS(T_TTAFStock_Log[TTAF_Qty],T_TTAFStock_Log[Part Name],$A26,T_TTAFStock_Log[WeekIndex],5))</f>
        <v/>
      </c>
      <c r="G26" s="17">
        <f>IF(COUNTIFS(T_TTAFStock_Log[Part Name],$A26,T_TTAFStock_Log[WeekIndex],6)=0,"",SUMIFS(T_TTAFStock_Log[TTAF_Qty],T_TTAFStock_Log[Part Name],$A26,T_TTAFStock_Log[WeekIndex],6))</f>
        <v/>
      </c>
      <c r="H26" s="17">
        <f>IF(COUNTIFS(T_TTAFStock_Log[Part Name],$A26,T_TTAFStock_Log[WeekIndex],7)=0,"",SUMIFS(T_TTAFStock_Log[TTAF_Qty],T_TTAFStock_Log[Part Name],$A26,T_TTAFStock_Log[WeekIndex],7))</f>
        <v/>
      </c>
      <c r="I26" s="17">
        <f>IF(COUNTIFS(T_TTAFStock_Log[Part Name],$A26,T_TTAFStock_Log[WeekIndex],8)=0,"",SUMIFS(T_TTAFStock_Log[TTAF_Qty],T_TTAFStock_Log[Part Name],$A26,T_TTAFStock_Log[WeekIndex],8))</f>
        <v/>
      </c>
      <c r="J26" s="17">
        <f>IF(COUNTIFS(T_TTAFStock_Log[Part Name],$A26,T_TTAFStock_Log[WeekIndex],9)=0,"",SUMIFS(T_TTAFStock_Log[TTAF_Qty],T_TTAFStock_Log[Part Name],$A26,T_TTAFStock_Log[WeekIndex],9))</f>
        <v/>
      </c>
      <c r="K26" s="17">
        <f>IF(COUNTIFS(T_TTAFStock_Log[Part Name],$A26,T_TTAFStock_Log[WeekIndex],10)=0,"",SUMIFS(T_TTAFStock_Log[TTAF_Qty],T_TTAFStock_Log[Part Name],$A26,T_TTAFStock_Log[WeekIndex],10))</f>
        <v/>
      </c>
      <c r="L26" s="17">
        <f>IF(COUNTIFS(T_TTAFStock_Log[Part Name],$A26,T_TTAFStock_Log[WeekIndex],11)=0,"",SUMIFS(T_TTAFStock_Log[TTAF_Qty],T_TTAFStock_Log[Part Name],$A26,T_TTAFStock_Log[WeekIndex],11))</f>
        <v/>
      </c>
      <c r="M26" s="17">
        <f>IF(COUNTIFS(T_TTAFStock_Log[Part Name],$A26,T_TTAFStock_Log[WeekIndex],12)=0,"",SUMIFS(T_TTAFStock_Log[TTAF_Qty],T_TTAFStock_Log[Part Name],$A26,T_TTAFStock_Log[WeekIndex],12))</f>
        <v/>
      </c>
      <c r="N26" s="17">
        <f>IF(COUNTIFS(T_TTAFStock_Log[Part Name],$A26,T_TTAFStock_Log[WeekIndex],13)=0,"",SUMIFS(T_TTAFStock_Log[TTAF_Qty],T_TTAFStock_Log[Part Name],$A26,T_TTAFStock_Log[WeekIndex],13))</f>
        <v/>
      </c>
      <c r="O26" s="17">
        <f>IF(COUNTIFS(T_TTAFStock_Log[Part Name],$A26,T_TTAFStock_Log[WeekIndex],14)=0,"",SUMIFS(T_TTAFStock_Log[TTAF_Qty],T_TTAFStock_Log[Part Name],$A26,T_TTAFStock_Log[WeekIndex],14))</f>
        <v/>
      </c>
      <c r="P26" s="17">
        <f>IF(COUNTIFS(T_TTAFStock_Log[Part Name],$A26,T_TTAFStock_Log[WeekIndex],15)=0,"",SUMIFS(T_TTAFStock_Log[TTAF_Qty],T_TTAFStock_Log[Part Name],$A26,T_TTAFStock_Log[WeekIndex],15))</f>
        <v/>
      </c>
      <c r="Q26" s="17">
        <f>IF(COUNTIFS(T_TTAFStock_Log[Part Name],$A26,T_TTAFStock_Log[WeekIndex],16)=0,"",SUMIFS(T_TTAFStock_Log[TTAF_Qty],T_TTAFStock_Log[Part Name],$A26,T_TTAFStock_Log[WeekIndex],16))</f>
        <v/>
      </c>
      <c r="R26" s="17">
        <f>IF(COUNTIFS(T_TTAFStock_Log[Part Name],$A26,T_TTAFStock_Log[WeekIndex],17)=0,"",SUMIFS(T_TTAFStock_Log[TTAF_Qty],T_TTAFStock_Log[Part Name],$A26,T_TTAFStock_Log[WeekIndex],17))</f>
        <v/>
      </c>
      <c r="S26" s="17">
        <f>IF(COUNTIFS(T_TTAFStock_Log[Part Name],$A26,T_TTAFStock_Log[WeekIndex],18)=0,"",SUMIFS(T_TTAFStock_Log[TTAF_Qty],T_TTAFStock_Log[Part Name],$A26,T_TTAFStock_Log[WeekIndex],18))</f>
        <v/>
      </c>
      <c r="T26" s="17">
        <f>IF(COUNTIFS(T_TTAFStock_Log[Part Name],$A26,T_TTAFStock_Log[WeekIndex],19)=0,"",SUMIFS(T_TTAFStock_Log[TTAF_Qty],T_TTAFStock_Log[Part Name],$A26,T_TTAFStock_Log[WeekIndex],19))</f>
        <v/>
      </c>
      <c r="U26" s="17">
        <f>IF(COUNTIFS(T_TTAFStock_Log[Part Name],$A26,T_TTAFStock_Log[WeekIndex],20)=0,"",SUMIFS(T_TTAFStock_Log[TTAF_Qty],T_TTAFStock_Log[Part Name],$A26,T_TTAFStock_Log[WeekIndex],20))</f>
        <v/>
      </c>
      <c r="V26" s="17">
        <f>IF(COUNTIFS(T_TTAFStock_Log[Part Name],$A26,T_TTAFStock_Log[WeekIndex],21)=0,"",SUMIFS(T_TTAFStock_Log[TTAF_Qty],T_TTAFStock_Log[Part Name],$A26,T_TTAFStock_Log[WeekIndex],21))</f>
        <v/>
      </c>
      <c r="W26" s="17">
        <f>IF(COUNTIFS(T_TTAFStock_Log[Part Name],$A26,T_TTAFStock_Log[WeekIndex],22)=0,"",SUMIFS(T_TTAFStock_Log[TTAF_Qty],T_TTAFStock_Log[Part Name],$A26,T_TTAFStock_Log[WeekIndex],22))</f>
        <v/>
      </c>
      <c r="X26" s="17">
        <f>IF(COUNTIFS(T_TTAFStock_Log[Part Name],$A26,T_TTAFStock_Log[WeekIndex],23)=0,"",SUMIFS(T_TTAFStock_Log[TTAF_Qty],T_TTAFStock_Log[Part Name],$A26,T_TTAFStock_Log[WeekIndex],23))</f>
        <v/>
      </c>
      <c r="Y26" s="17">
        <f>IF(COUNTIFS(T_TTAFStock_Log[Part Name],$A26,T_TTAFStock_Log[WeekIndex],24)=0,"",SUMIFS(T_TTAFStock_Log[TTAF_Qty],T_TTAFStock_Log[Part Name],$A26,T_TTAFStock_Log[WeekIndex],24))</f>
        <v/>
      </c>
      <c r="Z26" s="17">
        <f>IF(COUNTIFS(T_TTAFStock_Log[Part Name],$A26,T_TTAFStock_Log[WeekIndex],25)=0,"",SUMIFS(T_TTAFStock_Log[TTAF_Qty],T_TTAFStock_Log[Part Name],$A26,T_TTAFStock_Log[WeekIndex],25))</f>
        <v/>
      </c>
      <c r="AA26" s="17">
        <f>IF(COUNTIFS(T_TTAFStock_Log[Part Name],$A26,T_TTAFStock_Log[WeekIndex],26)=0,"",SUMIFS(T_TTAFStock_Log[TTAF_Qty],T_TTAFStock_Log[Part Name],$A26,T_TTAFStock_Log[WeekIndex],26))</f>
        <v/>
      </c>
      <c r="AB26" s="17">
        <f>IF(COUNTIFS(T_TTAFStock_Log[Part Name],$A26,T_TTAFStock_Log[WeekIndex],27)=0,"",SUMIFS(T_TTAFStock_Log[TTAF_Qty],T_TTAFStock_Log[Part Name],$A26,T_TTAFStock_Log[WeekIndex],27))</f>
        <v/>
      </c>
      <c r="AC26" s="17">
        <f>IF(COUNTIFS(T_TTAFStock_Log[Part Name],$A26,T_TTAFStock_Log[WeekIndex],28)=0,"",SUMIFS(T_TTAFStock_Log[TTAF_Qty],T_TTAFStock_Log[Part Name],$A26,T_TTAFStock_Log[WeekIndex],28))</f>
        <v/>
      </c>
      <c r="AD26" s="17">
        <f>IF(COUNTIFS(T_TTAFStock_Log[Part Name],$A26,T_TTAFStock_Log[WeekIndex],29)=0,"",SUMIFS(T_TTAFStock_Log[TTAF_Qty],T_TTAFStock_Log[Part Name],$A26,T_TTAFStock_Log[WeekIndex],29))</f>
        <v/>
      </c>
      <c r="AE26" s="17">
        <f>IF(COUNTIFS(T_TTAFStock_Log[Part Name],$A26,T_TTAFStock_Log[WeekIndex],30)=0,"",SUMIFS(T_TTAFStock_Log[TTAF_Qty],T_TTAFStock_Log[Part Name],$A26,T_TTAFStock_Log[WeekIndex],30))</f>
        <v/>
      </c>
      <c r="AF26" s="17">
        <f>IF(COUNTIFS(T_TTAFStock_Log[Part Name],$A26,T_TTAFStock_Log[WeekIndex],31)=0,"",SUMIFS(T_TTAFStock_Log[TTAF_Qty],T_TTAFStock_Log[Part Name],$A26,T_TTAFStock_Log[WeekIndex],31))</f>
        <v/>
      </c>
      <c r="AG26" s="17">
        <f>IF(COUNTIFS(T_TTAFStock_Log[Part Name],$A26,T_TTAFStock_Log[WeekIndex],32)=0,"",SUMIFS(T_TTAFStock_Log[TTAF_Qty],T_TTAFStock_Log[Part Name],$A26,T_TTAFStock_Log[WeekIndex],32))</f>
        <v/>
      </c>
      <c r="AH26" s="17">
        <f>IF(COUNTIFS(T_TTAFStock_Log[Part Name],$A26,T_TTAFStock_Log[WeekIndex],33)=0,"",SUMIFS(T_TTAFStock_Log[TTAF_Qty],T_TTAFStock_Log[Part Name],$A26,T_TTAFStock_Log[WeekIndex],33))</f>
        <v/>
      </c>
      <c r="AI26" s="17">
        <f>IF(COUNTIFS(T_TTAFStock_Log[Part Name],$A26,T_TTAFStock_Log[WeekIndex],34)=0,"",SUMIFS(T_TTAFStock_Log[TTAF_Qty],T_TTAFStock_Log[Part Name],$A26,T_TTAFStock_Log[WeekIndex],34))</f>
        <v/>
      </c>
      <c r="AJ26" s="17">
        <f>IF(COUNTIFS(T_TTAFStock_Log[Part Name],$A26,T_TTAFStock_Log[WeekIndex],35)=0,"",SUMIFS(T_TTAFStock_Log[TTAF_Qty],T_TTAFStock_Log[Part Name],$A26,T_TTAFStock_Log[WeekIndex],35))</f>
        <v/>
      </c>
      <c r="AK26" s="17">
        <f>IF(COUNTIFS(T_TTAFStock_Log[Part Name],$A26,T_TTAFStock_Log[WeekIndex],36)=0,"",SUMIFS(T_TTAFStock_Log[TTAF_Qty],T_TTAFStock_Log[Part Name],$A26,T_TTAFStock_Log[WeekIndex],36))</f>
        <v/>
      </c>
      <c r="AL26" s="17">
        <f>IF(COUNTIFS(T_TTAFStock_Log[Part Name],$A26,T_TTAFStock_Log[WeekIndex],37)=0,"",SUMIFS(T_TTAFStock_Log[TTAF_Qty],T_TTAFStock_Log[Part Name],$A26,T_TTAFStock_Log[WeekIndex],37))</f>
        <v/>
      </c>
      <c r="AM26" s="17">
        <f>IF(COUNTIFS(T_TTAFStock_Log[Part Name],$A26,T_TTAFStock_Log[WeekIndex],38)=0,"",SUMIFS(T_TTAFStock_Log[TTAF_Qty],T_TTAFStock_Log[Part Name],$A26,T_TTAFStock_Log[WeekIndex],38))</f>
        <v/>
      </c>
      <c r="AN26" s="17">
        <f>IF(COUNTIFS(T_TTAFStock_Log[Part Name],$A26,T_TTAFStock_Log[WeekIndex],39)=0,"",SUMIFS(T_TTAFStock_Log[TTAF_Qty],T_TTAFStock_Log[Part Name],$A26,T_TTAFStock_Log[WeekIndex],39))</f>
        <v/>
      </c>
      <c r="AO26" s="17">
        <f>IF(COUNTIFS(T_TTAFStock_Log[Part Name],$A26,T_TTAFStock_Log[WeekIndex],40)=0,"",SUMIFS(T_TTAFStock_Log[TTAF_Qty],T_TTAFStock_Log[Part Name],$A26,T_TTAFStock_Log[WeekIndex],40))</f>
        <v/>
      </c>
      <c r="AP26" s="17">
        <f>IF(COUNTIFS(T_TTAFStock_Log[Part Name],$A26,T_TTAFStock_Log[WeekIndex],41)=0,"",SUMIFS(T_TTAFStock_Log[TTAF_Qty],T_TTAFStock_Log[Part Name],$A26,T_TTAFStock_Log[WeekIndex],41))</f>
        <v/>
      </c>
      <c r="AQ26" s="17">
        <f>IF(COUNTIFS(T_TTAFStock_Log[Part Name],$A26,T_TTAFStock_Log[WeekIndex],42)=0,"",SUMIFS(T_TTAFStock_Log[TTAF_Qty],T_TTAFStock_Log[Part Name],$A26,T_TTAFStock_Log[WeekIndex],42))</f>
        <v/>
      </c>
      <c r="AR26" s="17">
        <f>IF(COUNTIFS(T_TTAFStock_Log[Part Name],$A26,T_TTAFStock_Log[WeekIndex],43)=0,"",SUMIFS(T_TTAFStock_Log[TTAF_Qty],T_TTAFStock_Log[Part Name],$A26,T_TTAFStock_Log[WeekIndex],43))</f>
        <v/>
      </c>
      <c r="AS26" s="17">
        <f>IF(COUNTIFS(T_TTAFStock_Log[Part Name],$A26,T_TTAFStock_Log[WeekIndex],44)=0,"",SUMIFS(T_TTAFStock_Log[TTAF_Qty],T_TTAFStock_Log[Part Name],$A26,T_TTAFStock_Log[WeekIndex],44))</f>
        <v/>
      </c>
      <c r="AT26" s="17">
        <f>IF(COUNTIFS(T_TTAFStock_Log[Part Name],$A26,T_TTAFStock_Log[WeekIndex],45)=0,"",SUMIFS(T_TTAFStock_Log[TTAF_Qty],T_TTAFStock_Log[Part Name],$A26,T_TTAFStock_Log[WeekIndex],45))</f>
        <v/>
      </c>
      <c r="AU26" s="17">
        <f>IF(COUNTIFS(T_TTAFStock_Log[Part Name],$A26,T_TTAFStock_Log[WeekIndex],46)=0,"",SUMIFS(T_TTAFStock_Log[TTAF_Qty],T_TTAFStock_Log[Part Name],$A26,T_TTAFStock_Log[WeekIndex],46))</f>
        <v/>
      </c>
      <c r="AV26" s="17">
        <f>IF(COUNTIFS(T_TTAFStock_Log[Part Name],$A26,T_TTAFStock_Log[WeekIndex],47)=0,"",SUMIFS(T_TTAFStock_Log[TTAF_Qty],T_TTAFStock_Log[Part Name],$A26,T_TTAFStock_Log[WeekIndex],47))</f>
        <v/>
      </c>
      <c r="AW26" s="17">
        <f>IF(COUNTIFS(T_TTAFStock_Log[Part Name],$A26,T_TTAFStock_Log[WeekIndex],48)=0,"",SUMIFS(T_TTAFStock_Log[TTAF_Qty],T_TTAFStock_Log[Part Name],$A26,T_TTAFStock_Log[WeekIndex],48))</f>
        <v/>
      </c>
      <c r="AX26" s="17">
        <f>IF(COUNTIFS(T_TTAFStock_Log[Part Name],$A26,T_TTAFStock_Log[WeekIndex],49)=0,"",SUMIFS(T_TTAFStock_Log[TTAF_Qty],T_TTAFStock_Log[Part Name],$A26,T_TTAFStock_Log[WeekIndex],49))</f>
        <v/>
      </c>
      <c r="AY26" s="17">
        <f>IF(COUNTIFS(T_TTAFStock_Log[Part Name],$A26,T_TTAFStock_Log[WeekIndex],50)=0,"",SUMIFS(T_TTAFStock_Log[TTAF_Qty],T_TTAFStock_Log[Part Name],$A26,T_TTAFStock_Log[WeekIndex],50))</f>
        <v/>
      </c>
      <c r="AZ26" s="17">
        <f>IF(COUNTIFS(T_TTAFStock_Log[Part Name],$A26,T_TTAFStock_Log[WeekIndex],51)=0,"",SUMIFS(T_TTAFStock_Log[TTAF_Qty],T_TTAFStock_Log[Part Name],$A26,T_TTAFStock_Log[WeekIndex],51))</f>
        <v/>
      </c>
      <c r="BA26" s="17">
        <f>IF(COUNTIFS(T_TTAFStock_Log[Part Name],$A26,T_TTAFStock_Log[WeekIndex],52)=0,"",SUMIFS(T_TTAFStock_Log[TTAF_Qty],T_TTAFStock_Log[Part Name],$A26,T_TTAFStock_Log[WeekIndex],52))</f>
        <v/>
      </c>
      <c r="BB26" s="17">
        <f>IF(COUNTIFS(T_TTAFStock_Log[Part Name],$A26,T_TTAFStock_Log[WeekIndex],53)=0,"",SUMIFS(T_TTAFStock_Log[TTAF_Qty],T_TTAFStock_Log[Part Name],$A26,T_TTAFStock_Log[WeekIndex],53))</f>
        <v/>
      </c>
      <c r="BC26" s="17">
        <f>IF(COUNTIFS(T_TTAFStock_Log[Part Name],$A26,T_TTAFStock_Log[WeekIndex],54)=0,"",SUMIFS(T_TTAFStock_Log[TTAF_Qty],T_TTAFStock_Log[Part Name],$A26,T_TTAFStock_Log[WeekIndex],54))</f>
        <v/>
      </c>
      <c r="BD26" s="17">
        <f>IF(COUNTIFS(T_TTAFStock_Log[Part Name],$A26,T_TTAFStock_Log[WeekIndex],55)=0,"",SUMIFS(T_TTAFStock_Log[TTAF_Qty],T_TTAFStock_Log[Part Name],$A26,T_TTAFStock_Log[WeekIndex],55))</f>
        <v/>
      </c>
      <c r="BE26" s="17">
        <f>IF(COUNTIFS(T_TTAFStock_Log[Part Name],$A26,T_TTAFStock_Log[WeekIndex],56)=0,"",SUMIFS(T_TTAFStock_Log[TTAF_Qty],T_TTAFStock_Log[Part Name],$A26,T_TTAFStock_Log[WeekIndex],56))</f>
        <v/>
      </c>
      <c r="BF26" s="17">
        <f>IF(COUNTIFS(T_TTAFStock_Log[Part Name],$A26,T_TTAFStock_Log[WeekIndex],57)=0,"",SUMIFS(T_TTAFStock_Log[TTAF_Qty],T_TTAFStock_Log[Part Name],$A26,T_TTAFStock_Log[WeekIndex],57))</f>
        <v/>
      </c>
      <c r="BG26" s="17">
        <f>IF(COUNTIFS(T_TTAFStock_Log[Part Name],$A26,T_TTAFStock_Log[WeekIndex],58)=0,"",SUMIFS(T_TTAFStock_Log[TTAF_Qty],T_TTAFStock_Log[Part Name],$A26,T_TTAFStock_Log[WeekIndex],58))</f>
        <v/>
      </c>
      <c r="BH26" s="17">
        <f>IF(COUNTIFS(T_TTAFStock_Log[Part Name],$A26,T_TTAFStock_Log[WeekIndex],59)=0,"",SUMIFS(T_TTAFStock_Log[TTAF_Qty],T_TTAFStock_Log[Part Name],$A26,T_TTAFStock_Log[WeekIndex],59))</f>
        <v/>
      </c>
      <c r="BI26" s="17">
        <f>IF(COUNTIFS(T_TTAFStock_Log[Part Name],$A26,T_TTAFStock_Log[WeekIndex],60)=0,"",SUMIFS(T_TTAFStock_Log[TTAF_Qty],T_TTAFStock_Log[Part Name],$A26,T_TTAFStock_Log[WeekIndex],60))</f>
        <v/>
      </c>
      <c r="BJ26" s="17">
        <f>IF(COUNTIFS(T_TTAFStock_Log[Part Name],$A26,T_TTAFStock_Log[WeekIndex],61)=0,"",SUMIFS(T_TTAFStock_Log[TTAF_Qty],T_TTAFStock_Log[Part Name],$A26,T_TTAFStock_Log[WeekIndex],61))</f>
        <v/>
      </c>
      <c r="BK26" s="17">
        <f>IF(COUNTIFS(T_TTAFStock_Log[Part Name],$A26,T_TTAFStock_Log[WeekIndex],62)=0,"",SUMIFS(T_TTAFStock_Log[TTAF_Qty],T_TTAFStock_Log[Part Name],$A26,T_TTAFStock_Log[WeekIndex],62))</f>
        <v/>
      </c>
      <c r="BL26" s="17">
        <f>IF(COUNTIFS(T_TTAFStock_Log[Part Name],$A26,T_TTAFStock_Log[WeekIndex],63)=0,"",SUMIFS(T_TTAFStock_Log[TTAF_Qty],T_TTAFStock_Log[Part Name],$A26,T_TTAFStock_Log[WeekIndex],63))</f>
        <v/>
      </c>
      <c r="BM26" s="17">
        <f>IF(COUNTIFS(T_TTAFStock_Log[Part Name],$A26,T_TTAFStock_Log[WeekIndex],64)=0,"",SUMIFS(T_TTAFStock_Log[TTAF_Qty],T_TTAFStock_Log[Part Name],$A26,T_TTAFStock_Log[WeekIndex],64))</f>
        <v/>
      </c>
      <c r="BN26" s="17">
        <f>IF(COUNTIFS(T_TTAFStock_Log[Part Name],$A26,T_TTAFStock_Log[WeekIndex],65)=0,"",SUMIFS(T_TTAFStock_Log[TTAF_Qty],T_TTAFStock_Log[Part Name],$A26,T_TTAFStock_Log[WeekIndex],65))</f>
        <v/>
      </c>
      <c r="BO26" s="17">
        <f>IF(COUNTIFS(T_TTAFStock_Log[Part Name],$A26,T_TTAFStock_Log[WeekIndex],66)=0,"",SUMIFS(T_TTAFStock_Log[TTAF_Qty],T_TTAFStock_Log[Part Name],$A26,T_TTAFStock_Log[WeekIndex],66))</f>
        <v/>
      </c>
      <c r="BP26" s="17">
        <f>IF(COUNTIFS(T_TTAFStock_Log[Part Name],$A26,T_TTAFStock_Log[WeekIndex],67)=0,"",SUMIFS(T_TTAFStock_Log[TTAF_Qty],T_TTAFStock_Log[Part Name],$A26,T_TTAFStock_Log[WeekIndex],67))</f>
        <v/>
      </c>
      <c r="BQ26" s="17">
        <f>IF(COUNTIFS(T_TTAFStock_Log[Part Name],$A26,T_TTAFStock_Log[WeekIndex],68)=0,"",SUMIFS(T_TTAFStock_Log[TTAF_Qty],T_TTAFStock_Log[Part Name],$A26,T_TTAFStock_Log[WeekIndex],68))</f>
        <v/>
      </c>
      <c r="BR26" s="17">
        <f>IF(COUNTIFS(T_TTAFStock_Log[Part Name],$A26,T_TTAFStock_Log[WeekIndex],69)=0,"",SUMIFS(T_TTAFStock_Log[TTAF_Qty],T_TTAFStock_Log[Part Name],$A26,T_TTAFStock_Log[WeekIndex],69))</f>
        <v/>
      </c>
      <c r="BS26" s="17">
        <f>IF(COUNTIFS(T_TTAFStock_Log[Part Name],$A26,T_TTAFStock_Log[WeekIndex],70)=0,"",SUMIFS(T_TTAFStock_Log[TTAF_Qty],T_TTAFStock_Log[Part Name],$A26,T_TTAFStock_Log[WeekIndex],70))</f>
        <v/>
      </c>
      <c r="BT26" s="17">
        <f>IF(COUNTIFS(T_TTAFStock_Log[Part Name],$A26,T_TTAFStock_Log[WeekIndex],71)=0,"",SUMIFS(T_TTAFStock_Log[TTAF_Qty],T_TTAFStock_Log[Part Name],$A26,T_TTAFStock_Log[WeekIndex],71))</f>
        <v/>
      </c>
      <c r="BU26" s="17">
        <f>IF(COUNTIFS(T_TTAFStock_Log[Part Name],$A26,T_TTAFStock_Log[WeekIndex],72)=0,"",SUMIFS(T_TTAFStock_Log[TTAF_Qty],T_TTAFStock_Log[Part Name],$A26,T_TTAFStock_Log[WeekIndex],72))</f>
        <v/>
      </c>
      <c r="BV26" s="17">
        <f>IF(COUNTIFS(T_TTAFStock_Log[Part Name],$A26,T_TTAFStock_Log[WeekIndex],73)=0,"",SUMIFS(T_TTAFStock_Log[TTAF_Qty],T_TTAFStock_Log[Part Name],$A26,T_TTAFStock_Log[WeekIndex],73))</f>
        <v/>
      </c>
      <c r="BW26" s="17">
        <f>IF(COUNTIFS(T_TTAFStock_Log[Part Name],$A26,T_TTAFStock_Log[WeekIndex],74)=0,"",SUMIFS(T_TTAFStock_Log[TTAF_Qty],T_TTAFStock_Log[Part Name],$A26,T_TTAFStock_Log[WeekIndex],74))</f>
        <v/>
      </c>
      <c r="BX26" s="17">
        <f>IF(COUNTIFS(T_TTAFStock_Log[Part Name],$A26,T_TTAFStock_Log[WeekIndex],75)=0,"",SUMIFS(T_TTAFStock_Log[TTAF_Qty],T_TTAFStock_Log[Part Name],$A26,T_TTAFStock_Log[WeekIndex],75))</f>
        <v/>
      </c>
      <c r="BY26" s="17">
        <f>IF(COUNTIFS(T_TTAFStock_Log[Part Name],$A26,T_TTAFStock_Log[WeekIndex],76)=0,"",SUMIFS(T_TTAFStock_Log[TTAF_Qty],T_TTAFStock_Log[Part Name],$A26,T_TTAFStock_Log[WeekIndex],76))</f>
        <v/>
      </c>
      <c r="BZ26" s="17">
        <f>IF(COUNTIFS(T_TTAFStock_Log[Part Name],$A26,T_TTAFStock_Log[WeekIndex],77)=0,"",SUMIFS(T_TTAFStock_Log[TTAF_Qty],T_TTAFStock_Log[Part Name],$A26,T_TTAFStock_Log[WeekIndex],77))</f>
        <v/>
      </c>
      <c r="CA26" s="17">
        <f>IF(COUNTIFS(T_TTAFStock_Log[Part Name],$A26,T_TTAFStock_Log[WeekIndex],78)=0,"",SUMIFS(T_TTAFStock_Log[TTAF_Qty],T_TTAFStock_Log[Part Name],$A26,T_TTAFStock_Log[WeekIndex],78))</f>
        <v/>
      </c>
      <c r="CB26" s="17">
        <f>IF(COUNTIFS(T_TTAFStock_Log[Part Name],$A26,T_TTAFStock_Log[WeekIndex],79)=0,"",SUMIFS(T_TTAFStock_Log[TTAF_Qty],T_TTAFStock_Log[Part Name],$A26,T_TTAFStock_Log[WeekIndex],79))</f>
        <v/>
      </c>
      <c r="CC26" s="17">
        <f>IF(COUNTIFS(T_TTAFStock_Log[Part Name],$A26,T_TTAFStock_Log[WeekIndex],80)=0,"",SUMIFS(T_TTAFStock_Log[TTAF_Qty],T_TTAFStock_Log[Part Name],$A26,T_TTAFStock_Log[WeekIndex],80))</f>
        <v/>
      </c>
      <c r="CD26" s="17">
        <f>IF(COUNTIFS(T_TTAFStock_Log[Part Name],$A26,T_TTAFStock_Log[WeekIndex],81)=0,"",SUMIFS(T_TTAFStock_Log[TTAF_Qty],T_TTAFStock_Log[Part Name],$A26,T_TTAFStock_Log[WeekIndex],81))</f>
        <v/>
      </c>
      <c r="CE26" s="17">
        <f>IF(COUNTIFS(T_TTAFStock_Log[Part Name],$A26,T_TTAFStock_Log[WeekIndex],82)=0,"",SUMIFS(T_TTAFStock_Log[TTAF_Qty],T_TTAFStock_Log[Part Name],$A26,T_TTAFStock_Log[WeekIndex],82))</f>
        <v/>
      </c>
      <c r="CF26" s="17">
        <f>IF(COUNTIFS(T_TTAFStock_Log[Part Name],$A26,T_TTAFStock_Log[WeekIndex],83)=0,"",SUMIFS(T_TTAFStock_Log[TTAF_Qty],T_TTAFStock_Log[Part Name],$A26,T_TTAFStock_Log[WeekIndex],83))</f>
        <v/>
      </c>
      <c r="CG26" s="17">
        <f>IF(COUNTIFS(T_TTAFStock_Log[Part Name],$A26,T_TTAFStock_Log[WeekIndex],84)=0,"",SUMIFS(T_TTAFStock_Log[TTAF_Qty],T_TTAFStock_Log[Part Name],$A26,T_TTAFStock_Log[WeekIndex],84))</f>
        <v/>
      </c>
      <c r="CH26" s="17">
        <f>IF(COUNTIFS(T_TTAFStock_Log[Part Name],$A26,T_TTAFStock_Log[WeekIndex],85)=0,"",SUMIFS(T_TTAFStock_Log[TTAF_Qty],T_TTAFStock_Log[Part Name],$A26,T_TTAFStock_Log[WeekIndex],85))</f>
        <v/>
      </c>
      <c r="CI26" s="17">
        <f>IF(COUNTIFS(T_TTAFStock_Log[Part Name],$A26,T_TTAFStock_Log[WeekIndex],86)=0,"",SUMIFS(T_TTAFStock_Log[TTAF_Qty],T_TTAFStock_Log[Part Name],$A26,T_TTAFStock_Log[WeekIndex],86))</f>
        <v/>
      </c>
      <c r="CJ26" s="17">
        <f>IF(COUNTIFS(T_TTAFStock_Log[Part Name],$A26,T_TTAFStock_Log[WeekIndex],87)=0,"",SUMIFS(T_TTAFStock_Log[TTAF_Qty],T_TTAFStock_Log[Part Name],$A26,T_TTAFStock_Log[WeekIndex],87))</f>
        <v/>
      </c>
      <c r="CK26" s="17">
        <f>IF(COUNTIFS(T_TTAFStock_Log[Part Name],$A26,T_TTAFStock_Log[WeekIndex],88)=0,"",SUMIFS(T_TTAFStock_Log[TTAF_Qty],T_TTAFStock_Log[Part Name],$A26,T_TTAFStock_Log[WeekIndex],88))</f>
        <v/>
      </c>
      <c r="CL26" s="17">
        <f>IF(COUNTIFS(T_TTAFStock_Log[Part Name],$A26,T_TTAFStock_Log[WeekIndex],89)=0,"",SUMIFS(T_TTAFStock_Log[TTAF_Qty],T_TTAFStock_Log[Part Name],$A26,T_TTAFStock_Log[WeekIndex],89))</f>
        <v/>
      </c>
      <c r="CM26" s="17">
        <f>IF(COUNTIFS(T_TTAFStock_Log[Part Name],$A26,T_TTAFStock_Log[WeekIndex],90)=0,"",SUMIFS(T_TTAFStock_Log[TTAF_Qty],T_TTAFStock_Log[Part Name],$A26,T_TTAFStock_Log[WeekIndex],90))</f>
        <v/>
      </c>
      <c r="CN26" s="17">
        <f>IF(COUNTIFS(T_TTAFStock_Log[Part Name],$A26,T_TTAFStock_Log[WeekIndex],91)=0,"",SUMIFS(T_TTAFStock_Log[TTAF_Qty],T_TTAFStock_Log[Part Name],$A26,T_TTAFStock_Log[WeekIndex],91))</f>
        <v/>
      </c>
      <c r="CO26" s="17">
        <f>IF(COUNTIFS(T_TTAFStock_Log[Part Name],$A26,T_TTAFStock_Log[WeekIndex],92)=0,"",SUMIFS(T_TTAFStock_Log[TTAF_Qty],T_TTAFStock_Log[Part Name],$A26,T_TTAFStock_Log[WeekIndex],92))</f>
        <v/>
      </c>
      <c r="CP26" s="17">
        <f>IF(COUNTIFS(T_TTAFStock_Log[Part Name],$A26,T_TTAFStock_Log[WeekIndex],93)=0,"",SUMIFS(T_TTAFStock_Log[TTAF_Qty],T_TTAFStock_Log[Part Name],$A26,T_TTAFStock_Log[WeekIndex],93))</f>
        <v/>
      </c>
      <c r="CQ26" s="17">
        <f>IF(COUNTIFS(T_TTAFStock_Log[Part Name],$A26,T_TTAFStock_Log[WeekIndex],94)=0,"",SUMIFS(T_TTAFStock_Log[TTAF_Qty],T_TTAFStock_Log[Part Name],$A26,T_TTAFStock_Log[WeekIndex],94))</f>
        <v/>
      </c>
      <c r="CR26" s="17">
        <f>IF(COUNTIFS(T_TTAFStock_Log[Part Name],$A26,T_TTAFStock_Log[WeekIndex],95)=0,"",SUMIFS(T_TTAFStock_Log[TTAF_Qty],T_TTAFStock_Log[Part Name],$A26,T_TTAFStock_Log[WeekIndex],95))</f>
        <v/>
      </c>
      <c r="CS26" s="17">
        <f>IF(COUNTIFS(T_TTAFStock_Log[Part Name],$A26,T_TTAFStock_Log[WeekIndex],96)=0,"",SUMIFS(T_TTAFStock_Log[TTAF_Qty],T_TTAFStock_Log[Part Name],$A26,T_TTAFStock_Log[WeekIndex],96))</f>
        <v/>
      </c>
      <c r="CT26" s="17">
        <f>IF(COUNTIFS(T_TTAFStock_Log[Part Name],$A26,T_TTAFStock_Log[WeekIndex],97)=0,"",SUMIFS(T_TTAFStock_Log[TTAF_Qty],T_TTAFStock_Log[Part Name],$A26,T_TTAFStock_Log[WeekIndex],97))</f>
        <v/>
      </c>
      <c r="CU26" s="17">
        <f>IF(COUNTIFS(T_TTAFStock_Log[Part Name],$A26,T_TTAFStock_Log[WeekIndex],98)=0,"",SUMIFS(T_TTAFStock_Log[TTAF_Qty],T_TTAFStock_Log[Part Name],$A26,T_TTAFStock_Log[WeekIndex],98))</f>
        <v/>
      </c>
      <c r="CV26" s="17">
        <f>IF(COUNTIFS(T_TTAFStock_Log[Part Name],$A26,T_TTAFStock_Log[WeekIndex],99)=0,"",SUMIFS(T_TTAFStock_Log[TTAF_Qty],T_TTAFStock_Log[Part Name],$A26,T_TTAFStock_Log[WeekIndex],99))</f>
        <v/>
      </c>
      <c r="CW26" s="17">
        <f>IF(COUNTIFS(T_TTAFStock_Log[Part Name],$A26,T_TTAFStock_Log[WeekIndex],100)=0,"",SUMIFS(T_TTAFStock_Log[TTAF_Qty],T_TTAFStock_Log[Part Name],$A26,T_TTAFStock_Log[WeekIndex],100))</f>
        <v/>
      </c>
      <c r="CX26" s="17">
        <f>IF(COUNTIFS(T_TTAFStock_Log[Part Name],$A26,T_TTAFStock_Log[WeekIndex],101)=0,"",SUMIFS(T_TTAFStock_Log[TTAF_Qty],T_TTAFStock_Log[Part Name],$A26,T_TTAFStock_Log[WeekIndex],101))</f>
        <v/>
      </c>
      <c r="CY26" s="17">
        <f>IF(COUNTIFS(T_TTAFStock_Log[Part Name],$A26,T_TTAFStock_Log[WeekIndex],102)=0,"",SUMIFS(T_TTAFStock_Log[TTAF_Qty],T_TTAFStock_Log[Part Name],$A26,T_TTAFStock_Log[WeekIndex],102))</f>
        <v/>
      </c>
      <c r="CZ26" s="17">
        <f>IF(COUNTIFS(T_TTAFStock_Log[Part Name],$A26,T_TTAFStock_Log[WeekIndex],103)=0,"",SUMIFS(T_TTAFStock_Log[TTAF_Qty],T_TTAFStock_Log[Part Name],$A26,T_TTAFStock_Log[WeekIndex],103))</f>
        <v/>
      </c>
      <c r="DA26" s="17">
        <f>IF(COUNTIFS(T_TTAFStock_Log[Part Name],$A26,T_TTAFStock_Log[WeekIndex],104)=0,"",SUMIFS(T_TTAFStock_Log[TTAF_Qty],T_TTAFStock_Log[Part Name],$A26,T_TTAFStock_Log[WeekIndex],104))</f>
        <v/>
      </c>
    </row>
    <row r="27">
      <c r="A27" s="19" t="inlineStr">
        <is>
          <t>CHEM-1110</t>
        </is>
      </c>
      <c r="B27" s="19">
        <f>IF(COUNTIFS(T_TTAFStock_Log[Part Name],$A27,T_TTAFStock_Log[WeekIndex],1)=0,"",SUMIFS(T_TTAFStock_Log[TTAF_Qty],T_TTAFStock_Log[Part Name],$A27,T_TTAFStock_Log[WeekIndex],1))</f>
        <v/>
      </c>
      <c r="C27" s="19">
        <f>IF(COUNTIFS(T_TTAFStock_Log[Part Name],$A27,T_TTAFStock_Log[WeekIndex],2)=0,"",SUMIFS(T_TTAFStock_Log[TTAF_Qty],T_TTAFStock_Log[Part Name],$A27,T_TTAFStock_Log[WeekIndex],2))</f>
        <v/>
      </c>
      <c r="D27" s="19">
        <f>IF(COUNTIFS(T_TTAFStock_Log[Part Name],$A27,T_TTAFStock_Log[WeekIndex],3)=0,"",SUMIFS(T_TTAFStock_Log[TTAF_Qty],T_TTAFStock_Log[Part Name],$A27,T_TTAFStock_Log[WeekIndex],3))</f>
        <v/>
      </c>
      <c r="E27" s="19">
        <f>IF(COUNTIFS(T_TTAFStock_Log[Part Name],$A27,T_TTAFStock_Log[WeekIndex],4)=0,"",SUMIFS(T_TTAFStock_Log[TTAF_Qty],T_TTAFStock_Log[Part Name],$A27,T_TTAFStock_Log[WeekIndex],4))</f>
        <v/>
      </c>
      <c r="F27" s="19">
        <f>IF(COUNTIFS(T_TTAFStock_Log[Part Name],$A27,T_TTAFStock_Log[WeekIndex],5)=0,"",SUMIFS(T_TTAFStock_Log[TTAF_Qty],T_TTAFStock_Log[Part Name],$A27,T_TTAFStock_Log[WeekIndex],5))</f>
        <v/>
      </c>
      <c r="G27" s="19">
        <f>IF(COUNTIFS(T_TTAFStock_Log[Part Name],$A27,T_TTAFStock_Log[WeekIndex],6)=0,"",SUMIFS(T_TTAFStock_Log[TTAF_Qty],T_TTAFStock_Log[Part Name],$A27,T_TTAFStock_Log[WeekIndex],6))</f>
        <v/>
      </c>
      <c r="H27" s="19">
        <f>IF(COUNTIFS(T_TTAFStock_Log[Part Name],$A27,T_TTAFStock_Log[WeekIndex],7)=0,"",SUMIFS(T_TTAFStock_Log[TTAF_Qty],T_TTAFStock_Log[Part Name],$A27,T_TTAFStock_Log[WeekIndex],7))</f>
        <v/>
      </c>
      <c r="I27" s="19">
        <f>IF(COUNTIFS(T_TTAFStock_Log[Part Name],$A27,T_TTAFStock_Log[WeekIndex],8)=0,"",SUMIFS(T_TTAFStock_Log[TTAF_Qty],T_TTAFStock_Log[Part Name],$A27,T_TTAFStock_Log[WeekIndex],8))</f>
        <v/>
      </c>
      <c r="J27" s="19">
        <f>IF(COUNTIFS(T_TTAFStock_Log[Part Name],$A27,T_TTAFStock_Log[WeekIndex],9)=0,"",SUMIFS(T_TTAFStock_Log[TTAF_Qty],T_TTAFStock_Log[Part Name],$A27,T_TTAFStock_Log[WeekIndex],9))</f>
        <v/>
      </c>
      <c r="K27" s="19">
        <f>IF(COUNTIFS(T_TTAFStock_Log[Part Name],$A27,T_TTAFStock_Log[WeekIndex],10)=0,"",SUMIFS(T_TTAFStock_Log[TTAF_Qty],T_TTAFStock_Log[Part Name],$A27,T_TTAFStock_Log[WeekIndex],10))</f>
        <v/>
      </c>
      <c r="L27" s="19">
        <f>IF(COUNTIFS(T_TTAFStock_Log[Part Name],$A27,T_TTAFStock_Log[WeekIndex],11)=0,"",SUMIFS(T_TTAFStock_Log[TTAF_Qty],T_TTAFStock_Log[Part Name],$A27,T_TTAFStock_Log[WeekIndex],11))</f>
        <v/>
      </c>
      <c r="M27" s="19">
        <f>IF(COUNTIFS(T_TTAFStock_Log[Part Name],$A27,T_TTAFStock_Log[WeekIndex],12)=0,"",SUMIFS(T_TTAFStock_Log[TTAF_Qty],T_TTAFStock_Log[Part Name],$A27,T_TTAFStock_Log[WeekIndex],12))</f>
        <v/>
      </c>
      <c r="N27" s="19">
        <f>IF(COUNTIFS(T_TTAFStock_Log[Part Name],$A27,T_TTAFStock_Log[WeekIndex],13)=0,"",SUMIFS(T_TTAFStock_Log[TTAF_Qty],T_TTAFStock_Log[Part Name],$A27,T_TTAFStock_Log[WeekIndex],13))</f>
        <v/>
      </c>
      <c r="O27" s="19">
        <f>IF(COUNTIFS(T_TTAFStock_Log[Part Name],$A27,T_TTAFStock_Log[WeekIndex],14)=0,"",SUMIFS(T_TTAFStock_Log[TTAF_Qty],T_TTAFStock_Log[Part Name],$A27,T_TTAFStock_Log[WeekIndex],14))</f>
        <v/>
      </c>
      <c r="P27" s="19">
        <f>IF(COUNTIFS(T_TTAFStock_Log[Part Name],$A27,T_TTAFStock_Log[WeekIndex],15)=0,"",SUMIFS(T_TTAFStock_Log[TTAF_Qty],T_TTAFStock_Log[Part Name],$A27,T_TTAFStock_Log[WeekIndex],15))</f>
        <v/>
      </c>
      <c r="Q27" s="19">
        <f>IF(COUNTIFS(T_TTAFStock_Log[Part Name],$A27,T_TTAFStock_Log[WeekIndex],16)=0,"",SUMIFS(T_TTAFStock_Log[TTAF_Qty],T_TTAFStock_Log[Part Name],$A27,T_TTAFStock_Log[WeekIndex],16))</f>
        <v/>
      </c>
      <c r="R27" s="19">
        <f>IF(COUNTIFS(T_TTAFStock_Log[Part Name],$A27,T_TTAFStock_Log[WeekIndex],17)=0,"",SUMIFS(T_TTAFStock_Log[TTAF_Qty],T_TTAFStock_Log[Part Name],$A27,T_TTAFStock_Log[WeekIndex],17))</f>
        <v/>
      </c>
      <c r="S27" s="19">
        <f>IF(COUNTIFS(T_TTAFStock_Log[Part Name],$A27,T_TTAFStock_Log[WeekIndex],18)=0,"",SUMIFS(T_TTAFStock_Log[TTAF_Qty],T_TTAFStock_Log[Part Name],$A27,T_TTAFStock_Log[WeekIndex],18))</f>
        <v/>
      </c>
      <c r="T27" s="19">
        <f>IF(COUNTIFS(T_TTAFStock_Log[Part Name],$A27,T_TTAFStock_Log[WeekIndex],19)=0,"",SUMIFS(T_TTAFStock_Log[TTAF_Qty],T_TTAFStock_Log[Part Name],$A27,T_TTAFStock_Log[WeekIndex],19))</f>
        <v/>
      </c>
      <c r="U27" s="19">
        <f>IF(COUNTIFS(T_TTAFStock_Log[Part Name],$A27,T_TTAFStock_Log[WeekIndex],20)=0,"",SUMIFS(T_TTAFStock_Log[TTAF_Qty],T_TTAFStock_Log[Part Name],$A27,T_TTAFStock_Log[WeekIndex],20))</f>
        <v/>
      </c>
      <c r="V27" s="19">
        <f>IF(COUNTIFS(T_TTAFStock_Log[Part Name],$A27,T_TTAFStock_Log[WeekIndex],21)=0,"",SUMIFS(T_TTAFStock_Log[TTAF_Qty],T_TTAFStock_Log[Part Name],$A27,T_TTAFStock_Log[WeekIndex],21))</f>
        <v/>
      </c>
      <c r="W27" s="19">
        <f>IF(COUNTIFS(T_TTAFStock_Log[Part Name],$A27,T_TTAFStock_Log[WeekIndex],22)=0,"",SUMIFS(T_TTAFStock_Log[TTAF_Qty],T_TTAFStock_Log[Part Name],$A27,T_TTAFStock_Log[WeekIndex],22))</f>
        <v/>
      </c>
      <c r="X27" s="19">
        <f>IF(COUNTIFS(T_TTAFStock_Log[Part Name],$A27,T_TTAFStock_Log[WeekIndex],23)=0,"",SUMIFS(T_TTAFStock_Log[TTAF_Qty],T_TTAFStock_Log[Part Name],$A27,T_TTAFStock_Log[WeekIndex],23))</f>
        <v/>
      </c>
      <c r="Y27" s="19">
        <f>IF(COUNTIFS(T_TTAFStock_Log[Part Name],$A27,T_TTAFStock_Log[WeekIndex],24)=0,"",SUMIFS(T_TTAFStock_Log[TTAF_Qty],T_TTAFStock_Log[Part Name],$A27,T_TTAFStock_Log[WeekIndex],24))</f>
        <v/>
      </c>
      <c r="Z27" s="19">
        <f>IF(COUNTIFS(T_TTAFStock_Log[Part Name],$A27,T_TTAFStock_Log[WeekIndex],25)=0,"",SUMIFS(T_TTAFStock_Log[TTAF_Qty],T_TTAFStock_Log[Part Name],$A27,T_TTAFStock_Log[WeekIndex],25))</f>
        <v/>
      </c>
      <c r="AA27" s="19">
        <f>IF(COUNTIFS(T_TTAFStock_Log[Part Name],$A27,T_TTAFStock_Log[WeekIndex],26)=0,"",SUMIFS(T_TTAFStock_Log[TTAF_Qty],T_TTAFStock_Log[Part Name],$A27,T_TTAFStock_Log[WeekIndex],26))</f>
        <v/>
      </c>
      <c r="AB27" s="19">
        <f>IF(COUNTIFS(T_TTAFStock_Log[Part Name],$A27,T_TTAFStock_Log[WeekIndex],27)=0,"",SUMIFS(T_TTAFStock_Log[TTAF_Qty],T_TTAFStock_Log[Part Name],$A27,T_TTAFStock_Log[WeekIndex],27))</f>
        <v/>
      </c>
      <c r="AC27" s="19">
        <f>IF(COUNTIFS(T_TTAFStock_Log[Part Name],$A27,T_TTAFStock_Log[WeekIndex],28)=0,"",SUMIFS(T_TTAFStock_Log[TTAF_Qty],T_TTAFStock_Log[Part Name],$A27,T_TTAFStock_Log[WeekIndex],28))</f>
        <v/>
      </c>
      <c r="AD27" s="19">
        <f>IF(COUNTIFS(T_TTAFStock_Log[Part Name],$A27,T_TTAFStock_Log[WeekIndex],29)=0,"",SUMIFS(T_TTAFStock_Log[TTAF_Qty],T_TTAFStock_Log[Part Name],$A27,T_TTAFStock_Log[WeekIndex],29))</f>
        <v/>
      </c>
      <c r="AE27" s="19">
        <f>IF(COUNTIFS(T_TTAFStock_Log[Part Name],$A27,T_TTAFStock_Log[WeekIndex],30)=0,"",SUMIFS(T_TTAFStock_Log[TTAF_Qty],T_TTAFStock_Log[Part Name],$A27,T_TTAFStock_Log[WeekIndex],30))</f>
        <v/>
      </c>
      <c r="AF27" s="19">
        <f>IF(COUNTIFS(T_TTAFStock_Log[Part Name],$A27,T_TTAFStock_Log[WeekIndex],31)=0,"",SUMIFS(T_TTAFStock_Log[TTAF_Qty],T_TTAFStock_Log[Part Name],$A27,T_TTAFStock_Log[WeekIndex],31))</f>
        <v/>
      </c>
      <c r="AG27" s="19">
        <f>IF(COUNTIFS(T_TTAFStock_Log[Part Name],$A27,T_TTAFStock_Log[WeekIndex],32)=0,"",SUMIFS(T_TTAFStock_Log[TTAF_Qty],T_TTAFStock_Log[Part Name],$A27,T_TTAFStock_Log[WeekIndex],32))</f>
        <v/>
      </c>
      <c r="AH27" s="19">
        <f>IF(COUNTIFS(T_TTAFStock_Log[Part Name],$A27,T_TTAFStock_Log[WeekIndex],33)=0,"",SUMIFS(T_TTAFStock_Log[TTAF_Qty],T_TTAFStock_Log[Part Name],$A27,T_TTAFStock_Log[WeekIndex],33))</f>
        <v/>
      </c>
      <c r="AI27" s="19">
        <f>IF(COUNTIFS(T_TTAFStock_Log[Part Name],$A27,T_TTAFStock_Log[WeekIndex],34)=0,"",SUMIFS(T_TTAFStock_Log[TTAF_Qty],T_TTAFStock_Log[Part Name],$A27,T_TTAFStock_Log[WeekIndex],34))</f>
        <v/>
      </c>
      <c r="AJ27" s="19">
        <f>IF(COUNTIFS(T_TTAFStock_Log[Part Name],$A27,T_TTAFStock_Log[WeekIndex],35)=0,"",SUMIFS(T_TTAFStock_Log[TTAF_Qty],T_TTAFStock_Log[Part Name],$A27,T_TTAFStock_Log[WeekIndex],35))</f>
        <v/>
      </c>
      <c r="AK27" s="19">
        <f>IF(COUNTIFS(T_TTAFStock_Log[Part Name],$A27,T_TTAFStock_Log[WeekIndex],36)=0,"",SUMIFS(T_TTAFStock_Log[TTAF_Qty],T_TTAFStock_Log[Part Name],$A27,T_TTAFStock_Log[WeekIndex],36))</f>
        <v/>
      </c>
      <c r="AL27" s="19">
        <f>IF(COUNTIFS(T_TTAFStock_Log[Part Name],$A27,T_TTAFStock_Log[WeekIndex],37)=0,"",SUMIFS(T_TTAFStock_Log[TTAF_Qty],T_TTAFStock_Log[Part Name],$A27,T_TTAFStock_Log[WeekIndex],37))</f>
        <v/>
      </c>
      <c r="AM27" s="19">
        <f>IF(COUNTIFS(T_TTAFStock_Log[Part Name],$A27,T_TTAFStock_Log[WeekIndex],38)=0,"",SUMIFS(T_TTAFStock_Log[TTAF_Qty],T_TTAFStock_Log[Part Name],$A27,T_TTAFStock_Log[WeekIndex],38))</f>
        <v/>
      </c>
      <c r="AN27" s="19">
        <f>IF(COUNTIFS(T_TTAFStock_Log[Part Name],$A27,T_TTAFStock_Log[WeekIndex],39)=0,"",SUMIFS(T_TTAFStock_Log[TTAF_Qty],T_TTAFStock_Log[Part Name],$A27,T_TTAFStock_Log[WeekIndex],39))</f>
        <v/>
      </c>
      <c r="AO27" s="19">
        <f>IF(COUNTIFS(T_TTAFStock_Log[Part Name],$A27,T_TTAFStock_Log[WeekIndex],40)=0,"",SUMIFS(T_TTAFStock_Log[TTAF_Qty],T_TTAFStock_Log[Part Name],$A27,T_TTAFStock_Log[WeekIndex],40))</f>
        <v/>
      </c>
      <c r="AP27" s="19">
        <f>IF(COUNTIFS(T_TTAFStock_Log[Part Name],$A27,T_TTAFStock_Log[WeekIndex],41)=0,"",SUMIFS(T_TTAFStock_Log[TTAF_Qty],T_TTAFStock_Log[Part Name],$A27,T_TTAFStock_Log[WeekIndex],41))</f>
        <v/>
      </c>
      <c r="AQ27" s="19">
        <f>IF(COUNTIFS(T_TTAFStock_Log[Part Name],$A27,T_TTAFStock_Log[WeekIndex],42)=0,"",SUMIFS(T_TTAFStock_Log[TTAF_Qty],T_TTAFStock_Log[Part Name],$A27,T_TTAFStock_Log[WeekIndex],42))</f>
        <v/>
      </c>
      <c r="AR27" s="19">
        <f>IF(COUNTIFS(T_TTAFStock_Log[Part Name],$A27,T_TTAFStock_Log[WeekIndex],43)=0,"",SUMIFS(T_TTAFStock_Log[TTAF_Qty],T_TTAFStock_Log[Part Name],$A27,T_TTAFStock_Log[WeekIndex],43))</f>
        <v/>
      </c>
      <c r="AS27" s="19">
        <f>IF(COUNTIFS(T_TTAFStock_Log[Part Name],$A27,T_TTAFStock_Log[WeekIndex],44)=0,"",SUMIFS(T_TTAFStock_Log[TTAF_Qty],T_TTAFStock_Log[Part Name],$A27,T_TTAFStock_Log[WeekIndex],44))</f>
        <v/>
      </c>
      <c r="AT27" s="19">
        <f>IF(COUNTIFS(T_TTAFStock_Log[Part Name],$A27,T_TTAFStock_Log[WeekIndex],45)=0,"",SUMIFS(T_TTAFStock_Log[TTAF_Qty],T_TTAFStock_Log[Part Name],$A27,T_TTAFStock_Log[WeekIndex],45))</f>
        <v/>
      </c>
      <c r="AU27" s="19">
        <f>IF(COUNTIFS(T_TTAFStock_Log[Part Name],$A27,T_TTAFStock_Log[WeekIndex],46)=0,"",SUMIFS(T_TTAFStock_Log[TTAF_Qty],T_TTAFStock_Log[Part Name],$A27,T_TTAFStock_Log[WeekIndex],46))</f>
        <v/>
      </c>
      <c r="AV27" s="19">
        <f>IF(COUNTIFS(T_TTAFStock_Log[Part Name],$A27,T_TTAFStock_Log[WeekIndex],47)=0,"",SUMIFS(T_TTAFStock_Log[TTAF_Qty],T_TTAFStock_Log[Part Name],$A27,T_TTAFStock_Log[WeekIndex],47))</f>
        <v/>
      </c>
      <c r="AW27" s="19">
        <f>IF(COUNTIFS(T_TTAFStock_Log[Part Name],$A27,T_TTAFStock_Log[WeekIndex],48)=0,"",SUMIFS(T_TTAFStock_Log[TTAF_Qty],T_TTAFStock_Log[Part Name],$A27,T_TTAFStock_Log[WeekIndex],48))</f>
        <v/>
      </c>
      <c r="AX27" s="19">
        <f>IF(COUNTIFS(T_TTAFStock_Log[Part Name],$A27,T_TTAFStock_Log[WeekIndex],49)=0,"",SUMIFS(T_TTAFStock_Log[TTAF_Qty],T_TTAFStock_Log[Part Name],$A27,T_TTAFStock_Log[WeekIndex],49))</f>
        <v/>
      </c>
      <c r="AY27" s="19">
        <f>IF(COUNTIFS(T_TTAFStock_Log[Part Name],$A27,T_TTAFStock_Log[WeekIndex],50)=0,"",SUMIFS(T_TTAFStock_Log[TTAF_Qty],T_TTAFStock_Log[Part Name],$A27,T_TTAFStock_Log[WeekIndex],50))</f>
        <v/>
      </c>
      <c r="AZ27" s="19">
        <f>IF(COUNTIFS(T_TTAFStock_Log[Part Name],$A27,T_TTAFStock_Log[WeekIndex],51)=0,"",SUMIFS(T_TTAFStock_Log[TTAF_Qty],T_TTAFStock_Log[Part Name],$A27,T_TTAFStock_Log[WeekIndex],51))</f>
        <v/>
      </c>
      <c r="BA27" s="19">
        <f>IF(COUNTIFS(T_TTAFStock_Log[Part Name],$A27,T_TTAFStock_Log[WeekIndex],52)=0,"",SUMIFS(T_TTAFStock_Log[TTAF_Qty],T_TTAFStock_Log[Part Name],$A27,T_TTAFStock_Log[WeekIndex],52))</f>
        <v/>
      </c>
      <c r="BB27" s="19">
        <f>IF(COUNTIFS(T_TTAFStock_Log[Part Name],$A27,T_TTAFStock_Log[WeekIndex],53)=0,"",SUMIFS(T_TTAFStock_Log[TTAF_Qty],T_TTAFStock_Log[Part Name],$A27,T_TTAFStock_Log[WeekIndex],53))</f>
        <v/>
      </c>
      <c r="BC27" s="19">
        <f>IF(COUNTIFS(T_TTAFStock_Log[Part Name],$A27,T_TTAFStock_Log[WeekIndex],54)=0,"",SUMIFS(T_TTAFStock_Log[TTAF_Qty],T_TTAFStock_Log[Part Name],$A27,T_TTAFStock_Log[WeekIndex],54))</f>
        <v/>
      </c>
      <c r="BD27" s="19">
        <f>IF(COUNTIFS(T_TTAFStock_Log[Part Name],$A27,T_TTAFStock_Log[WeekIndex],55)=0,"",SUMIFS(T_TTAFStock_Log[TTAF_Qty],T_TTAFStock_Log[Part Name],$A27,T_TTAFStock_Log[WeekIndex],55))</f>
        <v/>
      </c>
      <c r="BE27" s="19">
        <f>IF(COUNTIFS(T_TTAFStock_Log[Part Name],$A27,T_TTAFStock_Log[WeekIndex],56)=0,"",SUMIFS(T_TTAFStock_Log[TTAF_Qty],T_TTAFStock_Log[Part Name],$A27,T_TTAFStock_Log[WeekIndex],56))</f>
        <v/>
      </c>
      <c r="BF27" s="19">
        <f>IF(COUNTIFS(T_TTAFStock_Log[Part Name],$A27,T_TTAFStock_Log[WeekIndex],57)=0,"",SUMIFS(T_TTAFStock_Log[TTAF_Qty],T_TTAFStock_Log[Part Name],$A27,T_TTAFStock_Log[WeekIndex],57))</f>
        <v/>
      </c>
      <c r="BG27" s="19">
        <f>IF(COUNTIFS(T_TTAFStock_Log[Part Name],$A27,T_TTAFStock_Log[WeekIndex],58)=0,"",SUMIFS(T_TTAFStock_Log[TTAF_Qty],T_TTAFStock_Log[Part Name],$A27,T_TTAFStock_Log[WeekIndex],58))</f>
        <v/>
      </c>
      <c r="BH27" s="19">
        <f>IF(COUNTIFS(T_TTAFStock_Log[Part Name],$A27,T_TTAFStock_Log[WeekIndex],59)=0,"",SUMIFS(T_TTAFStock_Log[TTAF_Qty],T_TTAFStock_Log[Part Name],$A27,T_TTAFStock_Log[WeekIndex],59))</f>
        <v/>
      </c>
      <c r="BI27" s="19">
        <f>IF(COUNTIFS(T_TTAFStock_Log[Part Name],$A27,T_TTAFStock_Log[WeekIndex],60)=0,"",SUMIFS(T_TTAFStock_Log[TTAF_Qty],T_TTAFStock_Log[Part Name],$A27,T_TTAFStock_Log[WeekIndex],60))</f>
        <v/>
      </c>
      <c r="BJ27" s="19">
        <f>IF(COUNTIFS(T_TTAFStock_Log[Part Name],$A27,T_TTAFStock_Log[WeekIndex],61)=0,"",SUMIFS(T_TTAFStock_Log[TTAF_Qty],T_TTAFStock_Log[Part Name],$A27,T_TTAFStock_Log[WeekIndex],61))</f>
        <v/>
      </c>
      <c r="BK27" s="19">
        <f>IF(COUNTIFS(T_TTAFStock_Log[Part Name],$A27,T_TTAFStock_Log[WeekIndex],62)=0,"",SUMIFS(T_TTAFStock_Log[TTAF_Qty],T_TTAFStock_Log[Part Name],$A27,T_TTAFStock_Log[WeekIndex],62))</f>
        <v/>
      </c>
      <c r="BL27" s="19">
        <f>IF(COUNTIFS(T_TTAFStock_Log[Part Name],$A27,T_TTAFStock_Log[WeekIndex],63)=0,"",SUMIFS(T_TTAFStock_Log[TTAF_Qty],T_TTAFStock_Log[Part Name],$A27,T_TTAFStock_Log[WeekIndex],63))</f>
        <v/>
      </c>
      <c r="BM27" s="19">
        <f>IF(COUNTIFS(T_TTAFStock_Log[Part Name],$A27,T_TTAFStock_Log[WeekIndex],64)=0,"",SUMIFS(T_TTAFStock_Log[TTAF_Qty],T_TTAFStock_Log[Part Name],$A27,T_TTAFStock_Log[WeekIndex],64))</f>
        <v/>
      </c>
      <c r="BN27" s="19">
        <f>IF(COUNTIFS(T_TTAFStock_Log[Part Name],$A27,T_TTAFStock_Log[WeekIndex],65)=0,"",SUMIFS(T_TTAFStock_Log[TTAF_Qty],T_TTAFStock_Log[Part Name],$A27,T_TTAFStock_Log[WeekIndex],65))</f>
        <v/>
      </c>
      <c r="BO27" s="19">
        <f>IF(COUNTIFS(T_TTAFStock_Log[Part Name],$A27,T_TTAFStock_Log[WeekIndex],66)=0,"",SUMIFS(T_TTAFStock_Log[TTAF_Qty],T_TTAFStock_Log[Part Name],$A27,T_TTAFStock_Log[WeekIndex],66))</f>
        <v/>
      </c>
      <c r="BP27" s="19">
        <f>IF(COUNTIFS(T_TTAFStock_Log[Part Name],$A27,T_TTAFStock_Log[WeekIndex],67)=0,"",SUMIFS(T_TTAFStock_Log[TTAF_Qty],T_TTAFStock_Log[Part Name],$A27,T_TTAFStock_Log[WeekIndex],67))</f>
        <v/>
      </c>
      <c r="BQ27" s="19">
        <f>IF(COUNTIFS(T_TTAFStock_Log[Part Name],$A27,T_TTAFStock_Log[WeekIndex],68)=0,"",SUMIFS(T_TTAFStock_Log[TTAF_Qty],T_TTAFStock_Log[Part Name],$A27,T_TTAFStock_Log[WeekIndex],68))</f>
        <v/>
      </c>
      <c r="BR27" s="19">
        <f>IF(COUNTIFS(T_TTAFStock_Log[Part Name],$A27,T_TTAFStock_Log[WeekIndex],69)=0,"",SUMIFS(T_TTAFStock_Log[TTAF_Qty],T_TTAFStock_Log[Part Name],$A27,T_TTAFStock_Log[WeekIndex],69))</f>
        <v/>
      </c>
      <c r="BS27" s="19">
        <f>IF(COUNTIFS(T_TTAFStock_Log[Part Name],$A27,T_TTAFStock_Log[WeekIndex],70)=0,"",SUMIFS(T_TTAFStock_Log[TTAF_Qty],T_TTAFStock_Log[Part Name],$A27,T_TTAFStock_Log[WeekIndex],70))</f>
        <v/>
      </c>
      <c r="BT27" s="19">
        <f>IF(COUNTIFS(T_TTAFStock_Log[Part Name],$A27,T_TTAFStock_Log[WeekIndex],71)=0,"",SUMIFS(T_TTAFStock_Log[TTAF_Qty],T_TTAFStock_Log[Part Name],$A27,T_TTAFStock_Log[WeekIndex],71))</f>
        <v/>
      </c>
      <c r="BU27" s="19">
        <f>IF(COUNTIFS(T_TTAFStock_Log[Part Name],$A27,T_TTAFStock_Log[WeekIndex],72)=0,"",SUMIFS(T_TTAFStock_Log[TTAF_Qty],T_TTAFStock_Log[Part Name],$A27,T_TTAFStock_Log[WeekIndex],72))</f>
        <v/>
      </c>
      <c r="BV27" s="19">
        <f>IF(COUNTIFS(T_TTAFStock_Log[Part Name],$A27,T_TTAFStock_Log[WeekIndex],73)=0,"",SUMIFS(T_TTAFStock_Log[TTAF_Qty],T_TTAFStock_Log[Part Name],$A27,T_TTAFStock_Log[WeekIndex],73))</f>
        <v/>
      </c>
      <c r="BW27" s="19">
        <f>IF(COUNTIFS(T_TTAFStock_Log[Part Name],$A27,T_TTAFStock_Log[WeekIndex],74)=0,"",SUMIFS(T_TTAFStock_Log[TTAF_Qty],T_TTAFStock_Log[Part Name],$A27,T_TTAFStock_Log[WeekIndex],74))</f>
        <v/>
      </c>
      <c r="BX27" s="19">
        <f>IF(COUNTIFS(T_TTAFStock_Log[Part Name],$A27,T_TTAFStock_Log[WeekIndex],75)=0,"",SUMIFS(T_TTAFStock_Log[TTAF_Qty],T_TTAFStock_Log[Part Name],$A27,T_TTAFStock_Log[WeekIndex],75))</f>
        <v/>
      </c>
      <c r="BY27" s="19">
        <f>IF(COUNTIFS(T_TTAFStock_Log[Part Name],$A27,T_TTAFStock_Log[WeekIndex],76)=0,"",SUMIFS(T_TTAFStock_Log[TTAF_Qty],T_TTAFStock_Log[Part Name],$A27,T_TTAFStock_Log[WeekIndex],76))</f>
        <v/>
      </c>
      <c r="BZ27" s="19">
        <f>IF(COUNTIFS(T_TTAFStock_Log[Part Name],$A27,T_TTAFStock_Log[WeekIndex],77)=0,"",SUMIFS(T_TTAFStock_Log[TTAF_Qty],T_TTAFStock_Log[Part Name],$A27,T_TTAFStock_Log[WeekIndex],77))</f>
        <v/>
      </c>
      <c r="CA27" s="19">
        <f>IF(COUNTIFS(T_TTAFStock_Log[Part Name],$A27,T_TTAFStock_Log[WeekIndex],78)=0,"",SUMIFS(T_TTAFStock_Log[TTAF_Qty],T_TTAFStock_Log[Part Name],$A27,T_TTAFStock_Log[WeekIndex],78))</f>
        <v/>
      </c>
      <c r="CB27" s="19">
        <f>IF(COUNTIFS(T_TTAFStock_Log[Part Name],$A27,T_TTAFStock_Log[WeekIndex],79)=0,"",SUMIFS(T_TTAFStock_Log[TTAF_Qty],T_TTAFStock_Log[Part Name],$A27,T_TTAFStock_Log[WeekIndex],79))</f>
        <v/>
      </c>
      <c r="CC27" s="19">
        <f>IF(COUNTIFS(T_TTAFStock_Log[Part Name],$A27,T_TTAFStock_Log[WeekIndex],80)=0,"",SUMIFS(T_TTAFStock_Log[TTAF_Qty],T_TTAFStock_Log[Part Name],$A27,T_TTAFStock_Log[WeekIndex],80))</f>
        <v/>
      </c>
      <c r="CD27" s="19">
        <f>IF(COUNTIFS(T_TTAFStock_Log[Part Name],$A27,T_TTAFStock_Log[WeekIndex],81)=0,"",SUMIFS(T_TTAFStock_Log[TTAF_Qty],T_TTAFStock_Log[Part Name],$A27,T_TTAFStock_Log[WeekIndex],81))</f>
        <v/>
      </c>
      <c r="CE27" s="19">
        <f>IF(COUNTIFS(T_TTAFStock_Log[Part Name],$A27,T_TTAFStock_Log[WeekIndex],82)=0,"",SUMIFS(T_TTAFStock_Log[TTAF_Qty],T_TTAFStock_Log[Part Name],$A27,T_TTAFStock_Log[WeekIndex],82))</f>
        <v/>
      </c>
      <c r="CF27" s="19">
        <f>IF(COUNTIFS(T_TTAFStock_Log[Part Name],$A27,T_TTAFStock_Log[WeekIndex],83)=0,"",SUMIFS(T_TTAFStock_Log[TTAF_Qty],T_TTAFStock_Log[Part Name],$A27,T_TTAFStock_Log[WeekIndex],83))</f>
        <v/>
      </c>
      <c r="CG27" s="19">
        <f>IF(COUNTIFS(T_TTAFStock_Log[Part Name],$A27,T_TTAFStock_Log[WeekIndex],84)=0,"",SUMIFS(T_TTAFStock_Log[TTAF_Qty],T_TTAFStock_Log[Part Name],$A27,T_TTAFStock_Log[WeekIndex],84))</f>
        <v/>
      </c>
      <c r="CH27" s="19">
        <f>IF(COUNTIFS(T_TTAFStock_Log[Part Name],$A27,T_TTAFStock_Log[WeekIndex],85)=0,"",SUMIFS(T_TTAFStock_Log[TTAF_Qty],T_TTAFStock_Log[Part Name],$A27,T_TTAFStock_Log[WeekIndex],85))</f>
        <v/>
      </c>
      <c r="CI27" s="19">
        <f>IF(COUNTIFS(T_TTAFStock_Log[Part Name],$A27,T_TTAFStock_Log[WeekIndex],86)=0,"",SUMIFS(T_TTAFStock_Log[TTAF_Qty],T_TTAFStock_Log[Part Name],$A27,T_TTAFStock_Log[WeekIndex],86))</f>
        <v/>
      </c>
      <c r="CJ27" s="19">
        <f>IF(COUNTIFS(T_TTAFStock_Log[Part Name],$A27,T_TTAFStock_Log[WeekIndex],87)=0,"",SUMIFS(T_TTAFStock_Log[TTAF_Qty],T_TTAFStock_Log[Part Name],$A27,T_TTAFStock_Log[WeekIndex],87))</f>
        <v/>
      </c>
      <c r="CK27" s="19">
        <f>IF(COUNTIFS(T_TTAFStock_Log[Part Name],$A27,T_TTAFStock_Log[WeekIndex],88)=0,"",SUMIFS(T_TTAFStock_Log[TTAF_Qty],T_TTAFStock_Log[Part Name],$A27,T_TTAFStock_Log[WeekIndex],88))</f>
        <v/>
      </c>
      <c r="CL27" s="19">
        <f>IF(COUNTIFS(T_TTAFStock_Log[Part Name],$A27,T_TTAFStock_Log[WeekIndex],89)=0,"",SUMIFS(T_TTAFStock_Log[TTAF_Qty],T_TTAFStock_Log[Part Name],$A27,T_TTAFStock_Log[WeekIndex],89))</f>
        <v/>
      </c>
      <c r="CM27" s="19">
        <f>IF(COUNTIFS(T_TTAFStock_Log[Part Name],$A27,T_TTAFStock_Log[WeekIndex],90)=0,"",SUMIFS(T_TTAFStock_Log[TTAF_Qty],T_TTAFStock_Log[Part Name],$A27,T_TTAFStock_Log[WeekIndex],90))</f>
        <v/>
      </c>
      <c r="CN27" s="19">
        <f>IF(COUNTIFS(T_TTAFStock_Log[Part Name],$A27,T_TTAFStock_Log[WeekIndex],91)=0,"",SUMIFS(T_TTAFStock_Log[TTAF_Qty],T_TTAFStock_Log[Part Name],$A27,T_TTAFStock_Log[WeekIndex],91))</f>
        <v/>
      </c>
      <c r="CO27" s="19">
        <f>IF(COUNTIFS(T_TTAFStock_Log[Part Name],$A27,T_TTAFStock_Log[WeekIndex],92)=0,"",SUMIFS(T_TTAFStock_Log[TTAF_Qty],T_TTAFStock_Log[Part Name],$A27,T_TTAFStock_Log[WeekIndex],92))</f>
        <v/>
      </c>
      <c r="CP27" s="19">
        <f>IF(COUNTIFS(T_TTAFStock_Log[Part Name],$A27,T_TTAFStock_Log[WeekIndex],93)=0,"",SUMIFS(T_TTAFStock_Log[TTAF_Qty],T_TTAFStock_Log[Part Name],$A27,T_TTAFStock_Log[WeekIndex],93))</f>
        <v/>
      </c>
      <c r="CQ27" s="19">
        <f>IF(COUNTIFS(T_TTAFStock_Log[Part Name],$A27,T_TTAFStock_Log[WeekIndex],94)=0,"",SUMIFS(T_TTAFStock_Log[TTAF_Qty],T_TTAFStock_Log[Part Name],$A27,T_TTAFStock_Log[WeekIndex],94))</f>
        <v/>
      </c>
      <c r="CR27" s="19">
        <f>IF(COUNTIFS(T_TTAFStock_Log[Part Name],$A27,T_TTAFStock_Log[WeekIndex],95)=0,"",SUMIFS(T_TTAFStock_Log[TTAF_Qty],T_TTAFStock_Log[Part Name],$A27,T_TTAFStock_Log[WeekIndex],95))</f>
        <v/>
      </c>
      <c r="CS27" s="19">
        <f>IF(COUNTIFS(T_TTAFStock_Log[Part Name],$A27,T_TTAFStock_Log[WeekIndex],96)=0,"",SUMIFS(T_TTAFStock_Log[TTAF_Qty],T_TTAFStock_Log[Part Name],$A27,T_TTAFStock_Log[WeekIndex],96))</f>
        <v/>
      </c>
      <c r="CT27" s="19">
        <f>IF(COUNTIFS(T_TTAFStock_Log[Part Name],$A27,T_TTAFStock_Log[WeekIndex],97)=0,"",SUMIFS(T_TTAFStock_Log[TTAF_Qty],T_TTAFStock_Log[Part Name],$A27,T_TTAFStock_Log[WeekIndex],97))</f>
        <v/>
      </c>
      <c r="CU27" s="19">
        <f>IF(COUNTIFS(T_TTAFStock_Log[Part Name],$A27,T_TTAFStock_Log[WeekIndex],98)=0,"",SUMIFS(T_TTAFStock_Log[TTAF_Qty],T_TTAFStock_Log[Part Name],$A27,T_TTAFStock_Log[WeekIndex],98))</f>
        <v/>
      </c>
      <c r="CV27" s="19">
        <f>IF(COUNTIFS(T_TTAFStock_Log[Part Name],$A27,T_TTAFStock_Log[WeekIndex],99)=0,"",SUMIFS(T_TTAFStock_Log[TTAF_Qty],T_TTAFStock_Log[Part Name],$A27,T_TTAFStock_Log[WeekIndex],99))</f>
        <v/>
      </c>
      <c r="CW27" s="19">
        <f>IF(COUNTIFS(T_TTAFStock_Log[Part Name],$A27,T_TTAFStock_Log[WeekIndex],100)=0,"",SUMIFS(T_TTAFStock_Log[TTAF_Qty],T_TTAFStock_Log[Part Name],$A27,T_TTAFStock_Log[WeekIndex],100))</f>
        <v/>
      </c>
      <c r="CX27" s="19">
        <f>IF(COUNTIFS(T_TTAFStock_Log[Part Name],$A27,T_TTAFStock_Log[WeekIndex],101)=0,"",SUMIFS(T_TTAFStock_Log[TTAF_Qty],T_TTAFStock_Log[Part Name],$A27,T_TTAFStock_Log[WeekIndex],101))</f>
        <v/>
      </c>
      <c r="CY27" s="19">
        <f>IF(COUNTIFS(T_TTAFStock_Log[Part Name],$A27,T_TTAFStock_Log[WeekIndex],102)=0,"",SUMIFS(T_TTAFStock_Log[TTAF_Qty],T_TTAFStock_Log[Part Name],$A27,T_TTAFStock_Log[WeekIndex],102))</f>
        <v/>
      </c>
      <c r="CZ27" s="19">
        <f>IF(COUNTIFS(T_TTAFStock_Log[Part Name],$A27,T_TTAFStock_Log[WeekIndex],103)=0,"",SUMIFS(T_TTAFStock_Log[TTAF_Qty],T_TTAFStock_Log[Part Name],$A27,T_TTAFStock_Log[WeekIndex],103))</f>
        <v/>
      </c>
      <c r="DA27" s="19">
        <f>IF(COUNTIFS(T_TTAFStock_Log[Part Name],$A27,T_TTAFStock_Log[WeekIndex],104)=0,"",SUMIFS(T_TTAFStock_Log[TTAF_Qty],T_TTAFStock_Log[Part Name],$A27,T_TTAFStock_Log[WeekIndex],104))</f>
        <v/>
      </c>
    </row>
    <row r="28">
      <c r="A28" s="17" t="inlineStr">
        <is>
          <t>CHEM-1240</t>
        </is>
      </c>
      <c r="B28" s="17">
        <f>IF(COUNTIFS(T_TTAFStock_Log[Part Name],$A28,T_TTAFStock_Log[WeekIndex],1)=0,"",SUMIFS(T_TTAFStock_Log[TTAF_Qty],T_TTAFStock_Log[Part Name],$A28,T_TTAFStock_Log[WeekIndex],1))</f>
        <v/>
      </c>
      <c r="C28" s="17">
        <f>IF(COUNTIFS(T_TTAFStock_Log[Part Name],$A28,T_TTAFStock_Log[WeekIndex],2)=0,"",SUMIFS(T_TTAFStock_Log[TTAF_Qty],T_TTAFStock_Log[Part Name],$A28,T_TTAFStock_Log[WeekIndex],2))</f>
        <v/>
      </c>
      <c r="D28" s="17">
        <f>IF(COUNTIFS(T_TTAFStock_Log[Part Name],$A28,T_TTAFStock_Log[WeekIndex],3)=0,"",SUMIFS(T_TTAFStock_Log[TTAF_Qty],T_TTAFStock_Log[Part Name],$A28,T_TTAFStock_Log[WeekIndex],3))</f>
        <v/>
      </c>
      <c r="E28" s="17">
        <f>IF(COUNTIFS(T_TTAFStock_Log[Part Name],$A28,T_TTAFStock_Log[WeekIndex],4)=0,"",SUMIFS(T_TTAFStock_Log[TTAF_Qty],T_TTAFStock_Log[Part Name],$A28,T_TTAFStock_Log[WeekIndex],4))</f>
        <v/>
      </c>
      <c r="F28" s="17">
        <f>IF(COUNTIFS(T_TTAFStock_Log[Part Name],$A28,T_TTAFStock_Log[WeekIndex],5)=0,"",SUMIFS(T_TTAFStock_Log[TTAF_Qty],T_TTAFStock_Log[Part Name],$A28,T_TTAFStock_Log[WeekIndex],5))</f>
        <v/>
      </c>
      <c r="G28" s="17">
        <f>IF(COUNTIFS(T_TTAFStock_Log[Part Name],$A28,T_TTAFStock_Log[WeekIndex],6)=0,"",SUMIFS(T_TTAFStock_Log[TTAF_Qty],T_TTAFStock_Log[Part Name],$A28,T_TTAFStock_Log[WeekIndex],6))</f>
        <v/>
      </c>
      <c r="H28" s="17">
        <f>IF(COUNTIFS(T_TTAFStock_Log[Part Name],$A28,T_TTAFStock_Log[WeekIndex],7)=0,"",SUMIFS(T_TTAFStock_Log[TTAF_Qty],T_TTAFStock_Log[Part Name],$A28,T_TTAFStock_Log[WeekIndex],7))</f>
        <v/>
      </c>
      <c r="I28" s="17">
        <f>IF(COUNTIFS(T_TTAFStock_Log[Part Name],$A28,T_TTAFStock_Log[WeekIndex],8)=0,"",SUMIFS(T_TTAFStock_Log[TTAF_Qty],T_TTAFStock_Log[Part Name],$A28,T_TTAFStock_Log[WeekIndex],8))</f>
        <v/>
      </c>
      <c r="J28" s="17">
        <f>IF(COUNTIFS(T_TTAFStock_Log[Part Name],$A28,T_TTAFStock_Log[WeekIndex],9)=0,"",SUMIFS(T_TTAFStock_Log[TTAF_Qty],T_TTAFStock_Log[Part Name],$A28,T_TTAFStock_Log[WeekIndex],9))</f>
        <v/>
      </c>
      <c r="K28" s="17">
        <f>IF(COUNTIFS(T_TTAFStock_Log[Part Name],$A28,T_TTAFStock_Log[WeekIndex],10)=0,"",SUMIFS(T_TTAFStock_Log[TTAF_Qty],T_TTAFStock_Log[Part Name],$A28,T_TTAFStock_Log[WeekIndex],10))</f>
        <v/>
      </c>
      <c r="L28" s="17">
        <f>IF(COUNTIFS(T_TTAFStock_Log[Part Name],$A28,T_TTAFStock_Log[WeekIndex],11)=0,"",SUMIFS(T_TTAFStock_Log[TTAF_Qty],T_TTAFStock_Log[Part Name],$A28,T_TTAFStock_Log[WeekIndex],11))</f>
        <v/>
      </c>
      <c r="M28" s="17">
        <f>IF(COUNTIFS(T_TTAFStock_Log[Part Name],$A28,T_TTAFStock_Log[WeekIndex],12)=0,"",SUMIFS(T_TTAFStock_Log[TTAF_Qty],T_TTAFStock_Log[Part Name],$A28,T_TTAFStock_Log[WeekIndex],12))</f>
        <v/>
      </c>
      <c r="N28" s="17">
        <f>IF(COUNTIFS(T_TTAFStock_Log[Part Name],$A28,T_TTAFStock_Log[WeekIndex],13)=0,"",SUMIFS(T_TTAFStock_Log[TTAF_Qty],T_TTAFStock_Log[Part Name],$A28,T_TTAFStock_Log[WeekIndex],13))</f>
        <v/>
      </c>
      <c r="O28" s="17">
        <f>IF(COUNTIFS(T_TTAFStock_Log[Part Name],$A28,T_TTAFStock_Log[WeekIndex],14)=0,"",SUMIFS(T_TTAFStock_Log[TTAF_Qty],T_TTAFStock_Log[Part Name],$A28,T_TTAFStock_Log[WeekIndex],14))</f>
        <v/>
      </c>
      <c r="P28" s="17">
        <f>IF(COUNTIFS(T_TTAFStock_Log[Part Name],$A28,T_TTAFStock_Log[WeekIndex],15)=0,"",SUMIFS(T_TTAFStock_Log[TTAF_Qty],T_TTAFStock_Log[Part Name],$A28,T_TTAFStock_Log[WeekIndex],15))</f>
        <v/>
      </c>
      <c r="Q28" s="17">
        <f>IF(COUNTIFS(T_TTAFStock_Log[Part Name],$A28,T_TTAFStock_Log[WeekIndex],16)=0,"",SUMIFS(T_TTAFStock_Log[TTAF_Qty],T_TTAFStock_Log[Part Name],$A28,T_TTAFStock_Log[WeekIndex],16))</f>
        <v/>
      </c>
      <c r="R28" s="17">
        <f>IF(COUNTIFS(T_TTAFStock_Log[Part Name],$A28,T_TTAFStock_Log[WeekIndex],17)=0,"",SUMIFS(T_TTAFStock_Log[TTAF_Qty],T_TTAFStock_Log[Part Name],$A28,T_TTAFStock_Log[WeekIndex],17))</f>
        <v/>
      </c>
      <c r="S28" s="17">
        <f>IF(COUNTIFS(T_TTAFStock_Log[Part Name],$A28,T_TTAFStock_Log[WeekIndex],18)=0,"",SUMIFS(T_TTAFStock_Log[TTAF_Qty],T_TTAFStock_Log[Part Name],$A28,T_TTAFStock_Log[WeekIndex],18))</f>
        <v/>
      </c>
      <c r="T28" s="17">
        <f>IF(COUNTIFS(T_TTAFStock_Log[Part Name],$A28,T_TTAFStock_Log[WeekIndex],19)=0,"",SUMIFS(T_TTAFStock_Log[TTAF_Qty],T_TTAFStock_Log[Part Name],$A28,T_TTAFStock_Log[WeekIndex],19))</f>
        <v/>
      </c>
      <c r="U28" s="17">
        <f>IF(COUNTIFS(T_TTAFStock_Log[Part Name],$A28,T_TTAFStock_Log[WeekIndex],20)=0,"",SUMIFS(T_TTAFStock_Log[TTAF_Qty],T_TTAFStock_Log[Part Name],$A28,T_TTAFStock_Log[WeekIndex],20))</f>
        <v/>
      </c>
      <c r="V28" s="17">
        <f>IF(COUNTIFS(T_TTAFStock_Log[Part Name],$A28,T_TTAFStock_Log[WeekIndex],21)=0,"",SUMIFS(T_TTAFStock_Log[TTAF_Qty],T_TTAFStock_Log[Part Name],$A28,T_TTAFStock_Log[WeekIndex],21))</f>
        <v/>
      </c>
      <c r="W28" s="17">
        <f>IF(COUNTIFS(T_TTAFStock_Log[Part Name],$A28,T_TTAFStock_Log[WeekIndex],22)=0,"",SUMIFS(T_TTAFStock_Log[TTAF_Qty],T_TTAFStock_Log[Part Name],$A28,T_TTAFStock_Log[WeekIndex],22))</f>
        <v/>
      </c>
      <c r="X28" s="17">
        <f>IF(COUNTIFS(T_TTAFStock_Log[Part Name],$A28,T_TTAFStock_Log[WeekIndex],23)=0,"",SUMIFS(T_TTAFStock_Log[TTAF_Qty],T_TTAFStock_Log[Part Name],$A28,T_TTAFStock_Log[WeekIndex],23))</f>
        <v/>
      </c>
      <c r="Y28" s="17">
        <f>IF(COUNTIFS(T_TTAFStock_Log[Part Name],$A28,T_TTAFStock_Log[WeekIndex],24)=0,"",SUMIFS(T_TTAFStock_Log[TTAF_Qty],T_TTAFStock_Log[Part Name],$A28,T_TTAFStock_Log[WeekIndex],24))</f>
        <v/>
      </c>
      <c r="Z28" s="17">
        <f>IF(COUNTIFS(T_TTAFStock_Log[Part Name],$A28,T_TTAFStock_Log[WeekIndex],25)=0,"",SUMIFS(T_TTAFStock_Log[TTAF_Qty],T_TTAFStock_Log[Part Name],$A28,T_TTAFStock_Log[WeekIndex],25))</f>
        <v/>
      </c>
      <c r="AA28" s="17">
        <f>IF(COUNTIFS(T_TTAFStock_Log[Part Name],$A28,T_TTAFStock_Log[WeekIndex],26)=0,"",SUMIFS(T_TTAFStock_Log[TTAF_Qty],T_TTAFStock_Log[Part Name],$A28,T_TTAFStock_Log[WeekIndex],26))</f>
        <v/>
      </c>
      <c r="AB28" s="17">
        <f>IF(COUNTIFS(T_TTAFStock_Log[Part Name],$A28,T_TTAFStock_Log[WeekIndex],27)=0,"",SUMIFS(T_TTAFStock_Log[TTAF_Qty],T_TTAFStock_Log[Part Name],$A28,T_TTAFStock_Log[WeekIndex],27))</f>
        <v/>
      </c>
      <c r="AC28" s="17">
        <f>IF(COUNTIFS(T_TTAFStock_Log[Part Name],$A28,T_TTAFStock_Log[WeekIndex],28)=0,"",SUMIFS(T_TTAFStock_Log[TTAF_Qty],T_TTAFStock_Log[Part Name],$A28,T_TTAFStock_Log[WeekIndex],28))</f>
        <v/>
      </c>
      <c r="AD28" s="17">
        <f>IF(COUNTIFS(T_TTAFStock_Log[Part Name],$A28,T_TTAFStock_Log[WeekIndex],29)=0,"",SUMIFS(T_TTAFStock_Log[TTAF_Qty],T_TTAFStock_Log[Part Name],$A28,T_TTAFStock_Log[WeekIndex],29))</f>
        <v/>
      </c>
      <c r="AE28" s="17">
        <f>IF(COUNTIFS(T_TTAFStock_Log[Part Name],$A28,T_TTAFStock_Log[WeekIndex],30)=0,"",SUMIFS(T_TTAFStock_Log[TTAF_Qty],T_TTAFStock_Log[Part Name],$A28,T_TTAFStock_Log[WeekIndex],30))</f>
        <v/>
      </c>
      <c r="AF28" s="17">
        <f>IF(COUNTIFS(T_TTAFStock_Log[Part Name],$A28,T_TTAFStock_Log[WeekIndex],31)=0,"",SUMIFS(T_TTAFStock_Log[TTAF_Qty],T_TTAFStock_Log[Part Name],$A28,T_TTAFStock_Log[WeekIndex],31))</f>
        <v/>
      </c>
      <c r="AG28" s="17">
        <f>IF(COUNTIFS(T_TTAFStock_Log[Part Name],$A28,T_TTAFStock_Log[WeekIndex],32)=0,"",SUMIFS(T_TTAFStock_Log[TTAF_Qty],T_TTAFStock_Log[Part Name],$A28,T_TTAFStock_Log[WeekIndex],32))</f>
        <v/>
      </c>
      <c r="AH28" s="17">
        <f>IF(COUNTIFS(T_TTAFStock_Log[Part Name],$A28,T_TTAFStock_Log[WeekIndex],33)=0,"",SUMIFS(T_TTAFStock_Log[TTAF_Qty],T_TTAFStock_Log[Part Name],$A28,T_TTAFStock_Log[WeekIndex],33))</f>
        <v/>
      </c>
      <c r="AI28" s="17">
        <f>IF(COUNTIFS(T_TTAFStock_Log[Part Name],$A28,T_TTAFStock_Log[WeekIndex],34)=0,"",SUMIFS(T_TTAFStock_Log[TTAF_Qty],T_TTAFStock_Log[Part Name],$A28,T_TTAFStock_Log[WeekIndex],34))</f>
        <v/>
      </c>
      <c r="AJ28" s="17">
        <f>IF(COUNTIFS(T_TTAFStock_Log[Part Name],$A28,T_TTAFStock_Log[WeekIndex],35)=0,"",SUMIFS(T_TTAFStock_Log[TTAF_Qty],T_TTAFStock_Log[Part Name],$A28,T_TTAFStock_Log[WeekIndex],35))</f>
        <v/>
      </c>
      <c r="AK28" s="17">
        <f>IF(COUNTIFS(T_TTAFStock_Log[Part Name],$A28,T_TTAFStock_Log[WeekIndex],36)=0,"",SUMIFS(T_TTAFStock_Log[TTAF_Qty],T_TTAFStock_Log[Part Name],$A28,T_TTAFStock_Log[WeekIndex],36))</f>
        <v/>
      </c>
      <c r="AL28" s="17">
        <f>IF(COUNTIFS(T_TTAFStock_Log[Part Name],$A28,T_TTAFStock_Log[WeekIndex],37)=0,"",SUMIFS(T_TTAFStock_Log[TTAF_Qty],T_TTAFStock_Log[Part Name],$A28,T_TTAFStock_Log[WeekIndex],37))</f>
        <v/>
      </c>
      <c r="AM28" s="17">
        <f>IF(COUNTIFS(T_TTAFStock_Log[Part Name],$A28,T_TTAFStock_Log[WeekIndex],38)=0,"",SUMIFS(T_TTAFStock_Log[TTAF_Qty],T_TTAFStock_Log[Part Name],$A28,T_TTAFStock_Log[WeekIndex],38))</f>
        <v/>
      </c>
      <c r="AN28" s="17">
        <f>IF(COUNTIFS(T_TTAFStock_Log[Part Name],$A28,T_TTAFStock_Log[WeekIndex],39)=0,"",SUMIFS(T_TTAFStock_Log[TTAF_Qty],T_TTAFStock_Log[Part Name],$A28,T_TTAFStock_Log[WeekIndex],39))</f>
        <v/>
      </c>
      <c r="AO28" s="17">
        <f>IF(COUNTIFS(T_TTAFStock_Log[Part Name],$A28,T_TTAFStock_Log[WeekIndex],40)=0,"",SUMIFS(T_TTAFStock_Log[TTAF_Qty],T_TTAFStock_Log[Part Name],$A28,T_TTAFStock_Log[WeekIndex],40))</f>
        <v/>
      </c>
      <c r="AP28" s="17">
        <f>IF(COUNTIFS(T_TTAFStock_Log[Part Name],$A28,T_TTAFStock_Log[WeekIndex],41)=0,"",SUMIFS(T_TTAFStock_Log[TTAF_Qty],T_TTAFStock_Log[Part Name],$A28,T_TTAFStock_Log[WeekIndex],41))</f>
        <v/>
      </c>
      <c r="AQ28" s="17">
        <f>IF(COUNTIFS(T_TTAFStock_Log[Part Name],$A28,T_TTAFStock_Log[WeekIndex],42)=0,"",SUMIFS(T_TTAFStock_Log[TTAF_Qty],T_TTAFStock_Log[Part Name],$A28,T_TTAFStock_Log[WeekIndex],42))</f>
        <v/>
      </c>
      <c r="AR28" s="17">
        <f>IF(COUNTIFS(T_TTAFStock_Log[Part Name],$A28,T_TTAFStock_Log[WeekIndex],43)=0,"",SUMIFS(T_TTAFStock_Log[TTAF_Qty],T_TTAFStock_Log[Part Name],$A28,T_TTAFStock_Log[WeekIndex],43))</f>
        <v/>
      </c>
      <c r="AS28" s="17">
        <f>IF(COUNTIFS(T_TTAFStock_Log[Part Name],$A28,T_TTAFStock_Log[WeekIndex],44)=0,"",SUMIFS(T_TTAFStock_Log[TTAF_Qty],T_TTAFStock_Log[Part Name],$A28,T_TTAFStock_Log[WeekIndex],44))</f>
        <v/>
      </c>
      <c r="AT28" s="17">
        <f>IF(COUNTIFS(T_TTAFStock_Log[Part Name],$A28,T_TTAFStock_Log[WeekIndex],45)=0,"",SUMIFS(T_TTAFStock_Log[TTAF_Qty],T_TTAFStock_Log[Part Name],$A28,T_TTAFStock_Log[WeekIndex],45))</f>
        <v/>
      </c>
      <c r="AU28" s="17">
        <f>IF(COUNTIFS(T_TTAFStock_Log[Part Name],$A28,T_TTAFStock_Log[WeekIndex],46)=0,"",SUMIFS(T_TTAFStock_Log[TTAF_Qty],T_TTAFStock_Log[Part Name],$A28,T_TTAFStock_Log[WeekIndex],46))</f>
        <v/>
      </c>
      <c r="AV28" s="17">
        <f>IF(COUNTIFS(T_TTAFStock_Log[Part Name],$A28,T_TTAFStock_Log[WeekIndex],47)=0,"",SUMIFS(T_TTAFStock_Log[TTAF_Qty],T_TTAFStock_Log[Part Name],$A28,T_TTAFStock_Log[WeekIndex],47))</f>
        <v/>
      </c>
      <c r="AW28" s="17">
        <f>IF(COUNTIFS(T_TTAFStock_Log[Part Name],$A28,T_TTAFStock_Log[WeekIndex],48)=0,"",SUMIFS(T_TTAFStock_Log[TTAF_Qty],T_TTAFStock_Log[Part Name],$A28,T_TTAFStock_Log[WeekIndex],48))</f>
        <v/>
      </c>
      <c r="AX28" s="17">
        <f>IF(COUNTIFS(T_TTAFStock_Log[Part Name],$A28,T_TTAFStock_Log[WeekIndex],49)=0,"",SUMIFS(T_TTAFStock_Log[TTAF_Qty],T_TTAFStock_Log[Part Name],$A28,T_TTAFStock_Log[WeekIndex],49))</f>
        <v/>
      </c>
      <c r="AY28" s="17">
        <f>IF(COUNTIFS(T_TTAFStock_Log[Part Name],$A28,T_TTAFStock_Log[WeekIndex],50)=0,"",SUMIFS(T_TTAFStock_Log[TTAF_Qty],T_TTAFStock_Log[Part Name],$A28,T_TTAFStock_Log[WeekIndex],50))</f>
        <v/>
      </c>
      <c r="AZ28" s="17">
        <f>IF(COUNTIFS(T_TTAFStock_Log[Part Name],$A28,T_TTAFStock_Log[WeekIndex],51)=0,"",SUMIFS(T_TTAFStock_Log[TTAF_Qty],T_TTAFStock_Log[Part Name],$A28,T_TTAFStock_Log[WeekIndex],51))</f>
        <v/>
      </c>
      <c r="BA28" s="17">
        <f>IF(COUNTIFS(T_TTAFStock_Log[Part Name],$A28,T_TTAFStock_Log[WeekIndex],52)=0,"",SUMIFS(T_TTAFStock_Log[TTAF_Qty],T_TTAFStock_Log[Part Name],$A28,T_TTAFStock_Log[WeekIndex],52))</f>
        <v/>
      </c>
      <c r="BB28" s="17">
        <f>IF(COUNTIFS(T_TTAFStock_Log[Part Name],$A28,T_TTAFStock_Log[WeekIndex],53)=0,"",SUMIFS(T_TTAFStock_Log[TTAF_Qty],T_TTAFStock_Log[Part Name],$A28,T_TTAFStock_Log[WeekIndex],53))</f>
        <v/>
      </c>
      <c r="BC28" s="17">
        <f>IF(COUNTIFS(T_TTAFStock_Log[Part Name],$A28,T_TTAFStock_Log[WeekIndex],54)=0,"",SUMIFS(T_TTAFStock_Log[TTAF_Qty],T_TTAFStock_Log[Part Name],$A28,T_TTAFStock_Log[WeekIndex],54))</f>
        <v/>
      </c>
      <c r="BD28" s="17">
        <f>IF(COUNTIFS(T_TTAFStock_Log[Part Name],$A28,T_TTAFStock_Log[WeekIndex],55)=0,"",SUMIFS(T_TTAFStock_Log[TTAF_Qty],T_TTAFStock_Log[Part Name],$A28,T_TTAFStock_Log[WeekIndex],55))</f>
        <v/>
      </c>
      <c r="BE28" s="17">
        <f>IF(COUNTIFS(T_TTAFStock_Log[Part Name],$A28,T_TTAFStock_Log[WeekIndex],56)=0,"",SUMIFS(T_TTAFStock_Log[TTAF_Qty],T_TTAFStock_Log[Part Name],$A28,T_TTAFStock_Log[WeekIndex],56))</f>
        <v/>
      </c>
      <c r="BF28" s="17">
        <f>IF(COUNTIFS(T_TTAFStock_Log[Part Name],$A28,T_TTAFStock_Log[WeekIndex],57)=0,"",SUMIFS(T_TTAFStock_Log[TTAF_Qty],T_TTAFStock_Log[Part Name],$A28,T_TTAFStock_Log[WeekIndex],57))</f>
        <v/>
      </c>
      <c r="BG28" s="17">
        <f>IF(COUNTIFS(T_TTAFStock_Log[Part Name],$A28,T_TTAFStock_Log[WeekIndex],58)=0,"",SUMIFS(T_TTAFStock_Log[TTAF_Qty],T_TTAFStock_Log[Part Name],$A28,T_TTAFStock_Log[WeekIndex],58))</f>
        <v/>
      </c>
      <c r="BH28" s="17">
        <f>IF(COUNTIFS(T_TTAFStock_Log[Part Name],$A28,T_TTAFStock_Log[WeekIndex],59)=0,"",SUMIFS(T_TTAFStock_Log[TTAF_Qty],T_TTAFStock_Log[Part Name],$A28,T_TTAFStock_Log[WeekIndex],59))</f>
        <v/>
      </c>
      <c r="BI28" s="17">
        <f>IF(COUNTIFS(T_TTAFStock_Log[Part Name],$A28,T_TTAFStock_Log[WeekIndex],60)=0,"",SUMIFS(T_TTAFStock_Log[TTAF_Qty],T_TTAFStock_Log[Part Name],$A28,T_TTAFStock_Log[WeekIndex],60))</f>
        <v/>
      </c>
      <c r="BJ28" s="17">
        <f>IF(COUNTIFS(T_TTAFStock_Log[Part Name],$A28,T_TTAFStock_Log[WeekIndex],61)=0,"",SUMIFS(T_TTAFStock_Log[TTAF_Qty],T_TTAFStock_Log[Part Name],$A28,T_TTAFStock_Log[WeekIndex],61))</f>
        <v/>
      </c>
      <c r="BK28" s="17">
        <f>IF(COUNTIFS(T_TTAFStock_Log[Part Name],$A28,T_TTAFStock_Log[WeekIndex],62)=0,"",SUMIFS(T_TTAFStock_Log[TTAF_Qty],T_TTAFStock_Log[Part Name],$A28,T_TTAFStock_Log[WeekIndex],62))</f>
        <v/>
      </c>
      <c r="BL28" s="17">
        <f>IF(COUNTIFS(T_TTAFStock_Log[Part Name],$A28,T_TTAFStock_Log[WeekIndex],63)=0,"",SUMIFS(T_TTAFStock_Log[TTAF_Qty],T_TTAFStock_Log[Part Name],$A28,T_TTAFStock_Log[WeekIndex],63))</f>
        <v/>
      </c>
      <c r="BM28" s="17">
        <f>IF(COUNTIFS(T_TTAFStock_Log[Part Name],$A28,T_TTAFStock_Log[WeekIndex],64)=0,"",SUMIFS(T_TTAFStock_Log[TTAF_Qty],T_TTAFStock_Log[Part Name],$A28,T_TTAFStock_Log[WeekIndex],64))</f>
        <v/>
      </c>
      <c r="BN28" s="17">
        <f>IF(COUNTIFS(T_TTAFStock_Log[Part Name],$A28,T_TTAFStock_Log[WeekIndex],65)=0,"",SUMIFS(T_TTAFStock_Log[TTAF_Qty],T_TTAFStock_Log[Part Name],$A28,T_TTAFStock_Log[WeekIndex],65))</f>
        <v/>
      </c>
      <c r="BO28" s="17">
        <f>IF(COUNTIFS(T_TTAFStock_Log[Part Name],$A28,T_TTAFStock_Log[WeekIndex],66)=0,"",SUMIFS(T_TTAFStock_Log[TTAF_Qty],T_TTAFStock_Log[Part Name],$A28,T_TTAFStock_Log[WeekIndex],66))</f>
        <v/>
      </c>
      <c r="BP28" s="17">
        <f>IF(COUNTIFS(T_TTAFStock_Log[Part Name],$A28,T_TTAFStock_Log[WeekIndex],67)=0,"",SUMIFS(T_TTAFStock_Log[TTAF_Qty],T_TTAFStock_Log[Part Name],$A28,T_TTAFStock_Log[WeekIndex],67))</f>
        <v/>
      </c>
      <c r="BQ28" s="17">
        <f>IF(COUNTIFS(T_TTAFStock_Log[Part Name],$A28,T_TTAFStock_Log[WeekIndex],68)=0,"",SUMIFS(T_TTAFStock_Log[TTAF_Qty],T_TTAFStock_Log[Part Name],$A28,T_TTAFStock_Log[WeekIndex],68))</f>
        <v/>
      </c>
      <c r="BR28" s="17">
        <f>IF(COUNTIFS(T_TTAFStock_Log[Part Name],$A28,T_TTAFStock_Log[WeekIndex],69)=0,"",SUMIFS(T_TTAFStock_Log[TTAF_Qty],T_TTAFStock_Log[Part Name],$A28,T_TTAFStock_Log[WeekIndex],69))</f>
        <v/>
      </c>
      <c r="BS28" s="17">
        <f>IF(COUNTIFS(T_TTAFStock_Log[Part Name],$A28,T_TTAFStock_Log[WeekIndex],70)=0,"",SUMIFS(T_TTAFStock_Log[TTAF_Qty],T_TTAFStock_Log[Part Name],$A28,T_TTAFStock_Log[WeekIndex],70))</f>
        <v/>
      </c>
      <c r="BT28" s="17">
        <f>IF(COUNTIFS(T_TTAFStock_Log[Part Name],$A28,T_TTAFStock_Log[WeekIndex],71)=0,"",SUMIFS(T_TTAFStock_Log[TTAF_Qty],T_TTAFStock_Log[Part Name],$A28,T_TTAFStock_Log[WeekIndex],71))</f>
        <v/>
      </c>
      <c r="BU28" s="17">
        <f>IF(COUNTIFS(T_TTAFStock_Log[Part Name],$A28,T_TTAFStock_Log[WeekIndex],72)=0,"",SUMIFS(T_TTAFStock_Log[TTAF_Qty],T_TTAFStock_Log[Part Name],$A28,T_TTAFStock_Log[WeekIndex],72))</f>
        <v/>
      </c>
      <c r="BV28" s="17">
        <f>IF(COUNTIFS(T_TTAFStock_Log[Part Name],$A28,T_TTAFStock_Log[WeekIndex],73)=0,"",SUMIFS(T_TTAFStock_Log[TTAF_Qty],T_TTAFStock_Log[Part Name],$A28,T_TTAFStock_Log[WeekIndex],73))</f>
        <v/>
      </c>
      <c r="BW28" s="17">
        <f>IF(COUNTIFS(T_TTAFStock_Log[Part Name],$A28,T_TTAFStock_Log[WeekIndex],74)=0,"",SUMIFS(T_TTAFStock_Log[TTAF_Qty],T_TTAFStock_Log[Part Name],$A28,T_TTAFStock_Log[WeekIndex],74))</f>
        <v/>
      </c>
      <c r="BX28" s="17">
        <f>IF(COUNTIFS(T_TTAFStock_Log[Part Name],$A28,T_TTAFStock_Log[WeekIndex],75)=0,"",SUMIFS(T_TTAFStock_Log[TTAF_Qty],T_TTAFStock_Log[Part Name],$A28,T_TTAFStock_Log[WeekIndex],75))</f>
        <v/>
      </c>
      <c r="BY28" s="17">
        <f>IF(COUNTIFS(T_TTAFStock_Log[Part Name],$A28,T_TTAFStock_Log[WeekIndex],76)=0,"",SUMIFS(T_TTAFStock_Log[TTAF_Qty],T_TTAFStock_Log[Part Name],$A28,T_TTAFStock_Log[WeekIndex],76))</f>
        <v/>
      </c>
      <c r="BZ28" s="17">
        <f>IF(COUNTIFS(T_TTAFStock_Log[Part Name],$A28,T_TTAFStock_Log[WeekIndex],77)=0,"",SUMIFS(T_TTAFStock_Log[TTAF_Qty],T_TTAFStock_Log[Part Name],$A28,T_TTAFStock_Log[WeekIndex],77))</f>
        <v/>
      </c>
      <c r="CA28" s="17">
        <f>IF(COUNTIFS(T_TTAFStock_Log[Part Name],$A28,T_TTAFStock_Log[WeekIndex],78)=0,"",SUMIFS(T_TTAFStock_Log[TTAF_Qty],T_TTAFStock_Log[Part Name],$A28,T_TTAFStock_Log[WeekIndex],78))</f>
        <v/>
      </c>
      <c r="CB28" s="17">
        <f>IF(COUNTIFS(T_TTAFStock_Log[Part Name],$A28,T_TTAFStock_Log[WeekIndex],79)=0,"",SUMIFS(T_TTAFStock_Log[TTAF_Qty],T_TTAFStock_Log[Part Name],$A28,T_TTAFStock_Log[WeekIndex],79))</f>
        <v/>
      </c>
      <c r="CC28" s="17">
        <f>IF(COUNTIFS(T_TTAFStock_Log[Part Name],$A28,T_TTAFStock_Log[WeekIndex],80)=0,"",SUMIFS(T_TTAFStock_Log[TTAF_Qty],T_TTAFStock_Log[Part Name],$A28,T_TTAFStock_Log[WeekIndex],80))</f>
        <v/>
      </c>
      <c r="CD28" s="17">
        <f>IF(COUNTIFS(T_TTAFStock_Log[Part Name],$A28,T_TTAFStock_Log[WeekIndex],81)=0,"",SUMIFS(T_TTAFStock_Log[TTAF_Qty],T_TTAFStock_Log[Part Name],$A28,T_TTAFStock_Log[WeekIndex],81))</f>
        <v/>
      </c>
      <c r="CE28" s="17">
        <f>IF(COUNTIFS(T_TTAFStock_Log[Part Name],$A28,T_TTAFStock_Log[WeekIndex],82)=0,"",SUMIFS(T_TTAFStock_Log[TTAF_Qty],T_TTAFStock_Log[Part Name],$A28,T_TTAFStock_Log[WeekIndex],82))</f>
        <v/>
      </c>
      <c r="CF28" s="17">
        <f>IF(COUNTIFS(T_TTAFStock_Log[Part Name],$A28,T_TTAFStock_Log[WeekIndex],83)=0,"",SUMIFS(T_TTAFStock_Log[TTAF_Qty],T_TTAFStock_Log[Part Name],$A28,T_TTAFStock_Log[WeekIndex],83))</f>
        <v/>
      </c>
      <c r="CG28" s="17">
        <f>IF(COUNTIFS(T_TTAFStock_Log[Part Name],$A28,T_TTAFStock_Log[WeekIndex],84)=0,"",SUMIFS(T_TTAFStock_Log[TTAF_Qty],T_TTAFStock_Log[Part Name],$A28,T_TTAFStock_Log[WeekIndex],84))</f>
        <v/>
      </c>
      <c r="CH28" s="17">
        <f>IF(COUNTIFS(T_TTAFStock_Log[Part Name],$A28,T_TTAFStock_Log[WeekIndex],85)=0,"",SUMIFS(T_TTAFStock_Log[TTAF_Qty],T_TTAFStock_Log[Part Name],$A28,T_TTAFStock_Log[WeekIndex],85))</f>
        <v/>
      </c>
      <c r="CI28" s="17">
        <f>IF(COUNTIFS(T_TTAFStock_Log[Part Name],$A28,T_TTAFStock_Log[WeekIndex],86)=0,"",SUMIFS(T_TTAFStock_Log[TTAF_Qty],T_TTAFStock_Log[Part Name],$A28,T_TTAFStock_Log[WeekIndex],86))</f>
        <v/>
      </c>
      <c r="CJ28" s="17">
        <f>IF(COUNTIFS(T_TTAFStock_Log[Part Name],$A28,T_TTAFStock_Log[WeekIndex],87)=0,"",SUMIFS(T_TTAFStock_Log[TTAF_Qty],T_TTAFStock_Log[Part Name],$A28,T_TTAFStock_Log[WeekIndex],87))</f>
        <v/>
      </c>
      <c r="CK28" s="17">
        <f>IF(COUNTIFS(T_TTAFStock_Log[Part Name],$A28,T_TTAFStock_Log[WeekIndex],88)=0,"",SUMIFS(T_TTAFStock_Log[TTAF_Qty],T_TTAFStock_Log[Part Name],$A28,T_TTAFStock_Log[WeekIndex],88))</f>
        <v/>
      </c>
      <c r="CL28" s="17">
        <f>IF(COUNTIFS(T_TTAFStock_Log[Part Name],$A28,T_TTAFStock_Log[WeekIndex],89)=0,"",SUMIFS(T_TTAFStock_Log[TTAF_Qty],T_TTAFStock_Log[Part Name],$A28,T_TTAFStock_Log[WeekIndex],89))</f>
        <v/>
      </c>
      <c r="CM28" s="17">
        <f>IF(COUNTIFS(T_TTAFStock_Log[Part Name],$A28,T_TTAFStock_Log[WeekIndex],90)=0,"",SUMIFS(T_TTAFStock_Log[TTAF_Qty],T_TTAFStock_Log[Part Name],$A28,T_TTAFStock_Log[WeekIndex],90))</f>
        <v/>
      </c>
      <c r="CN28" s="17">
        <f>IF(COUNTIFS(T_TTAFStock_Log[Part Name],$A28,T_TTAFStock_Log[WeekIndex],91)=0,"",SUMIFS(T_TTAFStock_Log[TTAF_Qty],T_TTAFStock_Log[Part Name],$A28,T_TTAFStock_Log[WeekIndex],91))</f>
        <v/>
      </c>
      <c r="CO28" s="17">
        <f>IF(COUNTIFS(T_TTAFStock_Log[Part Name],$A28,T_TTAFStock_Log[WeekIndex],92)=0,"",SUMIFS(T_TTAFStock_Log[TTAF_Qty],T_TTAFStock_Log[Part Name],$A28,T_TTAFStock_Log[WeekIndex],92))</f>
        <v/>
      </c>
      <c r="CP28" s="17">
        <f>IF(COUNTIFS(T_TTAFStock_Log[Part Name],$A28,T_TTAFStock_Log[WeekIndex],93)=0,"",SUMIFS(T_TTAFStock_Log[TTAF_Qty],T_TTAFStock_Log[Part Name],$A28,T_TTAFStock_Log[WeekIndex],93))</f>
        <v/>
      </c>
      <c r="CQ28" s="17">
        <f>IF(COUNTIFS(T_TTAFStock_Log[Part Name],$A28,T_TTAFStock_Log[WeekIndex],94)=0,"",SUMIFS(T_TTAFStock_Log[TTAF_Qty],T_TTAFStock_Log[Part Name],$A28,T_TTAFStock_Log[WeekIndex],94))</f>
        <v/>
      </c>
      <c r="CR28" s="17">
        <f>IF(COUNTIFS(T_TTAFStock_Log[Part Name],$A28,T_TTAFStock_Log[WeekIndex],95)=0,"",SUMIFS(T_TTAFStock_Log[TTAF_Qty],T_TTAFStock_Log[Part Name],$A28,T_TTAFStock_Log[WeekIndex],95))</f>
        <v/>
      </c>
      <c r="CS28" s="17">
        <f>IF(COUNTIFS(T_TTAFStock_Log[Part Name],$A28,T_TTAFStock_Log[WeekIndex],96)=0,"",SUMIFS(T_TTAFStock_Log[TTAF_Qty],T_TTAFStock_Log[Part Name],$A28,T_TTAFStock_Log[WeekIndex],96))</f>
        <v/>
      </c>
      <c r="CT28" s="17">
        <f>IF(COUNTIFS(T_TTAFStock_Log[Part Name],$A28,T_TTAFStock_Log[WeekIndex],97)=0,"",SUMIFS(T_TTAFStock_Log[TTAF_Qty],T_TTAFStock_Log[Part Name],$A28,T_TTAFStock_Log[WeekIndex],97))</f>
        <v/>
      </c>
      <c r="CU28" s="17">
        <f>IF(COUNTIFS(T_TTAFStock_Log[Part Name],$A28,T_TTAFStock_Log[WeekIndex],98)=0,"",SUMIFS(T_TTAFStock_Log[TTAF_Qty],T_TTAFStock_Log[Part Name],$A28,T_TTAFStock_Log[WeekIndex],98))</f>
        <v/>
      </c>
      <c r="CV28" s="17">
        <f>IF(COUNTIFS(T_TTAFStock_Log[Part Name],$A28,T_TTAFStock_Log[WeekIndex],99)=0,"",SUMIFS(T_TTAFStock_Log[TTAF_Qty],T_TTAFStock_Log[Part Name],$A28,T_TTAFStock_Log[WeekIndex],99))</f>
        <v/>
      </c>
      <c r="CW28" s="17">
        <f>IF(COUNTIFS(T_TTAFStock_Log[Part Name],$A28,T_TTAFStock_Log[WeekIndex],100)=0,"",SUMIFS(T_TTAFStock_Log[TTAF_Qty],T_TTAFStock_Log[Part Name],$A28,T_TTAFStock_Log[WeekIndex],100))</f>
        <v/>
      </c>
      <c r="CX28" s="17">
        <f>IF(COUNTIFS(T_TTAFStock_Log[Part Name],$A28,T_TTAFStock_Log[WeekIndex],101)=0,"",SUMIFS(T_TTAFStock_Log[TTAF_Qty],T_TTAFStock_Log[Part Name],$A28,T_TTAFStock_Log[WeekIndex],101))</f>
        <v/>
      </c>
      <c r="CY28" s="17">
        <f>IF(COUNTIFS(T_TTAFStock_Log[Part Name],$A28,T_TTAFStock_Log[WeekIndex],102)=0,"",SUMIFS(T_TTAFStock_Log[TTAF_Qty],T_TTAFStock_Log[Part Name],$A28,T_TTAFStock_Log[WeekIndex],102))</f>
        <v/>
      </c>
      <c r="CZ28" s="17">
        <f>IF(COUNTIFS(T_TTAFStock_Log[Part Name],$A28,T_TTAFStock_Log[WeekIndex],103)=0,"",SUMIFS(T_TTAFStock_Log[TTAF_Qty],T_TTAFStock_Log[Part Name],$A28,T_TTAFStock_Log[WeekIndex],103))</f>
        <v/>
      </c>
      <c r="DA28" s="17">
        <f>IF(COUNTIFS(T_TTAFStock_Log[Part Name],$A28,T_TTAFStock_Log[WeekIndex],104)=0,"",SUMIFS(T_TTAFStock_Log[TTAF_Qty],T_TTAFStock_Log[Part Name],$A28,T_TTAFStock_Log[WeekIndex],104))</f>
        <v/>
      </c>
    </row>
    <row r="29">
      <c r="A29" s="19" t="inlineStr">
        <is>
          <t>CHEM-1510</t>
        </is>
      </c>
      <c r="B29" s="19">
        <f>IF(COUNTIFS(T_TTAFStock_Log[Part Name],$A29,T_TTAFStock_Log[WeekIndex],1)=0,"",SUMIFS(T_TTAFStock_Log[TTAF_Qty],T_TTAFStock_Log[Part Name],$A29,T_TTAFStock_Log[WeekIndex],1))</f>
        <v/>
      </c>
      <c r="C29" s="19">
        <f>IF(COUNTIFS(T_TTAFStock_Log[Part Name],$A29,T_TTAFStock_Log[WeekIndex],2)=0,"",SUMIFS(T_TTAFStock_Log[TTAF_Qty],T_TTAFStock_Log[Part Name],$A29,T_TTAFStock_Log[WeekIndex],2))</f>
        <v/>
      </c>
      <c r="D29" s="19">
        <f>IF(COUNTIFS(T_TTAFStock_Log[Part Name],$A29,T_TTAFStock_Log[WeekIndex],3)=0,"",SUMIFS(T_TTAFStock_Log[TTAF_Qty],T_TTAFStock_Log[Part Name],$A29,T_TTAFStock_Log[WeekIndex],3))</f>
        <v/>
      </c>
      <c r="E29" s="19">
        <f>IF(COUNTIFS(T_TTAFStock_Log[Part Name],$A29,T_TTAFStock_Log[WeekIndex],4)=0,"",SUMIFS(T_TTAFStock_Log[TTAF_Qty],T_TTAFStock_Log[Part Name],$A29,T_TTAFStock_Log[WeekIndex],4))</f>
        <v/>
      </c>
      <c r="F29" s="19">
        <f>IF(COUNTIFS(T_TTAFStock_Log[Part Name],$A29,T_TTAFStock_Log[WeekIndex],5)=0,"",SUMIFS(T_TTAFStock_Log[TTAF_Qty],T_TTAFStock_Log[Part Name],$A29,T_TTAFStock_Log[WeekIndex],5))</f>
        <v/>
      </c>
      <c r="G29" s="19">
        <f>IF(COUNTIFS(T_TTAFStock_Log[Part Name],$A29,T_TTAFStock_Log[WeekIndex],6)=0,"",SUMIFS(T_TTAFStock_Log[TTAF_Qty],T_TTAFStock_Log[Part Name],$A29,T_TTAFStock_Log[WeekIndex],6))</f>
        <v/>
      </c>
      <c r="H29" s="19">
        <f>IF(COUNTIFS(T_TTAFStock_Log[Part Name],$A29,T_TTAFStock_Log[WeekIndex],7)=0,"",SUMIFS(T_TTAFStock_Log[TTAF_Qty],T_TTAFStock_Log[Part Name],$A29,T_TTAFStock_Log[WeekIndex],7))</f>
        <v/>
      </c>
      <c r="I29" s="19">
        <f>IF(COUNTIFS(T_TTAFStock_Log[Part Name],$A29,T_TTAFStock_Log[WeekIndex],8)=0,"",SUMIFS(T_TTAFStock_Log[TTAF_Qty],T_TTAFStock_Log[Part Name],$A29,T_TTAFStock_Log[WeekIndex],8))</f>
        <v/>
      </c>
      <c r="J29" s="19">
        <f>IF(COUNTIFS(T_TTAFStock_Log[Part Name],$A29,T_TTAFStock_Log[WeekIndex],9)=0,"",SUMIFS(T_TTAFStock_Log[TTAF_Qty],T_TTAFStock_Log[Part Name],$A29,T_TTAFStock_Log[WeekIndex],9))</f>
        <v/>
      </c>
      <c r="K29" s="19">
        <f>IF(COUNTIFS(T_TTAFStock_Log[Part Name],$A29,T_TTAFStock_Log[WeekIndex],10)=0,"",SUMIFS(T_TTAFStock_Log[TTAF_Qty],T_TTAFStock_Log[Part Name],$A29,T_TTAFStock_Log[WeekIndex],10))</f>
        <v/>
      </c>
      <c r="L29" s="19">
        <f>IF(COUNTIFS(T_TTAFStock_Log[Part Name],$A29,T_TTAFStock_Log[WeekIndex],11)=0,"",SUMIFS(T_TTAFStock_Log[TTAF_Qty],T_TTAFStock_Log[Part Name],$A29,T_TTAFStock_Log[WeekIndex],11))</f>
        <v/>
      </c>
      <c r="M29" s="19">
        <f>IF(COUNTIFS(T_TTAFStock_Log[Part Name],$A29,T_TTAFStock_Log[WeekIndex],12)=0,"",SUMIFS(T_TTAFStock_Log[TTAF_Qty],T_TTAFStock_Log[Part Name],$A29,T_TTAFStock_Log[WeekIndex],12))</f>
        <v/>
      </c>
      <c r="N29" s="19">
        <f>IF(COUNTIFS(T_TTAFStock_Log[Part Name],$A29,T_TTAFStock_Log[WeekIndex],13)=0,"",SUMIFS(T_TTAFStock_Log[TTAF_Qty],T_TTAFStock_Log[Part Name],$A29,T_TTAFStock_Log[WeekIndex],13))</f>
        <v/>
      </c>
      <c r="O29" s="19">
        <f>IF(COUNTIFS(T_TTAFStock_Log[Part Name],$A29,T_TTAFStock_Log[WeekIndex],14)=0,"",SUMIFS(T_TTAFStock_Log[TTAF_Qty],T_TTAFStock_Log[Part Name],$A29,T_TTAFStock_Log[WeekIndex],14))</f>
        <v/>
      </c>
      <c r="P29" s="19">
        <f>IF(COUNTIFS(T_TTAFStock_Log[Part Name],$A29,T_TTAFStock_Log[WeekIndex],15)=0,"",SUMIFS(T_TTAFStock_Log[TTAF_Qty],T_TTAFStock_Log[Part Name],$A29,T_TTAFStock_Log[WeekIndex],15))</f>
        <v/>
      </c>
      <c r="Q29" s="19">
        <f>IF(COUNTIFS(T_TTAFStock_Log[Part Name],$A29,T_TTAFStock_Log[WeekIndex],16)=0,"",SUMIFS(T_TTAFStock_Log[TTAF_Qty],T_TTAFStock_Log[Part Name],$A29,T_TTAFStock_Log[WeekIndex],16))</f>
        <v/>
      </c>
      <c r="R29" s="19">
        <f>IF(COUNTIFS(T_TTAFStock_Log[Part Name],$A29,T_TTAFStock_Log[WeekIndex],17)=0,"",SUMIFS(T_TTAFStock_Log[TTAF_Qty],T_TTAFStock_Log[Part Name],$A29,T_TTAFStock_Log[WeekIndex],17))</f>
        <v/>
      </c>
      <c r="S29" s="19">
        <f>IF(COUNTIFS(T_TTAFStock_Log[Part Name],$A29,T_TTAFStock_Log[WeekIndex],18)=0,"",SUMIFS(T_TTAFStock_Log[TTAF_Qty],T_TTAFStock_Log[Part Name],$A29,T_TTAFStock_Log[WeekIndex],18))</f>
        <v/>
      </c>
      <c r="T29" s="19">
        <f>IF(COUNTIFS(T_TTAFStock_Log[Part Name],$A29,T_TTAFStock_Log[WeekIndex],19)=0,"",SUMIFS(T_TTAFStock_Log[TTAF_Qty],T_TTAFStock_Log[Part Name],$A29,T_TTAFStock_Log[WeekIndex],19))</f>
        <v/>
      </c>
      <c r="U29" s="19">
        <f>IF(COUNTIFS(T_TTAFStock_Log[Part Name],$A29,T_TTAFStock_Log[WeekIndex],20)=0,"",SUMIFS(T_TTAFStock_Log[TTAF_Qty],T_TTAFStock_Log[Part Name],$A29,T_TTAFStock_Log[WeekIndex],20))</f>
        <v/>
      </c>
      <c r="V29" s="19">
        <f>IF(COUNTIFS(T_TTAFStock_Log[Part Name],$A29,T_TTAFStock_Log[WeekIndex],21)=0,"",SUMIFS(T_TTAFStock_Log[TTAF_Qty],T_TTAFStock_Log[Part Name],$A29,T_TTAFStock_Log[WeekIndex],21))</f>
        <v/>
      </c>
      <c r="W29" s="19">
        <f>IF(COUNTIFS(T_TTAFStock_Log[Part Name],$A29,T_TTAFStock_Log[WeekIndex],22)=0,"",SUMIFS(T_TTAFStock_Log[TTAF_Qty],T_TTAFStock_Log[Part Name],$A29,T_TTAFStock_Log[WeekIndex],22))</f>
        <v/>
      </c>
      <c r="X29" s="19">
        <f>IF(COUNTIFS(T_TTAFStock_Log[Part Name],$A29,T_TTAFStock_Log[WeekIndex],23)=0,"",SUMIFS(T_TTAFStock_Log[TTAF_Qty],T_TTAFStock_Log[Part Name],$A29,T_TTAFStock_Log[WeekIndex],23))</f>
        <v/>
      </c>
      <c r="Y29" s="19">
        <f>IF(COUNTIFS(T_TTAFStock_Log[Part Name],$A29,T_TTAFStock_Log[WeekIndex],24)=0,"",SUMIFS(T_TTAFStock_Log[TTAF_Qty],T_TTAFStock_Log[Part Name],$A29,T_TTAFStock_Log[WeekIndex],24))</f>
        <v/>
      </c>
      <c r="Z29" s="19">
        <f>IF(COUNTIFS(T_TTAFStock_Log[Part Name],$A29,T_TTAFStock_Log[WeekIndex],25)=0,"",SUMIFS(T_TTAFStock_Log[TTAF_Qty],T_TTAFStock_Log[Part Name],$A29,T_TTAFStock_Log[WeekIndex],25))</f>
        <v/>
      </c>
      <c r="AA29" s="19">
        <f>IF(COUNTIFS(T_TTAFStock_Log[Part Name],$A29,T_TTAFStock_Log[WeekIndex],26)=0,"",SUMIFS(T_TTAFStock_Log[TTAF_Qty],T_TTAFStock_Log[Part Name],$A29,T_TTAFStock_Log[WeekIndex],26))</f>
        <v/>
      </c>
      <c r="AB29" s="19">
        <f>IF(COUNTIFS(T_TTAFStock_Log[Part Name],$A29,T_TTAFStock_Log[WeekIndex],27)=0,"",SUMIFS(T_TTAFStock_Log[TTAF_Qty],T_TTAFStock_Log[Part Name],$A29,T_TTAFStock_Log[WeekIndex],27))</f>
        <v/>
      </c>
      <c r="AC29" s="19">
        <f>IF(COUNTIFS(T_TTAFStock_Log[Part Name],$A29,T_TTAFStock_Log[WeekIndex],28)=0,"",SUMIFS(T_TTAFStock_Log[TTAF_Qty],T_TTAFStock_Log[Part Name],$A29,T_TTAFStock_Log[WeekIndex],28))</f>
        <v/>
      </c>
      <c r="AD29" s="19">
        <f>IF(COUNTIFS(T_TTAFStock_Log[Part Name],$A29,T_TTAFStock_Log[WeekIndex],29)=0,"",SUMIFS(T_TTAFStock_Log[TTAF_Qty],T_TTAFStock_Log[Part Name],$A29,T_TTAFStock_Log[WeekIndex],29))</f>
        <v/>
      </c>
      <c r="AE29" s="19">
        <f>IF(COUNTIFS(T_TTAFStock_Log[Part Name],$A29,T_TTAFStock_Log[WeekIndex],30)=0,"",SUMIFS(T_TTAFStock_Log[TTAF_Qty],T_TTAFStock_Log[Part Name],$A29,T_TTAFStock_Log[WeekIndex],30))</f>
        <v/>
      </c>
      <c r="AF29" s="19">
        <f>IF(COUNTIFS(T_TTAFStock_Log[Part Name],$A29,T_TTAFStock_Log[WeekIndex],31)=0,"",SUMIFS(T_TTAFStock_Log[TTAF_Qty],T_TTAFStock_Log[Part Name],$A29,T_TTAFStock_Log[WeekIndex],31))</f>
        <v/>
      </c>
      <c r="AG29" s="19">
        <f>IF(COUNTIFS(T_TTAFStock_Log[Part Name],$A29,T_TTAFStock_Log[WeekIndex],32)=0,"",SUMIFS(T_TTAFStock_Log[TTAF_Qty],T_TTAFStock_Log[Part Name],$A29,T_TTAFStock_Log[WeekIndex],32))</f>
        <v/>
      </c>
      <c r="AH29" s="19">
        <f>IF(COUNTIFS(T_TTAFStock_Log[Part Name],$A29,T_TTAFStock_Log[WeekIndex],33)=0,"",SUMIFS(T_TTAFStock_Log[TTAF_Qty],T_TTAFStock_Log[Part Name],$A29,T_TTAFStock_Log[WeekIndex],33))</f>
        <v/>
      </c>
      <c r="AI29" s="19">
        <f>IF(COUNTIFS(T_TTAFStock_Log[Part Name],$A29,T_TTAFStock_Log[WeekIndex],34)=0,"",SUMIFS(T_TTAFStock_Log[TTAF_Qty],T_TTAFStock_Log[Part Name],$A29,T_TTAFStock_Log[WeekIndex],34))</f>
        <v/>
      </c>
      <c r="AJ29" s="19">
        <f>IF(COUNTIFS(T_TTAFStock_Log[Part Name],$A29,T_TTAFStock_Log[WeekIndex],35)=0,"",SUMIFS(T_TTAFStock_Log[TTAF_Qty],T_TTAFStock_Log[Part Name],$A29,T_TTAFStock_Log[WeekIndex],35))</f>
        <v/>
      </c>
      <c r="AK29" s="19">
        <f>IF(COUNTIFS(T_TTAFStock_Log[Part Name],$A29,T_TTAFStock_Log[WeekIndex],36)=0,"",SUMIFS(T_TTAFStock_Log[TTAF_Qty],T_TTAFStock_Log[Part Name],$A29,T_TTAFStock_Log[WeekIndex],36))</f>
        <v/>
      </c>
      <c r="AL29" s="19">
        <f>IF(COUNTIFS(T_TTAFStock_Log[Part Name],$A29,T_TTAFStock_Log[WeekIndex],37)=0,"",SUMIFS(T_TTAFStock_Log[TTAF_Qty],T_TTAFStock_Log[Part Name],$A29,T_TTAFStock_Log[WeekIndex],37))</f>
        <v/>
      </c>
      <c r="AM29" s="19">
        <f>IF(COUNTIFS(T_TTAFStock_Log[Part Name],$A29,T_TTAFStock_Log[WeekIndex],38)=0,"",SUMIFS(T_TTAFStock_Log[TTAF_Qty],T_TTAFStock_Log[Part Name],$A29,T_TTAFStock_Log[WeekIndex],38))</f>
        <v/>
      </c>
      <c r="AN29" s="19">
        <f>IF(COUNTIFS(T_TTAFStock_Log[Part Name],$A29,T_TTAFStock_Log[WeekIndex],39)=0,"",SUMIFS(T_TTAFStock_Log[TTAF_Qty],T_TTAFStock_Log[Part Name],$A29,T_TTAFStock_Log[WeekIndex],39))</f>
        <v/>
      </c>
      <c r="AO29" s="19">
        <f>IF(COUNTIFS(T_TTAFStock_Log[Part Name],$A29,T_TTAFStock_Log[WeekIndex],40)=0,"",SUMIFS(T_TTAFStock_Log[TTAF_Qty],T_TTAFStock_Log[Part Name],$A29,T_TTAFStock_Log[WeekIndex],40))</f>
        <v/>
      </c>
      <c r="AP29" s="19">
        <f>IF(COUNTIFS(T_TTAFStock_Log[Part Name],$A29,T_TTAFStock_Log[WeekIndex],41)=0,"",SUMIFS(T_TTAFStock_Log[TTAF_Qty],T_TTAFStock_Log[Part Name],$A29,T_TTAFStock_Log[WeekIndex],41))</f>
        <v/>
      </c>
      <c r="AQ29" s="19">
        <f>IF(COUNTIFS(T_TTAFStock_Log[Part Name],$A29,T_TTAFStock_Log[WeekIndex],42)=0,"",SUMIFS(T_TTAFStock_Log[TTAF_Qty],T_TTAFStock_Log[Part Name],$A29,T_TTAFStock_Log[WeekIndex],42))</f>
        <v/>
      </c>
      <c r="AR29" s="19">
        <f>IF(COUNTIFS(T_TTAFStock_Log[Part Name],$A29,T_TTAFStock_Log[WeekIndex],43)=0,"",SUMIFS(T_TTAFStock_Log[TTAF_Qty],T_TTAFStock_Log[Part Name],$A29,T_TTAFStock_Log[WeekIndex],43))</f>
        <v/>
      </c>
      <c r="AS29" s="19">
        <f>IF(COUNTIFS(T_TTAFStock_Log[Part Name],$A29,T_TTAFStock_Log[WeekIndex],44)=0,"",SUMIFS(T_TTAFStock_Log[TTAF_Qty],T_TTAFStock_Log[Part Name],$A29,T_TTAFStock_Log[WeekIndex],44))</f>
        <v/>
      </c>
      <c r="AT29" s="19">
        <f>IF(COUNTIFS(T_TTAFStock_Log[Part Name],$A29,T_TTAFStock_Log[WeekIndex],45)=0,"",SUMIFS(T_TTAFStock_Log[TTAF_Qty],T_TTAFStock_Log[Part Name],$A29,T_TTAFStock_Log[WeekIndex],45))</f>
        <v/>
      </c>
      <c r="AU29" s="19">
        <f>IF(COUNTIFS(T_TTAFStock_Log[Part Name],$A29,T_TTAFStock_Log[WeekIndex],46)=0,"",SUMIFS(T_TTAFStock_Log[TTAF_Qty],T_TTAFStock_Log[Part Name],$A29,T_TTAFStock_Log[WeekIndex],46))</f>
        <v/>
      </c>
      <c r="AV29" s="19">
        <f>IF(COUNTIFS(T_TTAFStock_Log[Part Name],$A29,T_TTAFStock_Log[WeekIndex],47)=0,"",SUMIFS(T_TTAFStock_Log[TTAF_Qty],T_TTAFStock_Log[Part Name],$A29,T_TTAFStock_Log[WeekIndex],47))</f>
        <v/>
      </c>
      <c r="AW29" s="19">
        <f>IF(COUNTIFS(T_TTAFStock_Log[Part Name],$A29,T_TTAFStock_Log[WeekIndex],48)=0,"",SUMIFS(T_TTAFStock_Log[TTAF_Qty],T_TTAFStock_Log[Part Name],$A29,T_TTAFStock_Log[WeekIndex],48))</f>
        <v/>
      </c>
      <c r="AX29" s="19">
        <f>IF(COUNTIFS(T_TTAFStock_Log[Part Name],$A29,T_TTAFStock_Log[WeekIndex],49)=0,"",SUMIFS(T_TTAFStock_Log[TTAF_Qty],T_TTAFStock_Log[Part Name],$A29,T_TTAFStock_Log[WeekIndex],49))</f>
        <v/>
      </c>
      <c r="AY29" s="19">
        <f>IF(COUNTIFS(T_TTAFStock_Log[Part Name],$A29,T_TTAFStock_Log[WeekIndex],50)=0,"",SUMIFS(T_TTAFStock_Log[TTAF_Qty],T_TTAFStock_Log[Part Name],$A29,T_TTAFStock_Log[WeekIndex],50))</f>
        <v/>
      </c>
      <c r="AZ29" s="19">
        <f>IF(COUNTIFS(T_TTAFStock_Log[Part Name],$A29,T_TTAFStock_Log[WeekIndex],51)=0,"",SUMIFS(T_TTAFStock_Log[TTAF_Qty],T_TTAFStock_Log[Part Name],$A29,T_TTAFStock_Log[WeekIndex],51))</f>
        <v/>
      </c>
      <c r="BA29" s="19">
        <f>IF(COUNTIFS(T_TTAFStock_Log[Part Name],$A29,T_TTAFStock_Log[WeekIndex],52)=0,"",SUMIFS(T_TTAFStock_Log[TTAF_Qty],T_TTAFStock_Log[Part Name],$A29,T_TTAFStock_Log[WeekIndex],52))</f>
        <v/>
      </c>
      <c r="BB29" s="19">
        <f>IF(COUNTIFS(T_TTAFStock_Log[Part Name],$A29,T_TTAFStock_Log[WeekIndex],53)=0,"",SUMIFS(T_TTAFStock_Log[TTAF_Qty],T_TTAFStock_Log[Part Name],$A29,T_TTAFStock_Log[WeekIndex],53))</f>
        <v/>
      </c>
      <c r="BC29" s="19">
        <f>IF(COUNTIFS(T_TTAFStock_Log[Part Name],$A29,T_TTAFStock_Log[WeekIndex],54)=0,"",SUMIFS(T_TTAFStock_Log[TTAF_Qty],T_TTAFStock_Log[Part Name],$A29,T_TTAFStock_Log[WeekIndex],54))</f>
        <v/>
      </c>
      <c r="BD29" s="19">
        <f>IF(COUNTIFS(T_TTAFStock_Log[Part Name],$A29,T_TTAFStock_Log[WeekIndex],55)=0,"",SUMIFS(T_TTAFStock_Log[TTAF_Qty],T_TTAFStock_Log[Part Name],$A29,T_TTAFStock_Log[WeekIndex],55))</f>
        <v/>
      </c>
      <c r="BE29" s="19">
        <f>IF(COUNTIFS(T_TTAFStock_Log[Part Name],$A29,T_TTAFStock_Log[WeekIndex],56)=0,"",SUMIFS(T_TTAFStock_Log[TTAF_Qty],T_TTAFStock_Log[Part Name],$A29,T_TTAFStock_Log[WeekIndex],56))</f>
        <v/>
      </c>
      <c r="BF29" s="19">
        <f>IF(COUNTIFS(T_TTAFStock_Log[Part Name],$A29,T_TTAFStock_Log[WeekIndex],57)=0,"",SUMIFS(T_TTAFStock_Log[TTAF_Qty],T_TTAFStock_Log[Part Name],$A29,T_TTAFStock_Log[WeekIndex],57))</f>
        <v/>
      </c>
      <c r="BG29" s="19">
        <f>IF(COUNTIFS(T_TTAFStock_Log[Part Name],$A29,T_TTAFStock_Log[WeekIndex],58)=0,"",SUMIFS(T_TTAFStock_Log[TTAF_Qty],T_TTAFStock_Log[Part Name],$A29,T_TTAFStock_Log[WeekIndex],58))</f>
        <v/>
      </c>
      <c r="BH29" s="19">
        <f>IF(COUNTIFS(T_TTAFStock_Log[Part Name],$A29,T_TTAFStock_Log[WeekIndex],59)=0,"",SUMIFS(T_TTAFStock_Log[TTAF_Qty],T_TTAFStock_Log[Part Name],$A29,T_TTAFStock_Log[WeekIndex],59))</f>
        <v/>
      </c>
      <c r="BI29" s="19">
        <f>IF(COUNTIFS(T_TTAFStock_Log[Part Name],$A29,T_TTAFStock_Log[WeekIndex],60)=0,"",SUMIFS(T_TTAFStock_Log[TTAF_Qty],T_TTAFStock_Log[Part Name],$A29,T_TTAFStock_Log[WeekIndex],60))</f>
        <v/>
      </c>
      <c r="BJ29" s="19">
        <f>IF(COUNTIFS(T_TTAFStock_Log[Part Name],$A29,T_TTAFStock_Log[WeekIndex],61)=0,"",SUMIFS(T_TTAFStock_Log[TTAF_Qty],T_TTAFStock_Log[Part Name],$A29,T_TTAFStock_Log[WeekIndex],61))</f>
        <v/>
      </c>
      <c r="BK29" s="19">
        <f>IF(COUNTIFS(T_TTAFStock_Log[Part Name],$A29,T_TTAFStock_Log[WeekIndex],62)=0,"",SUMIFS(T_TTAFStock_Log[TTAF_Qty],T_TTAFStock_Log[Part Name],$A29,T_TTAFStock_Log[WeekIndex],62))</f>
        <v/>
      </c>
      <c r="BL29" s="19">
        <f>IF(COUNTIFS(T_TTAFStock_Log[Part Name],$A29,T_TTAFStock_Log[WeekIndex],63)=0,"",SUMIFS(T_TTAFStock_Log[TTAF_Qty],T_TTAFStock_Log[Part Name],$A29,T_TTAFStock_Log[WeekIndex],63))</f>
        <v/>
      </c>
      <c r="BM29" s="19">
        <f>IF(COUNTIFS(T_TTAFStock_Log[Part Name],$A29,T_TTAFStock_Log[WeekIndex],64)=0,"",SUMIFS(T_TTAFStock_Log[TTAF_Qty],T_TTAFStock_Log[Part Name],$A29,T_TTAFStock_Log[WeekIndex],64))</f>
        <v/>
      </c>
      <c r="BN29" s="19">
        <f>IF(COUNTIFS(T_TTAFStock_Log[Part Name],$A29,T_TTAFStock_Log[WeekIndex],65)=0,"",SUMIFS(T_TTAFStock_Log[TTAF_Qty],T_TTAFStock_Log[Part Name],$A29,T_TTAFStock_Log[WeekIndex],65))</f>
        <v/>
      </c>
      <c r="BO29" s="19">
        <f>IF(COUNTIFS(T_TTAFStock_Log[Part Name],$A29,T_TTAFStock_Log[WeekIndex],66)=0,"",SUMIFS(T_TTAFStock_Log[TTAF_Qty],T_TTAFStock_Log[Part Name],$A29,T_TTAFStock_Log[WeekIndex],66))</f>
        <v/>
      </c>
      <c r="BP29" s="19">
        <f>IF(COUNTIFS(T_TTAFStock_Log[Part Name],$A29,T_TTAFStock_Log[WeekIndex],67)=0,"",SUMIFS(T_TTAFStock_Log[TTAF_Qty],T_TTAFStock_Log[Part Name],$A29,T_TTAFStock_Log[WeekIndex],67))</f>
        <v/>
      </c>
      <c r="BQ29" s="19">
        <f>IF(COUNTIFS(T_TTAFStock_Log[Part Name],$A29,T_TTAFStock_Log[WeekIndex],68)=0,"",SUMIFS(T_TTAFStock_Log[TTAF_Qty],T_TTAFStock_Log[Part Name],$A29,T_TTAFStock_Log[WeekIndex],68))</f>
        <v/>
      </c>
      <c r="BR29" s="19">
        <f>IF(COUNTIFS(T_TTAFStock_Log[Part Name],$A29,T_TTAFStock_Log[WeekIndex],69)=0,"",SUMIFS(T_TTAFStock_Log[TTAF_Qty],T_TTAFStock_Log[Part Name],$A29,T_TTAFStock_Log[WeekIndex],69))</f>
        <v/>
      </c>
      <c r="BS29" s="19">
        <f>IF(COUNTIFS(T_TTAFStock_Log[Part Name],$A29,T_TTAFStock_Log[WeekIndex],70)=0,"",SUMIFS(T_TTAFStock_Log[TTAF_Qty],T_TTAFStock_Log[Part Name],$A29,T_TTAFStock_Log[WeekIndex],70))</f>
        <v/>
      </c>
      <c r="BT29" s="19">
        <f>IF(COUNTIFS(T_TTAFStock_Log[Part Name],$A29,T_TTAFStock_Log[WeekIndex],71)=0,"",SUMIFS(T_TTAFStock_Log[TTAF_Qty],T_TTAFStock_Log[Part Name],$A29,T_TTAFStock_Log[WeekIndex],71))</f>
        <v/>
      </c>
      <c r="BU29" s="19">
        <f>IF(COUNTIFS(T_TTAFStock_Log[Part Name],$A29,T_TTAFStock_Log[WeekIndex],72)=0,"",SUMIFS(T_TTAFStock_Log[TTAF_Qty],T_TTAFStock_Log[Part Name],$A29,T_TTAFStock_Log[WeekIndex],72))</f>
        <v/>
      </c>
      <c r="BV29" s="19">
        <f>IF(COUNTIFS(T_TTAFStock_Log[Part Name],$A29,T_TTAFStock_Log[WeekIndex],73)=0,"",SUMIFS(T_TTAFStock_Log[TTAF_Qty],T_TTAFStock_Log[Part Name],$A29,T_TTAFStock_Log[WeekIndex],73))</f>
        <v/>
      </c>
      <c r="BW29" s="19">
        <f>IF(COUNTIFS(T_TTAFStock_Log[Part Name],$A29,T_TTAFStock_Log[WeekIndex],74)=0,"",SUMIFS(T_TTAFStock_Log[TTAF_Qty],T_TTAFStock_Log[Part Name],$A29,T_TTAFStock_Log[WeekIndex],74))</f>
        <v/>
      </c>
      <c r="BX29" s="19">
        <f>IF(COUNTIFS(T_TTAFStock_Log[Part Name],$A29,T_TTAFStock_Log[WeekIndex],75)=0,"",SUMIFS(T_TTAFStock_Log[TTAF_Qty],T_TTAFStock_Log[Part Name],$A29,T_TTAFStock_Log[WeekIndex],75))</f>
        <v/>
      </c>
      <c r="BY29" s="19">
        <f>IF(COUNTIFS(T_TTAFStock_Log[Part Name],$A29,T_TTAFStock_Log[WeekIndex],76)=0,"",SUMIFS(T_TTAFStock_Log[TTAF_Qty],T_TTAFStock_Log[Part Name],$A29,T_TTAFStock_Log[WeekIndex],76))</f>
        <v/>
      </c>
      <c r="BZ29" s="19">
        <f>IF(COUNTIFS(T_TTAFStock_Log[Part Name],$A29,T_TTAFStock_Log[WeekIndex],77)=0,"",SUMIFS(T_TTAFStock_Log[TTAF_Qty],T_TTAFStock_Log[Part Name],$A29,T_TTAFStock_Log[WeekIndex],77))</f>
        <v/>
      </c>
      <c r="CA29" s="19">
        <f>IF(COUNTIFS(T_TTAFStock_Log[Part Name],$A29,T_TTAFStock_Log[WeekIndex],78)=0,"",SUMIFS(T_TTAFStock_Log[TTAF_Qty],T_TTAFStock_Log[Part Name],$A29,T_TTAFStock_Log[WeekIndex],78))</f>
        <v/>
      </c>
      <c r="CB29" s="19">
        <f>IF(COUNTIFS(T_TTAFStock_Log[Part Name],$A29,T_TTAFStock_Log[WeekIndex],79)=0,"",SUMIFS(T_TTAFStock_Log[TTAF_Qty],T_TTAFStock_Log[Part Name],$A29,T_TTAFStock_Log[WeekIndex],79))</f>
        <v/>
      </c>
      <c r="CC29" s="19">
        <f>IF(COUNTIFS(T_TTAFStock_Log[Part Name],$A29,T_TTAFStock_Log[WeekIndex],80)=0,"",SUMIFS(T_TTAFStock_Log[TTAF_Qty],T_TTAFStock_Log[Part Name],$A29,T_TTAFStock_Log[WeekIndex],80))</f>
        <v/>
      </c>
      <c r="CD29" s="19">
        <f>IF(COUNTIFS(T_TTAFStock_Log[Part Name],$A29,T_TTAFStock_Log[WeekIndex],81)=0,"",SUMIFS(T_TTAFStock_Log[TTAF_Qty],T_TTAFStock_Log[Part Name],$A29,T_TTAFStock_Log[WeekIndex],81))</f>
        <v/>
      </c>
      <c r="CE29" s="19">
        <f>IF(COUNTIFS(T_TTAFStock_Log[Part Name],$A29,T_TTAFStock_Log[WeekIndex],82)=0,"",SUMIFS(T_TTAFStock_Log[TTAF_Qty],T_TTAFStock_Log[Part Name],$A29,T_TTAFStock_Log[WeekIndex],82))</f>
        <v/>
      </c>
      <c r="CF29" s="19">
        <f>IF(COUNTIFS(T_TTAFStock_Log[Part Name],$A29,T_TTAFStock_Log[WeekIndex],83)=0,"",SUMIFS(T_TTAFStock_Log[TTAF_Qty],T_TTAFStock_Log[Part Name],$A29,T_TTAFStock_Log[WeekIndex],83))</f>
        <v/>
      </c>
      <c r="CG29" s="19">
        <f>IF(COUNTIFS(T_TTAFStock_Log[Part Name],$A29,T_TTAFStock_Log[WeekIndex],84)=0,"",SUMIFS(T_TTAFStock_Log[TTAF_Qty],T_TTAFStock_Log[Part Name],$A29,T_TTAFStock_Log[WeekIndex],84))</f>
        <v/>
      </c>
      <c r="CH29" s="19">
        <f>IF(COUNTIFS(T_TTAFStock_Log[Part Name],$A29,T_TTAFStock_Log[WeekIndex],85)=0,"",SUMIFS(T_TTAFStock_Log[TTAF_Qty],T_TTAFStock_Log[Part Name],$A29,T_TTAFStock_Log[WeekIndex],85))</f>
        <v/>
      </c>
      <c r="CI29" s="19">
        <f>IF(COUNTIFS(T_TTAFStock_Log[Part Name],$A29,T_TTAFStock_Log[WeekIndex],86)=0,"",SUMIFS(T_TTAFStock_Log[TTAF_Qty],T_TTAFStock_Log[Part Name],$A29,T_TTAFStock_Log[WeekIndex],86))</f>
        <v/>
      </c>
      <c r="CJ29" s="19">
        <f>IF(COUNTIFS(T_TTAFStock_Log[Part Name],$A29,T_TTAFStock_Log[WeekIndex],87)=0,"",SUMIFS(T_TTAFStock_Log[TTAF_Qty],T_TTAFStock_Log[Part Name],$A29,T_TTAFStock_Log[WeekIndex],87))</f>
        <v/>
      </c>
      <c r="CK29" s="19">
        <f>IF(COUNTIFS(T_TTAFStock_Log[Part Name],$A29,T_TTAFStock_Log[WeekIndex],88)=0,"",SUMIFS(T_TTAFStock_Log[TTAF_Qty],T_TTAFStock_Log[Part Name],$A29,T_TTAFStock_Log[WeekIndex],88))</f>
        <v/>
      </c>
      <c r="CL29" s="19">
        <f>IF(COUNTIFS(T_TTAFStock_Log[Part Name],$A29,T_TTAFStock_Log[WeekIndex],89)=0,"",SUMIFS(T_TTAFStock_Log[TTAF_Qty],T_TTAFStock_Log[Part Name],$A29,T_TTAFStock_Log[WeekIndex],89))</f>
        <v/>
      </c>
      <c r="CM29" s="19">
        <f>IF(COUNTIFS(T_TTAFStock_Log[Part Name],$A29,T_TTAFStock_Log[WeekIndex],90)=0,"",SUMIFS(T_TTAFStock_Log[TTAF_Qty],T_TTAFStock_Log[Part Name],$A29,T_TTAFStock_Log[WeekIndex],90))</f>
        <v/>
      </c>
      <c r="CN29" s="19">
        <f>IF(COUNTIFS(T_TTAFStock_Log[Part Name],$A29,T_TTAFStock_Log[WeekIndex],91)=0,"",SUMIFS(T_TTAFStock_Log[TTAF_Qty],T_TTAFStock_Log[Part Name],$A29,T_TTAFStock_Log[WeekIndex],91))</f>
        <v/>
      </c>
      <c r="CO29" s="19">
        <f>IF(COUNTIFS(T_TTAFStock_Log[Part Name],$A29,T_TTAFStock_Log[WeekIndex],92)=0,"",SUMIFS(T_TTAFStock_Log[TTAF_Qty],T_TTAFStock_Log[Part Name],$A29,T_TTAFStock_Log[WeekIndex],92))</f>
        <v/>
      </c>
      <c r="CP29" s="19">
        <f>IF(COUNTIFS(T_TTAFStock_Log[Part Name],$A29,T_TTAFStock_Log[WeekIndex],93)=0,"",SUMIFS(T_TTAFStock_Log[TTAF_Qty],T_TTAFStock_Log[Part Name],$A29,T_TTAFStock_Log[WeekIndex],93))</f>
        <v/>
      </c>
      <c r="CQ29" s="19">
        <f>IF(COUNTIFS(T_TTAFStock_Log[Part Name],$A29,T_TTAFStock_Log[WeekIndex],94)=0,"",SUMIFS(T_TTAFStock_Log[TTAF_Qty],T_TTAFStock_Log[Part Name],$A29,T_TTAFStock_Log[WeekIndex],94))</f>
        <v/>
      </c>
      <c r="CR29" s="19">
        <f>IF(COUNTIFS(T_TTAFStock_Log[Part Name],$A29,T_TTAFStock_Log[WeekIndex],95)=0,"",SUMIFS(T_TTAFStock_Log[TTAF_Qty],T_TTAFStock_Log[Part Name],$A29,T_TTAFStock_Log[WeekIndex],95))</f>
        <v/>
      </c>
      <c r="CS29" s="19">
        <f>IF(COUNTIFS(T_TTAFStock_Log[Part Name],$A29,T_TTAFStock_Log[WeekIndex],96)=0,"",SUMIFS(T_TTAFStock_Log[TTAF_Qty],T_TTAFStock_Log[Part Name],$A29,T_TTAFStock_Log[WeekIndex],96))</f>
        <v/>
      </c>
      <c r="CT29" s="19">
        <f>IF(COUNTIFS(T_TTAFStock_Log[Part Name],$A29,T_TTAFStock_Log[WeekIndex],97)=0,"",SUMIFS(T_TTAFStock_Log[TTAF_Qty],T_TTAFStock_Log[Part Name],$A29,T_TTAFStock_Log[WeekIndex],97))</f>
        <v/>
      </c>
      <c r="CU29" s="19">
        <f>IF(COUNTIFS(T_TTAFStock_Log[Part Name],$A29,T_TTAFStock_Log[WeekIndex],98)=0,"",SUMIFS(T_TTAFStock_Log[TTAF_Qty],T_TTAFStock_Log[Part Name],$A29,T_TTAFStock_Log[WeekIndex],98))</f>
        <v/>
      </c>
      <c r="CV29" s="19">
        <f>IF(COUNTIFS(T_TTAFStock_Log[Part Name],$A29,T_TTAFStock_Log[WeekIndex],99)=0,"",SUMIFS(T_TTAFStock_Log[TTAF_Qty],T_TTAFStock_Log[Part Name],$A29,T_TTAFStock_Log[WeekIndex],99))</f>
        <v/>
      </c>
      <c r="CW29" s="19">
        <f>IF(COUNTIFS(T_TTAFStock_Log[Part Name],$A29,T_TTAFStock_Log[WeekIndex],100)=0,"",SUMIFS(T_TTAFStock_Log[TTAF_Qty],T_TTAFStock_Log[Part Name],$A29,T_TTAFStock_Log[WeekIndex],100))</f>
        <v/>
      </c>
      <c r="CX29" s="19">
        <f>IF(COUNTIFS(T_TTAFStock_Log[Part Name],$A29,T_TTAFStock_Log[WeekIndex],101)=0,"",SUMIFS(T_TTAFStock_Log[TTAF_Qty],T_TTAFStock_Log[Part Name],$A29,T_TTAFStock_Log[WeekIndex],101))</f>
        <v/>
      </c>
      <c r="CY29" s="19">
        <f>IF(COUNTIFS(T_TTAFStock_Log[Part Name],$A29,T_TTAFStock_Log[WeekIndex],102)=0,"",SUMIFS(T_TTAFStock_Log[TTAF_Qty],T_TTAFStock_Log[Part Name],$A29,T_TTAFStock_Log[WeekIndex],102))</f>
        <v/>
      </c>
      <c r="CZ29" s="19">
        <f>IF(COUNTIFS(T_TTAFStock_Log[Part Name],$A29,T_TTAFStock_Log[WeekIndex],103)=0,"",SUMIFS(T_TTAFStock_Log[TTAF_Qty],T_TTAFStock_Log[Part Name],$A29,T_TTAFStock_Log[WeekIndex],103))</f>
        <v/>
      </c>
      <c r="DA29" s="19">
        <f>IF(COUNTIFS(T_TTAFStock_Log[Part Name],$A29,T_TTAFStock_Log[WeekIndex],104)=0,"",SUMIFS(T_TTAFStock_Log[TTAF_Qty],T_TTAFStock_Log[Part Name],$A29,T_TTAFStock_Log[WeekIndex],104))</f>
        <v/>
      </c>
    </row>
    <row r="30">
      <c r="A30" s="17" t="inlineStr">
        <is>
          <t>CHEM-1580</t>
        </is>
      </c>
      <c r="B30" s="17">
        <f>IF(COUNTIFS(T_TTAFStock_Log[Part Name],$A30,T_TTAFStock_Log[WeekIndex],1)=0,"",SUMIFS(T_TTAFStock_Log[TTAF_Qty],T_TTAFStock_Log[Part Name],$A30,T_TTAFStock_Log[WeekIndex],1))</f>
        <v/>
      </c>
      <c r="C30" s="17">
        <f>IF(COUNTIFS(T_TTAFStock_Log[Part Name],$A30,T_TTAFStock_Log[WeekIndex],2)=0,"",SUMIFS(T_TTAFStock_Log[TTAF_Qty],T_TTAFStock_Log[Part Name],$A30,T_TTAFStock_Log[WeekIndex],2))</f>
        <v/>
      </c>
      <c r="D30" s="17">
        <f>IF(COUNTIFS(T_TTAFStock_Log[Part Name],$A30,T_TTAFStock_Log[WeekIndex],3)=0,"",SUMIFS(T_TTAFStock_Log[TTAF_Qty],T_TTAFStock_Log[Part Name],$A30,T_TTAFStock_Log[WeekIndex],3))</f>
        <v/>
      </c>
      <c r="E30" s="17">
        <f>IF(COUNTIFS(T_TTAFStock_Log[Part Name],$A30,T_TTAFStock_Log[WeekIndex],4)=0,"",SUMIFS(T_TTAFStock_Log[TTAF_Qty],T_TTAFStock_Log[Part Name],$A30,T_TTAFStock_Log[WeekIndex],4))</f>
        <v/>
      </c>
      <c r="F30" s="17">
        <f>IF(COUNTIFS(T_TTAFStock_Log[Part Name],$A30,T_TTAFStock_Log[WeekIndex],5)=0,"",SUMIFS(T_TTAFStock_Log[TTAF_Qty],T_TTAFStock_Log[Part Name],$A30,T_TTAFStock_Log[WeekIndex],5))</f>
        <v/>
      </c>
      <c r="G30" s="17">
        <f>IF(COUNTIFS(T_TTAFStock_Log[Part Name],$A30,T_TTAFStock_Log[WeekIndex],6)=0,"",SUMIFS(T_TTAFStock_Log[TTAF_Qty],T_TTAFStock_Log[Part Name],$A30,T_TTAFStock_Log[WeekIndex],6))</f>
        <v/>
      </c>
      <c r="H30" s="17">
        <f>IF(COUNTIFS(T_TTAFStock_Log[Part Name],$A30,T_TTAFStock_Log[WeekIndex],7)=0,"",SUMIFS(T_TTAFStock_Log[TTAF_Qty],T_TTAFStock_Log[Part Name],$A30,T_TTAFStock_Log[WeekIndex],7))</f>
        <v/>
      </c>
      <c r="I30" s="17">
        <f>IF(COUNTIFS(T_TTAFStock_Log[Part Name],$A30,T_TTAFStock_Log[WeekIndex],8)=0,"",SUMIFS(T_TTAFStock_Log[TTAF_Qty],T_TTAFStock_Log[Part Name],$A30,T_TTAFStock_Log[WeekIndex],8))</f>
        <v/>
      </c>
      <c r="J30" s="17">
        <f>IF(COUNTIFS(T_TTAFStock_Log[Part Name],$A30,T_TTAFStock_Log[WeekIndex],9)=0,"",SUMIFS(T_TTAFStock_Log[TTAF_Qty],T_TTAFStock_Log[Part Name],$A30,T_TTAFStock_Log[WeekIndex],9))</f>
        <v/>
      </c>
      <c r="K30" s="17">
        <f>IF(COUNTIFS(T_TTAFStock_Log[Part Name],$A30,T_TTAFStock_Log[WeekIndex],10)=0,"",SUMIFS(T_TTAFStock_Log[TTAF_Qty],T_TTAFStock_Log[Part Name],$A30,T_TTAFStock_Log[WeekIndex],10))</f>
        <v/>
      </c>
      <c r="L30" s="17">
        <f>IF(COUNTIFS(T_TTAFStock_Log[Part Name],$A30,T_TTAFStock_Log[WeekIndex],11)=0,"",SUMIFS(T_TTAFStock_Log[TTAF_Qty],T_TTAFStock_Log[Part Name],$A30,T_TTAFStock_Log[WeekIndex],11))</f>
        <v/>
      </c>
      <c r="M30" s="17">
        <f>IF(COUNTIFS(T_TTAFStock_Log[Part Name],$A30,T_TTAFStock_Log[WeekIndex],12)=0,"",SUMIFS(T_TTAFStock_Log[TTAF_Qty],T_TTAFStock_Log[Part Name],$A30,T_TTAFStock_Log[WeekIndex],12))</f>
        <v/>
      </c>
      <c r="N30" s="17">
        <f>IF(COUNTIFS(T_TTAFStock_Log[Part Name],$A30,T_TTAFStock_Log[WeekIndex],13)=0,"",SUMIFS(T_TTAFStock_Log[TTAF_Qty],T_TTAFStock_Log[Part Name],$A30,T_TTAFStock_Log[WeekIndex],13))</f>
        <v/>
      </c>
      <c r="O30" s="17">
        <f>IF(COUNTIFS(T_TTAFStock_Log[Part Name],$A30,T_TTAFStock_Log[WeekIndex],14)=0,"",SUMIFS(T_TTAFStock_Log[TTAF_Qty],T_TTAFStock_Log[Part Name],$A30,T_TTAFStock_Log[WeekIndex],14))</f>
        <v/>
      </c>
      <c r="P30" s="17">
        <f>IF(COUNTIFS(T_TTAFStock_Log[Part Name],$A30,T_TTAFStock_Log[WeekIndex],15)=0,"",SUMIFS(T_TTAFStock_Log[TTAF_Qty],T_TTAFStock_Log[Part Name],$A30,T_TTAFStock_Log[WeekIndex],15))</f>
        <v/>
      </c>
      <c r="Q30" s="17">
        <f>IF(COUNTIFS(T_TTAFStock_Log[Part Name],$A30,T_TTAFStock_Log[WeekIndex],16)=0,"",SUMIFS(T_TTAFStock_Log[TTAF_Qty],T_TTAFStock_Log[Part Name],$A30,T_TTAFStock_Log[WeekIndex],16))</f>
        <v/>
      </c>
      <c r="R30" s="17">
        <f>IF(COUNTIFS(T_TTAFStock_Log[Part Name],$A30,T_TTAFStock_Log[WeekIndex],17)=0,"",SUMIFS(T_TTAFStock_Log[TTAF_Qty],T_TTAFStock_Log[Part Name],$A30,T_TTAFStock_Log[WeekIndex],17))</f>
        <v/>
      </c>
      <c r="S30" s="17">
        <f>IF(COUNTIFS(T_TTAFStock_Log[Part Name],$A30,T_TTAFStock_Log[WeekIndex],18)=0,"",SUMIFS(T_TTAFStock_Log[TTAF_Qty],T_TTAFStock_Log[Part Name],$A30,T_TTAFStock_Log[WeekIndex],18))</f>
        <v/>
      </c>
      <c r="T30" s="17">
        <f>IF(COUNTIFS(T_TTAFStock_Log[Part Name],$A30,T_TTAFStock_Log[WeekIndex],19)=0,"",SUMIFS(T_TTAFStock_Log[TTAF_Qty],T_TTAFStock_Log[Part Name],$A30,T_TTAFStock_Log[WeekIndex],19))</f>
        <v/>
      </c>
      <c r="U30" s="17">
        <f>IF(COUNTIFS(T_TTAFStock_Log[Part Name],$A30,T_TTAFStock_Log[WeekIndex],20)=0,"",SUMIFS(T_TTAFStock_Log[TTAF_Qty],T_TTAFStock_Log[Part Name],$A30,T_TTAFStock_Log[WeekIndex],20))</f>
        <v/>
      </c>
      <c r="V30" s="17">
        <f>IF(COUNTIFS(T_TTAFStock_Log[Part Name],$A30,T_TTAFStock_Log[WeekIndex],21)=0,"",SUMIFS(T_TTAFStock_Log[TTAF_Qty],T_TTAFStock_Log[Part Name],$A30,T_TTAFStock_Log[WeekIndex],21))</f>
        <v/>
      </c>
      <c r="W30" s="17">
        <f>IF(COUNTIFS(T_TTAFStock_Log[Part Name],$A30,T_TTAFStock_Log[WeekIndex],22)=0,"",SUMIFS(T_TTAFStock_Log[TTAF_Qty],T_TTAFStock_Log[Part Name],$A30,T_TTAFStock_Log[WeekIndex],22))</f>
        <v/>
      </c>
      <c r="X30" s="17">
        <f>IF(COUNTIFS(T_TTAFStock_Log[Part Name],$A30,T_TTAFStock_Log[WeekIndex],23)=0,"",SUMIFS(T_TTAFStock_Log[TTAF_Qty],T_TTAFStock_Log[Part Name],$A30,T_TTAFStock_Log[WeekIndex],23))</f>
        <v/>
      </c>
      <c r="Y30" s="17">
        <f>IF(COUNTIFS(T_TTAFStock_Log[Part Name],$A30,T_TTAFStock_Log[WeekIndex],24)=0,"",SUMIFS(T_TTAFStock_Log[TTAF_Qty],T_TTAFStock_Log[Part Name],$A30,T_TTAFStock_Log[WeekIndex],24))</f>
        <v/>
      </c>
      <c r="Z30" s="17">
        <f>IF(COUNTIFS(T_TTAFStock_Log[Part Name],$A30,T_TTAFStock_Log[WeekIndex],25)=0,"",SUMIFS(T_TTAFStock_Log[TTAF_Qty],T_TTAFStock_Log[Part Name],$A30,T_TTAFStock_Log[WeekIndex],25))</f>
        <v/>
      </c>
      <c r="AA30" s="17">
        <f>IF(COUNTIFS(T_TTAFStock_Log[Part Name],$A30,T_TTAFStock_Log[WeekIndex],26)=0,"",SUMIFS(T_TTAFStock_Log[TTAF_Qty],T_TTAFStock_Log[Part Name],$A30,T_TTAFStock_Log[WeekIndex],26))</f>
        <v/>
      </c>
      <c r="AB30" s="17">
        <f>IF(COUNTIFS(T_TTAFStock_Log[Part Name],$A30,T_TTAFStock_Log[WeekIndex],27)=0,"",SUMIFS(T_TTAFStock_Log[TTAF_Qty],T_TTAFStock_Log[Part Name],$A30,T_TTAFStock_Log[WeekIndex],27))</f>
        <v/>
      </c>
      <c r="AC30" s="17">
        <f>IF(COUNTIFS(T_TTAFStock_Log[Part Name],$A30,T_TTAFStock_Log[WeekIndex],28)=0,"",SUMIFS(T_TTAFStock_Log[TTAF_Qty],T_TTAFStock_Log[Part Name],$A30,T_TTAFStock_Log[WeekIndex],28))</f>
        <v/>
      </c>
      <c r="AD30" s="17">
        <f>IF(COUNTIFS(T_TTAFStock_Log[Part Name],$A30,T_TTAFStock_Log[WeekIndex],29)=0,"",SUMIFS(T_TTAFStock_Log[TTAF_Qty],T_TTAFStock_Log[Part Name],$A30,T_TTAFStock_Log[WeekIndex],29))</f>
        <v/>
      </c>
      <c r="AE30" s="17">
        <f>IF(COUNTIFS(T_TTAFStock_Log[Part Name],$A30,T_TTAFStock_Log[WeekIndex],30)=0,"",SUMIFS(T_TTAFStock_Log[TTAF_Qty],T_TTAFStock_Log[Part Name],$A30,T_TTAFStock_Log[WeekIndex],30))</f>
        <v/>
      </c>
      <c r="AF30" s="17">
        <f>IF(COUNTIFS(T_TTAFStock_Log[Part Name],$A30,T_TTAFStock_Log[WeekIndex],31)=0,"",SUMIFS(T_TTAFStock_Log[TTAF_Qty],T_TTAFStock_Log[Part Name],$A30,T_TTAFStock_Log[WeekIndex],31))</f>
        <v/>
      </c>
      <c r="AG30" s="17">
        <f>IF(COUNTIFS(T_TTAFStock_Log[Part Name],$A30,T_TTAFStock_Log[WeekIndex],32)=0,"",SUMIFS(T_TTAFStock_Log[TTAF_Qty],T_TTAFStock_Log[Part Name],$A30,T_TTAFStock_Log[WeekIndex],32))</f>
        <v/>
      </c>
      <c r="AH30" s="17">
        <f>IF(COUNTIFS(T_TTAFStock_Log[Part Name],$A30,T_TTAFStock_Log[WeekIndex],33)=0,"",SUMIFS(T_TTAFStock_Log[TTAF_Qty],T_TTAFStock_Log[Part Name],$A30,T_TTAFStock_Log[WeekIndex],33))</f>
        <v/>
      </c>
      <c r="AI30" s="17">
        <f>IF(COUNTIFS(T_TTAFStock_Log[Part Name],$A30,T_TTAFStock_Log[WeekIndex],34)=0,"",SUMIFS(T_TTAFStock_Log[TTAF_Qty],T_TTAFStock_Log[Part Name],$A30,T_TTAFStock_Log[WeekIndex],34))</f>
        <v/>
      </c>
      <c r="AJ30" s="17">
        <f>IF(COUNTIFS(T_TTAFStock_Log[Part Name],$A30,T_TTAFStock_Log[WeekIndex],35)=0,"",SUMIFS(T_TTAFStock_Log[TTAF_Qty],T_TTAFStock_Log[Part Name],$A30,T_TTAFStock_Log[WeekIndex],35))</f>
        <v/>
      </c>
      <c r="AK30" s="17">
        <f>IF(COUNTIFS(T_TTAFStock_Log[Part Name],$A30,T_TTAFStock_Log[WeekIndex],36)=0,"",SUMIFS(T_TTAFStock_Log[TTAF_Qty],T_TTAFStock_Log[Part Name],$A30,T_TTAFStock_Log[WeekIndex],36))</f>
        <v/>
      </c>
      <c r="AL30" s="17">
        <f>IF(COUNTIFS(T_TTAFStock_Log[Part Name],$A30,T_TTAFStock_Log[WeekIndex],37)=0,"",SUMIFS(T_TTAFStock_Log[TTAF_Qty],T_TTAFStock_Log[Part Name],$A30,T_TTAFStock_Log[WeekIndex],37))</f>
        <v/>
      </c>
      <c r="AM30" s="17">
        <f>IF(COUNTIFS(T_TTAFStock_Log[Part Name],$A30,T_TTAFStock_Log[WeekIndex],38)=0,"",SUMIFS(T_TTAFStock_Log[TTAF_Qty],T_TTAFStock_Log[Part Name],$A30,T_TTAFStock_Log[WeekIndex],38))</f>
        <v/>
      </c>
      <c r="AN30" s="17">
        <f>IF(COUNTIFS(T_TTAFStock_Log[Part Name],$A30,T_TTAFStock_Log[WeekIndex],39)=0,"",SUMIFS(T_TTAFStock_Log[TTAF_Qty],T_TTAFStock_Log[Part Name],$A30,T_TTAFStock_Log[WeekIndex],39))</f>
        <v/>
      </c>
      <c r="AO30" s="17">
        <f>IF(COUNTIFS(T_TTAFStock_Log[Part Name],$A30,T_TTAFStock_Log[WeekIndex],40)=0,"",SUMIFS(T_TTAFStock_Log[TTAF_Qty],T_TTAFStock_Log[Part Name],$A30,T_TTAFStock_Log[WeekIndex],40))</f>
        <v/>
      </c>
      <c r="AP30" s="17">
        <f>IF(COUNTIFS(T_TTAFStock_Log[Part Name],$A30,T_TTAFStock_Log[WeekIndex],41)=0,"",SUMIFS(T_TTAFStock_Log[TTAF_Qty],T_TTAFStock_Log[Part Name],$A30,T_TTAFStock_Log[WeekIndex],41))</f>
        <v/>
      </c>
      <c r="AQ30" s="17">
        <f>IF(COUNTIFS(T_TTAFStock_Log[Part Name],$A30,T_TTAFStock_Log[WeekIndex],42)=0,"",SUMIFS(T_TTAFStock_Log[TTAF_Qty],T_TTAFStock_Log[Part Name],$A30,T_TTAFStock_Log[WeekIndex],42))</f>
        <v/>
      </c>
      <c r="AR30" s="17">
        <f>IF(COUNTIFS(T_TTAFStock_Log[Part Name],$A30,T_TTAFStock_Log[WeekIndex],43)=0,"",SUMIFS(T_TTAFStock_Log[TTAF_Qty],T_TTAFStock_Log[Part Name],$A30,T_TTAFStock_Log[WeekIndex],43))</f>
        <v/>
      </c>
      <c r="AS30" s="17">
        <f>IF(COUNTIFS(T_TTAFStock_Log[Part Name],$A30,T_TTAFStock_Log[WeekIndex],44)=0,"",SUMIFS(T_TTAFStock_Log[TTAF_Qty],T_TTAFStock_Log[Part Name],$A30,T_TTAFStock_Log[WeekIndex],44))</f>
        <v/>
      </c>
      <c r="AT30" s="17">
        <f>IF(COUNTIFS(T_TTAFStock_Log[Part Name],$A30,T_TTAFStock_Log[WeekIndex],45)=0,"",SUMIFS(T_TTAFStock_Log[TTAF_Qty],T_TTAFStock_Log[Part Name],$A30,T_TTAFStock_Log[WeekIndex],45))</f>
        <v/>
      </c>
      <c r="AU30" s="17">
        <f>IF(COUNTIFS(T_TTAFStock_Log[Part Name],$A30,T_TTAFStock_Log[WeekIndex],46)=0,"",SUMIFS(T_TTAFStock_Log[TTAF_Qty],T_TTAFStock_Log[Part Name],$A30,T_TTAFStock_Log[WeekIndex],46))</f>
        <v/>
      </c>
      <c r="AV30" s="17">
        <f>IF(COUNTIFS(T_TTAFStock_Log[Part Name],$A30,T_TTAFStock_Log[WeekIndex],47)=0,"",SUMIFS(T_TTAFStock_Log[TTAF_Qty],T_TTAFStock_Log[Part Name],$A30,T_TTAFStock_Log[WeekIndex],47))</f>
        <v/>
      </c>
      <c r="AW30" s="17">
        <f>IF(COUNTIFS(T_TTAFStock_Log[Part Name],$A30,T_TTAFStock_Log[WeekIndex],48)=0,"",SUMIFS(T_TTAFStock_Log[TTAF_Qty],T_TTAFStock_Log[Part Name],$A30,T_TTAFStock_Log[WeekIndex],48))</f>
        <v/>
      </c>
      <c r="AX30" s="17">
        <f>IF(COUNTIFS(T_TTAFStock_Log[Part Name],$A30,T_TTAFStock_Log[WeekIndex],49)=0,"",SUMIFS(T_TTAFStock_Log[TTAF_Qty],T_TTAFStock_Log[Part Name],$A30,T_TTAFStock_Log[WeekIndex],49))</f>
        <v/>
      </c>
      <c r="AY30" s="17">
        <f>IF(COUNTIFS(T_TTAFStock_Log[Part Name],$A30,T_TTAFStock_Log[WeekIndex],50)=0,"",SUMIFS(T_TTAFStock_Log[TTAF_Qty],T_TTAFStock_Log[Part Name],$A30,T_TTAFStock_Log[WeekIndex],50))</f>
        <v/>
      </c>
      <c r="AZ30" s="17">
        <f>IF(COUNTIFS(T_TTAFStock_Log[Part Name],$A30,T_TTAFStock_Log[WeekIndex],51)=0,"",SUMIFS(T_TTAFStock_Log[TTAF_Qty],T_TTAFStock_Log[Part Name],$A30,T_TTAFStock_Log[WeekIndex],51))</f>
        <v/>
      </c>
      <c r="BA30" s="17">
        <f>IF(COUNTIFS(T_TTAFStock_Log[Part Name],$A30,T_TTAFStock_Log[WeekIndex],52)=0,"",SUMIFS(T_TTAFStock_Log[TTAF_Qty],T_TTAFStock_Log[Part Name],$A30,T_TTAFStock_Log[WeekIndex],52))</f>
        <v/>
      </c>
      <c r="BB30" s="17">
        <f>IF(COUNTIFS(T_TTAFStock_Log[Part Name],$A30,T_TTAFStock_Log[WeekIndex],53)=0,"",SUMIFS(T_TTAFStock_Log[TTAF_Qty],T_TTAFStock_Log[Part Name],$A30,T_TTAFStock_Log[WeekIndex],53))</f>
        <v/>
      </c>
      <c r="BC30" s="17">
        <f>IF(COUNTIFS(T_TTAFStock_Log[Part Name],$A30,T_TTAFStock_Log[WeekIndex],54)=0,"",SUMIFS(T_TTAFStock_Log[TTAF_Qty],T_TTAFStock_Log[Part Name],$A30,T_TTAFStock_Log[WeekIndex],54))</f>
        <v/>
      </c>
      <c r="BD30" s="17">
        <f>IF(COUNTIFS(T_TTAFStock_Log[Part Name],$A30,T_TTAFStock_Log[WeekIndex],55)=0,"",SUMIFS(T_TTAFStock_Log[TTAF_Qty],T_TTAFStock_Log[Part Name],$A30,T_TTAFStock_Log[WeekIndex],55))</f>
        <v/>
      </c>
      <c r="BE30" s="17">
        <f>IF(COUNTIFS(T_TTAFStock_Log[Part Name],$A30,T_TTAFStock_Log[WeekIndex],56)=0,"",SUMIFS(T_TTAFStock_Log[TTAF_Qty],T_TTAFStock_Log[Part Name],$A30,T_TTAFStock_Log[WeekIndex],56))</f>
        <v/>
      </c>
      <c r="BF30" s="17">
        <f>IF(COUNTIFS(T_TTAFStock_Log[Part Name],$A30,T_TTAFStock_Log[WeekIndex],57)=0,"",SUMIFS(T_TTAFStock_Log[TTAF_Qty],T_TTAFStock_Log[Part Name],$A30,T_TTAFStock_Log[WeekIndex],57))</f>
        <v/>
      </c>
      <c r="BG30" s="17">
        <f>IF(COUNTIFS(T_TTAFStock_Log[Part Name],$A30,T_TTAFStock_Log[WeekIndex],58)=0,"",SUMIFS(T_TTAFStock_Log[TTAF_Qty],T_TTAFStock_Log[Part Name],$A30,T_TTAFStock_Log[WeekIndex],58))</f>
        <v/>
      </c>
      <c r="BH30" s="17">
        <f>IF(COUNTIFS(T_TTAFStock_Log[Part Name],$A30,T_TTAFStock_Log[WeekIndex],59)=0,"",SUMIFS(T_TTAFStock_Log[TTAF_Qty],T_TTAFStock_Log[Part Name],$A30,T_TTAFStock_Log[WeekIndex],59))</f>
        <v/>
      </c>
      <c r="BI30" s="17">
        <f>IF(COUNTIFS(T_TTAFStock_Log[Part Name],$A30,T_TTAFStock_Log[WeekIndex],60)=0,"",SUMIFS(T_TTAFStock_Log[TTAF_Qty],T_TTAFStock_Log[Part Name],$A30,T_TTAFStock_Log[WeekIndex],60))</f>
        <v/>
      </c>
      <c r="BJ30" s="17">
        <f>IF(COUNTIFS(T_TTAFStock_Log[Part Name],$A30,T_TTAFStock_Log[WeekIndex],61)=0,"",SUMIFS(T_TTAFStock_Log[TTAF_Qty],T_TTAFStock_Log[Part Name],$A30,T_TTAFStock_Log[WeekIndex],61))</f>
        <v/>
      </c>
      <c r="BK30" s="17">
        <f>IF(COUNTIFS(T_TTAFStock_Log[Part Name],$A30,T_TTAFStock_Log[WeekIndex],62)=0,"",SUMIFS(T_TTAFStock_Log[TTAF_Qty],T_TTAFStock_Log[Part Name],$A30,T_TTAFStock_Log[WeekIndex],62))</f>
        <v/>
      </c>
      <c r="BL30" s="17">
        <f>IF(COUNTIFS(T_TTAFStock_Log[Part Name],$A30,T_TTAFStock_Log[WeekIndex],63)=0,"",SUMIFS(T_TTAFStock_Log[TTAF_Qty],T_TTAFStock_Log[Part Name],$A30,T_TTAFStock_Log[WeekIndex],63))</f>
        <v/>
      </c>
      <c r="BM30" s="17">
        <f>IF(COUNTIFS(T_TTAFStock_Log[Part Name],$A30,T_TTAFStock_Log[WeekIndex],64)=0,"",SUMIFS(T_TTAFStock_Log[TTAF_Qty],T_TTAFStock_Log[Part Name],$A30,T_TTAFStock_Log[WeekIndex],64))</f>
        <v/>
      </c>
      <c r="BN30" s="17">
        <f>IF(COUNTIFS(T_TTAFStock_Log[Part Name],$A30,T_TTAFStock_Log[WeekIndex],65)=0,"",SUMIFS(T_TTAFStock_Log[TTAF_Qty],T_TTAFStock_Log[Part Name],$A30,T_TTAFStock_Log[WeekIndex],65))</f>
        <v/>
      </c>
      <c r="BO30" s="17">
        <f>IF(COUNTIFS(T_TTAFStock_Log[Part Name],$A30,T_TTAFStock_Log[WeekIndex],66)=0,"",SUMIFS(T_TTAFStock_Log[TTAF_Qty],T_TTAFStock_Log[Part Name],$A30,T_TTAFStock_Log[WeekIndex],66))</f>
        <v/>
      </c>
      <c r="BP30" s="17">
        <f>IF(COUNTIFS(T_TTAFStock_Log[Part Name],$A30,T_TTAFStock_Log[WeekIndex],67)=0,"",SUMIFS(T_TTAFStock_Log[TTAF_Qty],T_TTAFStock_Log[Part Name],$A30,T_TTAFStock_Log[WeekIndex],67))</f>
        <v/>
      </c>
      <c r="BQ30" s="17">
        <f>IF(COUNTIFS(T_TTAFStock_Log[Part Name],$A30,T_TTAFStock_Log[WeekIndex],68)=0,"",SUMIFS(T_TTAFStock_Log[TTAF_Qty],T_TTAFStock_Log[Part Name],$A30,T_TTAFStock_Log[WeekIndex],68))</f>
        <v/>
      </c>
      <c r="BR30" s="17">
        <f>IF(COUNTIFS(T_TTAFStock_Log[Part Name],$A30,T_TTAFStock_Log[WeekIndex],69)=0,"",SUMIFS(T_TTAFStock_Log[TTAF_Qty],T_TTAFStock_Log[Part Name],$A30,T_TTAFStock_Log[WeekIndex],69))</f>
        <v/>
      </c>
      <c r="BS30" s="17">
        <f>IF(COUNTIFS(T_TTAFStock_Log[Part Name],$A30,T_TTAFStock_Log[WeekIndex],70)=0,"",SUMIFS(T_TTAFStock_Log[TTAF_Qty],T_TTAFStock_Log[Part Name],$A30,T_TTAFStock_Log[WeekIndex],70))</f>
        <v/>
      </c>
      <c r="BT30" s="17">
        <f>IF(COUNTIFS(T_TTAFStock_Log[Part Name],$A30,T_TTAFStock_Log[WeekIndex],71)=0,"",SUMIFS(T_TTAFStock_Log[TTAF_Qty],T_TTAFStock_Log[Part Name],$A30,T_TTAFStock_Log[WeekIndex],71))</f>
        <v/>
      </c>
      <c r="BU30" s="17">
        <f>IF(COUNTIFS(T_TTAFStock_Log[Part Name],$A30,T_TTAFStock_Log[WeekIndex],72)=0,"",SUMIFS(T_TTAFStock_Log[TTAF_Qty],T_TTAFStock_Log[Part Name],$A30,T_TTAFStock_Log[WeekIndex],72))</f>
        <v/>
      </c>
      <c r="BV30" s="17">
        <f>IF(COUNTIFS(T_TTAFStock_Log[Part Name],$A30,T_TTAFStock_Log[WeekIndex],73)=0,"",SUMIFS(T_TTAFStock_Log[TTAF_Qty],T_TTAFStock_Log[Part Name],$A30,T_TTAFStock_Log[WeekIndex],73))</f>
        <v/>
      </c>
      <c r="BW30" s="17">
        <f>IF(COUNTIFS(T_TTAFStock_Log[Part Name],$A30,T_TTAFStock_Log[WeekIndex],74)=0,"",SUMIFS(T_TTAFStock_Log[TTAF_Qty],T_TTAFStock_Log[Part Name],$A30,T_TTAFStock_Log[WeekIndex],74))</f>
        <v/>
      </c>
      <c r="BX30" s="17">
        <f>IF(COUNTIFS(T_TTAFStock_Log[Part Name],$A30,T_TTAFStock_Log[WeekIndex],75)=0,"",SUMIFS(T_TTAFStock_Log[TTAF_Qty],T_TTAFStock_Log[Part Name],$A30,T_TTAFStock_Log[WeekIndex],75))</f>
        <v/>
      </c>
      <c r="BY30" s="17">
        <f>IF(COUNTIFS(T_TTAFStock_Log[Part Name],$A30,T_TTAFStock_Log[WeekIndex],76)=0,"",SUMIFS(T_TTAFStock_Log[TTAF_Qty],T_TTAFStock_Log[Part Name],$A30,T_TTAFStock_Log[WeekIndex],76))</f>
        <v/>
      </c>
      <c r="BZ30" s="17">
        <f>IF(COUNTIFS(T_TTAFStock_Log[Part Name],$A30,T_TTAFStock_Log[WeekIndex],77)=0,"",SUMIFS(T_TTAFStock_Log[TTAF_Qty],T_TTAFStock_Log[Part Name],$A30,T_TTAFStock_Log[WeekIndex],77))</f>
        <v/>
      </c>
      <c r="CA30" s="17">
        <f>IF(COUNTIFS(T_TTAFStock_Log[Part Name],$A30,T_TTAFStock_Log[WeekIndex],78)=0,"",SUMIFS(T_TTAFStock_Log[TTAF_Qty],T_TTAFStock_Log[Part Name],$A30,T_TTAFStock_Log[WeekIndex],78))</f>
        <v/>
      </c>
      <c r="CB30" s="17">
        <f>IF(COUNTIFS(T_TTAFStock_Log[Part Name],$A30,T_TTAFStock_Log[WeekIndex],79)=0,"",SUMIFS(T_TTAFStock_Log[TTAF_Qty],T_TTAFStock_Log[Part Name],$A30,T_TTAFStock_Log[WeekIndex],79))</f>
        <v/>
      </c>
      <c r="CC30" s="17">
        <f>IF(COUNTIFS(T_TTAFStock_Log[Part Name],$A30,T_TTAFStock_Log[WeekIndex],80)=0,"",SUMIFS(T_TTAFStock_Log[TTAF_Qty],T_TTAFStock_Log[Part Name],$A30,T_TTAFStock_Log[WeekIndex],80))</f>
        <v/>
      </c>
      <c r="CD30" s="17">
        <f>IF(COUNTIFS(T_TTAFStock_Log[Part Name],$A30,T_TTAFStock_Log[WeekIndex],81)=0,"",SUMIFS(T_TTAFStock_Log[TTAF_Qty],T_TTAFStock_Log[Part Name],$A30,T_TTAFStock_Log[WeekIndex],81))</f>
        <v/>
      </c>
      <c r="CE30" s="17">
        <f>IF(COUNTIFS(T_TTAFStock_Log[Part Name],$A30,T_TTAFStock_Log[WeekIndex],82)=0,"",SUMIFS(T_TTAFStock_Log[TTAF_Qty],T_TTAFStock_Log[Part Name],$A30,T_TTAFStock_Log[WeekIndex],82))</f>
        <v/>
      </c>
      <c r="CF30" s="17">
        <f>IF(COUNTIFS(T_TTAFStock_Log[Part Name],$A30,T_TTAFStock_Log[WeekIndex],83)=0,"",SUMIFS(T_TTAFStock_Log[TTAF_Qty],T_TTAFStock_Log[Part Name],$A30,T_TTAFStock_Log[WeekIndex],83))</f>
        <v/>
      </c>
      <c r="CG30" s="17">
        <f>IF(COUNTIFS(T_TTAFStock_Log[Part Name],$A30,T_TTAFStock_Log[WeekIndex],84)=0,"",SUMIFS(T_TTAFStock_Log[TTAF_Qty],T_TTAFStock_Log[Part Name],$A30,T_TTAFStock_Log[WeekIndex],84))</f>
        <v/>
      </c>
      <c r="CH30" s="17">
        <f>IF(COUNTIFS(T_TTAFStock_Log[Part Name],$A30,T_TTAFStock_Log[WeekIndex],85)=0,"",SUMIFS(T_TTAFStock_Log[TTAF_Qty],T_TTAFStock_Log[Part Name],$A30,T_TTAFStock_Log[WeekIndex],85))</f>
        <v/>
      </c>
      <c r="CI30" s="17">
        <f>IF(COUNTIFS(T_TTAFStock_Log[Part Name],$A30,T_TTAFStock_Log[WeekIndex],86)=0,"",SUMIFS(T_TTAFStock_Log[TTAF_Qty],T_TTAFStock_Log[Part Name],$A30,T_TTAFStock_Log[WeekIndex],86))</f>
        <v/>
      </c>
      <c r="CJ30" s="17">
        <f>IF(COUNTIFS(T_TTAFStock_Log[Part Name],$A30,T_TTAFStock_Log[WeekIndex],87)=0,"",SUMIFS(T_TTAFStock_Log[TTAF_Qty],T_TTAFStock_Log[Part Name],$A30,T_TTAFStock_Log[WeekIndex],87))</f>
        <v/>
      </c>
      <c r="CK30" s="17">
        <f>IF(COUNTIFS(T_TTAFStock_Log[Part Name],$A30,T_TTAFStock_Log[WeekIndex],88)=0,"",SUMIFS(T_TTAFStock_Log[TTAF_Qty],T_TTAFStock_Log[Part Name],$A30,T_TTAFStock_Log[WeekIndex],88))</f>
        <v/>
      </c>
      <c r="CL30" s="17">
        <f>IF(COUNTIFS(T_TTAFStock_Log[Part Name],$A30,T_TTAFStock_Log[WeekIndex],89)=0,"",SUMIFS(T_TTAFStock_Log[TTAF_Qty],T_TTAFStock_Log[Part Name],$A30,T_TTAFStock_Log[WeekIndex],89))</f>
        <v/>
      </c>
      <c r="CM30" s="17">
        <f>IF(COUNTIFS(T_TTAFStock_Log[Part Name],$A30,T_TTAFStock_Log[WeekIndex],90)=0,"",SUMIFS(T_TTAFStock_Log[TTAF_Qty],T_TTAFStock_Log[Part Name],$A30,T_TTAFStock_Log[WeekIndex],90))</f>
        <v/>
      </c>
      <c r="CN30" s="17">
        <f>IF(COUNTIFS(T_TTAFStock_Log[Part Name],$A30,T_TTAFStock_Log[WeekIndex],91)=0,"",SUMIFS(T_TTAFStock_Log[TTAF_Qty],T_TTAFStock_Log[Part Name],$A30,T_TTAFStock_Log[WeekIndex],91))</f>
        <v/>
      </c>
      <c r="CO30" s="17">
        <f>IF(COUNTIFS(T_TTAFStock_Log[Part Name],$A30,T_TTAFStock_Log[WeekIndex],92)=0,"",SUMIFS(T_TTAFStock_Log[TTAF_Qty],T_TTAFStock_Log[Part Name],$A30,T_TTAFStock_Log[WeekIndex],92))</f>
        <v/>
      </c>
      <c r="CP30" s="17">
        <f>IF(COUNTIFS(T_TTAFStock_Log[Part Name],$A30,T_TTAFStock_Log[WeekIndex],93)=0,"",SUMIFS(T_TTAFStock_Log[TTAF_Qty],T_TTAFStock_Log[Part Name],$A30,T_TTAFStock_Log[WeekIndex],93))</f>
        <v/>
      </c>
      <c r="CQ30" s="17">
        <f>IF(COUNTIFS(T_TTAFStock_Log[Part Name],$A30,T_TTAFStock_Log[WeekIndex],94)=0,"",SUMIFS(T_TTAFStock_Log[TTAF_Qty],T_TTAFStock_Log[Part Name],$A30,T_TTAFStock_Log[WeekIndex],94))</f>
        <v/>
      </c>
      <c r="CR30" s="17">
        <f>IF(COUNTIFS(T_TTAFStock_Log[Part Name],$A30,T_TTAFStock_Log[WeekIndex],95)=0,"",SUMIFS(T_TTAFStock_Log[TTAF_Qty],T_TTAFStock_Log[Part Name],$A30,T_TTAFStock_Log[WeekIndex],95))</f>
        <v/>
      </c>
      <c r="CS30" s="17">
        <f>IF(COUNTIFS(T_TTAFStock_Log[Part Name],$A30,T_TTAFStock_Log[WeekIndex],96)=0,"",SUMIFS(T_TTAFStock_Log[TTAF_Qty],T_TTAFStock_Log[Part Name],$A30,T_TTAFStock_Log[WeekIndex],96))</f>
        <v/>
      </c>
      <c r="CT30" s="17">
        <f>IF(COUNTIFS(T_TTAFStock_Log[Part Name],$A30,T_TTAFStock_Log[WeekIndex],97)=0,"",SUMIFS(T_TTAFStock_Log[TTAF_Qty],T_TTAFStock_Log[Part Name],$A30,T_TTAFStock_Log[WeekIndex],97))</f>
        <v/>
      </c>
      <c r="CU30" s="17">
        <f>IF(COUNTIFS(T_TTAFStock_Log[Part Name],$A30,T_TTAFStock_Log[WeekIndex],98)=0,"",SUMIFS(T_TTAFStock_Log[TTAF_Qty],T_TTAFStock_Log[Part Name],$A30,T_TTAFStock_Log[WeekIndex],98))</f>
        <v/>
      </c>
      <c r="CV30" s="17">
        <f>IF(COUNTIFS(T_TTAFStock_Log[Part Name],$A30,T_TTAFStock_Log[WeekIndex],99)=0,"",SUMIFS(T_TTAFStock_Log[TTAF_Qty],T_TTAFStock_Log[Part Name],$A30,T_TTAFStock_Log[WeekIndex],99))</f>
        <v/>
      </c>
      <c r="CW30" s="17">
        <f>IF(COUNTIFS(T_TTAFStock_Log[Part Name],$A30,T_TTAFStock_Log[WeekIndex],100)=0,"",SUMIFS(T_TTAFStock_Log[TTAF_Qty],T_TTAFStock_Log[Part Name],$A30,T_TTAFStock_Log[WeekIndex],100))</f>
        <v/>
      </c>
      <c r="CX30" s="17">
        <f>IF(COUNTIFS(T_TTAFStock_Log[Part Name],$A30,T_TTAFStock_Log[WeekIndex],101)=0,"",SUMIFS(T_TTAFStock_Log[TTAF_Qty],T_TTAFStock_Log[Part Name],$A30,T_TTAFStock_Log[WeekIndex],101))</f>
        <v/>
      </c>
      <c r="CY30" s="17">
        <f>IF(COUNTIFS(T_TTAFStock_Log[Part Name],$A30,T_TTAFStock_Log[WeekIndex],102)=0,"",SUMIFS(T_TTAFStock_Log[TTAF_Qty],T_TTAFStock_Log[Part Name],$A30,T_TTAFStock_Log[WeekIndex],102))</f>
        <v/>
      </c>
      <c r="CZ30" s="17">
        <f>IF(COUNTIFS(T_TTAFStock_Log[Part Name],$A30,T_TTAFStock_Log[WeekIndex],103)=0,"",SUMIFS(T_TTAFStock_Log[TTAF_Qty],T_TTAFStock_Log[Part Name],$A30,T_TTAFStock_Log[WeekIndex],103))</f>
        <v/>
      </c>
      <c r="DA30" s="17">
        <f>IF(COUNTIFS(T_TTAFStock_Log[Part Name],$A30,T_TTAFStock_Log[WeekIndex],104)=0,"",SUMIFS(T_TTAFStock_Log[TTAF_Qty],T_TTAFStock_Log[Part Name],$A30,T_TTAFStock_Log[WeekIndex],104))</f>
        <v/>
      </c>
    </row>
    <row r="31">
      <c r="A31" s="19" t="inlineStr">
        <is>
          <t>CHEM-1250</t>
        </is>
      </c>
      <c r="B31" s="19">
        <f>IF(COUNTIFS(T_TTAFStock_Log[Part Name],$A31,T_TTAFStock_Log[WeekIndex],1)=0,"",SUMIFS(T_TTAFStock_Log[TTAF_Qty],T_TTAFStock_Log[Part Name],$A31,T_TTAFStock_Log[WeekIndex],1))</f>
        <v/>
      </c>
      <c r="C31" s="19">
        <f>IF(COUNTIFS(T_TTAFStock_Log[Part Name],$A31,T_TTAFStock_Log[WeekIndex],2)=0,"",SUMIFS(T_TTAFStock_Log[TTAF_Qty],T_TTAFStock_Log[Part Name],$A31,T_TTAFStock_Log[WeekIndex],2))</f>
        <v/>
      </c>
      <c r="D31" s="19">
        <f>IF(COUNTIFS(T_TTAFStock_Log[Part Name],$A31,T_TTAFStock_Log[WeekIndex],3)=0,"",SUMIFS(T_TTAFStock_Log[TTAF_Qty],T_TTAFStock_Log[Part Name],$A31,T_TTAFStock_Log[WeekIndex],3))</f>
        <v/>
      </c>
      <c r="E31" s="19">
        <f>IF(COUNTIFS(T_TTAFStock_Log[Part Name],$A31,T_TTAFStock_Log[WeekIndex],4)=0,"",SUMIFS(T_TTAFStock_Log[TTAF_Qty],T_TTAFStock_Log[Part Name],$A31,T_TTAFStock_Log[WeekIndex],4))</f>
        <v/>
      </c>
      <c r="F31" s="19">
        <f>IF(COUNTIFS(T_TTAFStock_Log[Part Name],$A31,T_TTAFStock_Log[WeekIndex],5)=0,"",SUMIFS(T_TTAFStock_Log[TTAF_Qty],T_TTAFStock_Log[Part Name],$A31,T_TTAFStock_Log[WeekIndex],5))</f>
        <v/>
      </c>
      <c r="G31" s="19">
        <f>IF(COUNTIFS(T_TTAFStock_Log[Part Name],$A31,T_TTAFStock_Log[WeekIndex],6)=0,"",SUMIFS(T_TTAFStock_Log[TTAF_Qty],T_TTAFStock_Log[Part Name],$A31,T_TTAFStock_Log[WeekIndex],6))</f>
        <v/>
      </c>
      <c r="H31" s="19">
        <f>IF(COUNTIFS(T_TTAFStock_Log[Part Name],$A31,T_TTAFStock_Log[WeekIndex],7)=0,"",SUMIFS(T_TTAFStock_Log[TTAF_Qty],T_TTAFStock_Log[Part Name],$A31,T_TTAFStock_Log[WeekIndex],7))</f>
        <v/>
      </c>
      <c r="I31" s="19">
        <f>IF(COUNTIFS(T_TTAFStock_Log[Part Name],$A31,T_TTAFStock_Log[WeekIndex],8)=0,"",SUMIFS(T_TTAFStock_Log[TTAF_Qty],T_TTAFStock_Log[Part Name],$A31,T_TTAFStock_Log[WeekIndex],8))</f>
        <v/>
      </c>
      <c r="J31" s="19">
        <f>IF(COUNTIFS(T_TTAFStock_Log[Part Name],$A31,T_TTAFStock_Log[WeekIndex],9)=0,"",SUMIFS(T_TTAFStock_Log[TTAF_Qty],T_TTAFStock_Log[Part Name],$A31,T_TTAFStock_Log[WeekIndex],9))</f>
        <v/>
      </c>
      <c r="K31" s="19">
        <f>IF(COUNTIFS(T_TTAFStock_Log[Part Name],$A31,T_TTAFStock_Log[WeekIndex],10)=0,"",SUMIFS(T_TTAFStock_Log[TTAF_Qty],T_TTAFStock_Log[Part Name],$A31,T_TTAFStock_Log[WeekIndex],10))</f>
        <v/>
      </c>
      <c r="L31" s="19">
        <f>IF(COUNTIFS(T_TTAFStock_Log[Part Name],$A31,T_TTAFStock_Log[WeekIndex],11)=0,"",SUMIFS(T_TTAFStock_Log[TTAF_Qty],T_TTAFStock_Log[Part Name],$A31,T_TTAFStock_Log[WeekIndex],11))</f>
        <v/>
      </c>
      <c r="M31" s="19">
        <f>IF(COUNTIFS(T_TTAFStock_Log[Part Name],$A31,T_TTAFStock_Log[WeekIndex],12)=0,"",SUMIFS(T_TTAFStock_Log[TTAF_Qty],T_TTAFStock_Log[Part Name],$A31,T_TTAFStock_Log[WeekIndex],12))</f>
        <v/>
      </c>
      <c r="N31" s="19">
        <f>IF(COUNTIFS(T_TTAFStock_Log[Part Name],$A31,T_TTAFStock_Log[WeekIndex],13)=0,"",SUMIFS(T_TTAFStock_Log[TTAF_Qty],T_TTAFStock_Log[Part Name],$A31,T_TTAFStock_Log[WeekIndex],13))</f>
        <v/>
      </c>
      <c r="O31" s="19">
        <f>IF(COUNTIFS(T_TTAFStock_Log[Part Name],$A31,T_TTAFStock_Log[WeekIndex],14)=0,"",SUMIFS(T_TTAFStock_Log[TTAF_Qty],T_TTAFStock_Log[Part Name],$A31,T_TTAFStock_Log[WeekIndex],14))</f>
        <v/>
      </c>
      <c r="P31" s="19">
        <f>IF(COUNTIFS(T_TTAFStock_Log[Part Name],$A31,T_TTAFStock_Log[WeekIndex],15)=0,"",SUMIFS(T_TTAFStock_Log[TTAF_Qty],T_TTAFStock_Log[Part Name],$A31,T_TTAFStock_Log[WeekIndex],15))</f>
        <v/>
      </c>
      <c r="Q31" s="19">
        <f>IF(COUNTIFS(T_TTAFStock_Log[Part Name],$A31,T_TTAFStock_Log[WeekIndex],16)=0,"",SUMIFS(T_TTAFStock_Log[TTAF_Qty],T_TTAFStock_Log[Part Name],$A31,T_TTAFStock_Log[WeekIndex],16))</f>
        <v/>
      </c>
      <c r="R31" s="19">
        <f>IF(COUNTIFS(T_TTAFStock_Log[Part Name],$A31,T_TTAFStock_Log[WeekIndex],17)=0,"",SUMIFS(T_TTAFStock_Log[TTAF_Qty],T_TTAFStock_Log[Part Name],$A31,T_TTAFStock_Log[WeekIndex],17))</f>
        <v/>
      </c>
      <c r="S31" s="19">
        <f>IF(COUNTIFS(T_TTAFStock_Log[Part Name],$A31,T_TTAFStock_Log[WeekIndex],18)=0,"",SUMIFS(T_TTAFStock_Log[TTAF_Qty],T_TTAFStock_Log[Part Name],$A31,T_TTAFStock_Log[WeekIndex],18))</f>
        <v/>
      </c>
      <c r="T31" s="19">
        <f>IF(COUNTIFS(T_TTAFStock_Log[Part Name],$A31,T_TTAFStock_Log[WeekIndex],19)=0,"",SUMIFS(T_TTAFStock_Log[TTAF_Qty],T_TTAFStock_Log[Part Name],$A31,T_TTAFStock_Log[WeekIndex],19))</f>
        <v/>
      </c>
      <c r="U31" s="19">
        <f>IF(COUNTIFS(T_TTAFStock_Log[Part Name],$A31,T_TTAFStock_Log[WeekIndex],20)=0,"",SUMIFS(T_TTAFStock_Log[TTAF_Qty],T_TTAFStock_Log[Part Name],$A31,T_TTAFStock_Log[WeekIndex],20))</f>
        <v/>
      </c>
      <c r="V31" s="19">
        <f>IF(COUNTIFS(T_TTAFStock_Log[Part Name],$A31,T_TTAFStock_Log[WeekIndex],21)=0,"",SUMIFS(T_TTAFStock_Log[TTAF_Qty],T_TTAFStock_Log[Part Name],$A31,T_TTAFStock_Log[WeekIndex],21))</f>
        <v/>
      </c>
      <c r="W31" s="19">
        <f>IF(COUNTIFS(T_TTAFStock_Log[Part Name],$A31,T_TTAFStock_Log[WeekIndex],22)=0,"",SUMIFS(T_TTAFStock_Log[TTAF_Qty],T_TTAFStock_Log[Part Name],$A31,T_TTAFStock_Log[WeekIndex],22))</f>
        <v/>
      </c>
      <c r="X31" s="19">
        <f>IF(COUNTIFS(T_TTAFStock_Log[Part Name],$A31,T_TTAFStock_Log[WeekIndex],23)=0,"",SUMIFS(T_TTAFStock_Log[TTAF_Qty],T_TTAFStock_Log[Part Name],$A31,T_TTAFStock_Log[WeekIndex],23))</f>
        <v/>
      </c>
      <c r="Y31" s="19">
        <f>IF(COUNTIFS(T_TTAFStock_Log[Part Name],$A31,T_TTAFStock_Log[WeekIndex],24)=0,"",SUMIFS(T_TTAFStock_Log[TTAF_Qty],T_TTAFStock_Log[Part Name],$A31,T_TTAFStock_Log[WeekIndex],24))</f>
        <v/>
      </c>
      <c r="Z31" s="19">
        <f>IF(COUNTIFS(T_TTAFStock_Log[Part Name],$A31,T_TTAFStock_Log[WeekIndex],25)=0,"",SUMIFS(T_TTAFStock_Log[TTAF_Qty],T_TTAFStock_Log[Part Name],$A31,T_TTAFStock_Log[WeekIndex],25))</f>
        <v/>
      </c>
      <c r="AA31" s="19">
        <f>IF(COUNTIFS(T_TTAFStock_Log[Part Name],$A31,T_TTAFStock_Log[WeekIndex],26)=0,"",SUMIFS(T_TTAFStock_Log[TTAF_Qty],T_TTAFStock_Log[Part Name],$A31,T_TTAFStock_Log[WeekIndex],26))</f>
        <v/>
      </c>
      <c r="AB31" s="19">
        <f>IF(COUNTIFS(T_TTAFStock_Log[Part Name],$A31,T_TTAFStock_Log[WeekIndex],27)=0,"",SUMIFS(T_TTAFStock_Log[TTAF_Qty],T_TTAFStock_Log[Part Name],$A31,T_TTAFStock_Log[WeekIndex],27))</f>
        <v/>
      </c>
      <c r="AC31" s="19">
        <f>IF(COUNTIFS(T_TTAFStock_Log[Part Name],$A31,T_TTAFStock_Log[WeekIndex],28)=0,"",SUMIFS(T_TTAFStock_Log[TTAF_Qty],T_TTAFStock_Log[Part Name],$A31,T_TTAFStock_Log[WeekIndex],28))</f>
        <v/>
      </c>
      <c r="AD31" s="19">
        <f>IF(COUNTIFS(T_TTAFStock_Log[Part Name],$A31,T_TTAFStock_Log[WeekIndex],29)=0,"",SUMIFS(T_TTAFStock_Log[TTAF_Qty],T_TTAFStock_Log[Part Name],$A31,T_TTAFStock_Log[WeekIndex],29))</f>
        <v/>
      </c>
      <c r="AE31" s="19">
        <f>IF(COUNTIFS(T_TTAFStock_Log[Part Name],$A31,T_TTAFStock_Log[WeekIndex],30)=0,"",SUMIFS(T_TTAFStock_Log[TTAF_Qty],T_TTAFStock_Log[Part Name],$A31,T_TTAFStock_Log[WeekIndex],30))</f>
        <v/>
      </c>
      <c r="AF31" s="19">
        <f>IF(COUNTIFS(T_TTAFStock_Log[Part Name],$A31,T_TTAFStock_Log[WeekIndex],31)=0,"",SUMIFS(T_TTAFStock_Log[TTAF_Qty],T_TTAFStock_Log[Part Name],$A31,T_TTAFStock_Log[WeekIndex],31))</f>
        <v/>
      </c>
      <c r="AG31" s="19">
        <f>IF(COUNTIFS(T_TTAFStock_Log[Part Name],$A31,T_TTAFStock_Log[WeekIndex],32)=0,"",SUMIFS(T_TTAFStock_Log[TTAF_Qty],T_TTAFStock_Log[Part Name],$A31,T_TTAFStock_Log[WeekIndex],32))</f>
        <v/>
      </c>
      <c r="AH31" s="19">
        <f>IF(COUNTIFS(T_TTAFStock_Log[Part Name],$A31,T_TTAFStock_Log[WeekIndex],33)=0,"",SUMIFS(T_TTAFStock_Log[TTAF_Qty],T_TTAFStock_Log[Part Name],$A31,T_TTAFStock_Log[WeekIndex],33))</f>
        <v/>
      </c>
      <c r="AI31" s="19">
        <f>IF(COUNTIFS(T_TTAFStock_Log[Part Name],$A31,T_TTAFStock_Log[WeekIndex],34)=0,"",SUMIFS(T_TTAFStock_Log[TTAF_Qty],T_TTAFStock_Log[Part Name],$A31,T_TTAFStock_Log[WeekIndex],34))</f>
        <v/>
      </c>
      <c r="AJ31" s="19">
        <f>IF(COUNTIFS(T_TTAFStock_Log[Part Name],$A31,T_TTAFStock_Log[WeekIndex],35)=0,"",SUMIFS(T_TTAFStock_Log[TTAF_Qty],T_TTAFStock_Log[Part Name],$A31,T_TTAFStock_Log[WeekIndex],35))</f>
        <v/>
      </c>
      <c r="AK31" s="19">
        <f>IF(COUNTIFS(T_TTAFStock_Log[Part Name],$A31,T_TTAFStock_Log[WeekIndex],36)=0,"",SUMIFS(T_TTAFStock_Log[TTAF_Qty],T_TTAFStock_Log[Part Name],$A31,T_TTAFStock_Log[WeekIndex],36))</f>
        <v/>
      </c>
      <c r="AL31" s="19">
        <f>IF(COUNTIFS(T_TTAFStock_Log[Part Name],$A31,T_TTAFStock_Log[WeekIndex],37)=0,"",SUMIFS(T_TTAFStock_Log[TTAF_Qty],T_TTAFStock_Log[Part Name],$A31,T_TTAFStock_Log[WeekIndex],37))</f>
        <v/>
      </c>
      <c r="AM31" s="19">
        <f>IF(COUNTIFS(T_TTAFStock_Log[Part Name],$A31,T_TTAFStock_Log[WeekIndex],38)=0,"",SUMIFS(T_TTAFStock_Log[TTAF_Qty],T_TTAFStock_Log[Part Name],$A31,T_TTAFStock_Log[WeekIndex],38))</f>
        <v/>
      </c>
      <c r="AN31" s="19">
        <f>IF(COUNTIFS(T_TTAFStock_Log[Part Name],$A31,T_TTAFStock_Log[WeekIndex],39)=0,"",SUMIFS(T_TTAFStock_Log[TTAF_Qty],T_TTAFStock_Log[Part Name],$A31,T_TTAFStock_Log[WeekIndex],39))</f>
        <v/>
      </c>
      <c r="AO31" s="19">
        <f>IF(COUNTIFS(T_TTAFStock_Log[Part Name],$A31,T_TTAFStock_Log[WeekIndex],40)=0,"",SUMIFS(T_TTAFStock_Log[TTAF_Qty],T_TTAFStock_Log[Part Name],$A31,T_TTAFStock_Log[WeekIndex],40))</f>
        <v/>
      </c>
      <c r="AP31" s="19">
        <f>IF(COUNTIFS(T_TTAFStock_Log[Part Name],$A31,T_TTAFStock_Log[WeekIndex],41)=0,"",SUMIFS(T_TTAFStock_Log[TTAF_Qty],T_TTAFStock_Log[Part Name],$A31,T_TTAFStock_Log[WeekIndex],41))</f>
        <v/>
      </c>
      <c r="AQ31" s="19">
        <f>IF(COUNTIFS(T_TTAFStock_Log[Part Name],$A31,T_TTAFStock_Log[WeekIndex],42)=0,"",SUMIFS(T_TTAFStock_Log[TTAF_Qty],T_TTAFStock_Log[Part Name],$A31,T_TTAFStock_Log[WeekIndex],42))</f>
        <v/>
      </c>
      <c r="AR31" s="19">
        <f>IF(COUNTIFS(T_TTAFStock_Log[Part Name],$A31,T_TTAFStock_Log[WeekIndex],43)=0,"",SUMIFS(T_TTAFStock_Log[TTAF_Qty],T_TTAFStock_Log[Part Name],$A31,T_TTAFStock_Log[WeekIndex],43))</f>
        <v/>
      </c>
      <c r="AS31" s="19">
        <f>IF(COUNTIFS(T_TTAFStock_Log[Part Name],$A31,T_TTAFStock_Log[WeekIndex],44)=0,"",SUMIFS(T_TTAFStock_Log[TTAF_Qty],T_TTAFStock_Log[Part Name],$A31,T_TTAFStock_Log[WeekIndex],44))</f>
        <v/>
      </c>
      <c r="AT31" s="19">
        <f>IF(COUNTIFS(T_TTAFStock_Log[Part Name],$A31,T_TTAFStock_Log[WeekIndex],45)=0,"",SUMIFS(T_TTAFStock_Log[TTAF_Qty],T_TTAFStock_Log[Part Name],$A31,T_TTAFStock_Log[WeekIndex],45))</f>
        <v/>
      </c>
      <c r="AU31" s="19">
        <f>IF(COUNTIFS(T_TTAFStock_Log[Part Name],$A31,T_TTAFStock_Log[WeekIndex],46)=0,"",SUMIFS(T_TTAFStock_Log[TTAF_Qty],T_TTAFStock_Log[Part Name],$A31,T_TTAFStock_Log[WeekIndex],46))</f>
        <v/>
      </c>
      <c r="AV31" s="19">
        <f>IF(COUNTIFS(T_TTAFStock_Log[Part Name],$A31,T_TTAFStock_Log[WeekIndex],47)=0,"",SUMIFS(T_TTAFStock_Log[TTAF_Qty],T_TTAFStock_Log[Part Name],$A31,T_TTAFStock_Log[WeekIndex],47))</f>
        <v/>
      </c>
      <c r="AW31" s="19">
        <f>IF(COUNTIFS(T_TTAFStock_Log[Part Name],$A31,T_TTAFStock_Log[WeekIndex],48)=0,"",SUMIFS(T_TTAFStock_Log[TTAF_Qty],T_TTAFStock_Log[Part Name],$A31,T_TTAFStock_Log[WeekIndex],48))</f>
        <v/>
      </c>
      <c r="AX31" s="19">
        <f>IF(COUNTIFS(T_TTAFStock_Log[Part Name],$A31,T_TTAFStock_Log[WeekIndex],49)=0,"",SUMIFS(T_TTAFStock_Log[TTAF_Qty],T_TTAFStock_Log[Part Name],$A31,T_TTAFStock_Log[WeekIndex],49))</f>
        <v/>
      </c>
      <c r="AY31" s="19">
        <f>IF(COUNTIFS(T_TTAFStock_Log[Part Name],$A31,T_TTAFStock_Log[WeekIndex],50)=0,"",SUMIFS(T_TTAFStock_Log[TTAF_Qty],T_TTAFStock_Log[Part Name],$A31,T_TTAFStock_Log[WeekIndex],50))</f>
        <v/>
      </c>
      <c r="AZ31" s="19">
        <f>IF(COUNTIFS(T_TTAFStock_Log[Part Name],$A31,T_TTAFStock_Log[WeekIndex],51)=0,"",SUMIFS(T_TTAFStock_Log[TTAF_Qty],T_TTAFStock_Log[Part Name],$A31,T_TTAFStock_Log[WeekIndex],51))</f>
        <v/>
      </c>
      <c r="BA31" s="19">
        <f>IF(COUNTIFS(T_TTAFStock_Log[Part Name],$A31,T_TTAFStock_Log[WeekIndex],52)=0,"",SUMIFS(T_TTAFStock_Log[TTAF_Qty],T_TTAFStock_Log[Part Name],$A31,T_TTAFStock_Log[WeekIndex],52))</f>
        <v/>
      </c>
      <c r="BB31" s="19">
        <f>IF(COUNTIFS(T_TTAFStock_Log[Part Name],$A31,T_TTAFStock_Log[WeekIndex],53)=0,"",SUMIFS(T_TTAFStock_Log[TTAF_Qty],T_TTAFStock_Log[Part Name],$A31,T_TTAFStock_Log[WeekIndex],53))</f>
        <v/>
      </c>
      <c r="BC31" s="19">
        <f>IF(COUNTIFS(T_TTAFStock_Log[Part Name],$A31,T_TTAFStock_Log[WeekIndex],54)=0,"",SUMIFS(T_TTAFStock_Log[TTAF_Qty],T_TTAFStock_Log[Part Name],$A31,T_TTAFStock_Log[WeekIndex],54))</f>
        <v/>
      </c>
      <c r="BD31" s="19">
        <f>IF(COUNTIFS(T_TTAFStock_Log[Part Name],$A31,T_TTAFStock_Log[WeekIndex],55)=0,"",SUMIFS(T_TTAFStock_Log[TTAF_Qty],T_TTAFStock_Log[Part Name],$A31,T_TTAFStock_Log[WeekIndex],55))</f>
        <v/>
      </c>
      <c r="BE31" s="19">
        <f>IF(COUNTIFS(T_TTAFStock_Log[Part Name],$A31,T_TTAFStock_Log[WeekIndex],56)=0,"",SUMIFS(T_TTAFStock_Log[TTAF_Qty],T_TTAFStock_Log[Part Name],$A31,T_TTAFStock_Log[WeekIndex],56))</f>
        <v/>
      </c>
      <c r="BF31" s="19">
        <f>IF(COUNTIFS(T_TTAFStock_Log[Part Name],$A31,T_TTAFStock_Log[WeekIndex],57)=0,"",SUMIFS(T_TTAFStock_Log[TTAF_Qty],T_TTAFStock_Log[Part Name],$A31,T_TTAFStock_Log[WeekIndex],57))</f>
        <v/>
      </c>
      <c r="BG31" s="19">
        <f>IF(COUNTIFS(T_TTAFStock_Log[Part Name],$A31,T_TTAFStock_Log[WeekIndex],58)=0,"",SUMIFS(T_TTAFStock_Log[TTAF_Qty],T_TTAFStock_Log[Part Name],$A31,T_TTAFStock_Log[WeekIndex],58))</f>
        <v/>
      </c>
      <c r="BH31" s="19">
        <f>IF(COUNTIFS(T_TTAFStock_Log[Part Name],$A31,T_TTAFStock_Log[WeekIndex],59)=0,"",SUMIFS(T_TTAFStock_Log[TTAF_Qty],T_TTAFStock_Log[Part Name],$A31,T_TTAFStock_Log[WeekIndex],59))</f>
        <v/>
      </c>
      <c r="BI31" s="19">
        <f>IF(COUNTIFS(T_TTAFStock_Log[Part Name],$A31,T_TTAFStock_Log[WeekIndex],60)=0,"",SUMIFS(T_TTAFStock_Log[TTAF_Qty],T_TTAFStock_Log[Part Name],$A31,T_TTAFStock_Log[WeekIndex],60))</f>
        <v/>
      </c>
      <c r="BJ31" s="19">
        <f>IF(COUNTIFS(T_TTAFStock_Log[Part Name],$A31,T_TTAFStock_Log[WeekIndex],61)=0,"",SUMIFS(T_TTAFStock_Log[TTAF_Qty],T_TTAFStock_Log[Part Name],$A31,T_TTAFStock_Log[WeekIndex],61))</f>
        <v/>
      </c>
      <c r="BK31" s="19">
        <f>IF(COUNTIFS(T_TTAFStock_Log[Part Name],$A31,T_TTAFStock_Log[WeekIndex],62)=0,"",SUMIFS(T_TTAFStock_Log[TTAF_Qty],T_TTAFStock_Log[Part Name],$A31,T_TTAFStock_Log[WeekIndex],62))</f>
        <v/>
      </c>
      <c r="BL31" s="19">
        <f>IF(COUNTIFS(T_TTAFStock_Log[Part Name],$A31,T_TTAFStock_Log[WeekIndex],63)=0,"",SUMIFS(T_TTAFStock_Log[TTAF_Qty],T_TTAFStock_Log[Part Name],$A31,T_TTAFStock_Log[WeekIndex],63))</f>
        <v/>
      </c>
      <c r="BM31" s="19">
        <f>IF(COUNTIFS(T_TTAFStock_Log[Part Name],$A31,T_TTAFStock_Log[WeekIndex],64)=0,"",SUMIFS(T_TTAFStock_Log[TTAF_Qty],T_TTAFStock_Log[Part Name],$A31,T_TTAFStock_Log[WeekIndex],64))</f>
        <v/>
      </c>
      <c r="BN31" s="19">
        <f>IF(COUNTIFS(T_TTAFStock_Log[Part Name],$A31,T_TTAFStock_Log[WeekIndex],65)=0,"",SUMIFS(T_TTAFStock_Log[TTAF_Qty],T_TTAFStock_Log[Part Name],$A31,T_TTAFStock_Log[WeekIndex],65))</f>
        <v/>
      </c>
      <c r="BO31" s="19">
        <f>IF(COUNTIFS(T_TTAFStock_Log[Part Name],$A31,T_TTAFStock_Log[WeekIndex],66)=0,"",SUMIFS(T_TTAFStock_Log[TTAF_Qty],T_TTAFStock_Log[Part Name],$A31,T_TTAFStock_Log[WeekIndex],66))</f>
        <v/>
      </c>
      <c r="BP31" s="19">
        <f>IF(COUNTIFS(T_TTAFStock_Log[Part Name],$A31,T_TTAFStock_Log[WeekIndex],67)=0,"",SUMIFS(T_TTAFStock_Log[TTAF_Qty],T_TTAFStock_Log[Part Name],$A31,T_TTAFStock_Log[WeekIndex],67))</f>
        <v/>
      </c>
      <c r="BQ31" s="19">
        <f>IF(COUNTIFS(T_TTAFStock_Log[Part Name],$A31,T_TTAFStock_Log[WeekIndex],68)=0,"",SUMIFS(T_TTAFStock_Log[TTAF_Qty],T_TTAFStock_Log[Part Name],$A31,T_TTAFStock_Log[WeekIndex],68))</f>
        <v/>
      </c>
      <c r="BR31" s="19">
        <f>IF(COUNTIFS(T_TTAFStock_Log[Part Name],$A31,T_TTAFStock_Log[WeekIndex],69)=0,"",SUMIFS(T_TTAFStock_Log[TTAF_Qty],T_TTAFStock_Log[Part Name],$A31,T_TTAFStock_Log[WeekIndex],69))</f>
        <v/>
      </c>
      <c r="BS31" s="19">
        <f>IF(COUNTIFS(T_TTAFStock_Log[Part Name],$A31,T_TTAFStock_Log[WeekIndex],70)=0,"",SUMIFS(T_TTAFStock_Log[TTAF_Qty],T_TTAFStock_Log[Part Name],$A31,T_TTAFStock_Log[WeekIndex],70))</f>
        <v/>
      </c>
      <c r="BT31" s="19">
        <f>IF(COUNTIFS(T_TTAFStock_Log[Part Name],$A31,T_TTAFStock_Log[WeekIndex],71)=0,"",SUMIFS(T_TTAFStock_Log[TTAF_Qty],T_TTAFStock_Log[Part Name],$A31,T_TTAFStock_Log[WeekIndex],71))</f>
        <v/>
      </c>
      <c r="BU31" s="19">
        <f>IF(COUNTIFS(T_TTAFStock_Log[Part Name],$A31,T_TTAFStock_Log[WeekIndex],72)=0,"",SUMIFS(T_TTAFStock_Log[TTAF_Qty],T_TTAFStock_Log[Part Name],$A31,T_TTAFStock_Log[WeekIndex],72))</f>
        <v/>
      </c>
      <c r="BV31" s="19">
        <f>IF(COUNTIFS(T_TTAFStock_Log[Part Name],$A31,T_TTAFStock_Log[WeekIndex],73)=0,"",SUMIFS(T_TTAFStock_Log[TTAF_Qty],T_TTAFStock_Log[Part Name],$A31,T_TTAFStock_Log[WeekIndex],73))</f>
        <v/>
      </c>
      <c r="BW31" s="19">
        <f>IF(COUNTIFS(T_TTAFStock_Log[Part Name],$A31,T_TTAFStock_Log[WeekIndex],74)=0,"",SUMIFS(T_TTAFStock_Log[TTAF_Qty],T_TTAFStock_Log[Part Name],$A31,T_TTAFStock_Log[WeekIndex],74))</f>
        <v/>
      </c>
      <c r="BX31" s="19">
        <f>IF(COUNTIFS(T_TTAFStock_Log[Part Name],$A31,T_TTAFStock_Log[WeekIndex],75)=0,"",SUMIFS(T_TTAFStock_Log[TTAF_Qty],T_TTAFStock_Log[Part Name],$A31,T_TTAFStock_Log[WeekIndex],75))</f>
        <v/>
      </c>
      <c r="BY31" s="19">
        <f>IF(COUNTIFS(T_TTAFStock_Log[Part Name],$A31,T_TTAFStock_Log[WeekIndex],76)=0,"",SUMIFS(T_TTAFStock_Log[TTAF_Qty],T_TTAFStock_Log[Part Name],$A31,T_TTAFStock_Log[WeekIndex],76))</f>
        <v/>
      </c>
      <c r="BZ31" s="19">
        <f>IF(COUNTIFS(T_TTAFStock_Log[Part Name],$A31,T_TTAFStock_Log[WeekIndex],77)=0,"",SUMIFS(T_TTAFStock_Log[TTAF_Qty],T_TTAFStock_Log[Part Name],$A31,T_TTAFStock_Log[WeekIndex],77))</f>
        <v/>
      </c>
      <c r="CA31" s="19">
        <f>IF(COUNTIFS(T_TTAFStock_Log[Part Name],$A31,T_TTAFStock_Log[WeekIndex],78)=0,"",SUMIFS(T_TTAFStock_Log[TTAF_Qty],T_TTAFStock_Log[Part Name],$A31,T_TTAFStock_Log[WeekIndex],78))</f>
        <v/>
      </c>
      <c r="CB31" s="19">
        <f>IF(COUNTIFS(T_TTAFStock_Log[Part Name],$A31,T_TTAFStock_Log[WeekIndex],79)=0,"",SUMIFS(T_TTAFStock_Log[TTAF_Qty],T_TTAFStock_Log[Part Name],$A31,T_TTAFStock_Log[WeekIndex],79))</f>
        <v/>
      </c>
      <c r="CC31" s="19">
        <f>IF(COUNTIFS(T_TTAFStock_Log[Part Name],$A31,T_TTAFStock_Log[WeekIndex],80)=0,"",SUMIFS(T_TTAFStock_Log[TTAF_Qty],T_TTAFStock_Log[Part Name],$A31,T_TTAFStock_Log[WeekIndex],80))</f>
        <v/>
      </c>
      <c r="CD31" s="19">
        <f>IF(COUNTIFS(T_TTAFStock_Log[Part Name],$A31,T_TTAFStock_Log[WeekIndex],81)=0,"",SUMIFS(T_TTAFStock_Log[TTAF_Qty],T_TTAFStock_Log[Part Name],$A31,T_TTAFStock_Log[WeekIndex],81))</f>
        <v/>
      </c>
      <c r="CE31" s="19">
        <f>IF(COUNTIFS(T_TTAFStock_Log[Part Name],$A31,T_TTAFStock_Log[WeekIndex],82)=0,"",SUMIFS(T_TTAFStock_Log[TTAF_Qty],T_TTAFStock_Log[Part Name],$A31,T_TTAFStock_Log[WeekIndex],82))</f>
        <v/>
      </c>
      <c r="CF31" s="19">
        <f>IF(COUNTIFS(T_TTAFStock_Log[Part Name],$A31,T_TTAFStock_Log[WeekIndex],83)=0,"",SUMIFS(T_TTAFStock_Log[TTAF_Qty],T_TTAFStock_Log[Part Name],$A31,T_TTAFStock_Log[WeekIndex],83))</f>
        <v/>
      </c>
      <c r="CG31" s="19">
        <f>IF(COUNTIFS(T_TTAFStock_Log[Part Name],$A31,T_TTAFStock_Log[WeekIndex],84)=0,"",SUMIFS(T_TTAFStock_Log[TTAF_Qty],T_TTAFStock_Log[Part Name],$A31,T_TTAFStock_Log[WeekIndex],84))</f>
        <v/>
      </c>
      <c r="CH31" s="19">
        <f>IF(COUNTIFS(T_TTAFStock_Log[Part Name],$A31,T_TTAFStock_Log[WeekIndex],85)=0,"",SUMIFS(T_TTAFStock_Log[TTAF_Qty],T_TTAFStock_Log[Part Name],$A31,T_TTAFStock_Log[WeekIndex],85))</f>
        <v/>
      </c>
      <c r="CI31" s="19">
        <f>IF(COUNTIFS(T_TTAFStock_Log[Part Name],$A31,T_TTAFStock_Log[WeekIndex],86)=0,"",SUMIFS(T_TTAFStock_Log[TTAF_Qty],T_TTAFStock_Log[Part Name],$A31,T_TTAFStock_Log[WeekIndex],86))</f>
        <v/>
      </c>
      <c r="CJ31" s="19">
        <f>IF(COUNTIFS(T_TTAFStock_Log[Part Name],$A31,T_TTAFStock_Log[WeekIndex],87)=0,"",SUMIFS(T_TTAFStock_Log[TTAF_Qty],T_TTAFStock_Log[Part Name],$A31,T_TTAFStock_Log[WeekIndex],87))</f>
        <v/>
      </c>
      <c r="CK31" s="19">
        <f>IF(COUNTIFS(T_TTAFStock_Log[Part Name],$A31,T_TTAFStock_Log[WeekIndex],88)=0,"",SUMIFS(T_TTAFStock_Log[TTAF_Qty],T_TTAFStock_Log[Part Name],$A31,T_TTAFStock_Log[WeekIndex],88))</f>
        <v/>
      </c>
      <c r="CL31" s="19">
        <f>IF(COUNTIFS(T_TTAFStock_Log[Part Name],$A31,T_TTAFStock_Log[WeekIndex],89)=0,"",SUMIFS(T_TTAFStock_Log[TTAF_Qty],T_TTAFStock_Log[Part Name],$A31,T_TTAFStock_Log[WeekIndex],89))</f>
        <v/>
      </c>
      <c r="CM31" s="19">
        <f>IF(COUNTIFS(T_TTAFStock_Log[Part Name],$A31,T_TTAFStock_Log[WeekIndex],90)=0,"",SUMIFS(T_TTAFStock_Log[TTAF_Qty],T_TTAFStock_Log[Part Name],$A31,T_TTAFStock_Log[WeekIndex],90))</f>
        <v/>
      </c>
      <c r="CN31" s="19">
        <f>IF(COUNTIFS(T_TTAFStock_Log[Part Name],$A31,T_TTAFStock_Log[WeekIndex],91)=0,"",SUMIFS(T_TTAFStock_Log[TTAF_Qty],T_TTAFStock_Log[Part Name],$A31,T_TTAFStock_Log[WeekIndex],91))</f>
        <v/>
      </c>
      <c r="CO31" s="19">
        <f>IF(COUNTIFS(T_TTAFStock_Log[Part Name],$A31,T_TTAFStock_Log[WeekIndex],92)=0,"",SUMIFS(T_TTAFStock_Log[TTAF_Qty],T_TTAFStock_Log[Part Name],$A31,T_TTAFStock_Log[WeekIndex],92))</f>
        <v/>
      </c>
      <c r="CP31" s="19">
        <f>IF(COUNTIFS(T_TTAFStock_Log[Part Name],$A31,T_TTAFStock_Log[WeekIndex],93)=0,"",SUMIFS(T_TTAFStock_Log[TTAF_Qty],T_TTAFStock_Log[Part Name],$A31,T_TTAFStock_Log[WeekIndex],93))</f>
        <v/>
      </c>
      <c r="CQ31" s="19">
        <f>IF(COUNTIFS(T_TTAFStock_Log[Part Name],$A31,T_TTAFStock_Log[WeekIndex],94)=0,"",SUMIFS(T_TTAFStock_Log[TTAF_Qty],T_TTAFStock_Log[Part Name],$A31,T_TTAFStock_Log[WeekIndex],94))</f>
        <v/>
      </c>
      <c r="CR31" s="19">
        <f>IF(COUNTIFS(T_TTAFStock_Log[Part Name],$A31,T_TTAFStock_Log[WeekIndex],95)=0,"",SUMIFS(T_TTAFStock_Log[TTAF_Qty],T_TTAFStock_Log[Part Name],$A31,T_TTAFStock_Log[WeekIndex],95))</f>
        <v/>
      </c>
      <c r="CS31" s="19">
        <f>IF(COUNTIFS(T_TTAFStock_Log[Part Name],$A31,T_TTAFStock_Log[WeekIndex],96)=0,"",SUMIFS(T_TTAFStock_Log[TTAF_Qty],T_TTAFStock_Log[Part Name],$A31,T_TTAFStock_Log[WeekIndex],96))</f>
        <v/>
      </c>
      <c r="CT31" s="19">
        <f>IF(COUNTIFS(T_TTAFStock_Log[Part Name],$A31,T_TTAFStock_Log[WeekIndex],97)=0,"",SUMIFS(T_TTAFStock_Log[TTAF_Qty],T_TTAFStock_Log[Part Name],$A31,T_TTAFStock_Log[WeekIndex],97))</f>
        <v/>
      </c>
      <c r="CU31" s="19">
        <f>IF(COUNTIFS(T_TTAFStock_Log[Part Name],$A31,T_TTAFStock_Log[WeekIndex],98)=0,"",SUMIFS(T_TTAFStock_Log[TTAF_Qty],T_TTAFStock_Log[Part Name],$A31,T_TTAFStock_Log[WeekIndex],98))</f>
        <v/>
      </c>
      <c r="CV31" s="19">
        <f>IF(COUNTIFS(T_TTAFStock_Log[Part Name],$A31,T_TTAFStock_Log[WeekIndex],99)=0,"",SUMIFS(T_TTAFStock_Log[TTAF_Qty],T_TTAFStock_Log[Part Name],$A31,T_TTAFStock_Log[WeekIndex],99))</f>
        <v/>
      </c>
      <c r="CW31" s="19">
        <f>IF(COUNTIFS(T_TTAFStock_Log[Part Name],$A31,T_TTAFStock_Log[WeekIndex],100)=0,"",SUMIFS(T_TTAFStock_Log[TTAF_Qty],T_TTAFStock_Log[Part Name],$A31,T_TTAFStock_Log[WeekIndex],100))</f>
        <v/>
      </c>
      <c r="CX31" s="19">
        <f>IF(COUNTIFS(T_TTAFStock_Log[Part Name],$A31,T_TTAFStock_Log[WeekIndex],101)=0,"",SUMIFS(T_TTAFStock_Log[TTAF_Qty],T_TTAFStock_Log[Part Name],$A31,T_TTAFStock_Log[WeekIndex],101))</f>
        <v/>
      </c>
      <c r="CY31" s="19">
        <f>IF(COUNTIFS(T_TTAFStock_Log[Part Name],$A31,T_TTAFStock_Log[WeekIndex],102)=0,"",SUMIFS(T_TTAFStock_Log[TTAF_Qty],T_TTAFStock_Log[Part Name],$A31,T_TTAFStock_Log[WeekIndex],102))</f>
        <v/>
      </c>
      <c r="CZ31" s="19">
        <f>IF(COUNTIFS(T_TTAFStock_Log[Part Name],$A31,T_TTAFStock_Log[WeekIndex],103)=0,"",SUMIFS(T_TTAFStock_Log[TTAF_Qty],T_TTAFStock_Log[Part Name],$A31,T_TTAFStock_Log[WeekIndex],103))</f>
        <v/>
      </c>
      <c r="DA31" s="19">
        <f>IF(COUNTIFS(T_TTAFStock_Log[Part Name],$A31,T_TTAFStock_Log[WeekIndex],104)=0,"",SUMIFS(T_TTAFStock_Log[TTAF_Qty],T_TTAFStock_Log[Part Name],$A31,T_TTAFStock_Log[WeekIndex],104))</f>
        <v/>
      </c>
    </row>
    <row r="32">
      <c r="A32" s="17" t="inlineStr">
        <is>
          <t>CHEM-1600</t>
        </is>
      </c>
      <c r="B32" s="17">
        <f>IF(COUNTIFS(T_TTAFStock_Log[Part Name],$A32,T_TTAFStock_Log[WeekIndex],1)=0,"",SUMIFS(T_TTAFStock_Log[TTAF_Qty],T_TTAFStock_Log[Part Name],$A32,T_TTAFStock_Log[WeekIndex],1))</f>
        <v/>
      </c>
      <c r="C32" s="17">
        <f>IF(COUNTIFS(T_TTAFStock_Log[Part Name],$A32,T_TTAFStock_Log[WeekIndex],2)=0,"",SUMIFS(T_TTAFStock_Log[TTAF_Qty],T_TTAFStock_Log[Part Name],$A32,T_TTAFStock_Log[WeekIndex],2))</f>
        <v/>
      </c>
      <c r="D32" s="17">
        <f>IF(COUNTIFS(T_TTAFStock_Log[Part Name],$A32,T_TTAFStock_Log[WeekIndex],3)=0,"",SUMIFS(T_TTAFStock_Log[TTAF_Qty],T_TTAFStock_Log[Part Name],$A32,T_TTAFStock_Log[WeekIndex],3))</f>
        <v/>
      </c>
      <c r="E32" s="17">
        <f>IF(COUNTIFS(T_TTAFStock_Log[Part Name],$A32,T_TTAFStock_Log[WeekIndex],4)=0,"",SUMIFS(T_TTAFStock_Log[TTAF_Qty],T_TTAFStock_Log[Part Name],$A32,T_TTAFStock_Log[WeekIndex],4))</f>
        <v/>
      </c>
      <c r="F32" s="17">
        <f>IF(COUNTIFS(T_TTAFStock_Log[Part Name],$A32,T_TTAFStock_Log[WeekIndex],5)=0,"",SUMIFS(T_TTAFStock_Log[TTAF_Qty],T_TTAFStock_Log[Part Name],$A32,T_TTAFStock_Log[WeekIndex],5))</f>
        <v/>
      </c>
      <c r="G32" s="17">
        <f>IF(COUNTIFS(T_TTAFStock_Log[Part Name],$A32,T_TTAFStock_Log[WeekIndex],6)=0,"",SUMIFS(T_TTAFStock_Log[TTAF_Qty],T_TTAFStock_Log[Part Name],$A32,T_TTAFStock_Log[WeekIndex],6))</f>
        <v/>
      </c>
      <c r="H32" s="17">
        <f>IF(COUNTIFS(T_TTAFStock_Log[Part Name],$A32,T_TTAFStock_Log[WeekIndex],7)=0,"",SUMIFS(T_TTAFStock_Log[TTAF_Qty],T_TTAFStock_Log[Part Name],$A32,T_TTAFStock_Log[WeekIndex],7))</f>
        <v/>
      </c>
      <c r="I32" s="17">
        <f>IF(COUNTIFS(T_TTAFStock_Log[Part Name],$A32,T_TTAFStock_Log[WeekIndex],8)=0,"",SUMIFS(T_TTAFStock_Log[TTAF_Qty],T_TTAFStock_Log[Part Name],$A32,T_TTAFStock_Log[WeekIndex],8))</f>
        <v/>
      </c>
      <c r="J32" s="17">
        <f>IF(COUNTIFS(T_TTAFStock_Log[Part Name],$A32,T_TTAFStock_Log[WeekIndex],9)=0,"",SUMIFS(T_TTAFStock_Log[TTAF_Qty],T_TTAFStock_Log[Part Name],$A32,T_TTAFStock_Log[WeekIndex],9))</f>
        <v/>
      </c>
      <c r="K32" s="17">
        <f>IF(COUNTIFS(T_TTAFStock_Log[Part Name],$A32,T_TTAFStock_Log[WeekIndex],10)=0,"",SUMIFS(T_TTAFStock_Log[TTAF_Qty],T_TTAFStock_Log[Part Name],$A32,T_TTAFStock_Log[WeekIndex],10))</f>
        <v/>
      </c>
      <c r="L32" s="17">
        <f>IF(COUNTIFS(T_TTAFStock_Log[Part Name],$A32,T_TTAFStock_Log[WeekIndex],11)=0,"",SUMIFS(T_TTAFStock_Log[TTAF_Qty],T_TTAFStock_Log[Part Name],$A32,T_TTAFStock_Log[WeekIndex],11))</f>
        <v/>
      </c>
      <c r="M32" s="17">
        <f>IF(COUNTIFS(T_TTAFStock_Log[Part Name],$A32,T_TTAFStock_Log[WeekIndex],12)=0,"",SUMIFS(T_TTAFStock_Log[TTAF_Qty],T_TTAFStock_Log[Part Name],$A32,T_TTAFStock_Log[WeekIndex],12))</f>
        <v/>
      </c>
      <c r="N32" s="17">
        <f>IF(COUNTIFS(T_TTAFStock_Log[Part Name],$A32,T_TTAFStock_Log[WeekIndex],13)=0,"",SUMIFS(T_TTAFStock_Log[TTAF_Qty],T_TTAFStock_Log[Part Name],$A32,T_TTAFStock_Log[WeekIndex],13))</f>
        <v/>
      </c>
      <c r="O32" s="17">
        <f>IF(COUNTIFS(T_TTAFStock_Log[Part Name],$A32,T_TTAFStock_Log[WeekIndex],14)=0,"",SUMIFS(T_TTAFStock_Log[TTAF_Qty],T_TTAFStock_Log[Part Name],$A32,T_TTAFStock_Log[WeekIndex],14))</f>
        <v/>
      </c>
      <c r="P32" s="17">
        <f>IF(COUNTIFS(T_TTAFStock_Log[Part Name],$A32,T_TTAFStock_Log[WeekIndex],15)=0,"",SUMIFS(T_TTAFStock_Log[TTAF_Qty],T_TTAFStock_Log[Part Name],$A32,T_TTAFStock_Log[WeekIndex],15))</f>
        <v/>
      </c>
      <c r="Q32" s="17">
        <f>IF(COUNTIFS(T_TTAFStock_Log[Part Name],$A32,T_TTAFStock_Log[WeekIndex],16)=0,"",SUMIFS(T_TTAFStock_Log[TTAF_Qty],T_TTAFStock_Log[Part Name],$A32,T_TTAFStock_Log[WeekIndex],16))</f>
        <v/>
      </c>
      <c r="R32" s="17">
        <f>IF(COUNTIFS(T_TTAFStock_Log[Part Name],$A32,T_TTAFStock_Log[WeekIndex],17)=0,"",SUMIFS(T_TTAFStock_Log[TTAF_Qty],T_TTAFStock_Log[Part Name],$A32,T_TTAFStock_Log[WeekIndex],17))</f>
        <v/>
      </c>
      <c r="S32" s="17">
        <f>IF(COUNTIFS(T_TTAFStock_Log[Part Name],$A32,T_TTAFStock_Log[WeekIndex],18)=0,"",SUMIFS(T_TTAFStock_Log[TTAF_Qty],T_TTAFStock_Log[Part Name],$A32,T_TTAFStock_Log[WeekIndex],18))</f>
        <v/>
      </c>
      <c r="T32" s="17">
        <f>IF(COUNTIFS(T_TTAFStock_Log[Part Name],$A32,T_TTAFStock_Log[WeekIndex],19)=0,"",SUMIFS(T_TTAFStock_Log[TTAF_Qty],T_TTAFStock_Log[Part Name],$A32,T_TTAFStock_Log[WeekIndex],19))</f>
        <v/>
      </c>
      <c r="U32" s="17">
        <f>IF(COUNTIFS(T_TTAFStock_Log[Part Name],$A32,T_TTAFStock_Log[WeekIndex],20)=0,"",SUMIFS(T_TTAFStock_Log[TTAF_Qty],T_TTAFStock_Log[Part Name],$A32,T_TTAFStock_Log[WeekIndex],20))</f>
        <v/>
      </c>
      <c r="V32" s="17">
        <f>IF(COUNTIFS(T_TTAFStock_Log[Part Name],$A32,T_TTAFStock_Log[WeekIndex],21)=0,"",SUMIFS(T_TTAFStock_Log[TTAF_Qty],T_TTAFStock_Log[Part Name],$A32,T_TTAFStock_Log[WeekIndex],21))</f>
        <v/>
      </c>
      <c r="W32" s="17">
        <f>IF(COUNTIFS(T_TTAFStock_Log[Part Name],$A32,T_TTAFStock_Log[WeekIndex],22)=0,"",SUMIFS(T_TTAFStock_Log[TTAF_Qty],T_TTAFStock_Log[Part Name],$A32,T_TTAFStock_Log[WeekIndex],22))</f>
        <v/>
      </c>
      <c r="X32" s="17">
        <f>IF(COUNTIFS(T_TTAFStock_Log[Part Name],$A32,T_TTAFStock_Log[WeekIndex],23)=0,"",SUMIFS(T_TTAFStock_Log[TTAF_Qty],T_TTAFStock_Log[Part Name],$A32,T_TTAFStock_Log[WeekIndex],23))</f>
        <v/>
      </c>
      <c r="Y32" s="17">
        <f>IF(COUNTIFS(T_TTAFStock_Log[Part Name],$A32,T_TTAFStock_Log[WeekIndex],24)=0,"",SUMIFS(T_TTAFStock_Log[TTAF_Qty],T_TTAFStock_Log[Part Name],$A32,T_TTAFStock_Log[WeekIndex],24))</f>
        <v/>
      </c>
      <c r="Z32" s="17">
        <f>IF(COUNTIFS(T_TTAFStock_Log[Part Name],$A32,T_TTAFStock_Log[WeekIndex],25)=0,"",SUMIFS(T_TTAFStock_Log[TTAF_Qty],T_TTAFStock_Log[Part Name],$A32,T_TTAFStock_Log[WeekIndex],25))</f>
        <v/>
      </c>
      <c r="AA32" s="17">
        <f>IF(COUNTIFS(T_TTAFStock_Log[Part Name],$A32,T_TTAFStock_Log[WeekIndex],26)=0,"",SUMIFS(T_TTAFStock_Log[TTAF_Qty],T_TTAFStock_Log[Part Name],$A32,T_TTAFStock_Log[WeekIndex],26))</f>
        <v/>
      </c>
      <c r="AB32" s="17">
        <f>IF(COUNTIFS(T_TTAFStock_Log[Part Name],$A32,T_TTAFStock_Log[WeekIndex],27)=0,"",SUMIFS(T_TTAFStock_Log[TTAF_Qty],T_TTAFStock_Log[Part Name],$A32,T_TTAFStock_Log[WeekIndex],27))</f>
        <v/>
      </c>
      <c r="AC32" s="17">
        <f>IF(COUNTIFS(T_TTAFStock_Log[Part Name],$A32,T_TTAFStock_Log[WeekIndex],28)=0,"",SUMIFS(T_TTAFStock_Log[TTAF_Qty],T_TTAFStock_Log[Part Name],$A32,T_TTAFStock_Log[WeekIndex],28))</f>
        <v/>
      </c>
      <c r="AD32" s="17">
        <f>IF(COUNTIFS(T_TTAFStock_Log[Part Name],$A32,T_TTAFStock_Log[WeekIndex],29)=0,"",SUMIFS(T_TTAFStock_Log[TTAF_Qty],T_TTAFStock_Log[Part Name],$A32,T_TTAFStock_Log[WeekIndex],29))</f>
        <v/>
      </c>
      <c r="AE32" s="17">
        <f>IF(COUNTIFS(T_TTAFStock_Log[Part Name],$A32,T_TTAFStock_Log[WeekIndex],30)=0,"",SUMIFS(T_TTAFStock_Log[TTAF_Qty],T_TTAFStock_Log[Part Name],$A32,T_TTAFStock_Log[WeekIndex],30))</f>
        <v/>
      </c>
      <c r="AF32" s="17">
        <f>IF(COUNTIFS(T_TTAFStock_Log[Part Name],$A32,T_TTAFStock_Log[WeekIndex],31)=0,"",SUMIFS(T_TTAFStock_Log[TTAF_Qty],T_TTAFStock_Log[Part Name],$A32,T_TTAFStock_Log[WeekIndex],31))</f>
        <v/>
      </c>
      <c r="AG32" s="17">
        <f>IF(COUNTIFS(T_TTAFStock_Log[Part Name],$A32,T_TTAFStock_Log[WeekIndex],32)=0,"",SUMIFS(T_TTAFStock_Log[TTAF_Qty],T_TTAFStock_Log[Part Name],$A32,T_TTAFStock_Log[WeekIndex],32))</f>
        <v/>
      </c>
      <c r="AH32" s="17">
        <f>IF(COUNTIFS(T_TTAFStock_Log[Part Name],$A32,T_TTAFStock_Log[WeekIndex],33)=0,"",SUMIFS(T_TTAFStock_Log[TTAF_Qty],T_TTAFStock_Log[Part Name],$A32,T_TTAFStock_Log[WeekIndex],33))</f>
        <v/>
      </c>
      <c r="AI32" s="17">
        <f>IF(COUNTIFS(T_TTAFStock_Log[Part Name],$A32,T_TTAFStock_Log[WeekIndex],34)=0,"",SUMIFS(T_TTAFStock_Log[TTAF_Qty],T_TTAFStock_Log[Part Name],$A32,T_TTAFStock_Log[WeekIndex],34))</f>
        <v/>
      </c>
      <c r="AJ32" s="17">
        <f>IF(COUNTIFS(T_TTAFStock_Log[Part Name],$A32,T_TTAFStock_Log[WeekIndex],35)=0,"",SUMIFS(T_TTAFStock_Log[TTAF_Qty],T_TTAFStock_Log[Part Name],$A32,T_TTAFStock_Log[WeekIndex],35))</f>
        <v/>
      </c>
      <c r="AK32" s="17">
        <f>IF(COUNTIFS(T_TTAFStock_Log[Part Name],$A32,T_TTAFStock_Log[WeekIndex],36)=0,"",SUMIFS(T_TTAFStock_Log[TTAF_Qty],T_TTAFStock_Log[Part Name],$A32,T_TTAFStock_Log[WeekIndex],36))</f>
        <v/>
      </c>
      <c r="AL32" s="17">
        <f>IF(COUNTIFS(T_TTAFStock_Log[Part Name],$A32,T_TTAFStock_Log[WeekIndex],37)=0,"",SUMIFS(T_TTAFStock_Log[TTAF_Qty],T_TTAFStock_Log[Part Name],$A32,T_TTAFStock_Log[WeekIndex],37))</f>
        <v/>
      </c>
      <c r="AM32" s="17">
        <f>IF(COUNTIFS(T_TTAFStock_Log[Part Name],$A32,T_TTAFStock_Log[WeekIndex],38)=0,"",SUMIFS(T_TTAFStock_Log[TTAF_Qty],T_TTAFStock_Log[Part Name],$A32,T_TTAFStock_Log[WeekIndex],38))</f>
        <v/>
      </c>
      <c r="AN32" s="17">
        <f>IF(COUNTIFS(T_TTAFStock_Log[Part Name],$A32,T_TTAFStock_Log[WeekIndex],39)=0,"",SUMIFS(T_TTAFStock_Log[TTAF_Qty],T_TTAFStock_Log[Part Name],$A32,T_TTAFStock_Log[WeekIndex],39))</f>
        <v/>
      </c>
      <c r="AO32" s="17">
        <f>IF(COUNTIFS(T_TTAFStock_Log[Part Name],$A32,T_TTAFStock_Log[WeekIndex],40)=0,"",SUMIFS(T_TTAFStock_Log[TTAF_Qty],T_TTAFStock_Log[Part Name],$A32,T_TTAFStock_Log[WeekIndex],40))</f>
        <v/>
      </c>
      <c r="AP32" s="17">
        <f>IF(COUNTIFS(T_TTAFStock_Log[Part Name],$A32,T_TTAFStock_Log[WeekIndex],41)=0,"",SUMIFS(T_TTAFStock_Log[TTAF_Qty],T_TTAFStock_Log[Part Name],$A32,T_TTAFStock_Log[WeekIndex],41))</f>
        <v/>
      </c>
      <c r="AQ32" s="17">
        <f>IF(COUNTIFS(T_TTAFStock_Log[Part Name],$A32,T_TTAFStock_Log[WeekIndex],42)=0,"",SUMIFS(T_TTAFStock_Log[TTAF_Qty],T_TTAFStock_Log[Part Name],$A32,T_TTAFStock_Log[WeekIndex],42))</f>
        <v/>
      </c>
      <c r="AR32" s="17">
        <f>IF(COUNTIFS(T_TTAFStock_Log[Part Name],$A32,T_TTAFStock_Log[WeekIndex],43)=0,"",SUMIFS(T_TTAFStock_Log[TTAF_Qty],T_TTAFStock_Log[Part Name],$A32,T_TTAFStock_Log[WeekIndex],43))</f>
        <v/>
      </c>
      <c r="AS32" s="17">
        <f>IF(COUNTIFS(T_TTAFStock_Log[Part Name],$A32,T_TTAFStock_Log[WeekIndex],44)=0,"",SUMIFS(T_TTAFStock_Log[TTAF_Qty],T_TTAFStock_Log[Part Name],$A32,T_TTAFStock_Log[WeekIndex],44))</f>
        <v/>
      </c>
      <c r="AT32" s="17">
        <f>IF(COUNTIFS(T_TTAFStock_Log[Part Name],$A32,T_TTAFStock_Log[WeekIndex],45)=0,"",SUMIFS(T_TTAFStock_Log[TTAF_Qty],T_TTAFStock_Log[Part Name],$A32,T_TTAFStock_Log[WeekIndex],45))</f>
        <v/>
      </c>
      <c r="AU32" s="17">
        <f>IF(COUNTIFS(T_TTAFStock_Log[Part Name],$A32,T_TTAFStock_Log[WeekIndex],46)=0,"",SUMIFS(T_TTAFStock_Log[TTAF_Qty],T_TTAFStock_Log[Part Name],$A32,T_TTAFStock_Log[WeekIndex],46))</f>
        <v/>
      </c>
      <c r="AV32" s="17">
        <f>IF(COUNTIFS(T_TTAFStock_Log[Part Name],$A32,T_TTAFStock_Log[WeekIndex],47)=0,"",SUMIFS(T_TTAFStock_Log[TTAF_Qty],T_TTAFStock_Log[Part Name],$A32,T_TTAFStock_Log[WeekIndex],47))</f>
        <v/>
      </c>
      <c r="AW32" s="17">
        <f>IF(COUNTIFS(T_TTAFStock_Log[Part Name],$A32,T_TTAFStock_Log[WeekIndex],48)=0,"",SUMIFS(T_TTAFStock_Log[TTAF_Qty],T_TTAFStock_Log[Part Name],$A32,T_TTAFStock_Log[WeekIndex],48))</f>
        <v/>
      </c>
      <c r="AX32" s="17">
        <f>IF(COUNTIFS(T_TTAFStock_Log[Part Name],$A32,T_TTAFStock_Log[WeekIndex],49)=0,"",SUMIFS(T_TTAFStock_Log[TTAF_Qty],T_TTAFStock_Log[Part Name],$A32,T_TTAFStock_Log[WeekIndex],49))</f>
        <v/>
      </c>
      <c r="AY32" s="17">
        <f>IF(COUNTIFS(T_TTAFStock_Log[Part Name],$A32,T_TTAFStock_Log[WeekIndex],50)=0,"",SUMIFS(T_TTAFStock_Log[TTAF_Qty],T_TTAFStock_Log[Part Name],$A32,T_TTAFStock_Log[WeekIndex],50))</f>
        <v/>
      </c>
      <c r="AZ32" s="17">
        <f>IF(COUNTIFS(T_TTAFStock_Log[Part Name],$A32,T_TTAFStock_Log[WeekIndex],51)=0,"",SUMIFS(T_TTAFStock_Log[TTAF_Qty],T_TTAFStock_Log[Part Name],$A32,T_TTAFStock_Log[WeekIndex],51))</f>
        <v/>
      </c>
      <c r="BA32" s="17">
        <f>IF(COUNTIFS(T_TTAFStock_Log[Part Name],$A32,T_TTAFStock_Log[WeekIndex],52)=0,"",SUMIFS(T_TTAFStock_Log[TTAF_Qty],T_TTAFStock_Log[Part Name],$A32,T_TTAFStock_Log[WeekIndex],52))</f>
        <v/>
      </c>
      <c r="BB32" s="17">
        <f>IF(COUNTIFS(T_TTAFStock_Log[Part Name],$A32,T_TTAFStock_Log[WeekIndex],53)=0,"",SUMIFS(T_TTAFStock_Log[TTAF_Qty],T_TTAFStock_Log[Part Name],$A32,T_TTAFStock_Log[WeekIndex],53))</f>
        <v/>
      </c>
      <c r="BC32" s="17">
        <f>IF(COUNTIFS(T_TTAFStock_Log[Part Name],$A32,T_TTAFStock_Log[WeekIndex],54)=0,"",SUMIFS(T_TTAFStock_Log[TTAF_Qty],T_TTAFStock_Log[Part Name],$A32,T_TTAFStock_Log[WeekIndex],54))</f>
        <v/>
      </c>
      <c r="BD32" s="17">
        <f>IF(COUNTIFS(T_TTAFStock_Log[Part Name],$A32,T_TTAFStock_Log[WeekIndex],55)=0,"",SUMIFS(T_TTAFStock_Log[TTAF_Qty],T_TTAFStock_Log[Part Name],$A32,T_TTAFStock_Log[WeekIndex],55))</f>
        <v/>
      </c>
      <c r="BE32" s="17">
        <f>IF(COUNTIFS(T_TTAFStock_Log[Part Name],$A32,T_TTAFStock_Log[WeekIndex],56)=0,"",SUMIFS(T_TTAFStock_Log[TTAF_Qty],T_TTAFStock_Log[Part Name],$A32,T_TTAFStock_Log[WeekIndex],56))</f>
        <v/>
      </c>
      <c r="BF32" s="17">
        <f>IF(COUNTIFS(T_TTAFStock_Log[Part Name],$A32,T_TTAFStock_Log[WeekIndex],57)=0,"",SUMIFS(T_TTAFStock_Log[TTAF_Qty],T_TTAFStock_Log[Part Name],$A32,T_TTAFStock_Log[WeekIndex],57))</f>
        <v/>
      </c>
      <c r="BG32" s="17">
        <f>IF(COUNTIFS(T_TTAFStock_Log[Part Name],$A32,T_TTAFStock_Log[WeekIndex],58)=0,"",SUMIFS(T_TTAFStock_Log[TTAF_Qty],T_TTAFStock_Log[Part Name],$A32,T_TTAFStock_Log[WeekIndex],58))</f>
        <v/>
      </c>
      <c r="BH32" s="17">
        <f>IF(COUNTIFS(T_TTAFStock_Log[Part Name],$A32,T_TTAFStock_Log[WeekIndex],59)=0,"",SUMIFS(T_TTAFStock_Log[TTAF_Qty],T_TTAFStock_Log[Part Name],$A32,T_TTAFStock_Log[WeekIndex],59))</f>
        <v/>
      </c>
      <c r="BI32" s="17">
        <f>IF(COUNTIFS(T_TTAFStock_Log[Part Name],$A32,T_TTAFStock_Log[WeekIndex],60)=0,"",SUMIFS(T_TTAFStock_Log[TTAF_Qty],T_TTAFStock_Log[Part Name],$A32,T_TTAFStock_Log[WeekIndex],60))</f>
        <v/>
      </c>
      <c r="BJ32" s="17">
        <f>IF(COUNTIFS(T_TTAFStock_Log[Part Name],$A32,T_TTAFStock_Log[WeekIndex],61)=0,"",SUMIFS(T_TTAFStock_Log[TTAF_Qty],T_TTAFStock_Log[Part Name],$A32,T_TTAFStock_Log[WeekIndex],61))</f>
        <v/>
      </c>
      <c r="BK32" s="17">
        <f>IF(COUNTIFS(T_TTAFStock_Log[Part Name],$A32,T_TTAFStock_Log[WeekIndex],62)=0,"",SUMIFS(T_TTAFStock_Log[TTAF_Qty],T_TTAFStock_Log[Part Name],$A32,T_TTAFStock_Log[WeekIndex],62))</f>
        <v/>
      </c>
      <c r="BL32" s="17">
        <f>IF(COUNTIFS(T_TTAFStock_Log[Part Name],$A32,T_TTAFStock_Log[WeekIndex],63)=0,"",SUMIFS(T_TTAFStock_Log[TTAF_Qty],T_TTAFStock_Log[Part Name],$A32,T_TTAFStock_Log[WeekIndex],63))</f>
        <v/>
      </c>
      <c r="BM32" s="17">
        <f>IF(COUNTIFS(T_TTAFStock_Log[Part Name],$A32,T_TTAFStock_Log[WeekIndex],64)=0,"",SUMIFS(T_TTAFStock_Log[TTAF_Qty],T_TTAFStock_Log[Part Name],$A32,T_TTAFStock_Log[WeekIndex],64))</f>
        <v/>
      </c>
      <c r="BN32" s="17">
        <f>IF(COUNTIFS(T_TTAFStock_Log[Part Name],$A32,T_TTAFStock_Log[WeekIndex],65)=0,"",SUMIFS(T_TTAFStock_Log[TTAF_Qty],T_TTAFStock_Log[Part Name],$A32,T_TTAFStock_Log[WeekIndex],65))</f>
        <v/>
      </c>
      <c r="BO32" s="17">
        <f>IF(COUNTIFS(T_TTAFStock_Log[Part Name],$A32,T_TTAFStock_Log[WeekIndex],66)=0,"",SUMIFS(T_TTAFStock_Log[TTAF_Qty],T_TTAFStock_Log[Part Name],$A32,T_TTAFStock_Log[WeekIndex],66))</f>
        <v/>
      </c>
      <c r="BP32" s="17">
        <f>IF(COUNTIFS(T_TTAFStock_Log[Part Name],$A32,T_TTAFStock_Log[WeekIndex],67)=0,"",SUMIFS(T_TTAFStock_Log[TTAF_Qty],T_TTAFStock_Log[Part Name],$A32,T_TTAFStock_Log[WeekIndex],67))</f>
        <v/>
      </c>
      <c r="BQ32" s="17">
        <f>IF(COUNTIFS(T_TTAFStock_Log[Part Name],$A32,T_TTAFStock_Log[WeekIndex],68)=0,"",SUMIFS(T_TTAFStock_Log[TTAF_Qty],T_TTAFStock_Log[Part Name],$A32,T_TTAFStock_Log[WeekIndex],68))</f>
        <v/>
      </c>
      <c r="BR32" s="17">
        <f>IF(COUNTIFS(T_TTAFStock_Log[Part Name],$A32,T_TTAFStock_Log[WeekIndex],69)=0,"",SUMIFS(T_TTAFStock_Log[TTAF_Qty],T_TTAFStock_Log[Part Name],$A32,T_TTAFStock_Log[WeekIndex],69))</f>
        <v/>
      </c>
      <c r="BS32" s="17">
        <f>IF(COUNTIFS(T_TTAFStock_Log[Part Name],$A32,T_TTAFStock_Log[WeekIndex],70)=0,"",SUMIFS(T_TTAFStock_Log[TTAF_Qty],T_TTAFStock_Log[Part Name],$A32,T_TTAFStock_Log[WeekIndex],70))</f>
        <v/>
      </c>
      <c r="BT32" s="17">
        <f>IF(COUNTIFS(T_TTAFStock_Log[Part Name],$A32,T_TTAFStock_Log[WeekIndex],71)=0,"",SUMIFS(T_TTAFStock_Log[TTAF_Qty],T_TTAFStock_Log[Part Name],$A32,T_TTAFStock_Log[WeekIndex],71))</f>
        <v/>
      </c>
      <c r="BU32" s="17">
        <f>IF(COUNTIFS(T_TTAFStock_Log[Part Name],$A32,T_TTAFStock_Log[WeekIndex],72)=0,"",SUMIFS(T_TTAFStock_Log[TTAF_Qty],T_TTAFStock_Log[Part Name],$A32,T_TTAFStock_Log[WeekIndex],72))</f>
        <v/>
      </c>
      <c r="BV32" s="17">
        <f>IF(COUNTIFS(T_TTAFStock_Log[Part Name],$A32,T_TTAFStock_Log[WeekIndex],73)=0,"",SUMIFS(T_TTAFStock_Log[TTAF_Qty],T_TTAFStock_Log[Part Name],$A32,T_TTAFStock_Log[WeekIndex],73))</f>
        <v/>
      </c>
      <c r="BW32" s="17">
        <f>IF(COUNTIFS(T_TTAFStock_Log[Part Name],$A32,T_TTAFStock_Log[WeekIndex],74)=0,"",SUMIFS(T_TTAFStock_Log[TTAF_Qty],T_TTAFStock_Log[Part Name],$A32,T_TTAFStock_Log[WeekIndex],74))</f>
        <v/>
      </c>
      <c r="BX32" s="17">
        <f>IF(COUNTIFS(T_TTAFStock_Log[Part Name],$A32,T_TTAFStock_Log[WeekIndex],75)=0,"",SUMIFS(T_TTAFStock_Log[TTAF_Qty],T_TTAFStock_Log[Part Name],$A32,T_TTAFStock_Log[WeekIndex],75))</f>
        <v/>
      </c>
      <c r="BY32" s="17">
        <f>IF(COUNTIFS(T_TTAFStock_Log[Part Name],$A32,T_TTAFStock_Log[WeekIndex],76)=0,"",SUMIFS(T_TTAFStock_Log[TTAF_Qty],T_TTAFStock_Log[Part Name],$A32,T_TTAFStock_Log[WeekIndex],76))</f>
        <v/>
      </c>
      <c r="BZ32" s="17">
        <f>IF(COUNTIFS(T_TTAFStock_Log[Part Name],$A32,T_TTAFStock_Log[WeekIndex],77)=0,"",SUMIFS(T_TTAFStock_Log[TTAF_Qty],T_TTAFStock_Log[Part Name],$A32,T_TTAFStock_Log[WeekIndex],77))</f>
        <v/>
      </c>
      <c r="CA32" s="17">
        <f>IF(COUNTIFS(T_TTAFStock_Log[Part Name],$A32,T_TTAFStock_Log[WeekIndex],78)=0,"",SUMIFS(T_TTAFStock_Log[TTAF_Qty],T_TTAFStock_Log[Part Name],$A32,T_TTAFStock_Log[WeekIndex],78))</f>
        <v/>
      </c>
      <c r="CB32" s="17">
        <f>IF(COUNTIFS(T_TTAFStock_Log[Part Name],$A32,T_TTAFStock_Log[WeekIndex],79)=0,"",SUMIFS(T_TTAFStock_Log[TTAF_Qty],T_TTAFStock_Log[Part Name],$A32,T_TTAFStock_Log[WeekIndex],79))</f>
        <v/>
      </c>
      <c r="CC32" s="17">
        <f>IF(COUNTIFS(T_TTAFStock_Log[Part Name],$A32,T_TTAFStock_Log[WeekIndex],80)=0,"",SUMIFS(T_TTAFStock_Log[TTAF_Qty],T_TTAFStock_Log[Part Name],$A32,T_TTAFStock_Log[WeekIndex],80))</f>
        <v/>
      </c>
      <c r="CD32" s="17">
        <f>IF(COUNTIFS(T_TTAFStock_Log[Part Name],$A32,T_TTAFStock_Log[WeekIndex],81)=0,"",SUMIFS(T_TTAFStock_Log[TTAF_Qty],T_TTAFStock_Log[Part Name],$A32,T_TTAFStock_Log[WeekIndex],81))</f>
        <v/>
      </c>
      <c r="CE32" s="17">
        <f>IF(COUNTIFS(T_TTAFStock_Log[Part Name],$A32,T_TTAFStock_Log[WeekIndex],82)=0,"",SUMIFS(T_TTAFStock_Log[TTAF_Qty],T_TTAFStock_Log[Part Name],$A32,T_TTAFStock_Log[WeekIndex],82))</f>
        <v/>
      </c>
      <c r="CF32" s="17">
        <f>IF(COUNTIFS(T_TTAFStock_Log[Part Name],$A32,T_TTAFStock_Log[WeekIndex],83)=0,"",SUMIFS(T_TTAFStock_Log[TTAF_Qty],T_TTAFStock_Log[Part Name],$A32,T_TTAFStock_Log[WeekIndex],83))</f>
        <v/>
      </c>
      <c r="CG32" s="17">
        <f>IF(COUNTIFS(T_TTAFStock_Log[Part Name],$A32,T_TTAFStock_Log[WeekIndex],84)=0,"",SUMIFS(T_TTAFStock_Log[TTAF_Qty],T_TTAFStock_Log[Part Name],$A32,T_TTAFStock_Log[WeekIndex],84))</f>
        <v/>
      </c>
      <c r="CH32" s="17">
        <f>IF(COUNTIFS(T_TTAFStock_Log[Part Name],$A32,T_TTAFStock_Log[WeekIndex],85)=0,"",SUMIFS(T_TTAFStock_Log[TTAF_Qty],T_TTAFStock_Log[Part Name],$A32,T_TTAFStock_Log[WeekIndex],85))</f>
        <v/>
      </c>
      <c r="CI32" s="17">
        <f>IF(COUNTIFS(T_TTAFStock_Log[Part Name],$A32,T_TTAFStock_Log[WeekIndex],86)=0,"",SUMIFS(T_TTAFStock_Log[TTAF_Qty],T_TTAFStock_Log[Part Name],$A32,T_TTAFStock_Log[WeekIndex],86))</f>
        <v/>
      </c>
      <c r="CJ32" s="17">
        <f>IF(COUNTIFS(T_TTAFStock_Log[Part Name],$A32,T_TTAFStock_Log[WeekIndex],87)=0,"",SUMIFS(T_TTAFStock_Log[TTAF_Qty],T_TTAFStock_Log[Part Name],$A32,T_TTAFStock_Log[WeekIndex],87))</f>
        <v/>
      </c>
      <c r="CK32" s="17">
        <f>IF(COUNTIFS(T_TTAFStock_Log[Part Name],$A32,T_TTAFStock_Log[WeekIndex],88)=0,"",SUMIFS(T_TTAFStock_Log[TTAF_Qty],T_TTAFStock_Log[Part Name],$A32,T_TTAFStock_Log[WeekIndex],88))</f>
        <v/>
      </c>
      <c r="CL32" s="17">
        <f>IF(COUNTIFS(T_TTAFStock_Log[Part Name],$A32,T_TTAFStock_Log[WeekIndex],89)=0,"",SUMIFS(T_TTAFStock_Log[TTAF_Qty],T_TTAFStock_Log[Part Name],$A32,T_TTAFStock_Log[WeekIndex],89))</f>
        <v/>
      </c>
      <c r="CM32" s="17">
        <f>IF(COUNTIFS(T_TTAFStock_Log[Part Name],$A32,T_TTAFStock_Log[WeekIndex],90)=0,"",SUMIFS(T_TTAFStock_Log[TTAF_Qty],T_TTAFStock_Log[Part Name],$A32,T_TTAFStock_Log[WeekIndex],90))</f>
        <v/>
      </c>
      <c r="CN32" s="17">
        <f>IF(COUNTIFS(T_TTAFStock_Log[Part Name],$A32,T_TTAFStock_Log[WeekIndex],91)=0,"",SUMIFS(T_TTAFStock_Log[TTAF_Qty],T_TTAFStock_Log[Part Name],$A32,T_TTAFStock_Log[WeekIndex],91))</f>
        <v/>
      </c>
      <c r="CO32" s="17">
        <f>IF(COUNTIFS(T_TTAFStock_Log[Part Name],$A32,T_TTAFStock_Log[WeekIndex],92)=0,"",SUMIFS(T_TTAFStock_Log[TTAF_Qty],T_TTAFStock_Log[Part Name],$A32,T_TTAFStock_Log[WeekIndex],92))</f>
        <v/>
      </c>
      <c r="CP32" s="17">
        <f>IF(COUNTIFS(T_TTAFStock_Log[Part Name],$A32,T_TTAFStock_Log[WeekIndex],93)=0,"",SUMIFS(T_TTAFStock_Log[TTAF_Qty],T_TTAFStock_Log[Part Name],$A32,T_TTAFStock_Log[WeekIndex],93))</f>
        <v/>
      </c>
      <c r="CQ32" s="17">
        <f>IF(COUNTIFS(T_TTAFStock_Log[Part Name],$A32,T_TTAFStock_Log[WeekIndex],94)=0,"",SUMIFS(T_TTAFStock_Log[TTAF_Qty],T_TTAFStock_Log[Part Name],$A32,T_TTAFStock_Log[WeekIndex],94))</f>
        <v/>
      </c>
      <c r="CR32" s="17">
        <f>IF(COUNTIFS(T_TTAFStock_Log[Part Name],$A32,T_TTAFStock_Log[WeekIndex],95)=0,"",SUMIFS(T_TTAFStock_Log[TTAF_Qty],T_TTAFStock_Log[Part Name],$A32,T_TTAFStock_Log[WeekIndex],95))</f>
        <v/>
      </c>
      <c r="CS32" s="17">
        <f>IF(COUNTIFS(T_TTAFStock_Log[Part Name],$A32,T_TTAFStock_Log[WeekIndex],96)=0,"",SUMIFS(T_TTAFStock_Log[TTAF_Qty],T_TTAFStock_Log[Part Name],$A32,T_TTAFStock_Log[WeekIndex],96))</f>
        <v/>
      </c>
      <c r="CT32" s="17">
        <f>IF(COUNTIFS(T_TTAFStock_Log[Part Name],$A32,T_TTAFStock_Log[WeekIndex],97)=0,"",SUMIFS(T_TTAFStock_Log[TTAF_Qty],T_TTAFStock_Log[Part Name],$A32,T_TTAFStock_Log[WeekIndex],97))</f>
        <v/>
      </c>
      <c r="CU32" s="17">
        <f>IF(COUNTIFS(T_TTAFStock_Log[Part Name],$A32,T_TTAFStock_Log[WeekIndex],98)=0,"",SUMIFS(T_TTAFStock_Log[TTAF_Qty],T_TTAFStock_Log[Part Name],$A32,T_TTAFStock_Log[WeekIndex],98))</f>
        <v/>
      </c>
      <c r="CV32" s="17">
        <f>IF(COUNTIFS(T_TTAFStock_Log[Part Name],$A32,T_TTAFStock_Log[WeekIndex],99)=0,"",SUMIFS(T_TTAFStock_Log[TTAF_Qty],T_TTAFStock_Log[Part Name],$A32,T_TTAFStock_Log[WeekIndex],99))</f>
        <v/>
      </c>
      <c r="CW32" s="17">
        <f>IF(COUNTIFS(T_TTAFStock_Log[Part Name],$A32,T_TTAFStock_Log[WeekIndex],100)=0,"",SUMIFS(T_TTAFStock_Log[TTAF_Qty],T_TTAFStock_Log[Part Name],$A32,T_TTAFStock_Log[WeekIndex],100))</f>
        <v/>
      </c>
      <c r="CX32" s="17">
        <f>IF(COUNTIFS(T_TTAFStock_Log[Part Name],$A32,T_TTAFStock_Log[WeekIndex],101)=0,"",SUMIFS(T_TTAFStock_Log[TTAF_Qty],T_TTAFStock_Log[Part Name],$A32,T_TTAFStock_Log[WeekIndex],101))</f>
        <v/>
      </c>
      <c r="CY32" s="17">
        <f>IF(COUNTIFS(T_TTAFStock_Log[Part Name],$A32,T_TTAFStock_Log[WeekIndex],102)=0,"",SUMIFS(T_TTAFStock_Log[TTAF_Qty],T_TTAFStock_Log[Part Name],$A32,T_TTAFStock_Log[WeekIndex],102))</f>
        <v/>
      </c>
      <c r="CZ32" s="17">
        <f>IF(COUNTIFS(T_TTAFStock_Log[Part Name],$A32,T_TTAFStock_Log[WeekIndex],103)=0,"",SUMIFS(T_TTAFStock_Log[TTAF_Qty],T_TTAFStock_Log[Part Name],$A32,T_TTAFStock_Log[WeekIndex],103))</f>
        <v/>
      </c>
      <c r="DA32" s="17">
        <f>IF(COUNTIFS(T_TTAFStock_Log[Part Name],$A32,T_TTAFStock_Log[WeekIndex],104)=0,"",SUMIFS(T_TTAFStock_Log[TTAF_Qty],T_TTAFStock_Log[Part Name],$A32,T_TTAFStock_Log[WeekIndex],104))</f>
        <v/>
      </c>
    </row>
    <row r="33">
      <c r="A33" s="19" t="inlineStr">
        <is>
          <t>CHEM-1120</t>
        </is>
      </c>
      <c r="B33" s="19">
        <f>IF(COUNTIFS(T_TTAFStock_Log[Part Name],$A33,T_TTAFStock_Log[WeekIndex],1)=0,"",SUMIFS(T_TTAFStock_Log[TTAF_Qty],T_TTAFStock_Log[Part Name],$A33,T_TTAFStock_Log[WeekIndex],1))</f>
        <v/>
      </c>
      <c r="C33" s="19">
        <f>IF(COUNTIFS(T_TTAFStock_Log[Part Name],$A33,T_TTAFStock_Log[WeekIndex],2)=0,"",SUMIFS(T_TTAFStock_Log[TTAF_Qty],T_TTAFStock_Log[Part Name],$A33,T_TTAFStock_Log[WeekIndex],2))</f>
        <v/>
      </c>
      <c r="D33" s="19">
        <f>IF(COUNTIFS(T_TTAFStock_Log[Part Name],$A33,T_TTAFStock_Log[WeekIndex],3)=0,"",SUMIFS(T_TTAFStock_Log[TTAF_Qty],T_TTAFStock_Log[Part Name],$A33,T_TTAFStock_Log[WeekIndex],3))</f>
        <v/>
      </c>
      <c r="E33" s="19">
        <f>IF(COUNTIFS(T_TTAFStock_Log[Part Name],$A33,T_TTAFStock_Log[WeekIndex],4)=0,"",SUMIFS(T_TTAFStock_Log[TTAF_Qty],T_TTAFStock_Log[Part Name],$A33,T_TTAFStock_Log[WeekIndex],4))</f>
        <v/>
      </c>
      <c r="F33" s="19">
        <f>IF(COUNTIFS(T_TTAFStock_Log[Part Name],$A33,T_TTAFStock_Log[WeekIndex],5)=0,"",SUMIFS(T_TTAFStock_Log[TTAF_Qty],T_TTAFStock_Log[Part Name],$A33,T_TTAFStock_Log[WeekIndex],5))</f>
        <v/>
      </c>
      <c r="G33" s="19">
        <f>IF(COUNTIFS(T_TTAFStock_Log[Part Name],$A33,T_TTAFStock_Log[WeekIndex],6)=0,"",SUMIFS(T_TTAFStock_Log[TTAF_Qty],T_TTAFStock_Log[Part Name],$A33,T_TTAFStock_Log[WeekIndex],6))</f>
        <v/>
      </c>
      <c r="H33" s="19">
        <f>IF(COUNTIFS(T_TTAFStock_Log[Part Name],$A33,T_TTAFStock_Log[WeekIndex],7)=0,"",SUMIFS(T_TTAFStock_Log[TTAF_Qty],T_TTAFStock_Log[Part Name],$A33,T_TTAFStock_Log[WeekIndex],7))</f>
        <v/>
      </c>
      <c r="I33" s="19">
        <f>IF(COUNTIFS(T_TTAFStock_Log[Part Name],$A33,T_TTAFStock_Log[WeekIndex],8)=0,"",SUMIFS(T_TTAFStock_Log[TTAF_Qty],T_TTAFStock_Log[Part Name],$A33,T_TTAFStock_Log[WeekIndex],8))</f>
        <v/>
      </c>
      <c r="J33" s="19">
        <f>IF(COUNTIFS(T_TTAFStock_Log[Part Name],$A33,T_TTAFStock_Log[WeekIndex],9)=0,"",SUMIFS(T_TTAFStock_Log[TTAF_Qty],T_TTAFStock_Log[Part Name],$A33,T_TTAFStock_Log[WeekIndex],9))</f>
        <v/>
      </c>
      <c r="K33" s="19">
        <f>IF(COUNTIFS(T_TTAFStock_Log[Part Name],$A33,T_TTAFStock_Log[WeekIndex],10)=0,"",SUMIFS(T_TTAFStock_Log[TTAF_Qty],T_TTAFStock_Log[Part Name],$A33,T_TTAFStock_Log[WeekIndex],10))</f>
        <v/>
      </c>
      <c r="L33" s="19">
        <f>IF(COUNTIFS(T_TTAFStock_Log[Part Name],$A33,T_TTAFStock_Log[WeekIndex],11)=0,"",SUMIFS(T_TTAFStock_Log[TTAF_Qty],T_TTAFStock_Log[Part Name],$A33,T_TTAFStock_Log[WeekIndex],11))</f>
        <v/>
      </c>
      <c r="M33" s="19">
        <f>IF(COUNTIFS(T_TTAFStock_Log[Part Name],$A33,T_TTAFStock_Log[WeekIndex],12)=0,"",SUMIFS(T_TTAFStock_Log[TTAF_Qty],T_TTAFStock_Log[Part Name],$A33,T_TTAFStock_Log[WeekIndex],12))</f>
        <v/>
      </c>
      <c r="N33" s="19">
        <f>IF(COUNTIFS(T_TTAFStock_Log[Part Name],$A33,T_TTAFStock_Log[WeekIndex],13)=0,"",SUMIFS(T_TTAFStock_Log[TTAF_Qty],T_TTAFStock_Log[Part Name],$A33,T_TTAFStock_Log[WeekIndex],13))</f>
        <v/>
      </c>
      <c r="O33" s="19">
        <f>IF(COUNTIFS(T_TTAFStock_Log[Part Name],$A33,T_TTAFStock_Log[WeekIndex],14)=0,"",SUMIFS(T_TTAFStock_Log[TTAF_Qty],T_TTAFStock_Log[Part Name],$A33,T_TTAFStock_Log[WeekIndex],14))</f>
        <v/>
      </c>
      <c r="P33" s="19">
        <f>IF(COUNTIFS(T_TTAFStock_Log[Part Name],$A33,T_TTAFStock_Log[WeekIndex],15)=0,"",SUMIFS(T_TTAFStock_Log[TTAF_Qty],T_TTAFStock_Log[Part Name],$A33,T_TTAFStock_Log[WeekIndex],15))</f>
        <v/>
      </c>
      <c r="Q33" s="19">
        <f>IF(COUNTIFS(T_TTAFStock_Log[Part Name],$A33,T_TTAFStock_Log[WeekIndex],16)=0,"",SUMIFS(T_TTAFStock_Log[TTAF_Qty],T_TTAFStock_Log[Part Name],$A33,T_TTAFStock_Log[WeekIndex],16))</f>
        <v/>
      </c>
      <c r="R33" s="19">
        <f>IF(COUNTIFS(T_TTAFStock_Log[Part Name],$A33,T_TTAFStock_Log[WeekIndex],17)=0,"",SUMIFS(T_TTAFStock_Log[TTAF_Qty],T_TTAFStock_Log[Part Name],$A33,T_TTAFStock_Log[WeekIndex],17))</f>
        <v/>
      </c>
      <c r="S33" s="19">
        <f>IF(COUNTIFS(T_TTAFStock_Log[Part Name],$A33,T_TTAFStock_Log[WeekIndex],18)=0,"",SUMIFS(T_TTAFStock_Log[TTAF_Qty],T_TTAFStock_Log[Part Name],$A33,T_TTAFStock_Log[WeekIndex],18))</f>
        <v/>
      </c>
      <c r="T33" s="19">
        <f>IF(COUNTIFS(T_TTAFStock_Log[Part Name],$A33,T_TTAFStock_Log[WeekIndex],19)=0,"",SUMIFS(T_TTAFStock_Log[TTAF_Qty],T_TTAFStock_Log[Part Name],$A33,T_TTAFStock_Log[WeekIndex],19))</f>
        <v/>
      </c>
      <c r="U33" s="19">
        <f>IF(COUNTIFS(T_TTAFStock_Log[Part Name],$A33,T_TTAFStock_Log[WeekIndex],20)=0,"",SUMIFS(T_TTAFStock_Log[TTAF_Qty],T_TTAFStock_Log[Part Name],$A33,T_TTAFStock_Log[WeekIndex],20))</f>
        <v/>
      </c>
      <c r="V33" s="19">
        <f>IF(COUNTIFS(T_TTAFStock_Log[Part Name],$A33,T_TTAFStock_Log[WeekIndex],21)=0,"",SUMIFS(T_TTAFStock_Log[TTAF_Qty],T_TTAFStock_Log[Part Name],$A33,T_TTAFStock_Log[WeekIndex],21))</f>
        <v/>
      </c>
      <c r="W33" s="19">
        <f>IF(COUNTIFS(T_TTAFStock_Log[Part Name],$A33,T_TTAFStock_Log[WeekIndex],22)=0,"",SUMIFS(T_TTAFStock_Log[TTAF_Qty],T_TTAFStock_Log[Part Name],$A33,T_TTAFStock_Log[WeekIndex],22))</f>
        <v/>
      </c>
      <c r="X33" s="19">
        <f>IF(COUNTIFS(T_TTAFStock_Log[Part Name],$A33,T_TTAFStock_Log[WeekIndex],23)=0,"",SUMIFS(T_TTAFStock_Log[TTAF_Qty],T_TTAFStock_Log[Part Name],$A33,T_TTAFStock_Log[WeekIndex],23))</f>
        <v/>
      </c>
      <c r="Y33" s="19">
        <f>IF(COUNTIFS(T_TTAFStock_Log[Part Name],$A33,T_TTAFStock_Log[WeekIndex],24)=0,"",SUMIFS(T_TTAFStock_Log[TTAF_Qty],T_TTAFStock_Log[Part Name],$A33,T_TTAFStock_Log[WeekIndex],24))</f>
        <v/>
      </c>
      <c r="Z33" s="19">
        <f>IF(COUNTIFS(T_TTAFStock_Log[Part Name],$A33,T_TTAFStock_Log[WeekIndex],25)=0,"",SUMIFS(T_TTAFStock_Log[TTAF_Qty],T_TTAFStock_Log[Part Name],$A33,T_TTAFStock_Log[WeekIndex],25))</f>
        <v/>
      </c>
      <c r="AA33" s="19">
        <f>IF(COUNTIFS(T_TTAFStock_Log[Part Name],$A33,T_TTAFStock_Log[WeekIndex],26)=0,"",SUMIFS(T_TTAFStock_Log[TTAF_Qty],T_TTAFStock_Log[Part Name],$A33,T_TTAFStock_Log[WeekIndex],26))</f>
        <v/>
      </c>
      <c r="AB33" s="19">
        <f>IF(COUNTIFS(T_TTAFStock_Log[Part Name],$A33,T_TTAFStock_Log[WeekIndex],27)=0,"",SUMIFS(T_TTAFStock_Log[TTAF_Qty],T_TTAFStock_Log[Part Name],$A33,T_TTAFStock_Log[WeekIndex],27))</f>
        <v/>
      </c>
      <c r="AC33" s="19">
        <f>IF(COUNTIFS(T_TTAFStock_Log[Part Name],$A33,T_TTAFStock_Log[WeekIndex],28)=0,"",SUMIFS(T_TTAFStock_Log[TTAF_Qty],T_TTAFStock_Log[Part Name],$A33,T_TTAFStock_Log[WeekIndex],28))</f>
        <v/>
      </c>
      <c r="AD33" s="19">
        <f>IF(COUNTIFS(T_TTAFStock_Log[Part Name],$A33,T_TTAFStock_Log[WeekIndex],29)=0,"",SUMIFS(T_TTAFStock_Log[TTAF_Qty],T_TTAFStock_Log[Part Name],$A33,T_TTAFStock_Log[WeekIndex],29))</f>
        <v/>
      </c>
      <c r="AE33" s="19">
        <f>IF(COUNTIFS(T_TTAFStock_Log[Part Name],$A33,T_TTAFStock_Log[WeekIndex],30)=0,"",SUMIFS(T_TTAFStock_Log[TTAF_Qty],T_TTAFStock_Log[Part Name],$A33,T_TTAFStock_Log[WeekIndex],30))</f>
        <v/>
      </c>
      <c r="AF33" s="19">
        <f>IF(COUNTIFS(T_TTAFStock_Log[Part Name],$A33,T_TTAFStock_Log[WeekIndex],31)=0,"",SUMIFS(T_TTAFStock_Log[TTAF_Qty],T_TTAFStock_Log[Part Name],$A33,T_TTAFStock_Log[WeekIndex],31))</f>
        <v/>
      </c>
      <c r="AG33" s="19">
        <f>IF(COUNTIFS(T_TTAFStock_Log[Part Name],$A33,T_TTAFStock_Log[WeekIndex],32)=0,"",SUMIFS(T_TTAFStock_Log[TTAF_Qty],T_TTAFStock_Log[Part Name],$A33,T_TTAFStock_Log[WeekIndex],32))</f>
        <v/>
      </c>
      <c r="AH33" s="19">
        <f>IF(COUNTIFS(T_TTAFStock_Log[Part Name],$A33,T_TTAFStock_Log[WeekIndex],33)=0,"",SUMIFS(T_TTAFStock_Log[TTAF_Qty],T_TTAFStock_Log[Part Name],$A33,T_TTAFStock_Log[WeekIndex],33))</f>
        <v/>
      </c>
      <c r="AI33" s="19">
        <f>IF(COUNTIFS(T_TTAFStock_Log[Part Name],$A33,T_TTAFStock_Log[WeekIndex],34)=0,"",SUMIFS(T_TTAFStock_Log[TTAF_Qty],T_TTAFStock_Log[Part Name],$A33,T_TTAFStock_Log[WeekIndex],34))</f>
        <v/>
      </c>
      <c r="AJ33" s="19">
        <f>IF(COUNTIFS(T_TTAFStock_Log[Part Name],$A33,T_TTAFStock_Log[WeekIndex],35)=0,"",SUMIFS(T_TTAFStock_Log[TTAF_Qty],T_TTAFStock_Log[Part Name],$A33,T_TTAFStock_Log[WeekIndex],35))</f>
        <v/>
      </c>
      <c r="AK33" s="19">
        <f>IF(COUNTIFS(T_TTAFStock_Log[Part Name],$A33,T_TTAFStock_Log[WeekIndex],36)=0,"",SUMIFS(T_TTAFStock_Log[TTAF_Qty],T_TTAFStock_Log[Part Name],$A33,T_TTAFStock_Log[WeekIndex],36))</f>
        <v/>
      </c>
      <c r="AL33" s="19">
        <f>IF(COUNTIFS(T_TTAFStock_Log[Part Name],$A33,T_TTAFStock_Log[WeekIndex],37)=0,"",SUMIFS(T_TTAFStock_Log[TTAF_Qty],T_TTAFStock_Log[Part Name],$A33,T_TTAFStock_Log[WeekIndex],37))</f>
        <v/>
      </c>
      <c r="AM33" s="19">
        <f>IF(COUNTIFS(T_TTAFStock_Log[Part Name],$A33,T_TTAFStock_Log[WeekIndex],38)=0,"",SUMIFS(T_TTAFStock_Log[TTAF_Qty],T_TTAFStock_Log[Part Name],$A33,T_TTAFStock_Log[WeekIndex],38))</f>
        <v/>
      </c>
      <c r="AN33" s="19">
        <f>IF(COUNTIFS(T_TTAFStock_Log[Part Name],$A33,T_TTAFStock_Log[WeekIndex],39)=0,"",SUMIFS(T_TTAFStock_Log[TTAF_Qty],T_TTAFStock_Log[Part Name],$A33,T_TTAFStock_Log[WeekIndex],39))</f>
        <v/>
      </c>
      <c r="AO33" s="19">
        <f>IF(COUNTIFS(T_TTAFStock_Log[Part Name],$A33,T_TTAFStock_Log[WeekIndex],40)=0,"",SUMIFS(T_TTAFStock_Log[TTAF_Qty],T_TTAFStock_Log[Part Name],$A33,T_TTAFStock_Log[WeekIndex],40))</f>
        <v/>
      </c>
      <c r="AP33" s="19">
        <f>IF(COUNTIFS(T_TTAFStock_Log[Part Name],$A33,T_TTAFStock_Log[WeekIndex],41)=0,"",SUMIFS(T_TTAFStock_Log[TTAF_Qty],T_TTAFStock_Log[Part Name],$A33,T_TTAFStock_Log[WeekIndex],41))</f>
        <v/>
      </c>
      <c r="AQ33" s="19">
        <f>IF(COUNTIFS(T_TTAFStock_Log[Part Name],$A33,T_TTAFStock_Log[WeekIndex],42)=0,"",SUMIFS(T_TTAFStock_Log[TTAF_Qty],T_TTAFStock_Log[Part Name],$A33,T_TTAFStock_Log[WeekIndex],42))</f>
        <v/>
      </c>
      <c r="AR33" s="19">
        <f>IF(COUNTIFS(T_TTAFStock_Log[Part Name],$A33,T_TTAFStock_Log[WeekIndex],43)=0,"",SUMIFS(T_TTAFStock_Log[TTAF_Qty],T_TTAFStock_Log[Part Name],$A33,T_TTAFStock_Log[WeekIndex],43))</f>
        <v/>
      </c>
      <c r="AS33" s="19">
        <f>IF(COUNTIFS(T_TTAFStock_Log[Part Name],$A33,T_TTAFStock_Log[WeekIndex],44)=0,"",SUMIFS(T_TTAFStock_Log[TTAF_Qty],T_TTAFStock_Log[Part Name],$A33,T_TTAFStock_Log[WeekIndex],44))</f>
        <v/>
      </c>
      <c r="AT33" s="19">
        <f>IF(COUNTIFS(T_TTAFStock_Log[Part Name],$A33,T_TTAFStock_Log[WeekIndex],45)=0,"",SUMIFS(T_TTAFStock_Log[TTAF_Qty],T_TTAFStock_Log[Part Name],$A33,T_TTAFStock_Log[WeekIndex],45))</f>
        <v/>
      </c>
      <c r="AU33" s="19">
        <f>IF(COUNTIFS(T_TTAFStock_Log[Part Name],$A33,T_TTAFStock_Log[WeekIndex],46)=0,"",SUMIFS(T_TTAFStock_Log[TTAF_Qty],T_TTAFStock_Log[Part Name],$A33,T_TTAFStock_Log[WeekIndex],46))</f>
        <v/>
      </c>
      <c r="AV33" s="19">
        <f>IF(COUNTIFS(T_TTAFStock_Log[Part Name],$A33,T_TTAFStock_Log[WeekIndex],47)=0,"",SUMIFS(T_TTAFStock_Log[TTAF_Qty],T_TTAFStock_Log[Part Name],$A33,T_TTAFStock_Log[WeekIndex],47))</f>
        <v/>
      </c>
      <c r="AW33" s="19">
        <f>IF(COUNTIFS(T_TTAFStock_Log[Part Name],$A33,T_TTAFStock_Log[WeekIndex],48)=0,"",SUMIFS(T_TTAFStock_Log[TTAF_Qty],T_TTAFStock_Log[Part Name],$A33,T_TTAFStock_Log[WeekIndex],48))</f>
        <v/>
      </c>
      <c r="AX33" s="19">
        <f>IF(COUNTIFS(T_TTAFStock_Log[Part Name],$A33,T_TTAFStock_Log[WeekIndex],49)=0,"",SUMIFS(T_TTAFStock_Log[TTAF_Qty],T_TTAFStock_Log[Part Name],$A33,T_TTAFStock_Log[WeekIndex],49))</f>
        <v/>
      </c>
      <c r="AY33" s="19">
        <f>IF(COUNTIFS(T_TTAFStock_Log[Part Name],$A33,T_TTAFStock_Log[WeekIndex],50)=0,"",SUMIFS(T_TTAFStock_Log[TTAF_Qty],T_TTAFStock_Log[Part Name],$A33,T_TTAFStock_Log[WeekIndex],50))</f>
        <v/>
      </c>
      <c r="AZ33" s="19">
        <f>IF(COUNTIFS(T_TTAFStock_Log[Part Name],$A33,T_TTAFStock_Log[WeekIndex],51)=0,"",SUMIFS(T_TTAFStock_Log[TTAF_Qty],T_TTAFStock_Log[Part Name],$A33,T_TTAFStock_Log[WeekIndex],51))</f>
        <v/>
      </c>
      <c r="BA33" s="19">
        <f>IF(COUNTIFS(T_TTAFStock_Log[Part Name],$A33,T_TTAFStock_Log[WeekIndex],52)=0,"",SUMIFS(T_TTAFStock_Log[TTAF_Qty],T_TTAFStock_Log[Part Name],$A33,T_TTAFStock_Log[WeekIndex],52))</f>
        <v/>
      </c>
      <c r="BB33" s="19">
        <f>IF(COUNTIFS(T_TTAFStock_Log[Part Name],$A33,T_TTAFStock_Log[WeekIndex],53)=0,"",SUMIFS(T_TTAFStock_Log[TTAF_Qty],T_TTAFStock_Log[Part Name],$A33,T_TTAFStock_Log[WeekIndex],53))</f>
        <v/>
      </c>
      <c r="BC33" s="19">
        <f>IF(COUNTIFS(T_TTAFStock_Log[Part Name],$A33,T_TTAFStock_Log[WeekIndex],54)=0,"",SUMIFS(T_TTAFStock_Log[TTAF_Qty],T_TTAFStock_Log[Part Name],$A33,T_TTAFStock_Log[WeekIndex],54))</f>
        <v/>
      </c>
      <c r="BD33" s="19">
        <f>IF(COUNTIFS(T_TTAFStock_Log[Part Name],$A33,T_TTAFStock_Log[WeekIndex],55)=0,"",SUMIFS(T_TTAFStock_Log[TTAF_Qty],T_TTAFStock_Log[Part Name],$A33,T_TTAFStock_Log[WeekIndex],55))</f>
        <v/>
      </c>
      <c r="BE33" s="19">
        <f>IF(COUNTIFS(T_TTAFStock_Log[Part Name],$A33,T_TTAFStock_Log[WeekIndex],56)=0,"",SUMIFS(T_TTAFStock_Log[TTAF_Qty],T_TTAFStock_Log[Part Name],$A33,T_TTAFStock_Log[WeekIndex],56))</f>
        <v/>
      </c>
      <c r="BF33" s="19">
        <f>IF(COUNTIFS(T_TTAFStock_Log[Part Name],$A33,T_TTAFStock_Log[WeekIndex],57)=0,"",SUMIFS(T_TTAFStock_Log[TTAF_Qty],T_TTAFStock_Log[Part Name],$A33,T_TTAFStock_Log[WeekIndex],57))</f>
        <v/>
      </c>
      <c r="BG33" s="19">
        <f>IF(COUNTIFS(T_TTAFStock_Log[Part Name],$A33,T_TTAFStock_Log[WeekIndex],58)=0,"",SUMIFS(T_TTAFStock_Log[TTAF_Qty],T_TTAFStock_Log[Part Name],$A33,T_TTAFStock_Log[WeekIndex],58))</f>
        <v/>
      </c>
      <c r="BH33" s="19">
        <f>IF(COUNTIFS(T_TTAFStock_Log[Part Name],$A33,T_TTAFStock_Log[WeekIndex],59)=0,"",SUMIFS(T_TTAFStock_Log[TTAF_Qty],T_TTAFStock_Log[Part Name],$A33,T_TTAFStock_Log[WeekIndex],59))</f>
        <v/>
      </c>
      <c r="BI33" s="19">
        <f>IF(COUNTIFS(T_TTAFStock_Log[Part Name],$A33,T_TTAFStock_Log[WeekIndex],60)=0,"",SUMIFS(T_TTAFStock_Log[TTAF_Qty],T_TTAFStock_Log[Part Name],$A33,T_TTAFStock_Log[WeekIndex],60))</f>
        <v/>
      </c>
      <c r="BJ33" s="19">
        <f>IF(COUNTIFS(T_TTAFStock_Log[Part Name],$A33,T_TTAFStock_Log[WeekIndex],61)=0,"",SUMIFS(T_TTAFStock_Log[TTAF_Qty],T_TTAFStock_Log[Part Name],$A33,T_TTAFStock_Log[WeekIndex],61))</f>
        <v/>
      </c>
      <c r="BK33" s="19">
        <f>IF(COUNTIFS(T_TTAFStock_Log[Part Name],$A33,T_TTAFStock_Log[WeekIndex],62)=0,"",SUMIFS(T_TTAFStock_Log[TTAF_Qty],T_TTAFStock_Log[Part Name],$A33,T_TTAFStock_Log[WeekIndex],62))</f>
        <v/>
      </c>
      <c r="BL33" s="19">
        <f>IF(COUNTIFS(T_TTAFStock_Log[Part Name],$A33,T_TTAFStock_Log[WeekIndex],63)=0,"",SUMIFS(T_TTAFStock_Log[TTAF_Qty],T_TTAFStock_Log[Part Name],$A33,T_TTAFStock_Log[WeekIndex],63))</f>
        <v/>
      </c>
      <c r="BM33" s="19">
        <f>IF(COUNTIFS(T_TTAFStock_Log[Part Name],$A33,T_TTAFStock_Log[WeekIndex],64)=0,"",SUMIFS(T_TTAFStock_Log[TTAF_Qty],T_TTAFStock_Log[Part Name],$A33,T_TTAFStock_Log[WeekIndex],64))</f>
        <v/>
      </c>
      <c r="BN33" s="19">
        <f>IF(COUNTIFS(T_TTAFStock_Log[Part Name],$A33,T_TTAFStock_Log[WeekIndex],65)=0,"",SUMIFS(T_TTAFStock_Log[TTAF_Qty],T_TTAFStock_Log[Part Name],$A33,T_TTAFStock_Log[WeekIndex],65))</f>
        <v/>
      </c>
      <c r="BO33" s="19">
        <f>IF(COUNTIFS(T_TTAFStock_Log[Part Name],$A33,T_TTAFStock_Log[WeekIndex],66)=0,"",SUMIFS(T_TTAFStock_Log[TTAF_Qty],T_TTAFStock_Log[Part Name],$A33,T_TTAFStock_Log[WeekIndex],66))</f>
        <v/>
      </c>
      <c r="BP33" s="19">
        <f>IF(COUNTIFS(T_TTAFStock_Log[Part Name],$A33,T_TTAFStock_Log[WeekIndex],67)=0,"",SUMIFS(T_TTAFStock_Log[TTAF_Qty],T_TTAFStock_Log[Part Name],$A33,T_TTAFStock_Log[WeekIndex],67))</f>
        <v/>
      </c>
      <c r="BQ33" s="19">
        <f>IF(COUNTIFS(T_TTAFStock_Log[Part Name],$A33,T_TTAFStock_Log[WeekIndex],68)=0,"",SUMIFS(T_TTAFStock_Log[TTAF_Qty],T_TTAFStock_Log[Part Name],$A33,T_TTAFStock_Log[WeekIndex],68))</f>
        <v/>
      </c>
      <c r="BR33" s="19">
        <f>IF(COUNTIFS(T_TTAFStock_Log[Part Name],$A33,T_TTAFStock_Log[WeekIndex],69)=0,"",SUMIFS(T_TTAFStock_Log[TTAF_Qty],T_TTAFStock_Log[Part Name],$A33,T_TTAFStock_Log[WeekIndex],69))</f>
        <v/>
      </c>
      <c r="BS33" s="19">
        <f>IF(COUNTIFS(T_TTAFStock_Log[Part Name],$A33,T_TTAFStock_Log[WeekIndex],70)=0,"",SUMIFS(T_TTAFStock_Log[TTAF_Qty],T_TTAFStock_Log[Part Name],$A33,T_TTAFStock_Log[WeekIndex],70))</f>
        <v/>
      </c>
      <c r="BT33" s="19">
        <f>IF(COUNTIFS(T_TTAFStock_Log[Part Name],$A33,T_TTAFStock_Log[WeekIndex],71)=0,"",SUMIFS(T_TTAFStock_Log[TTAF_Qty],T_TTAFStock_Log[Part Name],$A33,T_TTAFStock_Log[WeekIndex],71))</f>
        <v/>
      </c>
      <c r="BU33" s="19">
        <f>IF(COUNTIFS(T_TTAFStock_Log[Part Name],$A33,T_TTAFStock_Log[WeekIndex],72)=0,"",SUMIFS(T_TTAFStock_Log[TTAF_Qty],T_TTAFStock_Log[Part Name],$A33,T_TTAFStock_Log[WeekIndex],72))</f>
        <v/>
      </c>
      <c r="BV33" s="19">
        <f>IF(COUNTIFS(T_TTAFStock_Log[Part Name],$A33,T_TTAFStock_Log[WeekIndex],73)=0,"",SUMIFS(T_TTAFStock_Log[TTAF_Qty],T_TTAFStock_Log[Part Name],$A33,T_TTAFStock_Log[WeekIndex],73))</f>
        <v/>
      </c>
      <c r="BW33" s="19">
        <f>IF(COUNTIFS(T_TTAFStock_Log[Part Name],$A33,T_TTAFStock_Log[WeekIndex],74)=0,"",SUMIFS(T_TTAFStock_Log[TTAF_Qty],T_TTAFStock_Log[Part Name],$A33,T_TTAFStock_Log[WeekIndex],74))</f>
        <v/>
      </c>
      <c r="BX33" s="19">
        <f>IF(COUNTIFS(T_TTAFStock_Log[Part Name],$A33,T_TTAFStock_Log[WeekIndex],75)=0,"",SUMIFS(T_TTAFStock_Log[TTAF_Qty],T_TTAFStock_Log[Part Name],$A33,T_TTAFStock_Log[WeekIndex],75))</f>
        <v/>
      </c>
      <c r="BY33" s="19">
        <f>IF(COUNTIFS(T_TTAFStock_Log[Part Name],$A33,T_TTAFStock_Log[WeekIndex],76)=0,"",SUMIFS(T_TTAFStock_Log[TTAF_Qty],T_TTAFStock_Log[Part Name],$A33,T_TTAFStock_Log[WeekIndex],76))</f>
        <v/>
      </c>
      <c r="BZ33" s="19">
        <f>IF(COUNTIFS(T_TTAFStock_Log[Part Name],$A33,T_TTAFStock_Log[WeekIndex],77)=0,"",SUMIFS(T_TTAFStock_Log[TTAF_Qty],T_TTAFStock_Log[Part Name],$A33,T_TTAFStock_Log[WeekIndex],77))</f>
        <v/>
      </c>
      <c r="CA33" s="19">
        <f>IF(COUNTIFS(T_TTAFStock_Log[Part Name],$A33,T_TTAFStock_Log[WeekIndex],78)=0,"",SUMIFS(T_TTAFStock_Log[TTAF_Qty],T_TTAFStock_Log[Part Name],$A33,T_TTAFStock_Log[WeekIndex],78))</f>
        <v/>
      </c>
      <c r="CB33" s="19">
        <f>IF(COUNTIFS(T_TTAFStock_Log[Part Name],$A33,T_TTAFStock_Log[WeekIndex],79)=0,"",SUMIFS(T_TTAFStock_Log[TTAF_Qty],T_TTAFStock_Log[Part Name],$A33,T_TTAFStock_Log[WeekIndex],79))</f>
        <v/>
      </c>
      <c r="CC33" s="19">
        <f>IF(COUNTIFS(T_TTAFStock_Log[Part Name],$A33,T_TTAFStock_Log[WeekIndex],80)=0,"",SUMIFS(T_TTAFStock_Log[TTAF_Qty],T_TTAFStock_Log[Part Name],$A33,T_TTAFStock_Log[WeekIndex],80))</f>
        <v/>
      </c>
      <c r="CD33" s="19">
        <f>IF(COUNTIFS(T_TTAFStock_Log[Part Name],$A33,T_TTAFStock_Log[WeekIndex],81)=0,"",SUMIFS(T_TTAFStock_Log[TTAF_Qty],T_TTAFStock_Log[Part Name],$A33,T_TTAFStock_Log[WeekIndex],81))</f>
        <v/>
      </c>
      <c r="CE33" s="19">
        <f>IF(COUNTIFS(T_TTAFStock_Log[Part Name],$A33,T_TTAFStock_Log[WeekIndex],82)=0,"",SUMIFS(T_TTAFStock_Log[TTAF_Qty],T_TTAFStock_Log[Part Name],$A33,T_TTAFStock_Log[WeekIndex],82))</f>
        <v/>
      </c>
      <c r="CF33" s="19">
        <f>IF(COUNTIFS(T_TTAFStock_Log[Part Name],$A33,T_TTAFStock_Log[WeekIndex],83)=0,"",SUMIFS(T_TTAFStock_Log[TTAF_Qty],T_TTAFStock_Log[Part Name],$A33,T_TTAFStock_Log[WeekIndex],83))</f>
        <v/>
      </c>
      <c r="CG33" s="19">
        <f>IF(COUNTIFS(T_TTAFStock_Log[Part Name],$A33,T_TTAFStock_Log[WeekIndex],84)=0,"",SUMIFS(T_TTAFStock_Log[TTAF_Qty],T_TTAFStock_Log[Part Name],$A33,T_TTAFStock_Log[WeekIndex],84))</f>
        <v/>
      </c>
      <c r="CH33" s="19">
        <f>IF(COUNTIFS(T_TTAFStock_Log[Part Name],$A33,T_TTAFStock_Log[WeekIndex],85)=0,"",SUMIFS(T_TTAFStock_Log[TTAF_Qty],T_TTAFStock_Log[Part Name],$A33,T_TTAFStock_Log[WeekIndex],85))</f>
        <v/>
      </c>
      <c r="CI33" s="19">
        <f>IF(COUNTIFS(T_TTAFStock_Log[Part Name],$A33,T_TTAFStock_Log[WeekIndex],86)=0,"",SUMIFS(T_TTAFStock_Log[TTAF_Qty],T_TTAFStock_Log[Part Name],$A33,T_TTAFStock_Log[WeekIndex],86))</f>
        <v/>
      </c>
      <c r="CJ33" s="19">
        <f>IF(COUNTIFS(T_TTAFStock_Log[Part Name],$A33,T_TTAFStock_Log[WeekIndex],87)=0,"",SUMIFS(T_TTAFStock_Log[TTAF_Qty],T_TTAFStock_Log[Part Name],$A33,T_TTAFStock_Log[WeekIndex],87))</f>
        <v/>
      </c>
      <c r="CK33" s="19">
        <f>IF(COUNTIFS(T_TTAFStock_Log[Part Name],$A33,T_TTAFStock_Log[WeekIndex],88)=0,"",SUMIFS(T_TTAFStock_Log[TTAF_Qty],T_TTAFStock_Log[Part Name],$A33,T_TTAFStock_Log[WeekIndex],88))</f>
        <v/>
      </c>
      <c r="CL33" s="19">
        <f>IF(COUNTIFS(T_TTAFStock_Log[Part Name],$A33,T_TTAFStock_Log[WeekIndex],89)=0,"",SUMIFS(T_TTAFStock_Log[TTAF_Qty],T_TTAFStock_Log[Part Name],$A33,T_TTAFStock_Log[WeekIndex],89))</f>
        <v/>
      </c>
      <c r="CM33" s="19">
        <f>IF(COUNTIFS(T_TTAFStock_Log[Part Name],$A33,T_TTAFStock_Log[WeekIndex],90)=0,"",SUMIFS(T_TTAFStock_Log[TTAF_Qty],T_TTAFStock_Log[Part Name],$A33,T_TTAFStock_Log[WeekIndex],90))</f>
        <v/>
      </c>
      <c r="CN33" s="19">
        <f>IF(COUNTIFS(T_TTAFStock_Log[Part Name],$A33,T_TTAFStock_Log[WeekIndex],91)=0,"",SUMIFS(T_TTAFStock_Log[TTAF_Qty],T_TTAFStock_Log[Part Name],$A33,T_TTAFStock_Log[WeekIndex],91))</f>
        <v/>
      </c>
      <c r="CO33" s="19">
        <f>IF(COUNTIFS(T_TTAFStock_Log[Part Name],$A33,T_TTAFStock_Log[WeekIndex],92)=0,"",SUMIFS(T_TTAFStock_Log[TTAF_Qty],T_TTAFStock_Log[Part Name],$A33,T_TTAFStock_Log[WeekIndex],92))</f>
        <v/>
      </c>
      <c r="CP33" s="19">
        <f>IF(COUNTIFS(T_TTAFStock_Log[Part Name],$A33,T_TTAFStock_Log[WeekIndex],93)=0,"",SUMIFS(T_TTAFStock_Log[TTAF_Qty],T_TTAFStock_Log[Part Name],$A33,T_TTAFStock_Log[WeekIndex],93))</f>
        <v/>
      </c>
      <c r="CQ33" s="19">
        <f>IF(COUNTIFS(T_TTAFStock_Log[Part Name],$A33,T_TTAFStock_Log[WeekIndex],94)=0,"",SUMIFS(T_TTAFStock_Log[TTAF_Qty],T_TTAFStock_Log[Part Name],$A33,T_TTAFStock_Log[WeekIndex],94))</f>
        <v/>
      </c>
      <c r="CR33" s="19">
        <f>IF(COUNTIFS(T_TTAFStock_Log[Part Name],$A33,T_TTAFStock_Log[WeekIndex],95)=0,"",SUMIFS(T_TTAFStock_Log[TTAF_Qty],T_TTAFStock_Log[Part Name],$A33,T_TTAFStock_Log[WeekIndex],95))</f>
        <v/>
      </c>
      <c r="CS33" s="19">
        <f>IF(COUNTIFS(T_TTAFStock_Log[Part Name],$A33,T_TTAFStock_Log[WeekIndex],96)=0,"",SUMIFS(T_TTAFStock_Log[TTAF_Qty],T_TTAFStock_Log[Part Name],$A33,T_TTAFStock_Log[WeekIndex],96))</f>
        <v/>
      </c>
      <c r="CT33" s="19">
        <f>IF(COUNTIFS(T_TTAFStock_Log[Part Name],$A33,T_TTAFStock_Log[WeekIndex],97)=0,"",SUMIFS(T_TTAFStock_Log[TTAF_Qty],T_TTAFStock_Log[Part Name],$A33,T_TTAFStock_Log[WeekIndex],97))</f>
        <v/>
      </c>
      <c r="CU33" s="19">
        <f>IF(COUNTIFS(T_TTAFStock_Log[Part Name],$A33,T_TTAFStock_Log[WeekIndex],98)=0,"",SUMIFS(T_TTAFStock_Log[TTAF_Qty],T_TTAFStock_Log[Part Name],$A33,T_TTAFStock_Log[WeekIndex],98))</f>
        <v/>
      </c>
      <c r="CV33" s="19">
        <f>IF(COUNTIFS(T_TTAFStock_Log[Part Name],$A33,T_TTAFStock_Log[WeekIndex],99)=0,"",SUMIFS(T_TTAFStock_Log[TTAF_Qty],T_TTAFStock_Log[Part Name],$A33,T_TTAFStock_Log[WeekIndex],99))</f>
        <v/>
      </c>
      <c r="CW33" s="19">
        <f>IF(COUNTIFS(T_TTAFStock_Log[Part Name],$A33,T_TTAFStock_Log[WeekIndex],100)=0,"",SUMIFS(T_TTAFStock_Log[TTAF_Qty],T_TTAFStock_Log[Part Name],$A33,T_TTAFStock_Log[WeekIndex],100))</f>
        <v/>
      </c>
      <c r="CX33" s="19">
        <f>IF(COUNTIFS(T_TTAFStock_Log[Part Name],$A33,T_TTAFStock_Log[WeekIndex],101)=0,"",SUMIFS(T_TTAFStock_Log[TTAF_Qty],T_TTAFStock_Log[Part Name],$A33,T_TTAFStock_Log[WeekIndex],101))</f>
        <v/>
      </c>
      <c r="CY33" s="19">
        <f>IF(COUNTIFS(T_TTAFStock_Log[Part Name],$A33,T_TTAFStock_Log[WeekIndex],102)=0,"",SUMIFS(T_TTAFStock_Log[TTAF_Qty],T_TTAFStock_Log[Part Name],$A33,T_TTAFStock_Log[WeekIndex],102))</f>
        <v/>
      </c>
      <c r="CZ33" s="19">
        <f>IF(COUNTIFS(T_TTAFStock_Log[Part Name],$A33,T_TTAFStock_Log[WeekIndex],103)=0,"",SUMIFS(T_TTAFStock_Log[TTAF_Qty],T_TTAFStock_Log[Part Name],$A33,T_TTAFStock_Log[WeekIndex],103))</f>
        <v/>
      </c>
      <c r="DA33" s="19">
        <f>IF(COUNTIFS(T_TTAFStock_Log[Part Name],$A33,T_TTAFStock_Log[WeekIndex],104)=0,"",SUMIFS(T_TTAFStock_Log[TTAF_Qty],T_TTAFStock_Log[Part Name],$A33,T_TTAFStock_Log[WeekIndex],104))</f>
        <v/>
      </c>
    </row>
    <row r="34">
      <c r="A34" s="17" t="inlineStr">
        <is>
          <t>CHEM-1550</t>
        </is>
      </c>
      <c r="B34" s="17">
        <f>IF(COUNTIFS(T_TTAFStock_Log[Part Name],$A34,T_TTAFStock_Log[WeekIndex],1)=0,"",SUMIFS(T_TTAFStock_Log[TTAF_Qty],T_TTAFStock_Log[Part Name],$A34,T_TTAFStock_Log[WeekIndex],1))</f>
        <v/>
      </c>
      <c r="C34" s="17">
        <f>IF(COUNTIFS(T_TTAFStock_Log[Part Name],$A34,T_TTAFStock_Log[WeekIndex],2)=0,"",SUMIFS(T_TTAFStock_Log[TTAF_Qty],T_TTAFStock_Log[Part Name],$A34,T_TTAFStock_Log[WeekIndex],2))</f>
        <v/>
      </c>
      <c r="D34" s="17">
        <f>IF(COUNTIFS(T_TTAFStock_Log[Part Name],$A34,T_TTAFStock_Log[WeekIndex],3)=0,"",SUMIFS(T_TTAFStock_Log[TTAF_Qty],T_TTAFStock_Log[Part Name],$A34,T_TTAFStock_Log[WeekIndex],3))</f>
        <v/>
      </c>
      <c r="E34" s="17">
        <f>IF(COUNTIFS(T_TTAFStock_Log[Part Name],$A34,T_TTAFStock_Log[WeekIndex],4)=0,"",SUMIFS(T_TTAFStock_Log[TTAF_Qty],T_TTAFStock_Log[Part Name],$A34,T_TTAFStock_Log[WeekIndex],4))</f>
        <v/>
      </c>
      <c r="F34" s="17">
        <f>IF(COUNTIFS(T_TTAFStock_Log[Part Name],$A34,T_TTAFStock_Log[WeekIndex],5)=0,"",SUMIFS(T_TTAFStock_Log[TTAF_Qty],T_TTAFStock_Log[Part Name],$A34,T_TTAFStock_Log[WeekIndex],5))</f>
        <v/>
      </c>
      <c r="G34" s="17">
        <f>IF(COUNTIFS(T_TTAFStock_Log[Part Name],$A34,T_TTAFStock_Log[WeekIndex],6)=0,"",SUMIFS(T_TTAFStock_Log[TTAF_Qty],T_TTAFStock_Log[Part Name],$A34,T_TTAFStock_Log[WeekIndex],6))</f>
        <v/>
      </c>
      <c r="H34" s="17">
        <f>IF(COUNTIFS(T_TTAFStock_Log[Part Name],$A34,T_TTAFStock_Log[WeekIndex],7)=0,"",SUMIFS(T_TTAFStock_Log[TTAF_Qty],T_TTAFStock_Log[Part Name],$A34,T_TTAFStock_Log[WeekIndex],7))</f>
        <v/>
      </c>
      <c r="I34" s="17">
        <f>IF(COUNTIFS(T_TTAFStock_Log[Part Name],$A34,T_TTAFStock_Log[WeekIndex],8)=0,"",SUMIFS(T_TTAFStock_Log[TTAF_Qty],T_TTAFStock_Log[Part Name],$A34,T_TTAFStock_Log[WeekIndex],8))</f>
        <v/>
      </c>
      <c r="J34" s="17">
        <f>IF(COUNTIFS(T_TTAFStock_Log[Part Name],$A34,T_TTAFStock_Log[WeekIndex],9)=0,"",SUMIFS(T_TTAFStock_Log[TTAF_Qty],T_TTAFStock_Log[Part Name],$A34,T_TTAFStock_Log[WeekIndex],9))</f>
        <v/>
      </c>
      <c r="K34" s="17">
        <f>IF(COUNTIFS(T_TTAFStock_Log[Part Name],$A34,T_TTAFStock_Log[WeekIndex],10)=0,"",SUMIFS(T_TTAFStock_Log[TTAF_Qty],T_TTAFStock_Log[Part Name],$A34,T_TTAFStock_Log[WeekIndex],10))</f>
        <v/>
      </c>
      <c r="L34" s="17">
        <f>IF(COUNTIFS(T_TTAFStock_Log[Part Name],$A34,T_TTAFStock_Log[WeekIndex],11)=0,"",SUMIFS(T_TTAFStock_Log[TTAF_Qty],T_TTAFStock_Log[Part Name],$A34,T_TTAFStock_Log[WeekIndex],11))</f>
        <v/>
      </c>
      <c r="M34" s="17">
        <f>IF(COUNTIFS(T_TTAFStock_Log[Part Name],$A34,T_TTAFStock_Log[WeekIndex],12)=0,"",SUMIFS(T_TTAFStock_Log[TTAF_Qty],T_TTAFStock_Log[Part Name],$A34,T_TTAFStock_Log[WeekIndex],12))</f>
        <v/>
      </c>
      <c r="N34" s="17">
        <f>IF(COUNTIFS(T_TTAFStock_Log[Part Name],$A34,T_TTAFStock_Log[WeekIndex],13)=0,"",SUMIFS(T_TTAFStock_Log[TTAF_Qty],T_TTAFStock_Log[Part Name],$A34,T_TTAFStock_Log[WeekIndex],13))</f>
        <v/>
      </c>
      <c r="O34" s="17">
        <f>IF(COUNTIFS(T_TTAFStock_Log[Part Name],$A34,T_TTAFStock_Log[WeekIndex],14)=0,"",SUMIFS(T_TTAFStock_Log[TTAF_Qty],T_TTAFStock_Log[Part Name],$A34,T_TTAFStock_Log[WeekIndex],14))</f>
        <v/>
      </c>
      <c r="P34" s="17">
        <f>IF(COUNTIFS(T_TTAFStock_Log[Part Name],$A34,T_TTAFStock_Log[WeekIndex],15)=0,"",SUMIFS(T_TTAFStock_Log[TTAF_Qty],T_TTAFStock_Log[Part Name],$A34,T_TTAFStock_Log[WeekIndex],15))</f>
        <v/>
      </c>
      <c r="Q34" s="17">
        <f>IF(COUNTIFS(T_TTAFStock_Log[Part Name],$A34,T_TTAFStock_Log[WeekIndex],16)=0,"",SUMIFS(T_TTAFStock_Log[TTAF_Qty],T_TTAFStock_Log[Part Name],$A34,T_TTAFStock_Log[WeekIndex],16))</f>
        <v/>
      </c>
      <c r="R34" s="17">
        <f>IF(COUNTIFS(T_TTAFStock_Log[Part Name],$A34,T_TTAFStock_Log[WeekIndex],17)=0,"",SUMIFS(T_TTAFStock_Log[TTAF_Qty],T_TTAFStock_Log[Part Name],$A34,T_TTAFStock_Log[WeekIndex],17))</f>
        <v/>
      </c>
      <c r="S34" s="17">
        <f>IF(COUNTIFS(T_TTAFStock_Log[Part Name],$A34,T_TTAFStock_Log[WeekIndex],18)=0,"",SUMIFS(T_TTAFStock_Log[TTAF_Qty],T_TTAFStock_Log[Part Name],$A34,T_TTAFStock_Log[WeekIndex],18))</f>
        <v/>
      </c>
      <c r="T34" s="17">
        <f>IF(COUNTIFS(T_TTAFStock_Log[Part Name],$A34,T_TTAFStock_Log[WeekIndex],19)=0,"",SUMIFS(T_TTAFStock_Log[TTAF_Qty],T_TTAFStock_Log[Part Name],$A34,T_TTAFStock_Log[WeekIndex],19))</f>
        <v/>
      </c>
      <c r="U34" s="17">
        <f>IF(COUNTIFS(T_TTAFStock_Log[Part Name],$A34,T_TTAFStock_Log[WeekIndex],20)=0,"",SUMIFS(T_TTAFStock_Log[TTAF_Qty],T_TTAFStock_Log[Part Name],$A34,T_TTAFStock_Log[WeekIndex],20))</f>
        <v/>
      </c>
      <c r="V34" s="17">
        <f>IF(COUNTIFS(T_TTAFStock_Log[Part Name],$A34,T_TTAFStock_Log[WeekIndex],21)=0,"",SUMIFS(T_TTAFStock_Log[TTAF_Qty],T_TTAFStock_Log[Part Name],$A34,T_TTAFStock_Log[WeekIndex],21))</f>
        <v/>
      </c>
      <c r="W34" s="17">
        <f>IF(COUNTIFS(T_TTAFStock_Log[Part Name],$A34,T_TTAFStock_Log[WeekIndex],22)=0,"",SUMIFS(T_TTAFStock_Log[TTAF_Qty],T_TTAFStock_Log[Part Name],$A34,T_TTAFStock_Log[WeekIndex],22))</f>
        <v/>
      </c>
      <c r="X34" s="17">
        <f>IF(COUNTIFS(T_TTAFStock_Log[Part Name],$A34,T_TTAFStock_Log[WeekIndex],23)=0,"",SUMIFS(T_TTAFStock_Log[TTAF_Qty],T_TTAFStock_Log[Part Name],$A34,T_TTAFStock_Log[WeekIndex],23))</f>
        <v/>
      </c>
      <c r="Y34" s="17">
        <f>IF(COUNTIFS(T_TTAFStock_Log[Part Name],$A34,T_TTAFStock_Log[WeekIndex],24)=0,"",SUMIFS(T_TTAFStock_Log[TTAF_Qty],T_TTAFStock_Log[Part Name],$A34,T_TTAFStock_Log[WeekIndex],24))</f>
        <v/>
      </c>
      <c r="Z34" s="17">
        <f>IF(COUNTIFS(T_TTAFStock_Log[Part Name],$A34,T_TTAFStock_Log[WeekIndex],25)=0,"",SUMIFS(T_TTAFStock_Log[TTAF_Qty],T_TTAFStock_Log[Part Name],$A34,T_TTAFStock_Log[WeekIndex],25))</f>
        <v/>
      </c>
      <c r="AA34" s="17">
        <f>IF(COUNTIFS(T_TTAFStock_Log[Part Name],$A34,T_TTAFStock_Log[WeekIndex],26)=0,"",SUMIFS(T_TTAFStock_Log[TTAF_Qty],T_TTAFStock_Log[Part Name],$A34,T_TTAFStock_Log[WeekIndex],26))</f>
        <v/>
      </c>
      <c r="AB34" s="17">
        <f>IF(COUNTIFS(T_TTAFStock_Log[Part Name],$A34,T_TTAFStock_Log[WeekIndex],27)=0,"",SUMIFS(T_TTAFStock_Log[TTAF_Qty],T_TTAFStock_Log[Part Name],$A34,T_TTAFStock_Log[WeekIndex],27))</f>
        <v/>
      </c>
      <c r="AC34" s="17">
        <f>IF(COUNTIFS(T_TTAFStock_Log[Part Name],$A34,T_TTAFStock_Log[WeekIndex],28)=0,"",SUMIFS(T_TTAFStock_Log[TTAF_Qty],T_TTAFStock_Log[Part Name],$A34,T_TTAFStock_Log[WeekIndex],28))</f>
        <v/>
      </c>
      <c r="AD34" s="17">
        <f>IF(COUNTIFS(T_TTAFStock_Log[Part Name],$A34,T_TTAFStock_Log[WeekIndex],29)=0,"",SUMIFS(T_TTAFStock_Log[TTAF_Qty],T_TTAFStock_Log[Part Name],$A34,T_TTAFStock_Log[WeekIndex],29))</f>
        <v/>
      </c>
      <c r="AE34" s="17">
        <f>IF(COUNTIFS(T_TTAFStock_Log[Part Name],$A34,T_TTAFStock_Log[WeekIndex],30)=0,"",SUMIFS(T_TTAFStock_Log[TTAF_Qty],T_TTAFStock_Log[Part Name],$A34,T_TTAFStock_Log[WeekIndex],30))</f>
        <v/>
      </c>
      <c r="AF34" s="17">
        <f>IF(COUNTIFS(T_TTAFStock_Log[Part Name],$A34,T_TTAFStock_Log[WeekIndex],31)=0,"",SUMIFS(T_TTAFStock_Log[TTAF_Qty],T_TTAFStock_Log[Part Name],$A34,T_TTAFStock_Log[WeekIndex],31))</f>
        <v/>
      </c>
      <c r="AG34" s="17">
        <f>IF(COUNTIFS(T_TTAFStock_Log[Part Name],$A34,T_TTAFStock_Log[WeekIndex],32)=0,"",SUMIFS(T_TTAFStock_Log[TTAF_Qty],T_TTAFStock_Log[Part Name],$A34,T_TTAFStock_Log[WeekIndex],32))</f>
        <v/>
      </c>
      <c r="AH34" s="17">
        <f>IF(COUNTIFS(T_TTAFStock_Log[Part Name],$A34,T_TTAFStock_Log[WeekIndex],33)=0,"",SUMIFS(T_TTAFStock_Log[TTAF_Qty],T_TTAFStock_Log[Part Name],$A34,T_TTAFStock_Log[WeekIndex],33))</f>
        <v/>
      </c>
      <c r="AI34" s="17">
        <f>IF(COUNTIFS(T_TTAFStock_Log[Part Name],$A34,T_TTAFStock_Log[WeekIndex],34)=0,"",SUMIFS(T_TTAFStock_Log[TTAF_Qty],T_TTAFStock_Log[Part Name],$A34,T_TTAFStock_Log[WeekIndex],34))</f>
        <v/>
      </c>
      <c r="AJ34" s="17">
        <f>IF(COUNTIFS(T_TTAFStock_Log[Part Name],$A34,T_TTAFStock_Log[WeekIndex],35)=0,"",SUMIFS(T_TTAFStock_Log[TTAF_Qty],T_TTAFStock_Log[Part Name],$A34,T_TTAFStock_Log[WeekIndex],35))</f>
        <v/>
      </c>
      <c r="AK34" s="17">
        <f>IF(COUNTIFS(T_TTAFStock_Log[Part Name],$A34,T_TTAFStock_Log[WeekIndex],36)=0,"",SUMIFS(T_TTAFStock_Log[TTAF_Qty],T_TTAFStock_Log[Part Name],$A34,T_TTAFStock_Log[WeekIndex],36))</f>
        <v/>
      </c>
      <c r="AL34" s="17">
        <f>IF(COUNTIFS(T_TTAFStock_Log[Part Name],$A34,T_TTAFStock_Log[WeekIndex],37)=0,"",SUMIFS(T_TTAFStock_Log[TTAF_Qty],T_TTAFStock_Log[Part Name],$A34,T_TTAFStock_Log[WeekIndex],37))</f>
        <v/>
      </c>
      <c r="AM34" s="17">
        <f>IF(COUNTIFS(T_TTAFStock_Log[Part Name],$A34,T_TTAFStock_Log[WeekIndex],38)=0,"",SUMIFS(T_TTAFStock_Log[TTAF_Qty],T_TTAFStock_Log[Part Name],$A34,T_TTAFStock_Log[WeekIndex],38))</f>
        <v/>
      </c>
      <c r="AN34" s="17">
        <f>IF(COUNTIFS(T_TTAFStock_Log[Part Name],$A34,T_TTAFStock_Log[WeekIndex],39)=0,"",SUMIFS(T_TTAFStock_Log[TTAF_Qty],T_TTAFStock_Log[Part Name],$A34,T_TTAFStock_Log[WeekIndex],39))</f>
        <v/>
      </c>
      <c r="AO34" s="17">
        <f>IF(COUNTIFS(T_TTAFStock_Log[Part Name],$A34,T_TTAFStock_Log[WeekIndex],40)=0,"",SUMIFS(T_TTAFStock_Log[TTAF_Qty],T_TTAFStock_Log[Part Name],$A34,T_TTAFStock_Log[WeekIndex],40))</f>
        <v/>
      </c>
      <c r="AP34" s="17">
        <f>IF(COUNTIFS(T_TTAFStock_Log[Part Name],$A34,T_TTAFStock_Log[WeekIndex],41)=0,"",SUMIFS(T_TTAFStock_Log[TTAF_Qty],T_TTAFStock_Log[Part Name],$A34,T_TTAFStock_Log[WeekIndex],41))</f>
        <v/>
      </c>
      <c r="AQ34" s="17">
        <f>IF(COUNTIFS(T_TTAFStock_Log[Part Name],$A34,T_TTAFStock_Log[WeekIndex],42)=0,"",SUMIFS(T_TTAFStock_Log[TTAF_Qty],T_TTAFStock_Log[Part Name],$A34,T_TTAFStock_Log[WeekIndex],42))</f>
        <v/>
      </c>
      <c r="AR34" s="17">
        <f>IF(COUNTIFS(T_TTAFStock_Log[Part Name],$A34,T_TTAFStock_Log[WeekIndex],43)=0,"",SUMIFS(T_TTAFStock_Log[TTAF_Qty],T_TTAFStock_Log[Part Name],$A34,T_TTAFStock_Log[WeekIndex],43))</f>
        <v/>
      </c>
      <c r="AS34" s="17">
        <f>IF(COUNTIFS(T_TTAFStock_Log[Part Name],$A34,T_TTAFStock_Log[WeekIndex],44)=0,"",SUMIFS(T_TTAFStock_Log[TTAF_Qty],T_TTAFStock_Log[Part Name],$A34,T_TTAFStock_Log[WeekIndex],44))</f>
        <v/>
      </c>
      <c r="AT34" s="17">
        <f>IF(COUNTIFS(T_TTAFStock_Log[Part Name],$A34,T_TTAFStock_Log[WeekIndex],45)=0,"",SUMIFS(T_TTAFStock_Log[TTAF_Qty],T_TTAFStock_Log[Part Name],$A34,T_TTAFStock_Log[WeekIndex],45))</f>
        <v/>
      </c>
      <c r="AU34" s="17">
        <f>IF(COUNTIFS(T_TTAFStock_Log[Part Name],$A34,T_TTAFStock_Log[WeekIndex],46)=0,"",SUMIFS(T_TTAFStock_Log[TTAF_Qty],T_TTAFStock_Log[Part Name],$A34,T_TTAFStock_Log[WeekIndex],46))</f>
        <v/>
      </c>
      <c r="AV34" s="17">
        <f>IF(COUNTIFS(T_TTAFStock_Log[Part Name],$A34,T_TTAFStock_Log[WeekIndex],47)=0,"",SUMIFS(T_TTAFStock_Log[TTAF_Qty],T_TTAFStock_Log[Part Name],$A34,T_TTAFStock_Log[WeekIndex],47))</f>
        <v/>
      </c>
      <c r="AW34" s="17">
        <f>IF(COUNTIFS(T_TTAFStock_Log[Part Name],$A34,T_TTAFStock_Log[WeekIndex],48)=0,"",SUMIFS(T_TTAFStock_Log[TTAF_Qty],T_TTAFStock_Log[Part Name],$A34,T_TTAFStock_Log[WeekIndex],48))</f>
        <v/>
      </c>
      <c r="AX34" s="17">
        <f>IF(COUNTIFS(T_TTAFStock_Log[Part Name],$A34,T_TTAFStock_Log[WeekIndex],49)=0,"",SUMIFS(T_TTAFStock_Log[TTAF_Qty],T_TTAFStock_Log[Part Name],$A34,T_TTAFStock_Log[WeekIndex],49))</f>
        <v/>
      </c>
      <c r="AY34" s="17">
        <f>IF(COUNTIFS(T_TTAFStock_Log[Part Name],$A34,T_TTAFStock_Log[WeekIndex],50)=0,"",SUMIFS(T_TTAFStock_Log[TTAF_Qty],T_TTAFStock_Log[Part Name],$A34,T_TTAFStock_Log[WeekIndex],50))</f>
        <v/>
      </c>
      <c r="AZ34" s="17">
        <f>IF(COUNTIFS(T_TTAFStock_Log[Part Name],$A34,T_TTAFStock_Log[WeekIndex],51)=0,"",SUMIFS(T_TTAFStock_Log[TTAF_Qty],T_TTAFStock_Log[Part Name],$A34,T_TTAFStock_Log[WeekIndex],51))</f>
        <v/>
      </c>
      <c r="BA34" s="17">
        <f>IF(COUNTIFS(T_TTAFStock_Log[Part Name],$A34,T_TTAFStock_Log[WeekIndex],52)=0,"",SUMIFS(T_TTAFStock_Log[TTAF_Qty],T_TTAFStock_Log[Part Name],$A34,T_TTAFStock_Log[WeekIndex],52))</f>
        <v/>
      </c>
      <c r="BB34" s="17">
        <f>IF(COUNTIFS(T_TTAFStock_Log[Part Name],$A34,T_TTAFStock_Log[WeekIndex],53)=0,"",SUMIFS(T_TTAFStock_Log[TTAF_Qty],T_TTAFStock_Log[Part Name],$A34,T_TTAFStock_Log[WeekIndex],53))</f>
        <v/>
      </c>
      <c r="BC34" s="17">
        <f>IF(COUNTIFS(T_TTAFStock_Log[Part Name],$A34,T_TTAFStock_Log[WeekIndex],54)=0,"",SUMIFS(T_TTAFStock_Log[TTAF_Qty],T_TTAFStock_Log[Part Name],$A34,T_TTAFStock_Log[WeekIndex],54))</f>
        <v/>
      </c>
      <c r="BD34" s="17">
        <f>IF(COUNTIFS(T_TTAFStock_Log[Part Name],$A34,T_TTAFStock_Log[WeekIndex],55)=0,"",SUMIFS(T_TTAFStock_Log[TTAF_Qty],T_TTAFStock_Log[Part Name],$A34,T_TTAFStock_Log[WeekIndex],55))</f>
        <v/>
      </c>
      <c r="BE34" s="17">
        <f>IF(COUNTIFS(T_TTAFStock_Log[Part Name],$A34,T_TTAFStock_Log[WeekIndex],56)=0,"",SUMIFS(T_TTAFStock_Log[TTAF_Qty],T_TTAFStock_Log[Part Name],$A34,T_TTAFStock_Log[WeekIndex],56))</f>
        <v/>
      </c>
      <c r="BF34" s="17">
        <f>IF(COUNTIFS(T_TTAFStock_Log[Part Name],$A34,T_TTAFStock_Log[WeekIndex],57)=0,"",SUMIFS(T_TTAFStock_Log[TTAF_Qty],T_TTAFStock_Log[Part Name],$A34,T_TTAFStock_Log[WeekIndex],57))</f>
        <v/>
      </c>
      <c r="BG34" s="17">
        <f>IF(COUNTIFS(T_TTAFStock_Log[Part Name],$A34,T_TTAFStock_Log[WeekIndex],58)=0,"",SUMIFS(T_TTAFStock_Log[TTAF_Qty],T_TTAFStock_Log[Part Name],$A34,T_TTAFStock_Log[WeekIndex],58))</f>
        <v/>
      </c>
      <c r="BH34" s="17">
        <f>IF(COUNTIFS(T_TTAFStock_Log[Part Name],$A34,T_TTAFStock_Log[WeekIndex],59)=0,"",SUMIFS(T_TTAFStock_Log[TTAF_Qty],T_TTAFStock_Log[Part Name],$A34,T_TTAFStock_Log[WeekIndex],59))</f>
        <v/>
      </c>
      <c r="BI34" s="17">
        <f>IF(COUNTIFS(T_TTAFStock_Log[Part Name],$A34,T_TTAFStock_Log[WeekIndex],60)=0,"",SUMIFS(T_TTAFStock_Log[TTAF_Qty],T_TTAFStock_Log[Part Name],$A34,T_TTAFStock_Log[WeekIndex],60))</f>
        <v/>
      </c>
      <c r="BJ34" s="17">
        <f>IF(COUNTIFS(T_TTAFStock_Log[Part Name],$A34,T_TTAFStock_Log[WeekIndex],61)=0,"",SUMIFS(T_TTAFStock_Log[TTAF_Qty],T_TTAFStock_Log[Part Name],$A34,T_TTAFStock_Log[WeekIndex],61))</f>
        <v/>
      </c>
      <c r="BK34" s="17">
        <f>IF(COUNTIFS(T_TTAFStock_Log[Part Name],$A34,T_TTAFStock_Log[WeekIndex],62)=0,"",SUMIFS(T_TTAFStock_Log[TTAF_Qty],T_TTAFStock_Log[Part Name],$A34,T_TTAFStock_Log[WeekIndex],62))</f>
        <v/>
      </c>
      <c r="BL34" s="17">
        <f>IF(COUNTIFS(T_TTAFStock_Log[Part Name],$A34,T_TTAFStock_Log[WeekIndex],63)=0,"",SUMIFS(T_TTAFStock_Log[TTAF_Qty],T_TTAFStock_Log[Part Name],$A34,T_TTAFStock_Log[WeekIndex],63))</f>
        <v/>
      </c>
      <c r="BM34" s="17">
        <f>IF(COUNTIFS(T_TTAFStock_Log[Part Name],$A34,T_TTAFStock_Log[WeekIndex],64)=0,"",SUMIFS(T_TTAFStock_Log[TTAF_Qty],T_TTAFStock_Log[Part Name],$A34,T_TTAFStock_Log[WeekIndex],64))</f>
        <v/>
      </c>
      <c r="BN34" s="17">
        <f>IF(COUNTIFS(T_TTAFStock_Log[Part Name],$A34,T_TTAFStock_Log[WeekIndex],65)=0,"",SUMIFS(T_TTAFStock_Log[TTAF_Qty],T_TTAFStock_Log[Part Name],$A34,T_TTAFStock_Log[WeekIndex],65))</f>
        <v/>
      </c>
      <c r="BO34" s="17">
        <f>IF(COUNTIFS(T_TTAFStock_Log[Part Name],$A34,T_TTAFStock_Log[WeekIndex],66)=0,"",SUMIFS(T_TTAFStock_Log[TTAF_Qty],T_TTAFStock_Log[Part Name],$A34,T_TTAFStock_Log[WeekIndex],66))</f>
        <v/>
      </c>
      <c r="BP34" s="17">
        <f>IF(COUNTIFS(T_TTAFStock_Log[Part Name],$A34,T_TTAFStock_Log[WeekIndex],67)=0,"",SUMIFS(T_TTAFStock_Log[TTAF_Qty],T_TTAFStock_Log[Part Name],$A34,T_TTAFStock_Log[WeekIndex],67))</f>
        <v/>
      </c>
      <c r="BQ34" s="17">
        <f>IF(COUNTIFS(T_TTAFStock_Log[Part Name],$A34,T_TTAFStock_Log[WeekIndex],68)=0,"",SUMIFS(T_TTAFStock_Log[TTAF_Qty],T_TTAFStock_Log[Part Name],$A34,T_TTAFStock_Log[WeekIndex],68))</f>
        <v/>
      </c>
      <c r="BR34" s="17">
        <f>IF(COUNTIFS(T_TTAFStock_Log[Part Name],$A34,T_TTAFStock_Log[WeekIndex],69)=0,"",SUMIFS(T_TTAFStock_Log[TTAF_Qty],T_TTAFStock_Log[Part Name],$A34,T_TTAFStock_Log[WeekIndex],69))</f>
        <v/>
      </c>
      <c r="BS34" s="17">
        <f>IF(COUNTIFS(T_TTAFStock_Log[Part Name],$A34,T_TTAFStock_Log[WeekIndex],70)=0,"",SUMIFS(T_TTAFStock_Log[TTAF_Qty],T_TTAFStock_Log[Part Name],$A34,T_TTAFStock_Log[WeekIndex],70))</f>
        <v/>
      </c>
      <c r="BT34" s="17">
        <f>IF(COUNTIFS(T_TTAFStock_Log[Part Name],$A34,T_TTAFStock_Log[WeekIndex],71)=0,"",SUMIFS(T_TTAFStock_Log[TTAF_Qty],T_TTAFStock_Log[Part Name],$A34,T_TTAFStock_Log[WeekIndex],71))</f>
        <v/>
      </c>
      <c r="BU34" s="17">
        <f>IF(COUNTIFS(T_TTAFStock_Log[Part Name],$A34,T_TTAFStock_Log[WeekIndex],72)=0,"",SUMIFS(T_TTAFStock_Log[TTAF_Qty],T_TTAFStock_Log[Part Name],$A34,T_TTAFStock_Log[WeekIndex],72))</f>
        <v/>
      </c>
      <c r="BV34" s="17">
        <f>IF(COUNTIFS(T_TTAFStock_Log[Part Name],$A34,T_TTAFStock_Log[WeekIndex],73)=0,"",SUMIFS(T_TTAFStock_Log[TTAF_Qty],T_TTAFStock_Log[Part Name],$A34,T_TTAFStock_Log[WeekIndex],73))</f>
        <v/>
      </c>
      <c r="BW34" s="17">
        <f>IF(COUNTIFS(T_TTAFStock_Log[Part Name],$A34,T_TTAFStock_Log[WeekIndex],74)=0,"",SUMIFS(T_TTAFStock_Log[TTAF_Qty],T_TTAFStock_Log[Part Name],$A34,T_TTAFStock_Log[WeekIndex],74))</f>
        <v/>
      </c>
      <c r="BX34" s="17">
        <f>IF(COUNTIFS(T_TTAFStock_Log[Part Name],$A34,T_TTAFStock_Log[WeekIndex],75)=0,"",SUMIFS(T_TTAFStock_Log[TTAF_Qty],T_TTAFStock_Log[Part Name],$A34,T_TTAFStock_Log[WeekIndex],75))</f>
        <v/>
      </c>
      <c r="BY34" s="17">
        <f>IF(COUNTIFS(T_TTAFStock_Log[Part Name],$A34,T_TTAFStock_Log[WeekIndex],76)=0,"",SUMIFS(T_TTAFStock_Log[TTAF_Qty],T_TTAFStock_Log[Part Name],$A34,T_TTAFStock_Log[WeekIndex],76))</f>
        <v/>
      </c>
      <c r="BZ34" s="17">
        <f>IF(COUNTIFS(T_TTAFStock_Log[Part Name],$A34,T_TTAFStock_Log[WeekIndex],77)=0,"",SUMIFS(T_TTAFStock_Log[TTAF_Qty],T_TTAFStock_Log[Part Name],$A34,T_TTAFStock_Log[WeekIndex],77))</f>
        <v/>
      </c>
      <c r="CA34" s="17">
        <f>IF(COUNTIFS(T_TTAFStock_Log[Part Name],$A34,T_TTAFStock_Log[WeekIndex],78)=0,"",SUMIFS(T_TTAFStock_Log[TTAF_Qty],T_TTAFStock_Log[Part Name],$A34,T_TTAFStock_Log[WeekIndex],78))</f>
        <v/>
      </c>
      <c r="CB34" s="17">
        <f>IF(COUNTIFS(T_TTAFStock_Log[Part Name],$A34,T_TTAFStock_Log[WeekIndex],79)=0,"",SUMIFS(T_TTAFStock_Log[TTAF_Qty],T_TTAFStock_Log[Part Name],$A34,T_TTAFStock_Log[WeekIndex],79))</f>
        <v/>
      </c>
      <c r="CC34" s="17">
        <f>IF(COUNTIFS(T_TTAFStock_Log[Part Name],$A34,T_TTAFStock_Log[WeekIndex],80)=0,"",SUMIFS(T_TTAFStock_Log[TTAF_Qty],T_TTAFStock_Log[Part Name],$A34,T_TTAFStock_Log[WeekIndex],80))</f>
        <v/>
      </c>
      <c r="CD34" s="17">
        <f>IF(COUNTIFS(T_TTAFStock_Log[Part Name],$A34,T_TTAFStock_Log[WeekIndex],81)=0,"",SUMIFS(T_TTAFStock_Log[TTAF_Qty],T_TTAFStock_Log[Part Name],$A34,T_TTAFStock_Log[WeekIndex],81))</f>
        <v/>
      </c>
      <c r="CE34" s="17">
        <f>IF(COUNTIFS(T_TTAFStock_Log[Part Name],$A34,T_TTAFStock_Log[WeekIndex],82)=0,"",SUMIFS(T_TTAFStock_Log[TTAF_Qty],T_TTAFStock_Log[Part Name],$A34,T_TTAFStock_Log[WeekIndex],82))</f>
        <v/>
      </c>
      <c r="CF34" s="17">
        <f>IF(COUNTIFS(T_TTAFStock_Log[Part Name],$A34,T_TTAFStock_Log[WeekIndex],83)=0,"",SUMIFS(T_TTAFStock_Log[TTAF_Qty],T_TTAFStock_Log[Part Name],$A34,T_TTAFStock_Log[WeekIndex],83))</f>
        <v/>
      </c>
      <c r="CG34" s="17">
        <f>IF(COUNTIFS(T_TTAFStock_Log[Part Name],$A34,T_TTAFStock_Log[WeekIndex],84)=0,"",SUMIFS(T_TTAFStock_Log[TTAF_Qty],T_TTAFStock_Log[Part Name],$A34,T_TTAFStock_Log[WeekIndex],84))</f>
        <v/>
      </c>
      <c r="CH34" s="17">
        <f>IF(COUNTIFS(T_TTAFStock_Log[Part Name],$A34,T_TTAFStock_Log[WeekIndex],85)=0,"",SUMIFS(T_TTAFStock_Log[TTAF_Qty],T_TTAFStock_Log[Part Name],$A34,T_TTAFStock_Log[WeekIndex],85))</f>
        <v/>
      </c>
      <c r="CI34" s="17">
        <f>IF(COUNTIFS(T_TTAFStock_Log[Part Name],$A34,T_TTAFStock_Log[WeekIndex],86)=0,"",SUMIFS(T_TTAFStock_Log[TTAF_Qty],T_TTAFStock_Log[Part Name],$A34,T_TTAFStock_Log[WeekIndex],86))</f>
        <v/>
      </c>
      <c r="CJ34" s="17">
        <f>IF(COUNTIFS(T_TTAFStock_Log[Part Name],$A34,T_TTAFStock_Log[WeekIndex],87)=0,"",SUMIFS(T_TTAFStock_Log[TTAF_Qty],T_TTAFStock_Log[Part Name],$A34,T_TTAFStock_Log[WeekIndex],87))</f>
        <v/>
      </c>
      <c r="CK34" s="17">
        <f>IF(COUNTIFS(T_TTAFStock_Log[Part Name],$A34,T_TTAFStock_Log[WeekIndex],88)=0,"",SUMIFS(T_TTAFStock_Log[TTAF_Qty],T_TTAFStock_Log[Part Name],$A34,T_TTAFStock_Log[WeekIndex],88))</f>
        <v/>
      </c>
      <c r="CL34" s="17">
        <f>IF(COUNTIFS(T_TTAFStock_Log[Part Name],$A34,T_TTAFStock_Log[WeekIndex],89)=0,"",SUMIFS(T_TTAFStock_Log[TTAF_Qty],T_TTAFStock_Log[Part Name],$A34,T_TTAFStock_Log[WeekIndex],89))</f>
        <v/>
      </c>
      <c r="CM34" s="17">
        <f>IF(COUNTIFS(T_TTAFStock_Log[Part Name],$A34,T_TTAFStock_Log[WeekIndex],90)=0,"",SUMIFS(T_TTAFStock_Log[TTAF_Qty],T_TTAFStock_Log[Part Name],$A34,T_TTAFStock_Log[WeekIndex],90))</f>
        <v/>
      </c>
      <c r="CN34" s="17">
        <f>IF(COUNTIFS(T_TTAFStock_Log[Part Name],$A34,T_TTAFStock_Log[WeekIndex],91)=0,"",SUMIFS(T_TTAFStock_Log[TTAF_Qty],T_TTAFStock_Log[Part Name],$A34,T_TTAFStock_Log[WeekIndex],91))</f>
        <v/>
      </c>
      <c r="CO34" s="17">
        <f>IF(COUNTIFS(T_TTAFStock_Log[Part Name],$A34,T_TTAFStock_Log[WeekIndex],92)=0,"",SUMIFS(T_TTAFStock_Log[TTAF_Qty],T_TTAFStock_Log[Part Name],$A34,T_TTAFStock_Log[WeekIndex],92))</f>
        <v/>
      </c>
      <c r="CP34" s="17">
        <f>IF(COUNTIFS(T_TTAFStock_Log[Part Name],$A34,T_TTAFStock_Log[WeekIndex],93)=0,"",SUMIFS(T_TTAFStock_Log[TTAF_Qty],T_TTAFStock_Log[Part Name],$A34,T_TTAFStock_Log[WeekIndex],93))</f>
        <v/>
      </c>
      <c r="CQ34" s="17">
        <f>IF(COUNTIFS(T_TTAFStock_Log[Part Name],$A34,T_TTAFStock_Log[WeekIndex],94)=0,"",SUMIFS(T_TTAFStock_Log[TTAF_Qty],T_TTAFStock_Log[Part Name],$A34,T_TTAFStock_Log[WeekIndex],94))</f>
        <v/>
      </c>
      <c r="CR34" s="17">
        <f>IF(COUNTIFS(T_TTAFStock_Log[Part Name],$A34,T_TTAFStock_Log[WeekIndex],95)=0,"",SUMIFS(T_TTAFStock_Log[TTAF_Qty],T_TTAFStock_Log[Part Name],$A34,T_TTAFStock_Log[WeekIndex],95))</f>
        <v/>
      </c>
      <c r="CS34" s="17">
        <f>IF(COUNTIFS(T_TTAFStock_Log[Part Name],$A34,T_TTAFStock_Log[WeekIndex],96)=0,"",SUMIFS(T_TTAFStock_Log[TTAF_Qty],T_TTAFStock_Log[Part Name],$A34,T_TTAFStock_Log[WeekIndex],96))</f>
        <v/>
      </c>
      <c r="CT34" s="17">
        <f>IF(COUNTIFS(T_TTAFStock_Log[Part Name],$A34,T_TTAFStock_Log[WeekIndex],97)=0,"",SUMIFS(T_TTAFStock_Log[TTAF_Qty],T_TTAFStock_Log[Part Name],$A34,T_TTAFStock_Log[WeekIndex],97))</f>
        <v/>
      </c>
      <c r="CU34" s="17">
        <f>IF(COUNTIFS(T_TTAFStock_Log[Part Name],$A34,T_TTAFStock_Log[WeekIndex],98)=0,"",SUMIFS(T_TTAFStock_Log[TTAF_Qty],T_TTAFStock_Log[Part Name],$A34,T_TTAFStock_Log[WeekIndex],98))</f>
        <v/>
      </c>
      <c r="CV34" s="17">
        <f>IF(COUNTIFS(T_TTAFStock_Log[Part Name],$A34,T_TTAFStock_Log[WeekIndex],99)=0,"",SUMIFS(T_TTAFStock_Log[TTAF_Qty],T_TTAFStock_Log[Part Name],$A34,T_TTAFStock_Log[WeekIndex],99))</f>
        <v/>
      </c>
      <c r="CW34" s="17">
        <f>IF(COUNTIFS(T_TTAFStock_Log[Part Name],$A34,T_TTAFStock_Log[WeekIndex],100)=0,"",SUMIFS(T_TTAFStock_Log[TTAF_Qty],T_TTAFStock_Log[Part Name],$A34,T_TTAFStock_Log[WeekIndex],100))</f>
        <v/>
      </c>
      <c r="CX34" s="17">
        <f>IF(COUNTIFS(T_TTAFStock_Log[Part Name],$A34,T_TTAFStock_Log[WeekIndex],101)=0,"",SUMIFS(T_TTAFStock_Log[TTAF_Qty],T_TTAFStock_Log[Part Name],$A34,T_TTAFStock_Log[WeekIndex],101))</f>
        <v/>
      </c>
      <c r="CY34" s="17">
        <f>IF(COUNTIFS(T_TTAFStock_Log[Part Name],$A34,T_TTAFStock_Log[WeekIndex],102)=0,"",SUMIFS(T_TTAFStock_Log[TTAF_Qty],T_TTAFStock_Log[Part Name],$A34,T_TTAFStock_Log[WeekIndex],102))</f>
        <v/>
      </c>
      <c r="CZ34" s="17">
        <f>IF(COUNTIFS(T_TTAFStock_Log[Part Name],$A34,T_TTAFStock_Log[WeekIndex],103)=0,"",SUMIFS(T_TTAFStock_Log[TTAF_Qty],T_TTAFStock_Log[Part Name],$A34,T_TTAFStock_Log[WeekIndex],103))</f>
        <v/>
      </c>
      <c r="DA34" s="17">
        <f>IF(COUNTIFS(T_TTAFStock_Log[Part Name],$A34,T_TTAFStock_Log[WeekIndex],104)=0,"",SUMIFS(T_TTAFStock_Log[TTAF_Qty],T_TTAFStock_Log[Part Name],$A34,T_TTAFStock_Log[WeekIndex],104))</f>
        <v/>
      </c>
    </row>
    <row r="35">
      <c r="A35" s="19" t="inlineStr">
        <is>
          <t>CHEM-1440</t>
        </is>
      </c>
      <c r="B35" s="19">
        <f>IF(COUNTIFS(T_TTAFStock_Log[Part Name],$A35,T_TTAFStock_Log[WeekIndex],1)=0,"",SUMIFS(T_TTAFStock_Log[TTAF_Qty],T_TTAFStock_Log[Part Name],$A35,T_TTAFStock_Log[WeekIndex],1))</f>
        <v/>
      </c>
      <c r="C35" s="19">
        <f>IF(COUNTIFS(T_TTAFStock_Log[Part Name],$A35,T_TTAFStock_Log[WeekIndex],2)=0,"",SUMIFS(T_TTAFStock_Log[TTAF_Qty],T_TTAFStock_Log[Part Name],$A35,T_TTAFStock_Log[WeekIndex],2))</f>
        <v/>
      </c>
      <c r="D35" s="19">
        <f>IF(COUNTIFS(T_TTAFStock_Log[Part Name],$A35,T_TTAFStock_Log[WeekIndex],3)=0,"",SUMIFS(T_TTAFStock_Log[TTAF_Qty],T_TTAFStock_Log[Part Name],$A35,T_TTAFStock_Log[WeekIndex],3))</f>
        <v/>
      </c>
      <c r="E35" s="19">
        <f>IF(COUNTIFS(T_TTAFStock_Log[Part Name],$A35,T_TTAFStock_Log[WeekIndex],4)=0,"",SUMIFS(T_TTAFStock_Log[TTAF_Qty],T_TTAFStock_Log[Part Name],$A35,T_TTAFStock_Log[WeekIndex],4))</f>
        <v/>
      </c>
      <c r="F35" s="19">
        <f>IF(COUNTIFS(T_TTAFStock_Log[Part Name],$A35,T_TTAFStock_Log[WeekIndex],5)=0,"",SUMIFS(T_TTAFStock_Log[TTAF_Qty],T_TTAFStock_Log[Part Name],$A35,T_TTAFStock_Log[WeekIndex],5))</f>
        <v/>
      </c>
      <c r="G35" s="19">
        <f>IF(COUNTIFS(T_TTAFStock_Log[Part Name],$A35,T_TTAFStock_Log[WeekIndex],6)=0,"",SUMIFS(T_TTAFStock_Log[TTAF_Qty],T_TTAFStock_Log[Part Name],$A35,T_TTAFStock_Log[WeekIndex],6))</f>
        <v/>
      </c>
      <c r="H35" s="19">
        <f>IF(COUNTIFS(T_TTAFStock_Log[Part Name],$A35,T_TTAFStock_Log[WeekIndex],7)=0,"",SUMIFS(T_TTAFStock_Log[TTAF_Qty],T_TTAFStock_Log[Part Name],$A35,T_TTAFStock_Log[WeekIndex],7))</f>
        <v/>
      </c>
      <c r="I35" s="19">
        <f>IF(COUNTIFS(T_TTAFStock_Log[Part Name],$A35,T_TTAFStock_Log[WeekIndex],8)=0,"",SUMIFS(T_TTAFStock_Log[TTAF_Qty],T_TTAFStock_Log[Part Name],$A35,T_TTAFStock_Log[WeekIndex],8))</f>
        <v/>
      </c>
      <c r="J35" s="19">
        <f>IF(COUNTIFS(T_TTAFStock_Log[Part Name],$A35,T_TTAFStock_Log[WeekIndex],9)=0,"",SUMIFS(T_TTAFStock_Log[TTAF_Qty],T_TTAFStock_Log[Part Name],$A35,T_TTAFStock_Log[WeekIndex],9))</f>
        <v/>
      </c>
      <c r="K35" s="19">
        <f>IF(COUNTIFS(T_TTAFStock_Log[Part Name],$A35,T_TTAFStock_Log[WeekIndex],10)=0,"",SUMIFS(T_TTAFStock_Log[TTAF_Qty],T_TTAFStock_Log[Part Name],$A35,T_TTAFStock_Log[WeekIndex],10))</f>
        <v/>
      </c>
      <c r="L35" s="19">
        <f>IF(COUNTIFS(T_TTAFStock_Log[Part Name],$A35,T_TTAFStock_Log[WeekIndex],11)=0,"",SUMIFS(T_TTAFStock_Log[TTAF_Qty],T_TTAFStock_Log[Part Name],$A35,T_TTAFStock_Log[WeekIndex],11))</f>
        <v/>
      </c>
      <c r="M35" s="19">
        <f>IF(COUNTIFS(T_TTAFStock_Log[Part Name],$A35,T_TTAFStock_Log[WeekIndex],12)=0,"",SUMIFS(T_TTAFStock_Log[TTAF_Qty],T_TTAFStock_Log[Part Name],$A35,T_TTAFStock_Log[WeekIndex],12))</f>
        <v/>
      </c>
      <c r="N35" s="19">
        <f>IF(COUNTIFS(T_TTAFStock_Log[Part Name],$A35,T_TTAFStock_Log[WeekIndex],13)=0,"",SUMIFS(T_TTAFStock_Log[TTAF_Qty],T_TTAFStock_Log[Part Name],$A35,T_TTAFStock_Log[WeekIndex],13))</f>
        <v/>
      </c>
      <c r="O35" s="19">
        <f>IF(COUNTIFS(T_TTAFStock_Log[Part Name],$A35,T_TTAFStock_Log[WeekIndex],14)=0,"",SUMIFS(T_TTAFStock_Log[TTAF_Qty],T_TTAFStock_Log[Part Name],$A35,T_TTAFStock_Log[WeekIndex],14))</f>
        <v/>
      </c>
      <c r="P35" s="19">
        <f>IF(COUNTIFS(T_TTAFStock_Log[Part Name],$A35,T_TTAFStock_Log[WeekIndex],15)=0,"",SUMIFS(T_TTAFStock_Log[TTAF_Qty],T_TTAFStock_Log[Part Name],$A35,T_TTAFStock_Log[WeekIndex],15))</f>
        <v/>
      </c>
      <c r="Q35" s="19">
        <f>IF(COUNTIFS(T_TTAFStock_Log[Part Name],$A35,T_TTAFStock_Log[WeekIndex],16)=0,"",SUMIFS(T_TTAFStock_Log[TTAF_Qty],T_TTAFStock_Log[Part Name],$A35,T_TTAFStock_Log[WeekIndex],16))</f>
        <v/>
      </c>
      <c r="R35" s="19">
        <f>IF(COUNTIFS(T_TTAFStock_Log[Part Name],$A35,T_TTAFStock_Log[WeekIndex],17)=0,"",SUMIFS(T_TTAFStock_Log[TTAF_Qty],T_TTAFStock_Log[Part Name],$A35,T_TTAFStock_Log[WeekIndex],17))</f>
        <v/>
      </c>
      <c r="S35" s="19">
        <f>IF(COUNTIFS(T_TTAFStock_Log[Part Name],$A35,T_TTAFStock_Log[WeekIndex],18)=0,"",SUMIFS(T_TTAFStock_Log[TTAF_Qty],T_TTAFStock_Log[Part Name],$A35,T_TTAFStock_Log[WeekIndex],18))</f>
        <v/>
      </c>
      <c r="T35" s="19">
        <f>IF(COUNTIFS(T_TTAFStock_Log[Part Name],$A35,T_TTAFStock_Log[WeekIndex],19)=0,"",SUMIFS(T_TTAFStock_Log[TTAF_Qty],T_TTAFStock_Log[Part Name],$A35,T_TTAFStock_Log[WeekIndex],19))</f>
        <v/>
      </c>
      <c r="U35" s="19">
        <f>IF(COUNTIFS(T_TTAFStock_Log[Part Name],$A35,T_TTAFStock_Log[WeekIndex],20)=0,"",SUMIFS(T_TTAFStock_Log[TTAF_Qty],T_TTAFStock_Log[Part Name],$A35,T_TTAFStock_Log[WeekIndex],20))</f>
        <v/>
      </c>
      <c r="V35" s="19">
        <f>IF(COUNTIFS(T_TTAFStock_Log[Part Name],$A35,T_TTAFStock_Log[WeekIndex],21)=0,"",SUMIFS(T_TTAFStock_Log[TTAF_Qty],T_TTAFStock_Log[Part Name],$A35,T_TTAFStock_Log[WeekIndex],21))</f>
        <v/>
      </c>
      <c r="W35" s="19">
        <f>IF(COUNTIFS(T_TTAFStock_Log[Part Name],$A35,T_TTAFStock_Log[WeekIndex],22)=0,"",SUMIFS(T_TTAFStock_Log[TTAF_Qty],T_TTAFStock_Log[Part Name],$A35,T_TTAFStock_Log[WeekIndex],22))</f>
        <v/>
      </c>
      <c r="X35" s="19">
        <f>IF(COUNTIFS(T_TTAFStock_Log[Part Name],$A35,T_TTAFStock_Log[WeekIndex],23)=0,"",SUMIFS(T_TTAFStock_Log[TTAF_Qty],T_TTAFStock_Log[Part Name],$A35,T_TTAFStock_Log[WeekIndex],23))</f>
        <v/>
      </c>
      <c r="Y35" s="19">
        <f>IF(COUNTIFS(T_TTAFStock_Log[Part Name],$A35,T_TTAFStock_Log[WeekIndex],24)=0,"",SUMIFS(T_TTAFStock_Log[TTAF_Qty],T_TTAFStock_Log[Part Name],$A35,T_TTAFStock_Log[WeekIndex],24))</f>
        <v/>
      </c>
      <c r="Z35" s="19">
        <f>IF(COUNTIFS(T_TTAFStock_Log[Part Name],$A35,T_TTAFStock_Log[WeekIndex],25)=0,"",SUMIFS(T_TTAFStock_Log[TTAF_Qty],T_TTAFStock_Log[Part Name],$A35,T_TTAFStock_Log[WeekIndex],25))</f>
        <v/>
      </c>
      <c r="AA35" s="19">
        <f>IF(COUNTIFS(T_TTAFStock_Log[Part Name],$A35,T_TTAFStock_Log[WeekIndex],26)=0,"",SUMIFS(T_TTAFStock_Log[TTAF_Qty],T_TTAFStock_Log[Part Name],$A35,T_TTAFStock_Log[WeekIndex],26))</f>
        <v/>
      </c>
      <c r="AB35" s="19">
        <f>IF(COUNTIFS(T_TTAFStock_Log[Part Name],$A35,T_TTAFStock_Log[WeekIndex],27)=0,"",SUMIFS(T_TTAFStock_Log[TTAF_Qty],T_TTAFStock_Log[Part Name],$A35,T_TTAFStock_Log[WeekIndex],27))</f>
        <v/>
      </c>
      <c r="AC35" s="19">
        <f>IF(COUNTIFS(T_TTAFStock_Log[Part Name],$A35,T_TTAFStock_Log[WeekIndex],28)=0,"",SUMIFS(T_TTAFStock_Log[TTAF_Qty],T_TTAFStock_Log[Part Name],$A35,T_TTAFStock_Log[WeekIndex],28))</f>
        <v/>
      </c>
      <c r="AD35" s="19">
        <f>IF(COUNTIFS(T_TTAFStock_Log[Part Name],$A35,T_TTAFStock_Log[WeekIndex],29)=0,"",SUMIFS(T_TTAFStock_Log[TTAF_Qty],T_TTAFStock_Log[Part Name],$A35,T_TTAFStock_Log[WeekIndex],29))</f>
        <v/>
      </c>
      <c r="AE35" s="19">
        <f>IF(COUNTIFS(T_TTAFStock_Log[Part Name],$A35,T_TTAFStock_Log[WeekIndex],30)=0,"",SUMIFS(T_TTAFStock_Log[TTAF_Qty],T_TTAFStock_Log[Part Name],$A35,T_TTAFStock_Log[WeekIndex],30))</f>
        <v/>
      </c>
      <c r="AF35" s="19">
        <f>IF(COUNTIFS(T_TTAFStock_Log[Part Name],$A35,T_TTAFStock_Log[WeekIndex],31)=0,"",SUMIFS(T_TTAFStock_Log[TTAF_Qty],T_TTAFStock_Log[Part Name],$A35,T_TTAFStock_Log[WeekIndex],31))</f>
        <v/>
      </c>
      <c r="AG35" s="19">
        <f>IF(COUNTIFS(T_TTAFStock_Log[Part Name],$A35,T_TTAFStock_Log[WeekIndex],32)=0,"",SUMIFS(T_TTAFStock_Log[TTAF_Qty],T_TTAFStock_Log[Part Name],$A35,T_TTAFStock_Log[WeekIndex],32))</f>
        <v/>
      </c>
      <c r="AH35" s="19">
        <f>IF(COUNTIFS(T_TTAFStock_Log[Part Name],$A35,T_TTAFStock_Log[WeekIndex],33)=0,"",SUMIFS(T_TTAFStock_Log[TTAF_Qty],T_TTAFStock_Log[Part Name],$A35,T_TTAFStock_Log[WeekIndex],33))</f>
        <v/>
      </c>
      <c r="AI35" s="19">
        <f>IF(COUNTIFS(T_TTAFStock_Log[Part Name],$A35,T_TTAFStock_Log[WeekIndex],34)=0,"",SUMIFS(T_TTAFStock_Log[TTAF_Qty],T_TTAFStock_Log[Part Name],$A35,T_TTAFStock_Log[WeekIndex],34))</f>
        <v/>
      </c>
      <c r="AJ35" s="19">
        <f>IF(COUNTIFS(T_TTAFStock_Log[Part Name],$A35,T_TTAFStock_Log[WeekIndex],35)=0,"",SUMIFS(T_TTAFStock_Log[TTAF_Qty],T_TTAFStock_Log[Part Name],$A35,T_TTAFStock_Log[WeekIndex],35))</f>
        <v/>
      </c>
      <c r="AK35" s="19">
        <f>IF(COUNTIFS(T_TTAFStock_Log[Part Name],$A35,T_TTAFStock_Log[WeekIndex],36)=0,"",SUMIFS(T_TTAFStock_Log[TTAF_Qty],T_TTAFStock_Log[Part Name],$A35,T_TTAFStock_Log[WeekIndex],36))</f>
        <v/>
      </c>
      <c r="AL35" s="19">
        <f>IF(COUNTIFS(T_TTAFStock_Log[Part Name],$A35,T_TTAFStock_Log[WeekIndex],37)=0,"",SUMIFS(T_TTAFStock_Log[TTAF_Qty],T_TTAFStock_Log[Part Name],$A35,T_TTAFStock_Log[WeekIndex],37))</f>
        <v/>
      </c>
      <c r="AM35" s="19">
        <f>IF(COUNTIFS(T_TTAFStock_Log[Part Name],$A35,T_TTAFStock_Log[WeekIndex],38)=0,"",SUMIFS(T_TTAFStock_Log[TTAF_Qty],T_TTAFStock_Log[Part Name],$A35,T_TTAFStock_Log[WeekIndex],38))</f>
        <v/>
      </c>
      <c r="AN35" s="19">
        <f>IF(COUNTIFS(T_TTAFStock_Log[Part Name],$A35,T_TTAFStock_Log[WeekIndex],39)=0,"",SUMIFS(T_TTAFStock_Log[TTAF_Qty],T_TTAFStock_Log[Part Name],$A35,T_TTAFStock_Log[WeekIndex],39))</f>
        <v/>
      </c>
      <c r="AO35" s="19">
        <f>IF(COUNTIFS(T_TTAFStock_Log[Part Name],$A35,T_TTAFStock_Log[WeekIndex],40)=0,"",SUMIFS(T_TTAFStock_Log[TTAF_Qty],T_TTAFStock_Log[Part Name],$A35,T_TTAFStock_Log[WeekIndex],40))</f>
        <v/>
      </c>
      <c r="AP35" s="19">
        <f>IF(COUNTIFS(T_TTAFStock_Log[Part Name],$A35,T_TTAFStock_Log[WeekIndex],41)=0,"",SUMIFS(T_TTAFStock_Log[TTAF_Qty],T_TTAFStock_Log[Part Name],$A35,T_TTAFStock_Log[WeekIndex],41))</f>
        <v/>
      </c>
      <c r="AQ35" s="19">
        <f>IF(COUNTIFS(T_TTAFStock_Log[Part Name],$A35,T_TTAFStock_Log[WeekIndex],42)=0,"",SUMIFS(T_TTAFStock_Log[TTAF_Qty],T_TTAFStock_Log[Part Name],$A35,T_TTAFStock_Log[WeekIndex],42))</f>
        <v/>
      </c>
      <c r="AR35" s="19">
        <f>IF(COUNTIFS(T_TTAFStock_Log[Part Name],$A35,T_TTAFStock_Log[WeekIndex],43)=0,"",SUMIFS(T_TTAFStock_Log[TTAF_Qty],T_TTAFStock_Log[Part Name],$A35,T_TTAFStock_Log[WeekIndex],43))</f>
        <v/>
      </c>
      <c r="AS35" s="19">
        <f>IF(COUNTIFS(T_TTAFStock_Log[Part Name],$A35,T_TTAFStock_Log[WeekIndex],44)=0,"",SUMIFS(T_TTAFStock_Log[TTAF_Qty],T_TTAFStock_Log[Part Name],$A35,T_TTAFStock_Log[WeekIndex],44))</f>
        <v/>
      </c>
      <c r="AT35" s="19">
        <f>IF(COUNTIFS(T_TTAFStock_Log[Part Name],$A35,T_TTAFStock_Log[WeekIndex],45)=0,"",SUMIFS(T_TTAFStock_Log[TTAF_Qty],T_TTAFStock_Log[Part Name],$A35,T_TTAFStock_Log[WeekIndex],45))</f>
        <v/>
      </c>
      <c r="AU35" s="19">
        <f>IF(COUNTIFS(T_TTAFStock_Log[Part Name],$A35,T_TTAFStock_Log[WeekIndex],46)=0,"",SUMIFS(T_TTAFStock_Log[TTAF_Qty],T_TTAFStock_Log[Part Name],$A35,T_TTAFStock_Log[WeekIndex],46))</f>
        <v/>
      </c>
      <c r="AV35" s="19">
        <f>IF(COUNTIFS(T_TTAFStock_Log[Part Name],$A35,T_TTAFStock_Log[WeekIndex],47)=0,"",SUMIFS(T_TTAFStock_Log[TTAF_Qty],T_TTAFStock_Log[Part Name],$A35,T_TTAFStock_Log[WeekIndex],47))</f>
        <v/>
      </c>
      <c r="AW35" s="19">
        <f>IF(COUNTIFS(T_TTAFStock_Log[Part Name],$A35,T_TTAFStock_Log[WeekIndex],48)=0,"",SUMIFS(T_TTAFStock_Log[TTAF_Qty],T_TTAFStock_Log[Part Name],$A35,T_TTAFStock_Log[WeekIndex],48))</f>
        <v/>
      </c>
      <c r="AX35" s="19">
        <f>IF(COUNTIFS(T_TTAFStock_Log[Part Name],$A35,T_TTAFStock_Log[WeekIndex],49)=0,"",SUMIFS(T_TTAFStock_Log[TTAF_Qty],T_TTAFStock_Log[Part Name],$A35,T_TTAFStock_Log[WeekIndex],49))</f>
        <v/>
      </c>
      <c r="AY35" s="19">
        <f>IF(COUNTIFS(T_TTAFStock_Log[Part Name],$A35,T_TTAFStock_Log[WeekIndex],50)=0,"",SUMIFS(T_TTAFStock_Log[TTAF_Qty],T_TTAFStock_Log[Part Name],$A35,T_TTAFStock_Log[WeekIndex],50))</f>
        <v/>
      </c>
      <c r="AZ35" s="19">
        <f>IF(COUNTIFS(T_TTAFStock_Log[Part Name],$A35,T_TTAFStock_Log[WeekIndex],51)=0,"",SUMIFS(T_TTAFStock_Log[TTAF_Qty],T_TTAFStock_Log[Part Name],$A35,T_TTAFStock_Log[WeekIndex],51))</f>
        <v/>
      </c>
      <c r="BA35" s="19">
        <f>IF(COUNTIFS(T_TTAFStock_Log[Part Name],$A35,T_TTAFStock_Log[WeekIndex],52)=0,"",SUMIFS(T_TTAFStock_Log[TTAF_Qty],T_TTAFStock_Log[Part Name],$A35,T_TTAFStock_Log[WeekIndex],52))</f>
        <v/>
      </c>
      <c r="BB35" s="19">
        <f>IF(COUNTIFS(T_TTAFStock_Log[Part Name],$A35,T_TTAFStock_Log[WeekIndex],53)=0,"",SUMIFS(T_TTAFStock_Log[TTAF_Qty],T_TTAFStock_Log[Part Name],$A35,T_TTAFStock_Log[WeekIndex],53))</f>
        <v/>
      </c>
      <c r="BC35" s="19">
        <f>IF(COUNTIFS(T_TTAFStock_Log[Part Name],$A35,T_TTAFStock_Log[WeekIndex],54)=0,"",SUMIFS(T_TTAFStock_Log[TTAF_Qty],T_TTAFStock_Log[Part Name],$A35,T_TTAFStock_Log[WeekIndex],54))</f>
        <v/>
      </c>
      <c r="BD35" s="19">
        <f>IF(COUNTIFS(T_TTAFStock_Log[Part Name],$A35,T_TTAFStock_Log[WeekIndex],55)=0,"",SUMIFS(T_TTAFStock_Log[TTAF_Qty],T_TTAFStock_Log[Part Name],$A35,T_TTAFStock_Log[WeekIndex],55))</f>
        <v/>
      </c>
      <c r="BE35" s="19">
        <f>IF(COUNTIFS(T_TTAFStock_Log[Part Name],$A35,T_TTAFStock_Log[WeekIndex],56)=0,"",SUMIFS(T_TTAFStock_Log[TTAF_Qty],T_TTAFStock_Log[Part Name],$A35,T_TTAFStock_Log[WeekIndex],56))</f>
        <v/>
      </c>
      <c r="BF35" s="19">
        <f>IF(COUNTIFS(T_TTAFStock_Log[Part Name],$A35,T_TTAFStock_Log[WeekIndex],57)=0,"",SUMIFS(T_TTAFStock_Log[TTAF_Qty],T_TTAFStock_Log[Part Name],$A35,T_TTAFStock_Log[WeekIndex],57))</f>
        <v/>
      </c>
      <c r="BG35" s="19">
        <f>IF(COUNTIFS(T_TTAFStock_Log[Part Name],$A35,T_TTAFStock_Log[WeekIndex],58)=0,"",SUMIFS(T_TTAFStock_Log[TTAF_Qty],T_TTAFStock_Log[Part Name],$A35,T_TTAFStock_Log[WeekIndex],58))</f>
        <v/>
      </c>
      <c r="BH35" s="19">
        <f>IF(COUNTIFS(T_TTAFStock_Log[Part Name],$A35,T_TTAFStock_Log[WeekIndex],59)=0,"",SUMIFS(T_TTAFStock_Log[TTAF_Qty],T_TTAFStock_Log[Part Name],$A35,T_TTAFStock_Log[WeekIndex],59))</f>
        <v/>
      </c>
      <c r="BI35" s="19">
        <f>IF(COUNTIFS(T_TTAFStock_Log[Part Name],$A35,T_TTAFStock_Log[WeekIndex],60)=0,"",SUMIFS(T_TTAFStock_Log[TTAF_Qty],T_TTAFStock_Log[Part Name],$A35,T_TTAFStock_Log[WeekIndex],60))</f>
        <v/>
      </c>
      <c r="BJ35" s="19">
        <f>IF(COUNTIFS(T_TTAFStock_Log[Part Name],$A35,T_TTAFStock_Log[WeekIndex],61)=0,"",SUMIFS(T_TTAFStock_Log[TTAF_Qty],T_TTAFStock_Log[Part Name],$A35,T_TTAFStock_Log[WeekIndex],61))</f>
        <v/>
      </c>
      <c r="BK35" s="19">
        <f>IF(COUNTIFS(T_TTAFStock_Log[Part Name],$A35,T_TTAFStock_Log[WeekIndex],62)=0,"",SUMIFS(T_TTAFStock_Log[TTAF_Qty],T_TTAFStock_Log[Part Name],$A35,T_TTAFStock_Log[WeekIndex],62))</f>
        <v/>
      </c>
      <c r="BL35" s="19">
        <f>IF(COUNTIFS(T_TTAFStock_Log[Part Name],$A35,T_TTAFStock_Log[WeekIndex],63)=0,"",SUMIFS(T_TTAFStock_Log[TTAF_Qty],T_TTAFStock_Log[Part Name],$A35,T_TTAFStock_Log[WeekIndex],63))</f>
        <v/>
      </c>
      <c r="BM35" s="19">
        <f>IF(COUNTIFS(T_TTAFStock_Log[Part Name],$A35,T_TTAFStock_Log[WeekIndex],64)=0,"",SUMIFS(T_TTAFStock_Log[TTAF_Qty],T_TTAFStock_Log[Part Name],$A35,T_TTAFStock_Log[WeekIndex],64))</f>
        <v/>
      </c>
      <c r="BN35" s="19">
        <f>IF(COUNTIFS(T_TTAFStock_Log[Part Name],$A35,T_TTAFStock_Log[WeekIndex],65)=0,"",SUMIFS(T_TTAFStock_Log[TTAF_Qty],T_TTAFStock_Log[Part Name],$A35,T_TTAFStock_Log[WeekIndex],65))</f>
        <v/>
      </c>
      <c r="BO35" s="19">
        <f>IF(COUNTIFS(T_TTAFStock_Log[Part Name],$A35,T_TTAFStock_Log[WeekIndex],66)=0,"",SUMIFS(T_TTAFStock_Log[TTAF_Qty],T_TTAFStock_Log[Part Name],$A35,T_TTAFStock_Log[WeekIndex],66))</f>
        <v/>
      </c>
      <c r="BP35" s="19">
        <f>IF(COUNTIFS(T_TTAFStock_Log[Part Name],$A35,T_TTAFStock_Log[WeekIndex],67)=0,"",SUMIFS(T_TTAFStock_Log[TTAF_Qty],T_TTAFStock_Log[Part Name],$A35,T_TTAFStock_Log[WeekIndex],67))</f>
        <v/>
      </c>
      <c r="BQ35" s="19">
        <f>IF(COUNTIFS(T_TTAFStock_Log[Part Name],$A35,T_TTAFStock_Log[WeekIndex],68)=0,"",SUMIFS(T_TTAFStock_Log[TTAF_Qty],T_TTAFStock_Log[Part Name],$A35,T_TTAFStock_Log[WeekIndex],68))</f>
        <v/>
      </c>
      <c r="BR35" s="19">
        <f>IF(COUNTIFS(T_TTAFStock_Log[Part Name],$A35,T_TTAFStock_Log[WeekIndex],69)=0,"",SUMIFS(T_TTAFStock_Log[TTAF_Qty],T_TTAFStock_Log[Part Name],$A35,T_TTAFStock_Log[WeekIndex],69))</f>
        <v/>
      </c>
      <c r="BS35" s="19">
        <f>IF(COUNTIFS(T_TTAFStock_Log[Part Name],$A35,T_TTAFStock_Log[WeekIndex],70)=0,"",SUMIFS(T_TTAFStock_Log[TTAF_Qty],T_TTAFStock_Log[Part Name],$A35,T_TTAFStock_Log[WeekIndex],70))</f>
        <v/>
      </c>
      <c r="BT35" s="19">
        <f>IF(COUNTIFS(T_TTAFStock_Log[Part Name],$A35,T_TTAFStock_Log[WeekIndex],71)=0,"",SUMIFS(T_TTAFStock_Log[TTAF_Qty],T_TTAFStock_Log[Part Name],$A35,T_TTAFStock_Log[WeekIndex],71))</f>
        <v/>
      </c>
      <c r="BU35" s="19">
        <f>IF(COUNTIFS(T_TTAFStock_Log[Part Name],$A35,T_TTAFStock_Log[WeekIndex],72)=0,"",SUMIFS(T_TTAFStock_Log[TTAF_Qty],T_TTAFStock_Log[Part Name],$A35,T_TTAFStock_Log[WeekIndex],72))</f>
        <v/>
      </c>
      <c r="BV35" s="19">
        <f>IF(COUNTIFS(T_TTAFStock_Log[Part Name],$A35,T_TTAFStock_Log[WeekIndex],73)=0,"",SUMIFS(T_TTAFStock_Log[TTAF_Qty],T_TTAFStock_Log[Part Name],$A35,T_TTAFStock_Log[WeekIndex],73))</f>
        <v/>
      </c>
      <c r="BW35" s="19">
        <f>IF(COUNTIFS(T_TTAFStock_Log[Part Name],$A35,T_TTAFStock_Log[WeekIndex],74)=0,"",SUMIFS(T_TTAFStock_Log[TTAF_Qty],T_TTAFStock_Log[Part Name],$A35,T_TTAFStock_Log[WeekIndex],74))</f>
        <v/>
      </c>
      <c r="BX35" s="19">
        <f>IF(COUNTIFS(T_TTAFStock_Log[Part Name],$A35,T_TTAFStock_Log[WeekIndex],75)=0,"",SUMIFS(T_TTAFStock_Log[TTAF_Qty],T_TTAFStock_Log[Part Name],$A35,T_TTAFStock_Log[WeekIndex],75))</f>
        <v/>
      </c>
      <c r="BY35" s="19">
        <f>IF(COUNTIFS(T_TTAFStock_Log[Part Name],$A35,T_TTAFStock_Log[WeekIndex],76)=0,"",SUMIFS(T_TTAFStock_Log[TTAF_Qty],T_TTAFStock_Log[Part Name],$A35,T_TTAFStock_Log[WeekIndex],76))</f>
        <v/>
      </c>
      <c r="BZ35" s="19">
        <f>IF(COUNTIFS(T_TTAFStock_Log[Part Name],$A35,T_TTAFStock_Log[WeekIndex],77)=0,"",SUMIFS(T_TTAFStock_Log[TTAF_Qty],T_TTAFStock_Log[Part Name],$A35,T_TTAFStock_Log[WeekIndex],77))</f>
        <v/>
      </c>
      <c r="CA35" s="19">
        <f>IF(COUNTIFS(T_TTAFStock_Log[Part Name],$A35,T_TTAFStock_Log[WeekIndex],78)=0,"",SUMIFS(T_TTAFStock_Log[TTAF_Qty],T_TTAFStock_Log[Part Name],$A35,T_TTAFStock_Log[WeekIndex],78))</f>
        <v/>
      </c>
      <c r="CB35" s="19">
        <f>IF(COUNTIFS(T_TTAFStock_Log[Part Name],$A35,T_TTAFStock_Log[WeekIndex],79)=0,"",SUMIFS(T_TTAFStock_Log[TTAF_Qty],T_TTAFStock_Log[Part Name],$A35,T_TTAFStock_Log[WeekIndex],79))</f>
        <v/>
      </c>
      <c r="CC35" s="19">
        <f>IF(COUNTIFS(T_TTAFStock_Log[Part Name],$A35,T_TTAFStock_Log[WeekIndex],80)=0,"",SUMIFS(T_TTAFStock_Log[TTAF_Qty],T_TTAFStock_Log[Part Name],$A35,T_TTAFStock_Log[WeekIndex],80))</f>
        <v/>
      </c>
      <c r="CD35" s="19">
        <f>IF(COUNTIFS(T_TTAFStock_Log[Part Name],$A35,T_TTAFStock_Log[WeekIndex],81)=0,"",SUMIFS(T_TTAFStock_Log[TTAF_Qty],T_TTAFStock_Log[Part Name],$A35,T_TTAFStock_Log[WeekIndex],81))</f>
        <v/>
      </c>
      <c r="CE35" s="19">
        <f>IF(COUNTIFS(T_TTAFStock_Log[Part Name],$A35,T_TTAFStock_Log[WeekIndex],82)=0,"",SUMIFS(T_TTAFStock_Log[TTAF_Qty],T_TTAFStock_Log[Part Name],$A35,T_TTAFStock_Log[WeekIndex],82))</f>
        <v/>
      </c>
      <c r="CF35" s="19">
        <f>IF(COUNTIFS(T_TTAFStock_Log[Part Name],$A35,T_TTAFStock_Log[WeekIndex],83)=0,"",SUMIFS(T_TTAFStock_Log[TTAF_Qty],T_TTAFStock_Log[Part Name],$A35,T_TTAFStock_Log[WeekIndex],83))</f>
        <v/>
      </c>
      <c r="CG35" s="19">
        <f>IF(COUNTIFS(T_TTAFStock_Log[Part Name],$A35,T_TTAFStock_Log[WeekIndex],84)=0,"",SUMIFS(T_TTAFStock_Log[TTAF_Qty],T_TTAFStock_Log[Part Name],$A35,T_TTAFStock_Log[WeekIndex],84))</f>
        <v/>
      </c>
      <c r="CH35" s="19">
        <f>IF(COUNTIFS(T_TTAFStock_Log[Part Name],$A35,T_TTAFStock_Log[WeekIndex],85)=0,"",SUMIFS(T_TTAFStock_Log[TTAF_Qty],T_TTAFStock_Log[Part Name],$A35,T_TTAFStock_Log[WeekIndex],85))</f>
        <v/>
      </c>
      <c r="CI35" s="19">
        <f>IF(COUNTIFS(T_TTAFStock_Log[Part Name],$A35,T_TTAFStock_Log[WeekIndex],86)=0,"",SUMIFS(T_TTAFStock_Log[TTAF_Qty],T_TTAFStock_Log[Part Name],$A35,T_TTAFStock_Log[WeekIndex],86))</f>
        <v/>
      </c>
      <c r="CJ35" s="19">
        <f>IF(COUNTIFS(T_TTAFStock_Log[Part Name],$A35,T_TTAFStock_Log[WeekIndex],87)=0,"",SUMIFS(T_TTAFStock_Log[TTAF_Qty],T_TTAFStock_Log[Part Name],$A35,T_TTAFStock_Log[WeekIndex],87))</f>
        <v/>
      </c>
      <c r="CK35" s="19">
        <f>IF(COUNTIFS(T_TTAFStock_Log[Part Name],$A35,T_TTAFStock_Log[WeekIndex],88)=0,"",SUMIFS(T_TTAFStock_Log[TTAF_Qty],T_TTAFStock_Log[Part Name],$A35,T_TTAFStock_Log[WeekIndex],88))</f>
        <v/>
      </c>
      <c r="CL35" s="19">
        <f>IF(COUNTIFS(T_TTAFStock_Log[Part Name],$A35,T_TTAFStock_Log[WeekIndex],89)=0,"",SUMIFS(T_TTAFStock_Log[TTAF_Qty],T_TTAFStock_Log[Part Name],$A35,T_TTAFStock_Log[WeekIndex],89))</f>
        <v/>
      </c>
      <c r="CM35" s="19">
        <f>IF(COUNTIFS(T_TTAFStock_Log[Part Name],$A35,T_TTAFStock_Log[WeekIndex],90)=0,"",SUMIFS(T_TTAFStock_Log[TTAF_Qty],T_TTAFStock_Log[Part Name],$A35,T_TTAFStock_Log[WeekIndex],90))</f>
        <v/>
      </c>
      <c r="CN35" s="19">
        <f>IF(COUNTIFS(T_TTAFStock_Log[Part Name],$A35,T_TTAFStock_Log[WeekIndex],91)=0,"",SUMIFS(T_TTAFStock_Log[TTAF_Qty],T_TTAFStock_Log[Part Name],$A35,T_TTAFStock_Log[WeekIndex],91))</f>
        <v/>
      </c>
      <c r="CO35" s="19">
        <f>IF(COUNTIFS(T_TTAFStock_Log[Part Name],$A35,T_TTAFStock_Log[WeekIndex],92)=0,"",SUMIFS(T_TTAFStock_Log[TTAF_Qty],T_TTAFStock_Log[Part Name],$A35,T_TTAFStock_Log[WeekIndex],92))</f>
        <v/>
      </c>
      <c r="CP35" s="19">
        <f>IF(COUNTIFS(T_TTAFStock_Log[Part Name],$A35,T_TTAFStock_Log[WeekIndex],93)=0,"",SUMIFS(T_TTAFStock_Log[TTAF_Qty],T_TTAFStock_Log[Part Name],$A35,T_TTAFStock_Log[WeekIndex],93))</f>
        <v/>
      </c>
      <c r="CQ35" s="19">
        <f>IF(COUNTIFS(T_TTAFStock_Log[Part Name],$A35,T_TTAFStock_Log[WeekIndex],94)=0,"",SUMIFS(T_TTAFStock_Log[TTAF_Qty],T_TTAFStock_Log[Part Name],$A35,T_TTAFStock_Log[WeekIndex],94))</f>
        <v/>
      </c>
      <c r="CR35" s="19">
        <f>IF(COUNTIFS(T_TTAFStock_Log[Part Name],$A35,T_TTAFStock_Log[WeekIndex],95)=0,"",SUMIFS(T_TTAFStock_Log[TTAF_Qty],T_TTAFStock_Log[Part Name],$A35,T_TTAFStock_Log[WeekIndex],95))</f>
        <v/>
      </c>
      <c r="CS35" s="19">
        <f>IF(COUNTIFS(T_TTAFStock_Log[Part Name],$A35,T_TTAFStock_Log[WeekIndex],96)=0,"",SUMIFS(T_TTAFStock_Log[TTAF_Qty],T_TTAFStock_Log[Part Name],$A35,T_TTAFStock_Log[WeekIndex],96))</f>
        <v/>
      </c>
      <c r="CT35" s="19">
        <f>IF(COUNTIFS(T_TTAFStock_Log[Part Name],$A35,T_TTAFStock_Log[WeekIndex],97)=0,"",SUMIFS(T_TTAFStock_Log[TTAF_Qty],T_TTAFStock_Log[Part Name],$A35,T_TTAFStock_Log[WeekIndex],97))</f>
        <v/>
      </c>
      <c r="CU35" s="19">
        <f>IF(COUNTIFS(T_TTAFStock_Log[Part Name],$A35,T_TTAFStock_Log[WeekIndex],98)=0,"",SUMIFS(T_TTAFStock_Log[TTAF_Qty],T_TTAFStock_Log[Part Name],$A35,T_TTAFStock_Log[WeekIndex],98))</f>
        <v/>
      </c>
      <c r="CV35" s="19">
        <f>IF(COUNTIFS(T_TTAFStock_Log[Part Name],$A35,T_TTAFStock_Log[WeekIndex],99)=0,"",SUMIFS(T_TTAFStock_Log[TTAF_Qty],T_TTAFStock_Log[Part Name],$A35,T_TTAFStock_Log[WeekIndex],99))</f>
        <v/>
      </c>
      <c r="CW35" s="19">
        <f>IF(COUNTIFS(T_TTAFStock_Log[Part Name],$A35,T_TTAFStock_Log[WeekIndex],100)=0,"",SUMIFS(T_TTAFStock_Log[TTAF_Qty],T_TTAFStock_Log[Part Name],$A35,T_TTAFStock_Log[WeekIndex],100))</f>
        <v/>
      </c>
      <c r="CX35" s="19">
        <f>IF(COUNTIFS(T_TTAFStock_Log[Part Name],$A35,T_TTAFStock_Log[WeekIndex],101)=0,"",SUMIFS(T_TTAFStock_Log[TTAF_Qty],T_TTAFStock_Log[Part Name],$A35,T_TTAFStock_Log[WeekIndex],101))</f>
        <v/>
      </c>
      <c r="CY35" s="19">
        <f>IF(COUNTIFS(T_TTAFStock_Log[Part Name],$A35,T_TTAFStock_Log[WeekIndex],102)=0,"",SUMIFS(T_TTAFStock_Log[TTAF_Qty],T_TTAFStock_Log[Part Name],$A35,T_TTAFStock_Log[WeekIndex],102))</f>
        <v/>
      </c>
      <c r="CZ35" s="19">
        <f>IF(COUNTIFS(T_TTAFStock_Log[Part Name],$A35,T_TTAFStock_Log[WeekIndex],103)=0,"",SUMIFS(T_TTAFStock_Log[TTAF_Qty],T_TTAFStock_Log[Part Name],$A35,T_TTAFStock_Log[WeekIndex],103))</f>
        <v/>
      </c>
      <c r="DA35" s="19">
        <f>IF(COUNTIFS(T_TTAFStock_Log[Part Name],$A35,T_TTAFStock_Log[WeekIndex],104)=0,"",SUMIFS(T_TTAFStock_Log[TTAF_Qty],T_TTAFStock_Log[Part Name],$A35,T_TTAFStock_Log[WeekIndex],104))</f>
        <v/>
      </c>
    </row>
    <row r="36">
      <c r="A36" s="17" t="inlineStr">
        <is>
          <t>CHEM-1780</t>
        </is>
      </c>
      <c r="B36" s="17">
        <f>IF(COUNTIFS(T_TTAFStock_Log[Part Name],$A36,T_TTAFStock_Log[WeekIndex],1)=0,"",SUMIFS(T_TTAFStock_Log[TTAF_Qty],T_TTAFStock_Log[Part Name],$A36,T_TTAFStock_Log[WeekIndex],1))</f>
        <v/>
      </c>
      <c r="C36" s="17">
        <f>IF(COUNTIFS(T_TTAFStock_Log[Part Name],$A36,T_TTAFStock_Log[WeekIndex],2)=0,"",SUMIFS(T_TTAFStock_Log[TTAF_Qty],T_TTAFStock_Log[Part Name],$A36,T_TTAFStock_Log[WeekIndex],2))</f>
        <v/>
      </c>
      <c r="D36" s="17">
        <f>IF(COUNTIFS(T_TTAFStock_Log[Part Name],$A36,T_TTAFStock_Log[WeekIndex],3)=0,"",SUMIFS(T_TTAFStock_Log[TTAF_Qty],T_TTAFStock_Log[Part Name],$A36,T_TTAFStock_Log[WeekIndex],3))</f>
        <v/>
      </c>
      <c r="E36" s="17">
        <f>IF(COUNTIFS(T_TTAFStock_Log[Part Name],$A36,T_TTAFStock_Log[WeekIndex],4)=0,"",SUMIFS(T_TTAFStock_Log[TTAF_Qty],T_TTAFStock_Log[Part Name],$A36,T_TTAFStock_Log[WeekIndex],4))</f>
        <v/>
      </c>
      <c r="F36" s="17">
        <f>IF(COUNTIFS(T_TTAFStock_Log[Part Name],$A36,T_TTAFStock_Log[WeekIndex],5)=0,"",SUMIFS(T_TTAFStock_Log[TTAF_Qty],T_TTAFStock_Log[Part Name],$A36,T_TTAFStock_Log[WeekIndex],5))</f>
        <v/>
      </c>
      <c r="G36" s="17">
        <f>IF(COUNTIFS(T_TTAFStock_Log[Part Name],$A36,T_TTAFStock_Log[WeekIndex],6)=0,"",SUMIFS(T_TTAFStock_Log[TTAF_Qty],T_TTAFStock_Log[Part Name],$A36,T_TTAFStock_Log[WeekIndex],6))</f>
        <v/>
      </c>
      <c r="H36" s="17">
        <f>IF(COUNTIFS(T_TTAFStock_Log[Part Name],$A36,T_TTAFStock_Log[WeekIndex],7)=0,"",SUMIFS(T_TTAFStock_Log[TTAF_Qty],T_TTAFStock_Log[Part Name],$A36,T_TTAFStock_Log[WeekIndex],7))</f>
        <v/>
      </c>
      <c r="I36" s="17">
        <f>IF(COUNTIFS(T_TTAFStock_Log[Part Name],$A36,T_TTAFStock_Log[WeekIndex],8)=0,"",SUMIFS(T_TTAFStock_Log[TTAF_Qty],T_TTAFStock_Log[Part Name],$A36,T_TTAFStock_Log[WeekIndex],8))</f>
        <v/>
      </c>
      <c r="J36" s="17">
        <f>IF(COUNTIFS(T_TTAFStock_Log[Part Name],$A36,T_TTAFStock_Log[WeekIndex],9)=0,"",SUMIFS(T_TTAFStock_Log[TTAF_Qty],T_TTAFStock_Log[Part Name],$A36,T_TTAFStock_Log[WeekIndex],9))</f>
        <v/>
      </c>
      <c r="K36" s="17">
        <f>IF(COUNTIFS(T_TTAFStock_Log[Part Name],$A36,T_TTAFStock_Log[WeekIndex],10)=0,"",SUMIFS(T_TTAFStock_Log[TTAF_Qty],T_TTAFStock_Log[Part Name],$A36,T_TTAFStock_Log[WeekIndex],10))</f>
        <v/>
      </c>
      <c r="L36" s="17">
        <f>IF(COUNTIFS(T_TTAFStock_Log[Part Name],$A36,T_TTAFStock_Log[WeekIndex],11)=0,"",SUMIFS(T_TTAFStock_Log[TTAF_Qty],T_TTAFStock_Log[Part Name],$A36,T_TTAFStock_Log[WeekIndex],11))</f>
        <v/>
      </c>
      <c r="M36" s="17">
        <f>IF(COUNTIFS(T_TTAFStock_Log[Part Name],$A36,T_TTAFStock_Log[WeekIndex],12)=0,"",SUMIFS(T_TTAFStock_Log[TTAF_Qty],T_TTAFStock_Log[Part Name],$A36,T_TTAFStock_Log[WeekIndex],12))</f>
        <v/>
      </c>
      <c r="N36" s="17">
        <f>IF(COUNTIFS(T_TTAFStock_Log[Part Name],$A36,T_TTAFStock_Log[WeekIndex],13)=0,"",SUMIFS(T_TTAFStock_Log[TTAF_Qty],T_TTAFStock_Log[Part Name],$A36,T_TTAFStock_Log[WeekIndex],13))</f>
        <v/>
      </c>
      <c r="O36" s="17">
        <f>IF(COUNTIFS(T_TTAFStock_Log[Part Name],$A36,T_TTAFStock_Log[WeekIndex],14)=0,"",SUMIFS(T_TTAFStock_Log[TTAF_Qty],T_TTAFStock_Log[Part Name],$A36,T_TTAFStock_Log[WeekIndex],14))</f>
        <v/>
      </c>
      <c r="P36" s="17">
        <f>IF(COUNTIFS(T_TTAFStock_Log[Part Name],$A36,T_TTAFStock_Log[WeekIndex],15)=0,"",SUMIFS(T_TTAFStock_Log[TTAF_Qty],T_TTAFStock_Log[Part Name],$A36,T_TTAFStock_Log[WeekIndex],15))</f>
        <v/>
      </c>
      <c r="Q36" s="17">
        <f>IF(COUNTIFS(T_TTAFStock_Log[Part Name],$A36,T_TTAFStock_Log[WeekIndex],16)=0,"",SUMIFS(T_TTAFStock_Log[TTAF_Qty],T_TTAFStock_Log[Part Name],$A36,T_TTAFStock_Log[WeekIndex],16))</f>
        <v/>
      </c>
      <c r="R36" s="17">
        <f>IF(COUNTIFS(T_TTAFStock_Log[Part Name],$A36,T_TTAFStock_Log[WeekIndex],17)=0,"",SUMIFS(T_TTAFStock_Log[TTAF_Qty],T_TTAFStock_Log[Part Name],$A36,T_TTAFStock_Log[WeekIndex],17))</f>
        <v/>
      </c>
      <c r="S36" s="17">
        <f>IF(COUNTIFS(T_TTAFStock_Log[Part Name],$A36,T_TTAFStock_Log[WeekIndex],18)=0,"",SUMIFS(T_TTAFStock_Log[TTAF_Qty],T_TTAFStock_Log[Part Name],$A36,T_TTAFStock_Log[WeekIndex],18))</f>
        <v/>
      </c>
      <c r="T36" s="17">
        <f>IF(COUNTIFS(T_TTAFStock_Log[Part Name],$A36,T_TTAFStock_Log[WeekIndex],19)=0,"",SUMIFS(T_TTAFStock_Log[TTAF_Qty],T_TTAFStock_Log[Part Name],$A36,T_TTAFStock_Log[WeekIndex],19))</f>
        <v/>
      </c>
      <c r="U36" s="17">
        <f>IF(COUNTIFS(T_TTAFStock_Log[Part Name],$A36,T_TTAFStock_Log[WeekIndex],20)=0,"",SUMIFS(T_TTAFStock_Log[TTAF_Qty],T_TTAFStock_Log[Part Name],$A36,T_TTAFStock_Log[WeekIndex],20))</f>
        <v/>
      </c>
      <c r="V36" s="17">
        <f>IF(COUNTIFS(T_TTAFStock_Log[Part Name],$A36,T_TTAFStock_Log[WeekIndex],21)=0,"",SUMIFS(T_TTAFStock_Log[TTAF_Qty],T_TTAFStock_Log[Part Name],$A36,T_TTAFStock_Log[WeekIndex],21))</f>
        <v/>
      </c>
      <c r="W36" s="17">
        <f>IF(COUNTIFS(T_TTAFStock_Log[Part Name],$A36,T_TTAFStock_Log[WeekIndex],22)=0,"",SUMIFS(T_TTAFStock_Log[TTAF_Qty],T_TTAFStock_Log[Part Name],$A36,T_TTAFStock_Log[WeekIndex],22))</f>
        <v/>
      </c>
      <c r="X36" s="17">
        <f>IF(COUNTIFS(T_TTAFStock_Log[Part Name],$A36,T_TTAFStock_Log[WeekIndex],23)=0,"",SUMIFS(T_TTAFStock_Log[TTAF_Qty],T_TTAFStock_Log[Part Name],$A36,T_TTAFStock_Log[WeekIndex],23))</f>
        <v/>
      </c>
      <c r="Y36" s="17">
        <f>IF(COUNTIFS(T_TTAFStock_Log[Part Name],$A36,T_TTAFStock_Log[WeekIndex],24)=0,"",SUMIFS(T_TTAFStock_Log[TTAF_Qty],T_TTAFStock_Log[Part Name],$A36,T_TTAFStock_Log[WeekIndex],24))</f>
        <v/>
      </c>
      <c r="Z36" s="17">
        <f>IF(COUNTIFS(T_TTAFStock_Log[Part Name],$A36,T_TTAFStock_Log[WeekIndex],25)=0,"",SUMIFS(T_TTAFStock_Log[TTAF_Qty],T_TTAFStock_Log[Part Name],$A36,T_TTAFStock_Log[WeekIndex],25))</f>
        <v/>
      </c>
      <c r="AA36" s="17">
        <f>IF(COUNTIFS(T_TTAFStock_Log[Part Name],$A36,T_TTAFStock_Log[WeekIndex],26)=0,"",SUMIFS(T_TTAFStock_Log[TTAF_Qty],T_TTAFStock_Log[Part Name],$A36,T_TTAFStock_Log[WeekIndex],26))</f>
        <v/>
      </c>
      <c r="AB36" s="17">
        <f>IF(COUNTIFS(T_TTAFStock_Log[Part Name],$A36,T_TTAFStock_Log[WeekIndex],27)=0,"",SUMIFS(T_TTAFStock_Log[TTAF_Qty],T_TTAFStock_Log[Part Name],$A36,T_TTAFStock_Log[WeekIndex],27))</f>
        <v/>
      </c>
      <c r="AC36" s="17">
        <f>IF(COUNTIFS(T_TTAFStock_Log[Part Name],$A36,T_TTAFStock_Log[WeekIndex],28)=0,"",SUMIFS(T_TTAFStock_Log[TTAF_Qty],T_TTAFStock_Log[Part Name],$A36,T_TTAFStock_Log[WeekIndex],28))</f>
        <v/>
      </c>
      <c r="AD36" s="17">
        <f>IF(COUNTIFS(T_TTAFStock_Log[Part Name],$A36,T_TTAFStock_Log[WeekIndex],29)=0,"",SUMIFS(T_TTAFStock_Log[TTAF_Qty],T_TTAFStock_Log[Part Name],$A36,T_TTAFStock_Log[WeekIndex],29))</f>
        <v/>
      </c>
      <c r="AE36" s="17">
        <f>IF(COUNTIFS(T_TTAFStock_Log[Part Name],$A36,T_TTAFStock_Log[WeekIndex],30)=0,"",SUMIFS(T_TTAFStock_Log[TTAF_Qty],T_TTAFStock_Log[Part Name],$A36,T_TTAFStock_Log[WeekIndex],30))</f>
        <v/>
      </c>
      <c r="AF36" s="17">
        <f>IF(COUNTIFS(T_TTAFStock_Log[Part Name],$A36,T_TTAFStock_Log[WeekIndex],31)=0,"",SUMIFS(T_TTAFStock_Log[TTAF_Qty],T_TTAFStock_Log[Part Name],$A36,T_TTAFStock_Log[WeekIndex],31))</f>
        <v/>
      </c>
      <c r="AG36" s="17">
        <f>IF(COUNTIFS(T_TTAFStock_Log[Part Name],$A36,T_TTAFStock_Log[WeekIndex],32)=0,"",SUMIFS(T_TTAFStock_Log[TTAF_Qty],T_TTAFStock_Log[Part Name],$A36,T_TTAFStock_Log[WeekIndex],32))</f>
        <v/>
      </c>
      <c r="AH36" s="17">
        <f>IF(COUNTIFS(T_TTAFStock_Log[Part Name],$A36,T_TTAFStock_Log[WeekIndex],33)=0,"",SUMIFS(T_TTAFStock_Log[TTAF_Qty],T_TTAFStock_Log[Part Name],$A36,T_TTAFStock_Log[WeekIndex],33))</f>
        <v/>
      </c>
      <c r="AI36" s="17">
        <f>IF(COUNTIFS(T_TTAFStock_Log[Part Name],$A36,T_TTAFStock_Log[WeekIndex],34)=0,"",SUMIFS(T_TTAFStock_Log[TTAF_Qty],T_TTAFStock_Log[Part Name],$A36,T_TTAFStock_Log[WeekIndex],34))</f>
        <v/>
      </c>
      <c r="AJ36" s="17">
        <f>IF(COUNTIFS(T_TTAFStock_Log[Part Name],$A36,T_TTAFStock_Log[WeekIndex],35)=0,"",SUMIFS(T_TTAFStock_Log[TTAF_Qty],T_TTAFStock_Log[Part Name],$A36,T_TTAFStock_Log[WeekIndex],35))</f>
        <v/>
      </c>
      <c r="AK36" s="17">
        <f>IF(COUNTIFS(T_TTAFStock_Log[Part Name],$A36,T_TTAFStock_Log[WeekIndex],36)=0,"",SUMIFS(T_TTAFStock_Log[TTAF_Qty],T_TTAFStock_Log[Part Name],$A36,T_TTAFStock_Log[WeekIndex],36))</f>
        <v/>
      </c>
      <c r="AL36" s="17">
        <f>IF(COUNTIFS(T_TTAFStock_Log[Part Name],$A36,T_TTAFStock_Log[WeekIndex],37)=0,"",SUMIFS(T_TTAFStock_Log[TTAF_Qty],T_TTAFStock_Log[Part Name],$A36,T_TTAFStock_Log[WeekIndex],37))</f>
        <v/>
      </c>
      <c r="AM36" s="17">
        <f>IF(COUNTIFS(T_TTAFStock_Log[Part Name],$A36,T_TTAFStock_Log[WeekIndex],38)=0,"",SUMIFS(T_TTAFStock_Log[TTAF_Qty],T_TTAFStock_Log[Part Name],$A36,T_TTAFStock_Log[WeekIndex],38))</f>
        <v/>
      </c>
      <c r="AN36" s="17">
        <f>IF(COUNTIFS(T_TTAFStock_Log[Part Name],$A36,T_TTAFStock_Log[WeekIndex],39)=0,"",SUMIFS(T_TTAFStock_Log[TTAF_Qty],T_TTAFStock_Log[Part Name],$A36,T_TTAFStock_Log[WeekIndex],39))</f>
        <v/>
      </c>
      <c r="AO36" s="17">
        <f>IF(COUNTIFS(T_TTAFStock_Log[Part Name],$A36,T_TTAFStock_Log[WeekIndex],40)=0,"",SUMIFS(T_TTAFStock_Log[TTAF_Qty],T_TTAFStock_Log[Part Name],$A36,T_TTAFStock_Log[WeekIndex],40))</f>
        <v/>
      </c>
      <c r="AP36" s="17">
        <f>IF(COUNTIFS(T_TTAFStock_Log[Part Name],$A36,T_TTAFStock_Log[WeekIndex],41)=0,"",SUMIFS(T_TTAFStock_Log[TTAF_Qty],T_TTAFStock_Log[Part Name],$A36,T_TTAFStock_Log[WeekIndex],41))</f>
        <v/>
      </c>
      <c r="AQ36" s="17">
        <f>IF(COUNTIFS(T_TTAFStock_Log[Part Name],$A36,T_TTAFStock_Log[WeekIndex],42)=0,"",SUMIFS(T_TTAFStock_Log[TTAF_Qty],T_TTAFStock_Log[Part Name],$A36,T_TTAFStock_Log[WeekIndex],42))</f>
        <v/>
      </c>
      <c r="AR36" s="17">
        <f>IF(COUNTIFS(T_TTAFStock_Log[Part Name],$A36,T_TTAFStock_Log[WeekIndex],43)=0,"",SUMIFS(T_TTAFStock_Log[TTAF_Qty],T_TTAFStock_Log[Part Name],$A36,T_TTAFStock_Log[WeekIndex],43))</f>
        <v/>
      </c>
      <c r="AS36" s="17">
        <f>IF(COUNTIFS(T_TTAFStock_Log[Part Name],$A36,T_TTAFStock_Log[WeekIndex],44)=0,"",SUMIFS(T_TTAFStock_Log[TTAF_Qty],T_TTAFStock_Log[Part Name],$A36,T_TTAFStock_Log[WeekIndex],44))</f>
        <v/>
      </c>
      <c r="AT36" s="17">
        <f>IF(COUNTIFS(T_TTAFStock_Log[Part Name],$A36,T_TTAFStock_Log[WeekIndex],45)=0,"",SUMIFS(T_TTAFStock_Log[TTAF_Qty],T_TTAFStock_Log[Part Name],$A36,T_TTAFStock_Log[WeekIndex],45))</f>
        <v/>
      </c>
      <c r="AU36" s="17">
        <f>IF(COUNTIFS(T_TTAFStock_Log[Part Name],$A36,T_TTAFStock_Log[WeekIndex],46)=0,"",SUMIFS(T_TTAFStock_Log[TTAF_Qty],T_TTAFStock_Log[Part Name],$A36,T_TTAFStock_Log[WeekIndex],46))</f>
        <v/>
      </c>
      <c r="AV36" s="17">
        <f>IF(COUNTIFS(T_TTAFStock_Log[Part Name],$A36,T_TTAFStock_Log[WeekIndex],47)=0,"",SUMIFS(T_TTAFStock_Log[TTAF_Qty],T_TTAFStock_Log[Part Name],$A36,T_TTAFStock_Log[WeekIndex],47))</f>
        <v/>
      </c>
      <c r="AW36" s="17">
        <f>IF(COUNTIFS(T_TTAFStock_Log[Part Name],$A36,T_TTAFStock_Log[WeekIndex],48)=0,"",SUMIFS(T_TTAFStock_Log[TTAF_Qty],T_TTAFStock_Log[Part Name],$A36,T_TTAFStock_Log[WeekIndex],48))</f>
        <v/>
      </c>
      <c r="AX36" s="17">
        <f>IF(COUNTIFS(T_TTAFStock_Log[Part Name],$A36,T_TTAFStock_Log[WeekIndex],49)=0,"",SUMIFS(T_TTAFStock_Log[TTAF_Qty],T_TTAFStock_Log[Part Name],$A36,T_TTAFStock_Log[WeekIndex],49))</f>
        <v/>
      </c>
      <c r="AY36" s="17">
        <f>IF(COUNTIFS(T_TTAFStock_Log[Part Name],$A36,T_TTAFStock_Log[WeekIndex],50)=0,"",SUMIFS(T_TTAFStock_Log[TTAF_Qty],T_TTAFStock_Log[Part Name],$A36,T_TTAFStock_Log[WeekIndex],50))</f>
        <v/>
      </c>
      <c r="AZ36" s="17">
        <f>IF(COUNTIFS(T_TTAFStock_Log[Part Name],$A36,T_TTAFStock_Log[WeekIndex],51)=0,"",SUMIFS(T_TTAFStock_Log[TTAF_Qty],T_TTAFStock_Log[Part Name],$A36,T_TTAFStock_Log[WeekIndex],51))</f>
        <v/>
      </c>
      <c r="BA36" s="17">
        <f>IF(COUNTIFS(T_TTAFStock_Log[Part Name],$A36,T_TTAFStock_Log[WeekIndex],52)=0,"",SUMIFS(T_TTAFStock_Log[TTAF_Qty],T_TTAFStock_Log[Part Name],$A36,T_TTAFStock_Log[WeekIndex],52))</f>
        <v/>
      </c>
      <c r="BB36" s="17">
        <f>IF(COUNTIFS(T_TTAFStock_Log[Part Name],$A36,T_TTAFStock_Log[WeekIndex],53)=0,"",SUMIFS(T_TTAFStock_Log[TTAF_Qty],T_TTAFStock_Log[Part Name],$A36,T_TTAFStock_Log[WeekIndex],53))</f>
        <v/>
      </c>
      <c r="BC36" s="17">
        <f>IF(COUNTIFS(T_TTAFStock_Log[Part Name],$A36,T_TTAFStock_Log[WeekIndex],54)=0,"",SUMIFS(T_TTAFStock_Log[TTAF_Qty],T_TTAFStock_Log[Part Name],$A36,T_TTAFStock_Log[WeekIndex],54))</f>
        <v/>
      </c>
      <c r="BD36" s="17">
        <f>IF(COUNTIFS(T_TTAFStock_Log[Part Name],$A36,T_TTAFStock_Log[WeekIndex],55)=0,"",SUMIFS(T_TTAFStock_Log[TTAF_Qty],T_TTAFStock_Log[Part Name],$A36,T_TTAFStock_Log[WeekIndex],55))</f>
        <v/>
      </c>
      <c r="BE36" s="17">
        <f>IF(COUNTIFS(T_TTAFStock_Log[Part Name],$A36,T_TTAFStock_Log[WeekIndex],56)=0,"",SUMIFS(T_TTAFStock_Log[TTAF_Qty],T_TTAFStock_Log[Part Name],$A36,T_TTAFStock_Log[WeekIndex],56))</f>
        <v/>
      </c>
      <c r="BF36" s="17">
        <f>IF(COUNTIFS(T_TTAFStock_Log[Part Name],$A36,T_TTAFStock_Log[WeekIndex],57)=0,"",SUMIFS(T_TTAFStock_Log[TTAF_Qty],T_TTAFStock_Log[Part Name],$A36,T_TTAFStock_Log[WeekIndex],57))</f>
        <v/>
      </c>
      <c r="BG36" s="17">
        <f>IF(COUNTIFS(T_TTAFStock_Log[Part Name],$A36,T_TTAFStock_Log[WeekIndex],58)=0,"",SUMIFS(T_TTAFStock_Log[TTAF_Qty],T_TTAFStock_Log[Part Name],$A36,T_TTAFStock_Log[WeekIndex],58))</f>
        <v/>
      </c>
      <c r="BH36" s="17">
        <f>IF(COUNTIFS(T_TTAFStock_Log[Part Name],$A36,T_TTAFStock_Log[WeekIndex],59)=0,"",SUMIFS(T_TTAFStock_Log[TTAF_Qty],T_TTAFStock_Log[Part Name],$A36,T_TTAFStock_Log[WeekIndex],59))</f>
        <v/>
      </c>
      <c r="BI36" s="17">
        <f>IF(COUNTIFS(T_TTAFStock_Log[Part Name],$A36,T_TTAFStock_Log[WeekIndex],60)=0,"",SUMIFS(T_TTAFStock_Log[TTAF_Qty],T_TTAFStock_Log[Part Name],$A36,T_TTAFStock_Log[WeekIndex],60))</f>
        <v/>
      </c>
      <c r="BJ36" s="17">
        <f>IF(COUNTIFS(T_TTAFStock_Log[Part Name],$A36,T_TTAFStock_Log[WeekIndex],61)=0,"",SUMIFS(T_TTAFStock_Log[TTAF_Qty],T_TTAFStock_Log[Part Name],$A36,T_TTAFStock_Log[WeekIndex],61))</f>
        <v/>
      </c>
      <c r="BK36" s="17">
        <f>IF(COUNTIFS(T_TTAFStock_Log[Part Name],$A36,T_TTAFStock_Log[WeekIndex],62)=0,"",SUMIFS(T_TTAFStock_Log[TTAF_Qty],T_TTAFStock_Log[Part Name],$A36,T_TTAFStock_Log[WeekIndex],62))</f>
        <v/>
      </c>
      <c r="BL36" s="17">
        <f>IF(COUNTIFS(T_TTAFStock_Log[Part Name],$A36,T_TTAFStock_Log[WeekIndex],63)=0,"",SUMIFS(T_TTAFStock_Log[TTAF_Qty],T_TTAFStock_Log[Part Name],$A36,T_TTAFStock_Log[WeekIndex],63))</f>
        <v/>
      </c>
      <c r="BM36" s="17">
        <f>IF(COUNTIFS(T_TTAFStock_Log[Part Name],$A36,T_TTAFStock_Log[WeekIndex],64)=0,"",SUMIFS(T_TTAFStock_Log[TTAF_Qty],T_TTAFStock_Log[Part Name],$A36,T_TTAFStock_Log[WeekIndex],64))</f>
        <v/>
      </c>
      <c r="BN36" s="17">
        <f>IF(COUNTIFS(T_TTAFStock_Log[Part Name],$A36,T_TTAFStock_Log[WeekIndex],65)=0,"",SUMIFS(T_TTAFStock_Log[TTAF_Qty],T_TTAFStock_Log[Part Name],$A36,T_TTAFStock_Log[WeekIndex],65))</f>
        <v/>
      </c>
      <c r="BO36" s="17">
        <f>IF(COUNTIFS(T_TTAFStock_Log[Part Name],$A36,T_TTAFStock_Log[WeekIndex],66)=0,"",SUMIFS(T_TTAFStock_Log[TTAF_Qty],T_TTAFStock_Log[Part Name],$A36,T_TTAFStock_Log[WeekIndex],66))</f>
        <v/>
      </c>
      <c r="BP36" s="17">
        <f>IF(COUNTIFS(T_TTAFStock_Log[Part Name],$A36,T_TTAFStock_Log[WeekIndex],67)=0,"",SUMIFS(T_TTAFStock_Log[TTAF_Qty],T_TTAFStock_Log[Part Name],$A36,T_TTAFStock_Log[WeekIndex],67))</f>
        <v/>
      </c>
      <c r="BQ36" s="17">
        <f>IF(COUNTIFS(T_TTAFStock_Log[Part Name],$A36,T_TTAFStock_Log[WeekIndex],68)=0,"",SUMIFS(T_TTAFStock_Log[TTAF_Qty],T_TTAFStock_Log[Part Name],$A36,T_TTAFStock_Log[WeekIndex],68))</f>
        <v/>
      </c>
      <c r="BR36" s="17">
        <f>IF(COUNTIFS(T_TTAFStock_Log[Part Name],$A36,T_TTAFStock_Log[WeekIndex],69)=0,"",SUMIFS(T_TTAFStock_Log[TTAF_Qty],T_TTAFStock_Log[Part Name],$A36,T_TTAFStock_Log[WeekIndex],69))</f>
        <v/>
      </c>
      <c r="BS36" s="17">
        <f>IF(COUNTIFS(T_TTAFStock_Log[Part Name],$A36,T_TTAFStock_Log[WeekIndex],70)=0,"",SUMIFS(T_TTAFStock_Log[TTAF_Qty],T_TTAFStock_Log[Part Name],$A36,T_TTAFStock_Log[WeekIndex],70))</f>
        <v/>
      </c>
      <c r="BT36" s="17">
        <f>IF(COUNTIFS(T_TTAFStock_Log[Part Name],$A36,T_TTAFStock_Log[WeekIndex],71)=0,"",SUMIFS(T_TTAFStock_Log[TTAF_Qty],T_TTAFStock_Log[Part Name],$A36,T_TTAFStock_Log[WeekIndex],71))</f>
        <v/>
      </c>
      <c r="BU36" s="17">
        <f>IF(COUNTIFS(T_TTAFStock_Log[Part Name],$A36,T_TTAFStock_Log[WeekIndex],72)=0,"",SUMIFS(T_TTAFStock_Log[TTAF_Qty],T_TTAFStock_Log[Part Name],$A36,T_TTAFStock_Log[WeekIndex],72))</f>
        <v/>
      </c>
      <c r="BV36" s="17">
        <f>IF(COUNTIFS(T_TTAFStock_Log[Part Name],$A36,T_TTAFStock_Log[WeekIndex],73)=0,"",SUMIFS(T_TTAFStock_Log[TTAF_Qty],T_TTAFStock_Log[Part Name],$A36,T_TTAFStock_Log[WeekIndex],73))</f>
        <v/>
      </c>
      <c r="BW36" s="17">
        <f>IF(COUNTIFS(T_TTAFStock_Log[Part Name],$A36,T_TTAFStock_Log[WeekIndex],74)=0,"",SUMIFS(T_TTAFStock_Log[TTAF_Qty],T_TTAFStock_Log[Part Name],$A36,T_TTAFStock_Log[WeekIndex],74))</f>
        <v/>
      </c>
      <c r="BX36" s="17">
        <f>IF(COUNTIFS(T_TTAFStock_Log[Part Name],$A36,T_TTAFStock_Log[WeekIndex],75)=0,"",SUMIFS(T_TTAFStock_Log[TTAF_Qty],T_TTAFStock_Log[Part Name],$A36,T_TTAFStock_Log[WeekIndex],75))</f>
        <v/>
      </c>
      <c r="BY36" s="17">
        <f>IF(COUNTIFS(T_TTAFStock_Log[Part Name],$A36,T_TTAFStock_Log[WeekIndex],76)=0,"",SUMIFS(T_TTAFStock_Log[TTAF_Qty],T_TTAFStock_Log[Part Name],$A36,T_TTAFStock_Log[WeekIndex],76))</f>
        <v/>
      </c>
      <c r="BZ36" s="17">
        <f>IF(COUNTIFS(T_TTAFStock_Log[Part Name],$A36,T_TTAFStock_Log[WeekIndex],77)=0,"",SUMIFS(T_TTAFStock_Log[TTAF_Qty],T_TTAFStock_Log[Part Name],$A36,T_TTAFStock_Log[WeekIndex],77))</f>
        <v/>
      </c>
      <c r="CA36" s="17">
        <f>IF(COUNTIFS(T_TTAFStock_Log[Part Name],$A36,T_TTAFStock_Log[WeekIndex],78)=0,"",SUMIFS(T_TTAFStock_Log[TTAF_Qty],T_TTAFStock_Log[Part Name],$A36,T_TTAFStock_Log[WeekIndex],78))</f>
        <v/>
      </c>
      <c r="CB36" s="17">
        <f>IF(COUNTIFS(T_TTAFStock_Log[Part Name],$A36,T_TTAFStock_Log[WeekIndex],79)=0,"",SUMIFS(T_TTAFStock_Log[TTAF_Qty],T_TTAFStock_Log[Part Name],$A36,T_TTAFStock_Log[WeekIndex],79))</f>
        <v/>
      </c>
      <c r="CC36" s="17">
        <f>IF(COUNTIFS(T_TTAFStock_Log[Part Name],$A36,T_TTAFStock_Log[WeekIndex],80)=0,"",SUMIFS(T_TTAFStock_Log[TTAF_Qty],T_TTAFStock_Log[Part Name],$A36,T_TTAFStock_Log[WeekIndex],80))</f>
        <v/>
      </c>
      <c r="CD36" s="17">
        <f>IF(COUNTIFS(T_TTAFStock_Log[Part Name],$A36,T_TTAFStock_Log[WeekIndex],81)=0,"",SUMIFS(T_TTAFStock_Log[TTAF_Qty],T_TTAFStock_Log[Part Name],$A36,T_TTAFStock_Log[WeekIndex],81))</f>
        <v/>
      </c>
      <c r="CE36" s="17">
        <f>IF(COUNTIFS(T_TTAFStock_Log[Part Name],$A36,T_TTAFStock_Log[WeekIndex],82)=0,"",SUMIFS(T_TTAFStock_Log[TTAF_Qty],T_TTAFStock_Log[Part Name],$A36,T_TTAFStock_Log[WeekIndex],82))</f>
        <v/>
      </c>
      <c r="CF36" s="17">
        <f>IF(COUNTIFS(T_TTAFStock_Log[Part Name],$A36,T_TTAFStock_Log[WeekIndex],83)=0,"",SUMIFS(T_TTAFStock_Log[TTAF_Qty],T_TTAFStock_Log[Part Name],$A36,T_TTAFStock_Log[WeekIndex],83))</f>
        <v/>
      </c>
      <c r="CG36" s="17">
        <f>IF(COUNTIFS(T_TTAFStock_Log[Part Name],$A36,T_TTAFStock_Log[WeekIndex],84)=0,"",SUMIFS(T_TTAFStock_Log[TTAF_Qty],T_TTAFStock_Log[Part Name],$A36,T_TTAFStock_Log[WeekIndex],84))</f>
        <v/>
      </c>
      <c r="CH36" s="17">
        <f>IF(COUNTIFS(T_TTAFStock_Log[Part Name],$A36,T_TTAFStock_Log[WeekIndex],85)=0,"",SUMIFS(T_TTAFStock_Log[TTAF_Qty],T_TTAFStock_Log[Part Name],$A36,T_TTAFStock_Log[WeekIndex],85))</f>
        <v/>
      </c>
      <c r="CI36" s="17">
        <f>IF(COUNTIFS(T_TTAFStock_Log[Part Name],$A36,T_TTAFStock_Log[WeekIndex],86)=0,"",SUMIFS(T_TTAFStock_Log[TTAF_Qty],T_TTAFStock_Log[Part Name],$A36,T_TTAFStock_Log[WeekIndex],86))</f>
        <v/>
      </c>
      <c r="CJ36" s="17">
        <f>IF(COUNTIFS(T_TTAFStock_Log[Part Name],$A36,T_TTAFStock_Log[WeekIndex],87)=0,"",SUMIFS(T_TTAFStock_Log[TTAF_Qty],T_TTAFStock_Log[Part Name],$A36,T_TTAFStock_Log[WeekIndex],87))</f>
        <v/>
      </c>
      <c r="CK36" s="17">
        <f>IF(COUNTIFS(T_TTAFStock_Log[Part Name],$A36,T_TTAFStock_Log[WeekIndex],88)=0,"",SUMIFS(T_TTAFStock_Log[TTAF_Qty],T_TTAFStock_Log[Part Name],$A36,T_TTAFStock_Log[WeekIndex],88))</f>
        <v/>
      </c>
      <c r="CL36" s="17">
        <f>IF(COUNTIFS(T_TTAFStock_Log[Part Name],$A36,T_TTAFStock_Log[WeekIndex],89)=0,"",SUMIFS(T_TTAFStock_Log[TTAF_Qty],T_TTAFStock_Log[Part Name],$A36,T_TTAFStock_Log[WeekIndex],89))</f>
        <v/>
      </c>
      <c r="CM36" s="17">
        <f>IF(COUNTIFS(T_TTAFStock_Log[Part Name],$A36,T_TTAFStock_Log[WeekIndex],90)=0,"",SUMIFS(T_TTAFStock_Log[TTAF_Qty],T_TTAFStock_Log[Part Name],$A36,T_TTAFStock_Log[WeekIndex],90))</f>
        <v/>
      </c>
      <c r="CN36" s="17">
        <f>IF(COUNTIFS(T_TTAFStock_Log[Part Name],$A36,T_TTAFStock_Log[WeekIndex],91)=0,"",SUMIFS(T_TTAFStock_Log[TTAF_Qty],T_TTAFStock_Log[Part Name],$A36,T_TTAFStock_Log[WeekIndex],91))</f>
        <v/>
      </c>
      <c r="CO36" s="17">
        <f>IF(COUNTIFS(T_TTAFStock_Log[Part Name],$A36,T_TTAFStock_Log[WeekIndex],92)=0,"",SUMIFS(T_TTAFStock_Log[TTAF_Qty],T_TTAFStock_Log[Part Name],$A36,T_TTAFStock_Log[WeekIndex],92))</f>
        <v/>
      </c>
      <c r="CP36" s="17">
        <f>IF(COUNTIFS(T_TTAFStock_Log[Part Name],$A36,T_TTAFStock_Log[WeekIndex],93)=0,"",SUMIFS(T_TTAFStock_Log[TTAF_Qty],T_TTAFStock_Log[Part Name],$A36,T_TTAFStock_Log[WeekIndex],93))</f>
        <v/>
      </c>
      <c r="CQ36" s="17">
        <f>IF(COUNTIFS(T_TTAFStock_Log[Part Name],$A36,T_TTAFStock_Log[WeekIndex],94)=0,"",SUMIFS(T_TTAFStock_Log[TTAF_Qty],T_TTAFStock_Log[Part Name],$A36,T_TTAFStock_Log[WeekIndex],94))</f>
        <v/>
      </c>
      <c r="CR36" s="17">
        <f>IF(COUNTIFS(T_TTAFStock_Log[Part Name],$A36,T_TTAFStock_Log[WeekIndex],95)=0,"",SUMIFS(T_TTAFStock_Log[TTAF_Qty],T_TTAFStock_Log[Part Name],$A36,T_TTAFStock_Log[WeekIndex],95))</f>
        <v/>
      </c>
      <c r="CS36" s="17">
        <f>IF(COUNTIFS(T_TTAFStock_Log[Part Name],$A36,T_TTAFStock_Log[WeekIndex],96)=0,"",SUMIFS(T_TTAFStock_Log[TTAF_Qty],T_TTAFStock_Log[Part Name],$A36,T_TTAFStock_Log[WeekIndex],96))</f>
        <v/>
      </c>
      <c r="CT36" s="17">
        <f>IF(COUNTIFS(T_TTAFStock_Log[Part Name],$A36,T_TTAFStock_Log[WeekIndex],97)=0,"",SUMIFS(T_TTAFStock_Log[TTAF_Qty],T_TTAFStock_Log[Part Name],$A36,T_TTAFStock_Log[WeekIndex],97))</f>
        <v/>
      </c>
      <c r="CU36" s="17">
        <f>IF(COUNTIFS(T_TTAFStock_Log[Part Name],$A36,T_TTAFStock_Log[WeekIndex],98)=0,"",SUMIFS(T_TTAFStock_Log[TTAF_Qty],T_TTAFStock_Log[Part Name],$A36,T_TTAFStock_Log[WeekIndex],98))</f>
        <v/>
      </c>
      <c r="CV36" s="17">
        <f>IF(COUNTIFS(T_TTAFStock_Log[Part Name],$A36,T_TTAFStock_Log[WeekIndex],99)=0,"",SUMIFS(T_TTAFStock_Log[TTAF_Qty],T_TTAFStock_Log[Part Name],$A36,T_TTAFStock_Log[WeekIndex],99))</f>
        <v/>
      </c>
      <c r="CW36" s="17">
        <f>IF(COUNTIFS(T_TTAFStock_Log[Part Name],$A36,T_TTAFStock_Log[WeekIndex],100)=0,"",SUMIFS(T_TTAFStock_Log[TTAF_Qty],T_TTAFStock_Log[Part Name],$A36,T_TTAFStock_Log[WeekIndex],100))</f>
        <v/>
      </c>
      <c r="CX36" s="17">
        <f>IF(COUNTIFS(T_TTAFStock_Log[Part Name],$A36,T_TTAFStock_Log[WeekIndex],101)=0,"",SUMIFS(T_TTAFStock_Log[TTAF_Qty],T_TTAFStock_Log[Part Name],$A36,T_TTAFStock_Log[WeekIndex],101))</f>
        <v/>
      </c>
      <c r="CY36" s="17">
        <f>IF(COUNTIFS(T_TTAFStock_Log[Part Name],$A36,T_TTAFStock_Log[WeekIndex],102)=0,"",SUMIFS(T_TTAFStock_Log[TTAF_Qty],T_TTAFStock_Log[Part Name],$A36,T_TTAFStock_Log[WeekIndex],102))</f>
        <v/>
      </c>
      <c r="CZ36" s="17">
        <f>IF(COUNTIFS(T_TTAFStock_Log[Part Name],$A36,T_TTAFStock_Log[WeekIndex],103)=0,"",SUMIFS(T_TTAFStock_Log[TTAF_Qty],T_TTAFStock_Log[Part Name],$A36,T_TTAFStock_Log[WeekIndex],103))</f>
        <v/>
      </c>
      <c r="DA36" s="17">
        <f>IF(COUNTIFS(T_TTAFStock_Log[Part Name],$A36,T_TTAFStock_Log[WeekIndex],104)=0,"",SUMIFS(T_TTAFStock_Log[TTAF_Qty],T_TTAFStock_Log[Part Name],$A36,T_TTAFStock_Log[WeekIndex],104))</f>
        <v/>
      </c>
    </row>
    <row r="37">
      <c r="A37" s="19" t="inlineStr">
        <is>
          <t>CHEM-1400</t>
        </is>
      </c>
      <c r="B37" s="19">
        <f>IF(COUNTIFS(T_TTAFStock_Log[Part Name],$A37,T_TTAFStock_Log[WeekIndex],1)=0,"",SUMIFS(T_TTAFStock_Log[TTAF_Qty],T_TTAFStock_Log[Part Name],$A37,T_TTAFStock_Log[WeekIndex],1))</f>
        <v/>
      </c>
      <c r="C37" s="19">
        <f>IF(COUNTIFS(T_TTAFStock_Log[Part Name],$A37,T_TTAFStock_Log[WeekIndex],2)=0,"",SUMIFS(T_TTAFStock_Log[TTAF_Qty],T_TTAFStock_Log[Part Name],$A37,T_TTAFStock_Log[WeekIndex],2))</f>
        <v/>
      </c>
      <c r="D37" s="19">
        <f>IF(COUNTIFS(T_TTAFStock_Log[Part Name],$A37,T_TTAFStock_Log[WeekIndex],3)=0,"",SUMIFS(T_TTAFStock_Log[TTAF_Qty],T_TTAFStock_Log[Part Name],$A37,T_TTAFStock_Log[WeekIndex],3))</f>
        <v/>
      </c>
      <c r="E37" s="19">
        <f>IF(COUNTIFS(T_TTAFStock_Log[Part Name],$A37,T_TTAFStock_Log[WeekIndex],4)=0,"",SUMIFS(T_TTAFStock_Log[TTAF_Qty],T_TTAFStock_Log[Part Name],$A37,T_TTAFStock_Log[WeekIndex],4))</f>
        <v/>
      </c>
      <c r="F37" s="19">
        <f>IF(COUNTIFS(T_TTAFStock_Log[Part Name],$A37,T_TTAFStock_Log[WeekIndex],5)=0,"",SUMIFS(T_TTAFStock_Log[TTAF_Qty],T_TTAFStock_Log[Part Name],$A37,T_TTAFStock_Log[WeekIndex],5))</f>
        <v/>
      </c>
      <c r="G37" s="19">
        <f>IF(COUNTIFS(T_TTAFStock_Log[Part Name],$A37,T_TTAFStock_Log[WeekIndex],6)=0,"",SUMIFS(T_TTAFStock_Log[TTAF_Qty],T_TTAFStock_Log[Part Name],$A37,T_TTAFStock_Log[WeekIndex],6))</f>
        <v/>
      </c>
      <c r="H37" s="19">
        <f>IF(COUNTIFS(T_TTAFStock_Log[Part Name],$A37,T_TTAFStock_Log[WeekIndex],7)=0,"",SUMIFS(T_TTAFStock_Log[TTAF_Qty],T_TTAFStock_Log[Part Name],$A37,T_TTAFStock_Log[WeekIndex],7))</f>
        <v/>
      </c>
      <c r="I37" s="19">
        <f>IF(COUNTIFS(T_TTAFStock_Log[Part Name],$A37,T_TTAFStock_Log[WeekIndex],8)=0,"",SUMIFS(T_TTAFStock_Log[TTAF_Qty],T_TTAFStock_Log[Part Name],$A37,T_TTAFStock_Log[WeekIndex],8))</f>
        <v/>
      </c>
      <c r="J37" s="19">
        <f>IF(COUNTIFS(T_TTAFStock_Log[Part Name],$A37,T_TTAFStock_Log[WeekIndex],9)=0,"",SUMIFS(T_TTAFStock_Log[TTAF_Qty],T_TTAFStock_Log[Part Name],$A37,T_TTAFStock_Log[WeekIndex],9))</f>
        <v/>
      </c>
      <c r="K37" s="19">
        <f>IF(COUNTIFS(T_TTAFStock_Log[Part Name],$A37,T_TTAFStock_Log[WeekIndex],10)=0,"",SUMIFS(T_TTAFStock_Log[TTAF_Qty],T_TTAFStock_Log[Part Name],$A37,T_TTAFStock_Log[WeekIndex],10))</f>
        <v/>
      </c>
      <c r="L37" s="19">
        <f>IF(COUNTIFS(T_TTAFStock_Log[Part Name],$A37,T_TTAFStock_Log[WeekIndex],11)=0,"",SUMIFS(T_TTAFStock_Log[TTAF_Qty],T_TTAFStock_Log[Part Name],$A37,T_TTAFStock_Log[WeekIndex],11))</f>
        <v/>
      </c>
      <c r="M37" s="19">
        <f>IF(COUNTIFS(T_TTAFStock_Log[Part Name],$A37,T_TTAFStock_Log[WeekIndex],12)=0,"",SUMIFS(T_TTAFStock_Log[TTAF_Qty],T_TTAFStock_Log[Part Name],$A37,T_TTAFStock_Log[WeekIndex],12))</f>
        <v/>
      </c>
      <c r="N37" s="19">
        <f>IF(COUNTIFS(T_TTAFStock_Log[Part Name],$A37,T_TTAFStock_Log[WeekIndex],13)=0,"",SUMIFS(T_TTAFStock_Log[TTAF_Qty],T_TTAFStock_Log[Part Name],$A37,T_TTAFStock_Log[WeekIndex],13))</f>
        <v/>
      </c>
      <c r="O37" s="19">
        <f>IF(COUNTIFS(T_TTAFStock_Log[Part Name],$A37,T_TTAFStock_Log[WeekIndex],14)=0,"",SUMIFS(T_TTAFStock_Log[TTAF_Qty],T_TTAFStock_Log[Part Name],$A37,T_TTAFStock_Log[WeekIndex],14))</f>
        <v/>
      </c>
      <c r="P37" s="19">
        <f>IF(COUNTIFS(T_TTAFStock_Log[Part Name],$A37,T_TTAFStock_Log[WeekIndex],15)=0,"",SUMIFS(T_TTAFStock_Log[TTAF_Qty],T_TTAFStock_Log[Part Name],$A37,T_TTAFStock_Log[WeekIndex],15))</f>
        <v/>
      </c>
      <c r="Q37" s="19">
        <f>IF(COUNTIFS(T_TTAFStock_Log[Part Name],$A37,T_TTAFStock_Log[WeekIndex],16)=0,"",SUMIFS(T_TTAFStock_Log[TTAF_Qty],T_TTAFStock_Log[Part Name],$A37,T_TTAFStock_Log[WeekIndex],16))</f>
        <v/>
      </c>
      <c r="R37" s="19">
        <f>IF(COUNTIFS(T_TTAFStock_Log[Part Name],$A37,T_TTAFStock_Log[WeekIndex],17)=0,"",SUMIFS(T_TTAFStock_Log[TTAF_Qty],T_TTAFStock_Log[Part Name],$A37,T_TTAFStock_Log[WeekIndex],17))</f>
        <v/>
      </c>
      <c r="S37" s="19">
        <f>IF(COUNTIFS(T_TTAFStock_Log[Part Name],$A37,T_TTAFStock_Log[WeekIndex],18)=0,"",SUMIFS(T_TTAFStock_Log[TTAF_Qty],T_TTAFStock_Log[Part Name],$A37,T_TTAFStock_Log[WeekIndex],18))</f>
        <v/>
      </c>
      <c r="T37" s="19">
        <f>IF(COUNTIFS(T_TTAFStock_Log[Part Name],$A37,T_TTAFStock_Log[WeekIndex],19)=0,"",SUMIFS(T_TTAFStock_Log[TTAF_Qty],T_TTAFStock_Log[Part Name],$A37,T_TTAFStock_Log[WeekIndex],19))</f>
        <v/>
      </c>
      <c r="U37" s="19">
        <f>IF(COUNTIFS(T_TTAFStock_Log[Part Name],$A37,T_TTAFStock_Log[WeekIndex],20)=0,"",SUMIFS(T_TTAFStock_Log[TTAF_Qty],T_TTAFStock_Log[Part Name],$A37,T_TTAFStock_Log[WeekIndex],20))</f>
        <v/>
      </c>
      <c r="V37" s="19">
        <f>IF(COUNTIFS(T_TTAFStock_Log[Part Name],$A37,T_TTAFStock_Log[WeekIndex],21)=0,"",SUMIFS(T_TTAFStock_Log[TTAF_Qty],T_TTAFStock_Log[Part Name],$A37,T_TTAFStock_Log[WeekIndex],21))</f>
        <v/>
      </c>
      <c r="W37" s="19">
        <f>IF(COUNTIFS(T_TTAFStock_Log[Part Name],$A37,T_TTAFStock_Log[WeekIndex],22)=0,"",SUMIFS(T_TTAFStock_Log[TTAF_Qty],T_TTAFStock_Log[Part Name],$A37,T_TTAFStock_Log[WeekIndex],22))</f>
        <v/>
      </c>
      <c r="X37" s="19">
        <f>IF(COUNTIFS(T_TTAFStock_Log[Part Name],$A37,T_TTAFStock_Log[WeekIndex],23)=0,"",SUMIFS(T_TTAFStock_Log[TTAF_Qty],T_TTAFStock_Log[Part Name],$A37,T_TTAFStock_Log[WeekIndex],23))</f>
        <v/>
      </c>
      <c r="Y37" s="19">
        <f>IF(COUNTIFS(T_TTAFStock_Log[Part Name],$A37,T_TTAFStock_Log[WeekIndex],24)=0,"",SUMIFS(T_TTAFStock_Log[TTAF_Qty],T_TTAFStock_Log[Part Name],$A37,T_TTAFStock_Log[WeekIndex],24))</f>
        <v/>
      </c>
      <c r="Z37" s="19">
        <f>IF(COUNTIFS(T_TTAFStock_Log[Part Name],$A37,T_TTAFStock_Log[WeekIndex],25)=0,"",SUMIFS(T_TTAFStock_Log[TTAF_Qty],T_TTAFStock_Log[Part Name],$A37,T_TTAFStock_Log[WeekIndex],25))</f>
        <v/>
      </c>
      <c r="AA37" s="19">
        <f>IF(COUNTIFS(T_TTAFStock_Log[Part Name],$A37,T_TTAFStock_Log[WeekIndex],26)=0,"",SUMIFS(T_TTAFStock_Log[TTAF_Qty],T_TTAFStock_Log[Part Name],$A37,T_TTAFStock_Log[WeekIndex],26))</f>
        <v/>
      </c>
      <c r="AB37" s="19">
        <f>IF(COUNTIFS(T_TTAFStock_Log[Part Name],$A37,T_TTAFStock_Log[WeekIndex],27)=0,"",SUMIFS(T_TTAFStock_Log[TTAF_Qty],T_TTAFStock_Log[Part Name],$A37,T_TTAFStock_Log[WeekIndex],27))</f>
        <v/>
      </c>
      <c r="AC37" s="19">
        <f>IF(COUNTIFS(T_TTAFStock_Log[Part Name],$A37,T_TTAFStock_Log[WeekIndex],28)=0,"",SUMIFS(T_TTAFStock_Log[TTAF_Qty],T_TTAFStock_Log[Part Name],$A37,T_TTAFStock_Log[WeekIndex],28))</f>
        <v/>
      </c>
      <c r="AD37" s="19">
        <f>IF(COUNTIFS(T_TTAFStock_Log[Part Name],$A37,T_TTAFStock_Log[WeekIndex],29)=0,"",SUMIFS(T_TTAFStock_Log[TTAF_Qty],T_TTAFStock_Log[Part Name],$A37,T_TTAFStock_Log[WeekIndex],29))</f>
        <v/>
      </c>
      <c r="AE37" s="19">
        <f>IF(COUNTIFS(T_TTAFStock_Log[Part Name],$A37,T_TTAFStock_Log[WeekIndex],30)=0,"",SUMIFS(T_TTAFStock_Log[TTAF_Qty],T_TTAFStock_Log[Part Name],$A37,T_TTAFStock_Log[WeekIndex],30))</f>
        <v/>
      </c>
      <c r="AF37" s="19">
        <f>IF(COUNTIFS(T_TTAFStock_Log[Part Name],$A37,T_TTAFStock_Log[WeekIndex],31)=0,"",SUMIFS(T_TTAFStock_Log[TTAF_Qty],T_TTAFStock_Log[Part Name],$A37,T_TTAFStock_Log[WeekIndex],31))</f>
        <v/>
      </c>
      <c r="AG37" s="19">
        <f>IF(COUNTIFS(T_TTAFStock_Log[Part Name],$A37,T_TTAFStock_Log[WeekIndex],32)=0,"",SUMIFS(T_TTAFStock_Log[TTAF_Qty],T_TTAFStock_Log[Part Name],$A37,T_TTAFStock_Log[WeekIndex],32))</f>
        <v/>
      </c>
      <c r="AH37" s="19">
        <f>IF(COUNTIFS(T_TTAFStock_Log[Part Name],$A37,T_TTAFStock_Log[WeekIndex],33)=0,"",SUMIFS(T_TTAFStock_Log[TTAF_Qty],T_TTAFStock_Log[Part Name],$A37,T_TTAFStock_Log[WeekIndex],33))</f>
        <v/>
      </c>
      <c r="AI37" s="19">
        <f>IF(COUNTIFS(T_TTAFStock_Log[Part Name],$A37,T_TTAFStock_Log[WeekIndex],34)=0,"",SUMIFS(T_TTAFStock_Log[TTAF_Qty],T_TTAFStock_Log[Part Name],$A37,T_TTAFStock_Log[WeekIndex],34))</f>
        <v/>
      </c>
      <c r="AJ37" s="19">
        <f>IF(COUNTIFS(T_TTAFStock_Log[Part Name],$A37,T_TTAFStock_Log[WeekIndex],35)=0,"",SUMIFS(T_TTAFStock_Log[TTAF_Qty],T_TTAFStock_Log[Part Name],$A37,T_TTAFStock_Log[WeekIndex],35))</f>
        <v/>
      </c>
      <c r="AK37" s="19">
        <f>IF(COUNTIFS(T_TTAFStock_Log[Part Name],$A37,T_TTAFStock_Log[WeekIndex],36)=0,"",SUMIFS(T_TTAFStock_Log[TTAF_Qty],T_TTAFStock_Log[Part Name],$A37,T_TTAFStock_Log[WeekIndex],36))</f>
        <v/>
      </c>
      <c r="AL37" s="19">
        <f>IF(COUNTIFS(T_TTAFStock_Log[Part Name],$A37,T_TTAFStock_Log[WeekIndex],37)=0,"",SUMIFS(T_TTAFStock_Log[TTAF_Qty],T_TTAFStock_Log[Part Name],$A37,T_TTAFStock_Log[WeekIndex],37))</f>
        <v/>
      </c>
      <c r="AM37" s="19">
        <f>IF(COUNTIFS(T_TTAFStock_Log[Part Name],$A37,T_TTAFStock_Log[WeekIndex],38)=0,"",SUMIFS(T_TTAFStock_Log[TTAF_Qty],T_TTAFStock_Log[Part Name],$A37,T_TTAFStock_Log[WeekIndex],38))</f>
        <v/>
      </c>
      <c r="AN37" s="19">
        <f>IF(COUNTIFS(T_TTAFStock_Log[Part Name],$A37,T_TTAFStock_Log[WeekIndex],39)=0,"",SUMIFS(T_TTAFStock_Log[TTAF_Qty],T_TTAFStock_Log[Part Name],$A37,T_TTAFStock_Log[WeekIndex],39))</f>
        <v/>
      </c>
      <c r="AO37" s="19">
        <f>IF(COUNTIFS(T_TTAFStock_Log[Part Name],$A37,T_TTAFStock_Log[WeekIndex],40)=0,"",SUMIFS(T_TTAFStock_Log[TTAF_Qty],T_TTAFStock_Log[Part Name],$A37,T_TTAFStock_Log[WeekIndex],40))</f>
        <v/>
      </c>
      <c r="AP37" s="19">
        <f>IF(COUNTIFS(T_TTAFStock_Log[Part Name],$A37,T_TTAFStock_Log[WeekIndex],41)=0,"",SUMIFS(T_TTAFStock_Log[TTAF_Qty],T_TTAFStock_Log[Part Name],$A37,T_TTAFStock_Log[WeekIndex],41))</f>
        <v/>
      </c>
      <c r="AQ37" s="19">
        <f>IF(COUNTIFS(T_TTAFStock_Log[Part Name],$A37,T_TTAFStock_Log[WeekIndex],42)=0,"",SUMIFS(T_TTAFStock_Log[TTAF_Qty],T_TTAFStock_Log[Part Name],$A37,T_TTAFStock_Log[WeekIndex],42))</f>
        <v/>
      </c>
      <c r="AR37" s="19">
        <f>IF(COUNTIFS(T_TTAFStock_Log[Part Name],$A37,T_TTAFStock_Log[WeekIndex],43)=0,"",SUMIFS(T_TTAFStock_Log[TTAF_Qty],T_TTAFStock_Log[Part Name],$A37,T_TTAFStock_Log[WeekIndex],43))</f>
        <v/>
      </c>
      <c r="AS37" s="19">
        <f>IF(COUNTIFS(T_TTAFStock_Log[Part Name],$A37,T_TTAFStock_Log[WeekIndex],44)=0,"",SUMIFS(T_TTAFStock_Log[TTAF_Qty],T_TTAFStock_Log[Part Name],$A37,T_TTAFStock_Log[WeekIndex],44))</f>
        <v/>
      </c>
      <c r="AT37" s="19">
        <f>IF(COUNTIFS(T_TTAFStock_Log[Part Name],$A37,T_TTAFStock_Log[WeekIndex],45)=0,"",SUMIFS(T_TTAFStock_Log[TTAF_Qty],T_TTAFStock_Log[Part Name],$A37,T_TTAFStock_Log[WeekIndex],45))</f>
        <v/>
      </c>
      <c r="AU37" s="19">
        <f>IF(COUNTIFS(T_TTAFStock_Log[Part Name],$A37,T_TTAFStock_Log[WeekIndex],46)=0,"",SUMIFS(T_TTAFStock_Log[TTAF_Qty],T_TTAFStock_Log[Part Name],$A37,T_TTAFStock_Log[WeekIndex],46))</f>
        <v/>
      </c>
      <c r="AV37" s="19">
        <f>IF(COUNTIFS(T_TTAFStock_Log[Part Name],$A37,T_TTAFStock_Log[WeekIndex],47)=0,"",SUMIFS(T_TTAFStock_Log[TTAF_Qty],T_TTAFStock_Log[Part Name],$A37,T_TTAFStock_Log[WeekIndex],47))</f>
        <v/>
      </c>
      <c r="AW37" s="19">
        <f>IF(COUNTIFS(T_TTAFStock_Log[Part Name],$A37,T_TTAFStock_Log[WeekIndex],48)=0,"",SUMIFS(T_TTAFStock_Log[TTAF_Qty],T_TTAFStock_Log[Part Name],$A37,T_TTAFStock_Log[WeekIndex],48))</f>
        <v/>
      </c>
      <c r="AX37" s="19">
        <f>IF(COUNTIFS(T_TTAFStock_Log[Part Name],$A37,T_TTAFStock_Log[WeekIndex],49)=0,"",SUMIFS(T_TTAFStock_Log[TTAF_Qty],T_TTAFStock_Log[Part Name],$A37,T_TTAFStock_Log[WeekIndex],49))</f>
        <v/>
      </c>
      <c r="AY37" s="19">
        <f>IF(COUNTIFS(T_TTAFStock_Log[Part Name],$A37,T_TTAFStock_Log[WeekIndex],50)=0,"",SUMIFS(T_TTAFStock_Log[TTAF_Qty],T_TTAFStock_Log[Part Name],$A37,T_TTAFStock_Log[WeekIndex],50))</f>
        <v/>
      </c>
      <c r="AZ37" s="19">
        <f>IF(COUNTIFS(T_TTAFStock_Log[Part Name],$A37,T_TTAFStock_Log[WeekIndex],51)=0,"",SUMIFS(T_TTAFStock_Log[TTAF_Qty],T_TTAFStock_Log[Part Name],$A37,T_TTAFStock_Log[WeekIndex],51))</f>
        <v/>
      </c>
      <c r="BA37" s="19">
        <f>IF(COUNTIFS(T_TTAFStock_Log[Part Name],$A37,T_TTAFStock_Log[WeekIndex],52)=0,"",SUMIFS(T_TTAFStock_Log[TTAF_Qty],T_TTAFStock_Log[Part Name],$A37,T_TTAFStock_Log[WeekIndex],52))</f>
        <v/>
      </c>
      <c r="BB37" s="19">
        <f>IF(COUNTIFS(T_TTAFStock_Log[Part Name],$A37,T_TTAFStock_Log[WeekIndex],53)=0,"",SUMIFS(T_TTAFStock_Log[TTAF_Qty],T_TTAFStock_Log[Part Name],$A37,T_TTAFStock_Log[WeekIndex],53))</f>
        <v/>
      </c>
      <c r="BC37" s="19">
        <f>IF(COUNTIFS(T_TTAFStock_Log[Part Name],$A37,T_TTAFStock_Log[WeekIndex],54)=0,"",SUMIFS(T_TTAFStock_Log[TTAF_Qty],T_TTAFStock_Log[Part Name],$A37,T_TTAFStock_Log[WeekIndex],54))</f>
        <v/>
      </c>
      <c r="BD37" s="19">
        <f>IF(COUNTIFS(T_TTAFStock_Log[Part Name],$A37,T_TTAFStock_Log[WeekIndex],55)=0,"",SUMIFS(T_TTAFStock_Log[TTAF_Qty],T_TTAFStock_Log[Part Name],$A37,T_TTAFStock_Log[WeekIndex],55))</f>
        <v/>
      </c>
      <c r="BE37" s="19">
        <f>IF(COUNTIFS(T_TTAFStock_Log[Part Name],$A37,T_TTAFStock_Log[WeekIndex],56)=0,"",SUMIFS(T_TTAFStock_Log[TTAF_Qty],T_TTAFStock_Log[Part Name],$A37,T_TTAFStock_Log[WeekIndex],56))</f>
        <v/>
      </c>
      <c r="BF37" s="19">
        <f>IF(COUNTIFS(T_TTAFStock_Log[Part Name],$A37,T_TTAFStock_Log[WeekIndex],57)=0,"",SUMIFS(T_TTAFStock_Log[TTAF_Qty],T_TTAFStock_Log[Part Name],$A37,T_TTAFStock_Log[WeekIndex],57))</f>
        <v/>
      </c>
      <c r="BG37" s="19">
        <f>IF(COUNTIFS(T_TTAFStock_Log[Part Name],$A37,T_TTAFStock_Log[WeekIndex],58)=0,"",SUMIFS(T_TTAFStock_Log[TTAF_Qty],T_TTAFStock_Log[Part Name],$A37,T_TTAFStock_Log[WeekIndex],58))</f>
        <v/>
      </c>
      <c r="BH37" s="19">
        <f>IF(COUNTIFS(T_TTAFStock_Log[Part Name],$A37,T_TTAFStock_Log[WeekIndex],59)=0,"",SUMIFS(T_TTAFStock_Log[TTAF_Qty],T_TTAFStock_Log[Part Name],$A37,T_TTAFStock_Log[WeekIndex],59))</f>
        <v/>
      </c>
      <c r="BI37" s="19">
        <f>IF(COUNTIFS(T_TTAFStock_Log[Part Name],$A37,T_TTAFStock_Log[WeekIndex],60)=0,"",SUMIFS(T_TTAFStock_Log[TTAF_Qty],T_TTAFStock_Log[Part Name],$A37,T_TTAFStock_Log[WeekIndex],60))</f>
        <v/>
      </c>
      <c r="BJ37" s="19">
        <f>IF(COUNTIFS(T_TTAFStock_Log[Part Name],$A37,T_TTAFStock_Log[WeekIndex],61)=0,"",SUMIFS(T_TTAFStock_Log[TTAF_Qty],T_TTAFStock_Log[Part Name],$A37,T_TTAFStock_Log[WeekIndex],61))</f>
        <v/>
      </c>
      <c r="BK37" s="19">
        <f>IF(COUNTIFS(T_TTAFStock_Log[Part Name],$A37,T_TTAFStock_Log[WeekIndex],62)=0,"",SUMIFS(T_TTAFStock_Log[TTAF_Qty],T_TTAFStock_Log[Part Name],$A37,T_TTAFStock_Log[WeekIndex],62))</f>
        <v/>
      </c>
      <c r="BL37" s="19">
        <f>IF(COUNTIFS(T_TTAFStock_Log[Part Name],$A37,T_TTAFStock_Log[WeekIndex],63)=0,"",SUMIFS(T_TTAFStock_Log[TTAF_Qty],T_TTAFStock_Log[Part Name],$A37,T_TTAFStock_Log[WeekIndex],63))</f>
        <v/>
      </c>
      <c r="BM37" s="19">
        <f>IF(COUNTIFS(T_TTAFStock_Log[Part Name],$A37,T_TTAFStock_Log[WeekIndex],64)=0,"",SUMIFS(T_TTAFStock_Log[TTAF_Qty],T_TTAFStock_Log[Part Name],$A37,T_TTAFStock_Log[WeekIndex],64))</f>
        <v/>
      </c>
      <c r="BN37" s="19">
        <f>IF(COUNTIFS(T_TTAFStock_Log[Part Name],$A37,T_TTAFStock_Log[WeekIndex],65)=0,"",SUMIFS(T_TTAFStock_Log[TTAF_Qty],T_TTAFStock_Log[Part Name],$A37,T_TTAFStock_Log[WeekIndex],65))</f>
        <v/>
      </c>
      <c r="BO37" s="19">
        <f>IF(COUNTIFS(T_TTAFStock_Log[Part Name],$A37,T_TTAFStock_Log[WeekIndex],66)=0,"",SUMIFS(T_TTAFStock_Log[TTAF_Qty],T_TTAFStock_Log[Part Name],$A37,T_TTAFStock_Log[WeekIndex],66))</f>
        <v/>
      </c>
      <c r="BP37" s="19">
        <f>IF(COUNTIFS(T_TTAFStock_Log[Part Name],$A37,T_TTAFStock_Log[WeekIndex],67)=0,"",SUMIFS(T_TTAFStock_Log[TTAF_Qty],T_TTAFStock_Log[Part Name],$A37,T_TTAFStock_Log[WeekIndex],67))</f>
        <v/>
      </c>
      <c r="BQ37" s="19">
        <f>IF(COUNTIFS(T_TTAFStock_Log[Part Name],$A37,T_TTAFStock_Log[WeekIndex],68)=0,"",SUMIFS(T_TTAFStock_Log[TTAF_Qty],T_TTAFStock_Log[Part Name],$A37,T_TTAFStock_Log[WeekIndex],68))</f>
        <v/>
      </c>
      <c r="BR37" s="19">
        <f>IF(COUNTIFS(T_TTAFStock_Log[Part Name],$A37,T_TTAFStock_Log[WeekIndex],69)=0,"",SUMIFS(T_TTAFStock_Log[TTAF_Qty],T_TTAFStock_Log[Part Name],$A37,T_TTAFStock_Log[WeekIndex],69))</f>
        <v/>
      </c>
      <c r="BS37" s="19">
        <f>IF(COUNTIFS(T_TTAFStock_Log[Part Name],$A37,T_TTAFStock_Log[WeekIndex],70)=0,"",SUMIFS(T_TTAFStock_Log[TTAF_Qty],T_TTAFStock_Log[Part Name],$A37,T_TTAFStock_Log[WeekIndex],70))</f>
        <v/>
      </c>
      <c r="BT37" s="19">
        <f>IF(COUNTIFS(T_TTAFStock_Log[Part Name],$A37,T_TTAFStock_Log[WeekIndex],71)=0,"",SUMIFS(T_TTAFStock_Log[TTAF_Qty],T_TTAFStock_Log[Part Name],$A37,T_TTAFStock_Log[WeekIndex],71))</f>
        <v/>
      </c>
      <c r="BU37" s="19">
        <f>IF(COUNTIFS(T_TTAFStock_Log[Part Name],$A37,T_TTAFStock_Log[WeekIndex],72)=0,"",SUMIFS(T_TTAFStock_Log[TTAF_Qty],T_TTAFStock_Log[Part Name],$A37,T_TTAFStock_Log[WeekIndex],72))</f>
        <v/>
      </c>
      <c r="BV37" s="19">
        <f>IF(COUNTIFS(T_TTAFStock_Log[Part Name],$A37,T_TTAFStock_Log[WeekIndex],73)=0,"",SUMIFS(T_TTAFStock_Log[TTAF_Qty],T_TTAFStock_Log[Part Name],$A37,T_TTAFStock_Log[WeekIndex],73))</f>
        <v/>
      </c>
      <c r="BW37" s="19">
        <f>IF(COUNTIFS(T_TTAFStock_Log[Part Name],$A37,T_TTAFStock_Log[WeekIndex],74)=0,"",SUMIFS(T_TTAFStock_Log[TTAF_Qty],T_TTAFStock_Log[Part Name],$A37,T_TTAFStock_Log[WeekIndex],74))</f>
        <v/>
      </c>
      <c r="BX37" s="19">
        <f>IF(COUNTIFS(T_TTAFStock_Log[Part Name],$A37,T_TTAFStock_Log[WeekIndex],75)=0,"",SUMIFS(T_TTAFStock_Log[TTAF_Qty],T_TTAFStock_Log[Part Name],$A37,T_TTAFStock_Log[WeekIndex],75))</f>
        <v/>
      </c>
      <c r="BY37" s="19">
        <f>IF(COUNTIFS(T_TTAFStock_Log[Part Name],$A37,T_TTAFStock_Log[WeekIndex],76)=0,"",SUMIFS(T_TTAFStock_Log[TTAF_Qty],T_TTAFStock_Log[Part Name],$A37,T_TTAFStock_Log[WeekIndex],76))</f>
        <v/>
      </c>
      <c r="BZ37" s="19">
        <f>IF(COUNTIFS(T_TTAFStock_Log[Part Name],$A37,T_TTAFStock_Log[WeekIndex],77)=0,"",SUMIFS(T_TTAFStock_Log[TTAF_Qty],T_TTAFStock_Log[Part Name],$A37,T_TTAFStock_Log[WeekIndex],77))</f>
        <v/>
      </c>
      <c r="CA37" s="19">
        <f>IF(COUNTIFS(T_TTAFStock_Log[Part Name],$A37,T_TTAFStock_Log[WeekIndex],78)=0,"",SUMIFS(T_TTAFStock_Log[TTAF_Qty],T_TTAFStock_Log[Part Name],$A37,T_TTAFStock_Log[WeekIndex],78))</f>
        <v/>
      </c>
      <c r="CB37" s="19">
        <f>IF(COUNTIFS(T_TTAFStock_Log[Part Name],$A37,T_TTAFStock_Log[WeekIndex],79)=0,"",SUMIFS(T_TTAFStock_Log[TTAF_Qty],T_TTAFStock_Log[Part Name],$A37,T_TTAFStock_Log[WeekIndex],79))</f>
        <v/>
      </c>
      <c r="CC37" s="19">
        <f>IF(COUNTIFS(T_TTAFStock_Log[Part Name],$A37,T_TTAFStock_Log[WeekIndex],80)=0,"",SUMIFS(T_TTAFStock_Log[TTAF_Qty],T_TTAFStock_Log[Part Name],$A37,T_TTAFStock_Log[WeekIndex],80))</f>
        <v/>
      </c>
      <c r="CD37" s="19">
        <f>IF(COUNTIFS(T_TTAFStock_Log[Part Name],$A37,T_TTAFStock_Log[WeekIndex],81)=0,"",SUMIFS(T_TTAFStock_Log[TTAF_Qty],T_TTAFStock_Log[Part Name],$A37,T_TTAFStock_Log[WeekIndex],81))</f>
        <v/>
      </c>
      <c r="CE37" s="19">
        <f>IF(COUNTIFS(T_TTAFStock_Log[Part Name],$A37,T_TTAFStock_Log[WeekIndex],82)=0,"",SUMIFS(T_TTAFStock_Log[TTAF_Qty],T_TTAFStock_Log[Part Name],$A37,T_TTAFStock_Log[WeekIndex],82))</f>
        <v/>
      </c>
      <c r="CF37" s="19">
        <f>IF(COUNTIFS(T_TTAFStock_Log[Part Name],$A37,T_TTAFStock_Log[WeekIndex],83)=0,"",SUMIFS(T_TTAFStock_Log[TTAF_Qty],T_TTAFStock_Log[Part Name],$A37,T_TTAFStock_Log[WeekIndex],83))</f>
        <v/>
      </c>
      <c r="CG37" s="19">
        <f>IF(COUNTIFS(T_TTAFStock_Log[Part Name],$A37,T_TTAFStock_Log[WeekIndex],84)=0,"",SUMIFS(T_TTAFStock_Log[TTAF_Qty],T_TTAFStock_Log[Part Name],$A37,T_TTAFStock_Log[WeekIndex],84))</f>
        <v/>
      </c>
      <c r="CH37" s="19">
        <f>IF(COUNTIFS(T_TTAFStock_Log[Part Name],$A37,T_TTAFStock_Log[WeekIndex],85)=0,"",SUMIFS(T_TTAFStock_Log[TTAF_Qty],T_TTAFStock_Log[Part Name],$A37,T_TTAFStock_Log[WeekIndex],85))</f>
        <v/>
      </c>
      <c r="CI37" s="19">
        <f>IF(COUNTIFS(T_TTAFStock_Log[Part Name],$A37,T_TTAFStock_Log[WeekIndex],86)=0,"",SUMIFS(T_TTAFStock_Log[TTAF_Qty],T_TTAFStock_Log[Part Name],$A37,T_TTAFStock_Log[WeekIndex],86))</f>
        <v/>
      </c>
      <c r="CJ37" s="19">
        <f>IF(COUNTIFS(T_TTAFStock_Log[Part Name],$A37,T_TTAFStock_Log[WeekIndex],87)=0,"",SUMIFS(T_TTAFStock_Log[TTAF_Qty],T_TTAFStock_Log[Part Name],$A37,T_TTAFStock_Log[WeekIndex],87))</f>
        <v/>
      </c>
      <c r="CK37" s="19">
        <f>IF(COUNTIFS(T_TTAFStock_Log[Part Name],$A37,T_TTAFStock_Log[WeekIndex],88)=0,"",SUMIFS(T_TTAFStock_Log[TTAF_Qty],T_TTAFStock_Log[Part Name],$A37,T_TTAFStock_Log[WeekIndex],88))</f>
        <v/>
      </c>
      <c r="CL37" s="19">
        <f>IF(COUNTIFS(T_TTAFStock_Log[Part Name],$A37,T_TTAFStock_Log[WeekIndex],89)=0,"",SUMIFS(T_TTAFStock_Log[TTAF_Qty],T_TTAFStock_Log[Part Name],$A37,T_TTAFStock_Log[WeekIndex],89))</f>
        <v/>
      </c>
      <c r="CM37" s="19">
        <f>IF(COUNTIFS(T_TTAFStock_Log[Part Name],$A37,T_TTAFStock_Log[WeekIndex],90)=0,"",SUMIFS(T_TTAFStock_Log[TTAF_Qty],T_TTAFStock_Log[Part Name],$A37,T_TTAFStock_Log[WeekIndex],90))</f>
        <v/>
      </c>
      <c r="CN37" s="19">
        <f>IF(COUNTIFS(T_TTAFStock_Log[Part Name],$A37,T_TTAFStock_Log[WeekIndex],91)=0,"",SUMIFS(T_TTAFStock_Log[TTAF_Qty],T_TTAFStock_Log[Part Name],$A37,T_TTAFStock_Log[WeekIndex],91))</f>
        <v/>
      </c>
      <c r="CO37" s="19">
        <f>IF(COUNTIFS(T_TTAFStock_Log[Part Name],$A37,T_TTAFStock_Log[WeekIndex],92)=0,"",SUMIFS(T_TTAFStock_Log[TTAF_Qty],T_TTAFStock_Log[Part Name],$A37,T_TTAFStock_Log[WeekIndex],92))</f>
        <v/>
      </c>
      <c r="CP37" s="19">
        <f>IF(COUNTIFS(T_TTAFStock_Log[Part Name],$A37,T_TTAFStock_Log[WeekIndex],93)=0,"",SUMIFS(T_TTAFStock_Log[TTAF_Qty],T_TTAFStock_Log[Part Name],$A37,T_TTAFStock_Log[WeekIndex],93))</f>
        <v/>
      </c>
      <c r="CQ37" s="19">
        <f>IF(COUNTIFS(T_TTAFStock_Log[Part Name],$A37,T_TTAFStock_Log[WeekIndex],94)=0,"",SUMIFS(T_TTAFStock_Log[TTAF_Qty],T_TTAFStock_Log[Part Name],$A37,T_TTAFStock_Log[WeekIndex],94))</f>
        <v/>
      </c>
      <c r="CR37" s="19">
        <f>IF(COUNTIFS(T_TTAFStock_Log[Part Name],$A37,T_TTAFStock_Log[WeekIndex],95)=0,"",SUMIFS(T_TTAFStock_Log[TTAF_Qty],T_TTAFStock_Log[Part Name],$A37,T_TTAFStock_Log[WeekIndex],95))</f>
        <v/>
      </c>
      <c r="CS37" s="19">
        <f>IF(COUNTIFS(T_TTAFStock_Log[Part Name],$A37,T_TTAFStock_Log[WeekIndex],96)=0,"",SUMIFS(T_TTAFStock_Log[TTAF_Qty],T_TTAFStock_Log[Part Name],$A37,T_TTAFStock_Log[WeekIndex],96))</f>
        <v/>
      </c>
      <c r="CT37" s="19">
        <f>IF(COUNTIFS(T_TTAFStock_Log[Part Name],$A37,T_TTAFStock_Log[WeekIndex],97)=0,"",SUMIFS(T_TTAFStock_Log[TTAF_Qty],T_TTAFStock_Log[Part Name],$A37,T_TTAFStock_Log[WeekIndex],97))</f>
        <v/>
      </c>
      <c r="CU37" s="19">
        <f>IF(COUNTIFS(T_TTAFStock_Log[Part Name],$A37,T_TTAFStock_Log[WeekIndex],98)=0,"",SUMIFS(T_TTAFStock_Log[TTAF_Qty],T_TTAFStock_Log[Part Name],$A37,T_TTAFStock_Log[WeekIndex],98))</f>
        <v/>
      </c>
      <c r="CV37" s="19">
        <f>IF(COUNTIFS(T_TTAFStock_Log[Part Name],$A37,T_TTAFStock_Log[WeekIndex],99)=0,"",SUMIFS(T_TTAFStock_Log[TTAF_Qty],T_TTAFStock_Log[Part Name],$A37,T_TTAFStock_Log[WeekIndex],99))</f>
        <v/>
      </c>
      <c r="CW37" s="19">
        <f>IF(COUNTIFS(T_TTAFStock_Log[Part Name],$A37,T_TTAFStock_Log[WeekIndex],100)=0,"",SUMIFS(T_TTAFStock_Log[TTAF_Qty],T_TTAFStock_Log[Part Name],$A37,T_TTAFStock_Log[WeekIndex],100))</f>
        <v/>
      </c>
      <c r="CX37" s="19">
        <f>IF(COUNTIFS(T_TTAFStock_Log[Part Name],$A37,T_TTAFStock_Log[WeekIndex],101)=0,"",SUMIFS(T_TTAFStock_Log[TTAF_Qty],T_TTAFStock_Log[Part Name],$A37,T_TTAFStock_Log[WeekIndex],101))</f>
        <v/>
      </c>
      <c r="CY37" s="19">
        <f>IF(COUNTIFS(T_TTAFStock_Log[Part Name],$A37,T_TTAFStock_Log[WeekIndex],102)=0,"",SUMIFS(T_TTAFStock_Log[TTAF_Qty],T_TTAFStock_Log[Part Name],$A37,T_TTAFStock_Log[WeekIndex],102))</f>
        <v/>
      </c>
      <c r="CZ37" s="19">
        <f>IF(COUNTIFS(T_TTAFStock_Log[Part Name],$A37,T_TTAFStock_Log[WeekIndex],103)=0,"",SUMIFS(T_TTAFStock_Log[TTAF_Qty],T_TTAFStock_Log[Part Name],$A37,T_TTAFStock_Log[WeekIndex],103))</f>
        <v/>
      </c>
      <c r="DA37" s="19">
        <f>IF(COUNTIFS(T_TTAFStock_Log[Part Name],$A37,T_TTAFStock_Log[WeekIndex],104)=0,"",SUMIFS(T_TTAFStock_Log[TTAF_Qty],T_TTAFStock_Log[Part Name],$A37,T_TTAFStock_Log[WeekIndex],104))</f>
        <v/>
      </c>
    </row>
    <row r="38">
      <c r="A38" s="17" t="inlineStr">
        <is>
          <t>CHEM-1650</t>
        </is>
      </c>
      <c r="B38" s="17">
        <f>IF(COUNTIFS(T_TTAFStock_Log[Part Name],$A38,T_TTAFStock_Log[WeekIndex],1)=0,"",SUMIFS(T_TTAFStock_Log[TTAF_Qty],T_TTAFStock_Log[Part Name],$A38,T_TTAFStock_Log[WeekIndex],1))</f>
        <v/>
      </c>
      <c r="C38" s="17">
        <f>IF(COUNTIFS(T_TTAFStock_Log[Part Name],$A38,T_TTAFStock_Log[WeekIndex],2)=0,"",SUMIFS(T_TTAFStock_Log[TTAF_Qty],T_TTAFStock_Log[Part Name],$A38,T_TTAFStock_Log[WeekIndex],2))</f>
        <v/>
      </c>
      <c r="D38" s="17">
        <f>IF(COUNTIFS(T_TTAFStock_Log[Part Name],$A38,T_TTAFStock_Log[WeekIndex],3)=0,"",SUMIFS(T_TTAFStock_Log[TTAF_Qty],T_TTAFStock_Log[Part Name],$A38,T_TTAFStock_Log[WeekIndex],3))</f>
        <v/>
      </c>
      <c r="E38" s="17">
        <f>IF(COUNTIFS(T_TTAFStock_Log[Part Name],$A38,T_TTAFStock_Log[WeekIndex],4)=0,"",SUMIFS(T_TTAFStock_Log[TTAF_Qty],T_TTAFStock_Log[Part Name],$A38,T_TTAFStock_Log[WeekIndex],4))</f>
        <v/>
      </c>
      <c r="F38" s="17">
        <f>IF(COUNTIFS(T_TTAFStock_Log[Part Name],$A38,T_TTAFStock_Log[WeekIndex],5)=0,"",SUMIFS(T_TTAFStock_Log[TTAF_Qty],T_TTAFStock_Log[Part Name],$A38,T_TTAFStock_Log[WeekIndex],5))</f>
        <v/>
      </c>
      <c r="G38" s="17">
        <f>IF(COUNTIFS(T_TTAFStock_Log[Part Name],$A38,T_TTAFStock_Log[WeekIndex],6)=0,"",SUMIFS(T_TTAFStock_Log[TTAF_Qty],T_TTAFStock_Log[Part Name],$A38,T_TTAFStock_Log[WeekIndex],6))</f>
        <v/>
      </c>
      <c r="H38" s="17">
        <f>IF(COUNTIFS(T_TTAFStock_Log[Part Name],$A38,T_TTAFStock_Log[WeekIndex],7)=0,"",SUMIFS(T_TTAFStock_Log[TTAF_Qty],T_TTAFStock_Log[Part Name],$A38,T_TTAFStock_Log[WeekIndex],7))</f>
        <v/>
      </c>
      <c r="I38" s="17">
        <f>IF(COUNTIFS(T_TTAFStock_Log[Part Name],$A38,T_TTAFStock_Log[WeekIndex],8)=0,"",SUMIFS(T_TTAFStock_Log[TTAF_Qty],T_TTAFStock_Log[Part Name],$A38,T_TTAFStock_Log[WeekIndex],8))</f>
        <v/>
      </c>
      <c r="J38" s="17">
        <f>IF(COUNTIFS(T_TTAFStock_Log[Part Name],$A38,T_TTAFStock_Log[WeekIndex],9)=0,"",SUMIFS(T_TTAFStock_Log[TTAF_Qty],T_TTAFStock_Log[Part Name],$A38,T_TTAFStock_Log[WeekIndex],9))</f>
        <v/>
      </c>
      <c r="K38" s="17">
        <f>IF(COUNTIFS(T_TTAFStock_Log[Part Name],$A38,T_TTAFStock_Log[WeekIndex],10)=0,"",SUMIFS(T_TTAFStock_Log[TTAF_Qty],T_TTAFStock_Log[Part Name],$A38,T_TTAFStock_Log[WeekIndex],10))</f>
        <v/>
      </c>
      <c r="L38" s="17">
        <f>IF(COUNTIFS(T_TTAFStock_Log[Part Name],$A38,T_TTAFStock_Log[WeekIndex],11)=0,"",SUMIFS(T_TTAFStock_Log[TTAF_Qty],T_TTAFStock_Log[Part Name],$A38,T_TTAFStock_Log[WeekIndex],11))</f>
        <v/>
      </c>
      <c r="M38" s="17">
        <f>IF(COUNTIFS(T_TTAFStock_Log[Part Name],$A38,T_TTAFStock_Log[WeekIndex],12)=0,"",SUMIFS(T_TTAFStock_Log[TTAF_Qty],T_TTAFStock_Log[Part Name],$A38,T_TTAFStock_Log[WeekIndex],12))</f>
        <v/>
      </c>
      <c r="N38" s="17">
        <f>IF(COUNTIFS(T_TTAFStock_Log[Part Name],$A38,T_TTAFStock_Log[WeekIndex],13)=0,"",SUMIFS(T_TTAFStock_Log[TTAF_Qty],T_TTAFStock_Log[Part Name],$A38,T_TTAFStock_Log[WeekIndex],13))</f>
        <v/>
      </c>
      <c r="O38" s="17">
        <f>IF(COUNTIFS(T_TTAFStock_Log[Part Name],$A38,T_TTAFStock_Log[WeekIndex],14)=0,"",SUMIFS(T_TTAFStock_Log[TTAF_Qty],T_TTAFStock_Log[Part Name],$A38,T_TTAFStock_Log[WeekIndex],14))</f>
        <v/>
      </c>
      <c r="P38" s="17">
        <f>IF(COUNTIFS(T_TTAFStock_Log[Part Name],$A38,T_TTAFStock_Log[WeekIndex],15)=0,"",SUMIFS(T_TTAFStock_Log[TTAF_Qty],T_TTAFStock_Log[Part Name],$A38,T_TTAFStock_Log[WeekIndex],15))</f>
        <v/>
      </c>
      <c r="Q38" s="17">
        <f>IF(COUNTIFS(T_TTAFStock_Log[Part Name],$A38,T_TTAFStock_Log[WeekIndex],16)=0,"",SUMIFS(T_TTAFStock_Log[TTAF_Qty],T_TTAFStock_Log[Part Name],$A38,T_TTAFStock_Log[WeekIndex],16))</f>
        <v/>
      </c>
      <c r="R38" s="17">
        <f>IF(COUNTIFS(T_TTAFStock_Log[Part Name],$A38,T_TTAFStock_Log[WeekIndex],17)=0,"",SUMIFS(T_TTAFStock_Log[TTAF_Qty],T_TTAFStock_Log[Part Name],$A38,T_TTAFStock_Log[WeekIndex],17))</f>
        <v/>
      </c>
      <c r="S38" s="17">
        <f>IF(COUNTIFS(T_TTAFStock_Log[Part Name],$A38,T_TTAFStock_Log[WeekIndex],18)=0,"",SUMIFS(T_TTAFStock_Log[TTAF_Qty],T_TTAFStock_Log[Part Name],$A38,T_TTAFStock_Log[WeekIndex],18))</f>
        <v/>
      </c>
      <c r="T38" s="17">
        <f>IF(COUNTIFS(T_TTAFStock_Log[Part Name],$A38,T_TTAFStock_Log[WeekIndex],19)=0,"",SUMIFS(T_TTAFStock_Log[TTAF_Qty],T_TTAFStock_Log[Part Name],$A38,T_TTAFStock_Log[WeekIndex],19))</f>
        <v/>
      </c>
      <c r="U38" s="17">
        <f>IF(COUNTIFS(T_TTAFStock_Log[Part Name],$A38,T_TTAFStock_Log[WeekIndex],20)=0,"",SUMIFS(T_TTAFStock_Log[TTAF_Qty],T_TTAFStock_Log[Part Name],$A38,T_TTAFStock_Log[WeekIndex],20))</f>
        <v/>
      </c>
      <c r="V38" s="17">
        <f>IF(COUNTIFS(T_TTAFStock_Log[Part Name],$A38,T_TTAFStock_Log[WeekIndex],21)=0,"",SUMIFS(T_TTAFStock_Log[TTAF_Qty],T_TTAFStock_Log[Part Name],$A38,T_TTAFStock_Log[WeekIndex],21))</f>
        <v/>
      </c>
      <c r="W38" s="17">
        <f>IF(COUNTIFS(T_TTAFStock_Log[Part Name],$A38,T_TTAFStock_Log[WeekIndex],22)=0,"",SUMIFS(T_TTAFStock_Log[TTAF_Qty],T_TTAFStock_Log[Part Name],$A38,T_TTAFStock_Log[WeekIndex],22))</f>
        <v/>
      </c>
      <c r="X38" s="17">
        <f>IF(COUNTIFS(T_TTAFStock_Log[Part Name],$A38,T_TTAFStock_Log[WeekIndex],23)=0,"",SUMIFS(T_TTAFStock_Log[TTAF_Qty],T_TTAFStock_Log[Part Name],$A38,T_TTAFStock_Log[WeekIndex],23))</f>
        <v/>
      </c>
      <c r="Y38" s="17">
        <f>IF(COUNTIFS(T_TTAFStock_Log[Part Name],$A38,T_TTAFStock_Log[WeekIndex],24)=0,"",SUMIFS(T_TTAFStock_Log[TTAF_Qty],T_TTAFStock_Log[Part Name],$A38,T_TTAFStock_Log[WeekIndex],24))</f>
        <v/>
      </c>
      <c r="Z38" s="17">
        <f>IF(COUNTIFS(T_TTAFStock_Log[Part Name],$A38,T_TTAFStock_Log[WeekIndex],25)=0,"",SUMIFS(T_TTAFStock_Log[TTAF_Qty],T_TTAFStock_Log[Part Name],$A38,T_TTAFStock_Log[WeekIndex],25))</f>
        <v/>
      </c>
      <c r="AA38" s="17">
        <f>IF(COUNTIFS(T_TTAFStock_Log[Part Name],$A38,T_TTAFStock_Log[WeekIndex],26)=0,"",SUMIFS(T_TTAFStock_Log[TTAF_Qty],T_TTAFStock_Log[Part Name],$A38,T_TTAFStock_Log[WeekIndex],26))</f>
        <v/>
      </c>
      <c r="AB38" s="17">
        <f>IF(COUNTIFS(T_TTAFStock_Log[Part Name],$A38,T_TTAFStock_Log[WeekIndex],27)=0,"",SUMIFS(T_TTAFStock_Log[TTAF_Qty],T_TTAFStock_Log[Part Name],$A38,T_TTAFStock_Log[WeekIndex],27))</f>
        <v/>
      </c>
      <c r="AC38" s="17">
        <f>IF(COUNTIFS(T_TTAFStock_Log[Part Name],$A38,T_TTAFStock_Log[WeekIndex],28)=0,"",SUMIFS(T_TTAFStock_Log[TTAF_Qty],T_TTAFStock_Log[Part Name],$A38,T_TTAFStock_Log[WeekIndex],28))</f>
        <v/>
      </c>
      <c r="AD38" s="17">
        <f>IF(COUNTIFS(T_TTAFStock_Log[Part Name],$A38,T_TTAFStock_Log[WeekIndex],29)=0,"",SUMIFS(T_TTAFStock_Log[TTAF_Qty],T_TTAFStock_Log[Part Name],$A38,T_TTAFStock_Log[WeekIndex],29))</f>
        <v/>
      </c>
      <c r="AE38" s="17">
        <f>IF(COUNTIFS(T_TTAFStock_Log[Part Name],$A38,T_TTAFStock_Log[WeekIndex],30)=0,"",SUMIFS(T_TTAFStock_Log[TTAF_Qty],T_TTAFStock_Log[Part Name],$A38,T_TTAFStock_Log[WeekIndex],30))</f>
        <v/>
      </c>
      <c r="AF38" s="17">
        <f>IF(COUNTIFS(T_TTAFStock_Log[Part Name],$A38,T_TTAFStock_Log[WeekIndex],31)=0,"",SUMIFS(T_TTAFStock_Log[TTAF_Qty],T_TTAFStock_Log[Part Name],$A38,T_TTAFStock_Log[WeekIndex],31))</f>
        <v/>
      </c>
      <c r="AG38" s="17">
        <f>IF(COUNTIFS(T_TTAFStock_Log[Part Name],$A38,T_TTAFStock_Log[WeekIndex],32)=0,"",SUMIFS(T_TTAFStock_Log[TTAF_Qty],T_TTAFStock_Log[Part Name],$A38,T_TTAFStock_Log[WeekIndex],32))</f>
        <v/>
      </c>
      <c r="AH38" s="17">
        <f>IF(COUNTIFS(T_TTAFStock_Log[Part Name],$A38,T_TTAFStock_Log[WeekIndex],33)=0,"",SUMIFS(T_TTAFStock_Log[TTAF_Qty],T_TTAFStock_Log[Part Name],$A38,T_TTAFStock_Log[WeekIndex],33))</f>
        <v/>
      </c>
      <c r="AI38" s="17">
        <f>IF(COUNTIFS(T_TTAFStock_Log[Part Name],$A38,T_TTAFStock_Log[WeekIndex],34)=0,"",SUMIFS(T_TTAFStock_Log[TTAF_Qty],T_TTAFStock_Log[Part Name],$A38,T_TTAFStock_Log[WeekIndex],34))</f>
        <v/>
      </c>
      <c r="AJ38" s="17">
        <f>IF(COUNTIFS(T_TTAFStock_Log[Part Name],$A38,T_TTAFStock_Log[WeekIndex],35)=0,"",SUMIFS(T_TTAFStock_Log[TTAF_Qty],T_TTAFStock_Log[Part Name],$A38,T_TTAFStock_Log[WeekIndex],35))</f>
        <v/>
      </c>
      <c r="AK38" s="17">
        <f>IF(COUNTIFS(T_TTAFStock_Log[Part Name],$A38,T_TTAFStock_Log[WeekIndex],36)=0,"",SUMIFS(T_TTAFStock_Log[TTAF_Qty],T_TTAFStock_Log[Part Name],$A38,T_TTAFStock_Log[WeekIndex],36))</f>
        <v/>
      </c>
      <c r="AL38" s="17">
        <f>IF(COUNTIFS(T_TTAFStock_Log[Part Name],$A38,T_TTAFStock_Log[WeekIndex],37)=0,"",SUMIFS(T_TTAFStock_Log[TTAF_Qty],T_TTAFStock_Log[Part Name],$A38,T_TTAFStock_Log[WeekIndex],37))</f>
        <v/>
      </c>
      <c r="AM38" s="17">
        <f>IF(COUNTIFS(T_TTAFStock_Log[Part Name],$A38,T_TTAFStock_Log[WeekIndex],38)=0,"",SUMIFS(T_TTAFStock_Log[TTAF_Qty],T_TTAFStock_Log[Part Name],$A38,T_TTAFStock_Log[WeekIndex],38))</f>
        <v/>
      </c>
      <c r="AN38" s="17">
        <f>IF(COUNTIFS(T_TTAFStock_Log[Part Name],$A38,T_TTAFStock_Log[WeekIndex],39)=0,"",SUMIFS(T_TTAFStock_Log[TTAF_Qty],T_TTAFStock_Log[Part Name],$A38,T_TTAFStock_Log[WeekIndex],39))</f>
        <v/>
      </c>
      <c r="AO38" s="17">
        <f>IF(COUNTIFS(T_TTAFStock_Log[Part Name],$A38,T_TTAFStock_Log[WeekIndex],40)=0,"",SUMIFS(T_TTAFStock_Log[TTAF_Qty],T_TTAFStock_Log[Part Name],$A38,T_TTAFStock_Log[WeekIndex],40))</f>
        <v/>
      </c>
      <c r="AP38" s="17">
        <f>IF(COUNTIFS(T_TTAFStock_Log[Part Name],$A38,T_TTAFStock_Log[WeekIndex],41)=0,"",SUMIFS(T_TTAFStock_Log[TTAF_Qty],T_TTAFStock_Log[Part Name],$A38,T_TTAFStock_Log[WeekIndex],41))</f>
        <v/>
      </c>
      <c r="AQ38" s="17">
        <f>IF(COUNTIFS(T_TTAFStock_Log[Part Name],$A38,T_TTAFStock_Log[WeekIndex],42)=0,"",SUMIFS(T_TTAFStock_Log[TTAF_Qty],T_TTAFStock_Log[Part Name],$A38,T_TTAFStock_Log[WeekIndex],42))</f>
        <v/>
      </c>
      <c r="AR38" s="17">
        <f>IF(COUNTIFS(T_TTAFStock_Log[Part Name],$A38,T_TTAFStock_Log[WeekIndex],43)=0,"",SUMIFS(T_TTAFStock_Log[TTAF_Qty],T_TTAFStock_Log[Part Name],$A38,T_TTAFStock_Log[WeekIndex],43))</f>
        <v/>
      </c>
      <c r="AS38" s="17">
        <f>IF(COUNTIFS(T_TTAFStock_Log[Part Name],$A38,T_TTAFStock_Log[WeekIndex],44)=0,"",SUMIFS(T_TTAFStock_Log[TTAF_Qty],T_TTAFStock_Log[Part Name],$A38,T_TTAFStock_Log[WeekIndex],44))</f>
        <v/>
      </c>
      <c r="AT38" s="17">
        <f>IF(COUNTIFS(T_TTAFStock_Log[Part Name],$A38,T_TTAFStock_Log[WeekIndex],45)=0,"",SUMIFS(T_TTAFStock_Log[TTAF_Qty],T_TTAFStock_Log[Part Name],$A38,T_TTAFStock_Log[WeekIndex],45))</f>
        <v/>
      </c>
      <c r="AU38" s="17">
        <f>IF(COUNTIFS(T_TTAFStock_Log[Part Name],$A38,T_TTAFStock_Log[WeekIndex],46)=0,"",SUMIFS(T_TTAFStock_Log[TTAF_Qty],T_TTAFStock_Log[Part Name],$A38,T_TTAFStock_Log[WeekIndex],46))</f>
        <v/>
      </c>
      <c r="AV38" s="17">
        <f>IF(COUNTIFS(T_TTAFStock_Log[Part Name],$A38,T_TTAFStock_Log[WeekIndex],47)=0,"",SUMIFS(T_TTAFStock_Log[TTAF_Qty],T_TTAFStock_Log[Part Name],$A38,T_TTAFStock_Log[WeekIndex],47))</f>
        <v/>
      </c>
      <c r="AW38" s="17">
        <f>IF(COUNTIFS(T_TTAFStock_Log[Part Name],$A38,T_TTAFStock_Log[WeekIndex],48)=0,"",SUMIFS(T_TTAFStock_Log[TTAF_Qty],T_TTAFStock_Log[Part Name],$A38,T_TTAFStock_Log[WeekIndex],48))</f>
        <v/>
      </c>
      <c r="AX38" s="17">
        <f>IF(COUNTIFS(T_TTAFStock_Log[Part Name],$A38,T_TTAFStock_Log[WeekIndex],49)=0,"",SUMIFS(T_TTAFStock_Log[TTAF_Qty],T_TTAFStock_Log[Part Name],$A38,T_TTAFStock_Log[WeekIndex],49))</f>
        <v/>
      </c>
      <c r="AY38" s="17">
        <f>IF(COUNTIFS(T_TTAFStock_Log[Part Name],$A38,T_TTAFStock_Log[WeekIndex],50)=0,"",SUMIFS(T_TTAFStock_Log[TTAF_Qty],T_TTAFStock_Log[Part Name],$A38,T_TTAFStock_Log[WeekIndex],50))</f>
        <v/>
      </c>
      <c r="AZ38" s="17">
        <f>IF(COUNTIFS(T_TTAFStock_Log[Part Name],$A38,T_TTAFStock_Log[WeekIndex],51)=0,"",SUMIFS(T_TTAFStock_Log[TTAF_Qty],T_TTAFStock_Log[Part Name],$A38,T_TTAFStock_Log[WeekIndex],51))</f>
        <v/>
      </c>
      <c r="BA38" s="17">
        <f>IF(COUNTIFS(T_TTAFStock_Log[Part Name],$A38,T_TTAFStock_Log[WeekIndex],52)=0,"",SUMIFS(T_TTAFStock_Log[TTAF_Qty],T_TTAFStock_Log[Part Name],$A38,T_TTAFStock_Log[WeekIndex],52))</f>
        <v/>
      </c>
      <c r="BB38" s="17">
        <f>IF(COUNTIFS(T_TTAFStock_Log[Part Name],$A38,T_TTAFStock_Log[WeekIndex],53)=0,"",SUMIFS(T_TTAFStock_Log[TTAF_Qty],T_TTAFStock_Log[Part Name],$A38,T_TTAFStock_Log[WeekIndex],53))</f>
        <v/>
      </c>
      <c r="BC38" s="17">
        <f>IF(COUNTIFS(T_TTAFStock_Log[Part Name],$A38,T_TTAFStock_Log[WeekIndex],54)=0,"",SUMIFS(T_TTAFStock_Log[TTAF_Qty],T_TTAFStock_Log[Part Name],$A38,T_TTAFStock_Log[WeekIndex],54))</f>
        <v/>
      </c>
      <c r="BD38" s="17">
        <f>IF(COUNTIFS(T_TTAFStock_Log[Part Name],$A38,T_TTAFStock_Log[WeekIndex],55)=0,"",SUMIFS(T_TTAFStock_Log[TTAF_Qty],T_TTAFStock_Log[Part Name],$A38,T_TTAFStock_Log[WeekIndex],55))</f>
        <v/>
      </c>
      <c r="BE38" s="17">
        <f>IF(COUNTIFS(T_TTAFStock_Log[Part Name],$A38,T_TTAFStock_Log[WeekIndex],56)=0,"",SUMIFS(T_TTAFStock_Log[TTAF_Qty],T_TTAFStock_Log[Part Name],$A38,T_TTAFStock_Log[WeekIndex],56))</f>
        <v/>
      </c>
      <c r="BF38" s="17">
        <f>IF(COUNTIFS(T_TTAFStock_Log[Part Name],$A38,T_TTAFStock_Log[WeekIndex],57)=0,"",SUMIFS(T_TTAFStock_Log[TTAF_Qty],T_TTAFStock_Log[Part Name],$A38,T_TTAFStock_Log[WeekIndex],57))</f>
        <v/>
      </c>
      <c r="BG38" s="17">
        <f>IF(COUNTIFS(T_TTAFStock_Log[Part Name],$A38,T_TTAFStock_Log[WeekIndex],58)=0,"",SUMIFS(T_TTAFStock_Log[TTAF_Qty],T_TTAFStock_Log[Part Name],$A38,T_TTAFStock_Log[WeekIndex],58))</f>
        <v/>
      </c>
      <c r="BH38" s="17">
        <f>IF(COUNTIFS(T_TTAFStock_Log[Part Name],$A38,T_TTAFStock_Log[WeekIndex],59)=0,"",SUMIFS(T_TTAFStock_Log[TTAF_Qty],T_TTAFStock_Log[Part Name],$A38,T_TTAFStock_Log[WeekIndex],59))</f>
        <v/>
      </c>
      <c r="BI38" s="17">
        <f>IF(COUNTIFS(T_TTAFStock_Log[Part Name],$A38,T_TTAFStock_Log[WeekIndex],60)=0,"",SUMIFS(T_TTAFStock_Log[TTAF_Qty],T_TTAFStock_Log[Part Name],$A38,T_TTAFStock_Log[WeekIndex],60))</f>
        <v/>
      </c>
      <c r="BJ38" s="17">
        <f>IF(COUNTIFS(T_TTAFStock_Log[Part Name],$A38,T_TTAFStock_Log[WeekIndex],61)=0,"",SUMIFS(T_TTAFStock_Log[TTAF_Qty],T_TTAFStock_Log[Part Name],$A38,T_TTAFStock_Log[WeekIndex],61))</f>
        <v/>
      </c>
      <c r="BK38" s="17">
        <f>IF(COUNTIFS(T_TTAFStock_Log[Part Name],$A38,T_TTAFStock_Log[WeekIndex],62)=0,"",SUMIFS(T_TTAFStock_Log[TTAF_Qty],T_TTAFStock_Log[Part Name],$A38,T_TTAFStock_Log[WeekIndex],62))</f>
        <v/>
      </c>
      <c r="BL38" s="17">
        <f>IF(COUNTIFS(T_TTAFStock_Log[Part Name],$A38,T_TTAFStock_Log[WeekIndex],63)=0,"",SUMIFS(T_TTAFStock_Log[TTAF_Qty],T_TTAFStock_Log[Part Name],$A38,T_TTAFStock_Log[WeekIndex],63))</f>
        <v/>
      </c>
      <c r="BM38" s="17">
        <f>IF(COUNTIFS(T_TTAFStock_Log[Part Name],$A38,T_TTAFStock_Log[WeekIndex],64)=0,"",SUMIFS(T_TTAFStock_Log[TTAF_Qty],T_TTAFStock_Log[Part Name],$A38,T_TTAFStock_Log[WeekIndex],64))</f>
        <v/>
      </c>
      <c r="BN38" s="17">
        <f>IF(COUNTIFS(T_TTAFStock_Log[Part Name],$A38,T_TTAFStock_Log[WeekIndex],65)=0,"",SUMIFS(T_TTAFStock_Log[TTAF_Qty],T_TTAFStock_Log[Part Name],$A38,T_TTAFStock_Log[WeekIndex],65))</f>
        <v/>
      </c>
      <c r="BO38" s="17">
        <f>IF(COUNTIFS(T_TTAFStock_Log[Part Name],$A38,T_TTAFStock_Log[WeekIndex],66)=0,"",SUMIFS(T_TTAFStock_Log[TTAF_Qty],T_TTAFStock_Log[Part Name],$A38,T_TTAFStock_Log[WeekIndex],66))</f>
        <v/>
      </c>
      <c r="BP38" s="17">
        <f>IF(COUNTIFS(T_TTAFStock_Log[Part Name],$A38,T_TTAFStock_Log[WeekIndex],67)=0,"",SUMIFS(T_TTAFStock_Log[TTAF_Qty],T_TTAFStock_Log[Part Name],$A38,T_TTAFStock_Log[WeekIndex],67))</f>
        <v/>
      </c>
      <c r="BQ38" s="17">
        <f>IF(COUNTIFS(T_TTAFStock_Log[Part Name],$A38,T_TTAFStock_Log[WeekIndex],68)=0,"",SUMIFS(T_TTAFStock_Log[TTAF_Qty],T_TTAFStock_Log[Part Name],$A38,T_TTAFStock_Log[WeekIndex],68))</f>
        <v/>
      </c>
      <c r="BR38" s="17">
        <f>IF(COUNTIFS(T_TTAFStock_Log[Part Name],$A38,T_TTAFStock_Log[WeekIndex],69)=0,"",SUMIFS(T_TTAFStock_Log[TTAF_Qty],T_TTAFStock_Log[Part Name],$A38,T_TTAFStock_Log[WeekIndex],69))</f>
        <v/>
      </c>
      <c r="BS38" s="17">
        <f>IF(COUNTIFS(T_TTAFStock_Log[Part Name],$A38,T_TTAFStock_Log[WeekIndex],70)=0,"",SUMIFS(T_TTAFStock_Log[TTAF_Qty],T_TTAFStock_Log[Part Name],$A38,T_TTAFStock_Log[WeekIndex],70))</f>
        <v/>
      </c>
      <c r="BT38" s="17">
        <f>IF(COUNTIFS(T_TTAFStock_Log[Part Name],$A38,T_TTAFStock_Log[WeekIndex],71)=0,"",SUMIFS(T_TTAFStock_Log[TTAF_Qty],T_TTAFStock_Log[Part Name],$A38,T_TTAFStock_Log[WeekIndex],71))</f>
        <v/>
      </c>
      <c r="BU38" s="17">
        <f>IF(COUNTIFS(T_TTAFStock_Log[Part Name],$A38,T_TTAFStock_Log[WeekIndex],72)=0,"",SUMIFS(T_TTAFStock_Log[TTAF_Qty],T_TTAFStock_Log[Part Name],$A38,T_TTAFStock_Log[WeekIndex],72))</f>
        <v/>
      </c>
      <c r="BV38" s="17">
        <f>IF(COUNTIFS(T_TTAFStock_Log[Part Name],$A38,T_TTAFStock_Log[WeekIndex],73)=0,"",SUMIFS(T_TTAFStock_Log[TTAF_Qty],T_TTAFStock_Log[Part Name],$A38,T_TTAFStock_Log[WeekIndex],73))</f>
        <v/>
      </c>
      <c r="BW38" s="17">
        <f>IF(COUNTIFS(T_TTAFStock_Log[Part Name],$A38,T_TTAFStock_Log[WeekIndex],74)=0,"",SUMIFS(T_TTAFStock_Log[TTAF_Qty],T_TTAFStock_Log[Part Name],$A38,T_TTAFStock_Log[WeekIndex],74))</f>
        <v/>
      </c>
      <c r="BX38" s="17">
        <f>IF(COUNTIFS(T_TTAFStock_Log[Part Name],$A38,T_TTAFStock_Log[WeekIndex],75)=0,"",SUMIFS(T_TTAFStock_Log[TTAF_Qty],T_TTAFStock_Log[Part Name],$A38,T_TTAFStock_Log[WeekIndex],75))</f>
        <v/>
      </c>
      <c r="BY38" s="17">
        <f>IF(COUNTIFS(T_TTAFStock_Log[Part Name],$A38,T_TTAFStock_Log[WeekIndex],76)=0,"",SUMIFS(T_TTAFStock_Log[TTAF_Qty],T_TTAFStock_Log[Part Name],$A38,T_TTAFStock_Log[WeekIndex],76))</f>
        <v/>
      </c>
      <c r="BZ38" s="17">
        <f>IF(COUNTIFS(T_TTAFStock_Log[Part Name],$A38,T_TTAFStock_Log[WeekIndex],77)=0,"",SUMIFS(T_TTAFStock_Log[TTAF_Qty],T_TTAFStock_Log[Part Name],$A38,T_TTAFStock_Log[WeekIndex],77))</f>
        <v/>
      </c>
      <c r="CA38" s="17">
        <f>IF(COUNTIFS(T_TTAFStock_Log[Part Name],$A38,T_TTAFStock_Log[WeekIndex],78)=0,"",SUMIFS(T_TTAFStock_Log[TTAF_Qty],T_TTAFStock_Log[Part Name],$A38,T_TTAFStock_Log[WeekIndex],78))</f>
        <v/>
      </c>
      <c r="CB38" s="17">
        <f>IF(COUNTIFS(T_TTAFStock_Log[Part Name],$A38,T_TTAFStock_Log[WeekIndex],79)=0,"",SUMIFS(T_TTAFStock_Log[TTAF_Qty],T_TTAFStock_Log[Part Name],$A38,T_TTAFStock_Log[WeekIndex],79))</f>
        <v/>
      </c>
      <c r="CC38" s="17">
        <f>IF(COUNTIFS(T_TTAFStock_Log[Part Name],$A38,T_TTAFStock_Log[WeekIndex],80)=0,"",SUMIFS(T_TTAFStock_Log[TTAF_Qty],T_TTAFStock_Log[Part Name],$A38,T_TTAFStock_Log[WeekIndex],80))</f>
        <v/>
      </c>
      <c r="CD38" s="17">
        <f>IF(COUNTIFS(T_TTAFStock_Log[Part Name],$A38,T_TTAFStock_Log[WeekIndex],81)=0,"",SUMIFS(T_TTAFStock_Log[TTAF_Qty],T_TTAFStock_Log[Part Name],$A38,T_TTAFStock_Log[WeekIndex],81))</f>
        <v/>
      </c>
      <c r="CE38" s="17">
        <f>IF(COUNTIFS(T_TTAFStock_Log[Part Name],$A38,T_TTAFStock_Log[WeekIndex],82)=0,"",SUMIFS(T_TTAFStock_Log[TTAF_Qty],T_TTAFStock_Log[Part Name],$A38,T_TTAFStock_Log[WeekIndex],82))</f>
        <v/>
      </c>
      <c r="CF38" s="17">
        <f>IF(COUNTIFS(T_TTAFStock_Log[Part Name],$A38,T_TTAFStock_Log[WeekIndex],83)=0,"",SUMIFS(T_TTAFStock_Log[TTAF_Qty],T_TTAFStock_Log[Part Name],$A38,T_TTAFStock_Log[WeekIndex],83))</f>
        <v/>
      </c>
      <c r="CG38" s="17">
        <f>IF(COUNTIFS(T_TTAFStock_Log[Part Name],$A38,T_TTAFStock_Log[WeekIndex],84)=0,"",SUMIFS(T_TTAFStock_Log[TTAF_Qty],T_TTAFStock_Log[Part Name],$A38,T_TTAFStock_Log[WeekIndex],84))</f>
        <v/>
      </c>
      <c r="CH38" s="17">
        <f>IF(COUNTIFS(T_TTAFStock_Log[Part Name],$A38,T_TTAFStock_Log[WeekIndex],85)=0,"",SUMIFS(T_TTAFStock_Log[TTAF_Qty],T_TTAFStock_Log[Part Name],$A38,T_TTAFStock_Log[WeekIndex],85))</f>
        <v/>
      </c>
      <c r="CI38" s="17">
        <f>IF(COUNTIFS(T_TTAFStock_Log[Part Name],$A38,T_TTAFStock_Log[WeekIndex],86)=0,"",SUMIFS(T_TTAFStock_Log[TTAF_Qty],T_TTAFStock_Log[Part Name],$A38,T_TTAFStock_Log[WeekIndex],86))</f>
        <v/>
      </c>
      <c r="CJ38" s="17">
        <f>IF(COUNTIFS(T_TTAFStock_Log[Part Name],$A38,T_TTAFStock_Log[WeekIndex],87)=0,"",SUMIFS(T_TTAFStock_Log[TTAF_Qty],T_TTAFStock_Log[Part Name],$A38,T_TTAFStock_Log[WeekIndex],87))</f>
        <v/>
      </c>
      <c r="CK38" s="17">
        <f>IF(COUNTIFS(T_TTAFStock_Log[Part Name],$A38,T_TTAFStock_Log[WeekIndex],88)=0,"",SUMIFS(T_TTAFStock_Log[TTAF_Qty],T_TTAFStock_Log[Part Name],$A38,T_TTAFStock_Log[WeekIndex],88))</f>
        <v/>
      </c>
      <c r="CL38" s="17">
        <f>IF(COUNTIFS(T_TTAFStock_Log[Part Name],$A38,T_TTAFStock_Log[WeekIndex],89)=0,"",SUMIFS(T_TTAFStock_Log[TTAF_Qty],T_TTAFStock_Log[Part Name],$A38,T_TTAFStock_Log[WeekIndex],89))</f>
        <v/>
      </c>
      <c r="CM38" s="17">
        <f>IF(COUNTIFS(T_TTAFStock_Log[Part Name],$A38,T_TTAFStock_Log[WeekIndex],90)=0,"",SUMIFS(T_TTAFStock_Log[TTAF_Qty],T_TTAFStock_Log[Part Name],$A38,T_TTAFStock_Log[WeekIndex],90))</f>
        <v/>
      </c>
      <c r="CN38" s="17">
        <f>IF(COUNTIFS(T_TTAFStock_Log[Part Name],$A38,T_TTAFStock_Log[WeekIndex],91)=0,"",SUMIFS(T_TTAFStock_Log[TTAF_Qty],T_TTAFStock_Log[Part Name],$A38,T_TTAFStock_Log[WeekIndex],91))</f>
        <v/>
      </c>
      <c r="CO38" s="17">
        <f>IF(COUNTIFS(T_TTAFStock_Log[Part Name],$A38,T_TTAFStock_Log[WeekIndex],92)=0,"",SUMIFS(T_TTAFStock_Log[TTAF_Qty],T_TTAFStock_Log[Part Name],$A38,T_TTAFStock_Log[WeekIndex],92))</f>
        <v/>
      </c>
      <c r="CP38" s="17">
        <f>IF(COUNTIFS(T_TTAFStock_Log[Part Name],$A38,T_TTAFStock_Log[WeekIndex],93)=0,"",SUMIFS(T_TTAFStock_Log[TTAF_Qty],T_TTAFStock_Log[Part Name],$A38,T_TTAFStock_Log[WeekIndex],93))</f>
        <v/>
      </c>
      <c r="CQ38" s="17">
        <f>IF(COUNTIFS(T_TTAFStock_Log[Part Name],$A38,T_TTAFStock_Log[WeekIndex],94)=0,"",SUMIFS(T_TTAFStock_Log[TTAF_Qty],T_TTAFStock_Log[Part Name],$A38,T_TTAFStock_Log[WeekIndex],94))</f>
        <v/>
      </c>
      <c r="CR38" s="17">
        <f>IF(COUNTIFS(T_TTAFStock_Log[Part Name],$A38,T_TTAFStock_Log[WeekIndex],95)=0,"",SUMIFS(T_TTAFStock_Log[TTAF_Qty],T_TTAFStock_Log[Part Name],$A38,T_TTAFStock_Log[WeekIndex],95))</f>
        <v/>
      </c>
      <c r="CS38" s="17">
        <f>IF(COUNTIFS(T_TTAFStock_Log[Part Name],$A38,T_TTAFStock_Log[WeekIndex],96)=0,"",SUMIFS(T_TTAFStock_Log[TTAF_Qty],T_TTAFStock_Log[Part Name],$A38,T_TTAFStock_Log[WeekIndex],96))</f>
        <v/>
      </c>
      <c r="CT38" s="17">
        <f>IF(COUNTIFS(T_TTAFStock_Log[Part Name],$A38,T_TTAFStock_Log[WeekIndex],97)=0,"",SUMIFS(T_TTAFStock_Log[TTAF_Qty],T_TTAFStock_Log[Part Name],$A38,T_TTAFStock_Log[WeekIndex],97))</f>
        <v/>
      </c>
      <c r="CU38" s="17">
        <f>IF(COUNTIFS(T_TTAFStock_Log[Part Name],$A38,T_TTAFStock_Log[WeekIndex],98)=0,"",SUMIFS(T_TTAFStock_Log[TTAF_Qty],T_TTAFStock_Log[Part Name],$A38,T_TTAFStock_Log[WeekIndex],98))</f>
        <v/>
      </c>
      <c r="CV38" s="17">
        <f>IF(COUNTIFS(T_TTAFStock_Log[Part Name],$A38,T_TTAFStock_Log[WeekIndex],99)=0,"",SUMIFS(T_TTAFStock_Log[TTAF_Qty],T_TTAFStock_Log[Part Name],$A38,T_TTAFStock_Log[WeekIndex],99))</f>
        <v/>
      </c>
      <c r="CW38" s="17">
        <f>IF(COUNTIFS(T_TTAFStock_Log[Part Name],$A38,T_TTAFStock_Log[WeekIndex],100)=0,"",SUMIFS(T_TTAFStock_Log[TTAF_Qty],T_TTAFStock_Log[Part Name],$A38,T_TTAFStock_Log[WeekIndex],100))</f>
        <v/>
      </c>
      <c r="CX38" s="17">
        <f>IF(COUNTIFS(T_TTAFStock_Log[Part Name],$A38,T_TTAFStock_Log[WeekIndex],101)=0,"",SUMIFS(T_TTAFStock_Log[TTAF_Qty],T_TTAFStock_Log[Part Name],$A38,T_TTAFStock_Log[WeekIndex],101))</f>
        <v/>
      </c>
      <c r="CY38" s="17">
        <f>IF(COUNTIFS(T_TTAFStock_Log[Part Name],$A38,T_TTAFStock_Log[WeekIndex],102)=0,"",SUMIFS(T_TTAFStock_Log[TTAF_Qty],T_TTAFStock_Log[Part Name],$A38,T_TTAFStock_Log[WeekIndex],102))</f>
        <v/>
      </c>
      <c r="CZ38" s="17">
        <f>IF(COUNTIFS(T_TTAFStock_Log[Part Name],$A38,T_TTAFStock_Log[WeekIndex],103)=0,"",SUMIFS(T_TTAFStock_Log[TTAF_Qty],T_TTAFStock_Log[Part Name],$A38,T_TTAFStock_Log[WeekIndex],103))</f>
        <v/>
      </c>
      <c r="DA38" s="17">
        <f>IF(COUNTIFS(T_TTAFStock_Log[Part Name],$A38,T_TTAFStock_Log[WeekIndex],104)=0,"",SUMIFS(T_TTAFStock_Log[TTAF_Qty],T_TTAFStock_Log[Part Name],$A38,T_TTAFStock_Log[WeekIndex],104))</f>
        <v/>
      </c>
    </row>
    <row r="39">
      <c r="A39" s="19" t="inlineStr">
        <is>
          <t>CHEM-1660</t>
        </is>
      </c>
      <c r="B39" s="19">
        <f>IF(COUNTIFS(T_TTAFStock_Log[Part Name],$A39,T_TTAFStock_Log[WeekIndex],1)=0,"",SUMIFS(T_TTAFStock_Log[TTAF_Qty],T_TTAFStock_Log[Part Name],$A39,T_TTAFStock_Log[WeekIndex],1))</f>
        <v/>
      </c>
      <c r="C39" s="19">
        <f>IF(COUNTIFS(T_TTAFStock_Log[Part Name],$A39,T_TTAFStock_Log[WeekIndex],2)=0,"",SUMIFS(T_TTAFStock_Log[TTAF_Qty],T_TTAFStock_Log[Part Name],$A39,T_TTAFStock_Log[WeekIndex],2))</f>
        <v/>
      </c>
      <c r="D39" s="19">
        <f>IF(COUNTIFS(T_TTAFStock_Log[Part Name],$A39,T_TTAFStock_Log[WeekIndex],3)=0,"",SUMIFS(T_TTAFStock_Log[TTAF_Qty],T_TTAFStock_Log[Part Name],$A39,T_TTAFStock_Log[WeekIndex],3))</f>
        <v/>
      </c>
      <c r="E39" s="19">
        <f>IF(COUNTIFS(T_TTAFStock_Log[Part Name],$A39,T_TTAFStock_Log[WeekIndex],4)=0,"",SUMIFS(T_TTAFStock_Log[TTAF_Qty],T_TTAFStock_Log[Part Name],$A39,T_TTAFStock_Log[WeekIndex],4))</f>
        <v/>
      </c>
      <c r="F39" s="19">
        <f>IF(COUNTIFS(T_TTAFStock_Log[Part Name],$A39,T_TTAFStock_Log[WeekIndex],5)=0,"",SUMIFS(T_TTAFStock_Log[TTAF_Qty],T_TTAFStock_Log[Part Name],$A39,T_TTAFStock_Log[WeekIndex],5))</f>
        <v/>
      </c>
      <c r="G39" s="19">
        <f>IF(COUNTIFS(T_TTAFStock_Log[Part Name],$A39,T_TTAFStock_Log[WeekIndex],6)=0,"",SUMIFS(T_TTAFStock_Log[TTAF_Qty],T_TTAFStock_Log[Part Name],$A39,T_TTAFStock_Log[WeekIndex],6))</f>
        <v/>
      </c>
      <c r="H39" s="19">
        <f>IF(COUNTIFS(T_TTAFStock_Log[Part Name],$A39,T_TTAFStock_Log[WeekIndex],7)=0,"",SUMIFS(T_TTAFStock_Log[TTAF_Qty],T_TTAFStock_Log[Part Name],$A39,T_TTAFStock_Log[WeekIndex],7))</f>
        <v/>
      </c>
      <c r="I39" s="19">
        <f>IF(COUNTIFS(T_TTAFStock_Log[Part Name],$A39,T_TTAFStock_Log[WeekIndex],8)=0,"",SUMIFS(T_TTAFStock_Log[TTAF_Qty],T_TTAFStock_Log[Part Name],$A39,T_TTAFStock_Log[WeekIndex],8))</f>
        <v/>
      </c>
      <c r="J39" s="19">
        <f>IF(COUNTIFS(T_TTAFStock_Log[Part Name],$A39,T_TTAFStock_Log[WeekIndex],9)=0,"",SUMIFS(T_TTAFStock_Log[TTAF_Qty],T_TTAFStock_Log[Part Name],$A39,T_TTAFStock_Log[WeekIndex],9))</f>
        <v/>
      </c>
      <c r="K39" s="19">
        <f>IF(COUNTIFS(T_TTAFStock_Log[Part Name],$A39,T_TTAFStock_Log[WeekIndex],10)=0,"",SUMIFS(T_TTAFStock_Log[TTAF_Qty],T_TTAFStock_Log[Part Name],$A39,T_TTAFStock_Log[WeekIndex],10))</f>
        <v/>
      </c>
      <c r="L39" s="19">
        <f>IF(COUNTIFS(T_TTAFStock_Log[Part Name],$A39,T_TTAFStock_Log[WeekIndex],11)=0,"",SUMIFS(T_TTAFStock_Log[TTAF_Qty],T_TTAFStock_Log[Part Name],$A39,T_TTAFStock_Log[WeekIndex],11))</f>
        <v/>
      </c>
      <c r="M39" s="19">
        <f>IF(COUNTIFS(T_TTAFStock_Log[Part Name],$A39,T_TTAFStock_Log[WeekIndex],12)=0,"",SUMIFS(T_TTAFStock_Log[TTAF_Qty],T_TTAFStock_Log[Part Name],$A39,T_TTAFStock_Log[WeekIndex],12))</f>
        <v/>
      </c>
      <c r="N39" s="19">
        <f>IF(COUNTIFS(T_TTAFStock_Log[Part Name],$A39,T_TTAFStock_Log[WeekIndex],13)=0,"",SUMIFS(T_TTAFStock_Log[TTAF_Qty],T_TTAFStock_Log[Part Name],$A39,T_TTAFStock_Log[WeekIndex],13))</f>
        <v/>
      </c>
      <c r="O39" s="19">
        <f>IF(COUNTIFS(T_TTAFStock_Log[Part Name],$A39,T_TTAFStock_Log[WeekIndex],14)=0,"",SUMIFS(T_TTAFStock_Log[TTAF_Qty],T_TTAFStock_Log[Part Name],$A39,T_TTAFStock_Log[WeekIndex],14))</f>
        <v/>
      </c>
      <c r="P39" s="19">
        <f>IF(COUNTIFS(T_TTAFStock_Log[Part Name],$A39,T_TTAFStock_Log[WeekIndex],15)=0,"",SUMIFS(T_TTAFStock_Log[TTAF_Qty],T_TTAFStock_Log[Part Name],$A39,T_TTAFStock_Log[WeekIndex],15))</f>
        <v/>
      </c>
      <c r="Q39" s="19">
        <f>IF(COUNTIFS(T_TTAFStock_Log[Part Name],$A39,T_TTAFStock_Log[WeekIndex],16)=0,"",SUMIFS(T_TTAFStock_Log[TTAF_Qty],T_TTAFStock_Log[Part Name],$A39,T_TTAFStock_Log[WeekIndex],16))</f>
        <v/>
      </c>
      <c r="R39" s="19">
        <f>IF(COUNTIFS(T_TTAFStock_Log[Part Name],$A39,T_TTAFStock_Log[WeekIndex],17)=0,"",SUMIFS(T_TTAFStock_Log[TTAF_Qty],T_TTAFStock_Log[Part Name],$A39,T_TTAFStock_Log[WeekIndex],17))</f>
        <v/>
      </c>
      <c r="S39" s="19">
        <f>IF(COUNTIFS(T_TTAFStock_Log[Part Name],$A39,T_TTAFStock_Log[WeekIndex],18)=0,"",SUMIFS(T_TTAFStock_Log[TTAF_Qty],T_TTAFStock_Log[Part Name],$A39,T_TTAFStock_Log[WeekIndex],18))</f>
        <v/>
      </c>
      <c r="T39" s="19">
        <f>IF(COUNTIFS(T_TTAFStock_Log[Part Name],$A39,T_TTAFStock_Log[WeekIndex],19)=0,"",SUMIFS(T_TTAFStock_Log[TTAF_Qty],T_TTAFStock_Log[Part Name],$A39,T_TTAFStock_Log[WeekIndex],19))</f>
        <v/>
      </c>
      <c r="U39" s="19">
        <f>IF(COUNTIFS(T_TTAFStock_Log[Part Name],$A39,T_TTAFStock_Log[WeekIndex],20)=0,"",SUMIFS(T_TTAFStock_Log[TTAF_Qty],T_TTAFStock_Log[Part Name],$A39,T_TTAFStock_Log[WeekIndex],20))</f>
        <v/>
      </c>
      <c r="V39" s="19">
        <f>IF(COUNTIFS(T_TTAFStock_Log[Part Name],$A39,T_TTAFStock_Log[WeekIndex],21)=0,"",SUMIFS(T_TTAFStock_Log[TTAF_Qty],T_TTAFStock_Log[Part Name],$A39,T_TTAFStock_Log[WeekIndex],21))</f>
        <v/>
      </c>
      <c r="W39" s="19">
        <f>IF(COUNTIFS(T_TTAFStock_Log[Part Name],$A39,T_TTAFStock_Log[WeekIndex],22)=0,"",SUMIFS(T_TTAFStock_Log[TTAF_Qty],T_TTAFStock_Log[Part Name],$A39,T_TTAFStock_Log[WeekIndex],22))</f>
        <v/>
      </c>
      <c r="X39" s="19">
        <f>IF(COUNTIFS(T_TTAFStock_Log[Part Name],$A39,T_TTAFStock_Log[WeekIndex],23)=0,"",SUMIFS(T_TTAFStock_Log[TTAF_Qty],T_TTAFStock_Log[Part Name],$A39,T_TTAFStock_Log[WeekIndex],23))</f>
        <v/>
      </c>
      <c r="Y39" s="19">
        <f>IF(COUNTIFS(T_TTAFStock_Log[Part Name],$A39,T_TTAFStock_Log[WeekIndex],24)=0,"",SUMIFS(T_TTAFStock_Log[TTAF_Qty],T_TTAFStock_Log[Part Name],$A39,T_TTAFStock_Log[WeekIndex],24))</f>
        <v/>
      </c>
      <c r="Z39" s="19">
        <f>IF(COUNTIFS(T_TTAFStock_Log[Part Name],$A39,T_TTAFStock_Log[WeekIndex],25)=0,"",SUMIFS(T_TTAFStock_Log[TTAF_Qty],T_TTAFStock_Log[Part Name],$A39,T_TTAFStock_Log[WeekIndex],25))</f>
        <v/>
      </c>
      <c r="AA39" s="19">
        <f>IF(COUNTIFS(T_TTAFStock_Log[Part Name],$A39,T_TTAFStock_Log[WeekIndex],26)=0,"",SUMIFS(T_TTAFStock_Log[TTAF_Qty],T_TTAFStock_Log[Part Name],$A39,T_TTAFStock_Log[WeekIndex],26))</f>
        <v/>
      </c>
      <c r="AB39" s="19">
        <f>IF(COUNTIFS(T_TTAFStock_Log[Part Name],$A39,T_TTAFStock_Log[WeekIndex],27)=0,"",SUMIFS(T_TTAFStock_Log[TTAF_Qty],T_TTAFStock_Log[Part Name],$A39,T_TTAFStock_Log[WeekIndex],27))</f>
        <v/>
      </c>
      <c r="AC39" s="19">
        <f>IF(COUNTIFS(T_TTAFStock_Log[Part Name],$A39,T_TTAFStock_Log[WeekIndex],28)=0,"",SUMIFS(T_TTAFStock_Log[TTAF_Qty],T_TTAFStock_Log[Part Name],$A39,T_TTAFStock_Log[WeekIndex],28))</f>
        <v/>
      </c>
      <c r="AD39" s="19">
        <f>IF(COUNTIFS(T_TTAFStock_Log[Part Name],$A39,T_TTAFStock_Log[WeekIndex],29)=0,"",SUMIFS(T_TTAFStock_Log[TTAF_Qty],T_TTAFStock_Log[Part Name],$A39,T_TTAFStock_Log[WeekIndex],29))</f>
        <v/>
      </c>
      <c r="AE39" s="19">
        <f>IF(COUNTIFS(T_TTAFStock_Log[Part Name],$A39,T_TTAFStock_Log[WeekIndex],30)=0,"",SUMIFS(T_TTAFStock_Log[TTAF_Qty],T_TTAFStock_Log[Part Name],$A39,T_TTAFStock_Log[WeekIndex],30))</f>
        <v/>
      </c>
      <c r="AF39" s="19">
        <f>IF(COUNTIFS(T_TTAFStock_Log[Part Name],$A39,T_TTAFStock_Log[WeekIndex],31)=0,"",SUMIFS(T_TTAFStock_Log[TTAF_Qty],T_TTAFStock_Log[Part Name],$A39,T_TTAFStock_Log[WeekIndex],31))</f>
        <v/>
      </c>
      <c r="AG39" s="19">
        <f>IF(COUNTIFS(T_TTAFStock_Log[Part Name],$A39,T_TTAFStock_Log[WeekIndex],32)=0,"",SUMIFS(T_TTAFStock_Log[TTAF_Qty],T_TTAFStock_Log[Part Name],$A39,T_TTAFStock_Log[WeekIndex],32))</f>
        <v/>
      </c>
      <c r="AH39" s="19">
        <f>IF(COUNTIFS(T_TTAFStock_Log[Part Name],$A39,T_TTAFStock_Log[WeekIndex],33)=0,"",SUMIFS(T_TTAFStock_Log[TTAF_Qty],T_TTAFStock_Log[Part Name],$A39,T_TTAFStock_Log[WeekIndex],33))</f>
        <v/>
      </c>
      <c r="AI39" s="19">
        <f>IF(COUNTIFS(T_TTAFStock_Log[Part Name],$A39,T_TTAFStock_Log[WeekIndex],34)=0,"",SUMIFS(T_TTAFStock_Log[TTAF_Qty],T_TTAFStock_Log[Part Name],$A39,T_TTAFStock_Log[WeekIndex],34))</f>
        <v/>
      </c>
      <c r="AJ39" s="19">
        <f>IF(COUNTIFS(T_TTAFStock_Log[Part Name],$A39,T_TTAFStock_Log[WeekIndex],35)=0,"",SUMIFS(T_TTAFStock_Log[TTAF_Qty],T_TTAFStock_Log[Part Name],$A39,T_TTAFStock_Log[WeekIndex],35))</f>
        <v/>
      </c>
      <c r="AK39" s="19">
        <f>IF(COUNTIFS(T_TTAFStock_Log[Part Name],$A39,T_TTAFStock_Log[WeekIndex],36)=0,"",SUMIFS(T_TTAFStock_Log[TTAF_Qty],T_TTAFStock_Log[Part Name],$A39,T_TTAFStock_Log[WeekIndex],36))</f>
        <v/>
      </c>
      <c r="AL39" s="19">
        <f>IF(COUNTIFS(T_TTAFStock_Log[Part Name],$A39,T_TTAFStock_Log[WeekIndex],37)=0,"",SUMIFS(T_TTAFStock_Log[TTAF_Qty],T_TTAFStock_Log[Part Name],$A39,T_TTAFStock_Log[WeekIndex],37))</f>
        <v/>
      </c>
      <c r="AM39" s="19">
        <f>IF(COUNTIFS(T_TTAFStock_Log[Part Name],$A39,T_TTAFStock_Log[WeekIndex],38)=0,"",SUMIFS(T_TTAFStock_Log[TTAF_Qty],T_TTAFStock_Log[Part Name],$A39,T_TTAFStock_Log[WeekIndex],38))</f>
        <v/>
      </c>
      <c r="AN39" s="19">
        <f>IF(COUNTIFS(T_TTAFStock_Log[Part Name],$A39,T_TTAFStock_Log[WeekIndex],39)=0,"",SUMIFS(T_TTAFStock_Log[TTAF_Qty],T_TTAFStock_Log[Part Name],$A39,T_TTAFStock_Log[WeekIndex],39))</f>
        <v/>
      </c>
      <c r="AO39" s="19">
        <f>IF(COUNTIFS(T_TTAFStock_Log[Part Name],$A39,T_TTAFStock_Log[WeekIndex],40)=0,"",SUMIFS(T_TTAFStock_Log[TTAF_Qty],T_TTAFStock_Log[Part Name],$A39,T_TTAFStock_Log[WeekIndex],40))</f>
        <v/>
      </c>
      <c r="AP39" s="19">
        <f>IF(COUNTIFS(T_TTAFStock_Log[Part Name],$A39,T_TTAFStock_Log[WeekIndex],41)=0,"",SUMIFS(T_TTAFStock_Log[TTAF_Qty],T_TTAFStock_Log[Part Name],$A39,T_TTAFStock_Log[WeekIndex],41))</f>
        <v/>
      </c>
      <c r="AQ39" s="19">
        <f>IF(COUNTIFS(T_TTAFStock_Log[Part Name],$A39,T_TTAFStock_Log[WeekIndex],42)=0,"",SUMIFS(T_TTAFStock_Log[TTAF_Qty],T_TTAFStock_Log[Part Name],$A39,T_TTAFStock_Log[WeekIndex],42))</f>
        <v/>
      </c>
      <c r="AR39" s="19">
        <f>IF(COUNTIFS(T_TTAFStock_Log[Part Name],$A39,T_TTAFStock_Log[WeekIndex],43)=0,"",SUMIFS(T_TTAFStock_Log[TTAF_Qty],T_TTAFStock_Log[Part Name],$A39,T_TTAFStock_Log[WeekIndex],43))</f>
        <v/>
      </c>
      <c r="AS39" s="19">
        <f>IF(COUNTIFS(T_TTAFStock_Log[Part Name],$A39,T_TTAFStock_Log[WeekIndex],44)=0,"",SUMIFS(T_TTAFStock_Log[TTAF_Qty],T_TTAFStock_Log[Part Name],$A39,T_TTAFStock_Log[WeekIndex],44))</f>
        <v/>
      </c>
      <c r="AT39" s="19">
        <f>IF(COUNTIFS(T_TTAFStock_Log[Part Name],$A39,T_TTAFStock_Log[WeekIndex],45)=0,"",SUMIFS(T_TTAFStock_Log[TTAF_Qty],T_TTAFStock_Log[Part Name],$A39,T_TTAFStock_Log[WeekIndex],45))</f>
        <v/>
      </c>
      <c r="AU39" s="19">
        <f>IF(COUNTIFS(T_TTAFStock_Log[Part Name],$A39,T_TTAFStock_Log[WeekIndex],46)=0,"",SUMIFS(T_TTAFStock_Log[TTAF_Qty],T_TTAFStock_Log[Part Name],$A39,T_TTAFStock_Log[WeekIndex],46))</f>
        <v/>
      </c>
      <c r="AV39" s="19">
        <f>IF(COUNTIFS(T_TTAFStock_Log[Part Name],$A39,T_TTAFStock_Log[WeekIndex],47)=0,"",SUMIFS(T_TTAFStock_Log[TTAF_Qty],T_TTAFStock_Log[Part Name],$A39,T_TTAFStock_Log[WeekIndex],47))</f>
        <v/>
      </c>
      <c r="AW39" s="19">
        <f>IF(COUNTIFS(T_TTAFStock_Log[Part Name],$A39,T_TTAFStock_Log[WeekIndex],48)=0,"",SUMIFS(T_TTAFStock_Log[TTAF_Qty],T_TTAFStock_Log[Part Name],$A39,T_TTAFStock_Log[WeekIndex],48))</f>
        <v/>
      </c>
      <c r="AX39" s="19">
        <f>IF(COUNTIFS(T_TTAFStock_Log[Part Name],$A39,T_TTAFStock_Log[WeekIndex],49)=0,"",SUMIFS(T_TTAFStock_Log[TTAF_Qty],T_TTAFStock_Log[Part Name],$A39,T_TTAFStock_Log[WeekIndex],49))</f>
        <v/>
      </c>
      <c r="AY39" s="19">
        <f>IF(COUNTIFS(T_TTAFStock_Log[Part Name],$A39,T_TTAFStock_Log[WeekIndex],50)=0,"",SUMIFS(T_TTAFStock_Log[TTAF_Qty],T_TTAFStock_Log[Part Name],$A39,T_TTAFStock_Log[WeekIndex],50))</f>
        <v/>
      </c>
      <c r="AZ39" s="19">
        <f>IF(COUNTIFS(T_TTAFStock_Log[Part Name],$A39,T_TTAFStock_Log[WeekIndex],51)=0,"",SUMIFS(T_TTAFStock_Log[TTAF_Qty],T_TTAFStock_Log[Part Name],$A39,T_TTAFStock_Log[WeekIndex],51))</f>
        <v/>
      </c>
      <c r="BA39" s="19">
        <f>IF(COUNTIFS(T_TTAFStock_Log[Part Name],$A39,T_TTAFStock_Log[WeekIndex],52)=0,"",SUMIFS(T_TTAFStock_Log[TTAF_Qty],T_TTAFStock_Log[Part Name],$A39,T_TTAFStock_Log[WeekIndex],52))</f>
        <v/>
      </c>
      <c r="BB39" s="19">
        <f>IF(COUNTIFS(T_TTAFStock_Log[Part Name],$A39,T_TTAFStock_Log[WeekIndex],53)=0,"",SUMIFS(T_TTAFStock_Log[TTAF_Qty],T_TTAFStock_Log[Part Name],$A39,T_TTAFStock_Log[WeekIndex],53))</f>
        <v/>
      </c>
      <c r="BC39" s="19">
        <f>IF(COUNTIFS(T_TTAFStock_Log[Part Name],$A39,T_TTAFStock_Log[WeekIndex],54)=0,"",SUMIFS(T_TTAFStock_Log[TTAF_Qty],T_TTAFStock_Log[Part Name],$A39,T_TTAFStock_Log[WeekIndex],54))</f>
        <v/>
      </c>
      <c r="BD39" s="19">
        <f>IF(COUNTIFS(T_TTAFStock_Log[Part Name],$A39,T_TTAFStock_Log[WeekIndex],55)=0,"",SUMIFS(T_TTAFStock_Log[TTAF_Qty],T_TTAFStock_Log[Part Name],$A39,T_TTAFStock_Log[WeekIndex],55))</f>
        <v/>
      </c>
      <c r="BE39" s="19">
        <f>IF(COUNTIFS(T_TTAFStock_Log[Part Name],$A39,T_TTAFStock_Log[WeekIndex],56)=0,"",SUMIFS(T_TTAFStock_Log[TTAF_Qty],T_TTAFStock_Log[Part Name],$A39,T_TTAFStock_Log[WeekIndex],56))</f>
        <v/>
      </c>
      <c r="BF39" s="19">
        <f>IF(COUNTIFS(T_TTAFStock_Log[Part Name],$A39,T_TTAFStock_Log[WeekIndex],57)=0,"",SUMIFS(T_TTAFStock_Log[TTAF_Qty],T_TTAFStock_Log[Part Name],$A39,T_TTAFStock_Log[WeekIndex],57))</f>
        <v/>
      </c>
      <c r="BG39" s="19">
        <f>IF(COUNTIFS(T_TTAFStock_Log[Part Name],$A39,T_TTAFStock_Log[WeekIndex],58)=0,"",SUMIFS(T_TTAFStock_Log[TTAF_Qty],T_TTAFStock_Log[Part Name],$A39,T_TTAFStock_Log[WeekIndex],58))</f>
        <v/>
      </c>
      <c r="BH39" s="19">
        <f>IF(COUNTIFS(T_TTAFStock_Log[Part Name],$A39,T_TTAFStock_Log[WeekIndex],59)=0,"",SUMIFS(T_TTAFStock_Log[TTAF_Qty],T_TTAFStock_Log[Part Name],$A39,T_TTAFStock_Log[WeekIndex],59))</f>
        <v/>
      </c>
      <c r="BI39" s="19">
        <f>IF(COUNTIFS(T_TTAFStock_Log[Part Name],$A39,T_TTAFStock_Log[WeekIndex],60)=0,"",SUMIFS(T_TTAFStock_Log[TTAF_Qty],T_TTAFStock_Log[Part Name],$A39,T_TTAFStock_Log[WeekIndex],60))</f>
        <v/>
      </c>
      <c r="BJ39" s="19">
        <f>IF(COUNTIFS(T_TTAFStock_Log[Part Name],$A39,T_TTAFStock_Log[WeekIndex],61)=0,"",SUMIFS(T_TTAFStock_Log[TTAF_Qty],T_TTAFStock_Log[Part Name],$A39,T_TTAFStock_Log[WeekIndex],61))</f>
        <v/>
      </c>
      <c r="BK39" s="19">
        <f>IF(COUNTIFS(T_TTAFStock_Log[Part Name],$A39,T_TTAFStock_Log[WeekIndex],62)=0,"",SUMIFS(T_TTAFStock_Log[TTAF_Qty],T_TTAFStock_Log[Part Name],$A39,T_TTAFStock_Log[WeekIndex],62))</f>
        <v/>
      </c>
      <c r="BL39" s="19">
        <f>IF(COUNTIFS(T_TTAFStock_Log[Part Name],$A39,T_TTAFStock_Log[WeekIndex],63)=0,"",SUMIFS(T_TTAFStock_Log[TTAF_Qty],T_TTAFStock_Log[Part Name],$A39,T_TTAFStock_Log[WeekIndex],63))</f>
        <v/>
      </c>
      <c r="BM39" s="19">
        <f>IF(COUNTIFS(T_TTAFStock_Log[Part Name],$A39,T_TTAFStock_Log[WeekIndex],64)=0,"",SUMIFS(T_TTAFStock_Log[TTAF_Qty],T_TTAFStock_Log[Part Name],$A39,T_TTAFStock_Log[WeekIndex],64))</f>
        <v/>
      </c>
      <c r="BN39" s="19">
        <f>IF(COUNTIFS(T_TTAFStock_Log[Part Name],$A39,T_TTAFStock_Log[WeekIndex],65)=0,"",SUMIFS(T_TTAFStock_Log[TTAF_Qty],T_TTAFStock_Log[Part Name],$A39,T_TTAFStock_Log[WeekIndex],65))</f>
        <v/>
      </c>
      <c r="BO39" s="19">
        <f>IF(COUNTIFS(T_TTAFStock_Log[Part Name],$A39,T_TTAFStock_Log[WeekIndex],66)=0,"",SUMIFS(T_TTAFStock_Log[TTAF_Qty],T_TTAFStock_Log[Part Name],$A39,T_TTAFStock_Log[WeekIndex],66))</f>
        <v/>
      </c>
      <c r="BP39" s="19">
        <f>IF(COUNTIFS(T_TTAFStock_Log[Part Name],$A39,T_TTAFStock_Log[WeekIndex],67)=0,"",SUMIFS(T_TTAFStock_Log[TTAF_Qty],T_TTAFStock_Log[Part Name],$A39,T_TTAFStock_Log[WeekIndex],67))</f>
        <v/>
      </c>
      <c r="BQ39" s="19">
        <f>IF(COUNTIFS(T_TTAFStock_Log[Part Name],$A39,T_TTAFStock_Log[WeekIndex],68)=0,"",SUMIFS(T_TTAFStock_Log[TTAF_Qty],T_TTAFStock_Log[Part Name],$A39,T_TTAFStock_Log[WeekIndex],68))</f>
        <v/>
      </c>
      <c r="BR39" s="19">
        <f>IF(COUNTIFS(T_TTAFStock_Log[Part Name],$A39,T_TTAFStock_Log[WeekIndex],69)=0,"",SUMIFS(T_TTAFStock_Log[TTAF_Qty],T_TTAFStock_Log[Part Name],$A39,T_TTAFStock_Log[WeekIndex],69))</f>
        <v/>
      </c>
      <c r="BS39" s="19">
        <f>IF(COUNTIFS(T_TTAFStock_Log[Part Name],$A39,T_TTAFStock_Log[WeekIndex],70)=0,"",SUMIFS(T_TTAFStock_Log[TTAF_Qty],T_TTAFStock_Log[Part Name],$A39,T_TTAFStock_Log[WeekIndex],70))</f>
        <v/>
      </c>
      <c r="BT39" s="19">
        <f>IF(COUNTIFS(T_TTAFStock_Log[Part Name],$A39,T_TTAFStock_Log[WeekIndex],71)=0,"",SUMIFS(T_TTAFStock_Log[TTAF_Qty],T_TTAFStock_Log[Part Name],$A39,T_TTAFStock_Log[WeekIndex],71))</f>
        <v/>
      </c>
      <c r="BU39" s="19">
        <f>IF(COUNTIFS(T_TTAFStock_Log[Part Name],$A39,T_TTAFStock_Log[WeekIndex],72)=0,"",SUMIFS(T_TTAFStock_Log[TTAF_Qty],T_TTAFStock_Log[Part Name],$A39,T_TTAFStock_Log[WeekIndex],72))</f>
        <v/>
      </c>
      <c r="BV39" s="19">
        <f>IF(COUNTIFS(T_TTAFStock_Log[Part Name],$A39,T_TTAFStock_Log[WeekIndex],73)=0,"",SUMIFS(T_TTAFStock_Log[TTAF_Qty],T_TTAFStock_Log[Part Name],$A39,T_TTAFStock_Log[WeekIndex],73))</f>
        <v/>
      </c>
      <c r="BW39" s="19">
        <f>IF(COUNTIFS(T_TTAFStock_Log[Part Name],$A39,T_TTAFStock_Log[WeekIndex],74)=0,"",SUMIFS(T_TTAFStock_Log[TTAF_Qty],T_TTAFStock_Log[Part Name],$A39,T_TTAFStock_Log[WeekIndex],74))</f>
        <v/>
      </c>
      <c r="BX39" s="19">
        <f>IF(COUNTIFS(T_TTAFStock_Log[Part Name],$A39,T_TTAFStock_Log[WeekIndex],75)=0,"",SUMIFS(T_TTAFStock_Log[TTAF_Qty],T_TTAFStock_Log[Part Name],$A39,T_TTAFStock_Log[WeekIndex],75))</f>
        <v/>
      </c>
      <c r="BY39" s="19">
        <f>IF(COUNTIFS(T_TTAFStock_Log[Part Name],$A39,T_TTAFStock_Log[WeekIndex],76)=0,"",SUMIFS(T_TTAFStock_Log[TTAF_Qty],T_TTAFStock_Log[Part Name],$A39,T_TTAFStock_Log[WeekIndex],76))</f>
        <v/>
      </c>
      <c r="BZ39" s="19">
        <f>IF(COUNTIFS(T_TTAFStock_Log[Part Name],$A39,T_TTAFStock_Log[WeekIndex],77)=0,"",SUMIFS(T_TTAFStock_Log[TTAF_Qty],T_TTAFStock_Log[Part Name],$A39,T_TTAFStock_Log[WeekIndex],77))</f>
        <v/>
      </c>
      <c r="CA39" s="19">
        <f>IF(COUNTIFS(T_TTAFStock_Log[Part Name],$A39,T_TTAFStock_Log[WeekIndex],78)=0,"",SUMIFS(T_TTAFStock_Log[TTAF_Qty],T_TTAFStock_Log[Part Name],$A39,T_TTAFStock_Log[WeekIndex],78))</f>
        <v/>
      </c>
      <c r="CB39" s="19">
        <f>IF(COUNTIFS(T_TTAFStock_Log[Part Name],$A39,T_TTAFStock_Log[WeekIndex],79)=0,"",SUMIFS(T_TTAFStock_Log[TTAF_Qty],T_TTAFStock_Log[Part Name],$A39,T_TTAFStock_Log[WeekIndex],79))</f>
        <v/>
      </c>
      <c r="CC39" s="19">
        <f>IF(COUNTIFS(T_TTAFStock_Log[Part Name],$A39,T_TTAFStock_Log[WeekIndex],80)=0,"",SUMIFS(T_TTAFStock_Log[TTAF_Qty],T_TTAFStock_Log[Part Name],$A39,T_TTAFStock_Log[WeekIndex],80))</f>
        <v/>
      </c>
      <c r="CD39" s="19">
        <f>IF(COUNTIFS(T_TTAFStock_Log[Part Name],$A39,T_TTAFStock_Log[WeekIndex],81)=0,"",SUMIFS(T_TTAFStock_Log[TTAF_Qty],T_TTAFStock_Log[Part Name],$A39,T_TTAFStock_Log[WeekIndex],81))</f>
        <v/>
      </c>
      <c r="CE39" s="19">
        <f>IF(COUNTIFS(T_TTAFStock_Log[Part Name],$A39,T_TTAFStock_Log[WeekIndex],82)=0,"",SUMIFS(T_TTAFStock_Log[TTAF_Qty],T_TTAFStock_Log[Part Name],$A39,T_TTAFStock_Log[WeekIndex],82))</f>
        <v/>
      </c>
      <c r="CF39" s="19">
        <f>IF(COUNTIFS(T_TTAFStock_Log[Part Name],$A39,T_TTAFStock_Log[WeekIndex],83)=0,"",SUMIFS(T_TTAFStock_Log[TTAF_Qty],T_TTAFStock_Log[Part Name],$A39,T_TTAFStock_Log[WeekIndex],83))</f>
        <v/>
      </c>
      <c r="CG39" s="19">
        <f>IF(COUNTIFS(T_TTAFStock_Log[Part Name],$A39,T_TTAFStock_Log[WeekIndex],84)=0,"",SUMIFS(T_TTAFStock_Log[TTAF_Qty],T_TTAFStock_Log[Part Name],$A39,T_TTAFStock_Log[WeekIndex],84))</f>
        <v/>
      </c>
      <c r="CH39" s="19">
        <f>IF(COUNTIFS(T_TTAFStock_Log[Part Name],$A39,T_TTAFStock_Log[WeekIndex],85)=0,"",SUMIFS(T_TTAFStock_Log[TTAF_Qty],T_TTAFStock_Log[Part Name],$A39,T_TTAFStock_Log[WeekIndex],85))</f>
        <v/>
      </c>
      <c r="CI39" s="19">
        <f>IF(COUNTIFS(T_TTAFStock_Log[Part Name],$A39,T_TTAFStock_Log[WeekIndex],86)=0,"",SUMIFS(T_TTAFStock_Log[TTAF_Qty],T_TTAFStock_Log[Part Name],$A39,T_TTAFStock_Log[WeekIndex],86))</f>
        <v/>
      </c>
      <c r="CJ39" s="19">
        <f>IF(COUNTIFS(T_TTAFStock_Log[Part Name],$A39,T_TTAFStock_Log[WeekIndex],87)=0,"",SUMIFS(T_TTAFStock_Log[TTAF_Qty],T_TTAFStock_Log[Part Name],$A39,T_TTAFStock_Log[WeekIndex],87))</f>
        <v/>
      </c>
      <c r="CK39" s="19">
        <f>IF(COUNTIFS(T_TTAFStock_Log[Part Name],$A39,T_TTAFStock_Log[WeekIndex],88)=0,"",SUMIFS(T_TTAFStock_Log[TTAF_Qty],T_TTAFStock_Log[Part Name],$A39,T_TTAFStock_Log[WeekIndex],88))</f>
        <v/>
      </c>
      <c r="CL39" s="19">
        <f>IF(COUNTIFS(T_TTAFStock_Log[Part Name],$A39,T_TTAFStock_Log[WeekIndex],89)=0,"",SUMIFS(T_TTAFStock_Log[TTAF_Qty],T_TTAFStock_Log[Part Name],$A39,T_TTAFStock_Log[WeekIndex],89))</f>
        <v/>
      </c>
      <c r="CM39" s="19">
        <f>IF(COUNTIFS(T_TTAFStock_Log[Part Name],$A39,T_TTAFStock_Log[WeekIndex],90)=0,"",SUMIFS(T_TTAFStock_Log[TTAF_Qty],T_TTAFStock_Log[Part Name],$A39,T_TTAFStock_Log[WeekIndex],90))</f>
        <v/>
      </c>
      <c r="CN39" s="19">
        <f>IF(COUNTIFS(T_TTAFStock_Log[Part Name],$A39,T_TTAFStock_Log[WeekIndex],91)=0,"",SUMIFS(T_TTAFStock_Log[TTAF_Qty],T_TTAFStock_Log[Part Name],$A39,T_TTAFStock_Log[WeekIndex],91))</f>
        <v/>
      </c>
      <c r="CO39" s="19">
        <f>IF(COUNTIFS(T_TTAFStock_Log[Part Name],$A39,T_TTAFStock_Log[WeekIndex],92)=0,"",SUMIFS(T_TTAFStock_Log[TTAF_Qty],T_TTAFStock_Log[Part Name],$A39,T_TTAFStock_Log[WeekIndex],92))</f>
        <v/>
      </c>
      <c r="CP39" s="19">
        <f>IF(COUNTIFS(T_TTAFStock_Log[Part Name],$A39,T_TTAFStock_Log[WeekIndex],93)=0,"",SUMIFS(T_TTAFStock_Log[TTAF_Qty],T_TTAFStock_Log[Part Name],$A39,T_TTAFStock_Log[WeekIndex],93))</f>
        <v/>
      </c>
      <c r="CQ39" s="19">
        <f>IF(COUNTIFS(T_TTAFStock_Log[Part Name],$A39,T_TTAFStock_Log[WeekIndex],94)=0,"",SUMIFS(T_TTAFStock_Log[TTAF_Qty],T_TTAFStock_Log[Part Name],$A39,T_TTAFStock_Log[WeekIndex],94))</f>
        <v/>
      </c>
      <c r="CR39" s="19">
        <f>IF(COUNTIFS(T_TTAFStock_Log[Part Name],$A39,T_TTAFStock_Log[WeekIndex],95)=0,"",SUMIFS(T_TTAFStock_Log[TTAF_Qty],T_TTAFStock_Log[Part Name],$A39,T_TTAFStock_Log[WeekIndex],95))</f>
        <v/>
      </c>
      <c r="CS39" s="19">
        <f>IF(COUNTIFS(T_TTAFStock_Log[Part Name],$A39,T_TTAFStock_Log[WeekIndex],96)=0,"",SUMIFS(T_TTAFStock_Log[TTAF_Qty],T_TTAFStock_Log[Part Name],$A39,T_TTAFStock_Log[WeekIndex],96))</f>
        <v/>
      </c>
      <c r="CT39" s="19">
        <f>IF(COUNTIFS(T_TTAFStock_Log[Part Name],$A39,T_TTAFStock_Log[WeekIndex],97)=0,"",SUMIFS(T_TTAFStock_Log[TTAF_Qty],T_TTAFStock_Log[Part Name],$A39,T_TTAFStock_Log[WeekIndex],97))</f>
        <v/>
      </c>
      <c r="CU39" s="19">
        <f>IF(COUNTIFS(T_TTAFStock_Log[Part Name],$A39,T_TTAFStock_Log[WeekIndex],98)=0,"",SUMIFS(T_TTAFStock_Log[TTAF_Qty],T_TTAFStock_Log[Part Name],$A39,T_TTAFStock_Log[WeekIndex],98))</f>
        <v/>
      </c>
      <c r="CV39" s="19">
        <f>IF(COUNTIFS(T_TTAFStock_Log[Part Name],$A39,T_TTAFStock_Log[WeekIndex],99)=0,"",SUMIFS(T_TTAFStock_Log[TTAF_Qty],T_TTAFStock_Log[Part Name],$A39,T_TTAFStock_Log[WeekIndex],99))</f>
        <v/>
      </c>
      <c r="CW39" s="19">
        <f>IF(COUNTIFS(T_TTAFStock_Log[Part Name],$A39,T_TTAFStock_Log[WeekIndex],100)=0,"",SUMIFS(T_TTAFStock_Log[TTAF_Qty],T_TTAFStock_Log[Part Name],$A39,T_TTAFStock_Log[WeekIndex],100))</f>
        <v/>
      </c>
      <c r="CX39" s="19">
        <f>IF(COUNTIFS(T_TTAFStock_Log[Part Name],$A39,T_TTAFStock_Log[WeekIndex],101)=0,"",SUMIFS(T_TTAFStock_Log[TTAF_Qty],T_TTAFStock_Log[Part Name],$A39,T_TTAFStock_Log[WeekIndex],101))</f>
        <v/>
      </c>
      <c r="CY39" s="19">
        <f>IF(COUNTIFS(T_TTAFStock_Log[Part Name],$A39,T_TTAFStock_Log[WeekIndex],102)=0,"",SUMIFS(T_TTAFStock_Log[TTAF_Qty],T_TTAFStock_Log[Part Name],$A39,T_TTAFStock_Log[WeekIndex],102))</f>
        <v/>
      </c>
      <c r="CZ39" s="19">
        <f>IF(COUNTIFS(T_TTAFStock_Log[Part Name],$A39,T_TTAFStock_Log[WeekIndex],103)=0,"",SUMIFS(T_TTAFStock_Log[TTAF_Qty],T_TTAFStock_Log[Part Name],$A39,T_TTAFStock_Log[WeekIndex],103))</f>
        <v/>
      </c>
      <c r="DA39" s="19">
        <f>IF(COUNTIFS(T_TTAFStock_Log[Part Name],$A39,T_TTAFStock_Log[WeekIndex],104)=0,"",SUMIFS(T_TTAFStock_Log[TTAF_Qty],T_TTAFStock_Log[Part Name],$A39,T_TTAFStock_Log[WeekIndex],104))</f>
        <v/>
      </c>
    </row>
    <row r="40">
      <c r="A40" s="17" t="inlineStr">
        <is>
          <t>CHEM-1420</t>
        </is>
      </c>
      <c r="B40" s="17">
        <f>IF(COUNTIFS(T_TTAFStock_Log[Part Name],$A40,T_TTAFStock_Log[WeekIndex],1)=0,"",SUMIFS(T_TTAFStock_Log[TTAF_Qty],T_TTAFStock_Log[Part Name],$A40,T_TTAFStock_Log[WeekIndex],1))</f>
        <v/>
      </c>
      <c r="C40" s="17">
        <f>IF(COUNTIFS(T_TTAFStock_Log[Part Name],$A40,T_TTAFStock_Log[WeekIndex],2)=0,"",SUMIFS(T_TTAFStock_Log[TTAF_Qty],T_TTAFStock_Log[Part Name],$A40,T_TTAFStock_Log[WeekIndex],2))</f>
        <v/>
      </c>
      <c r="D40" s="17">
        <f>IF(COUNTIFS(T_TTAFStock_Log[Part Name],$A40,T_TTAFStock_Log[WeekIndex],3)=0,"",SUMIFS(T_TTAFStock_Log[TTAF_Qty],T_TTAFStock_Log[Part Name],$A40,T_TTAFStock_Log[WeekIndex],3))</f>
        <v/>
      </c>
      <c r="E40" s="17">
        <f>IF(COUNTIFS(T_TTAFStock_Log[Part Name],$A40,T_TTAFStock_Log[WeekIndex],4)=0,"",SUMIFS(T_TTAFStock_Log[TTAF_Qty],T_TTAFStock_Log[Part Name],$A40,T_TTAFStock_Log[WeekIndex],4))</f>
        <v/>
      </c>
      <c r="F40" s="17">
        <f>IF(COUNTIFS(T_TTAFStock_Log[Part Name],$A40,T_TTAFStock_Log[WeekIndex],5)=0,"",SUMIFS(T_TTAFStock_Log[TTAF_Qty],T_TTAFStock_Log[Part Name],$A40,T_TTAFStock_Log[WeekIndex],5))</f>
        <v/>
      </c>
      <c r="G40" s="17">
        <f>IF(COUNTIFS(T_TTAFStock_Log[Part Name],$A40,T_TTAFStock_Log[WeekIndex],6)=0,"",SUMIFS(T_TTAFStock_Log[TTAF_Qty],T_TTAFStock_Log[Part Name],$A40,T_TTAFStock_Log[WeekIndex],6))</f>
        <v/>
      </c>
      <c r="H40" s="17">
        <f>IF(COUNTIFS(T_TTAFStock_Log[Part Name],$A40,T_TTAFStock_Log[WeekIndex],7)=0,"",SUMIFS(T_TTAFStock_Log[TTAF_Qty],T_TTAFStock_Log[Part Name],$A40,T_TTAFStock_Log[WeekIndex],7))</f>
        <v/>
      </c>
      <c r="I40" s="17">
        <f>IF(COUNTIFS(T_TTAFStock_Log[Part Name],$A40,T_TTAFStock_Log[WeekIndex],8)=0,"",SUMIFS(T_TTAFStock_Log[TTAF_Qty],T_TTAFStock_Log[Part Name],$A40,T_TTAFStock_Log[WeekIndex],8))</f>
        <v/>
      </c>
      <c r="J40" s="17">
        <f>IF(COUNTIFS(T_TTAFStock_Log[Part Name],$A40,T_TTAFStock_Log[WeekIndex],9)=0,"",SUMIFS(T_TTAFStock_Log[TTAF_Qty],T_TTAFStock_Log[Part Name],$A40,T_TTAFStock_Log[WeekIndex],9))</f>
        <v/>
      </c>
      <c r="K40" s="17">
        <f>IF(COUNTIFS(T_TTAFStock_Log[Part Name],$A40,T_TTAFStock_Log[WeekIndex],10)=0,"",SUMIFS(T_TTAFStock_Log[TTAF_Qty],T_TTAFStock_Log[Part Name],$A40,T_TTAFStock_Log[WeekIndex],10))</f>
        <v/>
      </c>
      <c r="L40" s="17">
        <f>IF(COUNTIFS(T_TTAFStock_Log[Part Name],$A40,T_TTAFStock_Log[WeekIndex],11)=0,"",SUMIFS(T_TTAFStock_Log[TTAF_Qty],T_TTAFStock_Log[Part Name],$A40,T_TTAFStock_Log[WeekIndex],11))</f>
        <v/>
      </c>
      <c r="M40" s="17">
        <f>IF(COUNTIFS(T_TTAFStock_Log[Part Name],$A40,T_TTAFStock_Log[WeekIndex],12)=0,"",SUMIFS(T_TTAFStock_Log[TTAF_Qty],T_TTAFStock_Log[Part Name],$A40,T_TTAFStock_Log[WeekIndex],12))</f>
        <v/>
      </c>
      <c r="N40" s="17">
        <f>IF(COUNTIFS(T_TTAFStock_Log[Part Name],$A40,T_TTAFStock_Log[WeekIndex],13)=0,"",SUMIFS(T_TTAFStock_Log[TTAF_Qty],T_TTAFStock_Log[Part Name],$A40,T_TTAFStock_Log[WeekIndex],13))</f>
        <v/>
      </c>
      <c r="O40" s="17">
        <f>IF(COUNTIFS(T_TTAFStock_Log[Part Name],$A40,T_TTAFStock_Log[WeekIndex],14)=0,"",SUMIFS(T_TTAFStock_Log[TTAF_Qty],T_TTAFStock_Log[Part Name],$A40,T_TTAFStock_Log[WeekIndex],14))</f>
        <v/>
      </c>
      <c r="P40" s="17">
        <f>IF(COUNTIFS(T_TTAFStock_Log[Part Name],$A40,T_TTAFStock_Log[WeekIndex],15)=0,"",SUMIFS(T_TTAFStock_Log[TTAF_Qty],T_TTAFStock_Log[Part Name],$A40,T_TTAFStock_Log[WeekIndex],15))</f>
        <v/>
      </c>
      <c r="Q40" s="17">
        <f>IF(COUNTIFS(T_TTAFStock_Log[Part Name],$A40,T_TTAFStock_Log[WeekIndex],16)=0,"",SUMIFS(T_TTAFStock_Log[TTAF_Qty],T_TTAFStock_Log[Part Name],$A40,T_TTAFStock_Log[WeekIndex],16))</f>
        <v/>
      </c>
      <c r="R40" s="17">
        <f>IF(COUNTIFS(T_TTAFStock_Log[Part Name],$A40,T_TTAFStock_Log[WeekIndex],17)=0,"",SUMIFS(T_TTAFStock_Log[TTAF_Qty],T_TTAFStock_Log[Part Name],$A40,T_TTAFStock_Log[WeekIndex],17))</f>
        <v/>
      </c>
      <c r="S40" s="17">
        <f>IF(COUNTIFS(T_TTAFStock_Log[Part Name],$A40,T_TTAFStock_Log[WeekIndex],18)=0,"",SUMIFS(T_TTAFStock_Log[TTAF_Qty],T_TTAFStock_Log[Part Name],$A40,T_TTAFStock_Log[WeekIndex],18))</f>
        <v/>
      </c>
      <c r="T40" s="17">
        <f>IF(COUNTIFS(T_TTAFStock_Log[Part Name],$A40,T_TTAFStock_Log[WeekIndex],19)=0,"",SUMIFS(T_TTAFStock_Log[TTAF_Qty],T_TTAFStock_Log[Part Name],$A40,T_TTAFStock_Log[WeekIndex],19))</f>
        <v/>
      </c>
      <c r="U40" s="17">
        <f>IF(COUNTIFS(T_TTAFStock_Log[Part Name],$A40,T_TTAFStock_Log[WeekIndex],20)=0,"",SUMIFS(T_TTAFStock_Log[TTAF_Qty],T_TTAFStock_Log[Part Name],$A40,T_TTAFStock_Log[WeekIndex],20))</f>
        <v/>
      </c>
      <c r="V40" s="17">
        <f>IF(COUNTIFS(T_TTAFStock_Log[Part Name],$A40,T_TTAFStock_Log[WeekIndex],21)=0,"",SUMIFS(T_TTAFStock_Log[TTAF_Qty],T_TTAFStock_Log[Part Name],$A40,T_TTAFStock_Log[WeekIndex],21))</f>
        <v/>
      </c>
      <c r="W40" s="17">
        <f>IF(COUNTIFS(T_TTAFStock_Log[Part Name],$A40,T_TTAFStock_Log[WeekIndex],22)=0,"",SUMIFS(T_TTAFStock_Log[TTAF_Qty],T_TTAFStock_Log[Part Name],$A40,T_TTAFStock_Log[WeekIndex],22))</f>
        <v/>
      </c>
      <c r="X40" s="17">
        <f>IF(COUNTIFS(T_TTAFStock_Log[Part Name],$A40,T_TTAFStock_Log[WeekIndex],23)=0,"",SUMIFS(T_TTAFStock_Log[TTAF_Qty],T_TTAFStock_Log[Part Name],$A40,T_TTAFStock_Log[WeekIndex],23))</f>
        <v/>
      </c>
      <c r="Y40" s="17">
        <f>IF(COUNTIFS(T_TTAFStock_Log[Part Name],$A40,T_TTAFStock_Log[WeekIndex],24)=0,"",SUMIFS(T_TTAFStock_Log[TTAF_Qty],T_TTAFStock_Log[Part Name],$A40,T_TTAFStock_Log[WeekIndex],24))</f>
        <v/>
      </c>
      <c r="Z40" s="17">
        <f>IF(COUNTIFS(T_TTAFStock_Log[Part Name],$A40,T_TTAFStock_Log[WeekIndex],25)=0,"",SUMIFS(T_TTAFStock_Log[TTAF_Qty],T_TTAFStock_Log[Part Name],$A40,T_TTAFStock_Log[WeekIndex],25))</f>
        <v/>
      </c>
      <c r="AA40" s="17">
        <f>IF(COUNTIFS(T_TTAFStock_Log[Part Name],$A40,T_TTAFStock_Log[WeekIndex],26)=0,"",SUMIFS(T_TTAFStock_Log[TTAF_Qty],T_TTAFStock_Log[Part Name],$A40,T_TTAFStock_Log[WeekIndex],26))</f>
        <v/>
      </c>
      <c r="AB40" s="17">
        <f>IF(COUNTIFS(T_TTAFStock_Log[Part Name],$A40,T_TTAFStock_Log[WeekIndex],27)=0,"",SUMIFS(T_TTAFStock_Log[TTAF_Qty],T_TTAFStock_Log[Part Name],$A40,T_TTAFStock_Log[WeekIndex],27))</f>
        <v/>
      </c>
      <c r="AC40" s="17">
        <f>IF(COUNTIFS(T_TTAFStock_Log[Part Name],$A40,T_TTAFStock_Log[WeekIndex],28)=0,"",SUMIFS(T_TTAFStock_Log[TTAF_Qty],T_TTAFStock_Log[Part Name],$A40,T_TTAFStock_Log[WeekIndex],28))</f>
        <v/>
      </c>
      <c r="AD40" s="17">
        <f>IF(COUNTIFS(T_TTAFStock_Log[Part Name],$A40,T_TTAFStock_Log[WeekIndex],29)=0,"",SUMIFS(T_TTAFStock_Log[TTAF_Qty],T_TTAFStock_Log[Part Name],$A40,T_TTAFStock_Log[WeekIndex],29))</f>
        <v/>
      </c>
      <c r="AE40" s="17">
        <f>IF(COUNTIFS(T_TTAFStock_Log[Part Name],$A40,T_TTAFStock_Log[WeekIndex],30)=0,"",SUMIFS(T_TTAFStock_Log[TTAF_Qty],T_TTAFStock_Log[Part Name],$A40,T_TTAFStock_Log[WeekIndex],30))</f>
        <v/>
      </c>
      <c r="AF40" s="17">
        <f>IF(COUNTIFS(T_TTAFStock_Log[Part Name],$A40,T_TTAFStock_Log[WeekIndex],31)=0,"",SUMIFS(T_TTAFStock_Log[TTAF_Qty],T_TTAFStock_Log[Part Name],$A40,T_TTAFStock_Log[WeekIndex],31))</f>
        <v/>
      </c>
      <c r="AG40" s="17">
        <f>IF(COUNTIFS(T_TTAFStock_Log[Part Name],$A40,T_TTAFStock_Log[WeekIndex],32)=0,"",SUMIFS(T_TTAFStock_Log[TTAF_Qty],T_TTAFStock_Log[Part Name],$A40,T_TTAFStock_Log[WeekIndex],32))</f>
        <v/>
      </c>
      <c r="AH40" s="17">
        <f>IF(COUNTIFS(T_TTAFStock_Log[Part Name],$A40,T_TTAFStock_Log[WeekIndex],33)=0,"",SUMIFS(T_TTAFStock_Log[TTAF_Qty],T_TTAFStock_Log[Part Name],$A40,T_TTAFStock_Log[WeekIndex],33))</f>
        <v/>
      </c>
      <c r="AI40" s="17">
        <f>IF(COUNTIFS(T_TTAFStock_Log[Part Name],$A40,T_TTAFStock_Log[WeekIndex],34)=0,"",SUMIFS(T_TTAFStock_Log[TTAF_Qty],T_TTAFStock_Log[Part Name],$A40,T_TTAFStock_Log[WeekIndex],34))</f>
        <v/>
      </c>
      <c r="AJ40" s="17">
        <f>IF(COUNTIFS(T_TTAFStock_Log[Part Name],$A40,T_TTAFStock_Log[WeekIndex],35)=0,"",SUMIFS(T_TTAFStock_Log[TTAF_Qty],T_TTAFStock_Log[Part Name],$A40,T_TTAFStock_Log[WeekIndex],35))</f>
        <v/>
      </c>
      <c r="AK40" s="17">
        <f>IF(COUNTIFS(T_TTAFStock_Log[Part Name],$A40,T_TTAFStock_Log[WeekIndex],36)=0,"",SUMIFS(T_TTAFStock_Log[TTAF_Qty],T_TTAFStock_Log[Part Name],$A40,T_TTAFStock_Log[WeekIndex],36))</f>
        <v/>
      </c>
      <c r="AL40" s="17">
        <f>IF(COUNTIFS(T_TTAFStock_Log[Part Name],$A40,T_TTAFStock_Log[WeekIndex],37)=0,"",SUMIFS(T_TTAFStock_Log[TTAF_Qty],T_TTAFStock_Log[Part Name],$A40,T_TTAFStock_Log[WeekIndex],37))</f>
        <v/>
      </c>
      <c r="AM40" s="17">
        <f>IF(COUNTIFS(T_TTAFStock_Log[Part Name],$A40,T_TTAFStock_Log[WeekIndex],38)=0,"",SUMIFS(T_TTAFStock_Log[TTAF_Qty],T_TTAFStock_Log[Part Name],$A40,T_TTAFStock_Log[WeekIndex],38))</f>
        <v/>
      </c>
      <c r="AN40" s="17">
        <f>IF(COUNTIFS(T_TTAFStock_Log[Part Name],$A40,T_TTAFStock_Log[WeekIndex],39)=0,"",SUMIFS(T_TTAFStock_Log[TTAF_Qty],T_TTAFStock_Log[Part Name],$A40,T_TTAFStock_Log[WeekIndex],39))</f>
        <v/>
      </c>
      <c r="AO40" s="17">
        <f>IF(COUNTIFS(T_TTAFStock_Log[Part Name],$A40,T_TTAFStock_Log[WeekIndex],40)=0,"",SUMIFS(T_TTAFStock_Log[TTAF_Qty],T_TTAFStock_Log[Part Name],$A40,T_TTAFStock_Log[WeekIndex],40))</f>
        <v/>
      </c>
      <c r="AP40" s="17">
        <f>IF(COUNTIFS(T_TTAFStock_Log[Part Name],$A40,T_TTAFStock_Log[WeekIndex],41)=0,"",SUMIFS(T_TTAFStock_Log[TTAF_Qty],T_TTAFStock_Log[Part Name],$A40,T_TTAFStock_Log[WeekIndex],41))</f>
        <v/>
      </c>
      <c r="AQ40" s="17">
        <f>IF(COUNTIFS(T_TTAFStock_Log[Part Name],$A40,T_TTAFStock_Log[WeekIndex],42)=0,"",SUMIFS(T_TTAFStock_Log[TTAF_Qty],T_TTAFStock_Log[Part Name],$A40,T_TTAFStock_Log[WeekIndex],42))</f>
        <v/>
      </c>
      <c r="AR40" s="17">
        <f>IF(COUNTIFS(T_TTAFStock_Log[Part Name],$A40,T_TTAFStock_Log[WeekIndex],43)=0,"",SUMIFS(T_TTAFStock_Log[TTAF_Qty],T_TTAFStock_Log[Part Name],$A40,T_TTAFStock_Log[WeekIndex],43))</f>
        <v/>
      </c>
      <c r="AS40" s="17">
        <f>IF(COUNTIFS(T_TTAFStock_Log[Part Name],$A40,T_TTAFStock_Log[WeekIndex],44)=0,"",SUMIFS(T_TTAFStock_Log[TTAF_Qty],T_TTAFStock_Log[Part Name],$A40,T_TTAFStock_Log[WeekIndex],44))</f>
        <v/>
      </c>
      <c r="AT40" s="17">
        <f>IF(COUNTIFS(T_TTAFStock_Log[Part Name],$A40,T_TTAFStock_Log[WeekIndex],45)=0,"",SUMIFS(T_TTAFStock_Log[TTAF_Qty],T_TTAFStock_Log[Part Name],$A40,T_TTAFStock_Log[WeekIndex],45))</f>
        <v/>
      </c>
      <c r="AU40" s="17">
        <f>IF(COUNTIFS(T_TTAFStock_Log[Part Name],$A40,T_TTAFStock_Log[WeekIndex],46)=0,"",SUMIFS(T_TTAFStock_Log[TTAF_Qty],T_TTAFStock_Log[Part Name],$A40,T_TTAFStock_Log[WeekIndex],46))</f>
        <v/>
      </c>
      <c r="AV40" s="17">
        <f>IF(COUNTIFS(T_TTAFStock_Log[Part Name],$A40,T_TTAFStock_Log[WeekIndex],47)=0,"",SUMIFS(T_TTAFStock_Log[TTAF_Qty],T_TTAFStock_Log[Part Name],$A40,T_TTAFStock_Log[WeekIndex],47))</f>
        <v/>
      </c>
      <c r="AW40" s="17">
        <f>IF(COUNTIFS(T_TTAFStock_Log[Part Name],$A40,T_TTAFStock_Log[WeekIndex],48)=0,"",SUMIFS(T_TTAFStock_Log[TTAF_Qty],T_TTAFStock_Log[Part Name],$A40,T_TTAFStock_Log[WeekIndex],48))</f>
        <v/>
      </c>
      <c r="AX40" s="17">
        <f>IF(COUNTIFS(T_TTAFStock_Log[Part Name],$A40,T_TTAFStock_Log[WeekIndex],49)=0,"",SUMIFS(T_TTAFStock_Log[TTAF_Qty],T_TTAFStock_Log[Part Name],$A40,T_TTAFStock_Log[WeekIndex],49))</f>
        <v/>
      </c>
      <c r="AY40" s="17">
        <f>IF(COUNTIFS(T_TTAFStock_Log[Part Name],$A40,T_TTAFStock_Log[WeekIndex],50)=0,"",SUMIFS(T_TTAFStock_Log[TTAF_Qty],T_TTAFStock_Log[Part Name],$A40,T_TTAFStock_Log[WeekIndex],50))</f>
        <v/>
      </c>
      <c r="AZ40" s="17">
        <f>IF(COUNTIFS(T_TTAFStock_Log[Part Name],$A40,T_TTAFStock_Log[WeekIndex],51)=0,"",SUMIFS(T_TTAFStock_Log[TTAF_Qty],T_TTAFStock_Log[Part Name],$A40,T_TTAFStock_Log[WeekIndex],51))</f>
        <v/>
      </c>
      <c r="BA40" s="17">
        <f>IF(COUNTIFS(T_TTAFStock_Log[Part Name],$A40,T_TTAFStock_Log[WeekIndex],52)=0,"",SUMIFS(T_TTAFStock_Log[TTAF_Qty],T_TTAFStock_Log[Part Name],$A40,T_TTAFStock_Log[WeekIndex],52))</f>
        <v/>
      </c>
      <c r="BB40" s="17">
        <f>IF(COUNTIFS(T_TTAFStock_Log[Part Name],$A40,T_TTAFStock_Log[WeekIndex],53)=0,"",SUMIFS(T_TTAFStock_Log[TTAF_Qty],T_TTAFStock_Log[Part Name],$A40,T_TTAFStock_Log[WeekIndex],53))</f>
        <v/>
      </c>
      <c r="BC40" s="17">
        <f>IF(COUNTIFS(T_TTAFStock_Log[Part Name],$A40,T_TTAFStock_Log[WeekIndex],54)=0,"",SUMIFS(T_TTAFStock_Log[TTAF_Qty],T_TTAFStock_Log[Part Name],$A40,T_TTAFStock_Log[WeekIndex],54))</f>
        <v/>
      </c>
      <c r="BD40" s="17">
        <f>IF(COUNTIFS(T_TTAFStock_Log[Part Name],$A40,T_TTAFStock_Log[WeekIndex],55)=0,"",SUMIFS(T_TTAFStock_Log[TTAF_Qty],T_TTAFStock_Log[Part Name],$A40,T_TTAFStock_Log[WeekIndex],55))</f>
        <v/>
      </c>
      <c r="BE40" s="17">
        <f>IF(COUNTIFS(T_TTAFStock_Log[Part Name],$A40,T_TTAFStock_Log[WeekIndex],56)=0,"",SUMIFS(T_TTAFStock_Log[TTAF_Qty],T_TTAFStock_Log[Part Name],$A40,T_TTAFStock_Log[WeekIndex],56))</f>
        <v/>
      </c>
      <c r="BF40" s="17">
        <f>IF(COUNTIFS(T_TTAFStock_Log[Part Name],$A40,T_TTAFStock_Log[WeekIndex],57)=0,"",SUMIFS(T_TTAFStock_Log[TTAF_Qty],T_TTAFStock_Log[Part Name],$A40,T_TTAFStock_Log[WeekIndex],57))</f>
        <v/>
      </c>
      <c r="BG40" s="17">
        <f>IF(COUNTIFS(T_TTAFStock_Log[Part Name],$A40,T_TTAFStock_Log[WeekIndex],58)=0,"",SUMIFS(T_TTAFStock_Log[TTAF_Qty],T_TTAFStock_Log[Part Name],$A40,T_TTAFStock_Log[WeekIndex],58))</f>
        <v/>
      </c>
      <c r="BH40" s="17">
        <f>IF(COUNTIFS(T_TTAFStock_Log[Part Name],$A40,T_TTAFStock_Log[WeekIndex],59)=0,"",SUMIFS(T_TTAFStock_Log[TTAF_Qty],T_TTAFStock_Log[Part Name],$A40,T_TTAFStock_Log[WeekIndex],59))</f>
        <v/>
      </c>
      <c r="BI40" s="17">
        <f>IF(COUNTIFS(T_TTAFStock_Log[Part Name],$A40,T_TTAFStock_Log[WeekIndex],60)=0,"",SUMIFS(T_TTAFStock_Log[TTAF_Qty],T_TTAFStock_Log[Part Name],$A40,T_TTAFStock_Log[WeekIndex],60))</f>
        <v/>
      </c>
      <c r="BJ40" s="17">
        <f>IF(COUNTIFS(T_TTAFStock_Log[Part Name],$A40,T_TTAFStock_Log[WeekIndex],61)=0,"",SUMIFS(T_TTAFStock_Log[TTAF_Qty],T_TTAFStock_Log[Part Name],$A40,T_TTAFStock_Log[WeekIndex],61))</f>
        <v/>
      </c>
      <c r="BK40" s="17">
        <f>IF(COUNTIFS(T_TTAFStock_Log[Part Name],$A40,T_TTAFStock_Log[WeekIndex],62)=0,"",SUMIFS(T_TTAFStock_Log[TTAF_Qty],T_TTAFStock_Log[Part Name],$A40,T_TTAFStock_Log[WeekIndex],62))</f>
        <v/>
      </c>
      <c r="BL40" s="17">
        <f>IF(COUNTIFS(T_TTAFStock_Log[Part Name],$A40,T_TTAFStock_Log[WeekIndex],63)=0,"",SUMIFS(T_TTAFStock_Log[TTAF_Qty],T_TTAFStock_Log[Part Name],$A40,T_TTAFStock_Log[WeekIndex],63))</f>
        <v/>
      </c>
      <c r="BM40" s="17">
        <f>IF(COUNTIFS(T_TTAFStock_Log[Part Name],$A40,T_TTAFStock_Log[WeekIndex],64)=0,"",SUMIFS(T_TTAFStock_Log[TTAF_Qty],T_TTAFStock_Log[Part Name],$A40,T_TTAFStock_Log[WeekIndex],64))</f>
        <v/>
      </c>
      <c r="BN40" s="17">
        <f>IF(COUNTIFS(T_TTAFStock_Log[Part Name],$A40,T_TTAFStock_Log[WeekIndex],65)=0,"",SUMIFS(T_TTAFStock_Log[TTAF_Qty],T_TTAFStock_Log[Part Name],$A40,T_TTAFStock_Log[WeekIndex],65))</f>
        <v/>
      </c>
      <c r="BO40" s="17">
        <f>IF(COUNTIFS(T_TTAFStock_Log[Part Name],$A40,T_TTAFStock_Log[WeekIndex],66)=0,"",SUMIFS(T_TTAFStock_Log[TTAF_Qty],T_TTAFStock_Log[Part Name],$A40,T_TTAFStock_Log[WeekIndex],66))</f>
        <v/>
      </c>
      <c r="BP40" s="17">
        <f>IF(COUNTIFS(T_TTAFStock_Log[Part Name],$A40,T_TTAFStock_Log[WeekIndex],67)=0,"",SUMIFS(T_TTAFStock_Log[TTAF_Qty],T_TTAFStock_Log[Part Name],$A40,T_TTAFStock_Log[WeekIndex],67))</f>
        <v/>
      </c>
      <c r="BQ40" s="17">
        <f>IF(COUNTIFS(T_TTAFStock_Log[Part Name],$A40,T_TTAFStock_Log[WeekIndex],68)=0,"",SUMIFS(T_TTAFStock_Log[TTAF_Qty],T_TTAFStock_Log[Part Name],$A40,T_TTAFStock_Log[WeekIndex],68))</f>
        <v/>
      </c>
      <c r="BR40" s="17">
        <f>IF(COUNTIFS(T_TTAFStock_Log[Part Name],$A40,T_TTAFStock_Log[WeekIndex],69)=0,"",SUMIFS(T_TTAFStock_Log[TTAF_Qty],T_TTAFStock_Log[Part Name],$A40,T_TTAFStock_Log[WeekIndex],69))</f>
        <v/>
      </c>
      <c r="BS40" s="17">
        <f>IF(COUNTIFS(T_TTAFStock_Log[Part Name],$A40,T_TTAFStock_Log[WeekIndex],70)=0,"",SUMIFS(T_TTAFStock_Log[TTAF_Qty],T_TTAFStock_Log[Part Name],$A40,T_TTAFStock_Log[WeekIndex],70))</f>
        <v/>
      </c>
      <c r="BT40" s="17">
        <f>IF(COUNTIFS(T_TTAFStock_Log[Part Name],$A40,T_TTAFStock_Log[WeekIndex],71)=0,"",SUMIFS(T_TTAFStock_Log[TTAF_Qty],T_TTAFStock_Log[Part Name],$A40,T_TTAFStock_Log[WeekIndex],71))</f>
        <v/>
      </c>
      <c r="BU40" s="17">
        <f>IF(COUNTIFS(T_TTAFStock_Log[Part Name],$A40,T_TTAFStock_Log[WeekIndex],72)=0,"",SUMIFS(T_TTAFStock_Log[TTAF_Qty],T_TTAFStock_Log[Part Name],$A40,T_TTAFStock_Log[WeekIndex],72))</f>
        <v/>
      </c>
      <c r="BV40" s="17">
        <f>IF(COUNTIFS(T_TTAFStock_Log[Part Name],$A40,T_TTAFStock_Log[WeekIndex],73)=0,"",SUMIFS(T_TTAFStock_Log[TTAF_Qty],T_TTAFStock_Log[Part Name],$A40,T_TTAFStock_Log[WeekIndex],73))</f>
        <v/>
      </c>
      <c r="BW40" s="17">
        <f>IF(COUNTIFS(T_TTAFStock_Log[Part Name],$A40,T_TTAFStock_Log[WeekIndex],74)=0,"",SUMIFS(T_TTAFStock_Log[TTAF_Qty],T_TTAFStock_Log[Part Name],$A40,T_TTAFStock_Log[WeekIndex],74))</f>
        <v/>
      </c>
      <c r="BX40" s="17">
        <f>IF(COUNTIFS(T_TTAFStock_Log[Part Name],$A40,T_TTAFStock_Log[WeekIndex],75)=0,"",SUMIFS(T_TTAFStock_Log[TTAF_Qty],T_TTAFStock_Log[Part Name],$A40,T_TTAFStock_Log[WeekIndex],75))</f>
        <v/>
      </c>
      <c r="BY40" s="17">
        <f>IF(COUNTIFS(T_TTAFStock_Log[Part Name],$A40,T_TTAFStock_Log[WeekIndex],76)=0,"",SUMIFS(T_TTAFStock_Log[TTAF_Qty],T_TTAFStock_Log[Part Name],$A40,T_TTAFStock_Log[WeekIndex],76))</f>
        <v/>
      </c>
      <c r="BZ40" s="17">
        <f>IF(COUNTIFS(T_TTAFStock_Log[Part Name],$A40,T_TTAFStock_Log[WeekIndex],77)=0,"",SUMIFS(T_TTAFStock_Log[TTAF_Qty],T_TTAFStock_Log[Part Name],$A40,T_TTAFStock_Log[WeekIndex],77))</f>
        <v/>
      </c>
      <c r="CA40" s="17">
        <f>IF(COUNTIFS(T_TTAFStock_Log[Part Name],$A40,T_TTAFStock_Log[WeekIndex],78)=0,"",SUMIFS(T_TTAFStock_Log[TTAF_Qty],T_TTAFStock_Log[Part Name],$A40,T_TTAFStock_Log[WeekIndex],78))</f>
        <v/>
      </c>
      <c r="CB40" s="17">
        <f>IF(COUNTIFS(T_TTAFStock_Log[Part Name],$A40,T_TTAFStock_Log[WeekIndex],79)=0,"",SUMIFS(T_TTAFStock_Log[TTAF_Qty],T_TTAFStock_Log[Part Name],$A40,T_TTAFStock_Log[WeekIndex],79))</f>
        <v/>
      </c>
      <c r="CC40" s="17">
        <f>IF(COUNTIFS(T_TTAFStock_Log[Part Name],$A40,T_TTAFStock_Log[WeekIndex],80)=0,"",SUMIFS(T_TTAFStock_Log[TTAF_Qty],T_TTAFStock_Log[Part Name],$A40,T_TTAFStock_Log[WeekIndex],80))</f>
        <v/>
      </c>
      <c r="CD40" s="17">
        <f>IF(COUNTIFS(T_TTAFStock_Log[Part Name],$A40,T_TTAFStock_Log[WeekIndex],81)=0,"",SUMIFS(T_TTAFStock_Log[TTAF_Qty],T_TTAFStock_Log[Part Name],$A40,T_TTAFStock_Log[WeekIndex],81))</f>
        <v/>
      </c>
      <c r="CE40" s="17">
        <f>IF(COUNTIFS(T_TTAFStock_Log[Part Name],$A40,T_TTAFStock_Log[WeekIndex],82)=0,"",SUMIFS(T_TTAFStock_Log[TTAF_Qty],T_TTAFStock_Log[Part Name],$A40,T_TTAFStock_Log[WeekIndex],82))</f>
        <v/>
      </c>
      <c r="CF40" s="17">
        <f>IF(COUNTIFS(T_TTAFStock_Log[Part Name],$A40,T_TTAFStock_Log[WeekIndex],83)=0,"",SUMIFS(T_TTAFStock_Log[TTAF_Qty],T_TTAFStock_Log[Part Name],$A40,T_TTAFStock_Log[WeekIndex],83))</f>
        <v/>
      </c>
      <c r="CG40" s="17">
        <f>IF(COUNTIFS(T_TTAFStock_Log[Part Name],$A40,T_TTAFStock_Log[WeekIndex],84)=0,"",SUMIFS(T_TTAFStock_Log[TTAF_Qty],T_TTAFStock_Log[Part Name],$A40,T_TTAFStock_Log[WeekIndex],84))</f>
        <v/>
      </c>
      <c r="CH40" s="17">
        <f>IF(COUNTIFS(T_TTAFStock_Log[Part Name],$A40,T_TTAFStock_Log[WeekIndex],85)=0,"",SUMIFS(T_TTAFStock_Log[TTAF_Qty],T_TTAFStock_Log[Part Name],$A40,T_TTAFStock_Log[WeekIndex],85))</f>
        <v/>
      </c>
      <c r="CI40" s="17">
        <f>IF(COUNTIFS(T_TTAFStock_Log[Part Name],$A40,T_TTAFStock_Log[WeekIndex],86)=0,"",SUMIFS(T_TTAFStock_Log[TTAF_Qty],T_TTAFStock_Log[Part Name],$A40,T_TTAFStock_Log[WeekIndex],86))</f>
        <v/>
      </c>
      <c r="CJ40" s="17">
        <f>IF(COUNTIFS(T_TTAFStock_Log[Part Name],$A40,T_TTAFStock_Log[WeekIndex],87)=0,"",SUMIFS(T_TTAFStock_Log[TTAF_Qty],T_TTAFStock_Log[Part Name],$A40,T_TTAFStock_Log[WeekIndex],87))</f>
        <v/>
      </c>
      <c r="CK40" s="17">
        <f>IF(COUNTIFS(T_TTAFStock_Log[Part Name],$A40,T_TTAFStock_Log[WeekIndex],88)=0,"",SUMIFS(T_TTAFStock_Log[TTAF_Qty],T_TTAFStock_Log[Part Name],$A40,T_TTAFStock_Log[WeekIndex],88))</f>
        <v/>
      </c>
      <c r="CL40" s="17">
        <f>IF(COUNTIFS(T_TTAFStock_Log[Part Name],$A40,T_TTAFStock_Log[WeekIndex],89)=0,"",SUMIFS(T_TTAFStock_Log[TTAF_Qty],T_TTAFStock_Log[Part Name],$A40,T_TTAFStock_Log[WeekIndex],89))</f>
        <v/>
      </c>
      <c r="CM40" s="17">
        <f>IF(COUNTIFS(T_TTAFStock_Log[Part Name],$A40,T_TTAFStock_Log[WeekIndex],90)=0,"",SUMIFS(T_TTAFStock_Log[TTAF_Qty],T_TTAFStock_Log[Part Name],$A40,T_TTAFStock_Log[WeekIndex],90))</f>
        <v/>
      </c>
      <c r="CN40" s="17">
        <f>IF(COUNTIFS(T_TTAFStock_Log[Part Name],$A40,T_TTAFStock_Log[WeekIndex],91)=0,"",SUMIFS(T_TTAFStock_Log[TTAF_Qty],T_TTAFStock_Log[Part Name],$A40,T_TTAFStock_Log[WeekIndex],91))</f>
        <v/>
      </c>
      <c r="CO40" s="17">
        <f>IF(COUNTIFS(T_TTAFStock_Log[Part Name],$A40,T_TTAFStock_Log[WeekIndex],92)=0,"",SUMIFS(T_TTAFStock_Log[TTAF_Qty],T_TTAFStock_Log[Part Name],$A40,T_TTAFStock_Log[WeekIndex],92))</f>
        <v/>
      </c>
      <c r="CP40" s="17">
        <f>IF(COUNTIFS(T_TTAFStock_Log[Part Name],$A40,T_TTAFStock_Log[WeekIndex],93)=0,"",SUMIFS(T_TTAFStock_Log[TTAF_Qty],T_TTAFStock_Log[Part Name],$A40,T_TTAFStock_Log[WeekIndex],93))</f>
        <v/>
      </c>
      <c r="CQ40" s="17">
        <f>IF(COUNTIFS(T_TTAFStock_Log[Part Name],$A40,T_TTAFStock_Log[WeekIndex],94)=0,"",SUMIFS(T_TTAFStock_Log[TTAF_Qty],T_TTAFStock_Log[Part Name],$A40,T_TTAFStock_Log[WeekIndex],94))</f>
        <v/>
      </c>
      <c r="CR40" s="17">
        <f>IF(COUNTIFS(T_TTAFStock_Log[Part Name],$A40,T_TTAFStock_Log[WeekIndex],95)=0,"",SUMIFS(T_TTAFStock_Log[TTAF_Qty],T_TTAFStock_Log[Part Name],$A40,T_TTAFStock_Log[WeekIndex],95))</f>
        <v/>
      </c>
      <c r="CS40" s="17">
        <f>IF(COUNTIFS(T_TTAFStock_Log[Part Name],$A40,T_TTAFStock_Log[WeekIndex],96)=0,"",SUMIFS(T_TTAFStock_Log[TTAF_Qty],T_TTAFStock_Log[Part Name],$A40,T_TTAFStock_Log[WeekIndex],96))</f>
        <v/>
      </c>
      <c r="CT40" s="17">
        <f>IF(COUNTIFS(T_TTAFStock_Log[Part Name],$A40,T_TTAFStock_Log[WeekIndex],97)=0,"",SUMIFS(T_TTAFStock_Log[TTAF_Qty],T_TTAFStock_Log[Part Name],$A40,T_TTAFStock_Log[WeekIndex],97))</f>
        <v/>
      </c>
      <c r="CU40" s="17">
        <f>IF(COUNTIFS(T_TTAFStock_Log[Part Name],$A40,T_TTAFStock_Log[WeekIndex],98)=0,"",SUMIFS(T_TTAFStock_Log[TTAF_Qty],T_TTAFStock_Log[Part Name],$A40,T_TTAFStock_Log[WeekIndex],98))</f>
        <v/>
      </c>
      <c r="CV40" s="17">
        <f>IF(COUNTIFS(T_TTAFStock_Log[Part Name],$A40,T_TTAFStock_Log[WeekIndex],99)=0,"",SUMIFS(T_TTAFStock_Log[TTAF_Qty],T_TTAFStock_Log[Part Name],$A40,T_TTAFStock_Log[WeekIndex],99))</f>
        <v/>
      </c>
      <c r="CW40" s="17">
        <f>IF(COUNTIFS(T_TTAFStock_Log[Part Name],$A40,T_TTAFStock_Log[WeekIndex],100)=0,"",SUMIFS(T_TTAFStock_Log[TTAF_Qty],T_TTAFStock_Log[Part Name],$A40,T_TTAFStock_Log[WeekIndex],100))</f>
        <v/>
      </c>
      <c r="CX40" s="17">
        <f>IF(COUNTIFS(T_TTAFStock_Log[Part Name],$A40,T_TTAFStock_Log[WeekIndex],101)=0,"",SUMIFS(T_TTAFStock_Log[TTAF_Qty],T_TTAFStock_Log[Part Name],$A40,T_TTAFStock_Log[WeekIndex],101))</f>
        <v/>
      </c>
      <c r="CY40" s="17">
        <f>IF(COUNTIFS(T_TTAFStock_Log[Part Name],$A40,T_TTAFStock_Log[WeekIndex],102)=0,"",SUMIFS(T_TTAFStock_Log[TTAF_Qty],T_TTAFStock_Log[Part Name],$A40,T_TTAFStock_Log[WeekIndex],102))</f>
        <v/>
      </c>
      <c r="CZ40" s="17">
        <f>IF(COUNTIFS(T_TTAFStock_Log[Part Name],$A40,T_TTAFStock_Log[WeekIndex],103)=0,"",SUMIFS(T_TTAFStock_Log[TTAF_Qty],T_TTAFStock_Log[Part Name],$A40,T_TTAFStock_Log[WeekIndex],103))</f>
        <v/>
      </c>
      <c r="DA40" s="17">
        <f>IF(COUNTIFS(T_TTAFStock_Log[Part Name],$A40,T_TTAFStock_Log[WeekIndex],104)=0,"",SUMIFS(T_TTAFStock_Log[TTAF_Qty],T_TTAFStock_Log[Part Name],$A40,T_TTAFStock_Log[WeekIndex],104))</f>
        <v/>
      </c>
    </row>
    <row r="41">
      <c r="A41" s="19" t="inlineStr">
        <is>
          <t>CHEM-1530</t>
        </is>
      </c>
      <c r="B41" s="19">
        <f>IF(COUNTIFS(T_TTAFStock_Log[Part Name],$A41,T_TTAFStock_Log[WeekIndex],1)=0,"",SUMIFS(T_TTAFStock_Log[TTAF_Qty],T_TTAFStock_Log[Part Name],$A41,T_TTAFStock_Log[WeekIndex],1))</f>
        <v/>
      </c>
      <c r="C41" s="19">
        <f>IF(COUNTIFS(T_TTAFStock_Log[Part Name],$A41,T_TTAFStock_Log[WeekIndex],2)=0,"",SUMIFS(T_TTAFStock_Log[TTAF_Qty],T_TTAFStock_Log[Part Name],$A41,T_TTAFStock_Log[WeekIndex],2))</f>
        <v/>
      </c>
      <c r="D41" s="19">
        <f>IF(COUNTIFS(T_TTAFStock_Log[Part Name],$A41,T_TTAFStock_Log[WeekIndex],3)=0,"",SUMIFS(T_TTAFStock_Log[TTAF_Qty],T_TTAFStock_Log[Part Name],$A41,T_TTAFStock_Log[WeekIndex],3))</f>
        <v/>
      </c>
      <c r="E41" s="19">
        <f>IF(COUNTIFS(T_TTAFStock_Log[Part Name],$A41,T_TTAFStock_Log[WeekIndex],4)=0,"",SUMIFS(T_TTAFStock_Log[TTAF_Qty],T_TTAFStock_Log[Part Name],$A41,T_TTAFStock_Log[WeekIndex],4))</f>
        <v/>
      </c>
      <c r="F41" s="19">
        <f>IF(COUNTIFS(T_TTAFStock_Log[Part Name],$A41,T_TTAFStock_Log[WeekIndex],5)=0,"",SUMIFS(T_TTAFStock_Log[TTAF_Qty],T_TTAFStock_Log[Part Name],$A41,T_TTAFStock_Log[WeekIndex],5))</f>
        <v/>
      </c>
      <c r="G41" s="19">
        <f>IF(COUNTIFS(T_TTAFStock_Log[Part Name],$A41,T_TTAFStock_Log[WeekIndex],6)=0,"",SUMIFS(T_TTAFStock_Log[TTAF_Qty],T_TTAFStock_Log[Part Name],$A41,T_TTAFStock_Log[WeekIndex],6))</f>
        <v/>
      </c>
      <c r="H41" s="19">
        <f>IF(COUNTIFS(T_TTAFStock_Log[Part Name],$A41,T_TTAFStock_Log[WeekIndex],7)=0,"",SUMIFS(T_TTAFStock_Log[TTAF_Qty],T_TTAFStock_Log[Part Name],$A41,T_TTAFStock_Log[WeekIndex],7))</f>
        <v/>
      </c>
      <c r="I41" s="19">
        <f>IF(COUNTIFS(T_TTAFStock_Log[Part Name],$A41,T_TTAFStock_Log[WeekIndex],8)=0,"",SUMIFS(T_TTAFStock_Log[TTAF_Qty],T_TTAFStock_Log[Part Name],$A41,T_TTAFStock_Log[WeekIndex],8))</f>
        <v/>
      </c>
      <c r="J41" s="19">
        <f>IF(COUNTIFS(T_TTAFStock_Log[Part Name],$A41,T_TTAFStock_Log[WeekIndex],9)=0,"",SUMIFS(T_TTAFStock_Log[TTAF_Qty],T_TTAFStock_Log[Part Name],$A41,T_TTAFStock_Log[WeekIndex],9))</f>
        <v/>
      </c>
      <c r="K41" s="19">
        <f>IF(COUNTIFS(T_TTAFStock_Log[Part Name],$A41,T_TTAFStock_Log[WeekIndex],10)=0,"",SUMIFS(T_TTAFStock_Log[TTAF_Qty],T_TTAFStock_Log[Part Name],$A41,T_TTAFStock_Log[WeekIndex],10))</f>
        <v/>
      </c>
      <c r="L41" s="19">
        <f>IF(COUNTIFS(T_TTAFStock_Log[Part Name],$A41,T_TTAFStock_Log[WeekIndex],11)=0,"",SUMIFS(T_TTAFStock_Log[TTAF_Qty],T_TTAFStock_Log[Part Name],$A41,T_TTAFStock_Log[WeekIndex],11))</f>
        <v/>
      </c>
      <c r="M41" s="19">
        <f>IF(COUNTIFS(T_TTAFStock_Log[Part Name],$A41,T_TTAFStock_Log[WeekIndex],12)=0,"",SUMIFS(T_TTAFStock_Log[TTAF_Qty],T_TTAFStock_Log[Part Name],$A41,T_TTAFStock_Log[WeekIndex],12))</f>
        <v/>
      </c>
      <c r="N41" s="19">
        <f>IF(COUNTIFS(T_TTAFStock_Log[Part Name],$A41,T_TTAFStock_Log[WeekIndex],13)=0,"",SUMIFS(T_TTAFStock_Log[TTAF_Qty],T_TTAFStock_Log[Part Name],$A41,T_TTAFStock_Log[WeekIndex],13))</f>
        <v/>
      </c>
      <c r="O41" s="19">
        <f>IF(COUNTIFS(T_TTAFStock_Log[Part Name],$A41,T_TTAFStock_Log[WeekIndex],14)=0,"",SUMIFS(T_TTAFStock_Log[TTAF_Qty],T_TTAFStock_Log[Part Name],$A41,T_TTAFStock_Log[WeekIndex],14))</f>
        <v/>
      </c>
      <c r="P41" s="19">
        <f>IF(COUNTIFS(T_TTAFStock_Log[Part Name],$A41,T_TTAFStock_Log[WeekIndex],15)=0,"",SUMIFS(T_TTAFStock_Log[TTAF_Qty],T_TTAFStock_Log[Part Name],$A41,T_TTAFStock_Log[WeekIndex],15))</f>
        <v/>
      </c>
      <c r="Q41" s="19">
        <f>IF(COUNTIFS(T_TTAFStock_Log[Part Name],$A41,T_TTAFStock_Log[WeekIndex],16)=0,"",SUMIFS(T_TTAFStock_Log[TTAF_Qty],T_TTAFStock_Log[Part Name],$A41,T_TTAFStock_Log[WeekIndex],16))</f>
        <v/>
      </c>
      <c r="R41" s="19">
        <f>IF(COUNTIFS(T_TTAFStock_Log[Part Name],$A41,T_TTAFStock_Log[WeekIndex],17)=0,"",SUMIFS(T_TTAFStock_Log[TTAF_Qty],T_TTAFStock_Log[Part Name],$A41,T_TTAFStock_Log[WeekIndex],17))</f>
        <v/>
      </c>
      <c r="S41" s="19">
        <f>IF(COUNTIFS(T_TTAFStock_Log[Part Name],$A41,T_TTAFStock_Log[WeekIndex],18)=0,"",SUMIFS(T_TTAFStock_Log[TTAF_Qty],T_TTAFStock_Log[Part Name],$A41,T_TTAFStock_Log[WeekIndex],18))</f>
        <v/>
      </c>
      <c r="T41" s="19">
        <f>IF(COUNTIFS(T_TTAFStock_Log[Part Name],$A41,T_TTAFStock_Log[WeekIndex],19)=0,"",SUMIFS(T_TTAFStock_Log[TTAF_Qty],T_TTAFStock_Log[Part Name],$A41,T_TTAFStock_Log[WeekIndex],19))</f>
        <v/>
      </c>
      <c r="U41" s="19">
        <f>IF(COUNTIFS(T_TTAFStock_Log[Part Name],$A41,T_TTAFStock_Log[WeekIndex],20)=0,"",SUMIFS(T_TTAFStock_Log[TTAF_Qty],T_TTAFStock_Log[Part Name],$A41,T_TTAFStock_Log[WeekIndex],20))</f>
        <v/>
      </c>
      <c r="V41" s="19">
        <f>IF(COUNTIFS(T_TTAFStock_Log[Part Name],$A41,T_TTAFStock_Log[WeekIndex],21)=0,"",SUMIFS(T_TTAFStock_Log[TTAF_Qty],T_TTAFStock_Log[Part Name],$A41,T_TTAFStock_Log[WeekIndex],21))</f>
        <v/>
      </c>
      <c r="W41" s="19">
        <f>IF(COUNTIFS(T_TTAFStock_Log[Part Name],$A41,T_TTAFStock_Log[WeekIndex],22)=0,"",SUMIFS(T_TTAFStock_Log[TTAF_Qty],T_TTAFStock_Log[Part Name],$A41,T_TTAFStock_Log[WeekIndex],22))</f>
        <v/>
      </c>
      <c r="X41" s="19">
        <f>IF(COUNTIFS(T_TTAFStock_Log[Part Name],$A41,T_TTAFStock_Log[WeekIndex],23)=0,"",SUMIFS(T_TTAFStock_Log[TTAF_Qty],T_TTAFStock_Log[Part Name],$A41,T_TTAFStock_Log[WeekIndex],23))</f>
        <v/>
      </c>
      <c r="Y41" s="19">
        <f>IF(COUNTIFS(T_TTAFStock_Log[Part Name],$A41,T_TTAFStock_Log[WeekIndex],24)=0,"",SUMIFS(T_TTAFStock_Log[TTAF_Qty],T_TTAFStock_Log[Part Name],$A41,T_TTAFStock_Log[WeekIndex],24))</f>
        <v/>
      </c>
      <c r="Z41" s="19">
        <f>IF(COUNTIFS(T_TTAFStock_Log[Part Name],$A41,T_TTAFStock_Log[WeekIndex],25)=0,"",SUMIFS(T_TTAFStock_Log[TTAF_Qty],T_TTAFStock_Log[Part Name],$A41,T_TTAFStock_Log[WeekIndex],25))</f>
        <v/>
      </c>
      <c r="AA41" s="19">
        <f>IF(COUNTIFS(T_TTAFStock_Log[Part Name],$A41,T_TTAFStock_Log[WeekIndex],26)=0,"",SUMIFS(T_TTAFStock_Log[TTAF_Qty],T_TTAFStock_Log[Part Name],$A41,T_TTAFStock_Log[WeekIndex],26))</f>
        <v/>
      </c>
      <c r="AB41" s="19">
        <f>IF(COUNTIFS(T_TTAFStock_Log[Part Name],$A41,T_TTAFStock_Log[WeekIndex],27)=0,"",SUMIFS(T_TTAFStock_Log[TTAF_Qty],T_TTAFStock_Log[Part Name],$A41,T_TTAFStock_Log[WeekIndex],27))</f>
        <v/>
      </c>
      <c r="AC41" s="19">
        <f>IF(COUNTIFS(T_TTAFStock_Log[Part Name],$A41,T_TTAFStock_Log[WeekIndex],28)=0,"",SUMIFS(T_TTAFStock_Log[TTAF_Qty],T_TTAFStock_Log[Part Name],$A41,T_TTAFStock_Log[WeekIndex],28))</f>
        <v/>
      </c>
      <c r="AD41" s="19">
        <f>IF(COUNTIFS(T_TTAFStock_Log[Part Name],$A41,T_TTAFStock_Log[WeekIndex],29)=0,"",SUMIFS(T_TTAFStock_Log[TTAF_Qty],T_TTAFStock_Log[Part Name],$A41,T_TTAFStock_Log[WeekIndex],29))</f>
        <v/>
      </c>
      <c r="AE41" s="19">
        <f>IF(COUNTIFS(T_TTAFStock_Log[Part Name],$A41,T_TTAFStock_Log[WeekIndex],30)=0,"",SUMIFS(T_TTAFStock_Log[TTAF_Qty],T_TTAFStock_Log[Part Name],$A41,T_TTAFStock_Log[WeekIndex],30))</f>
        <v/>
      </c>
      <c r="AF41" s="19">
        <f>IF(COUNTIFS(T_TTAFStock_Log[Part Name],$A41,T_TTAFStock_Log[WeekIndex],31)=0,"",SUMIFS(T_TTAFStock_Log[TTAF_Qty],T_TTAFStock_Log[Part Name],$A41,T_TTAFStock_Log[WeekIndex],31))</f>
        <v/>
      </c>
      <c r="AG41" s="19">
        <f>IF(COUNTIFS(T_TTAFStock_Log[Part Name],$A41,T_TTAFStock_Log[WeekIndex],32)=0,"",SUMIFS(T_TTAFStock_Log[TTAF_Qty],T_TTAFStock_Log[Part Name],$A41,T_TTAFStock_Log[WeekIndex],32))</f>
        <v/>
      </c>
      <c r="AH41" s="19">
        <f>IF(COUNTIFS(T_TTAFStock_Log[Part Name],$A41,T_TTAFStock_Log[WeekIndex],33)=0,"",SUMIFS(T_TTAFStock_Log[TTAF_Qty],T_TTAFStock_Log[Part Name],$A41,T_TTAFStock_Log[WeekIndex],33))</f>
        <v/>
      </c>
      <c r="AI41" s="19">
        <f>IF(COUNTIFS(T_TTAFStock_Log[Part Name],$A41,T_TTAFStock_Log[WeekIndex],34)=0,"",SUMIFS(T_TTAFStock_Log[TTAF_Qty],T_TTAFStock_Log[Part Name],$A41,T_TTAFStock_Log[WeekIndex],34))</f>
        <v/>
      </c>
      <c r="AJ41" s="19">
        <f>IF(COUNTIFS(T_TTAFStock_Log[Part Name],$A41,T_TTAFStock_Log[WeekIndex],35)=0,"",SUMIFS(T_TTAFStock_Log[TTAF_Qty],T_TTAFStock_Log[Part Name],$A41,T_TTAFStock_Log[WeekIndex],35))</f>
        <v/>
      </c>
      <c r="AK41" s="19">
        <f>IF(COUNTIFS(T_TTAFStock_Log[Part Name],$A41,T_TTAFStock_Log[WeekIndex],36)=0,"",SUMIFS(T_TTAFStock_Log[TTAF_Qty],T_TTAFStock_Log[Part Name],$A41,T_TTAFStock_Log[WeekIndex],36))</f>
        <v/>
      </c>
      <c r="AL41" s="19">
        <f>IF(COUNTIFS(T_TTAFStock_Log[Part Name],$A41,T_TTAFStock_Log[WeekIndex],37)=0,"",SUMIFS(T_TTAFStock_Log[TTAF_Qty],T_TTAFStock_Log[Part Name],$A41,T_TTAFStock_Log[WeekIndex],37))</f>
        <v/>
      </c>
      <c r="AM41" s="19">
        <f>IF(COUNTIFS(T_TTAFStock_Log[Part Name],$A41,T_TTAFStock_Log[WeekIndex],38)=0,"",SUMIFS(T_TTAFStock_Log[TTAF_Qty],T_TTAFStock_Log[Part Name],$A41,T_TTAFStock_Log[WeekIndex],38))</f>
        <v/>
      </c>
      <c r="AN41" s="19">
        <f>IF(COUNTIFS(T_TTAFStock_Log[Part Name],$A41,T_TTAFStock_Log[WeekIndex],39)=0,"",SUMIFS(T_TTAFStock_Log[TTAF_Qty],T_TTAFStock_Log[Part Name],$A41,T_TTAFStock_Log[WeekIndex],39))</f>
        <v/>
      </c>
      <c r="AO41" s="19">
        <f>IF(COUNTIFS(T_TTAFStock_Log[Part Name],$A41,T_TTAFStock_Log[WeekIndex],40)=0,"",SUMIFS(T_TTAFStock_Log[TTAF_Qty],T_TTAFStock_Log[Part Name],$A41,T_TTAFStock_Log[WeekIndex],40))</f>
        <v/>
      </c>
      <c r="AP41" s="19">
        <f>IF(COUNTIFS(T_TTAFStock_Log[Part Name],$A41,T_TTAFStock_Log[WeekIndex],41)=0,"",SUMIFS(T_TTAFStock_Log[TTAF_Qty],T_TTAFStock_Log[Part Name],$A41,T_TTAFStock_Log[WeekIndex],41))</f>
        <v/>
      </c>
      <c r="AQ41" s="19">
        <f>IF(COUNTIFS(T_TTAFStock_Log[Part Name],$A41,T_TTAFStock_Log[WeekIndex],42)=0,"",SUMIFS(T_TTAFStock_Log[TTAF_Qty],T_TTAFStock_Log[Part Name],$A41,T_TTAFStock_Log[WeekIndex],42))</f>
        <v/>
      </c>
      <c r="AR41" s="19">
        <f>IF(COUNTIFS(T_TTAFStock_Log[Part Name],$A41,T_TTAFStock_Log[WeekIndex],43)=0,"",SUMIFS(T_TTAFStock_Log[TTAF_Qty],T_TTAFStock_Log[Part Name],$A41,T_TTAFStock_Log[WeekIndex],43))</f>
        <v/>
      </c>
      <c r="AS41" s="19">
        <f>IF(COUNTIFS(T_TTAFStock_Log[Part Name],$A41,T_TTAFStock_Log[WeekIndex],44)=0,"",SUMIFS(T_TTAFStock_Log[TTAF_Qty],T_TTAFStock_Log[Part Name],$A41,T_TTAFStock_Log[WeekIndex],44))</f>
        <v/>
      </c>
      <c r="AT41" s="19">
        <f>IF(COUNTIFS(T_TTAFStock_Log[Part Name],$A41,T_TTAFStock_Log[WeekIndex],45)=0,"",SUMIFS(T_TTAFStock_Log[TTAF_Qty],T_TTAFStock_Log[Part Name],$A41,T_TTAFStock_Log[WeekIndex],45))</f>
        <v/>
      </c>
      <c r="AU41" s="19">
        <f>IF(COUNTIFS(T_TTAFStock_Log[Part Name],$A41,T_TTAFStock_Log[WeekIndex],46)=0,"",SUMIFS(T_TTAFStock_Log[TTAF_Qty],T_TTAFStock_Log[Part Name],$A41,T_TTAFStock_Log[WeekIndex],46))</f>
        <v/>
      </c>
      <c r="AV41" s="19">
        <f>IF(COUNTIFS(T_TTAFStock_Log[Part Name],$A41,T_TTAFStock_Log[WeekIndex],47)=0,"",SUMIFS(T_TTAFStock_Log[TTAF_Qty],T_TTAFStock_Log[Part Name],$A41,T_TTAFStock_Log[WeekIndex],47))</f>
        <v/>
      </c>
      <c r="AW41" s="19">
        <f>IF(COUNTIFS(T_TTAFStock_Log[Part Name],$A41,T_TTAFStock_Log[WeekIndex],48)=0,"",SUMIFS(T_TTAFStock_Log[TTAF_Qty],T_TTAFStock_Log[Part Name],$A41,T_TTAFStock_Log[WeekIndex],48))</f>
        <v/>
      </c>
      <c r="AX41" s="19">
        <f>IF(COUNTIFS(T_TTAFStock_Log[Part Name],$A41,T_TTAFStock_Log[WeekIndex],49)=0,"",SUMIFS(T_TTAFStock_Log[TTAF_Qty],T_TTAFStock_Log[Part Name],$A41,T_TTAFStock_Log[WeekIndex],49))</f>
        <v/>
      </c>
      <c r="AY41" s="19">
        <f>IF(COUNTIFS(T_TTAFStock_Log[Part Name],$A41,T_TTAFStock_Log[WeekIndex],50)=0,"",SUMIFS(T_TTAFStock_Log[TTAF_Qty],T_TTAFStock_Log[Part Name],$A41,T_TTAFStock_Log[WeekIndex],50))</f>
        <v/>
      </c>
      <c r="AZ41" s="19">
        <f>IF(COUNTIFS(T_TTAFStock_Log[Part Name],$A41,T_TTAFStock_Log[WeekIndex],51)=0,"",SUMIFS(T_TTAFStock_Log[TTAF_Qty],T_TTAFStock_Log[Part Name],$A41,T_TTAFStock_Log[WeekIndex],51))</f>
        <v/>
      </c>
      <c r="BA41" s="19">
        <f>IF(COUNTIFS(T_TTAFStock_Log[Part Name],$A41,T_TTAFStock_Log[WeekIndex],52)=0,"",SUMIFS(T_TTAFStock_Log[TTAF_Qty],T_TTAFStock_Log[Part Name],$A41,T_TTAFStock_Log[WeekIndex],52))</f>
        <v/>
      </c>
      <c r="BB41" s="19">
        <f>IF(COUNTIFS(T_TTAFStock_Log[Part Name],$A41,T_TTAFStock_Log[WeekIndex],53)=0,"",SUMIFS(T_TTAFStock_Log[TTAF_Qty],T_TTAFStock_Log[Part Name],$A41,T_TTAFStock_Log[WeekIndex],53))</f>
        <v/>
      </c>
      <c r="BC41" s="19">
        <f>IF(COUNTIFS(T_TTAFStock_Log[Part Name],$A41,T_TTAFStock_Log[WeekIndex],54)=0,"",SUMIFS(T_TTAFStock_Log[TTAF_Qty],T_TTAFStock_Log[Part Name],$A41,T_TTAFStock_Log[WeekIndex],54))</f>
        <v/>
      </c>
      <c r="BD41" s="19">
        <f>IF(COUNTIFS(T_TTAFStock_Log[Part Name],$A41,T_TTAFStock_Log[WeekIndex],55)=0,"",SUMIFS(T_TTAFStock_Log[TTAF_Qty],T_TTAFStock_Log[Part Name],$A41,T_TTAFStock_Log[WeekIndex],55))</f>
        <v/>
      </c>
      <c r="BE41" s="19">
        <f>IF(COUNTIFS(T_TTAFStock_Log[Part Name],$A41,T_TTAFStock_Log[WeekIndex],56)=0,"",SUMIFS(T_TTAFStock_Log[TTAF_Qty],T_TTAFStock_Log[Part Name],$A41,T_TTAFStock_Log[WeekIndex],56))</f>
        <v/>
      </c>
      <c r="BF41" s="19">
        <f>IF(COUNTIFS(T_TTAFStock_Log[Part Name],$A41,T_TTAFStock_Log[WeekIndex],57)=0,"",SUMIFS(T_TTAFStock_Log[TTAF_Qty],T_TTAFStock_Log[Part Name],$A41,T_TTAFStock_Log[WeekIndex],57))</f>
        <v/>
      </c>
      <c r="BG41" s="19">
        <f>IF(COUNTIFS(T_TTAFStock_Log[Part Name],$A41,T_TTAFStock_Log[WeekIndex],58)=0,"",SUMIFS(T_TTAFStock_Log[TTAF_Qty],T_TTAFStock_Log[Part Name],$A41,T_TTAFStock_Log[WeekIndex],58))</f>
        <v/>
      </c>
      <c r="BH41" s="19">
        <f>IF(COUNTIFS(T_TTAFStock_Log[Part Name],$A41,T_TTAFStock_Log[WeekIndex],59)=0,"",SUMIFS(T_TTAFStock_Log[TTAF_Qty],T_TTAFStock_Log[Part Name],$A41,T_TTAFStock_Log[WeekIndex],59))</f>
        <v/>
      </c>
      <c r="BI41" s="19">
        <f>IF(COUNTIFS(T_TTAFStock_Log[Part Name],$A41,T_TTAFStock_Log[WeekIndex],60)=0,"",SUMIFS(T_TTAFStock_Log[TTAF_Qty],T_TTAFStock_Log[Part Name],$A41,T_TTAFStock_Log[WeekIndex],60))</f>
        <v/>
      </c>
      <c r="BJ41" s="19">
        <f>IF(COUNTIFS(T_TTAFStock_Log[Part Name],$A41,T_TTAFStock_Log[WeekIndex],61)=0,"",SUMIFS(T_TTAFStock_Log[TTAF_Qty],T_TTAFStock_Log[Part Name],$A41,T_TTAFStock_Log[WeekIndex],61))</f>
        <v/>
      </c>
      <c r="BK41" s="19">
        <f>IF(COUNTIFS(T_TTAFStock_Log[Part Name],$A41,T_TTAFStock_Log[WeekIndex],62)=0,"",SUMIFS(T_TTAFStock_Log[TTAF_Qty],T_TTAFStock_Log[Part Name],$A41,T_TTAFStock_Log[WeekIndex],62))</f>
        <v/>
      </c>
      <c r="BL41" s="19">
        <f>IF(COUNTIFS(T_TTAFStock_Log[Part Name],$A41,T_TTAFStock_Log[WeekIndex],63)=0,"",SUMIFS(T_TTAFStock_Log[TTAF_Qty],T_TTAFStock_Log[Part Name],$A41,T_TTAFStock_Log[WeekIndex],63))</f>
        <v/>
      </c>
      <c r="BM41" s="19">
        <f>IF(COUNTIFS(T_TTAFStock_Log[Part Name],$A41,T_TTAFStock_Log[WeekIndex],64)=0,"",SUMIFS(T_TTAFStock_Log[TTAF_Qty],T_TTAFStock_Log[Part Name],$A41,T_TTAFStock_Log[WeekIndex],64))</f>
        <v/>
      </c>
      <c r="BN41" s="19">
        <f>IF(COUNTIFS(T_TTAFStock_Log[Part Name],$A41,T_TTAFStock_Log[WeekIndex],65)=0,"",SUMIFS(T_TTAFStock_Log[TTAF_Qty],T_TTAFStock_Log[Part Name],$A41,T_TTAFStock_Log[WeekIndex],65))</f>
        <v/>
      </c>
      <c r="BO41" s="19">
        <f>IF(COUNTIFS(T_TTAFStock_Log[Part Name],$A41,T_TTAFStock_Log[WeekIndex],66)=0,"",SUMIFS(T_TTAFStock_Log[TTAF_Qty],T_TTAFStock_Log[Part Name],$A41,T_TTAFStock_Log[WeekIndex],66))</f>
        <v/>
      </c>
      <c r="BP41" s="19">
        <f>IF(COUNTIFS(T_TTAFStock_Log[Part Name],$A41,T_TTAFStock_Log[WeekIndex],67)=0,"",SUMIFS(T_TTAFStock_Log[TTAF_Qty],T_TTAFStock_Log[Part Name],$A41,T_TTAFStock_Log[WeekIndex],67))</f>
        <v/>
      </c>
      <c r="BQ41" s="19">
        <f>IF(COUNTIFS(T_TTAFStock_Log[Part Name],$A41,T_TTAFStock_Log[WeekIndex],68)=0,"",SUMIFS(T_TTAFStock_Log[TTAF_Qty],T_TTAFStock_Log[Part Name],$A41,T_TTAFStock_Log[WeekIndex],68))</f>
        <v/>
      </c>
      <c r="BR41" s="19">
        <f>IF(COUNTIFS(T_TTAFStock_Log[Part Name],$A41,T_TTAFStock_Log[WeekIndex],69)=0,"",SUMIFS(T_TTAFStock_Log[TTAF_Qty],T_TTAFStock_Log[Part Name],$A41,T_TTAFStock_Log[WeekIndex],69))</f>
        <v/>
      </c>
      <c r="BS41" s="19">
        <f>IF(COUNTIFS(T_TTAFStock_Log[Part Name],$A41,T_TTAFStock_Log[WeekIndex],70)=0,"",SUMIFS(T_TTAFStock_Log[TTAF_Qty],T_TTAFStock_Log[Part Name],$A41,T_TTAFStock_Log[WeekIndex],70))</f>
        <v/>
      </c>
      <c r="BT41" s="19">
        <f>IF(COUNTIFS(T_TTAFStock_Log[Part Name],$A41,T_TTAFStock_Log[WeekIndex],71)=0,"",SUMIFS(T_TTAFStock_Log[TTAF_Qty],T_TTAFStock_Log[Part Name],$A41,T_TTAFStock_Log[WeekIndex],71))</f>
        <v/>
      </c>
      <c r="BU41" s="19">
        <f>IF(COUNTIFS(T_TTAFStock_Log[Part Name],$A41,T_TTAFStock_Log[WeekIndex],72)=0,"",SUMIFS(T_TTAFStock_Log[TTAF_Qty],T_TTAFStock_Log[Part Name],$A41,T_TTAFStock_Log[WeekIndex],72))</f>
        <v/>
      </c>
      <c r="BV41" s="19">
        <f>IF(COUNTIFS(T_TTAFStock_Log[Part Name],$A41,T_TTAFStock_Log[WeekIndex],73)=0,"",SUMIFS(T_TTAFStock_Log[TTAF_Qty],T_TTAFStock_Log[Part Name],$A41,T_TTAFStock_Log[WeekIndex],73))</f>
        <v/>
      </c>
      <c r="BW41" s="19">
        <f>IF(COUNTIFS(T_TTAFStock_Log[Part Name],$A41,T_TTAFStock_Log[WeekIndex],74)=0,"",SUMIFS(T_TTAFStock_Log[TTAF_Qty],T_TTAFStock_Log[Part Name],$A41,T_TTAFStock_Log[WeekIndex],74))</f>
        <v/>
      </c>
      <c r="BX41" s="19">
        <f>IF(COUNTIFS(T_TTAFStock_Log[Part Name],$A41,T_TTAFStock_Log[WeekIndex],75)=0,"",SUMIFS(T_TTAFStock_Log[TTAF_Qty],T_TTAFStock_Log[Part Name],$A41,T_TTAFStock_Log[WeekIndex],75))</f>
        <v/>
      </c>
      <c r="BY41" s="19">
        <f>IF(COUNTIFS(T_TTAFStock_Log[Part Name],$A41,T_TTAFStock_Log[WeekIndex],76)=0,"",SUMIFS(T_TTAFStock_Log[TTAF_Qty],T_TTAFStock_Log[Part Name],$A41,T_TTAFStock_Log[WeekIndex],76))</f>
        <v/>
      </c>
      <c r="BZ41" s="19">
        <f>IF(COUNTIFS(T_TTAFStock_Log[Part Name],$A41,T_TTAFStock_Log[WeekIndex],77)=0,"",SUMIFS(T_TTAFStock_Log[TTAF_Qty],T_TTAFStock_Log[Part Name],$A41,T_TTAFStock_Log[WeekIndex],77))</f>
        <v/>
      </c>
      <c r="CA41" s="19">
        <f>IF(COUNTIFS(T_TTAFStock_Log[Part Name],$A41,T_TTAFStock_Log[WeekIndex],78)=0,"",SUMIFS(T_TTAFStock_Log[TTAF_Qty],T_TTAFStock_Log[Part Name],$A41,T_TTAFStock_Log[WeekIndex],78))</f>
        <v/>
      </c>
      <c r="CB41" s="19">
        <f>IF(COUNTIFS(T_TTAFStock_Log[Part Name],$A41,T_TTAFStock_Log[WeekIndex],79)=0,"",SUMIFS(T_TTAFStock_Log[TTAF_Qty],T_TTAFStock_Log[Part Name],$A41,T_TTAFStock_Log[WeekIndex],79))</f>
        <v/>
      </c>
      <c r="CC41" s="19">
        <f>IF(COUNTIFS(T_TTAFStock_Log[Part Name],$A41,T_TTAFStock_Log[WeekIndex],80)=0,"",SUMIFS(T_TTAFStock_Log[TTAF_Qty],T_TTAFStock_Log[Part Name],$A41,T_TTAFStock_Log[WeekIndex],80))</f>
        <v/>
      </c>
      <c r="CD41" s="19">
        <f>IF(COUNTIFS(T_TTAFStock_Log[Part Name],$A41,T_TTAFStock_Log[WeekIndex],81)=0,"",SUMIFS(T_TTAFStock_Log[TTAF_Qty],T_TTAFStock_Log[Part Name],$A41,T_TTAFStock_Log[WeekIndex],81))</f>
        <v/>
      </c>
      <c r="CE41" s="19">
        <f>IF(COUNTIFS(T_TTAFStock_Log[Part Name],$A41,T_TTAFStock_Log[WeekIndex],82)=0,"",SUMIFS(T_TTAFStock_Log[TTAF_Qty],T_TTAFStock_Log[Part Name],$A41,T_TTAFStock_Log[WeekIndex],82))</f>
        <v/>
      </c>
      <c r="CF41" s="19">
        <f>IF(COUNTIFS(T_TTAFStock_Log[Part Name],$A41,T_TTAFStock_Log[WeekIndex],83)=0,"",SUMIFS(T_TTAFStock_Log[TTAF_Qty],T_TTAFStock_Log[Part Name],$A41,T_TTAFStock_Log[WeekIndex],83))</f>
        <v/>
      </c>
      <c r="CG41" s="19">
        <f>IF(COUNTIFS(T_TTAFStock_Log[Part Name],$A41,T_TTAFStock_Log[WeekIndex],84)=0,"",SUMIFS(T_TTAFStock_Log[TTAF_Qty],T_TTAFStock_Log[Part Name],$A41,T_TTAFStock_Log[WeekIndex],84))</f>
        <v/>
      </c>
      <c r="CH41" s="19">
        <f>IF(COUNTIFS(T_TTAFStock_Log[Part Name],$A41,T_TTAFStock_Log[WeekIndex],85)=0,"",SUMIFS(T_TTAFStock_Log[TTAF_Qty],T_TTAFStock_Log[Part Name],$A41,T_TTAFStock_Log[WeekIndex],85))</f>
        <v/>
      </c>
      <c r="CI41" s="19">
        <f>IF(COUNTIFS(T_TTAFStock_Log[Part Name],$A41,T_TTAFStock_Log[WeekIndex],86)=0,"",SUMIFS(T_TTAFStock_Log[TTAF_Qty],T_TTAFStock_Log[Part Name],$A41,T_TTAFStock_Log[WeekIndex],86))</f>
        <v/>
      </c>
      <c r="CJ41" s="19">
        <f>IF(COUNTIFS(T_TTAFStock_Log[Part Name],$A41,T_TTAFStock_Log[WeekIndex],87)=0,"",SUMIFS(T_TTAFStock_Log[TTAF_Qty],T_TTAFStock_Log[Part Name],$A41,T_TTAFStock_Log[WeekIndex],87))</f>
        <v/>
      </c>
      <c r="CK41" s="19">
        <f>IF(COUNTIFS(T_TTAFStock_Log[Part Name],$A41,T_TTAFStock_Log[WeekIndex],88)=0,"",SUMIFS(T_TTAFStock_Log[TTAF_Qty],T_TTAFStock_Log[Part Name],$A41,T_TTAFStock_Log[WeekIndex],88))</f>
        <v/>
      </c>
      <c r="CL41" s="19">
        <f>IF(COUNTIFS(T_TTAFStock_Log[Part Name],$A41,T_TTAFStock_Log[WeekIndex],89)=0,"",SUMIFS(T_TTAFStock_Log[TTAF_Qty],T_TTAFStock_Log[Part Name],$A41,T_TTAFStock_Log[WeekIndex],89))</f>
        <v/>
      </c>
      <c r="CM41" s="19">
        <f>IF(COUNTIFS(T_TTAFStock_Log[Part Name],$A41,T_TTAFStock_Log[WeekIndex],90)=0,"",SUMIFS(T_TTAFStock_Log[TTAF_Qty],T_TTAFStock_Log[Part Name],$A41,T_TTAFStock_Log[WeekIndex],90))</f>
        <v/>
      </c>
      <c r="CN41" s="19">
        <f>IF(COUNTIFS(T_TTAFStock_Log[Part Name],$A41,T_TTAFStock_Log[WeekIndex],91)=0,"",SUMIFS(T_TTAFStock_Log[TTAF_Qty],T_TTAFStock_Log[Part Name],$A41,T_TTAFStock_Log[WeekIndex],91))</f>
        <v/>
      </c>
      <c r="CO41" s="19">
        <f>IF(COUNTIFS(T_TTAFStock_Log[Part Name],$A41,T_TTAFStock_Log[WeekIndex],92)=0,"",SUMIFS(T_TTAFStock_Log[TTAF_Qty],T_TTAFStock_Log[Part Name],$A41,T_TTAFStock_Log[WeekIndex],92))</f>
        <v/>
      </c>
      <c r="CP41" s="19">
        <f>IF(COUNTIFS(T_TTAFStock_Log[Part Name],$A41,T_TTAFStock_Log[WeekIndex],93)=0,"",SUMIFS(T_TTAFStock_Log[TTAF_Qty],T_TTAFStock_Log[Part Name],$A41,T_TTAFStock_Log[WeekIndex],93))</f>
        <v/>
      </c>
      <c r="CQ41" s="19">
        <f>IF(COUNTIFS(T_TTAFStock_Log[Part Name],$A41,T_TTAFStock_Log[WeekIndex],94)=0,"",SUMIFS(T_TTAFStock_Log[TTAF_Qty],T_TTAFStock_Log[Part Name],$A41,T_TTAFStock_Log[WeekIndex],94))</f>
        <v/>
      </c>
      <c r="CR41" s="19">
        <f>IF(COUNTIFS(T_TTAFStock_Log[Part Name],$A41,T_TTAFStock_Log[WeekIndex],95)=0,"",SUMIFS(T_TTAFStock_Log[TTAF_Qty],T_TTAFStock_Log[Part Name],$A41,T_TTAFStock_Log[WeekIndex],95))</f>
        <v/>
      </c>
      <c r="CS41" s="19">
        <f>IF(COUNTIFS(T_TTAFStock_Log[Part Name],$A41,T_TTAFStock_Log[WeekIndex],96)=0,"",SUMIFS(T_TTAFStock_Log[TTAF_Qty],T_TTAFStock_Log[Part Name],$A41,T_TTAFStock_Log[WeekIndex],96))</f>
        <v/>
      </c>
      <c r="CT41" s="19">
        <f>IF(COUNTIFS(T_TTAFStock_Log[Part Name],$A41,T_TTAFStock_Log[WeekIndex],97)=0,"",SUMIFS(T_TTAFStock_Log[TTAF_Qty],T_TTAFStock_Log[Part Name],$A41,T_TTAFStock_Log[WeekIndex],97))</f>
        <v/>
      </c>
      <c r="CU41" s="19">
        <f>IF(COUNTIFS(T_TTAFStock_Log[Part Name],$A41,T_TTAFStock_Log[WeekIndex],98)=0,"",SUMIFS(T_TTAFStock_Log[TTAF_Qty],T_TTAFStock_Log[Part Name],$A41,T_TTAFStock_Log[WeekIndex],98))</f>
        <v/>
      </c>
      <c r="CV41" s="19">
        <f>IF(COUNTIFS(T_TTAFStock_Log[Part Name],$A41,T_TTAFStock_Log[WeekIndex],99)=0,"",SUMIFS(T_TTAFStock_Log[TTAF_Qty],T_TTAFStock_Log[Part Name],$A41,T_TTAFStock_Log[WeekIndex],99))</f>
        <v/>
      </c>
      <c r="CW41" s="19">
        <f>IF(COUNTIFS(T_TTAFStock_Log[Part Name],$A41,T_TTAFStock_Log[WeekIndex],100)=0,"",SUMIFS(T_TTAFStock_Log[TTAF_Qty],T_TTAFStock_Log[Part Name],$A41,T_TTAFStock_Log[WeekIndex],100))</f>
        <v/>
      </c>
      <c r="CX41" s="19">
        <f>IF(COUNTIFS(T_TTAFStock_Log[Part Name],$A41,T_TTAFStock_Log[WeekIndex],101)=0,"",SUMIFS(T_TTAFStock_Log[TTAF_Qty],T_TTAFStock_Log[Part Name],$A41,T_TTAFStock_Log[WeekIndex],101))</f>
        <v/>
      </c>
      <c r="CY41" s="19">
        <f>IF(COUNTIFS(T_TTAFStock_Log[Part Name],$A41,T_TTAFStock_Log[WeekIndex],102)=0,"",SUMIFS(T_TTAFStock_Log[TTAF_Qty],T_TTAFStock_Log[Part Name],$A41,T_TTAFStock_Log[WeekIndex],102))</f>
        <v/>
      </c>
      <c r="CZ41" s="19">
        <f>IF(COUNTIFS(T_TTAFStock_Log[Part Name],$A41,T_TTAFStock_Log[WeekIndex],103)=0,"",SUMIFS(T_TTAFStock_Log[TTAF_Qty],T_TTAFStock_Log[Part Name],$A41,T_TTAFStock_Log[WeekIndex],103))</f>
        <v/>
      </c>
      <c r="DA41" s="19">
        <f>IF(COUNTIFS(T_TTAFStock_Log[Part Name],$A41,T_TTAFStock_Log[WeekIndex],104)=0,"",SUMIFS(T_TTAFStock_Log[TTAF_Qty],T_TTAFStock_Log[Part Name],$A41,T_TTAFStock_Log[WeekIndex],104))</f>
        <v/>
      </c>
    </row>
    <row r="42">
      <c r="A42" s="17" t="inlineStr">
        <is>
          <t>CHEM-1480</t>
        </is>
      </c>
      <c r="B42" s="17">
        <f>IF(COUNTIFS(T_TTAFStock_Log[Part Name],$A42,T_TTAFStock_Log[WeekIndex],1)=0,"",SUMIFS(T_TTAFStock_Log[TTAF_Qty],T_TTAFStock_Log[Part Name],$A42,T_TTAFStock_Log[WeekIndex],1))</f>
        <v/>
      </c>
      <c r="C42" s="17">
        <f>IF(COUNTIFS(T_TTAFStock_Log[Part Name],$A42,T_TTAFStock_Log[WeekIndex],2)=0,"",SUMIFS(T_TTAFStock_Log[TTAF_Qty],T_TTAFStock_Log[Part Name],$A42,T_TTAFStock_Log[WeekIndex],2))</f>
        <v/>
      </c>
      <c r="D42" s="17">
        <f>IF(COUNTIFS(T_TTAFStock_Log[Part Name],$A42,T_TTAFStock_Log[WeekIndex],3)=0,"",SUMIFS(T_TTAFStock_Log[TTAF_Qty],T_TTAFStock_Log[Part Name],$A42,T_TTAFStock_Log[WeekIndex],3))</f>
        <v/>
      </c>
      <c r="E42" s="17">
        <f>IF(COUNTIFS(T_TTAFStock_Log[Part Name],$A42,T_TTAFStock_Log[WeekIndex],4)=0,"",SUMIFS(T_TTAFStock_Log[TTAF_Qty],T_TTAFStock_Log[Part Name],$A42,T_TTAFStock_Log[WeekIndex],4))</f>
        <v/>
      </c>
      <c r="F42" s="17">
        <f>IF(COUNTIFS(T_TTAFStock_Log[Part Name],$A42,T_TTAFStock_Log[WeekIndex],5)=0,"",SUMIFS(T_TTAFStock_Log[TTAF_Qty],T_TTAFStock_Log[Part Name],$A42,T_TTAFStock_Log[WeekIndex],5))</f>
        <v/>
      </c>
      <c r="G42" s="17">
        <f>IF(COUNTIFS(T_TTAFStock_Log[Part Name],$A42,T_TTAFStock_Log[WeekIndex],6)=0,"",SUMIFS(T_TTAFStock_Log[TTAF_Qty],T_TTAFStock_Log[Part Name],$A42,T_TTAFStock_Log[WeekIndex],6))</f>
        <v/>
      </c>
      <c r="H42" s="17">
        <f>IF(COUNTIFS(T_TTAFStock_Log[Part Name],$A42,T_TTAFStock_Log[WeekIndex],7)=0,"",SUMIFS(T_TTAFStock_Log[TTAF_Qty],T_TTAFStock_Log[Part Name],$A42,T_TTAFStock_Log[WeekIndex],7))</f>
        <v/>
      </c>
      <c r="I42" s="17">
        <f>IF(COUNTIFS(T_TTAFStock_Log[Part Name],$A42,T_TTAFStock_Log[WeekIndex],8)=0,"",SUMIFS(T_TTAFStock_Log[TTAF_Qty],T_TTAFStock_Log[Part Name],$A42,T_TTAFStock_Log[WeekIndex],8))</f>
        <v/>
      </c>
      <c r="J42" s="17">
        <f>IF(COUNTIFS(T_TTAFStock_Log[Part Name],$A42,T_TTAFStock_Log[WeekIndex],9)=0,"",SUMIFS(T_TTAFStock_Log[TTAF_Qty],T_TTAFStock_Log[Part Name],$A42,T_TTAFStock_Log[WeekIndex],9))</f>
        <v/>
      </c>
      <c r="K42" s="17">
        <f>IF(COUNTIFS(T_TTAFStock_Log[Part Name],$A42,T_TTAFStock_Log[WeekIndex],10)=0,"",SUMIFS(T_TTAFStock_Log[TTAF_Qty],T_TTAFStock_Log[Part Name],$A42,T_TTAFStock_Log[WeekIndex],10))</f>
        <v/>
      </c>
      <c r="L42" s="17">
        <f>IF(COUNTIFS(T_TTAFStock_Log[Part Name],$A42,T_TTAFStock_Log[WeekIndex],11)=0,"",SUMIFS(T_TTAFStock_Log[TTAF_Qty],T_TTAFStock_Log[Part Name],$A42,T_TTAFStock_Log[WeekIndex],11))</f>
        <v/>
      </c>
      <c r="M42" s="17">
        <f>IF(COUNTIFS(T_TTAFStock_Log[Part Name],$A42,T_TTAFStock_Log[WeekIndex],12)=0,"",SUMIFS(T_TTAFStock_Log[TTAF_Qty],T_TTAFStock_Log[Part Name],$A42,T_TTAFStock_Log[WeekIndex],12))</f>
        <v/>
      </c>
      <c r="N42" s="17">
        <f>IF(COUNTIFS(T_TTAFStock_Log[Part Name],$A42,T_TTAFStock_Log[WeekIndex],13)=0,"",SUMIFS(T_TTAFStock_Log[TTAF_Qty],T_TTAFStock_Log[Part Name],$A42,T_TTAFStock_Log[WeekIndex],13))</f>
        <v/>
      </c>
      <c r="O42" s="17">
        <f>IF(COUNTIFS(T_TTAFStock_Log[Part Name],$A42,T_TTAFStock_Log[WeekIndex],14)=0,"",SUMIFS(T_TTAFStock_Log[TTAF_Qty],T_TTAFStock_Log[Part Name],$A42,T_TTAFStock_Log[WeekIndex],14))</f>
        <v/>
      </c>
      <c r="P42" s="17">
        <f>IF(COUNTIFS(T_TTAFStock_Log[Part Name],$A42,T_TTAFStock_Log[WeekIndex],15)=0,"",SUMIFS(T_TTAFStock_Log[TTAF_Qty],T_TTAFStock_Log[Part Name],$A42,T_TTAFStock_Log[WeekIndex],15))</f>
        <v/>
      </c>
      <c r="Q42" s="17">
        <f>IF(COUNTIFS(T_TTAFStock_Log[Part Name],$A42,T_TTAFStock_Log[WeekIndex],16)=0,"",SUMIFS(T_TTAFStock_Log[TTAF_Qty],T_TTAFStock_Log[Part Name],$A42,T_TTAFStock_Log[WeekIndex],16))</f>
        <v/>
      </c>
      <c r="R42" s="17">
        <f>IF(COUNTIFS(T_TTAFStock_Log[Part Name],$A42,T_TTAFStock_Log[WeekIndex],17)=0,"",SUMIFS(T_TTAFStock_Log[TTAF_Qty],T_TTAFStock_Log[Part Name],$A42,T_TTAFStock_Log[WeekIndex],17))</f>
        <v/>
      </c>
      <c r="S42" s="17">
        <f>IF(COUNTIFS(T_TTAFStock_Log[Part Name],$A42,T_TTAFStock_Log[WeekIndex],18)=0,"",SUMIFS(T_TTAFStock_Log[TTAF_Qty],T_TTAFStock_Log[Part Name],$A42,T_TTAFStock_Log[WeekIndex],18))</f>
        <v/>
      </c>
      <c r="T42" s="17">
        <f>IF(COUNTIFS(T_TTAFStock_Log[Part Name],$A42,T_TTAFStock_Log[WeekIndex],19)=0,"",SUMIFS(T_TTAFStock_Log[TTAF_Qty],T_TTAFStock_Log[Part Name],$A42,T_TTAFStock_Log[WeekIndex],19))</f>
        <v/>
      </c>
      <c r="U42" s="17">
        <f>IF(COUNTIFS(T_TTAFStock_Log[Part Name],$A42,T_TTAFStock_Log[WeekIndex],20)=0,"",SUMIFS(T_TTAFStock_Log[TTAF_Qty],T_TTAFStock_Log[Part Name],$A42,T_TTAFStock_Log[WeekIndex],20))</f>
        <v/>
      </c>
      <c r="V42" s="17">
        <f>IF(COUNTIFS(T_TTAFStock_Log[Part Name],$A42,T_TTAFStock_Log[WeekIndex],21)=0,"",SUMIFS(T_TTAFStock_Log[TTAF_Qty],T_TTAFStock_Log[Part Name],$A42,T_TTAFStock_Log[WeekIndex],21))</f>
        <v/>
      </c>
      <c r="W42" s="17">
        <f>IF(COUNTIFS(T_TTAFStock_Log[Part Name],$A42,T_TTAFStock_Log[WeekIndex],22)=0,"",SUMIFS(T_TTAFStock_Log[TTAF_Qty],T_TTAFStock_Log[Part Name],$A42,T_TTAFStock_Log[WeekIndex],22))</f>
        <v/>
      </c>
      <c r="X42" s="17">
        <f>IF(COUNTIFS(T_TTAFStock_Log[Part Name],$A42,T_TTAFStock_Log[WeekIndex],23)=0,"",SUMIFS(T_TTAFStock_Log[TTAF_Qty],T_TTAFStock_Log[Part Name],$A42,T_TTAFStock_Log[WeekIndex],23))</f>
        <v/>
      </c>
      <c r="Y42" s="17">
        <f>IF(COUNTIFS(T_TTAFStock_Log[Part Name],$A42,T_TTAFStock_Log[WeekIndex],24)=0,"",SUMIFS(T_TTAFStock_Log[TTAF_Qty],T_TTAFStock_Log[Part Name],$A42,T_TTAFStock_Log[WeekIndex],24))</f>
        <v/>
      </c>
      <c r="Z42" s="17">
        <f>IF(COUNTIFS(T_TTAFStock_Log[Part Name],$A42,T_TTAFStock_Log[WeekIndex],25)=0,"",SUMIFS(T_TTAFStock_Log[TTAF_Qty],T_TTAFStock_Log[Part Name],$A42,T_TTAFStock_Log[WeekIndex],25))</f>
        <v/>
      </c>
      <c r="AA42" s="17">
        <f>IF(COUNTIFS(T_TTAFStock_Log[Part Name],$A42,T_TTAFStock_Log[WeekIndex],26)=0,"",SUMIFS(T_TTAFStock_Log[TTAF_Qty],T_TTAFStock_Log[Part Name],$A42,T_TTAFStock_Log[WeekIndex],26))</f>
        <v/>
      </c>
      <c r="AB42" s="17">
        <f>IF(COUNTIFS(T_TTAFStock_Log[Part Name],$A42,T_TTAFStock_Log[WeekIndex],27)=0,"",SUMIFS(T_TTAFStock_Log[TTAF_Qty],T_TTAFStock_Log[Part Name],$A42,T_TTAFStock_Log[WeekIndex],27))</f>
        <v/>
      </c>
      <c r="AC42" s="17">
        <f>IF(COUNTIFS(T_TTAFStock_Log[Part Name],$A42,T_TTAFStock_Log[WeekIndex],28)=0,"",SUMIFS(T_TTAFStock_Log[TTAF_Qty],T_TTAFStock_Log[Part Name],$A42,T_TTAFStock_Log[WeekIndex],28))</f>
        <v/>
      </c>
      <c r="AD42" s="17">
        <f>IF(COUNTIFS(T_TTAFStock_Log[Part Name],$A42,T_TTAFStock_Log[WeekIndex],29)=0,"",SUMIFS(T_TTAFStock_Log[TTAF_Qty],T_TTAFStock_Log[Part Name],$A42,T_TTAFStock_Log[WeekIndex],29))</f>
        <v/>
      </c>
      <c r="AE42" s="17">
        <f>IF(COUNTIFS(T_TTAFStock_Log[Part Name],$A42,T_TTAFStock_Log[WeekIndex],30)=0,"",SUMIFS(T_TTAFStock_Log[TTAF_Qty],T_TTAFStock_Log[Part Name],$A42,T_TTAFStock_Log[WeekIndex],30))</f>
        <v/>
      </c>
      <c r="AF42" s="17">
        <f>IF(COUNTIFS(T_TTAFStock_Log[Part Name],$A42,T_TTAFStock_Log[WeekIndex],31)=0,"",SUMIFS(T_TTAFStock_Log[TTAF_Qty],T_TTAFStock_Log[Part Name],$A42,T_TTAFStock_Log[WeekIndex],31))</f>
        <v/>
      </c>
      <c r="AG42" s="17">
        <f>IF(COUNTIFS(T_TTAFStock_Log[Part Name],$A42,T_TTAFStock_Log[WeekIndex],32)=0,"",SUMIFS(T_TTAFStock_Log[TTAF_Qty],T_TTAFStock_Log[Part Name],$A42,T_TTAFStock_Log[WeekIndex],32))</f>
        <v/>
      </c>
      <c r="AH42" s="17">
        <f>IF(COUNTIFS(T_TTAFStock_Log[Part Name],$A42,T_TTAFStock_Log[WeekIndex],33)=0,"",SUMIFS(T_TTAFStock_Log[TTAF_Qty],T_TTAFStock_Log[Part Name],$A42,T_TTAFStock_Log[WeekIndex],33))</f>
        <v/>
      </c>
      <c r="AI42" s="17">
        <f>IF(COUNTIFS(T_TTAFStock_Log[Part Name],$A42,T_TTAFStock_Log[WeekIndex],34)=0,"",SUMIFS(T_TTAFStock_Log[TTAF_Qty],T_TTAFStock_Log[Part Name],$A42,T_TTAFStock_Log[WeekIndex],34))</f>
        <v/>
      </c>
      <c r="AJ42" s="17">
        <f>IF(COUNTIFS(T_TTAFStock_Log[Part Name],$A42,T_TTAFStock_Log[WeekIndex],35)=0,"",SUMIFS(T_TTAFStock_Log[TTAF_Qty],T_TTAFStock_Log[Part Name],$A42,T_TTAFStock_Log[WeekIndex],35))</f>
        <v/>
      </c>
      <c r="AK42" s="17">
        <f>IF(COUNTIFS(T_TTAFStock_Log[Part Name],$A42,T_TTAFStock_Log[WeekIndex],36)=0,"",SUMIFS(T_TTAFStock_Log[TTAF_Qty],T_TTAFStock_Log[Part Name],$A42,T_TTAFStock_Log[WeekIndex],36))</f>
        <v/>
      </c>
      <c r="AL42" s="17">
        <f>IF(COUNTIFS(T_TTAFStock_Log[Part Name],$A42,T_TTAFStock_Log[WeekIndex],37)=0,"",SUMIFS(T_TTAFStock_Log[TTAF_Qty],T_TTAFStock_Log[Part Name],$A42,T_TTAFStock_Log[WeekIndex],37))</f>
        <v/>
      </c>
      <c r="AM42" s="17">
        <f>IF(COUNTIFS(T_TTAFStock_Log[Part Name],$A42,T_TTAFStock_Log[WeekIndex],38)=0,"",SUMIFS(T_TTAFStock_Log[TTAF_Qty],T_TTAFStock_Log[Part Name],$A42,T_TTAFStock_Log[WeekIndex],38))</f>
        <v/>
      </c>
      <c r="AN42" s="17">
        <f>IF(COUNTIFS(T_TTAFStock_Log[Part Name],$A42,T_TTAFStock_Log[WeekIndex],39)=0,"",SUMIFS(T_TTAFStock_Log[TTAF_Qty],T_TTAFStock_Log[Part Name],$A42,T_TTAFStock_Log[WeekIndex],39))</f>
        <v/>
      </c>
      <c r="AO42" s="17">
        <f>IF(COUNTIFS(T_TTAFStock_Log[Part Name],$A42,T_TTAFStock_Log[WeekIndex],40)=0,"",SUMIFS(T_TTAFStock_Log[TTAF_Qty],T_TTAFStock_Log[Part Name],$A42,T_TTAFStock_Log[WeekIndex],40))</f>
        <v/>
      </c>
      <c r="AP42" s="17">
        <f>IF(COUNTIFS(T_TTAFStock_Log[Part Name],$A42,T_TTAFStock_Log[WeekIndex],41)=0,"",SUMIFS(T_TTAFStock_Log[TTAF_Qty],T_TTAFStock_Log[Part Name],$A42,T_TTAFStock_Log[WeekIndex],41))</f>
        <v/>
      </c>
      <c r="AQ42" s="17">
        <f>IF(COUNTIFS(T_TTAFStock_Log[Part Name],$A42,T_TTAFStock_Log[WeekIndex],42)=0,"",SUMIFS(T_TTAFStock_Log[TTAF_Qty],T_TTAFStock_Log[Part Name],$A42,T_TTAFStock_Log[WeekIndex],42))</f>
        <v/>
      </c>
      <c r="AR42" s="17">
        <f>IF(COUNTIFS(T_TTAFStock_Log[Part Name],$A42,T_TTAFStock_Log[WeekIndex],43)=0,"",SUMIFS(T_TTAFStock_Log[TTAF_Qty],T_TTAFStock_Log[Part Name],$A42,T_TTAFStock_Log[WeekIndex],43))</f>
        <v/>
      </c>
      <c r="AS42" s="17">
        <f>IF(COUNTIFS(T_TTAFStock_Log[Part Name],$A42,T_TTAFStock_Log[WeekIndex],44)=0,"",SUMIFS(T_TTAFStock_Log[TTAF_Qty],T_TTAFStock_Log[Part Name],$A42,T_TTAFStock_Log[WeekIndex],44))</f>
        <v/>
      </c>
      <c r="AT42" s="17">
        <f>IF(COUNTIFS(T_TTAFStock_Log[Part Name],$A42,T_TTAFStock_Log[WeekIndex],45)=0,"",SUMIFS(T_TTAFStock_Log[TTAF_Qty],T_TTAFStock_Log[Part Name],$A42,T_TTAFStock_Log[WeekIndex],45))</f>
        <v/>
      </c>
      <c r="AU42" s="17">
        <f>IF(COUNTIFS(T_TTAFStock_Log[Part Name],$A42,T_TTAFStock_Log[WeekIndex],46)=0,"",SUMIFS(T_TTAFStock_Log[TTAF_Qty],T_TTAFStock_Log[Part Name],$A42,T_TTAFStock_Log[WeekIndex],46))</f>
        <v/>
      </c>
      <c r="AV42" s="17">
        <f>IF(COUNTIFS(T_TTAFStock_Log[Part Name],$A42,T_TTAFStock_Log[WeekIndex],47)=0,"",SUMIFS(T_TTAFStock_Log[TTAF_Qty],T_TTAFStock_Log[Part Name],$A42,T_TTAFStock_Log[WeekIndex],47))</f>
        <v/>
      </c>
      <c r="AW42" s="17">
        <f>IF(COUNTIFS(T_TTAFStock_Log[Part Name],$A42,T_TTAFStock_Log[WeekIndex],48)=0,"",SUMIFS(T_TTAFStock_Log[TTAF_Qty],T_TTAFStock_Log[Part Name],$A42,T_TTAFStock_Log[WeekIndex],48))</f>
        <v/>
      </c>
      <c r="AX42" s="17">
        <f>IF(COUNTIFS(T_TTAFStock_Log[Part Name],$A42,T_TTAFStock_Log[WeekIndex],49)=0,"",SUMIFS(T_TTAFStock_Log[TTAF_Qty],T_TTAFStock_Log[Part Name],$A42,T_TTAFStock_Log[WeekIndex],49))</f>
        <v/>
      </c>
      <c r="AY42" s="17">
        <f>IF(COUNTIFS(T_TTAFStock_Log[Part Name],$A42,T_TTAFStock_Log[WeekIndex],50)=0,"",SUMIFS(T_TTAFStock_Log[TTAF_Qty],T_TTAFStock_Log[Part Name],$A42,T_TTAFStock_Log[WeekIndex],50))</f>
        <v/>
      </c>
      <c r="AZ42" s="17">
        <f>IF(COUNTIFS(T_TTAFStock_Log[Part Name],$A42,T_TTAFStock_Log[WeekIndex],51)=0,"",SUMIFS(T_TTAFStock_Log[TTAF_Qty],T_TTAFStock_Log[Part Name],$A42,T_TTAFStock_Log[WeekIndex],51))</f>
        <v/>
      </c>
      <c r="BA42" s="17">
        <f>IF(COUNTIFS(T_TTAFStock_Log[Part Name],$A42,T_TTAFStock_Log[WeekIndex],52)=0,"",SUMIFS(T_TTAFStock_Log[TTAF_Qty],T_TTAFStock_Log[Part Name],$A42,T_TTAFStock_Log[WeekIndex],52))</f>
        <v/>
      </c>
      <c r="BB42" s="17">
        <f>IF(COUNTIFS(T_TTAFStock_Log[Part Name],$A42,T_TTAFStock_Log[WeekIndex],53)=0,"",SUMIFS(T_TTAFStock_Log[TTAF_Qty],T_TTAFStock_Log[Part Name],$A42,T_TTAFStock_Log[WeekIndex],53))</f>
        <v/>
      </c>
      <c r="BC42" s="17">
        <f>IF(COUNTIFS(T_TTAFStock_Log[Part Name],$A42,T_TTAFStock_Log[WeekIndex],54)=0,"",SUMIFS(T_TTAFStock_Log[TTAF_Qty],T_TTAFStock_Log[Part Name],$A42,T_TTAFStock_Log[WeekIndex],54))</f>
        <v/>
      </c>
      <c r="BD42" s="17">
        <f>IF(COUNTIFS(T_TTAFStock_Log[Part Name],$A42,T_TTAFStock_Log[WeekIndex],55)=0,"",SUMIFS(T_TTAFStock_Log[TTAF_Qty],T_TTAFStock_Log[Part Name],$A42,T_TTAFStock_Log[WeekIndex],55))</f>
        <v/>
      </c>
      <c r="BE42" s="17">
        <f>IF(COUNTIFS(T_TTAFStock_Log[Part Name],$A42,T_TTAFStock_Log[WeekIndex],56)=0,"",SUMIFS(T_TTAFStock_Log[TTAF_Qty],T_TTAFStock_Log[Part Name],$A42,T_TTAFStock_Log[WeekIndex],56))</f>
        <v/>
      </c>
      <c r="BF42" s="17">
        <f>IF(COUNTIFS(T_TTAFStock_Log[Part Name],$A42,T_TTAFStock_Log[WeekIndex],57)=0,"",SUMIFS(T_TTAFStock_Log[TTAF_Qty],T_TTAFStock_Log[Part Name],$A42,T_TTAFStock_Log[WeekIndex],57))</f>
        <v/>
      </c>
      <c r="BG42" s="17">
        <f>IF(COUNTIFS(T_TTAFStock_Log[Part Name],$A42,T_TTAFStock_Log[WeekIndex],58)=0,"",SUMIFS(T_TTAFStock_Log[TTAF_Qty],T_TTAFStock_Log[Part Name],$A42,T_TTAFStock_Log[WeekIndex],58))</f>
        <v/>
      </c>
      <c r="BH42" s="17">
        <f>IF(COUNTIFS(T_TTAFStock_Log[Part Name],$A42,T_TTAFStock_Log[WeekIndex],59)=0,"",SUMIFS(T_TTAFStock_Log[TTAF_Qty],T_TTAFStock_Log[Part Name],$A42,T_TTAFStock_Log[WeekIndex],59))</f>
        <v/>
      </c>
      <c r="BI42" s="17">
        <f>IF(COUNTIFS(T_TTAFStock_Log[Part Name],$A42,T_TTAFStock_Log[WeekIndex],60)=0,"",SUMIFS(T_TTAFStock_Log[TTAF_Qty],T_TTAFStock_Log[Part Name],$A42,T_TTAFStock_Log[WeekIndex],60))</f>
        <v/>
      </c>
      <c r="BJ42" s="17">
        <f>IF(COUNTIFS(T_TTAFStock_Log[Part Name],$A42,T_TTAFStock_Log[WeekIndex],61)=0,"",SUMIFS(T_TTAFStock_Log[TTAF_Qty],T_TTAFStock_Log[Part Name],$A42,T_TTAFStock_Log[WeekIndex],61))</f>
        <v/>
      </c>
      <c r="BK42" s="17">
        <f>IF(COUNTIFS(T_TTAFStock_Log[Part Name],$A42,T_TTAFStock_Log[WeekIndex],62)=0,"",SUMIFS(T_TTAFStock_Log[TTAF_Qty],T_TTAFStock_Log[Part Name],$A42,T_TTAFStock_Log[WeekIndex],62))</f>
        <v/>
      </c>
      <c r="BL42" s="17">
        <f>IF(COUNTIFS(T_TTAFStock_Log[Part Name],$A42,T_TTAFStock_Log[WeekIndex],63)=0,"",SUMIFS(T_TTAFStock_Log[TTAF_Qty],T_TTAFStock_Log[Part Name],$A42,T_TTAFStock_Log[WeekIndex],63))</f>
        <v/>
      </c>
      <c r="BM42" s="17">
        <f>IF(COUNTIFS(T_TTAFStock_Log[Part Name],$A42,T_TTAFStock_Log[WeekIndex],64)=0,"",SUMIFS(T_TTAFStock_Log[TTAF_Qty],T_TTAFStock_Log[Part Name],$A42,T_TTAFStock_Log[WeekIndex],64))</f>
        <v/>
      </c>
      <c r="BN42" s="17">
        <f>IF(COUNTIFS(T_TTAFStock_Log[Part Name],$A42,T_TTAFStock_Log[WeekIndex],65)=0,"",SUMIFS(T_TTAFStock_Log[TTAF_Qty],T_TTAFStock_Log[Part Name],$A42,T_TTAFStock_Log[WeekIndex],65))</f>
        <v/>
      </c>
      <c r="BO42" s="17">
        <f>IF(COUNTIFS(T_TTAFStock_Log[Part Name],$A42,T_TTAFStock_Log[WeekIndex],66)=0,"",SUMIFS(T_TTAFStock_Log[TTAF_Qty],T_TTAFStock_Log[Part Name],$A42,T_TTAFStock_Log[WeekIndex],66))</f>
        <v/>
      </c>
      <c r="BP42" s="17">
        <f>IF(COUNTIFS(T_TTAFStock_Log[Part Name],$A42,T_TTAFStock_Log[WeekIndex],67)=0,"",SUMIFS(T_TTAFStock_Log[TTAF_Qty],T_TTAFStock_Log[Part Name],$A42,T_TTAFStock_Log[WeekIndex],67))</f>
        <v/>
      </c>
      <c r="BQ42" s="17">
        <f>IF(COUNTIFS(T_TTAFStock_Log[Part Name],$A42,T_TTAFStock_Log[WeekIndex],68)=0,"",SUMIFS(T_TTAFStock_Log[TTAF_Qty],T_TTAFStock_Log[Part Name],$A42,T_TTAFStock_Log[WeekIndex],68))</f>
        <v/>
      </c>
      <c r="BR42" s="17">
        <f>IF(COUNTIFS(T_TTAFStock_Log[Part Name],$A42,T_TTAFStock_Log[WeekIndex],69)=0,"",SUMIFS(T_TTAFStock_Log[TTAF_Qty],T_TTAFStock_Log[Part Name],$A42,T_TTAFStock_Log[WeekIndex],69))</f>
        <v/>
      </c>
      <c r="BS42" s="17">
        <f>IF(COUNTIFS(T_TTAFStock_Log[Part Name],$A42,T_TTAFStock_Log[WeekIndex],70)=0,"",SUMIFS(T_TTAFStock_Log[TTAF_Qty],T_TTAFStock_Log[Part Name],$A42,T_TTAFStock_Log[WeekIndex],70))</f>
        <v/>
      </c>
      <c r="BT42" s="17">
        <f>IF(COUNTIFS(T_TTAFStock_Log[Part Name],$A42,T_TTAFStock_Log[WeekIndex],71)=0,"",SUMIFS(T_TTAFStock_Log[TTAF_Qty],T_TTAFStock_Log[Part Name],$A42,T_TTAFStock_Log[WeekIndex],71))</f>
        <v/>
      </c>
      <c r="BU42" s="17">
        <f>IF(COUNTIFS(T_TTAFStock_Log[Part Name],$A42,T_TTAFStock_Log[WeekIndex],72)=0,"",SUMIFS(T_TTAFStock_Log[TTAF_Qty],T_TTAFStock_Log[Part Name],$A42,T_TTAFStock_Log[WeekIndex],72))</f>
        <v/>
      </c>
      <c r="BV42" s="17">
        <f>IF(COUNTIFS(T_TTAFStock_Log[Part Name],$A42,T_TTAFStock_Log[WeekIndex],73)=0,"",SUMIFS(T_TTAFStock_Log[TTAF_Qty],T_TTAFStock_Log[Part Name],$A42,T_TTAFStock_Log[WeekIndex],73))</f>
        <v/>
      </c>
      <c r="BW42" s="17">
        <f>IF(COUNTIFS(T_TTAFStock_Log[Part Name],$A42,T_TTAFStock_Log[WeekIndex],74)=0,"",SUMIFS(T_TTAFStock_Log[TTAF_Qty],T_TTAFStock_Log[Part Name],$A42,T_TTAFStock_Log[WeekIndex],74))</f>
        <v/>
      </c>
      <c r="BX42" s="17">
        <f>IF(COUNTIFS(T_TTAFStock_Log[Part Name],$A42,T_TTAFStock_Log[WeekIndex],75)=0,"",SUMIFS(T_TTAFStock_Log[TTAF_Qty],T_TTAFStock_Log[Part Name],$A42,T_TTAFStock_Log[WeekIndex],75))</f>
        <v/>
      </c>
      <c r="BY42" s="17">
        <f>IF(COUNTIFS(T_TTAFStock_Log[Part Name],$A42,T_TTAFStock_Log[WeekIndex],76)=0,"",SUMIFS(T_TTAFStock_Log[TTAF_Qty],T_TTAFStock_Log[Part Name],$A42,T_TTAFStock_Log[WeekIndex],76))</f>
        <v/>
      </c>
      <c r="BZ42" s="17">
        <f>IF(COUNTIFS(T_TTAFStock_Log[Part Name],$A42,T_TTAFStock_Log[WeekIndex],77)=0,"",SUMIFS(T_TTAFStock_Log[TTAF_Qty],T_TTAFStock_Log[Part Name],$A42,T_TTAFStock_Log[WeekIndex],77))</f>
        <v/>
      </c>
      <c r="CA42" s="17">
        <f>IF(COUNTIFS(T_TTAFStock_Log[Part Name],$A42,T_TTAFStock_Log[WeekIndex],78)=0,"",SUMIFS(T_TTAFStock_Log[TTAF_Qty],T_TTAFStock_Log[Part Name],$A42,T_TTAFStock_Log[WeekIndex],78))</f>
        <v/>
      </c>
      <c r="CB42" s="17">
        <f>IF(COUNTIFS(T_TTAFStock_Log[Part Name],$A42,T_TTAFStock_Log[WeekIndex],79)=0,"",SUMIFS(T_TTAFStock_Log[TTAF_Qty],T_TTAFStock_Log[Part Name],$A42,T_TTAFStock_Log[WeekIndex],79))</f>
        <v/>
      </c>
      <c r="CC42" s="17">
        <f>IF(COUNTIFS(T_TTAFStock_Log[Part Name],$A42,T_TTAFStock_Log[WeekIndex],80)=0,"",SUMIFS(T_TTAFStock_Log[TTAF_Qty],T_TTAFStock_Log[Part Name],$A42,T_TTAFStock_Log[WeekIndex],80))</f>
        <v/>
      </c>
      <c r="CD42" s="17">
        <f>IF(COUNTIFS(T_TTAFStock_Log[Part Name],$A42,T_TTAFStock_Log[WeekIndex],81)=0,"",SUMIFS(T_TTAFStock_Log[TTAF_Qty],T_TTAFStock_Log[Part Name],$A42,T_TTAFStock_Log[WeekIndex],81))</f>
        <v/>
      </c>
      <c r="CE42" s="17">
        <f>IF(COUNTIFS(T_TTAFStock_Log[Part Name],$A42,T_TTAFStock_Log[WeekIndex],82)=0,"",SUMIFS(T_TTAFStock_Log[TTAF_Qty],T_TTAFStock_Log[Part Name],$A42,T_TTAFStock_Log[WeekIndex],82))</f>
        <v/>
      </c>
      <c r="CF42" s="17">
        <f>IF(COUNTIFS(T_TTAFStock_Log[Part Name],$A42,T_TTAFStock_Log[WeekIndex],83)=0,"",SUMIFS(T_TTAFStock_Log[TTAF_Qty],T_TTAFStock_Log[Part Name],$A42,T_TTAFStock_Log[WeekIndex],83))</f>
        <v/>
      </c>
      <c r="CG42" s="17">
        <f>IF(COUNTIFS(T_TTAFStock_Log[Part Name],$A42,T_TTAFStock_Log[WeekIndex],84)=0,"",SUMIFS(T_TTAFStock_Log[TTAF_Qty],T_TTAFStock_Log[Part Name],$A42,T_TTAFStock_Log[WeekIndex],84))</f>
        <v/>
      </c>
      <c r="CH42" s="17">
        <f>IF(COUNTIFS(T_TTAFStock_Log[Part Name],$A42,T_TTAFStock_Log[WeekIndex],85)=0,"",SUMIFS(T_TTAFStock_Log[TTAF_Qty],T_TTAFStock_Log[Part Name],$A42,T_TTAFStock_Log[WeekIndex],85))</f>
        <v/>
      </c>
      <c r="CI42" s="17">
        <f>IF(COUNTIFS(T_TTAFStock_Log[Part Name],$A42,T_TTAFStock_Log[WeekIndex],86)=0,"",SUMIFS(T_TTAFStock_Log[TTAF_Qty],T_TTAFStock_Log[Part Name],$A42,T_TTAFStock_Log[WeekIndex],86))</f>
        <v/>
      </c>
      <c r="CJ42" s="17">
        <f>IF(COUNTIFS(T_TTAFStock_Log[Part Name],$A42,T_TTAFStock_Log[WeekIndex],87)=0,"",SUMIFS(T_TTAFStock_Log[TTAF_Qty],T_TTAFStock_Log[Part Name],$A42,T_TTAFStock_Log[WeekIndex],87))</f>
        <v/>
      </c>
      <c r="CK42" s="17">
        <f>IF(COUNTIFS(T_TTAFStock_Log[Part Name],$A42,T_TTAFStock_Log[WeekIndex],88)=0,"",SUMIFS(T_TTAFStock_Log[TTAF_Qty],T_TTAFStock_Log[Part Name],$A42,T_TTAFStock_Log[WeekIndex],88))</f>
        <v/>
      </c>
      <c r="CL42" s="17">
        <f>IF(COUNTIFS(T_TTAFStock_Log[Part Name],$A42,T_TTAFStock_Log[WeekIndex],89)=0,"",SUMIFS(T_TTAFStock_Log[TTAF_Qty],T_TTAFStock_Log[Part Name],$A42,T_TTAFStock_Log[WeekIndex],89))</f>
        <v/>
      </c>
      <c r="CM42" s="17">
        <f>IF(COUNTIFS(T_TTAFStock_Log[Part Name],$A42,T_TTAFStock_Log[WeekIndex],90)=0,"",SUMIFS(T_TTAFStock_Log[TTAF_Qty],T_TTAFStock_Log[Part Name],$A42,T_TTAFStock_Log[WeekIndex],90))</f>
        <v/>
      </c>
      <c r="CN42" s="17">
        <f>IF(COUNTIFS(T_TTAFStock_Log[Part Name],$A42,T_TTAFStock_Log[WeekIndex],91)=0,"",SUMIFS(T_TTAFStock_Log[TTAF_Qty],T_TTAFStock_Log[Part Name],$A42,T_TTAFStock_Log[WeekIndex],91))</f>
        <v/>
      </c>
      <c r="CO42" s="17">
        <f>IF(COUNTIFS(T_TTAFStock_Log[Part Name],$A42,T_TTAFStock_Log[WeekIndex],92)=0,"",SUMIFS(T_TTAFStock_Log[TTAF_Qty],T_TTAFStock_Log[Part Name],$A42,T_TTAFStock_Log[WeekIndex],92))</f>
        <v/>
      </c>
      <c r="CP42" s="17">
        <f>IF(COUNTIFS(T_TTAFStock_Log[Part Name],$A42,T_TTAFStock_Log[WeekIndex],93)=0,"",SUMIFS(T_TTAFStock_Log[TTAF_Qty],T_TTAFStock_Log[Part Name],$A42,T_TTAFStock_Log[WeekIndex],93))</f>
        <v/>
      </c>
      <c r="CQ42" s="17">
        <f>IF(COUNTIFS(T_TTAFStock_Log[Part Name],$A42,T_TTAFStock_Log[WeekIndex],94)=0,"",SUMIFS(T_TTAFStock_Log[TTAF_Qty],T_TTAFStock_Log[Part Name],$A42,T_TTAFStock_Log[WeekIndex],94))</f>
        <v/>
      </c>
      <c r="CR42" s="17">
        <f>IF(COUNTIFS(T_TTAFStock_Log[Part Name],$A42,T_TTAFStock_Log[WeekIndex],95)=0,"",SUMIFS(T_TTAFStock_Log[TTAF_Qty],T_TTAFStock_Log[Part Name],$A42,T_TTAFStock_Log[WeekIndex],95))</f>
        <v/>
      </c>
      <c r="CS42" s="17">
        <f>IF(COUNTIFS(T_TTAFStock_Log[Part Name],$A42,T_TTAFStock_Log[WeekIndex],96)=0,"",SUMIFS(T_TTAFStock_Log[TTAF_Qty],T_TTAFStock_Log[Part Name],$A42,T_TTAFStock_Log[WeekIndex],96))</f>
        <v/>
      </c>
      <c r="CT42" s="17">
        <f>IF(COUNTIFS(T_TTAFStock_Log[Part Name],$A42,T_TTAFStock_Log[WeekIndex],97)=0,"",SUMIFS(T_TTAFStock_Log[TTAF_Qty],T_TTAFStock_Log[Part Name],$A42,T_TTAFStock_Log[WeekIndex],97))</f>
        <v/>
      </c>
      <c r="CU42" s="17">
        <f>IF(COUNTIFS(T_TTAFStock_Log[Part Name],$A42,T_TTAFStock_Log[WeekIndex],98)=0,"",SUMIFS(T_TTAFStock_Log[TTAF_Qty],T_TTAFStock_Log[Part Name],$A42,T_TTAFStock_Log[WeekIndex],98))</f>
        <v/>
      </c>
      <c r="CV42" s="17">
        <f>IF(COUNTIFS(T_TTAFStock_Log[Part Name],$A42,T_TTAFStock_Log[WeekIndex],99)=0,"",SUMIFS(T_TTAFStock_Log[TTAF_Qty],T_TTAFStock_Log[Part Name],$A42,T_TTAFStock_Log[WeekIndex],99))</f>
        <v/>
      </c>
      <c r="CW42" s="17">
        <f>IF(COUNTIFS(T_TTAFStock_Log[Part Name],$A42,T_TTAFStock_Log[WeekIndex],100)=0,"",SUMIFS(T_TTAFStock_Log[TTAF_Qty],T_TTAFStock_Log[Part Name],$A42,T_TTAFStock_Log[WeekIndex],100))</f>
        <v/>
      </c>
      <c r="CX42" s="17">
        <f>IF(COUNTIFS(T_TTAFStock_Log[Part Name],$A42,T_TTAFStock_Log[WeekIndex],101)=0,"",SUMIFS(T_TTAFStock_Log[TTAF_Qty],T_TTAFStock_Log[Part Name],$A42,T_TTAFStock_Log[WeekIndex],101))</f>
        <v/>
      </c>
      <c r="CY42" s="17">
        <f>IF(COUNTIFS(T_TTAFStock_Log[Part Name],$A42,T_TTAFStock_Log[WeekIndex],102)=0,"",SUMIFS(T_TTAFStock_Log[TTAF_Qty],T_TTAFStock_Log[Part Name],$A42,T_TTAFStock_Log[WeekIndex],102))</f>
        <v/>
      </c>
      <c r="CZ42" s="17">
        <f>IF(COUNTIFS(T_TTAFStock_Log[Part Name],$A42,T_TTAFStock_Log[WeekIndex],103)=0,"",SUMIFS(T_TTAFStock_Log[TTAF_Qty],T_TTAFStock_Log[Part Name],$A42,T_TTAFStock_Log[WeekIndex],103))</f>
        <v/>
      </c>
      <c r="DA42" s="17">
        <f>IF(COUNTIFS(T_TTAFStock_Log[Part Name],$A42,T_TTAFStock_Log[WeekIndex],104)=0,"",SUMIFS(T_TTAFStock_Log[TTAF_Qty],T_TTAFStock_Log[Part Name],$A42,T_TTAFStock_Log[WeekIndex],104))</f>
        <v/>
      </c>
    </row>
    <row r="43">
      <c r="A43" s="19" t="inlineStr">
        <is>
          <t>CHEM-1540</t>
        </is>
      </c>
      <c r="B43" s="19">
        <f>IF(COUNTIFS(T_TTAFStock_Log[Part Name],$A43,T_TTAFStock_Log[WeekIndex],1)=0,"",SUMIFS(T_TTAFStock_Log[TTAF_Qty],T_TTAFStock_Log[Part Name],$A43,T_TTAFStock_Log[WeekIndex],1))</f>
        <v/>
      </c>
      <c r="C43" s="19">
        <f>IF(COUNTIFS(T_TTAFStock_Log[Part Name],$A43,T_TTAFStock_Log[WeekIndex],2)=0,"",SUMIFS(T_TTAFStock_Log[TTAF_Qty],T_TTAFStock_Log[Part Name],$A43,T_TTAFStock_Log[WeekIndex],2))</f>
        <v/>
      </c>
      <c r="D43" s="19">
        <f>IF(COUNTIFS(T_TTAFStock_Log[Part Name],$A43,T_TTAFStock_Log[WeekIndex],3)=0,"",SUMIFS(T_TTAFStock_Log[TTAF_Qty],T_TTAFStock_Log[Part Name],$A43,T_TTAFStock_Log[WeekIndex],3))</f>
        <v/>
      </c>
      <c r="E43" s="19">
        <f>IF(COUNTIFS(T_TTAFStock_Log[Part Name],$A43,T_TTAFStock_Log[WeekIndex],4)=0,"",SUMIFS(T_TTAFStock_Log[TTAF_Qty],T_TTAFStock_Log[Part Name],$A43,T_TTAFStock_Log[WeekIndex],4))</f>
        <v/>
      </c>
      <c r="F43" s="19">
        <f>IF(COUNTIFS(T_TTAFStock_Log[Part Name],$A43,T_TTAFStock_Log[WeekIndex],5)=0,"",SUMIFS(T_TTAFStock_Log[TTAF_Qty],T_TTAFStock_Log[Part Name],$A43,T_TTAFStock_Log[WeekIndex],5))</f>
        <v/>
      </c>
      <c r="G43" s="19">
        <f>IF(COUNTIFS(T_TTAFStock_Log[Part Name],$A43,T_TTAFStock_Log[WeekIndex],6)=0,"",SUMIFS(T_TTAFStock_Log[TTAF_Qty],T_TTAFStock_Log[Part Name],$A43,T_TTAFStock_Log[WeekIndex],6))</f>
        <v/>
      </c>
      <c r="H43" s="19">
        <f>IF(COUNTIFS(T_TTAFStock_Log[Part Name],$A43,T_TTAFStock_Log[WeekIndex],7)=0,"",SUMIFS(T_TTAFStock_Log[TTAF_Qty],T_TTAFStock_Log[Part Name],$A43,T_TTAFStock_Log[WeekIndex],7))</f>
        <v/>
      </c>
      <c r="I43" s="19">
        <f>IF(COUNTIFS(T_TTAFStock_Log[Part Name],$A43,T_TTAFStock_Log[WeekIndex],8)=0,"",SUMIFS(T_TTAFStock_Log[TTAF_Qty],T_TTAFStock_Log[Part Name],$A43,T_TTAFStock_Log[WeekIndex],8))</f>
        <v/>
      </c>
      <c r="J43" s="19">
        <f>IF(COUNTIFS(T_TTAFStock_Log[Part Name],$A43,T_TTAFStock_Log[WeekIndex],9)=0,"",SUMIFS(T_TTAFStock_Log[TTAF_Qty],T_TTAFStock_Log[Part Name],$A43,T_TTAFStock_Log[WeekIndex],9))</f>
        <v/>
      </c>
      <c r="K43" s="19">
        <f>IF(COUNTIFS(T_TTAFStock_Log[Part Name],$A43,T_TTAFStock_Log[WeekIndex],10)=0,"",SUMIFS(T_TTAFStock_Log[TTAF_Qty],T_TTAFStock_Log[Part Name],$A43,T_TTAFStock_Log[WeekIndex],10))</f>
        <v/>
      </c>
      <c r="L43" s="19">
        <f>IF(COUNTIFS(T_TTAFStock_Log[Part Name],$A43,T_TTAFStock_Log[WeekIndex],11)=0,"",SUMIFS(T_TTAFStock_Log[TTAF_Qty],T_TTAFStock_Log[Part Name],$A43,T_TTAFStock_Log[WeekIndex],11))</f>
        <v/>
      </c>
      <c r="M43" s="19">
        <f>IF(COUNTIFS(T_TTAFStock_Log[Part Name],$A43,T_TTAFStock_Log[WeekIndex],12)=0,"",SUMIFS(T_TTAFStock_Log[TTAF_Qty],T_TTAFStock_Log[Part Name],$A43,T_TTAFStock_Log[WeekIndex],12))</f>
        <v/>
      </c>
      <c r="N43" s="19">
        <f>IF(COUNTIFS(T_TTAFStock_Log[Part Name],$A43,T_TTAFStock_Log[WeekIndex],13)=0,"",SUMIFS(T_TTAFStock_Log[TTAF_Qty],T_TTAFStock_Log[Part Name],$A43,T_TTAFStock_Log[WeekIndex],13))</f>
        <v/>
      </c>
      <c r="O43" s="19">
        <f>IF(COUNTIFS(T_TTAFStock_Log[Part Name],$A43,T_TTAFStock_Log[WeekIndex],14)=0,"",SUMIFS(T_TTAFStock_Log[TTAF_Qty],T_TTAFStock_Log[Part Name],$A43,T_TTAFStock_Log[WeekIndex],14))</f>
        <v/>
      </c>
      <c r="P43" s="19">
        <f>IF(COUNTIFS(T_TTAFStock_Log[Part Name],$A43,T_TTAFStock_Log[WeekIndex],15)=0,"",SUMIFS(T_TTAFStock_Log[TTAF_Qty],T_TTAFStock_Log[Part Name],$A43,T_TTAFStock_Log[WeekIndex],15))</f>
        <v/>
      </c>
      <c r="Q43" s="19">
        <f>IF(COUNTIFS(T_TTAFStock_Log[Part Name],$A43,T_TTAFStock_Log[WeekIndex],16)=0,"",SUMIFS(T_TTAFStock_Log[TTAF_Qty],T_TTAFStock_Log[Part Name],$A43,T_TTAFStock_Log[WeekIndex],16))</f>
        <v/>
      </c>
      <c r="R43" s="19">
        <f>IF(COUNTIFS(T_TTAFStock_Log[Part Name],$A43,T_TTAFStock_Log[WeekIndex],17)=0,"",SUMIFS(T_TTAFStock_Log[TTAF_Qty],T_TTAFStock_Log[Part Name],$A43,T_TTAFStock_Log[WeekIndex],17))</f>
        <v/>
      </c>
      <c r="S43" s="19">
        <f>IF(COUNTIFS(T_TTAFStock_Log[Part Name],$A43,T_TTAFStock_Log[WeekIndex],18)=0,"",SUMIFS(T_TTAFStock_Log[TTAF_Qty],T_TTAFStock_Log[Part Name],$A43,T_TTAFStock_Log[WeekIndex],18))</f>
        <v/>
      </c>
      <c r="T43" s="19">
        <f>IF(COUNTIFS(T_TTAFStock_Log[Part Name],$A43,T_TTAFStock_Log[WeekIndex],19)=0,"",SUMIFS(T_TTAFStock_Log[TTAF_Qty],T_TTAFStock_Log[Part Name],$A43,T_TTAFStock_Log[WeekIndex],19))</f>
        <v/>
      </c>
      <c r="U43" s="19">
        <f>IF(COUNTIFS(T_TTAFStock_Log[Part Name],$A43,T_TTAFStock_Log[WeekIndex],20)=0,"",SUMIFS(T_TTAFStock_Log[TTAF_Qty],T_TTAFStock_Log[Part Name],$A43,T_TTAFStock_Log[WeekIndex],20))</f>
        <v/>
      </c>
      <c r="V43" s="19">
        <f>IF(COUNTIFS(T_TTAFStock_Log[Part Name],$A43,T_TTAFStock_Log[WeekIndex],21)=0,"",SUMIFS(T_TTAFStock_Log[TTAF_Qty],T_TTAFStock_Log[Part Name],$A43,T_TTAFStock_Log[WeekIndex],21))</f>
        <v/>
      </c>
      <c r="W43" s="19">
        <f>IF(COUNTIFS(T_TTAFStock_Log[Part Name],$A43,T_TTAFStock_Log[WeekIndex],22)=0,"",SUMIFS(T_TTAFStock_Log[TTAF_Qty],T_TTAFStock_Log[Part Name],$A43,T_TTAFStock_Log[WeekIndex],22))</f>
        <v/>
      </c>
      <c r="X43" s="19">
        <f>IF(COUNTIFS(T_TTAFStock_Log[Part Name],$A43,T_TTAFStock_Log[WeekIndex],23)=0,"",SUMIFS(T_TTAFStock_Log[TTAF_Qty],T_TTAFStock_Log[Part Name],$A43,T_TTAFStock_Log[WeekIndex],23))</f>
        <v/>
      </c>
      <c r="Y43" s="19">
        <f>IF(COUNTIFS(T_TTAFStock_Log[Part Name],$A43,T_TTAFStock_Log[WeekIndex],24)=0,"",SUMIFS(T_TTAFStock_Log[TTAF_Qty],T_TTAFStock_Log[Part Name],$A43,T_TTAFStock_Log[WeekIndex],24))</f>
        <v/>
      </c>
      <c r="Z43" s="19">
        <f>IF(COUNTIFS(T_TTAFStock_Log[Part Name],$A43,T_TTAFStock_Log[WeekIndex],25)=0,"",SUMIFS(T_TTAFStock_Log[TTAF_Qty],T_TTAFStock_Log[Part Name],$A43,T_TTAFStock_Log[WeekIndex],25))</f>
        <v/>
      </c>
      <c r="AA43" s="19">
        <f>IF(COUNTIFS(T_TTAFStock_Log[Part Name],$A43,T_TTAFStock_Log[WeekIndex],26)=0,"",SUMIFS(T_TTAFStock_Log[TTAF_Qty],T_TTAFStock_Log[Part Name],$A43,T_TTAFStock_Log[WeekIndex],26))</f>
        <v/>
      </c>
      <c r="AB43" s="19">
        <f>IF(COUNTIFS(T_TTAFStock_Log[Part Name],$A43,T_TTAFStock_Log[WeekIndex],27)=0,"",SUMIFS(T_TTAFStock_Log[TTAF_Qty],T_TTAFStock_Log[Part Name],$A43,T_TTAFStock_Log[WeekIndex],27))</f>
        <v/>
      </c>
      <c r="AC43" s="19">
        <f>IF(COUNTIFS(T_TTAFStock_Log[Part Name],$A43,T_TTAFStock_Log[WeekIndex],28)=0,"",SUMIFS(T_TTAFStock_Log[TTAF_Qty],T_TTAFStock_Log[Part Name],$A43,T_TTAFStock_Log[WeekIndex],28))</f>
        <v/>
      </c>
      <c r="AD43" s="19">
        <f>IF(COUNTIFS(T_TTAFStock_Log[Part Name],$A43,T_TTAFStock_Log[WeekIndex],29)=0,"",SUMIFS(T_TTAFStock_Log[TTAF_Qty],T_TTAFStock_Log[Part Name],$A43,T_TTAFStock_Log[WeekIndex],29))</f>
        <v/>
      </c>
      <c r="AE43" s="19">
        <f>IF(COUNTIFS(T_TTAFStock_Log[Part Name],$A43,T_TTAFStock_Log[WeekIndex],30)=0,"",SUMIFS(T_TTAFStock_Log[TTAF_Qty],T_TTAFStock_Log[Part Name],$A43,T_TTAFStock_Log[WeekIndex],30))</f>
        <v/>
      </c>
      <c r="AF43" s="19">
        <f>IF(COUNTIFS(T_TTAFStock_Log[Part Name],$A43,T_TTAFStock_Log[WeekIndex],31)=0,"",SUMIFS(T_TTAFStock_Log[TTAF_Qty],T_TTAFStock_Log[Part Name],$A43,T_TTAFStock_Log[WeekIndex],31))</f>
        <v/>
      </c>
      <c r="AG43" s="19">
        <f>IF(COUNTIFS(T_TTAFStock_Log[Part Name],$A43,T_TTAFStock_Log[WeekIndex],32)=0,"",SUMIFS(T_TTAFStock_Log[TTAF_Qty],T_TTAFStock_Log[Part Name],$A43,T_TTAFStock_Log[WeekIndex],32))</f>
        <v/>
      </c>
      <c r="AH43" s="19">
        <f>IF(COUNTIFS(T_TTAFStock_Log[Part Name],$A43,T_TTAFStock_Log[WeekIndex],33)=0,"",SUMIFS(T_TTAFStock_Log[TTAF_Qty],T_TTAFStock_Log[Part Name],$A43,T_TTAFStock_Log[WeekIndex],33))</f>
        <v/>
      </c>
      <c r="AI43" s="19">
        <f>IF(COUNTIFS(T_TTAFStock_Log[Part Name],$A43,T_TTAFStock_Log[WeekIndex],34)=0,"",SUMIFS(T_TTAFStock_Log[TTAF_Qty],T_TTAFStock_Log[Part Name],$A43,T_TTAFStock_Log[WeekIndex],34))</f>
        <v/>
      </c>
      <c r="AJ43" s="19">
        <f>IF(COUNTIFS(T_TTAFStock_Log[Part Name],$A43,T_TTAFStock_Log[WeekIndex],35)=0,"",SUMIFS(T_TTAFStock_Log[TTAF_Qty],T_TTAFStock_Log[Part Name],$A43,T_TTAFStock_Log[WeekIndex],35))</f>
        <v/>
      </c>
      <c r="AK43" s="19">
        <f>IF(COUNTIFS(T_TTAFStock_Log[Part Name],$A43,T_TTAFStock_Log[WeekIndex],36)=0,"",SUMIFS(T_TTAFStock_Log[TTAF_Qty],T_TTAFStock_Log[Part Name],$A43,T_TTAFStock_Log[WeekIndex],36))</f>
        <v/>
      </c>
      <c r="AL43" s="19">
        <f>IF(COUNTIFS(T_TTAFStock_Log[Part Name],$A43,T_TTAFStock_Log[WeekIndex],37)=0,"",SUMIFS(T_TTAFStock_Log[TTAF_Qty],T_TTAFStock_Log[Part Name],$A43,T_TTAFStock_Log[WeekIndex],37))</f>
        <v/>
      </c>
      <c r="AM43" s="19">
        <f>IF(COUNTIFS(T_TTAFStock_Log[Part Name],$A43,T_TTAFStock_Log[WeekIndex],38)=0,"",SUMIFS(T_TTAFStock_Log[TTAF_Qty],T_TTAFStock_Log[Part Name],$A43,T_TTAFStock_Log[WeekIndex],38))</f>
        <v/>
      </c>
      <c r="AN43" s="19">
        <f>IF(COUNTIFS(T_TTAFStock_Log[Part Name],$A43,T_TTAFStock_Log[WeekIndex],39)=0,"",SUMIFS(T_TTAFStock_Log[TTAF_Qty],T_TTAFStock_Log[Part Name],$A43,T_TTAFStock_Log[WeekIndex],39))</f>
        <v/>
      </c>
      <c r="AO43" s="19">
        <f>IF(COUNTIFS(T_TTAFStock_Log[Part Name],$A43,T_TTAFStock_Log[WeekIndex],40)=0,"",SUMIFS(T_TTAFStock_Log[TTAF_Qty],T_TTAFStock_Log[Part Name],$A43,T_TTAFStock_Log[WeekIndex],40))</f>
        <v/>
      </c>
      <c r="AP43" s="19">
        <f>IF(COUNTIFS(T_TTAFStock_Log[Part Name],$A43,T_TTAFStock_Log[WeekIndex],41)=0,"",SUMIFS(T_TTAFStock_Log[TTAF_Qty],T_TTAFStock_Log[Part Name],$A43,T_TTAFStock_Log[WeekIndex],41))</f>
        <v/>
      </c>
      <c r="AQ43" s="19">
        <f>IF(COUNTIFS(T_TTAFStock_Log[Part Name],$A43,T_TTAFStock_Log[WeekIndex],42)=0,"",SUMIFS(T_TTAFStock_Log[TTAF_Qty],T_TTAFStock_Log[Part Name],$A43,T_TTAFStock_Log[WeekIndex],42))</f>
        <v/>
      </c>
      <c r="AR43" s="19">
        <f>IF(COUNTIFS(T_TTAFStock_Log[Part Name],$A43,T_TTAFStock_Log[WeekIndex],43)=0,"",SUMIFS(T_TTAFStock_Log[TTAF_Qty],T_TTAFStock_Log[Part Name],$A43,T_TTAFStock_Log[WeekIndex],43))</f>
        <v/>
      </c>
      <c r="AS43" s="19">
        <f>IF(COUNTIFS(T_TTAFStock_Log[Part Name],$A43,T_TTAFStock_Log[WeekIndex],44)=0,"",SUMIFS(T_TTAFStock_Log[TTAF_Qty],T_TTAFStock_Log[Part Name],$A43,T_TTAFStock_Log[WeekIndex],44))</f>
        <v/>
      </c>
      <c r="AT43" s="19">
        <f>IF(COUNTIFS(T_TTAFStock_Log[Part Name],$A43,T_TTAFStock_Log[WeekIndex],45)=0,"",SUMIFS(T_TTAFStock_Log[TTAF_Qty],T_TTAFStock_Log[Part Name],$A43,T_TTAFStock_Log[WeekIndex],45))</f>
        <v/>
      </c>
      <c r="AU43" s="19">
        <f>IF(COUNTIFS(T_TTAFStock_Log[Part Name],$A43,T_TTAFStock_Log[WeekIndex],46)=0,"",SUMIFS(T_TTAFStock_Log[TTAF_Qty],T_TTAFStock_Log[Part Name],$A43,T_TTAFStock_Log[WeekIndex],46))</f>
        <v/>
      </c>
      <c r="AV43" s="19">
        <f>IF(COUNTIFS(T_TTAFStock_Log[Part Name],$A43,T_TTAFStock_Log[WeekIndex],47)=0,"",SUMIFS(T_TTAFStock_Log[TTAF_Qty],T_TTAFStock_Log[Part Name],$A43,T_TTAFStock_Log[WeekIndex],47))</f>
        <v/>
      </c>
      <c r="AW43" s="19">
        <f>IF(COUNTIFS(T_TTAFStock_Log[Part Name],$A43,T_TTAFStock_Log[WeekIndex],48)=0,"",SUMIFS(T_TTAFStock_Log[TTAF_Qty],T_TTAFStock_Log[Part Name],$A43,T_TTAFStock_Log[WeekIndex],48))</f>
        <v/>
      </c>
      <c r="AX43" s="19">
        <f>IF(COUNTIFS(T_TTAFStock_Log[Part Name],$A43,T_TTAFStock_Log[WeekIndex],49)=0,"",SUMIFS(T_TTAFStock_Log[TTAF_Qty],T_TTAFStock_Log[Part Name],$A43,T_TTAFStock_Log[WeekIndex],49))</f>
        <v/>
      </c>
      <c r="AY43" s="19">
        <f>IF(COUNTIFS(T_TTAFStock_Log[Part Name],$A43,T_TTAFStock_Log[WeekIndex],50)=0,"",SUMIFS(T_TTAFStock_Log[TTAF_Qty],T_TTAFStock_Log[Part Name],$A43,T_TTAFStock_Log[WeekIndex],50))</f>
        <v/>
      </c>
      <c r="AZ43" s="19">
        <f>IF(COUNTIFS(T_TTAFStock_Log[Part Name],$A43,T_TTAFStock_Log[WeekIndex],51)=0,"",SUMIFS(T_TTAFStock_Log[TTAF_Qty],T_TTAFStock_Log[Part Name],$A43,T_TTAFStock_Log[WeekIndex],51))</f>
        <v/>
      </c>
      <c r="BA43" s="19">
        <f>IF(COUNTIFS(T_TTAFStock_Log[Part Name],$A43,T_TTAFStock_Log[WeekIndex],52)=0,"",SUMIFS(T_TTAFStock_Log[TTAF_Qty],T_TTAFStock_Log[Part Name],$A43,T_TTAFStock_Log[WeekIndex],52))</f>
        <v/>
      </c>
      <c r="BB43" s="19">
        <f>IF(COUNTIFS(T_TTAFStock_Log[Part Name],$A43,T_TTAFStock_Log[WeekIndex],53)=0,"",SUMIFS(T_TTAFStock_Log[TTAF_Qty],T_TTAFStock_Log[Part Name],$A43,T_TTAFStock_Log[WeekIndex],53))</f>
        <v/>
      </c>
      <c r="BC43" s="19">
        <f>IF(COUNTIFS(T_TTAFStock_Log[Part Name],$A43,T_TTAFStock_Log[WeekIndex],54)=0,"",SUMIFS(T_TTAFStock_Log[TTAF_Qty],T_TTAFStock_Log[Part Name],$A43,T_TTAFStock_Log[WeekIndex],54))</f>
        <v/>
      </c>
      <c r="BD43" s="19">
        <f>IF(COUNTIFS(T_TTAFStock_Log[Part Name],$A43,T_TTAFStock_Log[WeekIndex],55)=0,"",SUMIFS(T_TTAFStock_Log[TTAF_Qty],T_TTAFStock_Log[Part Name],$A43,T_TTAFStock_Log[WeekIndex],55))</f>
        <v/>
      </c>
      <c r="BE43" s="19">
        <f>IF(COUNTIFS(T_TTAFStock_Log[Part Name],$A43,T_TTAFStock_Log[WeekIndex],56)=0,"",SUMIFS(T_TTAFStock_Log[TTAF_Qty],T_TTAFStock_Log[Part Name],$A43,T_TTAFStock_Log[WeekIndex],56))</f>
        <v/>
      </c>
      <c r="BF43" s="19">
        <f>IF(COUNTIFS(T_TTAFStock_Log[Part Name],$A43,T_TTAFStock_Log[WeekIndex],57)=0,"",SUMIFS(T_TTAFStock_Log[TTAF_Qty],T_TTAFStock_Log[Part Name],$A43,T_TTAFStock_Log[WeekIndex],57))</f>
        <v/>
      </c>
      <c r="BG43" s="19">
        <f>IF(COUNTIFS(T_TTAFStock_Log[Part Name],$A43,T_TTAFStock_Log[WeekIndex],58)=0,"",SUMIFS(T_TTAFStock_Log[TTAF_Qty],T_TTAFStock_Log[Part Name],$A43,T_TTAFStock_Log[WeekIndex],58))</f>
        <v/>
      </c>
      <c r="BH43" s="19">
        <f>IF(COUNTIFS(T_TTAFStock_Log[Part Name],$A43,T_TTAFStock_Log[WeekIndex],59)=0,"",SUMIFS(T_TTAFStock_Log[TTAF_Qty],T_TTAFStock_Log[Part Name],$A43,T_TTAFStock_Log[WeekIndex],59))</f>
        <v/>
      </c>
      <c r="BI43" s="19">
        <f>IF(COUNTIFS(T_TTAFStock_Log[Part Name],$A43,T_TTAFStock_Log[WeekIndex],60)=0,"",SUMIFS(T_TTAFStock_Log[TTAF_Qty],T_TTAFStock_Log[Part Name],$A43,T_TTAFStock_Log[WeekIndex],60))</f>
        <v/>
      </c>
      <c r="BJ43" s="19">
        <f>IF(COUNTIFS(T_TTAFStock_Log[Part Name],$A43,T_TTAFStock_Log[WeekIndex],61)=0,"",SUMIFS(T_TTAFStock_Log[TTAF_Qty],T_TTAFStock_Log[Part Name],$A43,T_TTAFStock_Log[WeekIndex],61))</f>
        <v/>
      </c>
      <c r="BK43" s="19">
        <f>IF(COUNTIFS(T_TTAFStock_Log[Part Name],$A43,T_TTAFStock_Log[WeekIndex],62)=0,"",SUMIFS(T_TTAFStock_Log[TTAF_Qty],T_TTAFStock_Log[Part Name],$A43,T_TTAFStock_Log[WeekIndex],62))</f>
        <v/>
      </c>
      <c r="BL43" s="19">
        <f>IF(COUNTIFS(T_TTAFStock_Log[Part Name],$A43,T_TTAFStock_Log[WeekIndex],63)=0,"",SUMIFS(T_TTAFStock_Log[TTAF_Qty],T_TTAFStock_Log[Part Name],$A43,T_TTAFStock_Log[WeekIndex],63))</f>
        <v/>
      </c>
      <c r="BM43" s="19">
        <f>IF(COUNTIFS(T_TTAFStock_Log[Part Name],$A43,T_TTAFStock_Log[WeekIndex],64)=0,"",SUMIFS(T_TTAFStock_Log[TTAF_Qty],T_TTAFStock_Log[Part Name],$A43,T_TTAFStock_Log[WeekIndex],64))</f>
        <v/>
      </c>
      <c r="BN43" s="19">
        <f>IF(COUNTIFS(T_TTAFStock_Log[Part Name],$A43,T_TTAFStock_Log[WeekIndex],65)=0,"",SUMIFS(T_TTAFStock_Log[TTAF_Qty],T_TTAFStock_Log[Part Name],$A43,T_TTAFStock_Log[WeekIndex],65))</f>
        <v/>
      </c>
      <c r="BO43" s="19">
        <f>IF(COUNTIFS(T_TTAFStock_Log[Part Name],$A43,T_TTAFStock_Log[WeekIndex],66)=0,"",SUMIFS(T_TTAFStock_Log[TTAF_Qty],T_TTAFStock_Log[Part Name],$A43,T_TTAFStock_Log[WeekIndex],66))</f>
        <v/>
      </c>
      <c r="BP43" s="19">
        <f>IF(COUNTIFS(T_TTAFStock_Log[Part Name],$A43,T_TTAFStock_Log[WeekIndex],67)=0,"",SUMIFS(T_TTAFStock_Log[TTAF_Qty],T_TTAFStock_Log[Part Name],$A43,T_TTAFStock_Log[WeekIndex],67))</f>
        <v/>
      </c>
      <c r="BQ43" s="19">
        <f>IF(COUNTIFS(T_TTAFStock_Log[Part Name],$A43,T_TTAFStock_Log[WeekIndex],68)=0,"",SUMIFS(T_TTAFStock_Log[TTAF_Qty],T_TTAFStock_Log[Part Name],$A43,T_TTAFStock_Log[WeekIndex],68))</f>
        <v/>
      </c>
      <c r="BR43" s="19">
        <f>IF(COUNTIFS(T_TTAFStock_Log[Part Name],$A43,T_TTAFStock_Log[WeekIndex],69)=0,"",SUMIFS(T_TTAFStock_Log[TTAF_Qty],T_TTAFStock_Log[Part Name],$A43,T_TTAFStock_Log[WeekIndex],69))</f>
        <v/>
      </c>
      <c r="BS43" s="19">
        <f>IF(COUNTIFS(T_TTAFStock_Log[Part Name],$A43,T_TTAFStock_Log[WeekIndex],70)=0,"",SUMIFS(T_TTAFStock_Log[TTAF_Qty],T_TTAFStock_Log[Part Name],$A43,T_TTAFStock_Log[WeekIndex],70))</f>
        <v/>
      </c>
      <c r="BT43" s="19">
        <f>IF(COUNTIFS(T_TTAFStock_Log[Part Name],$A43,T_TTAFStock_Log[WeekIndex],71)=0,"",SUMIFS(T_TTAFStock_Log[TTAF_Qty],T_TTAFStock_Log[Part Name],$A43,T_TTAFStock_Log[WeekIndex],71))</f>
        <v/>
      </c>
      <c r="BU43" s="19">
        <f>IF(COUNTIFS(T_TTAFStock_Log[Part Name],$A43,T_TTAFStock_Log[WeekIndex],72)=0,"",SUMIFS(T_TTAFStock_Log[TTAF_Qty],T_TTAFStock_Log[Part Name],$A43,T_TTAFStock_Log[WeekIndex],72))</f>
        <v/>
      </c>
      <c r="BV43" s="19">
        <f>IF(COUNTIFS(T_TTAFStock_Log[Part Name],$A43,T_TTAFStock_Log[WeekIndex],73)=0,"",SUMIFS(T_TTAFStock_Log[TTAF_Qty],T_TTAFStock_Log[Part Name],$A43,T_TTAFStock_Log[WeekIndex],73))</f>
        <v/>
      </c>
      <c r="BW43" s="19">
        <f>IF(COUNTIFS(T_TTAFStock_Log[Part Name],$A43,T_TTAFStock_Log[WeekIndex],74)=0,"",SUMIFS(T_TTAFStock_Log[TTAF_Qty],T_TTAFStock_Log[Part Name],$A43,T_TTAFStock_Log[WeekIndex],74))</f>
        <v/>
      </c>
      <c r="BX43" s="19">
        <f>IF(COUNTIFS(T_TTAFStock_Log[Part Name],$A43,T_TTAFStock_Log[WeekIndex],75)=0,"",SUMIFS(T_TTAFStock_Log[TTAF_Qty],T_TTAFStock_Log[Part Name],$A43,T_TTAFStock_Log[WeekIndex],75))</f>
        <v/>
      </c>
      <c r="BY43" s="19">
        <f>IF(COUNTIFS(T_TTAFStock_Log[Part Name],$A43,T_TTAFStock_Log[WeekIndex],76)=0,"",SUMIFS(T_TTAFStock_Log[TTAF_Qty],T_TTAFStock_Log[Part Name],$A43,T_TTAFStock_Log[WeekIndex],76))</f>
        <v/>
      </c>
      <c r="BZ43" s="19">
        <f>IF(COUNTIFS(T_TTAFStock_Log[Part Name],$A43,T_TTAFStock_Log[WeekIndex],77)=0,"",SUMIFS(T_TTAFStock_Log[TTAF_Qty],T_TTAFStock_Log[Part Name],$A43,T_TTAFStock_Log[WeekIndex],77))</f>
        <v/>
      </c>
      <c r="CA43" s="19">
        <f>IF(COUNTIFS(T_TTAFStock_Log[Part Name],$A43,T_TTAFStock_Log[WeekIndex],78)=0,"",SUMIFS(T_TTAFStock_Log[TTAF_Qty],T_TTAFStock_Log[Part Name],$A43,T_TTAFStock_Log[WeekIndex],78))</f>
        <v/>
      </c>
      <c r="CB43" s="19">
        <f>IF(COUNTIFS(T_TTAFStock_Log[Part Name],$A43,T_TTAFStock_Log[WeekIndex],79)=0,"",SUMIFS(T_TTAFStock_Log[TTAF_Qty],T_TTAFStock_Log[Part Name],$A43,T_TTAFStock_Log[WeekIndex],79))</f>
        <v/>
      </c>
      <c r="CC43" s="19">
        <f>IF(COUNTIFS(T_TTAFStock_Log[Part Name],$A43,T_TTAFStock_Log[WeekIndex],80)=0,"",SUMIFS(T_TTAFStock_Log[TTAF_Qty],T_TTAFStock_Log[Part Name],$A43,T_TTAFStock_Log[WeekIndex],80))</f>
        <v/>
      </c>
      <c r="CD43" s="19">
        <f>IF(COUNTIFS(T_TTAFStock_Log[Part Name],$A43,T_TTAFStock_Log[WeekIndex],81)=0,"",SUMIFS(T_TTAFStock_Log[TTAF_Qty],T_TTAFStock_Log[Part Name],$A43,T_TTAFStock_Log[WeekIndex],81))</f>
        <v/>
      </c>
      <c r="CE43" s="19">
        <f>IF(COUNTIFS(T_TTAFStock_Log[Part Name],$A43,T_TTAFStock_Log[WeekIndex],82)=0,"",SUMIFS(T_TTAFStock_Log[TTAF_Qty],T_TTAFStock_Log[Part Name],$A43,T_TTAFStock_Log[WeekIndex],82))</f>
        <v/>
      </c>
      <c r="CF43" s="19">
        <f>IF(COUNTIFS(T_TTAFStock_Log[Part Name],$A43,T_TTAFStock_Log[WeekIndex],83)=0,"",SUMIFS(T_TTAFStock_Log[TTAF_Qty],T_TTAFStock_Log[Part Name],$A43,T_TTAFStock_Log[WeekIndex],83))</f>
        <v/>
      </c>
      <c r="CG43" s="19">
        <f>IF(COUNTIFS(T_TTAFStock_Log[Part Name],$A43,T_TTAFStock_Log[WeekIndex],84)=0,"",SUMIFS(T_TTAFStock_Log[TTAF_Qty],T_TTAFStock_Log[Part Name],$A43,T_TTAFStock_Log[WeekIndex],84))</f>
        <v/>
      </c>
      <c r="CH43" s="19">
        <f>IF(COUNTIFS(T_TTAFStock_Log[Part Name],$A43,T_TTAFStock_Log[WeekIndex],85)=0,"",SUMIFS(T_TTAFStock_Log[TTAF_Qty],T_TTAFStock_Log[Part Name],$A43,T_TTAFStock_Log[WeekIndex],85))</f>
        <v/>
      </c>
      <c r="CI43" s="19">
        <f>IF(COUNTIFS(T_TTAFStock_Log[Part Name],$A43,T_TTAFStock_Log[WeekIndex],86)=0,"",SUMIFS(T_TTAFStock_Log[TTAF_Qty],T_TTAFStock_Log[Part Name],$A43,T_TTAFStock_Log[WeekIndex],86))</f>
        <v/>
      </c>
      <c r="CJ43" s="19">
        <f>IF(COUNTIFS(T_TTAFStock_Log[Part Name],$A43,T_TTAFStock_Log[WeekIndex],87)=0,"",SUMIFS(T_TTAFStock_Log[TTAF_Qty],T_TTAFStock_Log[Part Name],$A43,T_TTAFStock_Log[WeekIndex],87))</f>
        <v/>
      </c>
      <c r="CK43" s="19">
        <f>IF(COUNTIFS(T_TTAFStock_Log[Part Name],$A43,T_TTAFStock_Log[WeekIndex],88)=0,"",SUMIFS(T_TTAFStock_Log[TTAF_Qty],T_TTAFStock_Log[Part Name],$A43,T_TTAFStock_Log[WeekIndex],88))</f>
        <v/>
      </c>
      <c r="CL43" s="19">
        <f>IF(COUNTIFS(T_TTAFStock_Log[Part Name],$A43,T_TTAFStock_Log[WeekIndex],89)=0,"",SUMIFS(T_TTAFStock_Log[TTAF_Qty],T_TTAFStock_Log[Part Name],$A43,T_TTAFStock_Log[WeekIndex],89))</f>
        <v/>
      </c>
      <c r="CM43" s="19">
        <f>IF(COUNTIFS(T_TTAFStock_Log[Part Name],$A43,T_TTAFStock_Log[WeekIndex],90)=0,"",SUMIFS(T_TTAFStock_Log[TTAF_Qty],T_TTAFStock_Log[Part Name],$A43,T_TTAFStock_Log[WeekIndex],90))</f>
        <v/>
      </c>
      <c r="CN43" s="19">
        <f>IF(COUNTIFS(T_TTAFStock_Log[Part Name],$A43,T_TTAFStock_Log[WeekIndex],91)=0,"",SUMIFS(T_TTAFStock_Log[TTAF_Qty],T_TTAFStock_Log[Part Name],$A43,T_TTAFStock_Log[WeekIndex],91))</f>
        <v/>
      </c>
      <c r="CO43" s="19">
        <f>IF(COUNTIFS(T_TTAFStock_Log[Part Name],$A43,T_TTAFStock_Log[WeekIndex],92)=0,"",SUMIFS(T_TTAFStock_Log[TTAF_Qty],T_TTAFStock_Log[Part Name],$A43,T_TTAFStock_Log[WeekIndex],92))</f>
        <v/>
      </c>
      <c r="CP43" s="19">
        <f>IF(COUNTIFS(T_TTAFStock_Log[Part Name],$A43,T_TTAFStock_Log[WeekIndex],93)=0,"",SUMIFS(T_TTAFStock_Log[TTAF_Qty],T_TTAFStock_Log[Part Name],$A43,T_TTAFStock_Log[WeekIndex],93))</f>
        <v/>
      </c>
      <c r="CQ43" s="19">
        <f>IF(COUNTIFS(T_TTAFStock_Log[Part Name],$A43,T_TTAFStock_Log[WeekIndex],94)=0,"",SUMIFS(T_TTAFStock_Log[TTAF_Qty],T_TTAFStock_Log[Part Name],$A43,T_TTAFStock_Log[WeekIndex],94))</f>
        <v/>
      </c>
      <c r="CR43" s="19">
        <f>IF(COUNTIFS(T_TTAFStock_Log[Part Name],$A43,T_TTAFStock_Log[WeekIndex],95)=0,"",SUMIFS(T_TTAFStock_Log[TTAF_Qty],T_TTAFStock_Log[Part Name],$A43,T_TTAFStock_Log[WeekIndex],95))</f>
        <v/>
      </c>
      <c r="CS43" s="19">
        <f>IF(COUNTIFS(T_TTAFStock_Log[Part Name],$A43,T_TTAFStock_Log[WeekIndex],96)=0,"",SUMIFS(T_TTAFStock_Log[TTAF_Qty],T_TTAFStock_Log[Part Name],$A43,T_TTAFStock_Log[WeekIndex],96))</f>
        <v/>
      </c>
      <c r="CT43" s="19">
        <f>IF(COUNTIFS(T_TTAFStock_Log[Part Name],$A43,T_TTAFStock_Log[WeekIndex],97)=0,"",SUMIFS(T_TTAFStock_Log[TTAF_Qty],T_TTAFStock_Log[Part Name],$A43,T_TTAFStock_Log[WeekIndex],97))</f>
        <v/>
      </c>
      <c r="CU43" s="19">
        <f>IF(COUNTIFS(T_TTAFStock_Log[Part Name],$A43,T_TTAFStock_Log[WeekIndex],98)=0,"",SUMIFS(T_TTAFStock_Log[TTAF_Qty],T_TTAFStock_Log[Part Name],$A43,T_TTAFStock_Log[WeekIndex],98))</f>
        <v/>
      </c>
      <c r="CV43" s="19">
        <f>IF(COUNTIFS(T_TTAFStock_Log[Part Name],$A43,T_TTAFStock_Log[WeekIndex],99)=0,"",SUMIFS(T_TTAFStock_Log[TTAF_Qty],T_TTAFStock_Log[Part Name],$A43,T_TTAFStock_Log[WeekIndex],99))</f>
        <v/>
      </c>
      <c r="CW43" s="19">
        <f>IF(COUNTIFS(T_TTAFStock_Log[Part Name],$A43,T_TTAFStock_Log[WeekIndex],100)=0,"",SUMIFS(T_TTAFStock_Log[TTAF_Qty],T_TTAFStock_Log[Part Name],$A43,T_TTAFStock_Log[WeekIndex],100))</f>
        <v/>
      </c>
      <c r="CX43" s="19">
        <f>IF(COUNTIFS(T_TTAFStock_Log[Part Name],$A43,T_TTAFStock_Log[WeekIndex],101)=0,"",SUMIFS(T_TTAFStock_Log[TTAF_Qty],T_TTAFStock_Log[Part Name],$A43,T_TTAFStock_Log[WeekIndex],101))</f>
        <v/>
      </c>
      <c r="CY43" s="19">
        <f>IF(COUNTIFS(T_TTAFStock_Log[Part Name],$A43,T_TTAFStock_Log[WeekIndex],102)=0,"",SUMIFS(T_TTAFStock_Log[TTAF_Qty],T_TTAFStock_Log[Part Name],$A43,T_TTAFStock_Log[WeekIndex],102))</f>
        <v/>
      </c>
      <c r="CZ43" s="19">
        <f>IF(COUNTIFS(T_TTAFStock_Log[Part Name],$A43,T_TTAFStock_Log[WeekIndex],103)=0,"",SUMIFS(T_TTAFStock_Log[TTAF_Qty],T_TTAFStock_Log[Part Name],$A43,T_TTAFStock_Log[WeekIndex],103))</f>
        <v/>
      </c>
      <c r="DA43" s="19">
        <f>IF(COUNTIFS(T_TTAFStock_Log[Part Name],$A43,T_TTAFStock_Log[WeekIndex],104)=0,"",SUMIFS(T_TTAFStock_Log[TTAF_Qty],T_TTAFStock_Log[Part Name],$A43,T_TTAFStock_Log[WeekIndex],104))</f>
        <v/>
      </c>
    </row>
    <row r="44">
      <c r="A44" s="17" t="inlineStr">
        <is>
          <t>CHEM-1680</t>
        </is>
      </c>
      <c r="B44" s="17">
        <f>IF(COUNTIFS(T_TTAFStock_Log[Part Name],$A44,T_TTAFStock_Log[WeekIndex],1)=0,"",SUMIFS(T_TTAFStock_Log[TTAF_Qty],T_TTAFStock_Log[Part Name],$A44,T_TTAFStock_Log[WeekIndex],1))</f>
        <v/>
      </c>
      <c r="C44" s="17">
        <f>IF(COUNTIFS(T_TTAFStock_Log[Part Name],$A44,T_TTAFStock_Log[WeekIndex],2)=0,"",SUMIFS(T_TTAFStock_Log[TTAF_Qty],T_TTAFStock_Log[Part Name],$A44,T_TTAFStock_Log[WeekIndex],2))</f>
        <v/>
      </c>
      <c r="D44" s="17">
        <f>IF(COUNTIFS(T_TTAFStock_Log[Part Name],$A44,T_TTAFStock_Log[WeekIndex],3)=0,"",SUMIFS(T_TTAFStock_Log[TTAF_Qty],T_TTAFStock_Log[Part Name],$A44,T_TTAFStock_Log[WeekIndex],3))</f>
        <v/>
      </c>
      <c r="E44" s="17">
        <f>IF(COUNTIFS(T_TTAFStock_Log[Part Name],$A44,T_TTAFStock_Log[WeekIndex],4)=0,"",SUMIFS(T_TTAFStock_Log[TTAF_Qty],T_TTAFStock_Log[Part Name],$A44,T_TTAFStock_Log[WeekIndex],4))</f>
        <v/>
      </c>
      <c r="F44" s="17">
        <f>IF(COUNTIFS(T_TTAFStock_Log[Part Name],$A44,T_TTAFStock_Log[WeekIndex],5)=0,"",SUMIFS(T_TTAFStock_Log[TTAF_Qty],T_TTAFStock_Log[Part Name],$A44,T_TTAFStock_Log[WeekIndex],5))</f>
        <v/>
      </c>
      <c r="G44" s="17">
        <f>IF(COUNTIFS(T_TTAFStock_Log[Part Name],$A44,T_TTAFStock_Log[WeekIndex],6)=0,"",SUMIFS(T_TTAFStock_Log[TTAF_Qty],T_TTAFStock_Log[Part Name],$A44,T_TTAFStock_Log[WeekIndex],6))</f>
        <v/>
      </c>
      <c r="H44" s="17">
        <f>IF(COUNTIFS(T_TTAFStock_Log[Part Name],$A44,T_TTAFStock_Log[WeekIndex],7)=0,"",SUMIFS(T_TTAFStock_Log[TTAF_Qty],T_TTAFStock_Log[Part Name],$A44,T_TTAFStock_Log[WeekIndex],7))</f>
        <v/>
      </c>
      <c r="I44" s="17">
        <f>IF(COUNTIFS(T_TTAFStock_Log[Part Name],$A44,T_TTAFStock_Log[WeekIndex],8)=0,"",SUMIFS(T_TTAFStock_Log[TTAF_Qty],T_TTAFStock_Log[Part Name],$A44,T_TTAFStock_Log[WeekIndex],8))</f>
        <v/>
      </c>
      <c r="J44" s="17">
        <f>IF(COUNTIFS(T_TTAFStock_Log[Part Name],$A44,T_TTAFStock_Log[WeekIndex],9)=0,"",SUMIFS(T_TTAFStock_Log[TTAF_Qty],T_TTAFStock_Log[Part Name],$A44,T_TTAFStock_Log[WeekIndex],9))</f>
        <v/>
      </c>
      <c r="K44" s="17">
        <f>IF(COUNTIFS(T_TTAFStock_Log[Part Name],$A44,T_TTAFStock_Log[WeekIndex],10)=0,"",SUMIFS(T_TTAFStock_Log[TTAF_Qty],T_TTAFStock_Log[Part Name],$A44,T_TTAFStock_Log[WeekIndex],10))</f>
        <v/>
      </c>
      <c r="L44" s="17">
        <f>IF(COUNTIFS(T_TTAFStock_Log[Part Name],$A44,T_TTAFStock_Log[WeekIndex],11)=0,"",SUMIFS(T_TTAFStock_Log[TTAF_Qty],T_TTAFStock_Log[Part Name],$A44,T_TTAFStock_Log[WeekIndex],11))</f>
        <v/>
      </c>
      <c r="M44" s="17">
        <f>IF(COUNTIFS(T_TTAFStock_Log[Part Name],$A44,T_TTAFStock_Log[WeekIndex],12)=0,"",SUMIFS(T_TTAFStock_Log[TTAF_Qty],T_TTAFStock_Log[Part Name],$A44,T_TTAFStock_Log[WeekIndex],12))</f>
        <v/>
      </c>
      <c r="N44" s="17">
        <f>IF(COUNTIFS(T_TTAFStock_Log[Part Name],$A44,T_TTAFStock_Log[WeekIndex],13)=0,"",SUMIFS(T_TTAFStock_Log[TTAF_Qty],T_TTAFStock_Log[Part Name],$A44,T_TTAFStock_Log[WeekIndex],13))</f>
        <v/>
      </c>
      <c r="O44" s="17">
        <f>IF(COUNTIFS(T_TTAFStock_Log[Part Name],$A44,T_TTAFStock_Log[WeekIndex],14)=0,"",SUMIFS(T_TTAFStock_Log[TTAF_Qty],T_TTAFStock_Log[Part Name],$A44,T_TTAFStock_Log[WeekIndex],14))</f>
        <v/>
      </c>
      <c r="P44" s="17">
        <f>IF(COUNTIFS(T_TTAFStock_Log[Part Name],$A44,T_TTAFStock_Log[WeekIndex],15)=0,"",SUMIFS(T_TTAFStock_Log[TTAF_Qty],T_TTAFStock_Log[Part Name],$A44,T_TTAFStock_Log[WeekIndex],15))</f>
        <v/>
      </c>
      <c r="Q44" s="17">
        <f>IF(COUNTIFS(T_TTAFStock_Log[Part Name],$A44,T_TTAFStock_Log[WeekIndex],16)=0,"",SUMIFS(T_TTAFStock_Log[TTAF_Qty],T_TTAFStock_Log[Part Name],$A44,T_TTAFStock_Log[WeekIndex],16))</f>
        <v/>
      </c>
      <c r="R44" s="17">
        <f>IF(COUNTIFS(T_TTAFStock_Log[Part Name],$A44,T_TTAFStock_Log[WeekIndex],17)=0,"",SUMIFS(T_TTAFStock_Log[TTAF_Qty],T_TTAFStock_Log[Part Name],$A44,T_TTAFStock_Log[WeekIndex],17))</f>
        <v/>
      </c>
      <c r="S44" s="17">
        <f>IF(COUNTIFS(T_TTAFStock_Log[Part Name],$A44,T_TTAFStock_Log[WeekIndex],18)=0,"",SUMIFS(T_TTAFStock_Log[TTAF_Qty],T_TTAFStock_Log[Part Name],$A44,T_TTAFStock_Log[WeekIndex],18))</f>
        <v/>
      </c>
      <c r="T44" s="17">
        <f>IF(COUNTIFS(T_TTAFStock_Log[Part Name],$A44,T_TTAFStock_Log[WeekIndex],19)=0,"",SUMIFS(T_TTAFStock_Log[TTAF_Qty],T_TTAFStock_Log[Part Name],$A44,T_TTAFStock_Log[WeekIndex],19))</f>
        <v/>
      </c>
      <c r="U44" s="17">
        <f>IF(COUNTIFS(T_TTAFStock_Log[Part Name],$A44,T_TTAFStock_Log[WeekIndex],20)=0,"",SUMIFS(T_TTAFStock_Log[TTAF_Qty],T_TTAFStock_Log[Part Name],$A44,T_TTAFStock_Log[WeekIndex],20))</f>
        <v/>
      </c>
      <c r="V44" s="17">
        <f>IF(COUNTIFS(T_TTAFStock_Log[Part Name],$A44,T_TTAFStock_Log[WeekIndex],21)=0,"",SUMIFS(T_TTAFStock_Log[TTAF_Qty],T_TTAFStock_Log[Part Name],$A44,T_TTAFStock_Log[WeekIndex],21))</f>
        <v/>
      </c>
      <c r="W44" s="17">
        <f>IF(COUNTIFS(T_TTAFStock_Log[Part Name],$A44,T_TTAFStock_Log[WeekIndex],22)=0,"",SUMIFS(T_TTAFStock_Log[TTAF_Qty],T_TTAFStock_Log[Part Name],$A44,T_TTAFStock_Log[WeekIndex],22))</f>
        <v/>
      </c>
      <c r="X44" s="17">
        <f>IF(COUNTIFS(T_TTAFStock_Log[Part Name],$A44,T_TTAFStock_Log[WeekIndex],23)=0,"",SUMIFS(T_TTAFStock_Log[TTAF_Qty],T_TTAFStock_Log[Part Name],$A44,T_TTAFStock_Log[WeekIndex],23))</f>
        <v/>
      </c>
      <c r="Y44" s="17">
        <f>IF(COUNTIFS(T_TTAFStock_Log[Part Name],$A44,T_TTAFStock_Log[WeekIndex],24)=0,"",SUMIFS(T_TTAFStock_Log[TTAF_Qty],T_TTAFStock_Log[Part Name],$A44,T_TTAFStock_Log[WeekIndex],24))</f>
        <v/>
      </c>
      <c r="Z44" s="17">
        <f>IF(COUNTIFS(T_TTAFStock_Log[Part Name],$A44,T_TTAFStock_Log[WeekIndex],25)=0,"",SUMIFS(T_TTAFStock_Log[TTAF_Qty],T_TTAFStock_Log[Part Name],$A44,T_TTAFStock_Log[WeekIndex],25))</f>
        <v/>
      </c>
      <c r="AA44" s="17">
        <f>IF(COUNTIFS(T_TTAFStock_Log[Part Name],$A44,T_TTAFStock_Log[WeekIndex],26)=0,"",SUMIFS(T_TTAFStock_Log[TTAF_Qty],T_TTAFStock_Log[Part Name],$A44,T_TTAFStock_Log[WeekIndex],26))</f>
        <v/>
      </c>
      <c r="AB44" s="17">
        <f>IF(COUNTIFS(T_TTAFStock_Log[Part Name],$A44,T_TTAFStock_Log[WeekIndex],27)=0,"",SUMIFS(T_TTAFStock_Log[TTAF_Qty],T_TTAFStock_Log[Part Name],$A44,T_TTAFStock_Log[WeekIndex],27))</f>
        <v/>
      </c>
      <c r="AC44" s="17">
        <f>IF(COUNTIFS(T_TTAFStock_Log[Part Name],$A44,T_TTAFStock_Log[WeekIndex],28)=0,"",SUMIFS(T_TTAFStock_Log[TTAF_Qty],T_TTAFStock_Log[Part Name],$A44,T_TTAFStock_Log[WeekIndex],28))</f>
        <v/>
      </c>
      <c r="AD44" s="17">
        <f>IF(COUNTIFS(T_TTAFStock_Log[Part Name],$A44,T_TTAFStock_Log[WeekIndex],29)=0,"",SUMIFS(T_TTAFStock_Log[TTAF_Qty],T_TTAFStock_Log[Part Name],$A44,T_TTAFStock_Log[WeekIndex],29))</f>
        <v/>
      </c>
      <c r="AE44" s="17">
        <f>IF(COUNTIFS(T_TTAFStock_Log[Part Name],$A44,T_TTAFStock_Log[WeekIndex],30)=0,"",SUMIFS(T_TTAFStock_Log[TTAF_Qty],T_TTAFStock_Log[Part Name],$A44,T_TTAFStock_Log[WeekIndex],30))</f>
        <v/>
      </c>
      <c r="AF44" s="17">
        <f>IF(COUNTIFS(T_TTAFStock_Log[Part Name],$A44,T_TTAFStock_Log[WeekIndex],31)=0,"",SUMIFS(T_TTAFStock_Log[TTAF_Qty],T_TTAFStock_Log[Part Name],$A44,T_TTAFStock_Log[WeekIndex],31))</f>
        <v/>
      </c>
      <c r="AG44" s="17">
        <f>IF(COUNTIFS(T_TTAFStock_Log[Part Name],$A44,T_TTAFStock_Log[WeekIndex],32)=0,"",SUMIFS(T_TTAFStock_Log[TTAF_Qty],T_TTAFStock_Log[Part Name],$A44,T_TTAFStock_Log[WeekIndex],32))</f>
        <v/>
      </c>
      <c r="AH44" s="17">
        <f>IF(COUNTIFS(T_TTAFStock_Log[Part Name],$A44,T_TTAFStock_Log[WeekIndex],33)=0,"",SUMIFS(T_TTAFStock_Log[TTAF_Qty],T_TTAFStock_Log[Part Name],$A44,T_TTAFStock_Log[WeekIndex],33))</f>
        <v/>
      </c>
      <c r="AI44" s="17">
        <f>IF(COUNTIFS(T_TTAFStock_Log[Part Name],$A44,T_TTAFStock_Log[WeekIndex],34)=0,"",SUMIFS(T_TTAFStock_Log[TTAF_Qty],T_TTAFStock_Log[Part Name],$A44,T_TTAFStock_Log[WeekIndex],34))</f>
        <v/>
      </c>
      <c r="AJ44" s="17">
        <f>IF(COUNTIFS(T_TTAFStock_Log[Part Name],$A44,T_TTAFStock_Log[WeekIndex],35)=0,"",SUMIFS(T_TTAFStock_Log[TTAF_Qty],T_TTAFStock_Log[Part Name],$A44,T_TTAFStock_Log[WeekIndex],35))</f>
        <v/>
      </c>
      <c r="AK44" s="17">
        <f>IF(COUNTIFS(T_TTAFStock_Log[Part Name],$A44,T_TTAFStock_Log[WeekIndex],36)=0,"",SUMIFS(T_TTAFStock_Log[TTAF_Qty],T_TTAFStock_Log[Part Name],$A44,T_TTAFStock_Log[WeekIndex],36))</f>
        <v/>
      </c>
      <c r="AL44" s="17">
        <f>IF(COUNTIFS(T_TTAFStock_Log[Part Name],$A44,T_TTAFStock_Log[WeekIndex],37)=0,"",SUMIFS(T_TTAFStock_Log[TTAF_Qty],T_TTAFStock_Log[Part Name],$A44,T_TTAFStock_Log[WeekIndex],37))</f>
        <v/>
      </c>
      <c r="AM44" s="17">
        <f>IF(COUNTIFS(T_TTAFStock_Log[Part Name],$A44,T_TTAFStock_Log[WeekIndex],38)=0,"",SUMIFS(T_TTAFStock_Log[TTAF_Qty],T_TTAFStock_Log[Part Name],$A44,T_TTAFStock_Log[WeekIndex],38))</f>
        <v/>
      </c>
      <c r="AN44" s="17">
        <f>IF(COUNTIFS(T_TTAFStock_Log[Part Name],$A44,T_TTAFStock_Log[WeekIndex],39)=0,"",SUMIFS(T_TTAFStock_Log[TTAF_Qty],T_TTAFStock_Log[Part Name],$A44,T_TTAFStock_Log[WeekIndex],39))</f>
        <v/>
      </c>
      <c r="AO44" s="17">
        <f>IF(COUNTIFS(T_TTAFStock_Log[Part Name],$A44,T_TTAFStock_Log[WeekIndex],40)=0,"",SUMIFS(T_TTAFStock_Log[TTAF_Qty],T_TTAFStock_Log[Part Name],$A44,T_TTAFStock_Log[WeekIndex],40))</f>
        <v/>
      </c>
      <c r="AP44" s="17">
        <f>IF(COUNTIFS(T_TTAFStock_Log[Part Name],$A44,T_TTAFStock_Log[WeekIndex],41)=0,"",SUMIFS(T_TTAFStock_Log[TTAF_Qty],T_TTAFStock_Log[Part Name],$A44,T_TTAFStock_Log[WeekIndex],41))</f>
        <v/>
      </c>
      <c r="AQ44" s="17">
        <f>IF(COUNTIFS(T_TTAFStock_Log[Part Name],$A44,T_TTAFStock_Log[WeekIndex],42)=0,"",SUMIFS(T_TTAFStock_Log[TTAF_Qty],T_TTAFStock_Log[Part Name],$A44,T_TTAFStock_Log[WeekIndex],42))</f>
        <v/>
      </c>
      <c r="AR44" s="17">
        <f>IF(COUNTIFS(T_TTAFStock_Log[Part Name],$A44,T_TTAFStock_Log[WeekIndex],43)=0,"",SUMIFS(T_TTAFStock_Log[TTAF_Qty],T_TTAFStock_Log[Part Name],$A44,T_TTAFStock_Log[WeekIndex],43))</f>
        <v/>
      </c>
      <c r="AS44" s="17">
        <f>IF(COUNTIFS(T_TTAFStock_Log[Part Name],$A44,T_TTAFStock_Log[WeekIndex],44)=0,"",SUMIFS(T_TTAFStock_Log[TTAF_Qty],T_TTAFStock_Log[Part Name],$A44,T_TTAFStock_Log[WeekIndex],44))</f>
        <v/>
      </c>
      <c r="AT44" s="17">
        <f>IF(COUNTIFS(T_TTAFStock_Log[Part Name],$A44,T_TTAFStock_Log[WeekIndex],45)=0,"",SUMIFS(T_TTAFStock_Log[TTAF_Qty],T_TTAFStock_Log[Part Name],$A44,T_TTAFStock_Log[WeekIndex],45))</f>
        <v/>
      </c>
      <c r="AU44" s="17">
        <f>IF(COUNTIFS(T_TTAFStock_Log[Part Name],$A44,T_TTAFStock_Log[WeekIndex],46)=0,"",SUMIFS(T_TTAFStock_Log[TTAF_Qty],T_TTAFStock_Log[Part Name],$A44,T_TTAFStock_Log[WeekIndex],46))</f>
        <v/>
      </c>
      <c r="AV44" s="17">
        <f>IF(COUNTIFS(T_TTAFStock_Log[Part Name],$A44,T_TTAFStock_Log[WeekIndex],47)=0,"",SUMIFS(T_TTAFStock_Log[TTAF_Qty],T_TTAFStock_Log[Part Name],$A44,T_TTAFStock_Log[WeekIndex],47))</f>
        <v/>
      </c>
      <c r="AW44" s="17">
        <f>IF(COUNTIFS(T_TTAFStock_Log[Part Name],$A44,T_TTAFStock_Log[WeekIndex],48)=0,"",SUMIFS(T_TTAFStock_Log[TTAF_Qty],T_TTAFStock_Log[Part Name],$A44,T_TTAFStock_Log[WeekIndex],48))</f>
        <v/>
      </c>
      <c r="AX44" s="17">
        <f>IF(COUNTIFS(T_TTAFStock_Log[Part Name],$A44,T_TTAFStock_Log[WeekIndex],49)=0,"",SUMIFS(T_TTAFStock_Log[TTAF_Qty],T_TTAFStock_Log[Part Name],$A44,T_TTAFStock_Log[WeekIndex],49))</f>
        <v/>
      </c>
      <c r="AY44" s="17">
        <f>IF(COUNTIFS(T_TTAFStock_Log[Part Name],$A44,T_TTAFStock_Log[WeekIndex],50)=0,"",SUMIFS(T_TTAFStock_Log[TTAF_Qty],T_TTAFStock_Log[Part Name],$A44,T_TTAFStock_Log[WeekIndex],50))</f>
        <v/>
      </c>
      <c r="AZ44" s="17">
        <f>IF(COUNTIFS(T_TTAFStock_Log[Part Name],$A44,T_TTAFStock_Log[WeekIndex],51)=0,"",SUMIFS(T_TTAFStock_Log[TTAF_Qty],T_TTAFStock_Log[Part Name],$A44,T_TTAFStock_Log[WeekIndex],51))</f>
        <v/>
      </c>
      <c r="BA44" s="17">
        <f>IF(COUNTIFS(T_TTAFStock_Log[Part Name],$A44,T_TTAFStock_Log[WeekIndex],52)=0,"",SUMIFS(T_TTAFStock_Log[TTAF_Qty],T_TTAFStock_Log[Part Name],$A44,T_TTAFStock_Log[WeekIndex],52))</f>
        <v/>
      </c>
      <c r="BB44" s="17">
        <f>IF(COUNTIFS(T_TTAFStock_Log[Part Name],$A44,T_TTAFStock_Log[WeekIndex],53)=0,"",SUMIFS(T_TTAFStock_Log[TTAF_Qty],T_TTAFStock_Log[Part Name],$A44,T_TTAFStock_Log[WeekIndex],53))</f>
        <v/>
      </c>
      <c r="BC44" s="17">
        <f>IF(COUNTIFS(T_TTAFStock_Log[Part Name],$A44,T_TTAFStock_Log[WeekIndex],54)=0,"",SUMIFS(T_TTAFStock_Log[TTAF_Qty],T_TTAFStock_Log[Part Name],$A44,T_TTAFStock_Log[WeekIndex],54))</f>
        <v/>
      </c>
      <c r="BD44" s="17">
        <f>IF(COUNTIFS(T_TTAFStock_Log[Part Name],$A44,T_TTAFStock_Log[WeekIndex],55)=0,"",SUMIFS(T_TTAFStock_Log[TTAF_Qty],T_TTAFStock_Log[Part Name],$A44,T_TTAFStock_Log[WeekIndex],55))</f>
        <v/>
      </c>
      <c r="BE44" s="17">
        <f>IF(COUNTIFS(T_TTAFStock_Log[Part Name],$A44,T_TTAFStock_Log[WeekIndex],56)=0,"",SUMIFS(T_TTAFStock_Log[TTAF_Qty],T_TTAFStock_Log[Part Name],$A44,T_TTAFStock_Log[WeekIndex],56))</f>
        <v/>
      </c>
      <c r="BF44" s="17">
        <f>IF(COUNTIFS(T_TTAFStock_Log[Part Name],$A44,T_TTAFStock_Log[WeekIndex],57)=0,"",SUMIFS(T_TTAFStock_Log[TTAF_Qty],T_TTAFStock_Log[Part Name],$A44,T_TTAFStock_Log[WeekIndex],57))</f>
        <v/>
      </c>
      <c r="BG44" s="17">
        <f>IF(COUNTIFS(T_TTAFStock_Log[Part Name],$A44,T_TTAFStock_Log[WeekIndex],58)=0,"",SUMIFS(T_TTAFStock_Log[TTAF_Qty],T_TTAFStock_Log[Part Name],$A44,T_TTAFStock_Log[WeekIndex],58))</f>
        <v/>
      </c>
      <c r="BH44" s="17">
        <f>IF(COUNTIFS(T_TTAFStock_Log[Part Name],$A44,T_TTAFStock_Log[WeekIndex],59)=0,"",SUMIFS(T_TTAFStock_Log[TTAF_Qty],T_TTAFStock_Log[Part Name],$A44,T_TTAFStock_Log[WeekIndex],59))</f>
        <v/>
      </c>
      <c r="BI44" s="17">
        <f>IF(COUNTIFS(T_TTAFStock_Log[Part Name],$A44,T_TTAFStock_Log[WeekIndex],60)=0,"",SUMIFS(T_TTAFStock_Log[TTAF_Qty],T_TTAFStock_Log[Part Name],$A44,T_TTAFStock_Log[WeekIndex],60))</f>
        <v/>
      </c>
      <c r="BJ44" s="17">
        <f>IF(COUNTIFS(T_TTAFStock_Log[Part Name],$A44,T_TTAFStock_Log[WeekIndex],61)=0,"",SUMIFS(T_TTAFStock_Log[TTAF_Qty],T_TTAFStock_Log[Part Name],$A44,T_TTAFStock_Log[WeekIndex],61))</f>
        <v/>
      </c>
      <c r="BK44" s="17">
        <f>IF(COUNTIFS(T_TTAFStock_Log[Part Name],$A44,T_TTAFStock_Log[WeekIndex],62)=0,"",SUMIFS(T_TTAFStock_Log[TTAF_Qty],T_TTAFStock_Log[Part Name],$A44,T_TTAFStock_Log[WeekIndex],62))</f>
        <v/>
      </c>
      <c r="BL44" s="17">
        <f>IF(COUNTIFS(T_TTAFStock_Log[Part Name],$A44,T_TTAFStock_Log[WeekIndex],63)=0,"",SUMIFS(T_TTAFStock_Log[TTAF_Qty],T_TTAFStock_Log[Part Name],$A44,T_TTAFStock_Log[WeekIndex],63))</f>
        <v/>
      </c>
      <c r="BM44" s="17">
        <f>IF(COUNTIFS(T_TTAFStock_Log[Part Name],$A44,T_TTAFStock_Log[WeekIndex],64)=0,"",SUMIFS(T_TTAFStock_Log[TTAF_Qty],T_TTAFStock_Log[Part Name],$A44,T_TTAFStock_Log[WeekIndex],64))</f>
        <v/>
      </c>
      <c r="BN44" s="17">
        <f>IF(COUNTIFS(T_TTAFStock_Log[Part Name],$A44,T_TTAFStock_Log[WeekIndex],65)=0,"",SUMIFS(T_TTAFStock_Log[TTAF_Qty],T_TTAFStock_Log[Part Name],$A44,T_TTAFStock_Log[WeekIndex],65))</f>
        <v/>
      </c>
      <c r="BO44" s="17">
        <f>IF(COUNTIFS(T_TTAFStock_Log[Part Name],$A44,T_TTAFStock_Log[WeekIndex],66)=0,"",SUMIFS(T_TTAFStock_Log[TTAF_Qty],T_TTAFStock_Log[Part Name],$A44,T_TTAFStock_Log[WeekIndex],66))</f>
        <v/>
      </c>
      <c r="BP44" s="17">
        <f>IF(COUNTIFS(T_TTAFStock_Log[Part Name],$A44,T_TTAFStock_Log[WeekIndex],67)=0,"",SUMIFS(T_TTAFStock_Log[TTAF_Qty],T_TTAFStock_Log[Part Name],$A44,T_TTAFStock_Log[WeekIndex],67))</f>
        <v/>
      </c>
      <c r="BQ44" s="17">
        <f>IF(COUNTIFS(T_TTAFStock_Log[Part Name],$A44,T_TTAFStock_Log[WeekIndex],68)=0,"",SUMIFS(T_TTAFStock_Log[TTAF_Qty],T_TTAFStock_Log[Part Name],$A44,T_TTAFStock_Log[WeekIndex],68))</f>
        <v/>
      </c>
      <c r="BR44" s="17">
        <f>IF(COUNTIFS(T_TTAFStock_Log[Part Name],$A44,T_TTAFStock_Log[WeekIndex],69)=0,"",SUMIFS(T_TTAFStock_Log[TTAF_Qty],T_TTAFStock_Log[Part Name],$A44,T_TTAFStock_Log[WeekIndex],69))</f>
        <v/>
      </c>
      <c r="BS44" s="17">
        <f>IF(COUNTIFS(T_TTAFStock_Log[Part Name],$A44,T_TTAFStock_Log[WeekIndex],70)=0,"",SUMIFS(T_TTAFStock_Log[TTAF_Qty],T_TTAFStock_Log[Part Name],$A44,T_TTAFStock_Log[WeekIndex],70))</f>
        <v/>
      </c>
      <c r="BT44" s="17">
        <f>IF(COUNTIFS(T_TTAFStock_Log[Part Name],$A44,T_TTAFStock_Log[WeekIndex],71)=0,"",SUMIFS(T_TTAFStock_Log[TTAF_Qty],T_TTAFStock_Log[Part Name],$A44,T_TTAFStock_Log[WeekIndex],71))</f>
        <v/>
      </c>
      <c r="BU44" s="17">
        <f>IF(COUNTIFS(T_TTAFStock_Log[Part Name],$A44,T_TTAFStock_Log[WeekIndex],72)=0,"",SUMIFS(T_TTAFStock_Log[TTAF_Qty],T_TTAFStock_Log[Part Name],$A44,T_TTAFStock_Log[WeekIndex],72))</f>
        <v/>
      </c>
      <c r="BV44" s="17">
        <f>IF(COUNTIFS(T_TTAFStock_Log[Part Name],$A44,T_TTAFStock_Log[WeekIndex],73)=0,"",SUMIFS(T_TTAFStock_Log[TTAF_Qty],T_TTAFStock_Log[Part Name],$A44,T_TTAFStock_Log[WeekIndex],73))</f>
        <v/>
      </c>
      <c r="BW44" s="17">
        <f>IF(COUNTIFS(T_TTAFStock_Log[Part Name],$A44,T_TTAFStock_Log[WeekIndex],74)=0,"",SUMIFS(T_TTAFStock_Log[TTAF_Qty],T_TTAFStock_Log[Part Name],$A44,T_TTAFStock_Log[WeekIndex],74))</f>
        <v/>
      </c>
      <c r="BX44" s="17">
        <f>IF(COUNTIFS(T_TTAFStock_Log[Part Name],$A44,T_TTAFStock_Log[WeekIndex],75)=0,"",SUMIFS(T_TTAFStock_Log[TTAF_Qty],T_TTAFStock_Log[Part Name],$A44,T_TTAFStock_Log[WeekIndex],75))</f>
        <v/>
      </c>
      <c r="BY44" s="17">
        <f>IF(COUNTIFS(T_TTAFStock_Log[Part Name],$A44,T_TTAFStock_Log[WeekIndex],76)=0,"",SUMIFS(T_TTAFStock_Log[TTAF_Qty],T_TTAFStock_Log[Part Name],$A44,T_TTAFStock_Log[WeekIndex],76))</f>
        <v/>
      </c>
      <c r="BZ44" s="17">
        <f>IF(COUNTIFS(T_TTAFStock_Log[Part Name],$A44,T_TTAFStock_Log[WeekIndex],77)=0,"",SUMIFS(T_TTAFStock_Log[TTAF_Qty],T_TTAFStock_Log[Part Name],$A44,T_TTAFStock_Log[WeekIndex],77))</f>
        <v/>
      </c>
      <c r="CA44" s="17">
        <f>IF(COUNTIFS(T_TTAFStock_Log[Part Name],$A44,T_TTAFStock_Log[WeekIndex],78)=0,"",SUMIFS(T_TTAFStock_Log[TTAF_Qty],T_TTAFStock_Log[Part Name],$A44,T_TTAFStock_Log[WeekIndex],78))</f>
        <v/>
      </c>
      <c r="CB44" s="17">
        <f>IF(COUNTIFS(T_TTAFStock_Log[Part Name],$A44,T_TTAFStock_Log[WeekIndex],79)=0,"",SUMIFS(T_TTAFStock_Log[TTAF_Qty],T_TTAFStock_Log[Part Name],$A44,T_TTAFStock_Log[WeekIndex],79))</f>
        <v/>
      </c>
      <c r="CC44" s="17">
        <f>IF(COUNTIFS(T_TTAFStock_Log[Part Name],$A44,T_TTAFStock_Log[WeekIndex],80)=0,"",SUMIFS(T_TTAFStock_Log[TTAF_Qty],T_TTAFStock_Log[Part Name],$A44,T_TTAFStock_Log[WeekIndex],80))</f>
        <v/>
      </c>
      <c r="CD44" s="17">
        <f>IF(COUNTIFS(T_TTAFStock_Log[Part Name],$A44,T_TTAFStock_Log[WeekIndex],81)=0,"",SUMIFS(T_TTAFStock_Log[TTAF_Qty],T_TTAFStock_Log[Part Name],$A44,T_TTAFStock_Log[WeekIndex],81))</f>
        <v/>
      </c>
      <c r="CE44" s="17">
        <f>IF(COUNTIFS(T_TTAFStock_Log[Part Name],$A44,T_TTAFStock_Log[WeekIndex],82)=0,"",SUMIFS(T_TTAFStock_Log[TTAF_Qty],T_TTAFStock_Log[Part Name],$A44,T_TTAFStock_Log[WeekIndex],82))</f>
        <v/>
      </c>
      <c r="CF44" s="17">
        <f>IF(COUNTIFS(T_TTAFStock_Log[Part Name],$A44,T_TTAFStock_Log[WeekIndex],83)=0,"",SUMIFS(T_TTAFStock_Log[TTAF_Qty],T_TTAFStock_Log[Part Name],$A44,T_TTAFStock_Log[WeekIndex],83))</f>
        <v/>
      </c>
      <c r="CG44" s="17">
        <f>IF(COUNTIFS(T_TTAFStock_Log[Part Name],$A44,T_TTAFStock_Log[WeekIndex],84)=0,"",SUMIFS(T_TTAFStock_Log[TTAF_Qty],T_TTAFStock_Log[Part Name],$A44,T_TTAFStock_Log[WeekIndex],84))</f>
        <v/>
      </c>
      <c r="CH44" s="17">
        <f>IF(COUNTIFS(T_TTAFStock_Log[Part Name],$A44,T_TTAFStock_Log[WeekIndex],85)=0,"",SUMIFS(T_TTAFStock_Log[TTAF_Qty],T_TTAFStock_Log[Part Name],$A44,T_TTAFStock_Log[WeekIndex],85))</f>
        <v/>
      </c>
      <c r="CI44" s="17">
        <f>IF(COUNTIFS(T_TTAFStock_Log[Part Name],$A44,T_TTAFStock_Log[WeekIndex],86)=0,"",SUMIFS(T_TTAFStock_Log[TTAF_Qty],T_TTAFStock_Log[Part Name],$A44,T_TTAFStock_Log[WeekIndex],86))</f>
        <v/>
      </c>
      <c r="CJ44" s="17">
        <f>IF(COUNTIFS(T_TTAFStock_Log[Part Name],$A44,T_TTAFStock_Log[WeekIndex],87)=0,"",SUMIFS(T_TTAFStock_Log[TTAF_Qty],T_TTAFStock_Log[Part Name],$A44,T_TTAFStock_Log[WeekIndex],87))</f>
        <v/>
      </c>
      <c r="CK44" s="17">
        <f>IF(COUNTIFS(T_TTAFStock_Log[Part Name],$A44,T_TTAFStock_Log[WeekIndex],88)=0,"",SUMIFS(T_TTAFStock_Log[TTAF_Qty],T_TTAFStock_Log[Part Name],$A44,T_TTAFStock_Log[WeekIndex],88))</f>
        <v/>
      </c>
      <c r="CL44" s="17">
        <f>IF(COUNTIFS(T_TTAFStock_Log[Part Name],$A44,T_TTAFStock_Log[WeekIndex],89)=0,"",SUMIFS(T_TTAFStock_Log[TTAF_Qty],T_TTAFStock_Log[Part Name],$A44,T_TTAFStock_Log[WeekIndex],89))</f>
        <v/>
      </c>
      <c r="CM44" s="17">
        <f>IF(COUNTIFS(T_TTAFStock_Log[Part Name],$A44,T_TTAFStock_Log[WeekIndex],90)=0,"",SUMIFS(T_TTAFStock_Log[TTAF_Qty],T_TTAFStock_Log[Part Name],$A44,T_TTAFStock_Log[WeekIndex],90))</f>
        <v/>
      </c>
      <c r="CN44" s="17">
        <f>IF(COUNTIFS(T_TTAFStock_Log[Part Name],$A44,T_TTAFStock_Log[WeekIndex],91)=0,"",SUMIFS(T_TTAFStock_Log[TTAF_Qty],T_TTAFStock_Log[Part Name],$A44,T_TTAFStock_Log[WeekIndex],91))</f>
        <v/>
      </c>
      <c r="CO44" s="17">
        <f>IF(COUNTIFS(T_TTAFStock_Log[Part Name],$A44,T_TTAFStock_Log[WeekIndex],92)=0,"",SUMIFS(T_TTAFStock_Log[TTAF_Qty],T_TTAFStock_Log[Part Name],$A44,T_TTAFStock_Log[WeekIndex],92))</f>
        <v/>
      </c>
      <c r="CP44" s="17">
        <f>IF(COUNTIFS(T_TTAFStock_Log[Part Name],$A44,T_TTAFStock_Log[WeekIndex],93)=0,"",SUMIFS(T_TTAFStock_Log[TTAF_Qty],T_TTAFStock_Log[Part Name],$A44,T_TTAFStock_Log[WeekIndex],93))</f>
        <v/>
      </c>
      <c r="CQ44" s="17">
        <f>IF(COUNTIFS(T_TTAFStock_Log[Part Name],$A44,T_TTAFStock_Log[WeekIndex],94)=0,"",SUMIFS(T_TTAFStock_Log[TTAF_Qty],T_TTAFStock_Log[Part Name],$A44,T_TTAFStock_Log[WeekIndex],94))</f>
        <v/>
      </c>
      <c r="CR44" s="17">
        <f>IF(COUNTIFS(T_TTAFStock_Log[Part Name],$A44,T_TTAFStock_Log[WeekIndex],95)=0,"",SUMIFS(T_TTAFStock_Log[TTAF_Qty],T_TTAFStock_Log[Part Name],$A44,T_TTAFStock_Log[WeekIndex],95))</f>
        <v/>
      </c>
      <c r="CS44" s="17">
        <f>IF(COUNTIFS(T_TTAFStock_Log[Part Name],$A44,T_TTAFStock_Log[WeekIndex],96)=0,"",SUMIFS(T_TTAFStock_Log[TTAF_Qty],T_TTAFStock_Log[Part Name],$A44,T_TTAFStock_Log[WeekIndex],96))</f>
        <v/>
      </c>
      <c r="CT44" s="17">
        <f>IF(COUNTIFS(T_TTAFStock_Log[Part Name],$A44,T_TTAFStock_Log[WeekIndex],97)=0,"",SUMIFS(T_TTAFStock_Log[TTAF_Qty],T_TTAFStock_Log[Part Name],$A44,T_TTAFStock_Log[WeekIndex],97))</f>
        <v/>
      </c>
      <c r="CU44" s="17">
        <f>IF(COUNTIFS(T_TTAFStock_Log[Part Name],$A44,T_TTAFStock_Log[WeekIndex],98)=0,"",SUMIFS(T_TTAFStock_Log[TTAF_Qty],T_TTAFStock_Log[Part Name],$A44,T_TTAFStock_Log[WeekIndex],98))</f>
        <v/>
      </c>
      <c r="CV44" s="17">
        <f>IF(COUNTIFS(T_TTAFStock_Log[Part Name],$A44,T_TTAFStock_Log[WeekIndex],99)=0,"",SUMIFS(T_TTAFStock_Log[TTAF_Qty],T_TTAFStock_Log[Part Name],$A44,T_TTAFStock_Log[WeekIndex],99))</f>
        <v/>
      </c>
      <c r="CW44" s="17">
        <f>IF(COUNTIFS(T_TTAFStock_Log[Part Name],$A44,T_TTAFStock_Log[WeekIndex],100)=0,"",SUMIFS(T_TTAFStock_Log[TTAF_Qty],T_TTAFStock_Log[Part Name],$A44,T_TTAFStock_Log[WeekIndex],100))</f>
        <v/>
      </c>
      <c r="CX44" s="17">
        <f>IF(COUNTIFS(T_TTAFStock_Log[Part Name],$A44,T_TTAFStock_Log[WeekIndex],101)=0,"",SUMIFS(T_TTAFStock_Log[TTAF_Qty],T_TTAFStock_Log[Part Name],$A44,T_TTAFStock_Log[WeekIndex],101))</f>
        <v/>
      </c>
      <c r="CY44" s="17">
        <f>IF(COUNTIFS(T_TTAFStock_Log[Part Name],$A44,T_TTAFStock_Log[WeekIndex],102)=0,"",SUMIFS(T_TTAFStock_Log[TTAF_Qty],T_TTAFStock_Log[Part Name],$A44,T_TTAFStock_Log[WeekIndex],102))</f>
        <v/>
      </c>
      <c r="CZ44" s="17">
        <f>IF(COUNTIFS(T_TTAFStock_Log[Part Name],$A44,T_TTAFStock_Log[WeekIndex],103)=0,"",SUMIFS(T_TTAFStock_Log[TTAF_Qty],T_TTAFStock_Log[Part Name],$A44,T_TTAFStock_Log[WeekIndex],103))</f>
        <v/>
      </c>
      <c r="DA44" s="17">
        <f>IF(COUNTIFS(T_TTAFStock_Log[Part Name],$A44,T_TTAFStock_Log[WeekIndex],104)=0,"",SUMIFS(T_TTAFStock_Log[TTAF_Qty],T_TTAFStock_Log[Part Name],$A44,T_TTAFStock_Log[WeekIndex],104))</f>
        <v/>
      </c>
    </row>
    <row r="45">
      <c r="A45" s="19" t="inlineStr">
        <is>
          <t>CHEM-1730</t>
        </is>
      </c>
      <c r="B45" s="19">
        <f>IF(COUNTIFS(T_TTAFStock_Log[Part Name],$A45,T_TTAFStock_Log[WeekIndex],1)=0,"",SUMIFS(T_TTAFStock_Log[TTAF_Qty],T_TTAFStock_Log[Part Name],$A45,T_TTAFStock_Log[WeekIndex],1))</f>
        <v/>
      </c>
      <c r="C45" s="19">
        <f>IF(COUNTIFS(T_TTAFStock_Log[Part Name],$A45,T_TTAFStock_Log[WeekIndex],2)=0,"",SUMIFS(T_TTAFStock_Log[TTAF_Qty],T_TTAFStock_Log[Part Name],$A45,T_TTAFStock_Log[WeekIndex],2))</f>
        <v/>
      </c>
      <c r="D45" s="19">
        <f>IF(COUNTIFS(T_TTAFStock_Log[Part Name],$A45,T_TTAFStock_Log[WeekIndex],3)=0,"",SUMIFS(T_TTAFStock_Log[TTAF_Qty],T_TTAFStock_Log[Part Name],$A45,T_TTAFStock_Log[WeekIndex],3))</f>
        <v/>
      </c>
      <c r="E45" s="19">
        <f>IF(COUNTIFS(T_TTAFStock_Log[Part Name],$A45,T_TTAFStock_Log[WeekIndex],4)=0,"",SUMIFS(T_TTAFStock_Log[TTAF_Qty],T_TTAFStock_Log[Part Name],$A45,T_TTAFStock_Log[WeekIndex],4))</f>
        <v/>
      </c>
      <c r="F45" s="19">
        <f>IF(COUNTIFS(T_TTAFStock_Log[Part Name],$A45,T_TTAFStock_Log[WeekIndex],5)=0,"",SUMIFS(T_TTAFStock_Log[TTAF_Qty],T_TTAFStock_Log[Part Name],$A45,T_TTAFStock_Log[WeekIndex],5))</f>
        <v/>
      </c>
      <c r="G45" s="19">
        <f>IF(COUNTIFS(T_TTAFStock_Log[Part Name],$A45,T_TTAFStock_Log[WeekIndex],6)=0,"",SUMIFS(T_TTAFStock_Log[TTAF_Qty],T_TTAFStock_Log[Part Name],$A45,T_TTAFStock_Log[WeekIndex],6))</f>
        <v/>
      </c>
      <c r="H45" s="19">
        <f>IF(COUNTIFS(T_TTAFStock_Log[Part Name],$A45,T_TTAFStock_Log[WeekIndex],7)=0,"",SUMIFS(T_TTAFStock_Log[TTAF_Qty],T_TTAFStock_Log[Part Name],$A45,T_TTAFStock_Log[WeekIndex],7))</f>
        <v/>
      </c>
      <c r="I45" s="19">
        <f>IF(COUNTIFS(T_TTAFStock_Log[Part Name],$A45,T_TTAFStock_Log[WeekIndex],8)=0,"",SUMIFS(T_TTAFStock_Log[TTAF_Qty],T_TTAFStock_Log[Part Name],$A45,T_TTAFStock_Log[WeekIndex],8))</f>
        <v/>
      </c>
      <c r="J45" s="19">
        <f>IF(COUNTIFS(T_TTAFStock_Log[Part Name],$A45,T_TTAFStock_Log[WeekIndex],9)=0,"",SUMIFS(T_TTAFStock_Log[TTAF_Qty],T_TTAFStock_Log[Part Name],$A45,T_TTAFStock_Log[WeekIndex],9))</f>
        <v/>
      </c>
      <c r="K45" s="19">
        <f>IF(COUNTIFS(T_TTAFStock_Log[Part Name],$A45,T_TTAFStock_Log[WeekIndex],10)=0,"",SUMIFS(T_TTAFStock_Log[TTAF_Qty],T_TTAFStock_Log[Part Name],$A45,T_TTAFStock_Log[WeekIndex],10))</f>
        <v/>
      </c>
      <c r="L45" s="19">
        <f>IF(COUNTIFS(T_TTAFStock_Log[Part Name],$A45,T_TTAFStock_Log[WeekIndex],11)=0,"",SUMIFS(T_TTAFStock_Log[TTAF_Qty],T_TTAFStock_Log[Part Name],$A45,T_TTAFStock_Log[WeekIndex],11))</f>
        <v/>
      </c>
      <c r="M45" s="19">
        <f>IF(COUNTIFS(T_TTAFStock_Log[Part Name],$A45,T_TTAFStock_Log[WeekIndex],12)=0,"",SUMIFS(T_TTAFStock_Log[TTAF_Qty],T_TTAFStock_Log[Part Name],$A45,T_TTAFStock_Log[WeekIndex],12))</f>
        <v/>
      </c>
      <c r="N45" s="19">
        <f>IF(COUNTIFS(T_TTAFStock_Log[Part Name],$A45,T_TTAFStock_Log[WeekIndex],13)=0,"",SUMIFS(T_TTAFStock_Log[TTAF_Qty],T_TTAFStock_Log[Part Name],$A45,T_TTAFStock_Log[WeekIndex],13))</f>
        <v/>
      </c>
      <c r="O45" s="19">
        <f>IF(COUNTIFS(T_TTAFStock_Log[Part Name],$A45,T_TTAFStock_Log[WeekIndex],14)=0,"",SUMIFS(T_TTAFStock_Log[TTAF_Qty],T_TTAFStock_Log[Part Name],$A45,T_TTAFStock_Log[WeekIndex],14))</f>
        <v/>
      </c>
      <c r="P45" s="19">
        <f>IF(COUNTIFS(T_TTAFStock_Log[Part Name],$A45,T_TTAFStock_Log[WeekIndex],15)=0,"",SUMIFS(T_TTAFStock_Log[TTAF_Qty],T_TTAFStock_Log[Part Name],$A45,T_TTAFStock_Log[WeekIndex],15))</f>
        <v/>
      </c>
      <c r="Q45" s="19">
        <f>IF(COUNTIFS(T_TTAFStock_Log[Part Name],$A45,T_TTAFStock_Log[WeekIndex],16)=0,"",SUMIFS(T_TTAFStock_Log[TTAF_Qty],T_TTAFStock_Log[Part Name],$A45,T_TTAFStock_Log[WeekIndex],16))</f>
        <v/>
      </c>
      <c r="R45" s="19">
        <f>IF(COUNTIFS(T_TTAFStock_Log[Part Name],$A45,T_TTAFStock_Log[WeekIndex],17)=0,"",SUMIFS(T_TTAFStock_Log[TTAF_Qty],T_TTAFStock_Log[Part Name],$A45,T_TTAFStock_Log[WeekIndex],17))</f>
        <v/>
      </c>
      <c r="S45" s="19">
        <f>IF(COUNTIFS(T_TTAFStock_Log[Part Name],$A45,T_TTAFStock_Log[WeekIndex],18)=0,"",SUMIFS(T_TTAFStock_Log[TTAF_Qty],T_TTAFStock_Log[Part Name],$A45,T_TTAFStock_Log[WeekIndex],18))</f>
        <v/>
      </c>
      <c r="T45" s="19">
        <f>IF(COUNTIFS(T_TTAFStock_Log[Part Name],$A45,T_TTAFStock_Log[WeekIndex],19)=0,"",SUMIFS(T_TTAFStock_Log[TTAF_Qty],T_TTAFStock_Log[Part Name],$A45,T_TTAFStock_Log[WeekIndex],19))</f>
        <v/>
      </c>
      <c r="U45" s="19">
        <f>IF(COUNTIFS(T_TTAFStock_Log[Part Name],$A45,T_TTAFStock_Log[WeekIndex],20)=0,"",SUMIFS(T_TTAFStock_Log[TTAF_Qty],T_TTAFStock_Log[Part Name],$A45,T_TTAFStock_Log[WeekIndex],20))</f>
        <v/>
      </c>
      <c r="V45" s="19">
        <f>IF(COUNTIFS(T_TTAFStock_Log[Part Name],$A45,T_TTAFStock_Log[WeekIndex],21)=0,"",SUMIFS(T_TTAFStock_Log[TTAF_Qty],T_TTAFStock_Log[Part Name],$A45,T_TTAFStock_Log[WeekIndex],21))</f>
        <v/>
      </c>
      <c r="W45" s="19">
        <f>IF(COUNTIFS(T_TTAFStock_Log[Part Name],$A45,T_TTAFStock_Log[WeekIndex],22)=0,"",SUMIFS(T_TTAFStock_Log[TTAF_Qty],T_TTAFStock_Log[Part Name],$A45,T_TTAFStock_Log[WeekIndex],22))</f>
        <v/>
      </c>
      <c r="X45" s="19">
        <f>IF(COUNTIFS(T_TTAFStock_Log[Part Name],$A45,T_TTAFStock_Log[WeekIndex],23)=0,"",SUMIFS(T_TTAFStock_Log[TTAF_Qty],T_TTAFStock_Log[Part Name],$A45,T_TTAFStock_Log[WeekIndex],23))</f>
        <v/>
      </c>
      <c r="Y45" s="19">
        <f>IF(COUNTIFS(T_TTAFStock_Log[Part Name],$A45,T_TTAFStock_Log[WeekIndex],24)=0,"",SUMIFS(T_TTAFStock_Log[TTAF_Qty],T_TTAFStock_Log[Part Name],$A45,T_TTAFStock_Log[WeekIndex],24))</f>
        <v/>
      </c>
      <c r="Z45" s="19">
        <f>IF(COUNTIFS(T_TTAFStock_Log[Part Name],$A45,T_TTAFStock_Log[WeekIndex],25)=0,"",SUMIFS(T_TTAFStock_Log[TTAF_Qty],T_TTAFStock_Log[Part Name],$A45,T_TTAFStock_Log[WeekIndex],25))</f>
        <v/>
      </c>
      <c r="AA45" s="19">
        <f>IF(COUNTIFS(T_TTAFStock_Log[Part Name],$A45,T_TTAFStock_Log[WeekIndex],26)=0,"",SUMIFS(T_TTAFStock_Log[TTAF_Qty],T_TTAFStock_Log[Part Name],$A45,T_TTAFStock_Log[WeekIndex],26))</f>
        <v/>
      </c>
      <c r="AB45" s="19">
        <f>IF(COUNTIFS(T_TTAFStock_Log[Part Name],$A45,T_TTAFStock_Log[WeekIndex],27)=0,"",SUMIFS(T_TTAFStock_Log[TTAF_Qty],T_TTAFStock_Log[Part Name],$A45,T_TTAFStock_Log[WeekIndex],27))</f>
        <v/>
      </c>
      <c r="AC45" s="19">
        <f>IF(COUNTIFS(T_TTAFStock_Log[Part Name],$A45,T_TTAFStock_Log[WeekIndex],28)=0,"",SUMIFS(T_TTAFStock_Log[TTAF_Qty],T_TTAFStock_Log[Part Name],$A45,T_TTAFStock_Log[WeekIndex],28))</f>
        <v/>
      </c>
      <c r="AD45" s="19">
        <f>IF(COUNTIFS(T_TTAFStock_Log[Part Name],$A45,T_TTAFStock_Log[WeekIndex],29)=0,"",SUMIFS(T_TTAFStock_Log[TTAF_Qty],T_TTAFStock_Log[Part Name],$A45,T_TTAFStock_Log[WeekIndex],29))</f>
        <v/>
      </c>
      <c r="AE45" s="19">
        <f>IF(COUNTIFS(T_TTAFStock_Log[Part Name],$A45,T_TTAFStock_Log[WeekIndex],30)=0,"",SUMIFS(T_TTAFStock_Log[TTAF_Qty],T_TTAFStock_Log[Part Name],$A45,T_TTAFStock_Log[WeekIndex],30))</f>
        <v/>
      </c>
      <c r="AF45" s="19">
        <f>IF(COUNTIFS(T_TTAFStock_Log[Part Name],$A45,T_TTAFStock_Log[WeekIndex],31)=0,"",SUMIFS(T_TTAFStock_Log[TTAF_Qty],T_TTAFStock_Log[Part Name],$A45,T_TTAFStock_Log[WeekIndex],31))</f>
        <v/>
      </c>
      <c r="AG45" s="19">
        <f>IF(COUNTIFS(T_TTAFStock_Log[Part Name],$A45,T_TTAFStock_Log[WeekIndex],32)=0,"",SUMIFS(T_TTAFStock_Log[TTAF_Qty],T_TTAFStock_Log[Part Name],$A45,T_TTAFStock_Log[WeekIndex],32))</f>
        <v/>
      </c>
      <c r="AH45" s="19">
        <f>IF(COUNTIFS(T_TTAFStock_Log[Part Name],$A45,T_TTAFStock_Log[WeekIndex],33)=0,"",SUMIFS(T_TTAFStock_Log[TTAF_Qty],T_TTAFStock_Log[Part Name],$A45,T_TTAFStock_Log[WeekIndex],33))</f>
        <v/>
      </c>
      <c r="AI45" s="19">
        <f>IF(COUNTIFS(T_TTAFStock_Log[Part Name],$A45,T_TTAFStock_Log[WeekIndex],34)=0,"",SUMIFS(T_TTAFStock_Log[TTAF_Qty],T_TTAFStock_Log[Part Name],$A45,T_TTAFStock_Log[WeekIndex],34))</f>
        <v/>
      </c>
      <c r="AJ45" s="19">
        <f>IF(COUNTIFS(T_TTAFStock_Log[Part Name],$A45,T_TTAFStock_Log[WeekIndex],35)=0,"",SUMIFS(T_TTAFStock_Log[TTAF_Qty],T_TTAFStock_Log[Part Name],$A45,T_TTAFStock_Log[WeekIndex],35))</f>
        <v/>
      </c>
      <c r="AK45" s="19">
        <f>IF(COUNTIFS(T_TTAFStock_Log[Part Name],$A45,T_TTAFStock_Log[WeekIndex],36)=0,"",SUMIFS(T_TTAFStock_Log[TTAF_Qty],T_TTAFStock_Log[Part Name],$A45,T_TTAFStock_Log[WeekIndex],36))</f>
        <v/>
      </c>
      <c r="AL45" s="19">
        <f>IF(COUNTIFS(T_TTAFStock_Log[Part Name],$A45,T_TTAFStock_Log[WeekIndex],37)=0,"",SUMIFS(T_TTAFStock_Log[TTAF_Qty],T_TTAFStock_Log[Part Name],$A45,T_TTAFStock_Log[WeekIndex],37))</f>
        <v/>
      </c>
      <c r="AM45" s="19">
        <f>IF(COUNTIFS(T_TTAFStock_Log[Part Name],$A45,T_TTAFStock_Log[WeekIndex],38)=0,"",SUMIFS(T_TTAFStock_Log[TTAF_Qty],T_TTAFStock_Log[Part Name],$A45,T_TTAFStock_Log[WeekIndex],38))</f>
        <v/>
      </c>
      <c r="AN45" s="19">
        <f>IF(COUNTIFS(T_TTAFStock_Log[Part Name],$A45,T_TTAFStock_Log[WeekIndex],39)=0,"",SUMIFS(T_TTAFStock_Log[TTAF_Qty],T_TTAFStock_Log[Part Name],$A45,T_TTAFStock_Log[WeekIndex],39))</f>
        <v/>
      </c>
      <c r="AO45" s="19">
        <f>IF(COUNTIFS(T_TTAFStock_Log[Part Name],$A45,T_TTAFStock_Log[WeekIndex],40)=0,"",SUMIFS(T_TTAFStock_Log[TTAF_Qty],T_TTAFStock_Log[Part Name],$A45,T_TTAFStock_Log[WeekIndex],40))</f>
        <v/>
      </c>
      <c r="AP45" s="19">
        <f>IF(COUNTIFS(T_TTAFStock_Log[Part Name],$A45,T_TTAFStock_Log[WeekIndex],41)=0,"",SUMIFS(T_TTAFStock_Log[TTAF_Qty],T_TTAFStock_Log[Part Name],$A45,T_TTAFStock_Log[WeekIndex],41))</f>
        <v/>
      </c>
      <c r="AQ45" s="19">
        <f>IF(COUNTIFS(T_TTAFStock_Log[Part Name],$A45,T_TTAFStock_Log[WeekIndex],42)=0,"",SUMIFS(T_TTAFStock_Log[TTAF_Qty],T_TTAFStock_Log[Part Name],$A45,T_TTAFStock_Log[WeekIndex],42))</f>
        <v/>
      </c>
      <c r="AR45" s="19">
        <f>IF(COUNTIFS(T_TTAFStock_Log[Part Name],$A45,T_TTAFStock_Log[WeekIndex],43)=0,"",SUMIFS(T_TTAFStock_Log[TTAF_Qty],T_TTAFStock_Log[Part Name],$A45,T_TTAFStock_Log[WeekIndex],43))</f>
        <v/>
      </c>
      <c r="AS45" s="19">
        <f>IF(COUNTIFS(T_TTAFStock_Log[Part Name],$A45,T_TTAFStock_Log[WeekIndex],44)=0,"",SUMIFS(T_TTAFStock_Log[TTAF_Qty],T_TTAFStock_Log[Part Name],$A45,T_TTAFStock_Log[WeekIndex],44))</f>
        <v/>
      </c>
      <c r="AT45" s="19">
        <f>IF(COUNTIFS(T_TTAFStock_Log[Part Name],$A45,T_TTAFStock_Log[WeekIndex],45)=0,"",SUMIFS(T_TTAFStock_Log[TTAF_Qty],T_TTAFStock_Log[Part Name],$A45,T_TTAFStock_Log[WeekIndex],45))</f>
        <v/>
      </c>
      <c r="AU45" s="19">
        <f>IF(COUNTIFS(T_TTAFStock_Log[Part Name],$A45,T_TTAFStock_Log[WeekIndex],46)=0,"",SUMIFS(T_TTAFStock_Log[TTAF_Qty],T_TTAFStock_Log[Part Name],$A45,T_TTAFStock_Log[WeekIndex],46))</f>
        <v/>
      </c>
      <c r="AV45" s="19">
        <f>IF(COUNTIFS(T_TTAFStock_Log[Part Name],$A45,T_TTAFStock_Log[WeekIndex],47)=0,"",SUMIFS(T_TTAFStock_Log[TTAF_Qty],T_TTAFStock_Log[Part Name],$A45,T_TTAFStock_Log[WeekIndex],47))</f>
        <v/>
      </c>
      <c r="AW45" s="19">
        <f>IF(COUNTIFS(T_TTAFStock_Log[Part Name],$A45,T_TTAFStock_Log[WeekIndex],48)=0,"",SUMIFS(T_TTAFStock_Log[TTAF_Qty],T_TTAFStock_Log[Part Name],$A45,T_TTAFStock_Log[WeekIndex],48))</f>
        <v/>
      </c>
      <c r="AX45" s="19">
        <f>IF(COUNTIFS(T_TTAFStock_Log[Part Name],$A45,T_TTAFStock_Log[WeekIndex],49)=0,"",SUMIFS(T_TTAFStock_Log[TTAF_Qty],T_TTAFStock_Log[Part Name],$A45,T_TTAFStock_Log[WeekIndex],49))</f>
        <v/>
      </c>
      <c r="AY45" s="19">
        <f>IF(COUNTIFS(T_TTAFStock_Log[Part Name],$A45,T_TTAFStock_Log[WeekIndex],50)=0,"",SUMIFS(T_TTAFStock_Log[TTAF_Qty],T_TTAFStock_Log[Part Name],$A45,T_TTAFStock_Log[WeekIndex],50))</f>
        <v/>
      </c>
      <c r="AZ45" s="19">
        <f>IF(COUNTIFS(T_TTAFStock_Log[Part Name],$A45,T_TTAFStock_Log[WeekIndex],51)=0,"",SUMIFS(T_TTAFStock_Log[TTAF_Qty],T_TTAFStock_Log[Part Name],$A45,T_TTAFStock_Log[WeekIndex],51))</f>
        <v/>
      </c>
      <c r="BA45" s="19">
        <f>IF(COUNTIFS(T_TTAFStock_Log[Part Name],$A45,T_TTAFStock_Log[WeekIndex],52)=0,"",SUMIFS(T_TTAFStock_Log[TTAF_Qty],T_TTAFStock_Log[Part Name],$A45,T_TTAFStock_Log[WeekIndex],52))</f>
        <v/>
      </c>
      <c r="BB45" s="19">
        <f>IF(COUNTIFS(T_TTAFStock_Log[Part Name],$A45,T_TTAFStock_Log[WeekIndex],53)=0,"",SUMIFS(T_TTAFStock_Log[TTAF_Qty],T_TTAFStock_Log[Part Name],$A45,T_TTAFStock_Log[WeekIndex],53))</f>
        <v/>
      </c>
      <c r="BC45" s="19">
        <f>IF(COUNTIFS(T_TTAFStock_Log[Part Name],$A45,T_TTAFStock_Log[WeekIndex],54)=0,"",SUMIFS(T_TTAFStock_Log[TTAF_Qty],T_TTAFStock_Log[Part Name],$A45,T_TTAFStock_Log[WeekIndex],54))</f>
        <v/>
      </c>
      <c r="BD45" s="19">
        <f>IF(COUNTIFS(T_TTAFStock_Log[Part Name],$A45,T_TTAFStock_Log[WeekIndex],55)=0,"",SUMIFS(T_TTAFStock_Log[TTAF_Qty],T_TTAFStock_Log[Part Name],$A45,T_TTAFStock_Log[WeekIndex],55))</f>
        <v/>
      </c>
      <c r="BE45" s="19">
        <f>IF(COUNTIFS(T_TTAFStock_Log[Part Name],$A45,T_TTAFStock_Log[WeekIndex],56)=0,"",SUMIFS(T_TTAFStock_Log[TTAF_Qty],T_TTAFStock_Log[Part Name],$A45,T_TTAFStock_Log[WeekIndex],56))</f>
        <v/>
      </c>
      <c r="BF45" s="19">
        <f>IF(COUNTIFS(T_TTAFStock_Log[Part Name],$A45,T_TTAFStock_Log[WeekIndex],57)=0,"",SUMIFS(T_TTAFStock_Log[TTAF_Qty],T_TTAFStock_Log[Part Name],$A45,T_TTAFStock_Log[WeekIndex],57))</f>
        <v/>
      </c>
      <c r="BG45" s="19">
        <f>IF(COUNTIFS(T_TTAFStock_Log[Part Name],$A45,T_TTAFStock_Log[WeekIndex],58)=0,"",SUMIFS(T_TTAFStock_Log[TTAF_Qty],T_TTAFStock_Log[Part Name],$A45,T_TTAFStock_Log[WeekIndex],58))</f>
        <v/>
      </c>
      <c r="BH45" s="19">
        <f>IF(COUNTIFS(T_TTAFStock_Log[Part Name],$A45,T_TTAFStock_Log[WeekIndex],59)=0,"",SUMIFS(T_TTAFStock_Log[TTAF_Qty],T_TTAFStock_Log[Part Name],$A45,T_TTAFStock_Log[WeekIndex],59))</f>
        <v/>
      </c>
      <c r="BI45" s="19">
        <f>IF(COUNTIFS(T_TTAFStock_Log[Part Name],$A45,T_TTAFStock_Log[WeekIndex],60)=0,"",SUMIFS(T_TTAFStock_Log[TTAF_Qty],T_TTAFStock_Log[Part Name],$A45,T_TTAFStock_Log[WeekIndex],60))</f>
        <v/>
      </c>
      <c r="BJ45" s="19">
        <f>IF(COUNTIFS(T_TTAFStock_Log[Part Name],$A45,T_TTAFStock_Log[WeekIndex],61)=0,"",SUMIFS(T_TTAFStock_Log[TTAF_Qty],T_TTAFStock_Log[Part Name],$A45,T_TTAFStock_Log[WeekIndex],61))</f>
        <v/>
      </c>
      <c r="BK45" s="19">
        <f>IF(COUNTIFS(T_TTAFStock_Log[Part Name],$A45,T_TTAFStock_Log[WeekIndex],62)=0,"",SUMIFS(T_TTAFStock_Log[TTAF_Qty],T_TTAFStock_Log[Part Name],$A45,T_TTAFStock_Log[WeekIndex],62))</f>
        <v/>
      </c>
      <c r="BL45" s="19">
        <f>IF(COUNTIFS(T_TTAFStock_Log[Part Name],$A45,T_TTAFStock_Log[WeekIndex],63)=0,"",SUMIFS(T_TTAFStock_Log[TTAF_Qty],T_TTAFStock_Log[Part Name],$A45,T_TTAFStock_Log[WeekIndex],63))</f>
        <v/>
      </c>
      <c r="BM45" s="19">
        <f>IF(COUNTIFS(T_TTAFStock_Log[Part Name],$A45,T_TTAFStock_Log[WeekIndex],64)=0,"",SUMIFS(T_TTAFStock_Log[TTAF_Qty],T_TTAFStock_Log[Part Name],$A45,T_TTAFStock_Log[WeekIndex],64))</f>
        <v/>
      </c>
      <c r="BN45" s="19">
        <f>IF(COUNTIFS(T_TTAFStock_Log[Part Name],$A45,T_TTAFStock_Log[WeekIndex],65)=0,"",SUMIFS(T_TTAFStock_Log[TTAF_Qty],T_TTAFStock_Log[Part Name],$A45,T_TTAFStock_Log[WeekIndex],65))</f>
        <v/>
      </c>
      <c r="BO45" s="19">
        <f>IF(COUNTIFS(T_TTAFStock_Log[Part Name],$A45,T_TTAFStock_Log[WeekIndex],66)=0,"",SUMIFS(T_TTAFStock_Log[TTAF_Qty],T_TTAFStock_Log[Part Name],$A45,T_TTAFStock_Log[WeekIndex],66))</f>
        <v/>
      </c>
      <c r="BP45" s="19">
        <f>IF(COUNTIFS(T_TTAFStock_Log[Part Name],$A45,T_TTAFStock_Log[WeekIndex],67)=0,"",SUMIFS(T_TTAFStock_Log[TTAF_Qty],T_TTAFStock_Log[Part Name],$A45,T_TTAFStock_Log[WeekIndex],67))</f>
        <v/>
      </c>
      <c r="BQ45" s="19">
        <f>IF(COUNTIFS(T_TTAFStock_Log[Part Name],$A45,T_TTAFStock_Log[WeekIndex],68)=0,"",SUMIFS(T_TTAFStock_Log[TTAF_Qty],T_TTAFStock_Log[Part Name],$A45,T_TTAFStock_Log[WeekIndex],68))</f>
        <v/>
      </c>
      <c r="BR45" s="19">
        <f>IF(COUNTIFS(T_TTAFStock_Log[Part Name],$A45,T_TTAFStock_Log[WeekIndex],69)=0,"",SUMIFS(T_TTAFStock_Log[TTAF_Qty],T_TTAFStock_Log[Part Name],$A45,T_TTAFStock_Log[WeekIndex],69))</f>
        <v/>
      </c>
      <c r="BS45" s="19">
        <f>IF(COUNTIFS(T_TTAFStock_Log[Part Name],$A45,T_TTAFStock_Log[WeekIndex],70)=0,"",SUMIFS(T_TTAFStock_Log[TTAF_Qty],T_TTAFStock_Log[Part Name],$A45,T_TTAFStock_Log[WeekIndex],70))</f>
        <v/>
      </c>
      <c r="BT45" s="19">
        <f>IF(COUNTIFS(T_TTAFStock_Log[Part Name],$A45,T_TTAFStock_Log[WeekIndex],71)=0,"",SUMIFS(T_TTAFStock_Log[TTAF_Qty],T_TTAFStock_Log[Part Name],$A45,T_TTAFStock_Log[WeekIndex],71))</f>
        <v/>
      </c>
      <c r="BU45" s="19">
        <f>IF(COUNTIFS(T_TTAFStock_Log[Part Name],$A45,T_TTAFStock_Log[WeekIndex],72)=0,"",SUMIFS(T_TTAFStock_Log[TTAF_Qty],T_TTAFStock_Log[Part Name],$A45,T_TTAFStock_Log[WeekIndex],72))</f>
        <v/>
      </c>
      <c r="BV45" s="19">
        <f>IF(COUNTIFS(T_TTAFStock_Log[Part Name],$A45,T_TTAFStock_Log[WeekIndex],73)=0,"",SUMIFS(T_TTAFStock_Log[TTAF_Qty],T_TTAFStock_Log[Part Name],$A45,T_TTAFStock_Log[WeekIndex],73))</f>
        <v/>
      </c>
      <c r="BW45" s="19">
        <f>IF(COUNTIFS(T_TTAFStock_Log[Part Name],$A45,T_TTAFStock_Log[WeekIndex],74)=0,"",SUMIFS(T_TTAFStock_Log[TTAF_Qty],T_TTAFStock_Log[Part Name],$A45,T_TTAFStock_Log[WeekIndex],74))</f>
        <v/>
      </c>
      <c r="BX45" s="19">
        <f>IF(COUNTIFS(T_TTAFStock_Log[Part Name],$A45,T_TTAFStock_Log[WeekIndex],75)=0,"",SUMIFS(T_TTAFStock_Log[TTAF_Qty],T_TTAFStock_Log[Part Name],$A45,T_TTAFStock_Log[WeekIndex],75))</f>
        <v/>
      </c>
      <c r="BY45" s="19">
        <f>IF(COUNTIFS(T_TTAFStock_Log[Part Name],$A45,T_TTAFStock_Log[WeekIndex],76)=0,"",SUMIFS(T_TTAFStock_Log[TTAF_Qty],T_TTAFStock_Log[Part Name],$A45,T_TTAFStock_Log[WeekIndex],76))</f>
        <v/>
      </c>
      <c r="BZ45" s="19">
        <f>IF(COUNTIFS(T_TTAFStock_Log[Part Name],$A45,T_TTAFStock_Log[WeekIndex],77)=0,"",SUMIFS(T_TTAFStock_Log[TTAF_Qty],T_TTAFStock_Log[Part Name],$A45,T_TTAFStock_Log[WeekIndex],77))</f>
        <v/>
      </c>
      <c r="CA45" s="19">
        <f>IF(COUNTIFS(T_TTAFStock_Log[Part Name],$A45,T_TTAFStock_Log[WeekIndex],78)=0,"",SUMIFS(T_TTAFStock_Log[TTAF_Qty],T_TTAFStock_Log[Part Name],$A45,T_TTAFStock_Log[WeekIndex],78))</f>
        <v/>
      </c>
      <c r="CB45" s="19">
        <f>IF(COUNTIFS(T_TTAFStock_Log[Part Name],$A45,T_TTAFStock_Log[WeekIndex],79)=0,"",SUMIFS(T_TTAFStock_Log[TTAF_Qty],T_TTAFStock_Log[Part Name],$A45,T_TTAFStock_Log[WeekIndex],79))</f>
        <v/>
      </c>
      <c r="CC45" s="19">
        <f>IF(COUNTIFS(T_TTAFStock_Log[Part Name],$A45,T_TTAFStock_Log[WeekIndex],80)=0,"",SUMIFS(T_TTAFStock_Log[TTAF_Qty],T_TTAFStock_Log[Part Name],$A45,T_TTAFStock_Log[WeekIndex],80))</f>
        <v/>
      </c>
      <c r="CD45" s="19">
        <f>IF(COUNTIFS(T_TTAFStock_Log[Part Name],$A45,T_TTAFStock_Log[WeekIndex],81)=0,"",SUMIFS(T_TTAFStock_Log[TTAF_Qty],T_TTAFStock_Log[Part Name],$A45,T_TTAFStock_Log[WeekIndex],81))</f>
        <v/>
      </c>
      <c r="CE45" s="19">
        <f>IF(COUNTIFS(T_TTAFStock_Log[Part Name],$A45,T_TTAFStock_Log[WeekIndex],82)=0,"",SUMIFS(T_TTAFStock_Log[TTAF_Qty],T_TTAFStock_Log[Part Name],$A45,T_TTAFStock_Log[WeekIndex],82))</f>
        <v/>
      </c>
      <c r="CF45" s="19">
        <f>IF(COUNTIFS(T_TTAFStock_Log[Part Name],$A45,T_TTAFStock_Log[WeekIndex],83)=0,"",SUMIFS(T_TTAFStock_Log[TTAF_Qty],T_TTAFStock_Log[Part Name],$A45,T_TTAFStock_Log[WeekIndex],83))</f>
        <v/>
      </c>
      <c r="CG45" s="19">
        <f>IF(COUNTIFS(T_TTAFStock_Log[Part Name],$A45,T_TTAFStock_Log[WeekIndex],84)=0,"",SUMIFS(T_TTAFStock_Log[TTAF_Qty],T_TTAFStock_Log[Part Name],$A45,T_TTAFStock_Log[WeekIndex],84))</f>
        <v/>
      </c>
      <c r="CH45" s="19">
        <f>IF(COUNTIFS(T_TTAFStock_Log[Part Name],$A45,T_TTAFStock_Log[WeekIndex],85)=0,"",SUMIFS(T_TTAFStock_Log[TTAF_Qty],T_TTAFStock_Log[Part Name],$A45,T_TTAFStock_Log[WeekIndex],85))</f>
        <v/>
      </c>
      <c r="CI45" s="19">
        <f>IF(COUNTIFS(T_TTAFStock_Log[Part Name],$A45,T_TTAFStock_Log[WeekIndex],86)=0,"",SUMIFS(T_TTAFStock_Log[TTAF_Qty],T_TTAFStock_Log[Part Name],$A45,T_TTAFStock_Log[WeekIndex],86))</f>
        <v/>
      </c>
      <c r="CJ45" s="19">
        <f>IF(COUNTIFS(T_TTAFStock_Log[Part Name],$A45,T_TTAFStock_Log[WeekIndex],87)=0,"",SUMIFS(T_TTAFStock_Log[TTAF_Qty],T_TTAFStock_Log[Part Name],$A45,T_TTAFStock_Log[WeekIndex],87))</f>
        <v/>
      </c>
      <c r="CK45" s="19">
        <f>IF(COUNTIFS(T_TTAFStock_Log[Part Name],$A45,T_TTAFStock_Log[WeekIndex],88)=0,"",SUMIFS(T_TTAFStock_Log[TTAF_Qty],T_TTAFStock_Log[Part Name],$A45,T_TTAFStock_Log[WeekIndex],88))</f>
        <v/>
      </c>
      <c r="CL45" s="19">
        <f>IF(COUNTIFS(T_TTAFStock_Log[Part Name],$A45,T_TTAFStock_Log[WeekIndex],89)=0,"",SUMIFS(T_TTAFStock_Log[TTAF_Qty],T_TTAFStock_Log[Part Name],$A45,T_TTAFStock_Log[WeekIndex],89))</f>
        <v/>
      </c>
      <c r="CM45" s="19">
        <f>IF(COUNTIFS(T_TTAFStock_Log[Part Name],$A45,T_TTAFStock_Log[WeekIndex],90)=0,"",SUMIFS(T_TTAFStock_Log[TTAF_Qty],T_TTAFStock_Log[Part Name],$A45,T_TTAFStock_Log[WeekIndex],90))</f>
        <v/>
      </c>
      <c r="CN45" s="19">
        <f>IF(COUNTIFS(T_TTAFStock_Log[Part Name],$A45,T_TTAFStock_Log[WeekIndex],91)=0,"",SUMIFS(T_TTAFStock_Log[TTAF_Qty],T_TTAFStock_Log[Part Name],$A45,T_TTAFStock_Log[WeekIndex],91))</f>
        <v/>
      </c>
      <c r="CO45" s="19">
        <f>IF(COUNTIFS(T_TTAFStock_Log[Part Name],$A45,T_TTAFStock_Log[WeekIndex],92)=0,"",SUMIFS(T_TTAFStock_Log[TTAF_Qty],T_TTAFStock_Log[Part Name],$A45,T_TTAFStock_Log[WeekIndex],92))</f>
        <v/>
      </c>
      <c r="CP45" s="19">
        <f>IF(COUNTIFS(T_TTAFStock_Log[Part Name],$A45,T_TTAFStock_Log[WeekIndex],93)=0,"",SUMIFS(T_TTAFStock_Log[TTAF_Qty],T_TTAFStock_Log[Part Name],$A45,T_TTAFStock_Log[WeekIndex],93))</f>
        <v/>
      </c>
      <c r="CQ45" s="19">
        <f>IF(COUNTIFS(T_TTAFStock_Log[Part Name],$A45,T_TTAFStock_Log[WeekIndex],94)=0,"",SUMIFS(T_TTAFStock_Log[TTAF_Qty],T_TTAFStock_Log[Part Name],$A45,T_TTAFStock_Log[WeekIndex],94))</f>
        <v/>
      </c>
      <c r="CR45" s="19">
        <f>IF(COUNTIFS(T_TTAFStock_Log[Part Name],$A45,T_TTAFStock_Log[WeekIndex],95)=0,"",SUMIFS(T_TTAFStock_Log[TTAF_Qty],T_TTAFStock_Log[Part Name],$A45,T_TTAFStock_Log[WeekIndex],95))</f>
        <v/>
      </c>
      <c r="CS45" s="19">
        <f>IF(COUNTIFS(T_TTAFStock_Log[Part Name],$A45,T_TTAFStock_Log[WeekIndex],96)=0,"",SUMIFS(T_TTAFStock_Log[TTAF_Qty],T_TTAFStock_Log[Part Name],$A45,T_TTAFStock_Log[WeekIndex],96))</f>
        <v/>
      </c>
      <c r="CT45" s="19">
        <f>IF(COUNTIFS(T_TTAFStock_Log[Part Name],$A45,T_TTAFStock_Log[WeekIndex],97)=0,"",SUMIFS(T_TTAFStock_Log[TTAF_Qty],T_TTAFStock_Log[Part Name],$A45,T_TTAFStock_Log[WeekIndex],97))</f>
        <v/>
      </c>
      <c r="CU45" s="19">
        <f>IF(COUNTIFS(T_TTAFStock_Log[Part Name],$A45,T_TTAFStock_Log[WeekIndex],98)=0,"",SUMIFS(T_TTAFStock_Log[TTAF_Qty],T_TTAFStock_Log[Part Name],$A45,T_TTAFStock_Log[WeekIndex],98))</f>
        <v/>
      </c>
      <c r="CV45" s="19">
        <f>IF(COUNTIFS(T_TTAFStock_Log[Part Name],$A45,T_TTAFStock_Log[WeekIndex],99)=0,"",SUMIFS(T_TTAFStock_Log[TTAF_Qty],T_TTAFStock_Log[Part Name],$A45,T_TTAFStock_Log[WeekIndex],99))</f>
        <v/>
      </c>
      <c r="CW45" s="19">
        <f>IF(COUNTIFS(T_TTAFStock_Log[Part Name],$A45,T_TTAFStock_Log[WeekIndex],100)=0,"",SUMIFS(T_TTAFStock_Log[TTAF_Qty],T_TTAFStock_Log[Part Name],$A45,T_TTAFStock_Log[WeekIndex],100))</f>
        <v/>
      </c>
      <c r="CX45" s="19">
        <f>IF(COUNTIFS(T_TTAFStock_Log[Part Name],$A45,T_TTAFStock_Log[WeekIndex],101)=0,"",SUMIFS(T_TTAFStock_Log[TTAF_Qty],T_TTAFStock_Log[Part Name],$A45,T_TTAFStock_Log[WeekIndex],101))</f>
        <v/>
      </c>
      <c r="CY45" s="19">
        <f>IF(COUNTIFS(T_TTAFStock_Log[Part Name],$A45,T_TTAFStock_Log[WeekIndex],102)=0,"",SUMIFS(T_TTAFStock_Log[TTAF_Qty],T_TTAFStock_Log[Part Name],$A45,T_TTAFStock_Log[WeekIndex],102))</f>
        <v/>
      </c>
      <c r="CZ45" s="19">
        <f>IF(COUNTIFS(T_TTAFStock_Log[Part Name],$A45,T_TTAFStock_Log[WeekIndex],103)=0,"",SUMIFS(T_TTAFStock_Log[TTAF_Qty],T_TTAFStock_Log[Part Name],$A45,T_TTAFStock_Log[WeekIndex],103))</f>
        <v/>
      </c>
      <c r="DA45" s="19">
        <f>IF(COUNTIFS(T_TTAFStock_Log[Part Name],$A45,T_TTAFStock_Log[WeekIndex],104)=0,"",SUMIFS(T_TTAFStock_Log[TTAF_Qty],T_TTAFStock_Log[Part Name],$A45,T_TTAFStock_Log[WeekIndex],104))</f>
        <v/>
      </c>
    </row>
    <row r="46">
      <c r="A46" s="17" t="inlineStr">
        <is>
          <t>CHEM-1280</t>
        </is>
      </c>
      <c r="B46" s="17">
        <f>IF(COUNTIFS(T_TTAFStock_Log[Part Name],$A46,T_TTAFStock_Log[WeekIndex],1)=0,"",SUMIFS(T_TTAFStock_Log[TTAF_Qty],T_TTAFStock_Log[Part Name],$A46,T_TTAFStock_Log[WeekIndex],1))</f>
        <v/>
      </c>
      <c r="C46" s="17">
        <f>IF(COUNTIFS(T_TTAFStock_Log[Part Name],$A46,T_TTAFStock_Log[WeekIndex],2)=0,"",SUMIFS(T_TTAFStock_Log[TTAF_Qty],T_TTAFStock_Log[Part Name],$A46,T_TTAFStock_Log[WeekIndex],2))</f>
        <v/>
      </c>
      <c r="D46" s="17">
        <f>IF(COUNTIFS(T_TTAFStock_Log[Part Name],$A46,T_TTAFStock_Log[WeekIndex],3)=0,"",SUMIFS(T_TTAFStock_Log[TTAF_Qty],T_TTAFStock_Log[Part Name],$A46,T_TTAFStock_Log[WeekIndex],3))</f>
        <v/>
      </c>
      <c r="E46" s="17">
        <f>IF(COUNTIFS(T_TTAFStock_Log[Part Name],$A46,T_TTAFStock_Log[WeekIndex],4)=0,"",SUMIFS(T_TTAFStock_Log[TTAF_Qty],T_TTAFStock_Log[Part Name],$A46,T_TTAFStock_Log[WeekIndex],4))</f>
        <v/>
      </c>
      <c r="F46" s="17">
        <f>IF(COUNTIFS(T_TTAFStock_Log[Part Name],$A46,T_TTAFStock_Log[WeekIndex],5)=0,"",SUMIFS(T_TTAFStock_Log[TTAF_Qty],T_TTAFStock_Log[Part Name],$A46,T_TTAFStock_Log[WeekIndex],5))</f>
        <v/>
      </c>
      <c r="G46" s="17">
        <f>IF(COUNTIFS(T_TTAFStock_Log[Part Name],$A46,T_TTAFStock_Log[WeekIndex],6)=0,"",SUMIFS(T_TTAFStock_Log[TTAF_Qty],T_TTAFStock_Log[Part Name],$A46,T_TTAFStock_Log[WeekIndex],6))</f>
        <v/>
      </c>
      <c r="H46" s="17">
        <f>IF(COUNTIFS(T_TTAFStock_Log[Part Name],$A46,T_TTAFStock_Log[WeekIndex],7)=0,"",SUMIFS(T_TTAFStock_Log[TTAF_Qty],T_TTAFStock_Log[Part Name],$A46,T_TTAFStock_Log[WeekIndex],7))</f>
        <v/>
      </c>
      <c r="I46" s="17">
        <f>IF(COUNTIFS(T_TTAFStock_Log[Part Name],$A46,T_TTAFStock_Log[WeekIndex],8)=0,"",SUMIFS(T_TTAFStock_Log[TTAF_Qty],T_TTAFStock_Log[Part Name],$A46,T_TTAFStock_Log[WeekIndex],8))</f>
        <v/>
      </c>
      <c r="J46" s="17">
        <f>IF(COUNTIFS(T_TTAFStock_Log[Part Name],$A46,T_TTAFStock_Log[WeekIndex],9)=0,"",SUMIFS(T_TTAFStock_Log[TTAF_Qty],T_TTAFStock_Log[Part Name],$A46,T_TTAFStock_Log[WeekIndex],9))</f>
        <v/>
      </c>
      <c r="K46" s="17">
        <f>IF(COUNTIFS(T_TTAFStock_Log[Part Name],$A46,T_TTAFStock_Log[WeekIndex],10)=0,"",SUMIFS(T_TTAFStock_Log[TTAF_Qty],T_TTAFStock_Log[Part Name],$A46,T_TTAFStock_Log[WeekIndex],10))</f>
        <v/>
      </c>
      <c r="L46" s="17">
        <f>IF(COUNTIFS(T_TTAFStock_Log[Part Name],$A46,T_TTAFStock_Log[WeekIndex],11)=0,"",SUMIFS(T_TTAFStock_Log[TTAF_Qty],T_TTAFStock_Log[Part Name],$A46,T_TTAFStock_Log[WeekIndex],11))</f>
        <v/>
      </c>
      <c r="M46" s="17">
        <f>IF(COUNTIFS(T_TTAFStock_Log[Part Name],$A46,T_TTAFStock_Log[WeekIndex],12)=0,"",SUMIFS(T_TTAFStock_Log[TTAF_Qty],T_TTAFStock_Log[Part Name],$A46,T_TTAFStock_Log[WeekIndex],12))</f>
        <v/>
      </c>
      <c r="N46" s="17">
        <f>IF(COUNTIFS(T_TTAFStock_Log[Part Name],$A46,T_TTAFStock_Log[WeekIndex],13)=0,"",SUMIFS(T_TTAFStock_Log[TTAF_Qty],T_TTAFStock_Log[Part Name],$A46,T_TTAFStock_Log[WeekIndex],13))</f>
        <v/>
      </c>
      <c r="O46" s="17">
        <f>IF(COUNTIFS(T_TTAFStock_Log[Part Name],$A46,T_TTAFStock_Log[WeekIndex],14)=0,"",SUMIFS(T_TTAFStock_Log[TTAF_Qty],T_TTAFStock_Log[Part Name],$A46,T_TTAFStock_Log[WeekIndex],14))</f>
        <v/>
      </c>
      <c r="P46" s="17">
        <f>IF(COUNTIFS(T_TTAFStock_Log[Part Name],$A46,T_TTAFStock_Log[WeekIndex],15)=0,"",SUMIFS(T_TTAFStock_Log[TTAF_Qty],T_TTAFStock_Log[Part Name],$A46,T_TTAFStock_Log[WeekIndex],15))</f>
        <v/>
      </c>
      <c r="Q46" s="17">
        <f>IF(COUNTIFS(T_TTAFStock_Log[Part Name],$A46,T_TTAFStock_Log[WeekIndex],16)=0,"",SUMIFS(T_TTAFStock_Log[TTAF_Qty],T_TTAFStock_Log[Part Name],$A46,T_TTAFStock_Log[WeekIndex],16))</f>
        <v/>
      </c>
      <c r="R46" s="17">
        <f>IF(COUNTIFS(T_TTAFStock_Log[Part Name],$A46,T_TTAFStock_Log[WeekIndex],17)=0,"",SUMIFS(T_TTAFStock_Log[TTAF_Qty],T_TTAFStock_Log[Part Name],$A46,T_TTAFStock_Log[WeekIndex],17))</f>
        <v/>
      </c>
      <c r="S46" s="17">
        <f>IF(COUNTIFS(T_TTAFStock_Log[Part Name],$A46,T_TTAFStock_Log[WeekIndex],18)=0,"",SUMIFS(T_TTAFStock_Log[TTAF_Qty],T_TTAFStock_Log[Part Name],$A46,T_TTAFStock_Log[WeekIndex],18))</f>
        <v/>
      </c>
      <c r="T46" s="17">
        <f>IF(COUNTIFS(T_TTAFStock_Log[Part Name],$A46,T_TTAFStock_Log[WeekIndex],19)=0,"",SUMIFS(T_TTAFStock_Log[TTAF_Qty],T_TTAFStock_Log[Part Name],$A46,T_TTAFStock_Log[WeekIndex],19))</f>
        <v/>
      </c>
      <c r="U46" s="17">
        <f>IF(COUNTIFS(T_TTAFStock_Log[Part Name],$A46,T_TTAFStock_Log[WeekIndex],20)=0,"",SUMIFS(T_TTAFStock_Log[TTAF_Qty],T_TTAFStock_Log[Part Name],$A46,T_TTAFStock_Log[WeekIndex],20))</f>
        <v/>
      </c>
      <c r="V46" s="17">
        <f>IF(COUNTIFS(T_TTAFStock_Log[Part Name],$A46,T_TTAFStock_Log[WeekIndex],21)=0,"",SUMIFS(T_TTAFStock_Log[TTAF_Qty],T_TTAFStock_Log[Part Name],$A46,T_TTAFStock_Log[WeekIndex],21))</f>
        <v/>
      </c>
      <c r="W46" s="17">
        <f>IF(COUNTIFS(T_TTAFStock_Log[Part Name],$A46,T_TTAFStock_Log[WeekIndex],22)=0,"",SUMIFS(T_TTAFStock_Log[TTAF_Qty],T_TTAFStock_Log[Part Name],$A46,T_TTAFStock_Log[WeekIndex],22))</f>
        <v/>
      </c>
      <c r="X46" s="17">
        <f>IF(COUNTIFS(T_TTAFStock_Log[Part Name],$A46,T_TTAFStock_Log[WeekIndex],23)=0,"",SUMIFS(T_TTAFStock_Log[TTAF_Qty],T_TTAFStock_Log[Part Name],$A46,T_TTAFStock_Log[WeekIndex],23))</f>
        <v/>
      </c>
      <c r="Y46" s="17">
        <f>IF(COUNTIFS(T_TTAFStock_Log[Part Name],$A46,T_TTAFStock_Log[WeekIndex],24)=0,"",SUMIFS(T_TTAFStock_Log[TTAF_Qty],T_TTAFStock_Log[Part Name],$A46,T_TTAFStock_Log[WeekIndex],24))</f>
        <v/>
      </c>
      <c r="Z46" s="17">
        <f>IF(COUNTIFS(T_TTAFStock_Log[Part Name],$A46,T_TTAFStock_Log[WeekIndex],25)=0,"",SUMIFS(T_TTAFStock_Log[TTAF_Qty],T_TTAFStock_Log[Part Name],$A46,T_TTAFStock_Log[WeekIndex],25))</f>
        <v/>
      </c>
      <c r="AA46" s="17">
        <f>IF(COUNTIFS(T_TTAFStock_Log[Part Name],$A46,T_TTAFStock_Log[WeekIndex],26)=0,"",SUMIFS(T_TTAFStock_Log[TTAF_Qty],T_TTAFStock_Log[Part Name],$A46,T_TTAFStock_Log[WeekIndex],26))</f>
        <v/>
      </c>
      <c r="AB46" s="17">
        <f>IF(COUNTIFS(T_TTAFStock_Log[Part Name],$A46,T_TTAFStock_Log[WeekIndex],27)=0,"",SUMIFS(T_TTAFStock_Log[TTAF_Qty],T_TTAFStock_Log[Part Name],$A46,T_TTAFStock_Log[WeekIndex],27))</f>
        <v/>
      </c>
      <c r="AC46" s="17">
        <f>IF(COUNTIFS(T_TTAFStock_Log[Part Name],$A46,T_TTAFStock_Log[WeekIndex],28)=0,"",SUMIFS(T_TTAFStock_Log[TTAF_Qty],T_TTAFStock_Log[Part Name],$A46,T_TTAFStock_Log[WeekIndex],28))</f>
        <v/>
      </c>
      <c r="AD46" s="17">
        <f>IF(COUNTIFS(T_TTAFStock_Log[Part Name],$A46,T_TTAFStock_Log[WeekIndex],29)=0,"",SUMIFS(T_TTAFStock_Log[TTAF_Qty],T_TTAFStock_Log[Part Name],$A46,T_TTAFStock_Log[WeekIndex],29))</f>
        <v/>
      </c>
      <c r="AE46" s="17">
        <f>IF(COUNTIFS(T_TTAFStock_Log[Part Name],$A46,T_TTAFStock_Log[WeekIndex],30)=0,"",SUMIFS(T_TTAFStock_Log[TTAF_Qty],T_TTAFStock_Log[Part Name],$A46,T_TTAFStock_Log[WeekIndex],30))</f>
        <v/>
      </c>
      <c r="AF46" s="17">
        <f>IF(COUNTIFS(T_TTAFStock_Log[Part Name],$A46,T_TTAFStock_Log[WeekIndex],31)=0,"",SUMIFS(T_TTAFStock_Log[TTAF_Qty],T_TTAFStock_Log[Part Name],$A46,T_TTAFStock_Log[WeekIndex],31))</f>
        <v/>
      </c>
      <c r="AG46" s="17">
        <f>IF(COUNTIFS(T_TTAFStock_Log[Part Name],$A46,T_TTAFStock_Log[WeekIndex],32)=0,"",SUMIFS(T_TTAFStock_Log[TTAF_Qty],T_TTAFStock_Log[Part Name],$A46,T_TTAFStock_Log[WeekIndex],32))</f>
        <v/>
      </c>
      <c r="AH46" s="17">
        <f>IF(COUNTIFS(T_TTAFStock_Log[Part Name],$A46,T_TTAFStock_Log[WeekIndex],33)=0,"",SUMIFS(T_TTAFStock_Log[TTAF_Qty],T_TTAFStock_Log[Part Name],$A46,T_TTAFStock_Log[WeekIndex],33))</f>
        <v/>
      </c>
      <c r="AI46" s="17">
        <f>IF(COUNTIFS(T_TTAFStock_Log[Part Name],$A46,T_TTAFStock_Log[WeekIndex],34)=0,"",SUMIFS(T_TTAFStock_Log[TTAF_Qty],T_TTAFStock_Log[Part Name],$A46,T_TTAFStock_Log[WeekIndex],34))</f>
        <v/>
      </c>
      <c r="AJ46" s="17">
        <f>IF(COUNTIFS(T_TTAFStock_Log[Part Name],$A46,T_TTAFStock_Log[WeekIndex],35)=0,"",SUMIFS(T_TTAFStock_Log[TTAF_Qty],T_TTAFStock_Log[Part Name],$A46,T_TTAFStock_Log[WeekIndex],35))</f>
        <v/>
      </c>
      <c r="AK46" s="17">
        <f>IF(COUNTIFS(T_TTAFStock_Log[Part Name],$A46,T_TTAFStock_Log[WeekIndex],36)=0,"",SUMIFS(T_TTAFStock_Log[TTAF_Qty],T_TTAFStock_Log[Part Name],$A46,T_TTAFStock_Log[WeekIndex],36))</f>
        <v/>
      </c>
      <c r="AL46" s="17">
        <f>IF(COUNTIFS(T_TTAFStock_Log[Part Name],$A46,T_TTAFStock_Log[WeekIndex],37)=0,"",SUMIFS(T_TTAFStock_Log[TTAF_Qty],T_TTAFStock_Log[Part Name],$A46,T_TTAFStock_Log[WeekIndex],37))</f>
        <v/>
      </c>
      <c r="AM46" s="17">
        <f>IF(COUNTIFS(T_TTAFStock_Log[Part Name],$A46,T_TTAFStock_Log[WeekIndex],38)=0,"",SUMIFS(T_TTAFStock_Log[TTAF_Qty],T_TTAFStock_Log[Part Name],$A46,T_TTAFStock_Log[WeekIndex],38))</f>
        <v/>
      </c>
      <c r="AN46" s="17">
        <f>IF(COUNTIFS(T_TTAFStock_Log[Part Name],$A46,T_TTAFStock_Log[WeekIndex],39)=0,"",SUMIFS(T_TTAFStock_Log[TTAF_Qty],T_TTAFStock_Log[Part Name],$A46,T_TTAFStock_Log[WeekIndex],39))</f>
        <v/>
      </c>
      <c r="AO46" s="17">
        <f>IF(COUNTIFS(T_TTAFStock_Log[Part Name],$A46,T_TTAFStock_Log[WeekIndex],40)=0,"",SUMIFS(T_TTAFStock_Log[TTAF_Qty],T_TTAFStock_Log[Part Name],$A46,T_TTAFStock_Log[WeekIndex],40))</f>
        <v/>
      </c>
      <c r="AP46" s="17">
        <f>IF(COUNTIFS(T_TTAFStock_Log[Part Name],$A46,T_TTAFStock_Log[WeekIndex],41)=0,"",SUMIFS(T_TTAFStock_Log[TTAF_Qty],T_TTAFStock_Log[Part Name],$A46,T_TTAFStock_Log[WeekIndex],41))</f>
        <v/>
      </c>
      <c r="AQ46" s="17">
        <f>IF(COUNTIFS(T_TTAFStock_Log[Part Name],$A46,T_TTAFStock_Log[WeekIndex],42)=0,"",SUMIFS(T_TTAFStock_Log[TTAF_Qty],T_TTAFStock_Log[Part Name],$A46,T_TTAFStock_Log[WeekIndex],42))</f>
        <v/>
      </c>
      <c r="AR46" s="17">
        <f>IF(COUNTIFS(T_TTAFStock_Log[Part Name],$A46,T_TTAFStock_Log[WeekIndex],43)=0,"",SUMIFS(T_TTAFStock_Log[TTAF_Qty],T_TTAFStock_Log[Part Name],$A46,T_TTAFStock_Log[WeekIndex],43))</f>
        <v/>
      </c>
      <c r="AS46" s="17">
        <f>IF(COUNTIFS(T_TTAFStock_Log[Part Name],$A46,T_TTAFStock_Log[WeekIndex],44)=0,"",SUMIFS(T_TTAFStock_Log[TTAF_Qty],T_TTAFStock_Log[Part Name],$A46,T_TTAFStock_Log[WeekIndex],44))</f>
        <v/>
      </c>
      <c r="AT46" s="17">
        <f>IF(COUNTIFS(T_TTAFStock_Log[Part Name],$A46,T_TTAFStock_Log[WeekIndex],45)=0,"",SUMIFS(T_TTAFStock_Log[TTAF_Qty],T_TTAFStock_Log[Part Name],$A46,T_TTAFStock_Log[WeekIndex],45))</f>
        <v/>
      </c>
      <c r="AU46" s="17">
        <f>IF(COUNTIFS(T_TTAFStock_Log[Part Name],$A46,T_TTAFStock_Log[WeekIndex],46)=0,"",SUMIFS(T_TTAFStock_Log[TTAF_Qty],T_TTAFStock_Log[Part Name],$A46,T_TTAFStock_Log[WeekIndex],46))</f>
        <v/>
      </c>
      <c r="AV46" s="17">
        <f>IF(COUNTIFS(T_TTAFStock_Log[Part Name],$A46,T_TTAFStock_Log[WeekIndex],47)=0,"",SUMIFS(T_TTAFStock_Log[TTAF_Qty],T_TTAFStock_Log[Part Name],$A46,T_TTAFStock_Log[WeekIndex],47))</f>
        <v/>
      </c>
      <c r="AW46" s="17">
        <f>IF(COUNTIFS(T_TTAFStock_Log[Part Name],$A46,T_TTAFStock_Log[WeekIndex],48)=0,"",SUMIFS(T_TTAFStock_Log[TTAF_Qty],T_TTAFStock_Log[Part Name],$A46,T_TTAFStock_Log[WeekIndex],48))</f>
        <v/>
      </c>
      <c r="AX46" s="17">
        <f>IF(COUNTIFS(T_TTAFStock_Log[Part Name],$A46,T_TTAFStock_Log[WeekIndex],49)=0,"",SUMIFS(T_TTAFStock_Log[TTAF_Qty],T_TTAFStock_Log[Part Name],$A46,T_TTAFStock_Log[WeekIndex],49))</f>
        <v/>
      </c>
      <c r="AY46" s="17">
        <f>IF(COUNTIFS(T_TTAFStock_Log[Part Name],$A46,T_TTAFStock_Log[WeekIndex],50)=0,"",SUMIFS(T_TTAFStock_Log[TTAF_Qty],T_TTAFStock_Log[Part Name],$A46,T_TTAFStock_Log[WeekIndex],50))</f>
        <v/>
      </c>
      <c r="AZ46" s="17">
        <f>IF(COUNTIFS(T_TTAFStock_Log[Part Name],$A46,T_TTAFStock_Log[WeekIndex],51)=0,"",SUMIFS(T_TTAFStock_Log[TTAF_Qty],T_TTAFStock_Log[Part Name],$A46,T_TTAFStock_Log[WeekIndex],51))</f>
        <v/>
      </c>
      <c r="BA46" s="17">
        <f>IF(COUNTIFS(T_TTAFStock_Log[Part Name],$A46,T_TTAFStock_Log[WeekIndex],52)=0,"",SUMIFS(T_TTAFStock_Log[TTAF_Qty],T_TTAFStock_Log[Part Name],$A46,T_TTAFStock_Log[WeekIndex],52))</f>
        <v/>
      </c>
      <c r="BB46" s="17">
        <f>IF(COUNTIFS(T_TTAFStock_Log[Part Name],$A46,T_TTAFStock_Log[WeekIndex],53)=0,"",SUMIFS(T_TTAFStock_Log[TTAF_Qty],T_TTAFStock_Log[Part Name],$A46,T_TTAFStock_Log[WeekIndex],53))</f>
        <v/>
      </c>
      <c r="BC46" s="17">
        <f>IF(COUNTIFS(T_TTAFStock_Log[Part Name],$A46,T_TTAFStock_Log[WeekIndex],54)=0,"",SUMIFS(T_TTAFStock_Log[TTAF_Qty],T_TTAFStock_Log[Part Name],$A46,T_TTAFStock_Log[WeekIndex],54))</f>
        <v/>
      </c>
      <c r="BD46" s="17">
        <f>IF(COUNTIFS(T_TTAFStock_Log[Part Name],$A46,T_TTAFStock_Log[WeekIndex],55)=0,"",SUMIFS(T_TTAFStock_Log[TTAF_Qty],T_TTAFStock_Log[Part Name],$A46,T_TTAFStock_Log[WeekIndex],55))</f>
        <v/>
      </c>
      <c r="BE46" s="17">
        <f>IF(COUNTIFS(T_TTAFStock_Log[Part Name],$A46,T_TTAFStock_Log[WeekIndex],56)=0,"",SUMIFS(T_TTAFStock_Log[TTAF_Qty],T_TTAFStock_Log[Part Name],$A46,T_TTAFStock_Log[WeekIndex],56))</f>
        <v/>
      </c>
      <c r="BF46" s="17">
        <f>IF(COUNTIFS(T_TTAFStock_Log[Part Name],$A46,T_TTAFStock_Log[WeekIndex],57)=0,"",SUMIFS(T_TTAFStock_Log[TTAF_Qty],T_TTAFStock_Log[Part Name],$A46,T_TTAFStock_Log[WeekIndex],57))</f>
        <v/>
      </c>
      <c r="BG46" s="17">
        <f>IF(COUNTIFS(T_TTAFStock_Log[Part Name],$A46,T_TTAFStock_Log[WeekIndex],58)=0,"",SUMIFS(T_TTAFStock_Log[TTAF_Qty],T_TTAFStock_Log[Part Name],$A46,T_TTAFStock_Log[WeekIndex],58))</f>
        <v/>
      </c>
      <c r="BH46" s="17">
        <f>IF(COUNTIFS(T_TTAFStock_Log[Part Name],$A46,T_TTAFStock_Log[WeekIndex],59)=0,"",SUMIFS(T_TTAFStock_Log[TTAF_Qty],T_TTAFStock_Log[Part Name],$A46,T_TTAFStock_Log[WeekIndex],59))</f>
        <v/>
      </c>
      <c r="BI46" s="17">
        <f>IF(COUNTIFS(T_TTAFStock_Log[Part Name],$A46,T_TTAFStock_Log[WeekIndex],60)=0,"",SUMIFS(T_TTAFStock_Log[TTAF_Qty],T_TTAFStock_Log[Part Name],$A46,T_TTAFStock_Log[WeekIndex],60))</f>
        <v/>
      </c>
      <c r="BJ46" s="17">
        <f>IF(COUNTIFS(T_TTAFStock_Log[Part Name],$A46,T_TTAFStock_Log[WeekIndex],61)=0,"",SUMIFS(T_TTAFStock_Log[TTAF_Qty],T_TTAFStock_Log[Part Name],$A46,T_TTAFStock_Log[WeekIndex],61))</f>
        <v/>
      </c>
      <c r="BK46" s="17">
        <f>IF(COUNTIFS(T_TTAFStock_Log[Part Name],$A46,T_TTAFStock_Log[WeekIndex],62)=0,"",SUMIFS(T_TTAFStock_Log[TTAF_Qty],T_TTAFStock_Log[Part Name],$A46,T_TTAFStock_Log[WeekIndex],62))</f>
        <v/>
      </c>
      <c r="BL46" s="17">
        <f>IF(COUNTIFS(T_TTAFStock_Log[Part Name],$A46,T_TTAFStock_Log[WeekIndex],63)=0,"",SUMIFS(T_TTAFStock_Log[TTAF_Qty],T_TTAFStock_Log[Part Name],$A46,T_TTAFStock_Log[WeekIndex],63))</f>
        <v/>
      </c>
      <c r="BM46" s="17">
        <f>IF(COUNTIFS(T_TTAFStock_Log[Part Name],$A46,T_TTAFStock_Log[WeekIndex],64)=0,"",SUMIFS(T_TTAFStock_Log[TTAF_Qty],T_TTAFStock_Log[Part Name],$A46,T_TTAFStock_Log[WeekIndex],64))</f>
        <v/>
      </c>
      <c r="BN46" s="17">
        <f>IF(COUNTIFS(T_TTAFStock_Log[Part Name],$A46,T_TTAFStock_Log[WeekIndex],65)=0,"",SUMIFS(T_TTAFStock_Log[TTAF_Qty],T_TTAFStock_Log[Part Name],$A46,T_TTAFStock_Log[WeekIndex],65))</f>
        <v/>
      </c>
      <c r="BO46" s="17">
        <f>IF(COUNTIFS(T_TTAFStock_Log[Part Name],$A46,T_TTAFStock_Log[WeekIndex],66)=0,"",SUMIFS(T_TTAFStock_Log[TTAF_Qty],T_TTAFStock_Log[Part Name],$A46,T_TTAFStock_Log[WeekIndex],66))</f>
        <v/>
      </c>
      <c r="BP46" s="17">
        <f>IF(COUNTIFS(T_TTAFStock_Log[Part Name],$A46,T_TTAFStock_Log[WeekIndex],67)=0,"",SUMIFS(T_TTAFStock_Log[TTAF_Qty],T_TTAFStock_Log[Part Name],$A46,T_TTAFStock_Log[WeekIndex],67))</f>
        <v/>
      </c>
      <c r="BQ46" s="17">
        <f>IF(COUNTIFS(T_TTAFStock_Log[Part Name],$A46,T_TTAFStock_Log[WeekIndex],68)=0,"",SUMIFS(T_TTAFStock_Log[TTAF_Qty],T_TTAFStock_Log[Part Name],$A46,T_TTAFStock_Log[WeekIndex],68))</f>
        <v/>
      </c>
      <c r="BR46" s="17">
        <f>IF(COUNTIFS(T_TTAFStock_Log[Part Name],$A46,T_TTAFStock_Log[WeekIndex],69)=0,"",SUMIFS(T_TTAFStock_Log[TTAF_Qty],T_TTAFStock_Log[Part Name],$A46,T_TTAFStock_Log[WeekIndex],69))</f>
        <v/>
      </c>
      <c r="BS46" s="17">
        <f>IF(COUNTIFS(T_TTAFStock_Log[Part Name],$A46,T_TTAFStock_Log[WeekIndex],70)=0,"",SUMIFS(T_TTAFStock_Log[TTAF_Qty],T_TTAFStock_Log[Part Name],$A46,T_TTAFStock_Log[WeekIndex],70))</f>
        <v/>
      </c>
      <c r="BT46" s="17">
        <f>IF(COUNTIFS(T_TTAFStock_Log[Part Name],$A46,T_TTAFStock_Log[WeekIndex],71)=0,"",SUMIFS(T_TTAFStock_Log[TTAF_Qty],T_TTAFStock_Log[Part Name],$A46,T_TTAFStock_Log[WeekIndex],71))</f>
        <v/>
      </c>
      <c r="BU46" s="17">
        <f>IF(COUNTIFS(T_TTAFStock_Log[Part Name],$A46,T_TTAFStock_Log[WeekIndex],72)=0,"",SUMIFS(T_TTAFStock_Log[TTAF_Qty],T_TTAFStock_Log[Part Name],$A46,T_TTAFStock_Log[WeekIndex],72))</f>
        <v/>
      </c>
      <c r="BV46" s="17">
        <f>IF(COUNTIFS(T_TTAFStock_Log[Part Name],$A46,T_TTAFStock_Log[WeekIndex],73)=0,"",SUMIFS(T_TTAFStock_Log[TTAF_Qty],T_TTAFStock_Log[Part Name],$A46,T_TTAFStock_Log[WeekIndex],73))</f>
        <v/>
      </c>
      <c r="BW46" s="17">
        <f>IF(COUNTIFS(T_TTAFStock_Log[Part Name],$A46,T_TTAFStock_Log[WeekIndex],74)=0,"",SUMIFS(T_TTAFStock_Log[TTAF_Qty],T_TTAFStock_Log[Part Name],$A46,T_TTAFStock_Log[WeekIndex],74))</f>
        <v/>
      </c>
      <c r="BX46" s="17">
        <f>IF(COUNTIFS(T_TTAFStock_Log[Part Name],$A46,T_TTAFStock_Log[WeekIndex],75)=0,"",SUMIFS(T_TTAFStock_Log[TTAF_Qty],T_TTAFStock_Log[Part Name],$A46,T_TTAFStock_Log[WeekIndex],75))</f>
        <v/>
      </c>
      <c r="BY46" s="17">
        <f>IF(COUNTIFS(T_TTAFStock_Log[Part Name],$A46,T_TTAFStock_Log[WeekIndex],76)=0,"",SUMIFS(T_TTAFStock_Log[TTAF_Qty],T_TTAFStock_Log[Part Name],$A46,T_TTAFStock_Log[WeekIndex],76))</f>
        <v/>
      </c>
      <c r="BZ46" s="17">
        <f>IF(COUNTIFS(T_TTAFStock_Log[Part Name],$A46,T_TTAFStock_Log[WeekIndex],77)=0,"",SUMIFS(T_TTAFStock_Log[TTAF_Qty],T_TTAFStock_Log[Part Name],$A46,T_TTAFStock_Log[WeekIndex],77))</f>
        <v/>
      </c>
      <c r="CA46" s="17">
        <f>IF(COUNTIFS(T_TTAFStock_Log[Part Name],$A46,T_TTAFStock_Log[WeekIndex],78)=0,"",SUMIFS(T_TTAFStock_Log[TTAF_Qty],T_TTAFStock_Log[Part Name],$A46,T_TTAFStock_Log[WeekIndex],78))</f>
        <v/>
      </c>
      <c r="CB46" s="17">
        <f>IF(COUNTIFS(T_TTAFStock_Log[Part Name],$A46,T_TTAFStock_Log[WeekIndex],79)=0,"",SUMIFS(T_TTAFStock_Log[TTAF_Qty],T_TTAFStock_Log[Part Name],$A46,T_TTAFStock_Log[WeekIndex],79))</f>
        <v/>
      </c>
      <c r="CC46" s="17">
        <f>IF(COUNTIFS(T_TTAFStock_Log[Part Name],$A46,T_TTAFStock_Log[WeekIndex],80)=0,"",SUMIFS(T_TTAFStock_Log[TTAF_Qty],T_TTAFStock_Log[Part Name],$A46,T_TTAFStock_Log[WeekIndex],80))</f>
        <v/>
      </c>
      <c r="CD46" s="17">
        <f>IF(COUNTIFS(T_TTAFStock_Log[Part Name],$A46,T_TTAFStock_Log[WeekIndex],81)=0,"",SUMIFS(T_TTAFStock_Log[TTAF_Qty],T_TTAFStock_Log[Part Name],$A46,T_TTAFStock_Log[WeekIndex],81))</f>
        <v/>
      </c>
      <c r="CE46" s="17">
        <f>IF(COUNTIFS(T_TTAFStock_Log[Part Name],$A46,T_TTAFStock_Log[WeekIndex],82)=0,"",SUMIFS(T_TTAFStock_Log[TTAF_Qty],T_TTAFStock_Log[Part Name],$A46,T_TTAFStock_Log[WeekIndex],82))</f>
        <v/>
      </c>
      <c r="CF46" s="17">
        <f>IF(COUNTIFS(T_TTAFStock_Log[Part Name],$A46,T_TTAFStock_Log[WeekIndex],83)=0,"",SUMIFS(T_TTAFStock_Log[TTAF_Qty],T_TTAFStock_Log[Part Name],$A46,T_TTAFStock_Log[WeekIndex],83))</f>
        <v/>
      </c>
      <c r="CG46" s="17">
        <f>IF(COUNTIFS(T_TTAFStock_Log[Part Name],$A46,T_TTAFStock_Log[WeekIndex],84)=0,"",SUMIFS(T_TTAFStock_Log[TTAF_Qty],T_TTAFStock_Log[Part Name],$A46,T_TTAFStock_Log[WeekIndex],84))</f>
        <v/>
      </c>
      <c r="CH46" s="17">
        <f>IF(COUNTIFS(T_TTAFStock_Log[Part Name],$A46,T_TTAFStock_Log[WeekIndex],85)=0,"",SUMIFS(T_TTAFStock_Log[TTAF_Qty],T_TTAFStock_Log[Part Name],$A46,T_TTAFStock_Log[WeekIndex],85))</f>
        <v/>
      </c>
      <c r="CI46" s="17">
        <f>IF(COUNTIFS(T_TTAFStock_Log[Part Name],$A46,T_TTAFStock_Log[WeekIndex],86)=0,"",SUMIFS(T_TTAFStock_Log[TTAF_Qty],T_TTAFStock_Log[Part Name],$A46,T_TTAFStock_Log[WeekIndex],86))</f>
        <v/>
      </c>
      <c r="CJ46" s="17">
        <f>IF(COUNTIFS(T_TTAFStock_Log[Part Name],$A46,T_TTAFStock_Log[WeekIndex],87)=0,"",SUMIFS(T_TTAFStock_Log[TTAF_Qty],T_TTAFStock_Log[Part Name],$A46,T_TTAFStock_Log[WeekIndex],87))</f>
        <v/>
      </c>
      <c r="CK46" s="17">
        <f>IF(COUNTIFS(T_TTAFStock_Log[Part Name],$A46,T_TTAFStock_Log[WeekIndex],88)=0,"",SUMIFS(T_TTAFStock_Log[TTAF_Qty],T_TTAFStock_Log[Part Name],$A46,T_TTAFStock_Log[WeekIndex],88))</f>
        <v/>
      </c>
      <c r="CL46" s="17">
        <f>IF(COUNTIFS(T_TTAFStock_Log[Part Name],$A46,T_TTAFStock_Log[WeekIndex],89)=0,"",SUMIFS(T_TTAFStock_Log[TTAF_Qty],T_TTAFStock_Log[Part Name],$A46,T_TTAFStock_Log[WeekIndex],89))</f>
        <v/>
      </c>
      <c r="CM46" s="17">
        <f>IF(COUNTIFS(T_TTAFStock_Log[Part Name],$A46,T_TTAFStock_Log[WeekIndex],90)=0,"",SUMIFS(T_TTAFStock_Log[TTAF_Qty],T_TTAFStock_Log[Part Name],$A46,T_TTAFStock_Log[WeekIndex],90))</f>
        <v/>
      </c>
      <c r="CN46" s="17">
        <f>IF(COUNTIFS(T_TTAFStock_Log[Part Name],$A46,T_TTAFStock_Log[WeekIndex],91)=0,"",SUMIFS(T_TTAFStock_Log[TTAF_Qty],T_TTAFStock_Log[Part Name],$A46,T_TTAFStock_Log[WeekIndex],91))</f>
        <v/>
      </c>
      <c r="CO46" s="17">
        <f>IF(COUNTIFS(T_TTAFStock_Log[Part Name],$A46,T_TTAFStock_Log[WeekIndex],92)=0,"",SUMIFS(T_TTAFStock_Log[TTAF_Qty],T_TTAFStock_Log[Part Name],$A46,T_TTAFStock_Log[WeekIndex],92))</f>
        <v/>
      </c>
      <c r="CP46" s="17">
        <f>IF(COUNTIFS(T_TTAFStock_Log[Part Name],$A46,T_TTAFStock_Log[WeekIndex],93)=0,"",SUMIFS(T_TTAFStock_Log[TTAF_Qty],T_TTAFStock_Log[Part Name],$A46,T_TTAFStock_Log[WeekIndex],93))</f>
        <v/>
      </c>
      <c r="CQ46" s="17">
        <f>IF(COUNTIFS(T_TTAFStock_Log[Part Name],$A46,T_TTAFStock_Log[WeekIndex],94)=0,"",SUMIFS(T_TTAFStock_Log[TTAF_Qty],T_TTAFStock_Log[Part Name],$A46,T_TTAFStock_Log[WeekIndex],94))</f>
        <v/>
      </c>
      <c r="CR46" s="17">
        <f>IF(COUNTIFS(T_TTAFStock_Log[Part Name],$A46,T_TTAFStock_Log[WeekIndex],95)=0,"",SUMIFS(T_TTAFStock_Log[TTAF_Qty],T_TTAFStock_Log[Part Name],$A46,T_TTAFStock_Log[WeekIndex],95))</f>
        <v/>
      </c>
      <c r="CS46" s="17">
        <f>IF(COUNTIFS(T_TTAFStock_Log[Part Name],$A46,T_TTAFStock_Log[WeekIndex],96)=0,"",SUMIFS(T_TTAFStock_Log[TTAF_Qty],T_TTAFStock_Log[Part Name],$A46,T_TTAFStock_Log[WeekIndex],96))</f>
        <v/>
      </c>
      <c r="CT46" s="17">
        <f>IF(COUNTIFS(T_TTAFStock_Log[Part Name],$A46,T_TTAFStock_Log[WeekIndex],97)=0,"",SUMIFS(T_TTAFStock_Log[TTAF_Qty],T_TTAFStock_Log[Part Name],$A46,T_TTAFStock_Log[WeekIndex],97))</f>
        <v/>
      </c>
      <c r="CU46" s="17">
        <f>IF(COUNTIFS(T_TTAFStock_Log[Part Name],$A46,T_TTAFStock_Log[WeekIndex],98)=0,"",SUMIFS(T_TTAFStock_Log[TTAF_Qty],T_TTAFStock_Log[Part Name],$A46,T_TTAFStock_Log[WeekIndex],98))</f>
        <v/>
      </c>
      <c r="CV46" s="17">
        <f>IF(COUNTIFS(T_TTAFStock_Log[Part Name],$A46,T_TTAFStock_Log[WeekIndex],99)=0,"",SUMIFS(T_TTAFStock_Log[TTAF_Qty],T_TTAFStock_Log[Part Name],$A46,T_TTAFStock_Log[WeekIndex],99))</f>
        <v/>
      </c>
      <c r="CW46" s="17">
        <f>IF(COUNTIFS(T_TTAFStock_Log[Part Name],$A46,T_TTAFStock_Log[WeekIndex],100)=0,"",SUMIFS(T_TTAFStock_Log[TTAF_Qty],T_TTAFStock_Log[Part Name],$A46,T_TTAFStock_Log[WeekIndex],100))</f>
        <v/>
      </c>
      <c r="CX46" s="17">
        <f>IF(COUNTIFS(T_TTAFStock_Log[Part Name],$A46,T_TTAFStock_Log[WeekIndex],101)=0,"",SUMIFS(T_TTAFStock_Log[TTAF_Qty],T_TTAFStock_Log[Part Name],$A46,T_TTAFStock_Log[WeekIndex],101))</f>
        <v/>
      </c>
      <c r="CY46" s="17">
        <f>IF(COUNTIFS(T_TTAFStock_Log[Part Name],$A46,T_TTAFStock_Log[WeekIndex],102)=0,"",SUMIFS(T_TTAFStock_Log[TTAF_Qty],T_TTAFStock_Log[Part Name],$A46,T_TTAFStock_Log[WeekIndex],102))</f>
        <v/>
      </c>
      <c r="CZ46" s="17">
        <f>IF(COUNTIFS(T_TTAFStock_Log[Part Name],$A46,T_TTAFStock_Log[WeekIndex],103)=0,"",SUMIFS(T_TTAFStock_Log[TTAF_Qty],T_TTAFStock_Log[Part Name],$A46,T_TTAFStock_Log[WeekIndex],103))</f>
        <v/>
      </c>
      <c r="DA46" s="17">
        <f>IF(COUNTIFS(T_TTAFStock_Log[Part Name],$A46,T_TTAFStock_Log[WeekIndex],104)=0,"",SUMIFS(T_TTAFStock_Log[TTAF_Qty],T_TTAFStock_Log[Part Name],$A46,T_TTAFStock_Log[WeekIndex],104))</f>
        <v/>
      </c>
    </row>
    <row r="47">
      <c r="A47" s="19" t="inlineStr">
        <is>
          <t>CHEM-1570</t>
        </is>
      </c>
      <c r="B47" s="19">
        <f>IF(COUNTIFS(T_TTAFStock_Log[Part Name],$A47,T_TTAFStock_Log[WeekIndex],1)=0,"",SUMIFS(T_TTAFStock_Log[TTAF_Qty],T_TTAFStock_Log[Part Name],$A47,T_TTAFStock_Log[WeekIndex],1))</f>
        <v/>
      </c>
      <c r="C47" s="19">
        <f>IF(COUNTIFS(T_TTAFStock_Log[Part Name],$A47,T_TTAFStock_Log[WeekIndex],2)=0,"",SUMIFS(T_TTAFStock_Log[TTAF_Qty],T_TTAFStock_Log[Part Name],$A47,T_TTAFStock_Log[WeekIndex],2))</f>
        <v/>
      </c>
      <c r="D47" s="19">
        <f>IF(COUNTIFS(T_TTAFStock_Log[Part Name],$A47,T_TTAFStock_Log[WeekIndex],3)=0,"",SUMIFS(T_TTAFStock_Log[TTAF_Qty],T_TTAFStock_Log[Part Name],$A47,T_TTAFStock_Log[WeekIndex],3))</f>
        <v/>
      </c>
      <c r="E47" s="19">
        <f>IF(COUNTIFS(T_TTAFStock_Log[Part Name],$A47,T_TTAFStock_Log[WeekIndex],4)=0,"",SUMIFS(T_TTAFStock_Log[TTAF_Qty],T_TTAFStock_Log[Part Name],$A47,T_TTAFStock_Log[WeekIndex],4))</f>
        <v/>
      </c>
      <c r="F47" s="19">
        <f>IF(COUNTIFS(T_TTAFStock_Log[Part Name],$A47,T_TTAFStock_Log[WeekIndex],5)=0,"",SUMIFS(T_TTAFStock_Log[TTAF_Qty],T_TTAFStock_Log[Part Name],$A47,T_TTAFStock_Log[WeekIndex],5))</f>
        <v/>
      </c>
      <c r="G47" s="19">
        <f>IF(COUNTIFS(T_TTAFStock_Log[Part Name],$A47,T_TTAFStock_Log[WeekIndex],6)=0,"",SUMIFS(T_TTAFStock_Log[TTAF_Qty],T_TTAFStock_Log[Part Name],$A47,T_TTAFStock_Log[WeekIndex],6))</f>
        <v/>
      </c>
      <c r="H47" s="19">
        <f>IF(COUNTIFS(T_TTAFStock_Log[Part Name],$A47,T_TTAFStock_Log[WeekIndex],7)=0,"",SUMIFS(T_TTAFStock_Log[TTAF_Qty],T_TTAFStock_Log[Part Name],$A47,T_TTAFStock_Log[WeekIndex],7))</f>
        <v/>
      </c>
      <c r="I47" s="19">
        <f>IF(COUNTIFS(T_TTAFStock_Log[Part Name],$A47,T_TTAFStock_Log[WeekIndex],8)=0,"",SUMIFS(T_TTAFStock_Log[TTAF_Qty],T_TTAFStock_Log[Part Name],$A47,T_TTAFStock_Log[WeekIndex],8))</f>
        <v/>
      </c>
      <c r="J47" s="19">
        <f>IF(COUNTIFS(T_TTAFStock_Log[Part Name],$A47,T_TTAFStock_Log[WeekIndex],9)=0,"",SUMIFS(T_TTAFStock_Log[TTAF_Qty],T_TTAFStock_Log[Part Name],$A47,T_TTAFStock_Log[WeekIndex],9))</f>
        <v/>
      </c>
      <c r="K47" s="19">
        <f>IF(COUNTIFS(T_TTAFStock_Log[Part Name],$A47,T_TTAFStock_Log[WeekIndex],10)=0,"",SUMIFS(T_TTAFStock_Log[TTAF_Qty],T_TTAFStock_Log[Part Name],$A47,T_TTAFStock_Log[WeekIndex],10))</f>
        <v/>
      </c>
      <c r="L47" s="19">
        <f>IF(COUNTIFS(T_TTAFStock_Log[Part Name],$A47,T_TTAFStock_Log[WeekIndex],11)=0,"",SUMIFS(T_TTAFStock_Log[TTAF_Qty],T_TTAFStock_Log[Part Name],$A47,T_TTAFStock_Log[WeekIndex],11))</f>
        <v/>
      </c>
      <c r="M47" s="19">
        <f>IF(COUNTIFS(T_TTAFStock_Log[Part Name],$A47,T_TTAFStock_Log[WeekIndex],12)=0,"",SUMIFS(T_TTAFStock_Log[TTAF_Qty],T_TTAFStock_Log[Part Name],$A47,T_TTAFStock_Log[WeekIndex],12))</f>
        <v/>
      </c>
      <c r="N47" s="19">
        <f>IF(COUNTIFS(T_TTAFStock_Log[Part Name],$A47,T_TTAFStock_Log[WeekIndex],13)=0,"",SUMIFS(T_TTAFStock_Log[TTAF_Qty],T_TTAFStock_Log[Part Name],$A47,T_TTAFStock_Log[WeekIndex],13))</f>
        <v/>
      </c>
      <c r="O47" s="19">
        <f>IF(COUNTIFS(T_TTAFStock_Log[Part Name],$A47,T_TTAFStock_Log[WeekIndex],14)=0,"",SUMIFS(T_TTAFStock_Log[TTAF_Qty],T_TTAFStock_Log[Part Name],$A47,T_TTAFStock_Log[WeekIndex],14))</f>
        <v/>
      </c>
      <c r="P47" s="19">
        <f>IF(COUNTIFS(T_TTAFStock_Log[Part Name],$A47,T_TTAFStock_Log[WeekIndex],15)=0,"",SUMIFS(T_TTAFStock_Log[TTAF_Qty],T_TTAFStock_Log[Part Name],$A47,T_TTAFStock_Log[WeekIndex],15))</f>
        <v/>
      </c>
      <c r="Q47" s="19">
        <f>IF(COUNTIFS(T_TTAFStock_Log[Part Name],$A47,T_TTAFStock_Log[WeekIndex],16)=0,"",SUMIFS(T_TTAFStock_Log[TTAF_Qty],T_TTAFStock_Log[Part Name],$A47,T_TTAFStock_Log[WeekIndex],16))</f>
        <v/>
      </c>
      <c r="R47" s="19">
        <f>IF(COUNTIFS(T_TTAFStock_Log[Part Name],$A47,T_TTAFStock_Log[WeekIndex],17)=0,"",SUMIFS(T_TTAFStock_Log[TTAF_Qty],T_TTAFStock_Log[Part Name],$A47,T_TTAFStock_Log[WeekIndex],17))</f>
        <v/>
      </c>
      <c r="S47" s="19">
        <f>IF(COUNTIFS(T_TTAFStock_Log[Part Name],$A47,T_TTAFStock_Log[WeekIndex],18)=0,"",SUMIFS(T_TTAFStock_Log[TTAF_Qty],T_TTAFStock_Log[Part Name],$A47,T_TTAFStock_Log[WeekIndex],18))</f>
        <v/>
      </c>
      <c r="T47" s="19">
        <f>IF(COUNTIFS(T_TTAFStock_Log[Part Name],$A47,T_TTAFStock_Log[WeekIndex],19)=0,"",SUMIFS(T_TTAFStock_Log[TTAF_Qty],T_TTAFStock_Log[Part Name],$A47,T_TTAFStock_Log[WeekIndex],19))</f>
        <v/>
      </c>
      <c r="U47" s="19">
        <f>IF(COUNTIFS(T_TTAFStock_Log[Part Name],$A47,T_TTAFStock_Log[WeekIndex],20)=0,"",SUMIFS(T_TTAFStock_Log[TTAF_Qty],T_TTAFStock_Log[Part Name],$A47,T_TTAFStock_Log[WeekIndex],20))</f>
        <v/>
      </c>
      <c r="V47" s="19">
        <f>IF(COUNTIFS(T_TTAFStock_Log[Part Name],$A47,T_TTAFStock_Log[WeekIndex],21)=0,"",SUMIFS(T_TTAFStock_Log[TTAF_Qty],T_TTAFStock_Log[Part Name],$A47,T_TTAFStock_Log[WeekIndex],21))</f>
        <v/>
      </c>
      <c r="W47" s="19">
        <f>IF(COUNTIFS(T_TTAFStock_Log[Part Name],$A47,T_TTAFStock_Log[WeekIndex],22)=0,"",SUMIFS(T_TTAFStock_Log[TTAF_Qty],T_TTAFStock_Log[Part Name],$A47,T_TTAFStock_Log[WeekIndex],22))</f>
        <v/>
      </c>
      <c r="X47" s="19">
        <f>IF(COUNTIFS(T_TTAFStock_Log[Part Name],$A47,T_TTAFStock_Log[WeekIndex],23)=0,"",SUMIFS(T_TTAFStock_Log[TTAF_Qty],T_TTAFStock_Log[Part Name],$A47,T_TTAFStock_Log[WeekIndex],23))</f>
        <v/>
      </c>
      <c r="Y47" s="19">
        <f>IF(COUNTIFS(T_TTAFStock_Log[Part Name],$A47,T_TTAFStock_Log[WeekIndex],24)=0,"",SUMIFS(T_TTAFStock_Log[TTAF_Qty],T_TTAFStock_Log[Part Name],$A47,T_TTAFStock_Log[WeekIndex],24))</f>
        <v/>
      </c>
      <c r="Z47" s="19">
        <f>IF(COUNTIFS(T_TTAFStock_Log[Part Name],$A47,T_TTAFStock_Log[WeekIndex],25)=0,"",SUMIFS(T_TTAFStock_Log[TTAF_Qty],T_TTAFStock_Log[Part Name],$A47,T_TTAFStock_Log[WeekIndex],25))</f>
        <v/>
      </c>
      <c r="AA47" s="19">
        <f>IF(COUNTIFS(T_TTAFStock_Log[Part Name],$A47,T_TTAFStock_Log[WeekIndex],26)=0,"",SUMIFS(T_TTAFStock_Log[TTAF_Qty],T_TTAFStock_Log[Part Name],$A47,T_TTAFStock_Log[WeekIndex],26))</f>
        <v/>
      </c>
      <c r="AB47" s="19">
        <f>IF(COUNTIFS(T_TTAFStock_Log[Part Name],$A47,T_TTAFStock_Log[WeekIndex],27)=0,"",SUMIFS(T_TTAFStock_Log[TTAF_Qty],T_TTAFStock_Log[Part Name],$A47,T_TTAFStock_Log[WeekIndex],27))</f>
        <v/>
      </c>
      <c r="AC47" s="19">
        <f>IF(COUNTIFS(T_TTAFStock_Log[Part Name],$A47,T_TTAFStock_Log[WeekIndex],28)=0,"",SUMIFS(T_TTAFStock_Log[TTAF_Qty],T_TTAFStock_Log[Part Name],$A47,T_TTAFStock_Log[WeekIndex],28))</f>
        <v/>
      </c>
      <c r="AD47" s="19">
        <f>IF(COUNTIFS(T_TTAFStock_Log[Part Name],$A47,T_TTAFStock_Log[WeekIndex],29)=0,"",SUMIFS(T_TTAFStock_Log[TTAF_Qty],T_TTAFStock_Log[Part Name],$A47,T_TTAFStock_Log[WeekIndex],29))</f>
        <v/>
      </c>
      <c r="AE47" s="19">
        <f>IF(COUNTIFS(T_TTAFStock_Log[Part Name],$A47,T_TTAFStock_Log[WeekIndex],30)=0,"",SUMIFS(T_TTAFStock_Log[TTAF_Qty],T_TTAFStock_Log[Part Name],$A47,T_TTAFStock_Log[WeekIndex],30))</f>
        <v/>
      </c>
      <c r="AF47" s="19">
        <f>IF(COUNTIFS(T_TTAFStock_Log[Part Name],$A47,T_TTAFStock_Log[WeekIndex],31)=0,"",SUMIFS(T_TTAFStock_Log[TTAF_Qty],T_TTAFStock_Log[Part Name],$A47,T_TTAFStock_Log[WeekIndex],31))</f>
        <v/>
      </c>
      <c r="AG47" s="19">
        <f>IF(COUNTIFS(T_TTAFStock_Log[Part Name],$A47,T_TTAFStock_Log[WeekIndex],32)=0,"",SUMIFS(T_TTAFStock_Log[TTAF_Qty],T_TTAFStock_Log[Part Name],$A47,T_TTAFStock_Log[WeekIndex],32))</f>
        <v/>
      </c>
      <c r="AH47" s="19">
        <f>IF(COUNTIFS(T_TTAFStock_Log[Part Name],$A47,T_TTAFStock_Log[WeekIndex],33)=0,"",SUMIFS(T_TTAFStock_Log[TTAF_Qty],T_TTAFStock_Log[Part Name],$A47,T_TTAFStock_Log[WeekIndex],33))</f>
        <v/>
      </c>
      <c r="AI47" s="19">
        <f>IF(COUNTIFS(T_TTAFStock_Log[Part Name],$A47,T_TTAFStock_Log[WeekIndex],34)=0,"",SUMIFS(T_TTAFStock_Log[TTAF_Qty],T_TTAFStock_Log[Part Name],$A47,T_TTAFStock_Log[WeekIndex],34))</f>
        <v/>
      </c>
      <c r="AJ47" s="19">
        <f>IF(COUNTIFS(T_TTAFStock_Log[Part Name],$A47,T_TTAFStock_Log[WeekIndex],35)=0,"",SUMIFS(T_TTAFStock_Log[TTAF_Qty],T_TTAFStock_Log[Part Name],$A47,T_TTAFStock_Log[WeekIndex],35))</f>
        <v/>
      </c>
      <c r="AK47" s="19">
        <f>IF(COUNTIFS(T_TTAFStock_Log[Part Name],$A47,T_TTAFStock_Log[WeekIndex],36)=0,"",SUMIFS(T_TTAFStock_Log[TTAF_Qty],T_TTAFStock_Log[Part Name],$A47,T_TTAFStock_Log[WeekIndex],36))</f>
        <v/>
      </c>
      <c r="AL47" s="19">
        <f>IF(COUNTIFS(T_TTAFStock_Log[Part Name],$A47,T_TTAFStock_Log[WeekIndex],37)=0,"",SUMIFS(T_TTAFStock_Log[TTAF_Qty],T_TTAFStock_Log[Part Name],$A47,T_TTAFStock_Log[WeekIndex],37))</f>
        <v/>
      </c>
      <c r="AM47" s="19">
        <f>IF(COUNTIFS(T_TTAFStock_Log[Part Name],$A47,T_TTAFStock_Log[WeekIndex],38)=0,"",SUMIFS(T_TTAFStock_Log[TTAF_Qty],T_TTAFStock_Log[Part Name],$A47,T_TTAFStock_Log[WeekIndex],38))</f>
        <v/>
      </c>
      <c r="AN47" s="19">
        <f>IF(COUNTIFS(T_TTAFStock_Log[Part Name],$A47,T_TTAFStock_Log[WeekIndex],39)=0,"",SUMIFS(T_TTAFStock_Log[TTAF_Qty],T_TTAFStock_Log[Part Name],$A47,T_TTAFStock_Log[WeekIndex],39))</f>
        <v/>
      </c>
      <c r="AO47" s="19">
        <f>IF(COUNTIFS(T_TTAFStock_Log[Part Name],$A47,T_TTAFStock_Log[WeekIndex],40)=0,"",SUMIFS(T_TTAFStock_Log[TTAF_Qty],T_TTAFStock_Log[Part Name],$A47,T_TTAFStock_Log[WeekIndex],40))</f>
        <v/>
      </c>
      <c r="AP47" s="19">
        <f>IF(COUNTIFS(T_TTAFStock_Log[Part Name],$A47,T_TTAFStock_Log[WeekIndex],41)=0,"",SUMIFS(T_TTAFStock_Log[TTAF_Qty],T_TTAFStock_Log[Part Name],$A47,T_TTAFStock_Log[WeekIndex],41))</f>
        <v/>
      </c>
      <c r="AQ47" s="19">
        <f>IF(COUNTIFS(T_TTAFStock_Log[Part Name],$A47,T_TTAFStock_Log[WeekIndex],42)=0,"",SUMIFS(T_TTAFStock_Log[TTAF_Qty],T_TTAFStock_Log[Part Name],$A47,T_TTAFStock_Log[WeekIndex],42))</f>
        <v/>
      </c>
      <c r="AR47" s="19">
        <f>IF(COUNTIFS(T_TTAFStock_Log[Part Name],$A47,T_TTAFStock_Log[WeekIndex],43)=0,"",SUMIFS(T_TTAFStock_Log[TTAF_Qty],T_TTAFStock_Log[Part Name],$A47,T_TTAFStock_Log[WeekIndex],43))</f>
        <v/>
      </c>
      <c r="AS47" s="19">
        <f>IF(COUNTIFS(T_TTAFStock_Log[Part Name],$A47,T_TTAFStock_Log[WeekIndex],44)=0,"",SUMIFS(T_TTAFStock_Log[TTAF_Qty],T_TTAFStock_Log[Part Name],$A47,T_TTAFStock_Log[WeekIndex],44))</f>
        <v/>
      </c>
      <c r="AT47" s="19">
        <f>IF(COUNTIFS(T_TTAFStock_Log[Part Name],$A47,T_TTAFStock_Log[WeekIndex],45)=0,"",SUMIFS(T_TTAFStock_Log[TTAF_Qty],T_TTAFStock_Log[Part Name],$A47,T_TTAFStock_Log[WeekIndex],45))</f>
        <v/>
      </c>
      <c r="AU47" s="19">
        <f>IF(COUNTIFS(T_TTAFStock_Log[Part Name],$A47,T_TTAFStock_Log[WeekIndex],46)=0,"",SUMIFS(T_TTAFStock_Log[TTAF_Qty],T_TTAFStock_Log[Part Name],$A47,T_TTAFStock_Log[WeekIndex],46))</f>
        <v/>
      </c>
      <c r="AV47" s="19">
        <f>IF(COUNTIFS(T_TTAFStock_Log[Part Name],$A47,T_TTAFStock_Log[WeekIndex],47)=0,"",SUMIFS(T_TTAFStock_Log[TTAF_Qty],T_TTAFStock_Log[Part Name],$A47,T_TTAFStock_Log[WeekIndex],47))</f>
        <v/>
      </c>
      <c r="AW47" s="19">
        <f>IF(COUNTIFS(T_TTAFStock_Log[Part Name],$A47,T_TTAFStock_Log[WeekIndex],48)=0,"",SUMIFS(T_TTAFStock_Log[TTAF_Qty],T_TTAFStock_Log[Part Name],$A47,T_TTAFStock_Log[WeekIndex],48))</f>
        <v/>
      </c>
      <c r="AX47" s="19">
        <f>IF(COUNTIFS(T_TTAFStock_Log[Part Name],$A47,T_TTAFStock_Log[WeekIndex],49)=0,"",SUMIFS(T_TTAFStock_Log[TTAF_Qty],T_TTAFStock_Log[Part Name],$A47,T_TTAFStock_Log[WeekIndex],49))</f>
        <v/>
      </c>
      <c r="AY47" s="19">
        <f>IF(COUNTIFS(T_TTAFStock_Log[Part Name],$A47,T_TTAFStock_Log[WeekIndex],50)=0,"",SUMIFS(T_TTAFStock_Log[TTAF_Qty],T_TTAFStock_Log[Part Name],$A47,T_TTAFStock_Log[WeekIndex],50))</f>
        <v/>
      </c>
      <c r="AZ47" s="19">
        <f>IF(COUNTIFS(T_TTAFStock_Log[Part Name],$A47,T_TTAFStock_Log[WeekIndex],51)=0,"",SUMIFS(T_TTAFStock_Log[TTAF_Qty],T_TTAFStock_Log[Part Name],$A47,T_TTAFStock_Log[WeekIndex],51))</f>
        <v/>
      </c>
      <c r="BA47" s="19">
        <f>IF(COUNTIFS(T_TTAFStock_Log[Part Name],$A47,T_TTAFStock_Log[WeekIndex],52)=0,"",SUMIFS(T_TTAFStock_Log[TTAF_Qty],T_TTAFStock_Log[Part Name],$A47,T_TTAFStock_Log[WeekIndex],52))</f>
        <v/>
      </c>
      <c r="BB47" s="19">
        <f>IF(COUNTIFS(T_TTAFStock_Log[Part Name],$A47,T_TTAFStock_Log[WeekIndex],53)=0,"",SUMIFS(T_TTAFStock_Log[TTAF_Qty],T_TTAFStock_Log[Part Name],$A47,T_TTAFStock_Log[WeekIndex],53))</f>
        <v/>
      </c>
      <c r="BC47" s="19">
        <f>IF(COUNTIFS(T_TTAFStock_Log[Part Name],$A47,T_TTAFStock_Log[WeekIndex],54)=0,"",SUMIFS(T_TTAFStock_Log[TTAF_Qty],T_TTAFStock_Log[Part Name],$A47,T_TTAFStock_Log[WeekIndex],54))</f>
        <v/>
      </c>
      <c r="BD47" s="19">
        <f>IF(COUNTIFS(T_TTAFStock_Log[Part Name],$A47,T_TTAFStock_Log[WeekIndex],55)=0,"",SUMIFS(T_TTAFStock_Log[TTAF_Qty],T_TTAFStock_Log[Part Name],$A47,T_TTAFStock_Log[WeekIndex],55))</f>
        <v/>
      </c>
      <c r="BE47" s="19">
        <f>IF(COUNTIFS(T_TTAFStock_Log[Part Name],$A47,T_TTAFStock_Log[WeekIndex],56)=0,"",SUMIFS(T_TTAFStock_Log[TTAF_Qty],T_TTAFStock_Log[Part Name],$A47,T_TTAFStock_Log[WeekIndex],56))</f>
        <v/>
      </c>
      <c r="BF47" s="19">
        <f>IF(COUNTIFS(T_TTAFStock_Log[Part Name],$A47,T_TTAFStock_Log[WeekIndex],57)=0,"",SUMIFS(T_TTAFStock_Log[TTAF_Qty],T_TTAFStock_Log[Part Name],$A47,T_TTAFStock_Log[WeekIndex],57))</f>
        <v/>
      </c>
      <c r="BG47" s="19">
        <f>IF(COUNTIFS(T_TTAFStock_Log[Part Name],$A47,T_TTAFStock_Log[WeekIndex],58)=0,"",SUMIFS(T_TTAFStock_Log[TTAF_Qty],T_TTAFStock_Log[Part Name],$A47,T_TTAFStock_Log[WeekIndex],58))</f>
        <v/>
      </c>
      <c r="BH47" s="19">
        <f>IF(COUNTIFS(T_TTAFStock_Log[Part Name],$A47,T_TTAFStock_Log[WeekIndex],59)=0,"",SUMIFS(T_TTAFStock_Log[TTAF_Qty],T_TTAFStock_Log[Part Name],$A47,T_TTAFStock_Log[WeekIndex],59))</f>
        <v/>
      </c>
      <c r="BI47" s="19">
        <f>IF(COUNTIFS(T_TTAFStock_Log[Part Name],$A47,T_TTAFStock_Log[WeekIndex],60)=0,"",SUMIFS(T_TTAFStock_Log[TTAF_Qty],T_TTAFStock_Log[Part Name],$A47,T_TTAFStock_Log[WeekIndex],60))</f>
        <v/>
      </c>
      <c r="BJ47" s="19">
        <f>IF(COUNTIFS(T_TTAFStock_Log[Part Name],$A47,T_TTAFStock_Log[WeekIndex],61)=0,"",SUMIFS(T_TTAFStock_Log[TTAF_Qty],T_TTAFStock_Log[Part Name],$A47,T_TTAFStock_Log[WeekIndex],61))</f>
        <v/>
      </c>
      <c r="BK47" s="19">
        <f>IF(COUNTIFS(T_TTAFStock_Log[Part Name],$A47,T_TTAFStock_Log[WeekIndex],62)=0,"",SUMIFS(T_TTAFStock_Log[TTAF_Qty],T_TTAFStock_Log[Part Name],$A47,T_TTAFStock_Log[WeekIndex],62))</f>
        <v/>
      </c>
      <c r="BL47" s="19">
        <f>IF(COUNTIFS(T_TTAFStock_Log[Part Name],$A47,T_TTAFStock_Log[WeekIndex],63)=0,"",SUMIFS(T_TTAFStock_Log[TTAF_Qty],T_TTAFStock_Log[Part Name],$A47,T_TTAFStock_Log[WeekIndex],63))</f>
        <v/>
      </c>
      <c r="BM47" s="19">
        <f>IF(COUNTIFS(T_TTAFStock_Log[Part Name],$A47,T_TTAFStock_Log[WeekIndex],64)=0,"",SUMIFS(T_TTAFStock_Log[TTAF_Qty],T_TTAFStock_Log[Part Name],$A47,T_TTAFStock_Log[WeekIndex],64))</f>
        <v/>
      </c>
      <c r="BN47" s="19">
        <f>IF(COUNTIFS(T_TTAFStock_Log[Part Name],$A47,T_TTAFStock_Log[WeekIndex],65)=0,"",SUMIFS(T_TTAFStock_Log[TTAF_Qty],T_TTAFStock_Log[Part Name],$A47,T_TTAFStock_Log[WeekIndex],65))</f>
        <v/>
      </c>
      <c r="BO47" s="19">
        <f>IF(COUNTIFS(T_TTAFStock_Log[Part Name],$A47,T_TTAFStock_Log[WeekIndex],66)=0,"",SUMIFS(T_TTAFStock_Log[TTAF_Qty],T_TTAFStock_Log[Part Name],$A47,T_TTAFStock_Log[WeekIndex],66))</f>
        <v/>
      </c>
      <c r="BP47" s="19">
        <f>IF(COUNTIFS(T_TTAFStock_Log[Part Name],$A47,T_TTAFStock_Log[WeekIndex],67)=0,"",SUMIFS(T_TTAFStock_Log[TTAF_Qty],T_TTAFStock_Log[Part Name],$A47,T_TTAFStock_Log[WeekIndex],67))</f>
        <v/>
      </c>
      <c r="BQ47" s="19">
        <f>IF(COUNTIFS(T_TTAFStock_Log[Part Name],$A47,T_TTAFStock_Log[WeekIndex],68)=0,"",SUMIFS(T_TTAFStock_Log[TTAF_Qty],T_TTAFStock_Log[Part Name],$A47,T_TTAFStock_Log[WeekIndex],68))</f>
        <v/>
      </c>
      <c r="BR47" s="19">
        <f>IF(COUNTIFS(T_TTAFStock_Log[Part Name],$A47,T_TTAFStock_Log[WeekIndex],69)=0,"",SUMIFS(T_TTAFStock_Log[TTAF_Qty],T_TTAFStock_Log[Part Name],$A47,T_TTAFStock_Log[WeekIndex],69))</f>
        <v/>
      </c>
      <c r="BS47" s="19">
        <f>IF(COUNTIFS(T_TTAFStock_Log[Part Name],$A47,T_TTAFStock_Log[WeekIndex],70)=0,"",SUMIFS(T_TTAFStock_Log[TTAF_Qty],T_TTAFStock_Log[Part Name],$A47,T_TTAFStock_Log[WeekIndex],70))</f>
        <v/>
      </c>
      <c r="BT47" s="19">
        <f>IF(COUNTIFS(T_TTAFStock_Log[Part Name],$A47,T_TTAFStock_Log[WeekIndex],71)=0,"",SUMIFS(T_TTAFStock_Log[TTAF_Qty],T_TTAFStock_Log[Part Name],$A47,T_TTAFStock_Log[WeekIndex],71))</f>
        <v/>
      </c>
      <c r="BU47" s="19">
        <f>IF(COUNTIFS(T_TTAFStock_Log[Part Name],$A47,T_TTAFStock_Log[WeekIndex],72)=0,"",SUMIFS(T_TTAFStock_Log[TTAF_Qty],T_TTAFStock_Log[Part Name],$A47,T_TTAFStock_Log[WeekIndex],72))</f>
        <v/>
      </c>
      <c r="BV47" s="19">
        <f>IF(COUNTIFS(T_TTAFStock_Log[Part Name],$A47,T_TTAFStock_Log[WeekIndex],73)=0,"",SUMIFS(T_TTAFStock_Log[TTAF_Qty],T_TTAFStock_Log[Part Name],$A47,T_TTAFStock_Log[WeekIndex],73))</f>
        <v/>
      </c>
      <c r="BW47" s="19">
        <f>IF(COUNTIFS(T_TTAFStock_Log[Part Name],$A47,T_TTAFStock_Log[WeekIndex],74)=0,"",SUMIFS(T_TTAFStock_Log[TTAF_Qty],T_TTAFStock_Log[Part Name],$A47,T_TTAFStock_Log[WeekIndex],74))</f>
        <v/>
      </c>
      <c r="BX47" s="19">
        <f>IF(COUNTIFS(T_TTAFStock_Log[Part Name],$A47,T_TTAFStock_Log[WeekIndex],75)=0,"",SUMIFS(T_TTAFStock_Log[TTAF_Qty],T_TTAFStock_Log[Part Name],$A47,T_TTAFStock_Log[WeekIndex],75))</f>
        <v/>
      </c>
      <c r="BY47" s="19">
        <f>IF(COUNTIFS(T_TTAFStock_Log[Part Name],$A47,T_TTAFStock_Log[WeekIndex],76)=0,"",SUMIFS(T_TTAFStock_Log[TTAF_Qty],T_TTAFStock_Log[Part Name],$A47,T_TTAFStock_Log[WeekIndex],76))</f>
        <v/>
      </c>
      <c r="BZ47" s="19">
        <f>IF(COUNTIFS(T_TTAFStock_Log[Part Name],$A47,T_TTAFStock_Log[WeekIndex],77)=0,"",SUMIFS(T_TTAFStock_Log[TTAF_Qty],T_TTAFStock_Log[Part Name],$A47,T_TTAFStock_Log[WeekIndex],77))</f>
        <v/>
      </c>
      <c r="CA47" s="19">
        <f>IF(COUNTIFS(T_TTAFStock_Log[Part Name],$A47,T_TTAFStock_Log[WeekIndex],78)=0,"",SUMIFS(T_TTAFStock_Log[TTAF_Qty],T_TTAFStock_Log[Part Name],$A47,T_TTAFStock_Log[WeekIndex],78))</f>
        <v/>
      </c>
      <c r="CB47" s="19">
        <f>IF(COUNTIFS(T_TTAFStock_Log[Part Name],$A47,T_TTAFStock_Log[WeekIndex],79)=0,"",SUMIFS(T_TTAFStock_Log[TTAF_Qty],T_TTAFStock_Log[Part Name],$A47,T_TTAFStock_Log[WeekIndex],79))</f>
        <v/>
      </c>
      <c r="CC47" s="19">
        <f>IF(COUNTIFS(T_TTAFStock_Log[Part Name],$A47,T_TTAFStock_Log[WeekIndex],80)=0,"",SUMIFS(T_TTAFStock_Log[TTAF_Qty],T_TTAFStock_Log[Part Name],$A47,T_TTAFStock_Log[WeekIndex],80))</f>
        <v/>
      </c>
      <c r="CD47" s="19">
        <f>IF(COUNTIFS(T_TTAFStock_Log[Part Name],$A47,T_TTAFStock_Log[WeekIndex],81)=0,"",SUMIFS(T_TTAFStock_Log[TTAF_Qty],T_TTAFStock_Log[Part Name],$A47,T_TTAFStock_Log[WeekIndex],81))</f>
        <v/>
      </c>
      <c r="CE47" s="19">
        <f>IF(COUNTIFS(T_TTAFStock_Log[Part Name],$A47,T_TTAFStock_Log[WeekIndex],82)=0,"",SUMIFS(T_TTAFStock_Log[TTAF_Qty],T_TTAFStock_Log[Part Name],$A47,T_TTAFStock_Log[WeekIndex],82))</f>
        <v/>
      </c>
      <c r="CF47" s="19">
        <f>IF(COUNTIFS(T_TTAFStock_Log[Part Name],$A47,T_TTAFStock_Log[WeekIndex],83)=0,"",SUMIFS(T_TTAFStock_Log[TTAF_Qty],T_TTAFStock_Log[Part Name],$A47,T_TTAFStock_Log[WeekIndex],83))</f>
        <v/>
      </c>
      <c r="CG47" s="19">
        <f>IF(COUNTIFS(T_TTAFStock_Log[Part Name],$A47,T_TTAFStock_Log[WeekIndex],84)=0,"",SUMIFS(T_TTAFStock_Log[TTAF_Qty],T_TTAFStock_Log[Part Name],$A47,T_TTAFStock_Log[WeekIndex],84))</f>
        <v/>
      </c>
      <c r="CH47" s="19">
        <f>IF(COUNTIFS(T_TTAFStock_Log[Part Name],$A47,T_TTAFStock_Log[WeekIndex],85)=0,"",SUMIFS(T_TTAFStock_Log[TTAF_Qty],T_TTAFStock_Log[Part Name],$A47,T_TTAFStock_Log[WeekIndex],85))</f>
        <v/>
      </c>
      <c r="CI47" s="19">
        <f>IF(COUNTIFS(T_TTAFStock_Log[Part Name],$A47,T_TTAFStock_Log[WeekIndex],86)=0,"",SUMIFS(T_TTAFStock_Log[TTAF_Qty],T_TTAFStock_Log[Part Name],$A47,T_TTAFStock_Log[WeekIndex],86))</f>
        <v/>
      </c>
      <c r="CJ47" s="19">
        <f>IF(COUNTIFS(T_TTAFStock_Log[Part Name],$A47,T_TTAFStock_Log[WeekIndex],87)=0,"",SUMIFS(T_TTAFStock_Log[TTAF_Qty],T_TTAFStock_Log[Part Name],$A47,T_TTAFStock_Log[WeekIndex],87))</f>
        <v/>
      </c>
      <c r="CK47" s="19">
        <f>IF(COUNTIFS(T_TTAFStock_Log[Part Name],$A47,T_TTAFStock_Log[WeekIndex],88)=0,"",SUMIFS(T_TTAFStock_Log[TTAF_Qty],T_TTAFStock_Log[Part Name],$A47,T_TTAFStock_Log[WeekIndex],88))</f>
        <v/>
      </c>
      <c r="CL47" s="19">
        <f>IF(COUNTIFS(T_TTAFStock_Log[Part Name],$A47,T_TTAFStock_Log[WeekIndex],89)=0,"",SUMIFS(T_TTAFStock_Log[TTAF_Qty],T_TTAFStock_Log[Part Name],$A47,T_TTAFStock_Log[WeekIndex],89))</f>
        <v/>
      </c>
      <c r="CM47" s="19">
        <f>IF(COUNTIFS(T_TTAFStock_Log[Part Name],$A47,T_TTAFStock_Log[WeekIndex],90)=0,"",SUMIFS(T_TTAFStock_Log[TTAF_Qty],T_TTAFStock_Log[Part Name],$A47,T_TTAFStock_Log[WeekIndex],90))</f>
        <v/>
      </c>
      <c r="CN47" s="19">
        <f>IF(COUNTIFS(T_TTAFStock_Log[Part Name],$A47,T_TTAFStock_Log[WeekIndex],91)=0,"",SUMIFS(T_TTAFStock_Log[TTAF_Qty],T_TTAFStock_Log[Part Name],$A47,T_TTAFStock_Log[WeekIndex],91))</f>
        <v/>
      </c>
      <c r="CO47" s="19">
        <f>IF(COUNTIFS(T_TTAFStock_Log[Part Name],$A47,T_TTAFStock_Log[WeekIndex],92)=0,"",SUMIFS(T_TTAFStock_Log[TTAF_Qty],T_TTAFStock_Log[Part Name],$A47,T_TTAFStock_Log[WeekIndex],92))</f>
        <v/>
      </c>
      <c r="CP47" s="19">
        <f>IF(COUNTIFS(T_TTAFStock_Log[Part Name],$A47,T_TTAFStock_Log[WeekIndex],93)=0,"",SUMIFS(T_TTAFStock_Log[TTAF_Qty],T_TTAFStock_Log[Part Name],$A47,T_TTAFStock_Log[WeekIndex],93))</f>
        <v/>
      </c>
      <c r="CQ47" s="19">
        <f>IF(COUNTIFS(T_TTAFStock_Log[Part Name],$A47,T_TTAFStock_Log[WeekIndex],94)=0,"",SUMIFS(T_TTAFStock_Log[TTAF_Qty],T_TTAFStock_Log[Part Name],$A47,T_TTAFStock_Log[WeekIndex],94))</f>
        <v/>
      </c>
      <c r="CR47" s="19">
        <f>IF(COUNTIFS(T_TTAFStock_Log[Part Name],$A47,T_TTAFStock_Log[WeekIndex],95)=0,"",SUMIFS(T_TTAFStock_Log[TTAF_Qty],T_TTAFStock_Log[Part Name],$A47,T_TTAFStock_Log[WeekIndex],95))</f>
        <v/>
      </c>
      <c r="CS47" s="19">
        <f>IF(COUNTIFS(T_TTAFStock_Log[Part Name],$A47,T_TTAFStock_Log[WeekIndex],96)=0,"",SUMIFS(T_TTAFStock_Log[TTAF_Qty],T_TTAFStock_Log[Part Name],$A47,T_TTAFStock_Log[WeekIndex],96))</f>
        <v/>
      </c>
      <c r="CT47" s="19">
        <f>IF(COUNTIFS(T_TTAFStock_Log[Part Name],$A47,T_TTAFStock_Log[WeekIndex],97)=0,"",SUMIFS(T_TTAFStock_Log[TTAF_Qty],T_TTAFStock_Log[Part Name],$A47,T_TTAFStock_Log[WeekIndex],97))</f>
        <v/>
      </c>
      <c r="CU47" s="19">
        <f>IF(COUNTIFS(T_TTAFStock_Log[Part Name],$A47,T_TTAFStock_Log[WeekIndex],98)=0,"",SUMIFS(T_TTAFStock_Log[TTAF_Qty],T_TTAFStock_Log[Part Name],$A47,T_TTAFStock_Log[WeekIndex],98))</f>
        <v/>
      </c>
      <c r="CV47" s="19">
        <f>IF(COUNTIFS(T_TTAFStock_Log[Part Name],$A47,T_TTAFStock_Log[WeekIndex],99)=0,"",SUMIFS(T_TTAFStock_Log[TTAF_Qty],T_TTAFStock_Log[Part Name],$A47,T_TTAFStock_Log[WeekIndex],99))</f>
        <v/>
      </c>
      <c r="CW47" s="19">
        <f>IF(COUNTIFS(T_TTAFStock_Log[Part Name],$A47,T_TTAFStock_Log[WeekIndex],100)=0,"",SUMIFS(T_TTAFStock_Log[TTAF_Qty],T_TTAFStock_Log[Part Name],$A47,T_TTAFStock_Log[WeekIndex],100))</f>
        <v/>
      </c>
      <c r="CX47" s="19">
        <f>IF(COUNTIFS(T_TTAFStock_Log[Part Name],$A47,T_TTAFStock_Log[WeekIndex],101)=0,"",SUMIFS(T_TTAFStock_Log[TTAF_Qty],T_TTAFStock_Log[Part Name],$A47,T_TTAFStock_Log[WeekIndex],101))</f>
        <v/>
      </c>
      <c r="CY47" s="19">
        <f>IF(COUNTIFS(T_TTAFStock_Log[Part Name],$A47,T_TTAFStock_Log[WeekIndex],102)=0,"",SUMIFS(T_TTAFStock_Log[TTAF_Qty],T_TTAFStock_Log[Part Name],$A47,T_TTAFStock_Log[WeekIndex],102))</f>
        <v/>
      </c>
      <c r="CZ47" s="19">
        <f>IF(COUNTIFS(T_TTAFStock_Log[Part Name],$A47,T_TTAFStock_Log[WeekIndex],103)=0,"",SUMIFS(T_TTAFStock_Log[TTAF_Qty],T_TTAFStock_Log[Part Name],$A47,T_TTAFStock_Log[WeekIndex],103))</f>
        <v/>
      </c>
      <c r="DA47" s="19">
        <f>IF(COUNTIFS(T_TTAFStock_Log[Part Name],$A47,T_TTAFStock_Log[WeekIndex],104)=0,"",SUMIFS(T_TTAFStock_Log[TTAF_Qty],T_TTAFStock_Log[Part Name],$A47,T_TTAFStock_Log[WeekIndex],104))</f>
        <v/>
      </c>
    </row>
    <row r="48">
      <c r="A48" s="17" t="inlineStr">
        <is>
          <t>CHEM-1450</t>
        </is>
      </c>
      <c r="B48" s="17">
        <f>IF(COUNTIFS(T_TTAFStock_Log[Part Name],$A48,T_TTAFStock_Log[WeekIndex],1)=0,"",SUMIFS(T_TTAFStock_Log[TTAF_Qty],T_TTAFStock_Log[Part Name],$A48,T_TTAFStock_Log[WeekIndex],1))</f>
        <v/>
      </c>
      <c r="C48" s="17">
        <f>IF(COUNTIFS(T_TTAFStock_Log[Part Name],$A48,T_TTAFStock_Log[WeekIndex],2)=0,"",SUMIFS(T_TTAFStock_Log[TTAF_Qty],T_TTAFStock_Log[Part Name],$A48,T_TTAFStock_Log[WeekIndex],2))</f>
        <v/>
      </c>
      <c r="D48" s="17">
        <f>IF(COUNTIFS(T_TTAFStock_Log[Part Name],$A48,T_TTAFStock_Log[WeekIndex],3)=0,"",SUMIFS(T_TTAFStock_Log[TTAF_Qty],T_TTAFStock_Log[Part Name],$A48,T_TTAFStock_Log[WeekIndex],3))</f>
        <v/>
      </c>
      <c r="E48" s="17">
        <f>IF(COUNTIFS(T_TTAFStock_Log[Part Name],$A48,T_TTAFStock_Log[WeekIndex],4)=0,"",SUMIFS(T_TTAFStock_Log[TTAF_Qty],T_TTAFStock_Log[Part Name],$A48,T_TTAFStock_Log[WeekIndex],4))</f>
        <v/>
      </c>
      <c r="F48" s="17">
        <f>IF(COUNTIFS(T_TTAFStock_Log[Part Name],$A48,T_TTAFStock_Log[WeekIndex],5)=0,"",SUMIFS(T_TTAFStock_Log[TTAF_Qty],T_TTAFStock_Log[Part Name],$A48,T_TTAFStock_Log[WeekIndex],5))</f>
        <v/>
      </c>
      <c r="G48" s="17">
        <f>IF(COUNTIFS(T_TTAFStock_Log[Part Name],$A48,T_TTAFStock_Log[WeekIndex],6)=0,"",SUMIFS(T_TTAFStock_Log[TTAF_Qty],T_TTAFStock_Log[Part Name],$A48,T_TTAFStock_Log[WeekIndex],6))</f>
        <v/>
      </c>
      <c r="H48" s="17">
        <f>IF(COUNTIFS(T_TTAFStock_Log[Part Name],$A48,T_TTAFStock_Log[WeekIndex],7)=0,"",SUMIFS(T_TTAFStock_Log[TTAF_Qty],T_TTAFStock_Log[Part Name],$A48,T_TTAFStock_Log[WeekIndex],7))</f>
        <v/>
      </c>
      <c r="I48" s="17">
        <f>IF(COUNTIFS(T_TTAFStock_Log[Part Name],$A48,T_TTAFStock_Log[WeekIndex],8)=0,"",SUMIFS(T_TTAFStock_Log[TTAF_Qty],T_TTAFStock_Log[Part Name],$A48,T_TTAFStock_Log[WeekIndex],8))</f>
        <v/>
      </c>
      <c r="J48" s="17">
        <f>IF(COUNTIFS(T_TTAFStock_Log[Part Name],$A48,T_TTAFStock_Log[WeekIndex],9)=0,"",SUMIFS(T_TTAFStock_Log[TTAF_Qty],T_TTAFStock_Log[Part Name],$A48,T_TTAFStock_Log[WeekIndex],9))</f>
        <v/>
      </c>
      <c r="K48" s="17">
        <f>IF(COUNTIFS(T_TTAFStock_Log[Part Name],$A48,T_TTAFStock_Log[WeekIndex],10)=0,"",SUMIFS(T_TTAFStock_Log[TTAF_Qty],T_TTAFStock_Log[Part Name],$A48,T_TTAFStock_Log[WeekIndex],10))</f>
        <v/>
      </c>
      <c r="L48" s="17">
        <f>IF(COUNTIFS(T_TTAFStock_Log[Part Name],$A48,T_TTAFStock_Log[WeekIndex],11)=0,"",SUMIFS(T_TTAFStock_Log[TTAF_Qty],T_TTAFStock_Log[Part Name],$A48,T_TTAFStock_Log[WeekIndex],11))</f>
        <v/>
      </c>
      <c r="M48" s="17">
        <f>IF(COUNTIFS(T_TTAFStock_Log[Part Name],$A48,T_TTAFStock_Log[WeekIndex],12)=0,"",SUMIFS(T_TTAFStock_Log[TTAF_Qty],T_TTAFStock_Log[Part Name],$A48,T_TTAFStock_Log[WeekIndex],12))</f>
        <v/>
      </c>
      <c r="N48" s="17">
        <f>IF(COUNTIFS(T_TTAFStock_Log[Part Name],$A48,T_TTAFStock_Log[WeekIndex],13)=0,"",SUMIFS(T_TTAFStock_Log[TTAF_Qty],T_TTAFStock_Log[Part Name],$A48,T_TTAFStock_Log[WeekIndex],13))</f>
        <v/>
      </c>
      <c r="O48" s="17">
        <f>IF(COUNTIFS(T_TTAFStock_Log[Part Name],$A48,T_TTAFStock_Log[WeekIndex],14)=0,"",SUMIFS(T_TTAFStock_Log[TTAF_Qty],T_TTAFStock_Log[Part Name],$A48,T_TTAFStock_Log[WeekIndex],14))</f>
        <v/>
      </c>
      <c r="P48" s="17">
        <f>IF(COUNTIFS(T_TTAFStock_Log[Part Name],$A48,T_TTAFStock_Log[WeekIndex],15)=0,"",SUMIFS(T_TTAFStock_Log[TTAF_Qty],T_TTAFStock_Log[Part Name],$A48,T_TTAFStock_Log[WeekIndex],15))</f>
        <v/>
      </c>
      <c r="Q48" s="17">
        <f>IF(COUNTIFS(T_TTAFStock_Log[Part Name],$A48,T_TTAFStock_Log[WeekIndex],16)=0,"",SUMIFS(T_TTAFStock_Log[TTAF_Qty],T_TTAFStock_Log[Part Name],$A48,T_TTAFStock_Log[WeekIndex],16))</f>
        <v/>
      </c>
      <c r="R48" s="17">
        <f>IF(COUNTIFS(T_TTAFStock_Log[Part Name],$A48,T_TTAFStock_Log[WeekIndex],17)=0,"",SUMIFS(T_TTAFStock_Log[TTAF_Qty],T_TTAFStock_Log[Part Name],$A48,T_TTAFStock_Log[WeekIndex],17))</f>
        <v/>
      </c>
      <c r="S48" s="17">
        <f>IF(COUNTIFS(T_TTAFStock_Log[Part Name],$A48,T_TTAFStock_Log[WeekIndex],18)=0,"",SUMIFS(T_TTAFStock_Log[TTAF_Qty],T_TTAFStock_Log[Part Name],$A48,T_TTAFStock_Log[WeekIndex],18))</f>
        <v/>
      </c>
      <c r="T48" s="17">
        <f>IF(COUNTIFS(T_TTAFStock_Log[Part Name],$A48,T_TTAFStock_Log[WeekIndex],19)=0,"",SUMIFS(T_TTAFStock_Log[TTAF_Qty],T_TTAFStock_Log[Part Name],$A48,T_TTAFStock_Log[WeekIndex],19))</f>
        <v/>
      </c>
      <c r="U48" s="17">
        <f>IF(COUNTIFS(T_TTAFStock_Log[Part Name],$A48,T_TTAFStock_Log[WeekIndex],20)=0,"",SUMIFS(T_TTAFStock_Log[TTAF_Qty],T_TTAFStock_Log[Part Name],$A48,T_TTAFStock_Log[WeekIndex],20))</f>
        <v/>
      </c>
      <c r="V48" s="17">
        <f>IF(COUNTIFS(T_TTAFStock_Log[Part Name],$A48,T_TTAFStock_Log[WeekIndex],21)=0,"",SUMIFS(T_TTAFStock_Log[TTAF_Qty],T_TTAFStock_Log[Part Name],$A48,T_TTAFStock_Log[WeekIndex],21))</f>
        <v/>
      </c>
      <c r="W48" s="17">
        <f>IF(COUNTIFS(T_TTAFStock_Log[Part Name],$A48,T_TTAFStock_Log[WeekIndex],22)=0,"",SUMIFS(T_TTAFStock_Log[TTAF_Qty],T_TTAFStock_Log[Part Name],$A48,T_TTAFStock_Log[WeekIndex],22))</f>
        <v/>
      </c>
      <c r="X48" s="17">
        <f>IF(COUNTIFS(T_TTAFStock_Log[Part Name],$A48,T_TTAFStock_Log[WeekIndex],23)=0,"",SUMIFS(T_TTAFStock_Log[TTAF_Qty],T_TTAFStock_Log[Part Name],$A48,T_TTAFStock_Log[WeekIndex],23))</f>
        <v/>
      </c>
      <c r="Y48" s="17">
        <f>IF(COUNTIFS(T_TTAFStock_Log[Part Name],$A48,T_TTAFStock_Log[WeekIndex],24)=0,"",SUMIFS(T_TTAFStock_Log[TTAF_Qty],T_TTAFStock_Log[Part Name],$A48,T_TTAFStock_Log[WeekIndex],24))</f>
        <v/>
      </c>
      <c r="Z48" s="17">
        <f>IF(COUNTIFS(T_TTAFStock_Log[Part Name],$A48,T_TTAFStock_Log[WeekIndex],25)=0,"",SUMIFS(T_TTAFStock_Log[TTAF_Qty],T_TTAFStock_Log[Part Name],$A48,T_TTAFStock_Log[WeekIndex],25))</f>
        <v/>
      </c>
      <c r="AA48" s="17">
        <f>IF(COUNTIFS(T_TTAFStock_Log[Part Name],$A48,T_TTAFStock_Log[WeekIndex],26)=0,"",SUMIFS(T_TTAFStock_Log[TTAF_Qty],T_TTAFStock_Log[Part Name],$A48,T_TTAFStock_Log[WeekIndex],26))</f>
        <v/>
      </c>
      <c r="AB48" s="17">
        <f>IF(COUNTIFS(T_TTAFStock_Log[Part Name],$A48,T_TTAFStock_Log[WeekIndex],27)=0,"",SUMIFS(T_TTAFStock_Log[TTAF_Qty],T_TTAFStock_Log[Part Name],$A48,T_TTAFStock_Log[WeekIndex],27))</f>
        <v/>
      </c>
      <c r="AC48" s="17">
        <f>IF(COUNTIFS(T_TTAFStock_Log[Part Name],$A48,T_TTAFStock_Log[WeekIndex],28)=0,"",SUMIFS(T_TTAFStock_Log[TTAF_Qty],T_TTAFStock_Log[Part Name],$A48,T_TTAFStock_Log[WeekIndex],28))</f>
        <v/>
      </c>
      <c r="AD48" s="17">
        <f>IF(COUNTIFS(T_TTAFStock_Log[Part Name],$A48,T_TTAFStock_Log[WeekIndex],29)=0,"",SUMIFS(T_TTAFStock_Log[TTAF_Qty],T_TTAFStock_Log[Part Name],$A48,T_TTAFStock_Log[WeekIndex],29))</f>
        <v/>
      </c>
      <c r="AE48" s="17">
        <f>IF(COUNTIFS(T_TTAFStock_Log[Part Name],$A48,T_TTAFStock_Log[WeekIndex],30)=0,"",SUMIFS(T_TTAFStock_Log[TTAF_Qty],T_TTAFStock_Log[Part Name],$A48,T_TTAFStock_Log[WeekIndex],30))</f>
        <v/>
      </c>
      <c r="AF48" s="17">
        <f>IF(COUNTIFS(T_TTAFStock_Log[Part Name],$A48,T_TTAFStock_Log[WeekIndex],31)=0,"",SUMIFS(T_TTAFStock_Log[TTAF_Qty],T_TTAFStock_Log[Part Name],$A48,T_TTAFStock_Log[WeekIndex],31))</f>
        <v/>
      </c>
      <c r="AG48" s="17">
        <f>IF(COUNTIFS(T_TTAFStock_Log[Part Name],$A48,T_TTAFStock_Log[WeekIndex],32)=0,"",SUMIFS(T_TTAFStock_Log[TTAF_Qty],T_TTAFStock_Log[Part Name],$A48,T_TTAFStock_Log[WeekIndex],32))</f>
        <v/>
      </c>
      <c r="AH48" s="17">
        <f>IF(COUNTIFS(T_TTAFStock_Log[Part Name],$A48,T_TTAFStock_Log[WeekIndex],33)=0,"",SUMIFS(T_TTAFStock_Log[TTAF_Qty],T_TTAFStock_Log[Part Name],$A48,T_TTAFStock_Log[WeekIndex],33))</f>
        <v/>
      </c>
      <c r="AI48" s="17">
        <f>IF(COUNTIFS(T_TTAFStock_Log[Part Name],$A48,T_TTAFStock_Log[WeekIndex],34)=0,"",SUMIFS(T_TTAFStock_Log[TTAF_Qty],T_TTAFStock_Log[Part Name],$A48,T_TTAFStock_Log[WeekIndex],34))</f>
        <v/>
      </c>
      <c r="AJ48" s="17">
        <f>IF(COUNTIFS(T_TTAFStock_Log[Part Name],$A48,T_TTAFStock_Log[WeekIndex],35)=0,"",SUMIFS(T_TTAFStock_Log[TTAF_Qty],T_TTAFStock_Log[Part Name],$A48,T_TTAFStock_Log[WeekIndex],35))</f>
        <v/>
      </c>
      <c r="AK48" s="17">
        <f>IF(COUNTIFS(T_TTAFStock_Log[Part Name],$A48,T_TTAFStock_Log[WeekIndex],36)=0,"",SUMIFS(T_TTAFStock_Log[TTAF_Qty],T_TTAFStock_Log[Part Name],$A48,T_TTAFStock_Log[WeekIndex],36))</f>
        <v/>
      </c>
      <c r="AL48" s="17">
        <f>IF(COUNTIFS(T_TTAFStock_Log[Part Name],$A48,T_TTAFStock_Log[WeekIndex],37)=0,"",SUMIFS(T_TTAFStock_Log[TTAF_Qty],T_TTAFStock_Log[Part Name],$A48,T_TTAFStock_Log[WeekIndex],37))</f>
        <v/>
      </c>
      <c r="AM48" s="17">
        <f>IF(COUNTIFS(T_TTAFStock_Log[Part Name],$A48,T_TTAFStock_Log[WeekIndex],38)=0,"",SUMIFS(T_TTAFStock_Log[TTAF_Qty],T_TTAFStock_Log[Part Name],$A48,T_TTAFStock_Log[WeekIndex],38))</f>
        <v/>
      </c>
      <c r="AN48" s="17">
        <f>IF(COUNTIFS(T_TTAFStock_Log[Part Name],$A48,T_TTAFStock_Log[WeekIndex],39)=0,"",SUMIFS(T_TTAFStock_Log[TTAF_Qty],T_TTAFStock_Log[Part Name],$A48,T_TTAFStock_Log[WeekIndex],39))</f>
        <v/>
      </c>
      <c r="AO48" s="17">
        <f>IF(COUNTIFS(T_TTAFStock_Log[Part Name],$A48,T_TTAFStock_Log[WeekIndex],40)=0,"",SUMIFS(T_TTAFStock_Log[TTAF_Qty],T_TTAFStock_Log[Part Name],$A48,T_TTAFStock_Log[WeekIndex],40))</f>
        <v/>
      </c>
      <c r="AP48" s="17">
        <f>IF(COUNTIFS(T_TTAFStock_Log[Part Name],$A48,T_TTAFStock_Log[WeekIndex],41)=0,"",SUMIFS(T_TTAFStock_Log[TTAF_Qty],T_TTAFStock_Log[Part Name],$A48,T_TTAFStock_Log[WeekIndex],41))</f>
        <v/>
      </c>
      <c r="AQ48" s="17">
        <f>IF(COUNTIFS(T_TTAFStock_Log[Part Name],$A48,T_TTAFStock_Log[WeekIndex],42)=0,"",SUMIFS(T_TTAFStock_Log[TTAF_Qty],T_TTAFStock_Log[Part Name],$A48,T_TTAFStock_Log[WeekIndex],42))</f>
        <v/>
      </c>
      <c r="AR48" s="17">
        <f>IF(COUNTIFS(T_TTAFStock_Log[Part Name],$A48,T_TTAFStock_Log[WeekIndex],43)=0,"",SUMIFS(T_TTAFStock_Log[TTAF_Qty],T_TTAFStock_Log[Part Name],$A48,T_TTAFStock_Log[WeekIndex],43))</f>
        <v/>
      </c>
      <c r="AS48" s="17">
        <f>IF(COUNTIFS(T_TTAFStock_Log[Part Name],$A48,T_TTAFStock_Log[WeekIndex],44)=0,"",SUMIFS(T_TTAFStock_Log[TTAF_Qty],T_TTAFStock_Log[Part Name],$A48,T_TTAFStock_Log[WeekIndex],44))</f>
        <v/>
      </c>
      <c r="AT48" s="17">
        <f>IF(COUNTIFS(T_TTAFStock_Log[Part Name],$A48,T_TTAFStock_Log[WeekIndex],45)=0,"",SUMIFS(T_TTAFStock_Log[TTAF_Qty],T_TTAFStock_Log[Part Name],$A48,T_TTAFStock_Log[WeekIndex],45))</f>
        <v/>
      </c>
      <c r="AU48" s="17">
        <f>IF(COUNTIFS(T_TTAFStock_Log[Part Name],$A48,T_TTAFStock_Log[WeekIndex],46)=0,"",SUMIFS(T_TTAFStock_Log[TTAF_Qty],T_TTAFStock_Log[Part Name],$A48,T_TTAFStock_Log[WeekIndex],46))</f>
        <v/>
      </c>
      <c r="AV48" s="17">
        <f>IF(COUNTIFS(T_TTAFStock_Log[Part Name],$A48,T_TTAFStock_Log[WeekIndex],47)=0,"",SUMIFS(T_TTAFStock_Log[TTAF_Qty],T_TTAFStock_Log[Part Name],$A48,T_TTAFStock_Log[WeekIndex],47))</f>
        <v/>
      </c>
      <c r="AW48" s="17">
        <f>IF(COUNTIFS(T_TTAFStock_Log[Part Name],$A48,T_TTAFStock_Log[WeekIndex],48)=0,"",SUMIFS(T_TTAFStock_Log[TTAF_Qty],T_TTAFStock_Log[Part Name],$A48,T_TTAFStock_Log[WeekIndex],48))</f>
        <v/>
      </c>
      <c r="AX48" s="17">
        <f>IF(COUNTIFS(T_TTAFStock_Log[Part Name],$A48,T_TTAFStock_Log[WeekIndex],49)=0,"",SUMIFS(T_TTAFStock_Log[TTAF_Qty],T_TTAFStock_Log[Part Name],$A48,T_TTAFStock_Log[WeekIndex],49))</f>
        <v/>
      </c>
      <c r="AY48" s="17">
        <f>IF(COUNTIFS(T_TTAFStock_Log[Part Name],$A48,T_TTAFStock_Log[WeekIndex],50)=0,"",SUMIFS(T_TTAFStock_Log[TTAF_Qty],T_TTAFStock_Log[Part Name],$A48,T_TTAFStock_Log[WeekIndex],50))</f>
        <v/>
      </c>
      <c r="AZ48" s="17">
        <f>IF(COUNTIFS(T_TTAFStock_Log[Part Name],$A48,T_TTAFStock_Log[WeekIndex],51)=0,"",SUMIFS(T_TTAFStock_Log[TTAF_Qty],T_TTAFStock_Log[Part Name],$A48,T_TTAFStock_Log[WeekIndex],51))</f>
        <v/>
      </c>
      <c r="BA48" s="17">
        <f>IF(COUNTIFS(T_TTAFStock_Log[Part Name],$A48,T_TTAFStock_Log[WeekIndex],52)=0,"",SUMIFS(T_TTAFStock_Log[TTAF_Qty],T_TTAFStock_Log[Part Name],$A48,T_TTAFStock_Log[WeekIndex],52))</f>
        <v/>
      </c>
      <c r="BB48" s="17">
        <f>IF(COUNTIFS(T_TTAFStock_Log[Part Name],$A48,T_TTAFStock_Log[WeekIndex],53)=0,"",SUMIFS(T_TTAFStock_Log[TTAF_Qty],T_TTAFStock_Log[Part Name],$A48,T_TTAFStock_Log[WeekIndex],53))</f>
        <v/>
      </c>
      <c r="BC48" s="17">
        <f>IF(COUNTIFS(T_TTAFStock_Log[Part Name],$A48,T_TTAFStock_Log[WeekIndex],54)=0,"",SUMIFS(T_TTAFStock_Log[TTAF_Qty],T_TTAFStock_Log[Part Name],$A48,T_TTAFStock_Log[WeekIndex],54))</f>
        <v/>
      </c>
      <c r="BD48" s="17">
        <f>IF(COUNTIFS(T_TTAFStock_Log[Part Name],$A48,T_TTAFStock_Log[WeekIndex],55)=0,"",SUMIFS(T_TTAFStock_Log[TTAF_Qty],T_TTAFStock_Log[Part Name],$A48,T_TTAFStock_Log[WeekIndex],55))</f>
        <v/>
      </c>
      <c r="BE48" s="17">
        <f>IF(COUNTIFS(T_TTAFStock_Log[Part Name],$A48,T_TTAFStock_Log[WeekIndex],56)=0,"",SUMIFS(T_TTAFStock_Log[TTAF_Qty],T_TTAFStock_Log[Part Name],$A48,T_TTAFStock_Log[WeekIndex],56))</f>
        <v/>
      </c>
      <c r="BF48" s="17">
        <f>IF(COUNTIFS(T_TTAFStock_Log[Part Name],$A48,T_TTAFStock_Log[WeekIndex],57)=0,"",SUMIFS(T_TTAFStock_Log[TTAF_Qty],T_TTAFStock_Log[Part Name],$A48,T_TTAFStock_Log[WeekIndex],57))</f>
        <v/>
      </c>
      <c r="BG48" s="17">
        <f>IF(COUNTIFS(T_TTAFStock_Log[Part Name],$A48,T_TTAFStock_Log[WeekIndex],58)=0,"",SUMIFS(T_TTAFStock_Log[TTAF_Qty],T_TTAFStock_Log[Part Name],$A48,T_TTAFStock_Log[WeekIndex],58))</f>
        <v/>
      </c>
      <c r="BH48" s="17">
        <f>IF(COUNTIFS(T_TTAFStock_Log[Part Name],$A48,T_TTAFStock_Log[WeekIndex],59)=0,"",SUMIFS(T_TTAFStock_Log[TTAF_Qty],T_TTAFStock_Log[Part Name],$A48,T_TTAFStock_Log[WeekIndex],59))</f>
        <v/>
      </c>
      <c r="BI48" s="17">
        <f>IF(COUNTIFS(T_TTAFStock_Log[Part Name],$A48,T_TTAFStock_Log[WeekIndex],60)=0,"",SUMIFS(T_TTAFStock_Log[TTAF_Qty],T_TTAFStock_Log[Part Name],$A48,T_TTAFStock_Log[WeekIndex],60))</f>
        <v/>
      </c>
      <c r="BJ48" s="17">
        <f>IF(COUNTIFS(T_TTAFStock_Log[Part Name],$A48,T_TTAFStock_Log[WeekIndex],61)=0,"",SUMIFS(T_TTAFStock_Log[TTAF_Qty],T_TTAFStock_Log[Part Name],$A48,T_TTAFStock_Log[WeekIndex],61))</f>
        <v/>
      </c>
      <c r="BK48" s="17">
        <f>IF(COUNTIFS(T_TTAFStock_Log[Part Name],$A48,T_TTAFStock_Log[WeekIndex],62)=0,"",SUMIFS(T_TTAFStock_Log[TTAF_Qty],T_TTAFStock_Log[Part Name],$A48,T_TTAFStock_Log[WeekIndex],62))</f>
        <v/>
      </c>
      <c r="BL48" s="17">
        <f>IF(COUNTIFS(T_TTAFStock_Log[Part Name],$A48,T_TTAFStock_Log[WeekIndex],63)=0,"",SUMIFS(T_TTAFStock_Log[TTAF_Qty],T_TTAFStock_Log[Part Name],$A48,T_TTAFStock_Log[WeekIndex],63))</f>
        <v/>
      </c>
      <c r="BM48" s="17">
        <f>IF(COUNTIFS(T_TTAFStock_Log[Part Name],$A48,T_TTAFStock_Log[WeekIndex],64)=0,"",SUMIFS(T_TTAFStock_Log[TTAF_Qty],T_TTAFStock_Log[Part Name],$A48,T_TTAFStock_Log[WeekIndex],64))</f>
        <v/>
      </c>
      <c r="BN48" s="17">
        <f>IF(COUNTIFS(T_TTAFStock_Log[Part Name],$A48,T_TTAFStock_Log[WeekIndex],65)=0,"",SUMIFS(T_TTAFStock_Log[TTAF_Qty],T_TTAFStock_Log[Part Name],$A48,T_TTAFStock_Log[WeekIndex],65))</f>
        <v/>
      </c>
      <c r="BO48" s="17">
        <f>IF(COUNTIFS(T_TTAFStock_Log[Part Name],$A48,T_TTAFStock_Log[WeekIndex],66)=0,"",SUMIFS(T_TTAFStock_Log[TTAF_Qty],T_TTAFStock_Log[Part Name],$A48,T_TTAFStock_Log[WeekIndex],66))</f>
        <v/>
      </c>
      <c r="BP48" s="17">
        <f>IF(COUNTIFS(T_TTAFStock_Log[Part Name],$A48,T_TTAFStock_Log[WeekIndex],67)=0,"",SUMIFS(T_TTAFStock_Log[TTAF_Qty],T_TTAFStock_Log[Part Name],$A48,T_TTAFStock_Log[WeekIndex],67))</f>
        <v/>
      </c>
      <c r="BQ48" s="17">
        <f>IF(COUNTIFS(T_TTAFStock_Log[Part Name],$A48,T_TTAFStock_Log[WeekIndex],68)=0,"",SUMIFS(T_TTAFStock_Log[TTAF_Qty],T_TTAFStock_Log[Part Name],$A48,T_TTAFStock_Log[WeekIndex],68))</f>
        <v/>
      </c>
      <c r="BR48" s="17">
        <f>IF(COUNTIFS(T_TTAFStock_Log[Part Name],$A48,T_TTAFStock_Log[WeekIndex],69)=0,"",SUMIFS(T_TTAFStock_Log[TTAF_Qty],T_TTAFStock_Log[Part Name],$A48,T_TTAFStock_Log[WeekIndex],69))</f>
        <v/>
      </c>
      <c r="BS48" s="17">
        <f>IF(COUNTIFS(T_TTAFStock_Log[Part Name],$A48,T_TTAFStock_Log[WeekIndex],70)=0,"",SUMIFS(T_TTAFStock_Log[TTAF_Qty],T_TTAFStock_Log[Part Name],$A48,T_TTAFStock_Log[WeekIndex],70))</f>
        <v/>
      </c>
      <c r="BT48" s="17">
        <f>IF(COUNTIFS(T_TTAFStock_Log[Part Name],$A48,T_TTAFStock_Log[WeekIndex],71)=0,"",SUMIFS(T_TTAFStock_Log[TTAF_Qty],T_TTAFStock_Log[Part Name],$A48,T_TTAFStock_Log[WeekIndex],71))</f>
        <v/>
      </c>
      <c r="BU48" s="17">
        <f>IF(COUNTIFS(T_TTAFStock_Log[Part Name],$A48,T_TTAFStock_Log[WeekIndex],72)=0,"",SUMIFS(T_TTAFStock_Log[TTAF_Qty],T_TTAFStock_Log[Part Name],$A48,T_TTAFStock_Log[WeekIndex],72))</f>
        <v/>
      </c>
      <c r="BV48" s="17">
        <f>IF(COUNTIFS(T_TTAFStock_Log[Part Name],$A48,T_TTAFStock_Log[WeekIndex],73)=0,"",SUMIFS(T_TTAFStock_Log[TTAF_Qty],T_TTAFStock_Log[Part Name],$A48,T_TTAFStock_Log[WeekIndex],73))</f>
        <v/>
      </c>
      <c r="BW48" s="17">
        <f>IF(COUNTIFS(T_TTAFStock_Log[Part Name],$A48,T_TTAFStock_Log[WeekIndex],74)=0,"",SUMIFS(T_TTAFStock_Log[TTAF_Qty],T_TTAFStock_Log[Part Name],$A48,T_TTAFStock_Log[WeekIndex],74))</f>
        <v/>
      </c>
      <c r="BX48" s="17">
        <f>IF(COUNTIFS(T_TTAFStock_Log[Part Name],$A48,T_TTAFStock_Log[WeekIndex],75)=0,"",SUMIFS(T_TTAFStock_Log[TTAF_Qty],T_TTAFStock_Log[Part Name],$A48,T_TTAFStock_Log[WeekIndex],75))</f>
        <v/>
      </c>
      <c r="BY48" s="17">
        <f>IF(COUNTIFS(T_TTAFStock_Log[Part Name],$A48,T_TTAFStock_Log[WeekIndex],76)=0,"",SUMIFS(T_TTAFStock_Log[TTAF_Qty],T_TTAFStock_Log[Part Name],$A48,T_TTAFStock_Log[WeekIndex],76))</f>
        <v/>
      </c>
      <c r="BZ48" s="17">
        <f>IF(COUNTIFS(T_TTAFStock_Log[Part Name],$A48,T_TTAFStock_Log[WeekIndex],77)=0,"",SUMIFS(T_TTAFStock_Log[TTAF_Qty],T_TTAFStock_Log[Part Name],$A48,T_TTAFStock_Log[WeekIndex],77))</f>
        <v/>
      </c>
      <c r="CA48" s="17">
        <f>IF(COUNTIFS(T_TTAFStock_Log[Part Name],$A48,T_TTAFStock_Log[WeekIndex],78)=0,"",SUMIFS(T_TTAFStock_Log[TTAF_Qty],T_TTAFStock_Log[Part Name],$A48,T_TTAFStock_Log[WeekIndex],78))</f>
        <v/>
      </c>
      <c r="CB48" s="17">
        <f>IF(COUNTIFS(T_TTAFStock_Log[Part Name],$A48,T_TTAFStock_Log[WeekIndex],79)=0,"",SUMIFS(T_TTAFStock_Log[TTAF_Qty],T_TTAFStock_Log[Part Name],$A48,T_TTAFStock_Log[WeekIndex],79))</f>
        <v/>
      </c>
      <c r="CC48" s="17">
        <f>IF(COUNTIFS(T_TTAFStock_Log[Part Name],$A48,T_TTAFStock_Log[WeekIndex],80)=0,"",SUMIFS(T_TTAFStock_Log[TTAF_Qty],T_TTAFStock_Log[Part Name],$A48,T_TTAFStock_Log[WeekIndex],80))</f>
        <v/>
      </c>
      <c r="CD48" s="17">
        <f>IF(COUNTIFS(T_TTAFStock_Log[Part Name],$A48,T_TTAFStock_Log[WeekIndex],81)=0,"",SUMIFS(T_TTAFStock_Log[TTAF_Qty],T_TTAFStock_Log[Part Name],$A48,T_TTAFStock_Log[WeekIndex],81))</f>
        <v/>
      </c>
      <c r="CE48" s="17">
        <f>IF(COUNTIFS(T_TTAFStock_Log[Part Name],$A48,T_TTAFStock_Log[WeekIndex],82)=0,"",SUMIFS(T_TTAFStock_Log[TTAF_Qty],T_TTAFStock_Log[Part Name],$A48,T_TTAFStock_Log[WeekIndex],82))</f>
        <v/>
      </c>
      <c r="CF48" s="17">
        <f>IF(COUNTIFS(T_TTAFStock_Log[Part Name],$A48,T_TTAFStock_Log[WeekIndex],83)=0,"",SUMIFS(T_TTAFStock_Log[TTAF_Qty],T_TTAFStock_Log[Part Name],$A48,T_TTAFStock_Log[WeekIndex],83))</f>
        <v/>
      </c>
      <c r="CG48" s="17">
        <f>IF(COUNTIFS(T_TTAFStock_Log[Part Name],$A48,T_TTAFStock_Log[WeekIndex],84)=0,"",SUMIFS(T_TTAFStock_Log[TTAF_Qty],T_TTAFStock_Log[Part Name],$A48,T_TTAFStock_Log[WeekIndex],84))</f>
        <v/>
      </c>
      <c r="CH48" s="17">
        <f>IF(COUNTIFS(T_TTAFStock_Log[Part Name],$A48,T_TTAFStock_Log[WeekIndex],85)=0,"",SUMIFS(T_TTAFStock_Log[TTAF_Qty],T_TTAFStock_Log[Part Name],$A48,T_TTAFStock_Log[WeekIndex],85))</f>
        <v/>
      </c>
      <c r="CI48" s="17">
        <f>IF(COUNTIFS(T_TTAFStock_Log[Part Name],$A48,T_TTAFStock_Log[WeekIndex],86)=0,"",SUMIFS(T_TTAFStock_Log[TTAF_Qty],T_TTAFStock_Log[Part Name],$A48,T_TTAFStock_Log[WeekIndex],86))</f>
        <v/>
      </c>
      <c r="CJ48" s="17">
        <f>IF(COUNTIFS(T_TTAFStock_Log[Part Name],$A48,T_TTAFStock_Log[WeekIndex],87)=0,"",SUMIFS(T_TTAFStock_Log[TTAF_Qty],T_TTAFStock_Log[Part Name],$A48,T_TTAFStock_Log[WeekIndex],87))</f>
        <v/>
      </c>
      <c r="CK48" s="17">
        <f>IF(COUNTIFS(T_TTAFStock_Log[Part Name],$A48,T_TTAFStock_Log[WeekIndex],88)=0,"",SUMIFS(T_TTAFStock_Log[TTAF_Qty],T_TTAFStock_Log[Part Name],$A48,T_TTAFStock_Log[WeekIndex],88))</f>
        <v/>
      </c>
      <c r="CL48" s="17">
        <f>IF(COUNTIFS(T_TTAFStock_Log[Part Name],$A48,T_TTAFStock_Log[WeekIndex],89)=0,"",SUMIFS(T_TTAFStock_Log[TTAF_Qty],T_TTAFStock_Log[Part Name],$A48,T_TTAFStock_Log[WeekIndex],89))</f>
        <v/>
      </c>
      <c r="CM48" s="17">
        <f>IF(COUNTIFS(T_TTAFStock_Log[Part Name],$A48,T_TTAFStock_Log[WeekIndex],90)=0,"",SUMIFS(T_TTAFStock_Log[TTAF_Qty],T_TTAFStock_Log[Part Name],$A48,T_TTAFStock_Log[WeekIndex],90))</f>
        <v/>
      </c>
      <c r="CN48" s="17">
        <f>IF(COUNTIFS(T_TTAFStock_Log[Part Name],$A48,T_TTAFStock_Log[WeekIndex],91)=0,"",SUMIFS(T_TTAFStock_Log[TTAF_Qty],T_TTAFStock_Log[Part Name],$A48,T_TTAFStock_Log[WeekIndex],91))</f>
        <v/>
      </c>
      <c r="CO48" s="17">
        <f>IF(COUNTIFS(T_TTAFStock_Log[Part Name],$A48,T_TTAFStock_Log[WeekIndex],92)=0,"",SUMIFS(T_TTAFStock_Log[TTAF_Qty],T_TTAFStock_Log[Part Name],$A48,T_TTAFStock_Log[WeekIndex],92))</f>
        <v/>
      </c>
      <c r="CP48" s="17">
        <f>IF(COUNTIFS(T_TTAFStock_Log[Part Name],$A48,T_TTAFStock_Log[WeekIndex],93)=0,"",SUMIFS(T_TTAFStock_Log[TTAF_Qty],T_TTAFStock_Log[Part Name],$A48,T_TTAFStock_Log[WeekIndex],93))</f>
        <v/>
      </c>
      <c r="CQ48" s="17">
        <f>IF(COUNTIFS(T_TTAFStock_Log[Part Name],$A48,T_TTAFStock_Log[WeekIndex],94)=0,"",SUMIFS(T_TTAFStock_Log[TTAF_Qty],T_TTAFStock_Log[Part Name],$A48,T_TTAFStock_Log[WeekIndex],94))</f>
        <v/>
      </c>
      <c r="CR48" s="17">
        <f>IF(COUNTIFS(T_TTAFStock_Log[Part Name],$A48,T_TTAFStock_Log[WeekIndex],95)=0,"",SUMIFS(T_TTAFStock_Log[TTAF_Qty],T_TTAFStock_Log[Part Name],$A48,T_TTAFStock_Log[WeekIndex],95))</f>
        <v/>
      </c>
      <c r="CS48" s="17">
        <f>IF(COUNTIFS(T_TTAFStock_Log[Part Name],$A48,T_TTAFStock_Log[WeekIndex],96)=0,"",SUMIFS(T_TTAFStock_Log[TTAF_Qty],T_TTAFStock_Log[Part Name],$A48,T_TTAFStock_Log[WeekIndex],96))</f>
        <v/>
      </c>
      <c r="CT48" s="17">
        <f>IF(COUNTIFS(T_TTAFStock_Log[Part Name],$A48,T_TTAFStock_Log[WeekIndex],97)=0,"",SUMIFS(T_TTAFStock_Log[TTAF_Qty],T_TTAFStock_Log[Part Name],$A48,T_TTAFStock_Log[WeekIndex],97))</f>
        <v/>
      </c>
      <c r="CU48" s="17">
        <f>IF(COUNTIFS(T_TTAFStock_Log[Part Name],$A48,T_TTAFStock_Log[WeekIndex],98)=0,"",SUMIFS(T_TTAFStock_Log[TTAF_Qty],T_TTAFStock_Log[Part Name],$A48,T_TTAFStock_Log[WeekIndex],98))</f>
        <v/>
      </c>
      <c r="CV48" s="17">
        <f>IF(COUNTIFS(T_TTAFStock_Log[Part Name],$A48,T_TTAFStock_Log[WeekIndex],99)=0,"",SUMIFS(T_TTAFStock_Log[TTAF_Qty],T_TTAFStock_Log[Part Name],$A48,T_TTAFStock_Log[WeekIndex],99))</f>
        <v/>
      </c>
      <c r="CW48" s="17">
        <f>IF(COUNTIFS(T_TTAFStock_Log[Part Name],$A48,T_TTAFStock_Log[WeekIndex],100)=0,"",SUMIFS(T_TTAFStock_Log[TTAF_Qty],T_TTAFStock_Log[Part Name],$A48,T_TTAFStock_Log[WeekIndex],100))</f>
        <v/>
      </c>
      <c r="CX48" s="17">
        <f>IF(COUNTIFS(T_TTAFStock_Log[Part Name],$A48,T_TTAFStock_Log[WeekIndex],101)=0,"",SUMIFS(T_TTAFStock_Log[TTAF_Qty],T_TTAFStock_Log[Part Name],$A48,T_TTAFStock_Log[WeekIndex],101))</f>
        <v/>
      </c>
      <c r="CY48" s="17">
        <f>IF(COUNTIFS(T_TTAFStock_Log[Part Name],$A48,T_TTAFStock_Log[WeekIndex],102)=0,"",SUMIFS(T_TTAFStock_Log[TTAF_Qty],T_TTAFStock_Log[Part Name],$A48,T_TTAFStock_Log[WeekIndex],102))</f>
        <v/>
      </c>
      <c r="CZ48" s="17">
        <f>IF(COUNTIFS(T_TTAFStock_Log[Part Name],$A48,T_TTAFStock_Log[WeekIndex],103)=0,"",SUMIFS(T_TTAFStock_Log[TTAF_Qty],T_TTAFStock_Log[Part Name],$A48,T_TTAFStock_Log[WeekIndex],103))</f>
        <v/>
      </c>
      <c r="DA48" s="17">
        <f>IF(COUNTIFS(T_TTAFStock_Log[Part Name],$A48,T_TTAFStock_Log[WeekIndex],104)=0,"",SUMIFS(T_TTAFStock_Log[TTAF_Qty],T_TTAFStock_Log[Part Name],$A48,T_TTAFStock_Log[WeekIndex],104))</f>
        <v/>
      </c>
    </row>
    <row r="49">
      <c r="A49" s="19" t="inlineStr">
        <is>
          <t>CHEM-1770</t>
        </is>
      </c>
      <c r="B49" s="19">
        <f>IF(COUNTIFS(T_TTAFStock_Log[Part Name],$A49,T_TTAFStock_Log[WeekIndex],1)=0,"",SUMIFS(T_TTAFStock_Log[TTAF_Qty],T_TTAFStock_Log[Part Name],$A49,T_TTAFStock_Log[WeekIndex],1))</f>
        <v/>
      </c>
      <c r="C49" s="19">
        <f>IF(COUNTIFS(T_TTAFStock_Log[Part Name],$A49,T_TTAFStock_Log[WeekIndex],2)=0,"",SUMIFS(T_TTAFStock_Log[TTAF_Qty],T_TTAFStock_Log[Part Name],$A49,T_TTAFStock_Log[WeekIndex],2))</f>
        <v/>
      </c>
      <c r="D49" s="19">
        <f>IF(COUNTIFS(T_TTAFStock_Log[Part Name],$A49,T_TTAFStock_Log[WeekIndex],3)=0,"",SUMIFS(T_TTAFStock_Log[TTAF_Qty],T_TTAFStock_Log[Part Name],$A49,T_TTAFStock_Log[WeekIndex],3))</f>
        <v/>
      </c>
      <c r="E49" s="19">
        <f>IF(COUNTIFS(T_TTAFStock_Log[Part Name],$A49,T_TTAFStock_Log[WeekIndex],4)=0,"",SUMIFS(T_TTAFStock_Log[TTAF_Qty],T_TTAFStock_Log[Part Name],$A49,T_TTAFStock_Log[WeekIndex],4))</f>
        <v/>
      </c>
      <c r="F49" s="19">
        <f>IF(COUNTIFS(T_TTAFStock_Log[Part Name],$A49,T_TTAFStock_Log[WeekIndex],5)=0,"",SUMIFS(T_TTAFStock_Log[TTAF_Qty],T_TTAFStock_Log[Part Name],$A49,T_TTAFStock_Log[WeekIndex],5))</f>
        <v/>
      </c>
      <c r="G49" s="19">
        <f>IF(COUNTIFS(T_TTAFStock_Log[Part Name],$A49,T_TTAFStock_Log[WeekIndex],6)=0,"",SUMIFS(T_TTAFStock_Log[TTAF_Qty],T_TTAFStock_Log[Part Name],$A49,T_TTAFStock_Log[WeekIndex],6))</f>
        <v/>
      </c>
      <c r="H49" s="19">
        <f>IF(COUNTIFS(T_TTAFStock_Log[Part Name],$A49,T_TTAFStock_Log[WeekIndex],7)=0,"",SUMIFS(T_TTAFStock_Log[TTAF_Qty],T_TTAFStock_Log[Part Name],$A49,T_TTAFStock_Log[WeekIndex],7))</f>
        <v/>
      </c>
      <c r="I49" s="19">
        <f>IF(COUNTIFS(T_TTAFStock_Log[Part Name],$A49,T_TTAFStock_Log[WeekIndex],8)=0,"",SUMIFS(T_TTAFStock_Log[TTAF_Qty],T_TTAFStock_Log[Part Name],$A49,T_TTAFStock_Log[WeekIndex],8))</f>
        <v/>
      </c>
      <c r="J49" s="19">
        <f>IF(COUNTIFS(T_TTAFStock_Log[Part Name],$A49,T_TTAFStock_Log[WeekIndex],9)=0,"",SUMIFS(T_TTAFStock_Log[TTAF_Qty],T_TTAFStock_Log[Part Name],$A49,T_TTAFStock_Log[WeekIndex],9))</f>
        <v/>
      </c>
      <c r="K49" s="19">
        <f>IF(COUNTIFS(T_TTAFStock_Log[Part Name],$A49,T_TTAFStock_Log[WeekIndex],10)=0,"",SUMIFS(T_TTAFStock_Log[TTAF_Qty],T_TTAFStock_Log[Part Name],$A49,T_TTAFStock_Log[WeekIndex],10))</f>
        <v/>
      </c>
      <c r="L49" s="19">
        <f>IF(COUNTIFS(T_TTAFStock_Log[Part Name],$A49,T_TTAFStock_Log[WeekIndex],11)=0,"",SUMIFS(T_TTAFStock_Log[TTAF_Qty],T_TTAFStock_Log[Part Name],$A49,T_TTAFStock_Log[WeekIndex],11))</f>
        <v/>
      </c>
      <c r="M49" s="19">
        <f>IF(COUNTIFS(T_TTAFStock_Log[Part Name],$A49,T_TTAFStock_Log[WeekIndex],12)=0,"",SUMIFS(T_TTAFStock_Log[TTAF_Qty],T_TTAFStock_Log[Part Name],$A49,T_TTAFStock_Log[WeekIndex],12))</f>
        <v/>
      </c>
      <c r="N49" s="19">
        <f>IF(COUNTIFS(T_TTAFStock_Log[Part Name],$A49,T_TTAFStock_Log[WeekIndex],13)=0,"",SUMIFS(T_TTAFStock_Log[TTAF_Qty],T_TTAFStock_Log[Part Name],$A49,T_TTAFStock_Log[WeekIndex],13))</f>
        <v/>
      </c>
      <c r="O49" s="19">
        <f>IF(COUNTIFS(T_TTAFStock_Log[Part Name],$A49,T_TTAFStock_Log[WeekIndex],14)=0,"",SUMIFS(T_TTAFStock_Log[TTAF_Qty],T_TTAFStock_Log[Part Name],$A49,T_TTAFStock_Log[WeekIndex],14))</f>
        <v/>
      </c>
      <c r="P49" s="19">
        <f>IF(COUNTIFS(T_TTAFStock_Log[Part Name],$A49,T_TTAFStock_Log[WeekIndex],15)=0,"",SUMIFS(T_TTAFStock_Log[TTAF_Qty],T_TTAFStock_Log[Part Name],$A49,T_TTAFStock_Log[WeekIndex],15))</f>
        <v/>
      </c>
      <c r="Q49" s="19">
        <f>IF(COUNTIFS(T_TTAFStock_Log[Part Name],$A49,T_TTAFStock_Log[WeekIndex],16)=0,"",SUMIFS(T_TTAFStock_Log[TTAF_Qty],T_TTAFStock_Log[Part Name],$A49,T_TTAFStock_Log[WeekIndex],16))</f>
        <v/>
      </c>
      <c r="R49" s="19">
        <f>IF(COUNTIFS(T_TTAFStock_Log[Part Name],$A49,T_TTAFStock_Log[WeekIndex],17)=0,"",SUMIFS(T_TTAFStock_Log[TTAF_Qty],T_TTAFStock_Log[Part Name],$A49,T_TTAFStock_Log[WeekIndex],17))</f>
        <v/>
      </c>
      <c r="S49" s="19">
        <f>IF(COUNTIFS(T_TTAFStock_Log[Part Name],$A49,T_TTAFStock_Log[WeekIndex],18)=0,"",SUMIFS(T_TTAFStock_Log[TTAF_Qty],T_TTAFStock_Log[Part Name],$A49,T_TTAFStock_Log[WeekIndex],18))</f>
        <v/>
      </c>
      <c r="T49" s="19">
        <f>IF(COUNTIFS(T_TTAFStock_Log[Part Name],$A49,T_TTAFStock_Log[WeekIndex],19)=0,"",SUMIFS(T_TTAFStock_Log[TTAF_Qty],T_TTAFStock_Log[Part Name],$A49,T_TTAFStock_Log[WeekIndex],19))</f>
        <v/>
      </c>
      <c r="U49" s="19">
        <f>IF(COUNTIFS(T_TTAFStock_Log[Part Name],$A49,T_TTAFStock_Log[WeekIndex],20)=0,"",SUMIFS(T_TTAFStock_Log[TTAF_Qty],T_TTAFStock_Log[Part Name],$A49,T_TTAFStock_Log[WeekIndex],20))</f>
        <v/>
      </c>
      <c r="V49" s="19">
        <f>IF(COUNTIFS(T_TTAFStock_Log[Part Name],$A49,T_TTAFStock_Log[WeekIndex],21)=0,"",SUMIFS(T_TTAFStock_Log[TTAF_Qty],T_TTAFStock_Log[Part Name],$A49,T_TTAFStock_Log[WeekIndex],21))</f>
        <v/>
      </c>
      <c r="W49" s="19">
        <f>IF(COUNTIFS(T_TTAFStock_Log[Part Name],$A49,T_TTAFStock_Log[WeekIndex],22)=0,"",SUMIFS(T_TTAFStock_Log[TTAF_Qty],T_TTAFStock_Log[Part Name],$A49,T_TTAFStock_Log[WeekIndex],22))</f>
        <v/>
      </c>
      <c r="X49" s="19">
        <f>IF(COUNTIFS(T_TTAFStock_Log[Part Name],$A49,T_TTAFStock_Log[WeekIndex],23)=0,"",SUMIFS(T_TTAFStock_Log[TTAF_Qty],T_TTAFStock_Log[Part Name],$A49,T_TTAFStock_Log[WeekIndex],23))</f>
        <v/>
      </c>
      <c r="Y49" s="19">
        <f>IF(COUNTIFS(T_TTAFStock_Log[Part Name],$A49,T_TTAFStock_Log[WeekIndex],24)=0,"",SUMIFS(T_TTAFStock_Log[TTAF_Qty],T_TTAFStock_Log[Part Name],$A49,T_TTAFStock_Log[WeekIndex],24))</f>
        <v/>
      </c>
      <c r="Z49" s="19">
        <f>IF(COUNTIFS(T_TTAFStock_Log[Part Name],$A49,T_TTAFStock_Log[WeekIndex],25)=0,"",SUMIFS(T_TTAFStock_Log[TTAF_Qty],T_TTAFStock_Log[Part Name],$A49,T_TTAFStock_Log[WeekIndex],25))</f>
        <v/>
      </c>
      <c r="AA49" s="19">
        <f>IF(COUNTIFS(T_TTAFStock_Log[Part Name],$A49,T_TTAFStock_Log[WeekIndex],26)=0,"",SUMIFS(T_TTAFStock_Log[TTAF_Qty],T_TTAFStock_Log[Part Name],$A49,T_TTAFStock_Log[WeekIndex],26))</f>
        <v/>
      </c>
      <c r="AB49" s="19">
        <f>IF(COUNTIFS(T_TTAFStock_Log[Part Name],$A49,T_TTAFStock_Log[WeekIndex],27)=0,"",SUMIFS(T_TTAFStock_Log[TTAF_Qty],T_TTAFStock_Log[Part Name],$A49,T_TTAFStock_Log[WeekIndex],27))</f>
        <v/>
      </c>
      <c r="AC49" s="19">
        <f>IF(COUNTIFS(T_TTAFStock_Log[Part Name],$A49,T_TTAFStock_Log[WeekIndex],28)=0,"",SUMIFS(T_TTAFStock_Log[TTAF_Qty],T_TTAFStock_Log[Part Name],$A49,T_TTAFStock_Log[WeekIndex],28))</f>
        <v/>
      </c>
      <c r="AD49" s="19">
        <f>IF(COUNTIFS(T_TTAFStock_Log[Part Name],$A49,T_TTAFStock_Log[WeekIndex],29)=0,"",SUMIFS(T_TTAFStock_Log[TTAF_Qty],T_TTAFStock_Log[Part Name],$A49,T_TTAFStock_Log[WeekIndex],29))</f>
        <v/>
      </c>
      <c r="AE49" s="19">
        <f>IF(COUNTIFS(T_TTAFStock_Log[Part Name],$A49,T_TTAFStock_Log[WeekIndex],30)=0,"",SUMIFS(T_TTAFStock_Log[TTAF_Qty],T_TTAFStock_Log[Part Name],$A49,T_TTAFStock_Log[WeekIndex],30))</f>
        <v/>
      </c>
      <c r="AF49" s="19">
        <f>IF(COUNTIFS(T_TTAFStock_Log[Part Name],$A49,T_TTAFStock_Log[WeekIndex],31)=0,"",SUMIFS(T_TTAFStock_Log[TTAF_Qty],T_TTAFStock_Log[Part Name],$A49,T_TTAFStock_Log[WeekIndex],31))</f>
        <v/>
      </c>
      <c r="AG49" s="19">
        <f>IF(COUNTIFS(T_TTAFStock_Log[Part Name],$A49,T_TTAFStock_Log[WeekIndex],32)=0,"",SUMIFS(T_TTAFStock_Log[TTAF_Qty],T_TTAFStock_Log[Part Name],$A49,T_TTAFStock_Log[WeekIndex],32))</f>
        <v/>
      </c>
      <c r="AH49" s="19">
        <f>IF(COUNTIFS(T_TTAFStock_Log[Part Name],$A49,T_TTAFStock_Log[WeekIndex],33)=0,"",SUMIFS(T_TTAFStock_Log[TTAF_Qty],T_TTAFStock_Log[Part Name],$A49,T_TTAFStock_Log[WeekIndex],33))</f>
        <v/>
      </c>
      <c r="AI49" s="19">
        <f>IF(COUNTIFS(T_TTAFStock_Log[Part Name],$A49,T_TTAFStock_Log[WeekIndex],34)=0,"",SUMIFS(T_TTAFStock_Log[TTAF_Qty],T_TTAFStock_Log[Part Name],$A49,T_TTAFStock_Log[WeekIndex],34))</f>
        <v/>
      </c>
      <c r="AJ49" s="19">
        <f>IF(COUNTIFS(T_TTAFStock_Log[Part Name],$A49,T_TTAFStock_Log[WeekIndex],35)=0,"",SUMIFS(T_TTAFStock_Log[TTAF_Qty],T_TTAFStock_Log[Part Name],$A49,T_TTAFStock_Log[WeekIndex],35))</f>
        <v/>
      </c>
      <c r="AK49" s="19">
        <f>IF(COUNTIFS(T_TTAFStock_Log[Part Name],$A49,T_TTAFStock_Log[WeekIndex],36)=0,"",SUMIFS(T_TTAFStock_Log[TTAF_Qty],T_TTAFStock_Log[Part Name],$A49,T_TTAFStock_Log[WeekIndex],36))</f>
        <v/>
      </c>
      <c r="AL49" s="19">
        <f>IF(COUNTIFS(T_TTAFStock_Log[Part Name],$A49,T_TTAFStock_Log[WeekIndex],37)=0,"",SUMIFS(T_TTAFStock_Log[TTAF_Qty],T_TTAFStock_Log[Part Name],$A49,T_TTAFStock_Log[WeekIndex],37))</f>
        <v/>
      </c>
      <c r="AM49" s="19">
        <f>IF(COUNTIFS(T_TTAFStock_Log[Part Name],$A49,T_TTAFStock_Log[WeekIndex],38)=0,"",SUMIFS(T_TTAFStock_Log[TTAF_Qty],T_TTAFStock_Log[Part Name],$A49,T_TTAFStock_Log[WeekIndex],38))</f>
        <v/>
      </c>
      <c r="AN49" s="19">
        <f>IF(COUNTIFS(T_TTAFStock_Log[Part Name],$A49,T_TTAFStock_Log[WeekIndex],39)=0,"",SUMIFS(T_TTAFStock_Log[TTAF_Qty],T_TTAFStock_Log[Part Name],$A49,T_TTAFStock_Log[WeekIndex],39))</f>
        <v/>
      </c>
      <c r="AO49" s="19">
        <f>IF(COUNTIFS(T_TTAFStock_Log[Part Name],$A49,T_TTAFStock_Log[WeekIndex],40)=0,"",SUMIFS(T_TTAFStock_Log[TTAF_Qty],T_TTAFStock_Log[Part Name],$A49,T_TTAFStock_Log[WeekIndex],40))</f>
        <v/>
      </c>
      <c r="AP49" s="19">
        <f>IF(COUNTIFS(T_TTAFStock_Log[Part Name],$A49,T_TTAFStock_Log[WeekIndex],41)=0,"",SUMIFS(T_TTAFStock_Log[TTAF_Qty],T_TTAFStock_Log[Part Name],$A49,T_TTAFStock_Log[WeekIndex],41))</f>
        <v/>
      </c>
      <c r="AQ49" s="19">
        <f>IF(COUNTIFS(T_TTAFStock_Log[Part Name],$A49,T_TTAFStock_Log[WeekIndex],42)=0,"",SUMIFS(T_TTAFStock_Log[TTAF_Qty],T_TTAFStock_Log[Part Name],$A49,T_TTAFStock_Log[WeekIndex],42))</f>
        <v/>
      </c>
      <c r="AR49" s="19">
        <f>IF(COUNTIFS(T_TTAFStock_Log[Part Name],$A49,T_TTAFStock_Log[WeekIndex],43)=0,"",SUMIFS(T_TTAFStock_Log[TTAF_Qty],T_TTAFStock_Log[Part Name],$A49,T_TTAFStock_Log[WeekIndex],43))</f>
        <v/>
      </c>
      <c r="AS49" s="19">
        <f>IF(COUNTIFS(T_TTAFStock_Log[Part Name],$A49,T_TTAFStock_Log[WeekIndex],44)=0,"",SUMIFS(T_TTAFStock_Log[TTAF_Qty],T_TTAFStock_Log[Part Name],$A49,T_TTAFStock_Log[WeekIndex],44))</f>
        <v/>
      </c>
      <c r="AT49" s="19">
        <f>IF(COUNTIFS(T_TTAFStock_Log[Part Name],$A49,T_TTAFStock_Log[WeekIndex],45)=0,"",SUMIFS(T_TTAFStock_Log[TTAF_Qty],T_TTAFStock_Log[Part Name],$A49,T_TTAFStock_Log[WeekIndex],45))</f>
        <v/>
      </c>
      <c r="AU49" s="19">
        <f>IF(COUNTIFS(T_TTAFStock_Log[Part Name],$A49,T_TTAFStock_Log[WeekIndex],46)=0,"",SUMIFS(T_TTAFStock_Log[TTAF_Qty],T_TTAFStock_Log[Part Name],$A49,T_TTAFStock_Log[WeekIndex],46))</f>
        <v/>
      </c>
      <c r="AV49" s="19">
        <f>IF(COUNTIFS(T_TTAFStock_Log[Part Name],$A49,T_TTAFStock_Log[WeekIndex],47)=0,"",SUMIFS(T_TTAFStock_Log[TTAF_Qty],T_TTAFStock_Log[Part Name],$A49,T_TTAFStock_Log[WeekIndex],47))</f>
        <v/>
      </c>
      <c r="AW49" s="19">
        <f>IF(COUNTIFS(T_TTAFStock_Log[Part Name],$A49,T_TTAFStock_Log[WeekIndex],48)=0,"",SUMIFS(T_TTAFStock_Log[TTAF_Qty],T_TTAFStock_Log[Part Name],$A49,T_TTAFStock_Log[WeekIndex],48))</f>
        <v/>
      </c>
      <c r="AX49" s="19">
        <f>IF(COUNTIFS(T_TTAFStock_Log[Part Name],$A49,T_TTAFStock_Log[WeekIndex],49)=0,"",SUMIFS(T_TTAFStock_Log[TTAF_Qty],T_TTAFStock_Log[Part Name],$A49,T_TTAFStock_Log[WeekIndex],49))</f>
        <v/>
      </c>
      <c r="AY49" s="19">
        <f>IF(COUNTIFS(T_TTAFStock_Log[Part Name],$A49,T_TTAFStock_Log[WeekIndex],50)=0,"",SUMIFS(T_TTAFStock_Log[TTAF_Qty],T_TTAFStock_Log[Part Name],$A49,T_TTAFStock_Log[WeekIndex],50))</f>
        <v/>
      </c>
      <c r="AZ49" s="19">
        <f>IF(COUNTIFS(T_TTAFStock_Log[Part Name],$A49,T_TTAFStock_Log[WeekIndex],51)=0,"",SUMIFS(T_TTAFStock_Log[TTAF_Qty],T_TTAFStock_Log[Part Name],$A49,T_TTAFStock_Log[WeekIndex],51))</f>
        <v/>
      </c>
      <c r="BA49" s="19">
        <f>IF(COUNTIFS(T_TTAFStock_Log[Part Name],$A49,T_TTAFStock_Log[WeekIndex],52)=0,"",SUMIFS(T_TTAFStock_Log[TTAF_Qty],T_TTAFStock_Log[Part Name],$A49,T_TTAFStock_Log[WeekIndex],52))</f>
        <v/>
      </c>
      <c r="BB49" s="19">
        <f>IF(COUNTIFS(T_TTAFStock_Log[Part Name],$A49,T_TTAFStock_Log[WeekIndex],53)=0,"",SUMIFS(T_TTAFStock_Log[TTAF_Qty],T_TTAFStock_Log[Part Name],$A49,T_TTAFStock_Log[WeekIndex],53))</f>
        <v/>
      </c>
      <c r="BC49" s="19">
        <f>IF(COUNTIFS(T_TTAFStock_Log[Part Name],$A49,T_TTAFStock_Log[WeekIndex],54)=0,"",SUMIFS(T_TTAFStock_Log[TTAF_Qty],T_TTAFStock_Log[Part Name],$A49,T_TTAFStock_Log[WeekIndex],54))</f>
        <v/>
      </c>
      <c r="BD49" s="19">
        <f>IF(COUNTIFS(T_TTAFStock_Log[Part Name],$A49,T_TTAFStock_Log[WeekIndex],55)=0,"",SUMIFS(T_TTAFStock_Log[TTAF_Qty],T_TTAFStock_Log[Part Name],$A49,T_TTAFStock_Log[WeekIndex],55))</f>
        <v/>
      </c>
      <c r="BE49" s="19">
        <f>IF(COUNTIFS(T_TTAFStock_Log[Part Name],$A49,T_TTAFStock_Log[WeekIndex],56)=0,"",SUMIFS(T_TTAFStock_Log[TTAF_Qty],T_TTAFStock_Log[Part Name],$A49,T_TTAFStock_Log[WeekIndex],56))</f>
        <v/>
      </c>
      <c r="BF49" s="19">
        <f>IF(COUNTIFS(T_TTAFStock_Log[Part Name],$A49,T_TTAFStock_Log[WeekIndex],57)=0,"",SUMIFS(T_TTAFStock_Log[TTAF_Qty],T_TTAFStock_Log[Part Name],$A49,T_TTAFStock_Log[WeekIndex],57))</f>
        <v/>
      </c>
      <c r="BG49" s="19">
        <f>IF(COUNTIFS(T_TTAFStock_Log[Part Name],$A49,T_TTAFStock_Log[WeekIndex],58)=0,"",SUMIFS(T_TTAFStock_Log[TTAF_Qty],T_TTAFStock_Log[Part Name],$A49,T_TTAFStock_Log[WeekIndex],58))</f>
        <v/>
      </c>
      <c r="BH49" s="19">
        <f>IF(COUNTIFS(T_TTAFStock_Log[Part Name],$A49,T_TTAFStock_Log[WeekIndex],59)=0,"",SUMIFS(T_TTAFStock_Log[TTAF_Qty],T_TTAFStock_Log[Part Name],$A49,T_TTAFStock_Log[WeekIndex],59))</f>
        <v/>
      </c>
      <c r="BI49" s="19">
        <f>IF(COUNTIFS(T_TTAFStock_Log[Part Name],$A49,T_TTAFStock_Log[WeekIndex],60)=0,"",SUMIFS(T_TTAFStock_Log[TTAF_Qty],T_TTAFStock_Log[Part Name],$A49,T_TTAFStock_Log[WeekIndex],60))</f>
        <v/>
      </c>
      <c r="BJ49" s="19">
        <f>IF(COUNTIFS(T_TTAFStock_Log[Part Name],$A49,T_TTAFStock_Log[WeekIndex],61)=0,"",SUMIFS(T_TTAFStock_Log[TTAF_Qty],T_TTAFStock_Log[Part Name],$A49,T_TTAFStock_Log[WeekIndex],61))</f>
        <v/>
      </c>
      <c r="BK49" s="19">
        <f>IF(COUNTIFS(T_TTAFStock_Log[Part Name],$A49,T_TTAFStock_Log[WeekIndex],62)=0,"",SUMIFS(T_TTAFStock_Log[TTAF_Qty],T_TTAFStock_Log[Part Name],$A49,T_TTAFStock_Log[WeekIndex],62))</f>
        <v/>
      </c>
      <c r="BL49" s="19">
        <f>IF(COUNTIFS(T_TTAFStock_Log[Part Name],$A49,T_TTAFStock_Log[WeekIndex],63)=0,"",SUMIFS(T_TTAFStock_Log[TTAF_Qty],T_TTAFStock_Log[Part Name],$A49,T_TTAFStock_Log[WeekIndex],63))</f>
        <v/>
      </c>
      <c r="BM49" s="19">
        <f>IF(COUNTIFS(T_TTAFStock_Log[Part Name],$A49,T_TTAFStock_Log[WeekIndex],64)=0,"",SUMIFS(T_TTAFStock_Log[TTAF_Qty],T_TTAFStock_Log[Part Name],$A49,T_TTAFStock_Log[WeekIndex],64))</f>
        <v/>
      </c>
      <c r="BN49" s="19">
        <f>IF(COUNTIFS(T_TTAFStock_Log[Part Name],$A49,T_TTAFStock_Log[WeekIndex],65)=0,"",SUMIFS(T_TTAFStock_Log[TTAF_Qty],T_TTAFStock_Log[Part Name],$A49,T_TTAFStock_Log[WeekIndex],65))</f>
        <v/>
      </c>
      <c r="BO49" s="19">
        <f>IF(COUNTIFS(T_TTAFStock_Log[Part Name],$A49,T_TTAFStock_Log[WeekIndex],66)=0,"",SUMIFS(T_TTAFStock_Log[TTAF_Qty],T_TTAFStock_Log[Part Name],$A49,T_TTAFStock_Log[WeekIndex],66))</f>
        <v/>
      </c>
      <c r="BP49" s="19">
        <f>IF(COUNTIFS(T_TTAFStock_Log[Part Name],$A49,T_TTAFStock_Log[WeekIndex],67)=0,"",SUMIFS(T_TTAFStock_Log[TTAF_Qty],T_TTAFStock_Log[Part Name],$A49,T_TTAFStock_Log[WeekIndex],67))</f>
        <v/>
      </c>
      <c r="BQ49" s="19">
        <f>IF(COUNTIFS(T_TTAFStock_Log[Part Name],$A49,T_TTAFStock_Log[WeekIndex],68)=0,"",SUMIFS(T_TTAFStock_Log[TTAF_Qty],T_TTAFStock_Log[Part Name],$A49,T_TTAFStock_Log[WeekIndex],68))</f>
        <v/>
      </c>
      <c r="BR49" s="19">
        <f>IF(COUNTIFS(T_TTAFStock_Log[Part Name],$A49,T_TTAFStock_Log[WeekIndex],69)=0,"",SUMIFS(T_TTAFStock_Log[TTAF_Qty],T_TTAFStock_Log[Part Name],$A49,T_TTAFStock_Log[WeekIndex],69))</f>
        <v/>
      </c>
      <c r="BS49" s="19">
        <f>IF(COUNTIFS(T_TTAFStock_Log[Part Name],$A49,T_TTAFStock_Log[WeekIndex],70)=0,"",SUMIFS(T_TTAFStock_Log[TTAF_Qty],T_TTAFStock_Log[Part Name],$A49,T_TTAFStock_Log[WeekIndex],70))</f>
        <v/>
      </c>
      <c r="BT49" s="19">
        <f>IF(COUNTIFS(T_TTAFStock_Log[Part Name],$A49,T_TTAFStock_Log[WeekIndex],71)=0,"",SUMIFS(T_TTAFStock_Log[TTAF_Qty],T_TTAFStock_Log[Part Name],$A49,T_TTAFStock_Log[WeekIndex],71))</f>
        <v/>
      </c>
      <c r="BU49" s="19">
        <f>IF(COUNTIFS(T_TTAFStock_Log[Part Name],$A49,T_TTAFStock_Log[WeekIndex],72)=0,"",SUMIFS(T_TTAFStock_Log[TTAF_Qty],T_TTAFStock_Log[Part Name],$A49,T_TTAFStock_Log[WeekIndex],72))</f>
        <v/>
      </c>
      <c r="BV49" s="19">
        <f>IF(COUNTIFS(T_TTAFStock_Log[Part Name],$A49,T_TTAFStock_Log[WeekIndex],73)=0,"",SUMIFS(T_TTAFStock_Log[TTAF_Qty],T_TTAFStock_Log[Part Name],$A49,T_TTAFStock_Log[WeekIndex],73))</f>
        <v/>
      </c>
      <c r="BW49" s="19">
        <f>IF(COUNTIFS(T_TTAFStock_Log[Part Name],$A49,T_TTAFStock_Log[WeekIndex],74)=0,"",SUMIFS(T_TTAFStock_Log[TTAF_Qty],T_TTAFStock_Log[Part Name],$A49,T_TTAFStock_Log[WeekIndex],74))</f>
        <v/>
      </c>
      <c r="BX49" s="19">
        <f>IF(COUNTIFS(T_TTAFStock_Log[Part Name],$A49,T_TTAFStock_Log[WeekIndex],75)=0,"",SUMIFS(T_TTAFStock_Log[TTAF_Qty],T_TTAFStock_Log[Part Name],$A49,T_TTAFStock_Log[WeekIndex],75))</f>
        <v/>
      </c>
      <c r="BY49" s="19">
        <f>IF(COUNTIFS(T_TTAFStock_Log[Part Name],$A49,T_TTAFStock_Log[WeekIndex],76)=0,"",SUMIFS(T_TTAFStock_Log[TTAF_Qty],T_TTAFStock_Log[Part Name],$A49,T_TTAFStock_Log[WeekIndex],76))</f>
        <v/>
      </c>
      <c r="BZ49" s="19">
        <f>IF(COUNTIFS(T_TTAFStock_Log[Part Name],$A49,T_TTAFStock_Log[WeekIndex],77)=0,"",SUMIFS(T_TTAFStock_Log[TTAF_Qty],T_TTAFStock_Log[Part Name],$A49,T_TTAFStock_Log[WeekIndex],77))</f>
        <v/>
      </c>
      <c r="CA49" s="19">
        <f>IF(COUNTIFS(T_TTAFStock_Log[Part Name],$A49,T_TTAFStock_Log[WeekIndex],78)=0,"",SUMIFS(T_TTAFStock_Log[TTAF_Qty],T_TTAFStock_Log[Part Name],$A49,T_TTAFStock_Log[WeekIndex],78))</f>
        <v/>
      </c>
      <c r="CB49" s="19">
        <f>IF(COUNTIFS(T_TTAFStock_Log[Part Name],$A49,T_TTAFStock_Log[WeekIndex],79)=0,"",SUMIFS(T_TTAFStock_Log[TTAF_Qty],T_TTAFStock_Log[Part Name],$A49,T_TTAFStock_Log[WeekIndex],79))</f>
        <v/>
      </c>
      <c r="CC49" s="19">
        <f>IF(COUNTIFS(T_TTAFStock_Log[Part Name],$A49,T_TTAFStock_Log[WeekIndex],80)=0,"",SUMIFS(T_TTAFStock_Log[TTAF_Qty],T_TTAFStock_Log[Part Name],$A49,T_TTAFStock_Log[WeekIndex],80))</f>
        <v/>
      </c>
      <c r="CD49" s="19">
        <f>IF(COUNTIFS(T_TTAFStock_Log[Part Name],$A49,T_TTAFStock_Log[WeekIndex],81)=0,"",SUMIFS(T_TTAFStock_Log[TTAF_Qty],T_TTAFStock_Log[Part Name],$A49,T_TTAFStock_Log[WeekIndex],81))</f>
        <v/>
      </c>
      <c r="CE49" s="19">
        <f>IF(COUNTIFS(T_TTAFStock_Log[Part Name],$A49,T_TTAFStock_Log[WeekIndex],82)=0,"",SUMIFS(T_TTAFStock_Log[TTAF_Qty],T_TTAFStock_Log[Part Name],$A49,T_TTAFStock_Log[WeekIndex],82))</f>
        <v/>
      </c>
      <c r="CF49" s="19">
        <f>IF(COUNTIFS(T_TTAFStock_Log[Part Name],$A49,T_TTAFStock_Log[WeekIndex],83)=0,"",SUMIFS(T_TTAFStock_Log[TTAF_Qty],T_TTAFStock_Log[Part Name],$A49,T_TTAFStock_Log[WeekIndex],83))</f>
        <v/>
      </c>
      <c r="CG49" s="19">
        <f>IF(COUNTIFS(T_TTAFStock_Log[Part Name],$A49,T_TTAFStock_Log[WeekIndex],84)=0,"",SUMIFS(T_TTAFStock_Log[TTAF_Qty],T_TTAFStock_Log[Part Name],$A49,T_TTAFStock_Log[WeekIndex],84))</f>
        <v/>
      </c>
      <c r="CH49" s="19">
        <f>IF(COUNTIFS(T_TTAFStock_Log[Part Name],$A49,T_TTAFStock_Log[WeekIndex],85)=0,"",SUMIFS(T_TTAFStock_Log[TTAF_Qty],T_TTAFStock_Log[Part Name],$A49,T_TTAFStock_Log[WeekIndex],85))</f>
        <v/>
      </c>
      <c r="CI49" s="19">
        <f>IF(COUNTIFS(T_TTAFStock_Log[Part Name],$A49,T_TTAFStock_Log[WeekIndex],86)=0,"",SUMIFS(T_TTAFStock_Log[TTAF_Qty],T_TTAFStock_Log[Part Name],$A49,T_TTAFStock_Log[WeekIndex],86))</f>
        <v/>
      </c>
      <c r="CJ49" s="19">
        <f>IF(COUNTIFS(T_TTAFStock_Log[Part Name],$A49,T_TTAFStock_Log[WeekIndex],87)=0,"",SUMIFS(T_TTAFStock_Log[TTAF_Qty],T_TTAFStock_Log[Part Name],$A49,T_TTAFStock_Log[WeekIndex],87))</f>
        <v/>
      </c>
      <c r="CK49" s="19">
        <f>IF(COUNTIFS(T_TTAFStock_Log[Part Name],$A49,T_TTAFStock_Log[WeekIndex],88)=0,"",SUMIFS(T_TTAFStock_Log[TTAF_Qty],T_TTAFStock_Log[Part Name],$A49,T_TTAFStock_Log[WeekIndex],88))</f>
        <v/>
      </c>
      <c r="CL49" s="19">
        <f>IF(COUNTIFS(T_TTAFStock_Log[Part Name],$A49,T_TTAFStock_Log[WeekIndex],89)=0,"",SUMIFS(T_TTAFStock_Log[TTAF_Qty],T_TTAFStock_Log[Part Name],$A49,T_TTAFStock_Log[WeekIndex],89))</f>
        <v/>
      </c>
      <c r="CM49" s="19">
        <f>IF(COUNTIFS(T_TTAFStock_Log[Part Name],$A49,T_TTAFStock_Log[WeekIndex],90)=0,"",SUMIFS(T_TTAFStock_Log[TTAF_Qty],T_TTAFStock_Log[Part Name],$A49,T_TTAFStock_Log[WeekIndex],90))</f>
        <v/>
      </c>
      <c r="CN49" s="19">
        <f>IF(COUNTIFS(T_TTAFStock_Log[Part Name],$A49,T_TTAFStock_Log[WeekIndex],91)=0,"",SUMIFS(T_TTAFStock_Log[TTAF_Qty],T_TTAFStock_Log[Part Name],$A49,T_TTAFStock_Log[WeekIndex],91))</f>
        <v/>
      </c>
      <c r="CO49" s="19">
        <f>IF(COUNTIFS(T_TTAFStock_Log[Part Name],$A49,T_TTAFStock_Log[WeekIndex],92)=0,"",SUMIFS(T_TTAFStock_Log[TTAF_Qty],T_TTAFStock_Log[Part Name],$A49,T_TTAFStock_Log[WeekIndex],92))</f>
        <v/>
      </c>
      <c r="CP49" s="19">
        <f>IF(COUNTIFS(T_TTAFStock_Log[Part Name],$A49,T_TTAFStock_Log[WeekIndex],93)=0,"",SUMIFS(T_TTAFStock_Log[TTAF_Qty],T_TTAFStock_Log[Part Name],$A49,T_TTAFStock_Log[WeekIndex],93))</f>
        <v/>
      </c>
      <c r="CQ49" s="19">
        <f>IF(COUNTIFS(T_TTAFStock_Log[Part Name],$A49,T_TTAFStock_Log[WeekIndex],94)=0,"",SUMIFS(T_TTAFStock_Log[TTAF_Qty],T_TTAFStock_Log[Part Name],$A49,T_TTAFStock_Log[WeekIndex],94))</f>
        <v/>
      </c>
      <c r="CR49" s="19">
        <f>IF(COUNTIFS(T_TTAFStock_Log[Part Name],$A49,T_TTAFStock_Log[WeekIndex],95)=0,"",SUMIFS(T_TTAFStock_Log[TTAF_Qty],T_TTAFStock_Log[Part Name],$A49,T_TTAFStock_Log[WeekIndex],95))</f>
        <v/>
      </c>
      <c r="CS49" s="19">
        <f>IF(COUNTIFS(T_TTAFStock_Log[Part Name],$A49,T_TTAFStock_Log[WeekIndex],96)=0,"",SUMIFS(T_TTAFStock_Log[TTAF_Qty],T_TTAFStock_Log[Part Name],$A49,T_TTAFStock_Log[WeekIndex],96))</f>
        <v/>
      </c>
      <c r="CT49" s="19">
        <f>IF(COUNTIFS(T_TTAFStock_Log[Part Name],$A49,T_TTAFStock_Log[WeekIndex],97)=0,"",SUMIFS(T_TTAFStock_Log[TTAF_Qty],T_TTAFStock_Log[Part Name],$A49,T_TTAFStock_Log[WeekIndex],97))</f>
        <v/>
      </c>
      <c r="CU49" s="19">
        <f>IF(COUNTIFS(T_TTAFStock_Log[Part Name],$A49,T_TTAFStock_Log[WeekIndex],98)=0,"",SUMIFS(T_TTAFStock_Log[TTAF_Qty],T_TTAFStock_Log[Part Name],$A49,T_TTAFStock_Log[WeekIndex],98))</f>
        <v/>
      </c>
      <c r="CV49" s="19">
        <f>IF(COUNTIFS(T_TTAFStock_Log[Part Name],$A49,T_TTAFStock_Log[WeekIndex],99)=0,"",SUMIFS(T_TTAFStock_Log[TTAF_Qty],T_TTAFStock_Log[Part Name],$A49,T_TTAFStock_Log[WeekIndex],99))</f>
        <v/>
      </c>
      <c r="CW49" s="19">
        <f>IF(COUNTIFS(T_TTAFStock_Log[Part Name],$A49,T_TTAFStock_Log[WeekIndex],100)=0,"",SUMIFS(T_TTAFStock_Log[TTAF_Qty],T_TTAFStock_Log[Part Name],$A49,T_TTAFStock_Log[WeekIndex],100))</f>
        <v/>
      </c>
      <c r="CX49" s="19">
        <f>IF(COUNTIFS(T_TTAFStock_Log[Part Name],$A49,T_TTAFStock_Log[WeekIndex],101)=0,"",SUMIFS(T_TTAFStock_Log[TTAF_Qty],T_TTAFStock_Log[Part Name],$A49,T_TTAFStock_Log[WeekIndex],101))</f>
        <v/>
      </c>
      <c r="CY49" s="19">
        <f>IF(COUNTIFS(T_TTAFStock_Log[Part Name],$A49,T_TTAFStock_Log[WeekIndex],102)=0,"",SUMIFS(T_TTAFStock_Log[TTAF_Qty],T_TTAFStock_Log[Part Name],$A49,T_TTAFStock_Log[WeekIndex],102))</f>
        <v/>
      </c>
      <c r="CZ49" s="19">
        <f>IF(COUNTIFS(T_TTAFStock_Log[Part Name],$A49,T_TTAFStock_Log[WeekIndex],103)=0,"",SUMIFS(T_TTAFStock_Log[TTAF_Qty],T_TTAFStock_Log[Part Name],$A49,T_TTAFStock_Log[WeekIndex],103))</f>
        <v/>
      </c>
      <c r="DA49" s="19">
        <f>IF(COUNTIFS(T_TTAFStock_Log[Part Name],$A49,T_TTAFStock_Log[WeekIndex],104)=0,"",SUMIFS(T_TTAFStock_Log[TTAF_Qty],T_TTAFStock_Log[Part Name],$A49,T_TTAFStock_Log[WeekIndex],104))</f>
        <v/>
      </c>
    </row>
    <row r="50">
      <c r="A50" s="17" t="inlineStr">
        <is>
          <t>CHEM-1430</t>
        </is>
      </c>
      <c r="B50" s="17">
        <f>IF(COUNTIFS(T_TTAFStock_Log[Part Name],$A50,T_TTAFStock_Log[WeekIndex],1)=0,"",SUMIFS(T_TTAFStock_Log[TTAF_Qty],T_TTAFStock_Log[Part Name],$A50,T_TTAFStock_Log[WeekIndex],1))</f>
        <v/>
      </c>
      <c r="C50" s="17">
        <f>IF(COUNTIFS(T_TTAFStock_Log[Part Name],$A50,T_TTAFStock_Log[WeekIndex],2)=0,"",SUMIFS(T_TTAFStock_Log[TTAF_Qty],T_TTAFStock_Log[Part Name],$A50,T_TTAFStock_Log[WeekIndex],2))</f>
        <v/>
      </c>
      <c r="D50" s="17">
        <f>IF(COUNTIFS(T_TTAFStock_Log[Part Name],$A50,T_TTAFStock_Log[WeekIndex],3)=0,"",SUMIFS(T_TTAFStock_Log[TTAF_Qty],T_TTAFStock_Log[Part Name],$A50,T_TTAFStock_Log[WeekIndex],3))</f>
        <v/>
      </c>
      <c r="E50" s="17">
        <f>IF(COUNTIFS(T_TTAFStock_Log[Part Name],$A50,T_TTAFStock_Log[WeekIndex],4)=0,"",SUMIFS(T_TTAFStock_Log[TTAF_Qty],T_TTAFStock_Log[Part Name],$A50,T_TTAFStock_Log[WeekIndex],4))</f>
        <v/>
      </c>
      <c r="F50" s="17">
        <f>IF(COUNTIFS(T_TTAFStock_Log[Part Name],$A50,T_TTAFStock_Log[WeekIndex],5)=0,"",SUMIFS(T_TTAFStock_Log[TTAF_Qty],T_TTAFStock_Log[Part Name],$A50,T_TTAFStock_Log[WeekIndex],5))</f>
        <v/>
      </c>
      <c r="G50" s="17">
        <f>IF(COUNTIFS(T_TTAFStock_Log[Part Name],$A50,T_TTAFStock_Log[WeekIndex],6)=0,"",SUMIFS(T_TTAFStock_Log[TTAF_Qty],T_TTAFStock_Log[Part Name],$A50,T_TTAFStock_Log[WeekIndex],6))</f>
        <v/>
      </c>
      <c r="H50" s="17">
        <f>IF(COUNTIFS(T_TTAFStock_Log[Part Name],$A50,T_TTAFStock_Log[WeekIndex],7)=0,"",SUMIFS(T_TTAFStock_Log[TTAF_Qty],T_TTAFStock_Log[Part Name],$A50,T_TTAFStock_Log[WeekIndex],7))</f>
        <v/>
      </c>
      <c r="I50" s="17">
        <f>IF(COUNTIFS(T_TTAFStock_Log[Part Name],$A50,T_TTAFStock_Log[WeekIndex],8)=0,"",SUMIFS(T_TTAFStock_Log[TTAF_Qty],T_TTAFStock_Log[Part Name],$A50,T_TTAFStock_Log[WeekIndex],8))</f>
        <v/>
      </c>
      <c r="J50" s="17">
        <f>IF(COUNTIFS(T_TTAFStock_Log[Part Name],$A50,T_TTAFStock_Log[WeekIndex],9)=0,"",SUMIFS(T_TTAFStock_Log[TTAF_Qty],T_TTAFStock_Log[Part Name],$A50,T_TTAFStock_Log[WeekIndex],9))</f>
        <v/>
      </c>
      <c r="K50" s="17">
        <f>IF(COUNTIFS(T_TTAFStock_Log[Part Name],$A50,T_TTAFStock_Log[WeekIndex],10)=0,"",SUMIFS(T_TTAFStock_Log[TTAF_Qty],T_TTAFStock_Log[Part Name],$A50,T_TTAFStock_Log[WeekIndex],10))</f>
        <v/>
      </c>
      <c r="L50" s="17">
        <f>IF(COUNTIFS(T_TTAFStock_Log[Part Name],$A50,T_TTAFStock_Log[WeekIndex],11)=0,"",SUMIFS(T_TTAFStock_Log[TTAF_Qty],T_TTAFStock_Log[Part Name],$A50,T_TTAFStock_Log[WeekIndex],11))</f>
        <v/>
      </c>
      <c r="M50" s="17">
        <f>IF(COUNTIFS(T_TTAFStock_Log[Part Name],$A50,T_TTAFStock_Log[WeekIndex],12)=0,"",SUMIFS(T_TTAFStock_Log[TTAF_Qty],T_TTAFStock_Log[Part Name],$A50,T_TTAFStock_Log[WeekIndex],12))</f>
        <v/>
      </c>
      <c r="N50" s="17">
        <f>IF(COUNTIFS(T_TTAFStock_Log[Part Name],$A50,T_TTAFStock_Log[WeekIndex],13)=0,"",SUMIFS(T_TTAFStock_Log[TTAF_Qty],T_TTAFStock_Log[Part Name],$A50,T_TTAFStock_Log[WeekIndex],13))</f>
        <v/>
      </c>
      <c r="O50" s="17">
        <f>IF(COUNTIFS(T_TTAFStock_Log[Part Name],$A50,T_TTAFStock_Log[WeekIndex],14)=0,"",SUMIFS(T_TTAFStock_Log[TTAF_Qty],T_TTAFStock_Log[Part Name],$A50,T_TTAFStock_Log[WeekIndex],14))</f>
        <v/>
      </c>
      <c r="P50" s="17">
        <f>IF(COUNTIFS(T_TTAFStock_Log[Part Name],$A50,T_TTAFStock_Log[WeekIndex],15)=0,"",SUMIFS(T_TTAFStock_Log[TTAF_Qty],T_TTAFStock_Log[Part Name],$A50,T_TTAFStock_Log[WeekIndex],15))</f>
        <v/>
      </c>
      <c r="Q50" s="17">
        <f>IF(COUNTIFS(T_TTAFStock_Log[Part Name],$A50,T_TTAFStock_Log[WeekIndex],16)=0,"",SUMIFS(T_TTAFStock_Log[TTAF_Qty],T_TTAFStock_Log[Part Name],$A50,T_TTAFStock_Log[WeekIndex],16))</f>
        <v/>
      </c>
      <c r="R50" s="17">
        <f>IF(COUNTIFS(T_TTAFStock_Log[Part Name],$A50,T_TTAFStock_Log[WeekIndex],17)=0,"",SUMIFS(T_TTAFStock_Log[TTAF_Qty],T_TTAFStock_Log[Part Name],$A50,T_TTAFStock_Log[WeekIndex],17))</f>
        <v/>
      </c>
      <c r="S50" s="17">
        <f>IF(COUNTIFS(T_TTAFStock_Log[Part Name],$A50,T_TTAFStock_Log[WeekIndex],18)=0,"",SUMIFS(T_TTAFStock_Log[TTAF_Qty],T_TTAFStock_Log[Part Name],$A50,T_TTAFStock_Log[WeekIndex],18))</f>
        <v/>
      </c>
      <c r="T50" s="17">
        <f>IF(COUNTIFS(T_TTAFStock_Log[Part Name],$A50,T_TTAFStock_Log[WeekIndex],19)=0,"",SUMIFS(T_TTAFStock_Log[TTAF_Qty],T_TTAFStock_Log[Part Name],$A50,T_TTAFStock_Log[WeekIndex],19))</f>
        <v/>
      </c>
      <c r="U50" s="17">
        <f>IF(COUNTIFS(T_TTAFStock_Log[Part Name],$A50,T_TTAFStock_Log[WeekIndex],20)=0,"",SUMIFS(T_TTAFStock_Log[TTAF_Qty],T_TTAFStock_Log[Part Name],$A50,T_TTAFStock_Log[WeekIndex],20))</f>
        <v/>
      </c>
      <c r="V50" s="17">
        <f>IF(COUNTIFS(T_TTAFStock_Log[Part Name],$A50,T_TTAFStock_Log[WeekIndex],21)=0,"",SUMIFS(T_TTAFStock_Log[TTAF_Qty],T_TTAFStock_Log[Part Name],$A50,T_TTAFStock_Log[WeekIndex],21))</f>
        <v/>
      </c>
      <c r="W50" s="17">
        <f>IF(COUNTIFS(T_TTAFStock_Log[Part Name],$A50,T_TTAFStock_Log[WeekIndex],22)=0,"",SUMIFS(T_TTAFStock_Log[TTAF_Qty],T_TTAFStock_Log[Part Name],$A50,T_TTAFStock_Log[WeekIndex],22))</f>
        <v/>
      </c>
      <c r="X50" s="17">
        <f>IF(COUNTIFS(T_TTAFStock_Log[Part Name],$A50,T_TTAFStock_Log[WeekIndex],23)=0,"",SUMIFS(T_TTAFStock_Log[TTAF_Qty],T_TTAFStock_Log[Part Name],$A50,T_TTAFStock_Log[WeekIndex],23))</f>
        <v/>
      </c>
      <c r="Y50" s="17">
        <f>IF(COUNTIFS(T_TTAFStock_Log[Part Name],$A50,T_TTAFStock_Log[WeekIndex],24)=0,"",SUMIFS(T_TTAFStock_Log[TTAF_Qty],T_TTAFStock_Log[Part Name],$A50,T_TTAFStock_Log[WeekIndex],24))</f>
        <v/>
      </c>
      <c r="Z50" s="17">
        <f>IF(COUNTIFS(T_TTAFStock_Log[Part Name],$A50,T_TTAFStock_Log[WeekIndex],25)=0,"",SUMIFS(T_TTAFStock_Log[TTAF_Qty],T_TTAFStock_Log[Part Name],$A50,T_TTAFStock_Log[WeekIndex],25))</f>
        <v/>
      </c>
      <c r="AA50" s="17">
        <f>IF(COUNTIFS(T_TTAFStock_Log[Part Name],$A50,T_TTAFStock_Log[WeekIndex],26)=0,"",SUMIFS(T_TTAFStock_Log[TTAF_Qty],T_TTAFStock_Log[Part Name],$A50,T_TTAFStock_Log[WeekIndex],26))</f>
        <v/>
      </c>
      <c r="AB50" s="17">
        <f>IF(COUNTIFS(T_TTAFStock_Log[Part Name],$A50,T_TTAFStock_Log[WeekIndex],27)=0,"",SUMIFS(T_TTAFStock_Log[TTAF_Qty],T_TTAFStock_Log[Part Name],$A50,T_TTAFStock_Log[WeekIndex],27))</f>
        <v/>
      </c>
      <c r="AC50" s="17">
        <f>IF(COUNTIFS(T_TTAFStock_Log[Part Name],$A50,T_TTAFStock_Log[WeekIndex],28)=0,"",SUMIFS(T_TTAFStock_Log[TTAF_Qty],T_TTAFStock_Log[Part Name],$A50,T_TTAFStock_Log[WeekIndex],28))</f>
        <v/>
      </c>
      <c r="AD50" s="17">
        <f>IF(COUNTIFS(T_TTAFStock_Log[Part Name],$A50,T_TTAFStock_Log[WeekIndex],29)=0,"",SUMIFS(T_TTAFStock_Log[TTAF_Qty],T_TTAFStock_Log[Part Name],$A50,T_TTAFStock_Log[WeekIndex],29))</f>
        <v/>
      </c>
      <c r="AE50" s="17">
        <f>IF(COUNTIFS(T_TTAFStock_Log[Part Name],$A50,T_TTAFStock_Log[WeekIndex],30)=0,"",SUMIFS(T_TTAFStock_Log[TTAF_Qty],T_TTAFStock_Log[Part Name],$A50,T_TTAFStock_Log[WeekIndex],30))</f>
        <v/>
      </c>
      <c r="AF50" s="17">
        <f>IF(COUNTIFS(T_TTAFStock_Log[Part Name],$A50,T_TTAFStock_Log[WeekIndex],31)=0,"",SUMIFS(T_TTAFStock_Log[TTAF_Qty],T_TTAFStock_Log[Part Name],$A50,T_TTAFStock_Log[WeekIndex],31))</f>
        <v/>
      </c>
      <c r="AG50" s="17">
        <f>IF(COUNTIFS(T_TTAFStock_Log[Part Name],$A50,T_TTAFStock_Log[WeekIndex],32)=0,"",SUMIFS(T_TTAFStock_Log[TTAF_Qty],T_TTAFStock_Log[Part Name],$A50,T_TTAFStock_Log[WeekIndex],32))</f>
        <v/>
      </c>
      <c r="AH50" s="17">
        <f>IF(COUNTIFS(T_TTAFStock_Log[Part Name],$A50,T_TTAFStock_Log[WeekIndex],33)=0,"",SUMIFS(T_TTAFStock_Log[TTAF_Qty],T_TTAFStock_Log[Part Name],$A50,T_TTAFStock_Log[WeekIndex],33))</f>
        <v/>
      </c>
      <c r="AI50" s="17">
        <f>IF(COUNTIFS(T_TTAFStock_Log[Part Name],$A50,T_TTAFStock_Log[WeekIndex],34)=0,"",SUMIFS(T_TTAFStock_Log[TTAF_Qty],T_TTAFStock_Log[Part Name],$A50,T_TTAFStock_Log[WeekIndex],34))</f>
        <v/>
      </c>
      <c r="AJ50" s="17">
        <f>IF(COUNTIFS(T_TTAFStock_Log[Part Name],$A50,T_TTAFStock_Log[WeekIndex],35)=0,"",SUMIFS(T_TTAFStock_Log[TTAF_Qty],T_TTAFStock_Log[Part Name],$A50,T_TTAFStock_Log[WeekIndex],35))</f>
        <v/>
      </c>
      <c r="AK50" s="17">
        <f>IF(COUNTIFS(T_TTAFStock_Log[Part Name],$A50,T_TTAFStock_Log[WeekIndex],36)=0,"",SUMIFS(T_TTAFStock_Log[TTAF_Qty],T_TTAFStock_Log[Part Name],$A50,T_TTAFStock_Log[WeekIndex],36))</f>
        <v/>
      </c>
      <c r="AL50" s="17">
        <f>IF(COUNTIFS(T_TTAFStock_Log[Part Name],$A50,T_TTAFStock_Log[WeekIndex],37)=0,"",SUMIFS(T_TTAFStock_Log[TTAF_Qty],T_TTAFStock_Log[Part Name],$A50,T_TTAFStock_Log[WeekIndex],37))</f>
        <v/>
      </c>
      <c r="AM50" s="17">
        <f>IF(COUNTIFS(T_TTAFStock_Log[Part Name],$A50,T_TTAFStock_Log[WeekIndex],38)=0,"",SUMIFS(T_TTAFStock_Log[TTAF_Qty],T_TTAFStock_Log[Part Name],$A50,T_TTAFStock_Log[WeekIndex],38))</f>
        <v/>
      </c>
      <c r="AN50" s="17">
        <f>IF(COUNTIFS(T_TTAFStock_Log[Part Name],$A50,T_TTAFStock_Log[WeekIndex],39)=0,"",SUMIFS(T_TTAFStock_Log[TTAF_Qty],T_TTAFStock_Log[Part Name],$A50,T_TTAFStock_Log[WeekIndex],39))</f>
        <v/>
      </c>
      <c r="AO50" s="17">
        <f>IF(COUNTIFS(T_TTAFStock_Log[Part Name],$A50,T_TTAFStock_Log[WeekIndex],40)=0,"",SUMIFS(T_TTAFStock_Log[TTAF_Qty],T_TTAFStock_Log[Part Name],$A50,T_TTAFStock_Log[WeekIndex],40))</f>
        <v/>
      </c>
      <c r="AP50" s="17">
        <f>IF(COUNTIFS(T_TTAFStock_Log[Part Name],$A50,T_TTAFStock_Log[WeekIndex],41)=0,"",SUMIFS(T_TTAFStock_Log[TTAF_Qty],T_TTAFStock_Log[Part Name],$A50,T_TTAFStock_Log[WeekIndex],41))</f>
        <v/>
      </c>
      <c r="AQ50" s="17">
        <f>IF(COUNTIFS(T_TTAFStock_Log[Part Name],$A50,T_TTAFStock_Log[WeekIndex],42)=0,"",SUMIFS(T_TTAFStock_Log[TTAF_Qty],T_TTAFStock_Log[Part Name],$A50,T_TTAFStock_Log[WeekIndex],42))</f>
        <v/>
      </c>
      <c r="AR50" s="17">
        <f>IF(COUNTIFS(T_TTAFStock_Log[Part Name],$A50,T_TTAFStock_Log[WeekIndex],43)=0,"",SUMIFS(T_TTAFStock_Log[TTAF_Qty],T_TTAFStock_Log[Part Name],$A50,T_TTAFStock_Log[WeekIndex],43))</f>
        <v/>
      </c>
      <c r="AS50" s="17">
        <f>IF(COUNTIFS(T_TTAFStock_Log[Part Name],$A50,T_TTAFStock_Log[WeekIndex],44)=0,"",SUMIFS(T_TTAFStock_Log[TTAF_Qty],T_TTAFStock_Log[Part Name],$A50,T_TTAFStock_Log[WeekIndex],44))</f>
        <v/>
      </c>
      <c r="AT50" s="17">
        <f>IF(COUNTIFS(T_TTAFStock_Log[Part Name],$A50,T_TTAFStock_Log[WeekIndex],45)=0,"",SUMIFS(T_TTAFStock_Log[TTAF_Qty],T_TTAFStock_Log[Part Name],$A50,T_TTAFStock_Log[WeekIndex],45))</f>
        <v/>
      </c>
      <c r="AU50" s="17">
        <f>IF(COUNTIFS(T_TTAFStock_Log[Part Name],$A50,T_TTAFStock_Log[WeekIndex],46)=0,"",SUMIFS(T_TTAFStock_Log[TTAF_Qty],T_TTAFStock_Log[Part Name],$A50,T_TTAFStock_Log[WeekIndex],46))</f>
        <v/>
      </c>
      <c r="AV50" s="17">
        <f>IF(COUNTIFS(T_TTAFStock_Log[Part Name],$A50,T_TTAFStock_Log[WeekIndex],47)=0,"",SUMIFS(T_TTAFStock_Log[TTAF_Qty],T_TTAFStock_Log[Part Name],$A50,T_TTAFStock_Log[WeekIndex],47))</f>
        <v/>
      </c>
      <c r="AW50" s="17">
        <f>IF(COUNTIFS(T_TTAFStock_Log[Part Name],$A50,T_TTAFStock_Log[WeekIndex],48)=0,"",SUMIFS(T_TTAFStock_Log[TTAF_Qty],T_TTAFStock_Log[Part Name],$A50,T_TTAFStock_Log[WeekIndex],48))</f>
        <v/>
      </c>
      <c r="AX50" s="17">
        <f>IF(COUNTIFS(T_TTAFStock_Log[Part Name],$A50,T_TTAFStock_Log[WeekIndex],49)=0,"",SUMIFS(T_TTAFStock_Log[TTAF_Qty],T_TTAFStock_Log[Part Name],$A50,T_TTAFStock_Log[WeekIndex],49))</f>
        <v/>
      </c>
      <c r="AY50" s="17">
        <f>IF(COUNTIFS(T_TTAFStock_Log[Part Name],$A50,T_TTAFStock_Log[WeekIndex],50)=0,"",SUMIFS(T_TTAFStock_Log[TTAF_Qty],T_TTAFStock_Log[Part Name],$A50,T_TTAFStock_Log[WeekIndex],50))</f>
        <v/>
      </c>
      <c r="AZ50" s="17">
        <f>IF(COUNTIFS(T_TTAFStock_Log[Part Name],$A50,T_TTAFStock_Log[WeekIndex],51)=0,"",SUMIFS(T_TTAFStock_Log[TTAF_Qty],T_TTAFStock_Log[Part Name],$A50,T_TTAFStock_Log[WeekIndex],51))</f>
        <v/>
      </c>
      <c r="BA50" s="17">
        <f>IF(COUNTIFS(T_TTAFStock_Log[Part Name],$A50,T_TTAFStock_Log[WeekIndex],52)=0,"",SUMIFS(T_TTAFStock_Log[TTAF_Qty],T_TTAFStock_Log[Part Name],$A50,T_TTAFStock_Log[WeekIndex],52))</f>
        <v/>
      </c>
      <c r="BB50" s="17">
        <f>IF(COUNTIFS(T_TTAFStock_Log[Part Name],$A50,T_TTAFStock_Log[WeekIndex],53)=0,"",SUMIFS(T_TTAFStock_Log[TTAF_Qty],T_TTAFStock_Log[Part Name],$A50,T_TTAFStock_Log[WeekIndex],53))</f>
        <v/>
      </c>
      <c r="BC50" s="17">
        <f>IF(COUNTIFS(T_TTAFStock_Log[Part Name],$A50,T_TTAFStock_Log[WeekIndex],54)=0,"",SUMIFS(T_TTAFStock_Log[TTAF_Qty],T_TTAFStock_Log[Part Name],$A50,T_TTAFStock_Log[WeekIndex],54))</f>
        <v/>
      </c>
      <c r="BD50" s="17">
        <f>IF(COUNTIFS(T_TTAFStock_Log[Part Name],$A50,T_TTAFStock_Log[WeekIndex],55)=0,"",SUMIFS(T_TTAFStock_Log[TTAF_Qty],T_TTAFStock_Log[Part Name],$A50,T_TTAFStock_Log[WeekIndex],55))</f>
        <v/>
      </c>
      <c r="BE50" s="17">
        <f>IF(COUNTIFS(T_TTAFStock_Log[Part Name],$A50,T_TTAFStock_Log[WeekIndex],56)=0,"",SUMIFS(T_TTAFStock_Log[TTAF_Qty],T_TTAFStock_Log[Part Name],$A50,T_TTAFStock_Log[WeekIndex],56))</f>
        <v/>
      </c>
      <c r="BF50" s="17">
        <f>IF(COUNTIFS(T_TTAFStock_Log[Part Name],$A50,T_TTAFStock_Log[WeekIndex],57)=0,"",SUMIFS(T_TTAFStock_Log[TTAF_Qty],T_TTAFStock_Log[Part Name],$A50,T_TTAFStock_Log[WeekIndex],57))</f>
        <v/>
      </c>
      <c r="BG50" s="17">
        <f>IF(COUNTIFS(T_TTAFStock_Log[Part Name],$A50,T_TTAFStock_Log[WeekIndex],58)=0,"",SUMIFS(T_TTAFStock_Log[TTAF_Qty],T_TTAFStock_Log[Part Name],$A50,T_TTAFStock_Log[WeekIndex],58))</f>
        <v/>
      </c>
      <c r="BH50" s="17">
        <f>IF(COUNTIFS(T_TTAFStock_Log[Part Name],$A50,T_TTAFStock_Log[WeekIndex],59)=0,"",SUMIFS(T_TTAFStock_Log[TTAF_Qty],T_TTAFStock_Log[Part Name],$A50,T_TTAFStock_Log[WeekIndex],59))</f>
        <v/>
      </c>
      <c r="BI50" s="17">
        <f>IF(COUNTIFS(T_TTAFStock_Log[Part Name],$A50,T_TTAFStock_Log[WeekIndex],60)=0,"",SUMIFS(T_TTAFStock_Log[TTAF_Qty],T_TTAFStock_Log[Part Name],$A50,T_TTAFStock_Log[WeekIndex],60))</f>
        <v/>
      </c>
      <c r="BJ50" s="17">
        <f>IF(COUNTIFS(T_TTAFStock_Log[Part Name],$A50,T_TTAFStock_Log[WeekIndex],61)=0,"",SUMIFS(T_TTAFStock_Log[TTAF_Qty],T_TTAFStock_Log[Part Name],$A50,T_TTAFStock_Log[WeekIndex],61))</f>
        <v/>
      </c>
      <c r="BK50" s="17">
        <f>IF(COUNTIFS(T_TTAFStock_Log[Part Name],$A50,T_TTAFStock_Log[WeekIndex],62)=0,"",SUMIFS(T_TTAFStock_Log[TTAF_Qty],T_TTAFStock_Log[Part Name],$A50,T_TTAFStock_Log[WeekIndex],62))</f>
        <v/>
      </c>
      <c r="BL50" s="17">
        <f>IF(COUNTIFS(T_TTAFStock_Log[Part Name],$A50,T_TTAFStock_Log[WeekIndex],63)=0,"",SUMIFS(T_TTAFStock_Log[TTAF_Qty],T_TTAFStock_Log[Part Name],$A50,T_TTAFStock_Log[WeekIndex],63))</f>
        <v/>
      </c>
      <c r="BM50" s="17">
        <f>IF(COUNTIFS(T_TTAFStock_Log[Part Name],$A50,T_TTAFStock_Log[WeekIndex],64)=0,"",SUMIFS(T_TTAFStock_Log[TTAF_Qty],T_TTAFStock_Log[Part Name],$A50,T_TTAFStock_Log[WeekIndex],64))</f>
        <v/>
      </c>
      <c r="BN50" s="17">
        <f>IF(COUNTIFS(T_TTAFStock_Log[Part Name],$A50,T_TTAFStock_Log[WeekIndex],65)=0,"",SUMIFS(T_TTAFStock_Log[TTAF_Qty],T_TTAFStock_Log[Part Name],$A50,T_TTAFStock_Log[WeekIndex],65))</f>
        <v/>
      </c>
      <c r="BO50" s="17">
        <f>IF(COUNTIFS(T_TTAFStock_Log[Part Name],$A50,T_TTAFStock_Log[WeekIndex],66)=0,"",SUMIFS(T_TTAFStock_Log[TTAF_Qty],T_TTAFStock_Log[Part Name],$A50,T_TTAFStock_Log[WeekIndex],66))</f>
        <v/>
      </c>
      <c r="BP50" s="17">
        <f>IF(COUNTIFS(T_TTAFStock_Log[Part Name],$A50,T_TTAFStock_Log[WeekIndex],67)=0,"",SUMIFS(T_TTAFStock_Log[TTAF_Qty],T_TTAFStock_Log[Part Name],$A50,T_TTAFStock_Log[WeekIndex],67))</f>
        <v/>
      </c>
      <c r="BQ50" s="17">
        <f>IF(COUNTIFS(T_TTAFStock_Log[Part Name],$A50,T_TTAFStock_Log[WeekIndex],68)=0,"",SUMIFS(T_TTAFStock_Log[TTAF_Qty],T_TTAFStock_Log[Part Name],$A50,T_TTAFStock_Log[WeekIndex],68))</f>
        <v/>
      </c>
      <c r="BR50" s="17">
        <f>IF(COUNTIFS(T_TTAFStock_Log[Part Name],$A50,T_TTAFStock_Log[WeekIndex],69)=0,"",SUMIFS(T_TTAFStock_Log[TTAF_Qty],T_TTAFStock_Log[Part Name],$A50,T_TTAFStock_Log[WeekIndex],69))</f>
        <v/>
      </c>
      <c r="BS50" s="17">
        <f>IF(COUNTIFS(T_TTAFStock_Log[Part Name],$A50,T_TTAFStock_Log[WeekIndex],70)=0,"",SUMIFS(T_TTAFStock_Log[TTAF_Qty],T_TTAFStock_Log[Part Name],$A50,T_TTAFStock_Log[WeekIndex],70))</f>
        <v/>
      </c>
      <c r="BT50" s="17">
        <f>IF(COUNTIFS(T_TTAFStock_Log[Part Name],$A50,T_TTAFStock_Log[WeekIndex],71)=0,"",SUMIFS(T_TTAFStock_Log[TTAF_Qty],T_TTAFStock_Log[Part Name],$A50,T_TTAFStock_Log[WeekIndex],71))</f>
        <v/>
      </c>
      <c r="BU50" s="17">
        <f>IF(COUNTIFS(T_TTAFStock_Log[Part Name],$A50,T_TTAFStock_Log[WeekIndex],72)=0,"",SUMIFS(T_TTAFStock_Log[TTAF_Qty],T_TTAFStock_Log[Part Name],$A50,T_TTAFStock_Log[WeekIndex],72))</f>
        <v/>
      </c>
      <c r="BV50" s="17">
        <f>IF(COUNTIFS(T_TTAFStock_Log[Part Name],$A50,T_TTAFStock_Log[WeekIndex],73)=0,"",SUMIFS(T_TTAFStock_Log[TTAF_Qty],T_TTAFStock_Log[Part Name],$A50,T_TTAFStock_Log[WeekIndex],73))</f>
        <v/>
      </c>
      <c r="BW50" s="17">
        <f>IF(COUNTIFS(T_TTAFStock_Log[Part Name],$A50,T_TTAFStock_Log[WeekIndex],74)=0,"",SUMIFS(T_TTAFStock_Log[TTAF_Qty],T_TTAFStock_Log[Part Name],$A50,T_TTAFStock_Log[WeekIndex],74))</f>
        <v/>
      </c>
      <c r="BX50" s="17">
        <f>IF(COUNTIFS(T_TTAFStock_Log[Part Name],$A50,T_TTAFStock_Log[WeekIndex],75)=0,"",SUMIFS(T_TTAFStock_Log[TTAF_Qty],T_TTAFStock_Log[Part Name],$A50,T_TTAFStock_Log[WeekIndex],75))</f>
        <v/>
      </c>
      <c r="BY50" s="17">
        <f>IF(COUNTIFS(T_TTAFStock_Log[Part Name],$A50,T_TTAFStock_Log[WeekIndex],76)=0,"",SUMIFS(T_TTAFStock_Log[TTAF_Qty],T_TTAFStock_Log[Part Name],$A50,T_TTAFStock_Log[WeekIndex],76))</f>
        <v/>
      </c>
      <c r="BZ50" s="17">
        <f>IF(COUNTIFS(T_TTAFStock_Log[Part Name],$A50,T_TTAFStock_Log[WeekIndex],77)=0,"",SUMIFS(T_TTAFStock_Log[TTAF_Qty],T_TTAFStock_Log[Part Name],$A50,T_TTAFStock_Log[WeekIndex],77))</f>
        <v/>
      </c>
      <c r="CA50" s="17">
        <f>IF(COUNTIFS(T_TTAFStock_Log[Part Name],$A50,T_TTAFStock_Log[WeekIndex],78)=0,"",SUMIFS(T_TTAFStock_Log[TTAF_Qty],T_TTAFStock_Log[Part Name],$A50,T_TTAFStock_Log[WeekIndex],78))</f>
        <v/>
      </c>
      <c r="CB50" s="17">
        <f>IF(COUNTIFS(T_TTAFStock_Log[Part Name],$A50,T_TTAFStock_Log[WeekIndex],79)=0,"",SUMIFS(T_TTAFStock_Log[TTAF_Qty],T_TTAFStock_Log[Part Name],$A50,T_TTAFStock_Log[WeekIndex],79))</f>
        <v/>
      </c>
      <c r="CC50" s="17">
        <f>IF(COUNTIFS(T_TTAFStock_Log[Part Name],$A50,T_TTAFStock_Log[WeekIndex],80)=0,"",SUMIFS(T_TTAFStock_Log[TTAF_Qty],T_TTAFStock_Log[Part Name],$A50,T_TTAFStock_Log[WeekIndex],80))</f>
        <v/>
      </c>
      <c r="CD50" s="17">
        <f>IF(COUNTIFS(T_TTAFStock_Log[Part Name],$A50,T_TTAFStock_Log[WeekIndex],81)=0,"",SUMIFS(T_TTAFStock_Log[TTAF_Qty],T_TTAFStock_Log[Part Name],$A50,T_TTAFStock_Log[WeekIndex],81))</f>
        <v/>
      </c>
      <c r="CE50" s="17">
        <f>IF(COUNTIFS(T_TTAFStock_Log[Part Name],$A50,T_TTAFStock_Log[WeekIndex],82)=0,"",SUMIFS(T_TTAFStock_Log[TTAF_Qty],T_TTAFStock_Log[Part Name],$A50,T_TTAFStock_Log[WeekIndex],82))</f>
        <v/>
      </c>
      <c r="CF50" s="17">
        <f>IF(COUNTIFS(T_TTAFStock_Log[Part Name],$A50,T_TTAFStock_Log[WeekIndex],83)=0,"",SUMIFS(T_TTAFStock_Log[TTAF_Qty],T_TTAFStock_Log[Part Name],$A50,T_TTAFStock_Log[WeekIndex],83))</f>
        <v/>
      </c>
      <c r="CG50" s="17">
        <f>IF(COUNTIFS(T_TTAFStock_Log[Part Name],$A50,T_TTAFStock_Log[WeekIndex],84)=0,"",SUMIFS(T_TTAFStock_Log[TTAF_Qty],T_TTAFStock_Log[Part Name],$A50,T_TTAFStock_Log[WeekIndex],84))</f>
        <v/>
      </c>
      <c r="CH50" s="17">
        <f>IF(COUNTIFS(T_TTAFStock_Log[Part Name],$A50,T_TTAFStock_Log[WeekIndex],85)=0,"",SUMIFS(T_TTAFStock_Log[TTAF_Qty],T_TTAFStock_Log[Part Name],$A50,T_TTAFStock_Log[WeekIndex],85))</f>
        <v/>
      </c>
      <c r="CI50" s="17">
        <f>IF(COUNTIFS(T_TTAFStock_Log[Part Name],$A50,T_TTAFStock_Log[WeekIndex],86)=0,"",SUMIFS(T_TTAFStock_Log[TTAF_Qty],T_TTAFStock_Log[Part Name],$A50,T_TTAFStock_Log[WeekIndex],86))</f>
        <v/>
      </c>
      <c r="CJ50" s="17">
        <f>IF(COUNTIFS(T_TTAFStock_Log[Part Name],$A50,T_TTAFStock_Log[WeekIndex],87)=0,"",SUMIFS(T_TTAFStock_Log[TTAF_Qty],T_TTAFStock_Log[Part Name],$A50,T_TTAFStock_Log[WeekIndex],87))</f>
        <v/>
      </c>
      <c r="CK50" s="17">
        <f>IF(COUNTIFS(T_TTAFStock_Log[Part Name],$A50,T_TTAFStock_Log[WeekIndex],88)=0,"",SUMIFS(T_TTAFStock_Log[TTAF_Qty],T_TTAFStock_Log[Part Name],$A50,T_TTAFStock_Log[WeekIndex],88))</f>
        <v/>
      </c>
      <c r="CL50" s="17">
        <f>IF(COUNTIFS(T_TTAFStock_Log[Part Name],$A50,T_TTAFStock_Log[WeekIndex],89)=0,"",SUMIFS(T_TTAFStock_Log[TTAF_Qty],T_TTAFStock_Log[Part Name],$A50,T_TTAFStock_Log[WeekIndex],89))</f>
        <v/>
      </c>
      <c r="CM50" s="17">
        <f>IF(COUNTIFS(T_TTAFStock_Log[Part Name],$A50,T_TTAFStock_Log[WeekIndex],90)=0,"",SUMIFS(T_TTAFStock_Log[TTAF_Qty],T_TTAFStock_Log[Part Name],$A50,T_TTAFStock_Log[WeekIndex],90))</f>
        <v/>
      </c>
      <c r="CN50" s="17">
        <f>IF(COUNTIFS(T_TTAFStock_Log[Part Name],$A50,T_TTAFStock_Log[WeekIndex],91)=0,"",SUMIFS(T_TTAFStock_Log[TTAF_Qty],T_TTAFStock_Log[Part Name],$A50,T_TTAFStock_Log[WeekIndex],91))</f>
        <v/>
      </c>
      <c r="CO50" s="17">
        <f>IF(COUNTIFS(T_TTAFStock_Log[Part Name],$A50,T_TTAFStock_Log[WeekIndex],92)=0,"",SUMIFS(T_TTAFStock_Log[TTAF_Qty],T_TTAFStock_Log[Part Name],$A50,T_TTAFStock_Log[WeekIndex],92))</f>
        <v/>
      </c>
      <c r="CP50" s="17">
        <f>IF(COUNTIFS(T_TTAFStock_Log[Part Name],$A50,T_TTAFStock_Log[WeekIndex],93)=0,"",SUMIFS(T_TTAFStock_Log[TTAF_Qty],T_TTAFStock_Log[Part Name],$A50,T_TTAFStock_Log[WeekIndex],93))</f>
        <v/>
      </c>
      <c r="CQ50" s="17">
        <f>IF(COUNTIFS(T_TTAFStock_Log[Part Name],$A50,T_TTAFStock_Log[WeekIndex],94)=0,"",SUMIFS(T_TTAFStock_Log[TTAF_Qty],T_TTAFStock_Log[Part Name],$A50,T_TTAFStock_Log[WeekIndex],94))</f>
        <v/>
      </c>
      <c r="CR50" s="17">
        <f>IF(COUNTIFS(T_TTAFStock_Log[Part Name],$A50,T_TTAFStock_Log[WeekIndex],95)=0,"",SUMIFS(T_TTAFStock_Log[TTAF_Qty],T_TTAFStock_Log[Part Name],$A50,T_TTAFStock_Log[WeekIndex],95))</f>
        <v/>
      </c>
      <c r="CS50" s="17">
        <f>IF(COUNTIFS(T_TTAFStock_Log[Part Name],$A50,T_TTAFStock_Log[WeekIndex],96)=0,"",SUMIFS(T_TTAFStock_Log[TTAF_Qty],T_TTAFStock_Log[Part Name],$A50,T_TTAFStock_Log[WeekIndex],96))</f>
        <v/>
      </c>
      <c r="CT50" s="17">
        <f>IF(COUNTIFS(T_TTAFStock_Log[Part Name],$A50,T_TTAFStock_Log[WeekIndex],97)=0,"",SUMIFS(T_TTAFStock_Log[TTAF_Qty],T_TTAFStock_Log[Part Name],$A50,T_TTAFStock_Log[WeekIndex],97))</f>
        <v/>
      </c>
      <c r="CU50" s="17">
        <f>IF(COUNTIFS(T_TTAFStock_Log[Part Name],$A50,T_TTAFStock_Log[WeekIndex],98)=0,"",SUMIFS(T_TTAFStock_Log[TTAF_Qty],T_TTAFStock_Log[Part Name],$A50,T_TTAFStock_Log[WeekIndex],98))</f>
        <v/>
      </c>
      <c r="CV50" s="17">
        <f>IF(COUNTIFS(T_TTAFStock_Log[Part Name],$A50,T_TTAFStock_Log[WeekIndex],99)=0,"",SUMIFS(T_TTAFStock_Log[TTAF_Qty],T_TTAFStock_Log[Part Name],$A50,T_TTAFStock_Log[WeekIndex],99))</f>
        <v/>
      </c>
      <c r="CW50" s="17">
        <f>IF(COUNTIFS(T_TTAFStock_Log[Part Name],$A50,T_TTAFStock_Log[WeekIndex],100)=0,"",SUMIFS(T_TTAFStock_Log[TTAF_Qty],T_TTAFStock_Log[Part Name],$A50,T_TTAFStock_Log[WeekIndex],100))</f>
        <v/>
      </c>
      <c r="CX50" s="17">
        <f>IF(COUNTIFS(T_TTAFStock_Log[Part Name],$A50,T_TTAFStock_Log[WeekIndex],101)=0,"",SUMIFS(T_TTAFStock_Log[TTAF_Qty],T_TTAFStock_Log[Part Name],$A50,T_TTAFStock_Log[WeekIndex],101))</f>
        <v/>
      </c>
      <c r="CY50" s="17">
        <f>IF(COUNTIFS(T_TTAFStock_Log[Part Name],$A50,T_TTAFStock_Log[WeekIndex],102)=0,"",SUMIFS(T_TTAFStock_Log[TTAF_Qty],T_TTAFStock_Log[Part Name],$A50,T_TTAFStock_Log[WeekIndex],102))</f>
        <v/>
      </c>
      <c r="CZ50" s="17">
        <f>IF(COUNTIFS(T_TTAFStock_Log[Part Name],$A50,T_TTAFStock_Log[WeekIndex],103)=0,"",SUMIFS(T_TTAFStock_Log[TTAF_Qty],T_TTAFStock_Log[Part Name],$A50,T_TTAFStock_Log[WeekIndex],103))</f>
        <v/>
      </c>
      <c r="DA50" s="17">
        <f>IF(COUNTIFS(T_TTAFStock_Log[Part Name],$A50,T_TTAFStock_Log[WeekIndex],104)=0,"",SUMIFS(T_TTAFStock_Log[TTAF_Qty],T_TTAFStock_Log[Part Name],$A50,T_TTAFStock_Log[WeekIndex],104))</f>
        <v/>
      </c>
    </row>
    <row r="51">
      <c r="A51" s="19" t="inlineStr">
        <is>
          <t>CHEM-1470</t>
        </is>
      </c>
      <c r="B51" s="19">
        <f>IF(COUNTIFS(T_TTAFStock_Log[Part Name],$A51,T_TTAFStock_Log[WeekIndex],1)=0,"",SUMIFS(T_TTAFStock_Log[TTAF_Qty],T_TTAFStock_Log[Part Name],$A51,T_TTAFStock_Log[WeekIndex],1))</f>
        <v/>
      </c>
      <c r="C51" s="19">
        <f>IF(COUNTIFS(T_TTAFStock_Log[Part Name],$A51,T_TTAFStock_Log[WeekIndex],2)=0,"",SUMIFS(T_TTAFStock_Log[TTAF_Qty],T_TTAFStock_Log[Part Name],$A51,T_TTAFStock_Log[WeekIndex],2))</f>
        <v/>
      </c>
      <c r="D51" s="19">
        <f>IF(COUNTIFS(T_TTAFStock_Log[Part Name],$A51,T_TTAFStock_Log[WeekIndex],3)=0,"",SUMIFS(T_TTAFStock_Log[TTAF_Qty],T_TTAFStock_Log[Part Name],$A51,T_TTAFStock_Log[WeekIndex],3))</f>
        <v/>
      </c>
      <c r="E51" s="19">
        <f>IF(COUNTIFS(T_TTAFStock_Log[Part Name],$A51,T_TTAFStock_Log[WeekIndex],4)=0,"",SUMIFS(T_TTAFStock_Log[TTAF_Qty],T_TTAFStock_Log[Part Name],$A51,T_TTAFStock_Log[WeekIndex],4))</f>
        <v/>
      </c>
      <c r="F51" s="19">
        <f>IF(COUNTIFS(T_TTAFStock_Log[Part Name],$A51,T_TTAFStock_Log[WeekIndex],5)=0,"",SUMIFS(T_TTAFStock_Log[TTAF_Qty],T_TTAFStock_Log[Part Name],$A51,T_TTAFStock_Log[WeekIndex],5))</f>
        <v/>
      </c>
      <c r="G51" s="19">
        <f>IF(COUNTIFS(T_TTAFStock_Log[Part Name],$A51,T_TTAFStock_Log[WeekIndex],6)=0,"",SUMIFS(T_TTAFStock_Log[TTAF_Qty],T_TTAFStock_Log[Part Name],$A51,T_TTAFStock_Log[WeekIndex],6))</f>
        <v/>
      </c>
      <c r="H51" s="19">
        <f>IF(COUNTIFS(T_TTAFStock_Log[Part Name],$A51,T_TTAFStock_Log[WeekIndex],7)=0,"",SUMIFS(T_TTAFStock_Log[TTAF_Qty],T_TTAFStock_Log[Part Name],$A51,T_TTAFStock_Log[WeekIndex],7))</f>
        <v/>
      </c>
      <c r="I51" s="19">
        <f>IF(COUNTIFS(T_TTAFStock_Log[Part Name],$A51,T_TTAFStock_Log[WeekIndex],8)=0,"",SUMIFS(T_TTAFStock_Log[TTAF_Qty],T_TTAFStock_Log[Part Name],$A51,T_TTAFStock_Log[WeekIndex],8))</f>
        <v/>
      </c>
      <c r="J51" s="19">
        <f>IF(COUNTIFS(T_TTAFStock_Log[Part Name],$A51,T_TTAFStock_Log[WeekIndex],9)=0,"",SUMIFS(T_TTAFStock_Log[TTAF_Qty],T_TTAFStock_Log[Part Name],$A51,T_TTAFStock_Log[WeekIndex],9))</f>
        <v/>
      </c>
      <c r="K51" s="19">
        <f>IF(COUNTIFS(T_TTAFStock_Log[Part Name],$A51,T_TTAFStock_Log[WeekIndex],10)=0,"",SUMIFS(T_TTAFStock_Log[TTAF_Qty],T_TTAFStock_Log[Part Name],$A51,T_TTAFStock_Log[WeekIndex],10))</f>
        <v/>
      </c>
      <c r="L51" s="19">
        <f>IF(COUNTIFS(T_TTAFStock_Log[Part Name],$A51,T_TTAFStock_Log[WeekIndex],11)=0,"",SUMIFS(T_TTAFStock_Log[TTAF_Qty],T_TTAFStock_Log[Part Name],$A51,T_TTAFStock_Log[WeekIndex],11))</f>
        <v/>
      </c>
      <c r="M51" s="19">
        <f>IF(COUNTIFS(T_TTAFStock_Log[Part Name],$A51,T_TTAFStock_Log[WeekIndex],12)=0,"",SUMIFS(T_TTAFStock_Log[TTAF_Qty],T_TTAFStock_Log[Part Name],$A51,T_TTAFStock_Log[WeekIndex],12))</f>
        <v/>
      </c>
      <c r="N51" s="19">
        <f>IF(COUNTIFS(T_TTAFStock_Log[Part Name],$A51,T_TTAFStock_Log[WeekIndex],13)=0,"",SUMIFS(T_TTAFStock_Log[TTAF_Qty],T_TTAFStock_Log[Part Name],$A51,T_TTAFStock_Log[WeekIndex],13))</f>
        <v/>
      </c>
      <c r="O51" s="19">
        <f>IF(COUNTIFS(T_TTAFStock_Log[Part Name],$A51,T_TTAFStock_Log[WeekIndex],14)=0,"",SUMIFS(T_TTAFStock_Log[TTAF_Qty],T_TTAFStock_Log[Part Name],$A51,T_TTAFStock_Log[WeekIndex],14))</f>
        <v/>
      </c>
      <c r="P51" s="19">
        <f>IF(COUNTIFS(T_TTAFStock_Log[Part Name],$A51,T_TTAFStock_Log[WeekIndex],15)=0,"",SUMIFS(T_TTAFStock_Log[TTAF_Qty],T_TTAFStock_Log[Part Name],$A51,T_TTAFStock_Log[WeekIndex],15))</f>
        <v/>
      </c>
      <c r="Q51" s="19">
        <f>IF(COUNTIFS(T_TTAFStock_Log[Part Name],$A51,T_TTAFStock_Log[WeekIndex],16)=0,"",SUMIFS(T_TTAFStock_Log[TTAF_Qty],T_TTAFStock_Log[Part Name],$A51,T_TTAFStock_Log[WeekIndex],16))</f>
        <v/>
      </c>
      <c r="R51" s="19">
        <f>IF(COUNTIFS(T_TTAFStock_Log[Part Name],$A51,T_TTAFStock_Log[WeekIndex],17)=0,"",SUMIFS(T_TTAFStock_Log[TTAF_Qty],T_TTAFStock_Log[Part Name],$A51,T_TTAFStock_Log[WeekIndex],17))</f>
        <v/>
      </c>
      <c r="S51" s="19">
        <f>IF(COUNTIFS(T_TTAFStock_Log[Part Name],$A51,T_TTAFStock_Log[WeekIndex],18)=0,"",SUMIFS(T_TTAFStock_Log[TTAF_Qty],T_TTAFStock_Log[Part Name],$A51,T_TTAFStock_Log[WeekIndex],18))</f>
        <v/>
      </c>
      <c r="T51" s="19">
        <f>IF(COUNTIFS(T_TTAFStock_Log[Part Name],$A51,T_TTAFStock_Log[WeekIndex],19)=0,"",SUMIFS(T_TTAFStock_Log[TTAF_Qty],T_TTAFStock_Log[Part Name],$A51,T_TTAFStock_Log[WeekIndex],19))</f>
        <v/>
      </c>
      <c r="U51" s="19">
        <f>IF(COUNTIFS(T_TTAFStock_Log[Part Name],$A51,T_TTAFStock_Log[WeekIndex],20)=0,"",SUMIFS(T_TTAFStock_Log[TTAF_Qty],T_TTAFStock_Log[Part Name],$A51,T_TTAFStock_Log[WeekIndex],20))</f>
        <v/>
      </c>
      <c r="V51" s="19">
        <f>IF(COUNTIFS(T_TTAFStock_Log[Part Name],$A51,T_TTAFStock_Log[WeekIndex],21)=0,"",SUMIFS(T_TTAFStock_Log[TTAF_Qty],T_TTAFStock_Log[Part Name],$A51,T_TTAFStock_Log[WeekIndex],21))</f>
        <v/>
      </c>
      <c r="W51" s="19">
        <f>IF(COUNTIFS(T_TTAFStock_Log[Part Name],$A51,T_TTAFStock_Log[WeekIndex],22)=0,"",SUMIFS(T_TTAFStock_Log[TTAF_Qty],T_TTAFStock_Log[Part Name],$A51,T_TTAFStock_Log[WeekIndex],22))</f>
        <v/>
      </c>
      <c r="X51" s="19">
        <f>IF(COUNTIFS(T_TTAFStock_Log[Part Name],$A51,T_TTAFStock_Log[WeekIndex],23)=0,"",SUMIFS(T_TTAFStock_Log[TTAF_Qty],T_TTAFStock_Log[Part Name],$A51,T_TTAFStock_Log[WeekIndex],23))</f>
        <v/>
      </c>
      <c r="Y51" s="19">
        <f>IF(COUNTIFS(T_TTAFStock_Log[Part Name],$A51,T_TTAFStock_Log[WeekIndex],24)=0,"",SUMIFS(T_TTAFStock_Log[TTAF_Qty],T_TTAFStock_Log[Part Name],$A51,T_TTAFStock_Log[WeekIndex],24))</f>
        <v/>
      </c>
      <c r="Z51" s="19">
        <f>IF(COUNTIFS(T_TTAFStock_Log[Part Name],$A51,T_TTAFStock_Log[WeekIndex],25)=0,"",SUMIFS(T_TTAFStock_Log[TTAF_Qty],T_TTAFStock_Log[Part Name],$A51,T_TTAFStock_Log[WeekIndex],25))</f>
        <v/>
      </c>
      <c r="AA51" s="19">
        <f>IF(COUNTIFS(T_TTAFStock_Log[Part Name],$A51,T_TTAFStock_Log[WeekIndex],26)=0,"",SUMIFS(T_TTAFStock_Log[TTAF_Qty],T_TTAFStock_Log[Part Name],$A51,T_TTAFStock_Log[WeekIndex],26))</f>
        <v/>
      </c>
      <c r="AB51" s="19">
        <f>IF(COUNTIFS(T_TTAFStock_Log[Part Name],$A51,T_TTAFStock_Log[WeekIndex],27)=0,"",SUMIFS(T_TTAFStock_Log[TTAF_Qty],T_TTAFStock_Log[Part Name],$A51,T_TTAFStock_Log[WeekIndex],27))</f>
        <v/>
      </c>
      <c r="AC51" s="19">
        <f>IF(COUNTIFS(T_TTAFStock_Log[Part Name],$A51,T_TTAFStock_Log[WeekIndex],28)=0,"",SUMIFS(T_TTAFStock_Log[TTAF_Qty],T_TTAFStock_Log[Part Name],$A51,T_TTAFStock_Log[WeekIndex],28))</f>
        <v/>
      </c>
      <c r="AD51" s="19">
        <f>IF(COUNTIFS(T_TTAFStock_Log[Part Name],$A51,T_TTAFStock_Log[WeekIndex],29)=0,"",SUMIFS(T_TTAFStock_Log[TTAF_Qty],T_TTAFStock_Log[Part Name],$A51,T_TTAFStock_Log[WeekIndex],29))</f>
        <v/>
      </c>
      <c r="AE51" s="19">
        <f>IF(COUNTIFS(T_TTAFStock_Log[Part Name],$A51,T_TTAFStock_Log[WeekIndex],30)=0,"",SUMIFS(T_TTAFStock_Log[TTAF_Qty],T_TTAFStock_Log[Part Name],$A51,T_TTAFStock_Log[WeekIndex],30))</f>
        <v/>
      </c>
      <c r="AF51" s="19">
        <f>IF(COUNTIFS(T_TTAFStock_Log[Part Name],$A51,T_TTAFStock_Log[WeekIndex],31)=0,"",SUMIFS(T_TTAFStock_Log[TTAF_Qty],T_TTAFStock_Log[Part Name],$A51,T_TTAFStock_Log[WeekIndex],31))</f>
        <v/>
      </c>
      <c r="AG51" s="19">
        <f>IF(COUNTIFS(T_TTAFStock_Log[Part Name],$A51,T_TTAFStock_Log[WeekIndex],32)=0,"",SUMIFS(T_TTAFStock_Log[TTAF_Qty],T_TTAFStock_Log[Part Name],$A51,T_TTAFStock_Log[WeekIndex],32))</f>
        <v/>
      </c>
      <c r="AH51" s="19">
        <f>IF(COUNTIFS(T_TTAFStock_Log[Part Name],$A51,T_TTAFStock_Log[WeekIndex],33)=0,"",SUMIFS(T_TTAFStock_Log[TTAF_Qty],T_TTAFStock_Log[Part Name],$A51,T_TTAFStock_Log[WeekIndex],33))</f>
        <v/>
      </c>
      <c r="AI51" s="19">
        <f>IF(COUNTIFS(T_TTAFStock_Log[Part Name],$A51,T_TTAFStock_Log[WeekIndex],34)=0,"",SUMIFS(T_TTAFStock_Log[TTAF_Qty],T_TTAFStock_Log[Part Name],$A51,T_TTAFStock_Log[WeekIndex],34))</f>
        <v/>
      </c>
      <c r="AJ51" s="19">
        <f>IF(COUNTIFS(T_TTAFStock_Log[Part Name],$A51,T_TTAFStock_Log[WeekIndex],35)=0,"",SUMIFS(T_TTAFStock_Log[TTAF_Qty],T_TTAFStock_Log[Part Name],$A51,T_TTAFStock_Log[WeekIndex],35))</f>
        <v/>
      </c>
      <c r="AK51" s="19">
        <f>IF(COUNTIFS(T_TTAFStock_Log[Part Name],$A51,T_TTAFStock_Log[WeekIndex],36)=0,"",SUMIFS(T_TTAFStock_Log[TTAF_Qty],T_TTAFStock_Log[Part Name],$A51,T_TTAFStock_Log[WeekIndex],36))</f>
        <v/>
      </c>
      <c r="AL51" s="19">
        <f>IF(COUNTIFS(T_TTAFStock_Log[Part Name],$A51,T_TTAFStock_Log[WeekIndex],37)=0,"",SUMIFS(T_TTAFStock_Log[TTAF_Qty],T_TTAFStock_Log[Part Name],$A51,T_TTAFStock_Log[WeekIndex],37))</f>
        <v/>
      </c>
      <c r="AM51" s="19">
        <f>IF(COUNTIFS(T_TTAFStock_Log[Part Name],$A51,T_TTAFStock_Log[WeekIndex],38)=0,"",SUMIFS(T_TTAFStock_Log[TTAF_Qty],T_TTAFStock_Log[Part Name],$A51,T_TTAFStock_Log[WeekIndex],38))</f>
        <v/>
      </c>
      <c r="AN51" s="19">
        <f>IF(COUNTIFS(T_TTAFStock_Log[Part Name],$A51,T_TTAFStock_Log[WeekIndex],39)=0,"",SUMIFS(T_TTAFStock_Log[TTAF_Qty],T_TTAFStock_Log[Part Name],$A51,T_TTAFStock_Log[WeekIndex],39))</f>
        <v/>
      </c>
      <c r="AO51" s="19">
        <f>IF(COUNTIFS(T_TTAFStock_Log[Part Name],$A51,T_TTAFStock_Log[WeekIndex],40)=0,"",SUMIFS(T_TTAFStock_Log[TTAF_Qty],T_TTAFStock_Log[Part Name],$A51,T_TTAFStock_Log[WeekIndex],40))</f>
        <v/>
      </c>
      <c r="AP51" s="19">
        <f>IF(COUNTIFS(T_TTAFStock_Log[Part Name],$A51,T_TTAFStock_Log[WeekIndex],41)=0,"",SUMIFS(T_TTAFStock_Log[TTAF_Qty],T_TTAFStock_Log[Part Name],$A51,T_TTAFStock_Log[WeekIndex],41))</f>
        <v/>
      </c>
      <c r="AQ51" s="19">
        <f>IF(COUNTIFS(T_TTAFStock_Log[Part Name],$A51,T_TTAFStock_Log[WeekIndex],42)=0,"",SUMIFS(T_TTAFStock_Log[TTAF_Qty],T_TTAFStock_Log[Part Name],$A51,T_TTAFStock_Log[WeekIndex],42))</f>
        <v/>
      </c>
      <c r="AR51" s="19">
        <f>IF(COUNTIFS(T_TTAFStock_Log[Part Name],$A51,T_TTAFStock_Log[WeekIndex],43)=0,"",SUMIFS(T_TTAFStock_Log[TTAF_Qty],T_TTAFStock_Log[Part Name],$A51,T_TTAFStock_Log[WeekIndex],43))</f>
        <v/>
      </c>
      <c r="AS51" s="19">
        <f>IF(COUNTIFS(T_TTAFStock_Log[Part Name],$A51,T_TTAFStock_Log[WeekIndex],44)=0,"",SUMIFS(T_TTAFStock_Log[TTAF_Qty],T_TTAFStock_Log[Part Name],$A51,T_TTAFStock_Log[WeekIndex],44))</f>
        <v/>
      </c>
      <c r="AT51" s="19">
        <f>IF(COUNTIFS(T_TTAFStock_Log[Part Name],$A51,T_TTAFStock_Log[WeekIndex],45)=0,"",SUMIFS(T_TTAFStock_Log[TTAF_Qty],T_TTAFStock_Log[Part Name],$A51,T_TTAFStock_Log[WeekIndex],45))</f>
        <v/>
      </c>
      <c r="AU51" s="19">
        <f>IF(COUNTIFS(T_TTAFStock_Log[Part Name],$A51,T_TTAFStock_Log[WeekIndex],46)=0,"",SUMIFS(T_TTAFStock_Log[TTAF_Qty],T_TTAFStock_Log[Part Name],$A51,T_TTAFStock_Log[WeekIndex],46))</f>
        <v/>
      </c>
      <c r="AV51" s="19">
        <f>IF(COUNTIFS(T_TTAFStock_Log[Part Name],$A51,T_TTAFStock_Log[WeekIndex],47)=0,"",SUMIFS(T_TTAFStock_Log[TTAF_Qty],T_TTAFStock_Log[Part Name],$A51,T_TTAFStock_Log[WeekIndex],47))</f>
        <v/>
      </c>
      <c r="AW51" s="19">
        <f>IF(COUNTIFS(T_TTAFStock_Log[Part Name],$A51,T_TTAFStock_Log[WeekIndex],48)=0,"",SUMIFS(T_TTAFStock_Log[TTAF_Qty],T_TTAFStock_Log[Part Name],$A51,T_TTAFStock_Log[WeekIndex],48))</f>
        <v/>
      </c>
      <c r="AX51" s="19">
        <f>IF(COUNTIFS(T_TTAFStock_Log[Part Name],$A51,T_TTAFStock_Log[WeekIndex],49)=0,"",SUMIFS(T_TTAFStock_Log[TTAF_Qty],T_TTAFStock_Log[Part Name],$A51,T_TTAFStock_Log[WeekIndex],49))</f>
        <v/>
      </c>
      <c r="AY51" s="19">
        <f>IF(COUNTIFS(T_TTAFStock_Log[Part Name],$A51,T_TTAFStock_Log[WeekIndex],50)=0,"",SUMIFS(T_TTAFStock_Log[TTAF_Qty],T_TTAFStock_Log[Part Name],$A51,T_TTAFStock_Log[WeekIndex],50))</f>
        <v/>
      </c>
      <c r="AZ51" s="19">
        <f>IF(COUNTIFS(T_TTAFStock_Log[Part Name],$A51,T_TTAFStock_Log[WeekIndex],51)=0,"",SUMIFS(T_TTAFStock_Log[TTAF_Qty],T_TTAFStock_Log[Part Name],$A51,T_TTAFStock_Log[WeekIndex],51))</f>
        <v/>
      </c>
      <c r="BA51" s="19">
        <f>IF(COUNTIFS(T_TTAFStock_Log[Part Name],$A51,T_TTAFStock_Log[WeekIndex],52)=0,"",SUMIFS(T_TTAFStock_Log[TTAF_Qty],T_TTAFStock_Log[Part Name],$A51,T_TTAFStock_Log[WeekIndex],52))</f>
        <v/>
      </c>
      <c r="BB51" s="19">
        <f>IF(COUNTIFS(T_TTAFStock_Log[Part Name],$A51,T_TTAFStock_Log[WeekIndex],53)=0,"",SUMIFS(T_TTAFStock_Log[TTAF_Qty],T_TTAFStock_Log[Part Name],$A51,T_TTAFStock_Log[WeekIndex],53))</f>
        <v/>
      </c>
      <c r="BC51" s="19">
        <f>IF(COUNTIFS(T_TTAFStock_Log[Part Name],$A51,T_TTAFStock_Log[WeekIndex],54)=0,"",SUMIFS(T_TTAFStock_Log[TTAF_Qty],T_TTAFStock_Log[Part Name],$A51,T_TTAFStock_Log[WeekIndex],54))</f>
        <v/>
      </c>
      <c r="BD51" s="19">
        <f>IF(COUNTIFS(T_TTAFStock_Log[Part Name],$A51,T_TTAFStock_Log[WeekIndex],55)=0,"",SUMIFS(T_TTAFStock_Log[TTAF_Qty],T_TTAFStock_Log[Part Name],$A51,T_TTAFStock_Log[WeekIndex],55))</f>
        <v/>
      </c>
      <c r="BE51" s="19">
        <f>IF(COUNTIFS(T_TTAFStock_Log[Part Name],$A51,T_TTAFStock_Log[WeekIndex],56)=0,"",SUMIFS(T_TTAFStock_Log[TTAF_Qty],T_TTAFStock_Log[Part Name],$A51,T_TTAFStock_Log[WeekIndex],56))</f>
        <v/>
      </c>
      <c r="BF51" s="19">
        <f>IF(COUNTIFS(T_TTAFStock_Log[Part Name],$A51,T_TTAFStock_Log[WeekIndex],57)=0,"",SUMIFS(T_TTAFStock_Log[TTAF_Qty],T_TTAFStock_Log[Part Name],$A51,T_TTAFStock_Log[WeekIndex],57))</f>
        <v/>
      </c>
      <c r="BG51" s="19">
        <f>IF(COUNTIFS(T_TTAFStock_Log[Part Name],$A51,T_TTAFStock_Log[WeekIndex],58)=0,"",SUMIFS(T_TTAFStock_Log[TTAF_Qty],T_TTAFStock_Log[Part Name],$A51,T_TTAFStock_Log[WeekIndex],58))</f>
        <v/>
      </c>
      <c r="BH51" s="19">
        <f>IF(COUNTIFS(T_TTAFStock_Log[Part Name],$A51,T_TTAFStock_Log[WeekIndex],59)=0,"",SUMIFS(T_TTAFStock_Log[TTAF_Qty],T_TTAFStock_Log[Part Name],$A51,T_TTAFStock_Log[WeekIndex],59))</f>
        <v/>
      </c>
      <c r="BI51" s="19">
        <f>IF(COUNTIFS(T_TTAFStock_Log[Part Name],$A51,T_TTAFStock_Log[WeekIndex],60)=0,"",SUMIFS(T_TTAFStock_Log[TTAF_Qty],T_TTAFStock_Log[Part Name],$A51,T_TTAFStock_Log[WeekIndex],60))</f>
        <v/>
      </c>
      <c r="BJ51" s="19">
        <f>IF(COUNTIFS(T_TTAFStock_Log[Part Name],$A51,T_TTAFStock_Log[WeekIndex],61)=0,"",SUMIFS(T_TTAFStock_Log[TTAF_Qty],T_TTAFStock_Log[Part Name],$A51,T_TTAFStock_Log[WeekIndex],61))</f>
        <v/>
      </c>
      <c r="BK51" s="19">
        <f>IF(COUNTIFS(T_TTAFStock_Log[Part Name],$A51,T_TTAFStock_Log[WeekIndex],62)=0,"",SUMIFS(T_TTAFStock_Log[TTAF_Qty],T_TTAFStock_Log[Part Name],$A51,T_TTAFStock_Log[WeekIndex],62))</f>
        <v/>
      </c>
      <c r="BL51" s="19">
        <f>IF(COUNTIFS(T_TTAFStock_Log[Part Name],$A51,T_TTAFStock_Log[WeekIndex],63)=0,"",SUMIFS(T_TTAFStock_Log[TTAF_Qty],T_TTAFStock_Log[Part Name],$A51,T_TTAFStock_Log[WeekIndex],63))</f>
        <v/>
      </c>
      <c r="BM51" s="19">
        <f>IF(COUNTIFS(T_TTAFStock_Log[Part Name],$A51,T_TTAFStock_Log[WeekIndex],64)=0,"",SUMIFS(T_TTAFStock_Log[TTAF_Qty],T_TTAFStock_Log[Part Name],$A51,T_TTAFStock_Log[WeekIndex],64))</f>
        <v/>
      </c>
      <c r="BN51" s="19">
        <f>IF(COUNTIFS(T_TTAFStock_Log[Part Name],$A51,T_TTAFStock_Log[WeekIndex],65)=0,"",SUMIFS(T_TTAFStock_Log[TTAF_Qty],T_TTAFStock_Log[Part Name],$A51,T_TTAFStock_Log[WeekIndex],65))</f>
        <v/>
      </c>
      <c r="BO51" s="19">
        <f>IF(COUNTIFS(T_TTAFStock_Log[Part Name],$A51,T_TTAFStock_Log[WeekIndex],66)=0,"",SUMIFS(T_TTAFStock_Log[TTAF_Qty],T_TTAFStock_Log[Part Name],$A51,T_TTAFStock_Log[WeekIndex],66))</f>
        <v/>
      </c>
      <c r="BP51" s="19">
        <f>IF(COUNTIFS(T_TTAFStock_Log[Part Name],$A51,T_TTAFStock_Log[WeekIndex],67)=0,"",SUMIFS(T_TTAFStock_Log[TTAF_Qty],T_TTAFStock_Log[Part Name],$A51,T_TTAFStock_Log[WeekIndex],67))</f>
        <v/>
      </c>
      <c r="BQ51" s="19">
        <f>IF(COUNTIFS(T_TTAFStock_Log[Part Name],$A51,T_TTAFStock_Log[WeekIndex],68)=0,"",SUMIFS(T_TTAFStock_Log[TTAF_Qty],T_TTAFStock_Log[Part Name],$A51,T_TTAFStock_Log[WeekIndex],68))</f>
        <v/>
      </c>
      <c r="BR51" s="19">
        <f>IF(COUNTIFS(T_TTAFStock_Log[Part Name],$A51,T_TTAFStock_Log[WeekIndex],69)=0,"",SUMIFS(T_TTAFStock_Log[TTAF_Qty],T_TTAFStock_Log[Part Name],$A51,T_TTAFStock_Log[WeekIndex],69))</f>
        <v/>
      </c>
      <c r="BS51" s="19">
        <f>IF(COUNTIFS(T_TTAFStock_Log[Part Name],$A51,T_TTAFStock_Log[WeekIndex],70)=0,"",SUMIFS(T_TTAFStock_Log[TTAF_Qty],T_TTAFStock_Log[Part Name],$A51,T_TTAFStock_Log[WeekIndex],70))</f>
        <v/>
      </c>
      <c r="BT51" s="19">
        <f>IF(COUNTIFS(T_TTAFStock_Log[Part Name],$A51,T_TTAFStock_Log[WeekIndex],71)=0,"",SUMIFS(T_TTAFStock_Log[TTAF_Qty],T_TTAFStock_Log[Part Name],$A51,T_TTAFStock_Log[WeekIndex],71))</f>
        <v/>
      </c>
      <c r="BU51" s="19">
        <f>IF(COUNTIFS(T_TTAFStock_Log[Part Name],$A51,T_TTAFStock_Log[WeekIndex],72)=0,"",SUMIFS(T_TTAFStock_Log[TTAF_Qty],T_TTAFStock_Log[Part Name],$A51,T_TTAFStock_Log[WeekIndex],72))</f>
        <v/>
      </c>
      <c r="BV51" s="19">
        <f>IF(COUNTIFS(T_TTAFStock_Log[Part Name],$A51,T_TTAFStock_Log[WeekIndex],73)=0,"",SUMIFS(T_TTAFStock_Log[TTAF_Qty],T_TTAFStock_Log[Part Name],$A51,T_TTAFStock_Log[WeekIndex],73))</f>
        <v/>
      </c>
      <c r="BW51" s="19">
        <f>IF(COUNTIFS(T_TTAFStock_Log[Part Name],$A51,T_TTAFStock_Log[WeekIndex],74)=0,"",SUMIFS(T_TTAFStock_Log[TTAF_Qty],T_TTAFStock_Log[Part Name],$A51,T_TTAFStock_Log[WeekIndex],74))</f>
        <v/>
      </c>
      <c r="BX51" s="19">
        <f>IF(COUNTIFS(T_TTAFStock_Log[Part Name],$A51,T_TTAFStock_Log[WeekIndex],75)=0,"",SUMIFS(T_TTAFStock_Log[TTAF_Qty],T_TTAFStock_Log[Part Name],$A51,T_TTAFStock_Log[WeekIndex],75))</f>
        <v/>
      </c>
      <c r="BY51" s="19">
        <f>IF(COUNTIFS(T_TTAFStock_Log[Part Name],$A51,T_TTAFStock_Log[WeekIndex],76)=0,"",SUMIFS(T_TTAFStock_Log[TTAF_Qty],T_TTAFStock_Log[Part Name],$A51,T_TTAFStock_Log[WeekIndex],76))</f>
        <v/>
      </c>
      <c r="BZ51" s="19">
        <f>IF(COUNTIFS(T_TTAFStock_Log[Part Name],$A51,T_TTAFStock_Log[WeekIndex],77)=0,"",SUMIFS(T_TTAFStock_Log[TTAF_Qty],T_TTAFStock_Log[Part Name],$A51,T_TTAFStock_Log[WeekIndex],77))</f>
        <v/>
      </c>
      <c r="CA51" s="19">
        <f>IF(COUNTIFS(T_TTAFStock_Log[Part Name],$A51,T_TTAFStock_Log[WeekIndex],78)=0,"",SUMIFS(T_TTAFStock_Log[TTAF_Qty],T_TTAFStock_Log[Part Name],$A51,T_TTAFStock_Log[WeekIndex],78))</f>
        <v/>
      </c>
      <c r="CB51" s="19">
        <f>IF(COUNTIFS(T_TTAFStock_Log[Part Name],$A51,T_TTAFStock_Log[WeekIndex],79)=0,"",SUMIFS(T_TTAFStock_Log[TTAF_Qty],T_TTAFStock_Log[Part Name],$A51,T_TTAFStock_Log[WeekIndex],79))</f>
        <v/>
      </c>
      <c r="CC51" s="19">
        <f>IF(COUNTIFS(T_TTAFStock_Log[Part Name],$A51,T_TTAFStock_Log[WeekIndex],80)=0,"",SUMIFS(T_TTAFStock_Log[TTAF_Qty],T_TTAFStock_Log[Part Name],$A51,T_TTAFStock_Log[WeekIndex],80))</f>
        <v/>
      </c>
      <c r="CD51" s="19">
        <f>IF(COUNTIFS(T_TTAFStock_Log[Part Name],$A51,T_TTAFStock_Log[WeekIndex],81)=0,"",SUMIFS(T_TTAFStock_Log[TTAF_Qty],T_TTAFStock_Log[Part Name],$A51,T_TTAFStock_Log[WeekIndex],81))</f>
        <v/>
      </c>
      <c r="CE51" s="19">
        <f>IF(COUNTIFS(T_TTAFStock_Log[Part Name],$A51,T_TTAFStock_Log[WeekIndex],82)=0,"",SUMIFS(T_TTAFStock_Log[TTAF_Qty],T_TTAFStock_Log[Part Name],$A51,T_TTAFStock_Log[WeekIndex],82))</f>
        <v/>
      </c>
      <c r="CF51" s="19">
        <f>IF(COUNTIFS(T_TTAFStock_Log[Part Name],$A51,T_TTAFStock_Log[WeekIndex],83)=0,"",SUMIFS(T_TTAFStock_Log[TTAF_Qty],T_TTAFStock_Log[Part Name],$A51,T_TTAFStock_Log[WeekIndex],83))</f>
        <v/>
      </c>
      <c r="CG51" s="19">
        <f>IF(COUNTIFS(T_TTAFStock_Log[Part Name],$A51,T_TTAFStock_Log[WeekIndex],84)=0,"",SUMIFS(T_TTAFStock_Log[TTAF_Qty],T_TTAFStock_Log[Part Name],$A51,T_TTAFStock_Log[WeekIndex],84))</f>
        <v/>
      </c>
      <c r="CH51" s="19">
        <f>IF(COUNTIFS(T_TTAFStock_Log[Part Name],$A51,T_TTAFStock_Log[WeekIndex],85)=0,"",SUMIFS(T_TTAFStock_Log[TTAF_Qty],T_TTAFStock_Log[Part Name],$A51,T_TTAFStock_Log[WeekIndex],85))</f>
        <v/>
      </c>
      <c r="CI51" s="19">
        <f>IF(COUNTIFS(T_TTAFStock_Log[Part Name],$A51,T_TTAFStock_Log[WeekIndex],86)=0,"",SUMIFS(T_TTAFStock_Log[TTAF_Qty],T_TTAFStock_Log[Part Name],$A51,T_TTAFStock_Log[WeekIndex],86))</f>
        <v/>
      </c>
      <c r="CJ51" s="19">
        <f>IF(COUNTIFS(T_TTAFStock_Log[Part Name],$A51,T_TTAFStock_Log[WeekIndex],87)=0,"",SUMIFS(T_TTAFStock_Log[TTAF_Qty],T_TTAFStock_Log[Part Name],$A51,T_TTAFStock_Log[WeekIndex],87))</f>
        <v/>
      </c>
      <c r="CK51" s="19">
        <f>IF(COUNTIFS(T_TTAFStock_Log[Part Name],$A51,T_TTAFStock_Log[WeekIndex],88)=0,"",SUMIFS(T_TTAFStock_Log[TTAF_Qty],T_TTAFStock_Log[Part Name],$A51,T_TTAFStock_Log[WeekIndex],88))</f>
        <v/>
      </c>
      <c r="CL51" s="19">
        <f>IF(COUNTIFS(T_TTAFStock_Log[Part Name],$A51,T_TTAFStock_Log[WeekIndex],89)=0,"",SUMIFS(T_TTAFStock_Log[TTAF_Qty],T_TTAFStock_Log[Part Name],$A51,T_TTAFStock_Log[WeekIndex],89))</f>
        <v/>
      </c>
      <c r="CM51" s="19">
        <f>IF(COUNTIFS(T_TTAFStock_Log[Part Name],$A51,T_TTAFStock_Log[WeekIndex],90)=0,"",SUMIFS(T_TTAFStock_Log[TTAF_Qty],T_TTAFStock_Log[Part Name],$A51,T_TTAFStock_Log[WeekIndex],90))</f>
        <v/>
      </c>
      <c r="CN51" s="19">
        <f>IF(COUNTIFS(T_TTAFStock_Log[Part Name],$A51,T_TTAFStock_Log[WeekIndex],91)=0,"",SUMIFS(T_TTAFStock_Log[TTAF_Qty],T_TTAFStock_Log[Part Name],$A51,T_TTAFStock_Log[WeekIndex],91))</f>
        <v/>
      </c>
      <c r="CO51" s="19">
        <f>IF(COUNTIFS(T_TTAFStock_Log[Part Name],$A51,T_TTAFStock_Log[WeekIndex],92)=0,"",SUMIFS(T_TTAFStock_Log[TTAF_Qty],T_TTAFStock_Log[Part Name],$A51,T_TTAFStock_Log[WeekIndex],92))</f>
        <v/>
      </c>
      <c r="CP51" s="19">
        <f>IF(COUNTIFS(T_TTAFStock_Log[Part Name],$A51,T_TTAFStock_Log[WeekIndex],93)=0,"",SUMIFS(T_TTAFStock_Log[TTAF_Qty],T_TTAFStock_Log[Part Name],$A51,T_TTAFStock_Log[WeekIndex],93))</f>
        <v/>
      </c>
      <c r="CQ51" s="19">
        <f>IF(COUNTIFS(T_TTAFStock_Log[Part Name],$A51,T_TTAFStock_Log[WeekIndex],94)=0,"",SUMIFS(T_TTAFStock_Log[TTAF_Qty],T_TTAFStock_Log[Part Name],$A51,T_TTAFStock_Log[WeekIndex],94))</f>
        <v/>
      </c>
      <c r="CR51" s="19">
        <f>IF(COUNTIFS(T_TTAFStock_Log[Part Name],$A51,T_TTAFStock_Log[WeekIndex],95)=0,"",SUMIFS(T_TTAFStock_Log[TTAF_Qty],T_TTAFStock_Log[Part Name],$A51,T_TTAFStock_Log[WeekIndex],95))</f>
        <v/>
      </c>
      <c r="CS51" s="19">
        <f>IF(COUNTIFS(T_TTAFStock_Log[Part Name],$A51,T_TTAFStock_Log[WeekIndex],96)=0,"",SUMIFS(T_TTAFStock_Log[TTAF_Qty],T_TTAFStock_Log[Part Name],$A51,T_TTAFStock_Log[WeekIndex],96))</f>
        <v/>
      </c>
      <c r="CT51" s="19">
        <f>IF(COUNTIFS(T_TTAFStock_Log[Part Name],$A51,T_TTAFStock_Log[WeekIndex],97)=0,"",SUMIFS(T_TTAFStock_Log[TTAF_Qty],T_TTAFStock_Log[Part Name],$A51,T_TTAFStock_Log[WeekIndex],97))</f>
        <v/>
      </c>
      <c r="CU51" s="19">
        <f>IF(COUNTIFS(T_TTAFStock_Log[Part Name],$A51,T_TTAFStock_Log[WeekIndex],98)=0,"",SUMIFS(T_TTAFStock_Log[TTAF_Qty],T_TTAFStock_Log[Part Name],$A51,T_TTAFStock_Log[WeekIndex],98))</f>
        <v/>
      </c>
      <c r="CV51" s="19">
        <f>IF(COUNTIFS(T_TTAFStock_Log[Part Name],$A51,T_TTAFStock_Log[WeekIndex],99)=0,"",SUMIFS(T_TTAFStock_Log[TTAF_Qty],T_TTAFStock_Log[Part Name],$A51,T_TTAFStock_Log[WeekIndex],99))</f>
        <v/>
      </c>
      <c r="CW51" s="19">
        <f>IF(COUNTIFS(T_TTAFStock_Log[Part Name],$A51,T_TTAFStock_Log[WeekIndex],100)=0,"",SUMIFS(T_TTAFStock_Log[TTAF_Qty],T_TTAFStock_Log[Part Name],$A51,T_TTAFStock_Log[WeekIndex],100))</f>
        <v/>
      </c>
      <c r="CX51" s="19">
        <f>IF(COUNTIFS(T_TTAFStock_Log[Part Name],$A51,T_TTAFStock_Log[WeekIndex],101)=0,"",SUMIFS(T_TTAFStock_Log[TTAF_Qty],T_TTAFStock_Log[Part Name],$A51,T_TTAFStock_Log[WeekIndex],101))</f>
        <v/>
      </c>
      <c r="CY51" s="19">
        <f>IF(COUNTIFS(T_TTAFStock_Log[Part Name],$A51,T_TTAFStock_Log[WeekIndex],102)=0,"",SUMIFS(T_TTAFStock_Log[TTAF_Qty],T_TTAFStock_Log[Part Name],$A51,T_TTAFStock_Log[WeekIndex],102))</f>
        <v/>
      </c>
      <c r="CZ51" s="19">
        <f>IF(COUNTIFS(T_TTAFStock_Log[Part Name],$A51,T_TTAFStock_Log[WeekIndex],103)=0,"",SUMIFS(T_TTAFStock_Log[TTAF_Qty],T_TTAFStock_Log[Part Name],$A51,T_TTAFStock_Log[WeekIndex],103))</f>
        <v/>
      </c>
      <c r="DA51" s="19">
        <f>IF(COUNTIFS(T_TTAFStock_Log[Part Name],$A51,T_TTAFStock_Log[WeekIndex],104)=0,"",SUMIFS(T_TTAFStock_Log[TTAF_Qty],T_TTAFStock_Log[Part Name],$A51,T_TTAFStock_Log[WeekIndex],104))</f>
        <v/>
      </c>
    </row>
    <row r="52">
      <c r="A52" s="17" t="inlineStr">
        <is>
          <t>CHEM-1010</t>
        </is>
      </c>
      <c r="B52" s="17">
        <f>IF(COUNTIFS(T_TTAFStock_Log[Part Name],$A52,T_TTAFStock_Log[WeekIndex],1)=0,"",SUMIFS(T_TTAFStock_Log[TTAF_Qty],T_TTAFStock_Log[Part Name],$A52,T_TTAFStock_Log[WeekIndex],1))</f>
        <v/>
      </c>
      <c r="C52" s="17">
        <f>IF(COUNTIFS(T_TTAFStock_Log[Part Name],$A52,T_TTAFStock_Log[WeekIndex],2)=0,"",SUMIFS(T_TTAFStock_Log[TTAF_Qty],T_TTAFStock_Log[Part Name],$A52,T_TTAFStock_Log[WeekIndex],2))</f>
        <v/>
      </c>
      <c r="D52" s="17">
        <f>IF(COUNTIFS(T_TTAFStock_Log[Part Name],$A52,T_TTAFStock_Log[WeekIndex],3)=0,"",SUMIFS(T_TTAFStock_Log[TTAF_Qty],T_TTAFStock_Log[Part Name],$A52,T_TTAFStock_Log[WeekIndex],3))</f>
        <v/>
      </c>
      <c r="E52" s="17">
        <f>IF(COUNTIFS(T_TTAFStock_Log[Part Name],$A52,T_TTAFStock_Log[WeekIndex],4)=0,"",SUMIFS(T_TTAFStock_Log[TTAF_Qty],T_TTAFStock_Log[Part Name],$A52,T_TTAFStock_Log[WeekIndex],4))</f>
        <v/>
      </c>
      <c r="F52" s="17">
        <f>IF(COUNTIFS(T_TTAFStock_Log[Part Name],$A52,T_TTAFStock_Log[WeekIndex],5)=0,"",SUMIFS(T_TTAFStock_Log[TTAF_Qty],T_TTAFStock_Log[Part Name],$A52,T_TTAFStock_Log[WeekIndex],5))</f>
        <v/>
      </c>
      <c r="G52" s="17">
        <f>IF(COUNTIFS(T_TTAFStock_Log[Part Name],$A52,T_TTAFStock_Log[WeekIndex],6)=0,"",SUMIFS(T_TTAFStock_Log[TTAF_Qty],T_TTAFStock_Log[Part Name],$A52,T_TTAFStock_Log[WeekIndex],6))</f>
        <v/>
      </c>
      <c r="H52" s="17">
        <f>IF(COUNTIFS(T_TTAFStock_Log[Part Name],$A52,T_TTAFStock_Log[WeekIndex],7)=0,"",SUMIFS(T_TTAFStock_Log[TTAF_Qty],T_TTAFStock_Log[Part Name],$A52,T_TTAFStock_Log[WeekIndex],7))</f>
        <v/>
      </c>
      <c r="I52" s="17">
        <f>IF(COUNTIFS(T_TTAFStock_Log[Part Name],$A52,T_TTAFStock_Log[WeekIndex],8)=0,"",SUMIFS(T_TTAFStock_Log[TTAF_Qty],T_TTAFStock_Log[Part Name],$A52,T_TTAFStock_Log[WeekIndex],8))</f>
        <v/>
      </c>
      <c r="J52" s="17">
        <f>IF(COUNTIFS(T_TTAFStock_Log[Part Name],$A52,T_TTAFStock_Log[WeekIndex],9)=0,"",SUMIFS(T_TTAFStock_Log[TTAF_Qty],T_TTAFStock_Log[Part Name],$A52,T_TTAFStock_Log[WeekIndex],9))</f>
        <v/>
      </c>
      <c r="K52" s="17">
        <f>IF(COUNTIFS(T_TTAFStock_Log[Part Name],$A52,T_TTAFStock_Log[WeekIndex],10)=0,"",SUMIFS(T_TTAFStock_Log[TTAF_Qty],T_TTAFStock_Log[Part Name],$A52,T_TTAFStock_Log[WeekIndex],10))</f>
        <v/>
      </c>
      <c r="L52" s="17">
        <f>IF(COUNTIFS(T_TTAFStock_Log[Part Name],$A52,T_TTAFStock_Log[WeekIndex],11)=0,"",SUMIFS(T_TTAFStock_Log[TTAF_Qty],T_TTAFStock_Log[Part Name],$A52,T_TTAFStock_Log[WeekIndex],11))</f>
        <v/>
      </c>
      <c r="M52" s="17">
        <f>IF(COUNTIFS(T_TTAFStock_Log[Part Name],$A52,T_TTAFStock_Log[WeekIndex],12)=0,"",SUMIFS(T_TTAFStock_Log[TTAF_Qty],T_TTAFStock_Log[Part Name],$A52,T_TTAFStock_Log[WeekIndex],12))</f>
        <v/>
      </c>
      <c r="N52" s="17">
        <f>IF(COUNTIFS(T_TTAFStock_Log[Part Name],$A52,T_TTAFStock_Log[WeekIndex],13)=0,"",SUMIFS(T_TTAFStock_Log[TTAF_Qty],T_TTAFStock_Log[Part Name],$A52,T_TTAFStock_Log[WeekIndex],13))</f>
        <v/>
      </c>
      <c r="O52" s="17">
        <f>IF(COUNTIFS(T_TTAFStock_Log[Part Name],$A52,T_TTAFStock_Log[WeekIndex],14)=0,"",SUMIFS(T_TTAFStock_Log[TTAF_Qty],T_TTAFStock_Log[Part Name],$A52,T_TTAFStock_Log[WeekIndex],14))</f>
        <v/>
      </c>
      <c r="P52" s="17">
        <f>IF(COUNTIFS(T_TTAFStock_Log[Part Name],$A52,T_TTAFStock_Log[WeekIndex],15)=0,"",SUMIFS(T_TTAFStock_Log[TTAF_Qty],T_TTAFStock_Log[Part Name],$A52,T_TTAFStock_Log[WeekIndex],15))</f>
        <v/>
      </c>
      <c r="Q52" s="17">
        <f>IF(COUNTIFS(T_TTAFStock_Log[Part Name],$A52,T_TTAFStock_Log[WeekIndex],16)=0,"",SUMIFS(T_TTAFStock_Log[TTAF_Qty],T_TTAFStock_Log[Part Name],$A52,T_TTAFStock_Log[WeekIndex],16))</f>
        <v/>
      </c>
      <c r="R52" s="17">
        <f>IF(COUNTIFS(T_TTAFStock_Log[Part Name],$A52,T_TTAFStock_Log[WeekIndex],17)=0,"",SUMIFS(T_TTAFStock_Log[TTAF_Qty],T_TTAFStock_Log[Part Name],$A52,T_TTAFStock_Log[WeekIndex],17))</f>
        <v/>
      </c>
      <c r="S52" s="17">
        <f>IF(COUNTIFS(T_TTAFStock_Log[Part Name],$A52,T_TTAFStock_Log[WeekIndex],18)=0,"",SUMIFS(T_TTAFStock_Log[TTAF_Qty],T_TTAFStock_Log[Part Name],$A52,T_TTAFStock_Log[WeekIndex],18))</f>
        <v/>
      </c>
      <c r="T52" s="17">
        <f>IF(COUNTIFS(T_TTAFStock_Log[Part Name],$A52,T_TTAFStock_Log[WeekIndex],19)=0,"",SUMIFS(T_TTAFStock_Log[TTAF_Qty],T_TTAFStock_Log[Part Name],$A52,T_TTAFStock_Log[WeekIndex],19))</f>
        <v/>
      </c>
      <c r="U52" s="17">
        <f>IF(COUNTIFS(T_TTAFStock_Log[Part Name],$A52,T_TTAFStock_Log[WeekIndex],20)=0,"",SUMIFS(T_TTAFStock_Log[TTAF_Qty],T_TTAFStock_Log[Part Name],$A52,T_TTAFStock_Log[WeekIndex],20))</f>
        <v/>
      </c>
      <c r="V52" s="17">
        <f>IF(COUNTIFS(T_TTAFStock_Log[Part Name],$A52,T_TTAFStock_Log[WeekIndex],21)=0,"",SUMIFS(T_TTAFStock_Log[TTAF_Qty],T_TTAFStock_Log[Part Name],$A52,T_TTAFStock_Log[WeekIndex],21))</f>
        <v/>
      </c>
      <c r="W52" s="17">
        <f>IF(COUNTIFS(T_TTAFStock_Log[Part Name],$A52,T_TTAFStock_Log[WeekIndex],22)=0,"",SUMIFS(T_TTAFStock_Log[TTAF_Qty],T_TTAFStock_Log[Part Name],$A52,T_TTAFStock_Log[WeekIndex],22))</f>
        <v/>
      </c>
      <c r="X52" s="17">
        <f>IF(COUNTIFS(T_TTAFStock_Log[Part Name],$A52,T_TTAFStock_Log[WeekIndex],23)=0,"",SUMIFS(T_TTAFStock_Log[TTAF_Qty],T_TTAFStock_Log[Part Name],$A52,T_TTAFStock_Log[WeekIndex],23))</f>
        <v/>
      </c>
      <c r="Y52" s="17">
        <f>IF(COUNTIFS(T_TTAFStock_Log[Part Name],$A52,T_TTAFStock_Log[WeekIndex],24)=0,"",SUMIFS(T_TTAFStock_Log[TTAF_Qty],T_TTAFStock_Log[Part Name],$A52,T_TTAFStock_Log[WeekIndex],24))</f>
        <v/>
      </c>
      <c r="Z52" s="17">
        <f>IF(COUNTIFS(T_TTAFStock_Log[Part Name],$A52,T_TTAFStock_Log[WeekIndex],25)=0,"",SUMIFS(T_TTAFStock_Log[TTAF_Qty],T_TTAFStock_Log[Part Name],$A52,T_TTAFStock_Log[WeekIndex],25))</f>
        <v/>
      </c>
      <c r="AA52" s="17">
        <f>IF(COUNTIFS(T_TTAFStock_Log[Part Name],$A52,T_TTAFStock_Log[WeekIndex],26)=0,"",SUMIFS(T_TTAFStock_Log[TTAF_Qty],T_TTAFStock_Log[Part Name],$A52,T_TTAFStock_Log[WeekIndex],26))</f>
        <v/>
      </c>
      <c r="AB52" s="17">
        <f>IF(COUNTIFS(T_TTAFStock_Log[Part Name],$A52,T_TTAFStock_Log[WeekIndex],27)=0,"",SUMIFS(T_TTAFStock_Log[TTAF_Qty],T_TTAFStock_Log[Part Name],$A52,T_TTAFStock_Log[WeekIndex],27))</f>
        <v/>
      </c>
      <c r="AC52" s="17">
        <f>IF(COUNTIFS(T_TTAFStock_Log[Part Name],$A52,T_TTAFStock_Log[WeekIndex],28)=0,"",SUMIFS(T_TTAFStock_Log[TTAF_Qty],T_TTAFStock_Log[Part Name],$A52,T_TTAFStock_Log[WeekIndex],28))</f>
        <v/>
      </c>
      <c r="AD52" s="17">
        <f>IF(COUNTIFS(T_TTAFStock_Log[Part Name],$A52,T_TTAFStock_Log[WeekIndex],29)=0,"",SUMIFS(T_TTAFStock_Log[TTAF_Qty],T_TTAFStock_Log[Part Name],$A52,T_TTAFStock_Log[WeekIndex],29))</f>
        <v/>
      </c>
      <c r="AE52" s="17">
        <f>IF(COUNTIFS(T_TTAFStock_Log[Part Name],$A52,T_TTAFStock_Log[WeekIndex],30)=0,"",SUMIFS(T_TTAFStock_Log[TTAF_Qty],T_TTAFStock_Log[Part Name],$A52,T_TTAFStock_Log[WeekIndex],30))</f>
        <v/>
      </c>
      <c r="AF52" s="17">
        <f>IF(COUNTIFS(T_TTAFStock_Log[Part Name],$A52,T_TTAFStock_Log[WeekIndex],31)=0,"",SUMIFS(T_TTAFStock_Log[TTAF_Qty],T_TTAFStock_Log[Part Name],$A52,T_TTAFStock_Log[WeekIndex],31))</f>
        <v/>
      </c>
      <c r="AG52" s="17">
        <f>IF(COUNTIFS(T_TTAFStock_Log[Part Name],$A52,T_TTAFStock_Log[WeekIndex],32)=0,"",SUMIFS(T_TTAFStock_Log[TTAF_Qty],T_TTAFStock_Log[Part Name],$A52,T_TTAFStock_Log[WeekIndex],32))</f>
        <v/>
      </c>
      <c r="AH52" s="17">
        <f>IF(COUNTIFS(T_TTAFStock_Log[Part Name],$A52,T_TTAFStock_Log[WeekIndex],33)=0,"",SUMIFS(T_TTAFStock_Log[TTAF_Qty],T_TTAFStock_Log[Part Name],$A52,T_TTAFStock_Log[WeekIndex],33))</f>
        <v/>
      </c>
      <c r="AI52" s="17">
        <f>IF(COUNTIFS(T_TTAFStock_Log[Part Name],$A52,T_TTAFStock_Log[WeekIndex],34)=0,"",SUMIFS(T_TTAFStock_Log[TTAF_Qty],T_TTAFStock_Log[Part Name],$A52,T_TTAFStock_Log[WeekIndex],34))</f>
        <v/>
      </c>
      <c r="AJ52" s="17">
        <f>IF(COUNTIFS(T_TTAFStock_Log[Part Name],$A52,T_TTAFStock_Log[WeekIndex],35)=0,"",SUMIFS(T_TTAFStock_Log[TTAF_Qty],T_TTAFStock_Log[Part Name],$A52,T_TTAFStock_Log[WeekIndex],35))</f>
        <v/>
      </c>
      <c r="AK52" s="17">
        <f>IF(COUNTIFS(T_TTAFStock_Log[Part Name],$A52,T_TTAFStock_Log[WeekIndex],36)=0,"",SUMIFS(T_TTAFStock_Log[TTAF_Qty],T_TTAFStock_Log[Part Name],$A52,T_TTAFStock_Log[WeekIndex],36))</f>
        <v/>
      </c>
      <c r="AL52" s="17">
        <f>IF(COUNTIFS(T_TTAFStock_Log[Part Name],$A52,T_TTAFStock_Log[WeekIndex],37)=0,"",SUMIFS(T_TTAFStock_Log[TTAF_Qty],T_TTAFStock_Log[Part Name],$A52,T_TTAFStock_Log[WeekIndex],37))</f>
        <v/>
      </c>
      <c r="AM52" s="17">
        <f>IF(COUNTIFS(T_TTAFStock_Log[Part Name],$A52,T_TTAFStock_Log[WeekIndex],38)=0,"",SUMIFS(T_TTAFStock_Log[TTAF_Qty],T_TTAFStock_Log[Part Name],$A52,T_TTAFStock_Log[WeekIndex],38))</f>
        <v/>
      </c>
      <c r="AN52" s="17">
        <f>IF(COUNTIFS(T_TTAFStock_Log[Part Name],$A52,T_TTAFStock_Log[WeekIndex],39)=0,"",SUMIFS(T_TTAFStock_Log[TTAF_Qty],T_TTAFStock_Log[Part Name],$A52,T_TTAFStock_Log[WeekIndex],39))</f>
        <v/>
      </c>
      <c r="AO52" s="17">
        <f>IF(COUNTIFS(T_TTAFStock_Log[Part Name],$A52,T_TTAFStock_Log[WeekIndex],40)=0,"",SUMIFS(T_TTAFStock_Log[TTAF_Qty],T_TTAFStock_Log[Part Name],$A52,T_TTAFStock_Log[WeekIndex],40))</f>
        <v/>
      </c>
      <c r="AP52" s="17">
        <f>IF(COUNTIFS(T_TTAFStock_Log[Part Name],$A52,T_TTAFStock_Log[WeekIndex],41)=0,"",SUMIFS(T_TTAFStock_Log[TTAF_Qty],T_TTAFStock_Log[Part Name],$A52,T_TTAFStock_Log[WeekIndex],41))</f>
        <v/>
      </c>
      <c r="AQ52" s="17">
        <f>IF(COUNTIFS(T_TTAFStock_Log[Part Name],$A52,T_TTAFStock_Log[WeekIndex],42)=0,"",SUMIFS(T_TTAFStock_Log[TTAF_Qty],T_TTAFStock_Log[Part Name],$A52,T_TTAFStock_Log[WeekIndex],42))</f>
        <v/>
      </c>
      <c r="AR52" s="17">
        <f>IF(COUNTIFS(T_TTAFStock_Log[Part Name],$A52,T_TTAFStock_Log[WeekIndex],43)=0,"",SUMIFS(T_TTAFStock_Log[TTAF_Qty],T_TTAFStock_Log[Part Name],$A52,T_TTAFStock_Log[WeekIndex],43))</f>
        <v/>
      </c>
      <c r="AS52" s="17">
        <f>IF(COUNTIFS(T_TTAFStock_Log[Part Name],$A52,T_TTAFStock_Log[WeekIndex],44)=0,"",SUMIFS(T_TTAFStock_Log[TTAF_Qty],T_TTAFStock_Log[Part Name],$A52,T_TTAFStock_Log[WeekIndex],44))</f>
        <v/>
      </c>
      <c r="AT52" s="17">
        <f>IF(COUNTIFS(T_TTAFStock_Log[Part Name],$A52,T_TTAFStock_Log[WeekIndex],45)=0,"",SUMIFS(T_TTAFStock_Log[TTAF_Qty],T_TTAFStock_Log[Part Name],$A52,T_TTAFStock_Log[WeekIndex],45))</f>
        <v/>
      </c>
      <c r="AU52" s="17">
        <f>IF(COUNTIFS(T_TTAFStock_Log[Part Name],$A52,T_TTAFStock_Log[WeekIndex],46)=0,"",SUMIFS(T_TTAFStock_Log[TTAF_Qty],T_TTAFStock_Log[Part Name],$A52,T_TTAFStock_Log[WeekIndex],46))</f>
        <v/>
      </c>
      <c r="AV52" s="17">
        <f>IF(COUNTIFS(T_TTAFStock_Log[Part Name],$A52,T_TTAFStock_Log[WeekIndex],47)=0,"",SUMIFS(T_TTAFStock_Log[TTAF_Qty],T_TTAFStock_Log[Part Name],$A52,T_TTAFStock_Log[WeekIndex],47))</f>
        <v/>
      </c>
      <c r="AW52" s="17">
        <f>IF(COUNTIFS(T_TTAFStock_Log[Part Name],$A52,T_TTAFStock_Log[WeekIndex],48)=0,"",SUMIFS(T_TTAFStock_Log[TTAF_Qty],T_TTAFStock_Log[Part Name],$A52,T_TTAFStock_Log[WeekIndex],48))</f>
        <v/>
      </c>
      <c r="AX52" s="17">
        <f>IF(COUNTIFS(T_TTAFStock_Log[Part Name],$A52,T_TTAFStock_Log[WeekIndex],49)=0,"",SUMIFS(T_TTAFStock_Log[TTAF_Qty],T_TTAFStock_Log[Part Name],$A52,T_TTAFStock_Log[WeekIndex],49))</f>
        <v/>
      </c>
      <c r="AY52" s="17">
        <f>IF(COUNTIFS(T_TTAFStock_Log[Part Name],$A52,T_TTAFStock_Log[WeekIndex],50)=0,"",SUMIFS(T_TTAFStock_Log[TTAF_Qty],T_TTAFStock_Log[Part Name],$A52,T_TTAFStock_Log[WeekIndex],50))</f>
        <v/>
      </c>
      <c r="AZ52" s="17">
        <f>IF(COUNTIFS(T_TTAFStock_Log[Part Name],$A52,T_TTAFStock_Log[WeekIndex],51)=0,"",SUMIFS(T_TTAFStock_Log[TTAF_Qty],T_TTAFStock_Log[Part Name],$A52,T_TTAFStock_Log[WeekIndex],51))</f>
        <v/>
      </c>
      <c r="BA52" s="17">
        <f>IF(COUNTIFS(T_TTAFStock_Log[Part Name],$A52,T_TTAFStock_Log[WeekIndex],52)=0,"",SUMIFS(T_TTAFStock_Log[TTAF_Qty],T_TTAFStock_Log[Part Name],$A52,T_TTAFStock_Log[WeekIndex],52))</f>
        <v/>
      </c>
      <c r="BB52" s="17">
        <f>IF(COUNTIFS(T_TTAFStock_Log[Part Name],$A52,T_TTAFStock_Log[WeekIndex],53)=0,"",SUMIFS(T_TTAFStock_Log[TTAF_Qty],T_TTAFStock_Log[Part Name],$A52,T_TTAFStock_Log[WeekIndex],53))</f>
        <v/>
      </c>
      <c r="BC52" s="17">
        <f>IF(COUNTIFS(T_TTAFStock_Log[Part Name],$A52,T_TTAFStock_Log[WeekIndex],54)=0,"",SUMIFS(T_TTAFStock_Log[TTAF_Qty],T_TTAFStock_Log[Part Name],$A52,T_TTAFStock_Log[WeekIndex],54))</f>
        <v/>
      </c>
      <c r="BD52" s="17">
        <f>IF(COUNTIFS(T_TTAFStock_Log[Part Name],$A52,T_TTAFStock_Log[WeekIndex],55)=0,"",SUMIFS(T_TTAFStock_Log[TTAF_Qty],T_TTAFStock_Log[Part Name],$A52,T_TTAFStock_Log[WeekIndex],55))</f>
        <v/>
      </c>
      <c r="BE52" s="17">
        <f>IF(COUNTIFS(T_TTAFStock_Log[Part Name],$A52,T_TTAFStock_Log[WeekIndex],56)=0,"",SUMIFS(T_TTAFStock_Log[TTAF_Qty],T_TTAFStock_Log[Part Name],$A52,T_TTAFStock_Log[WeekIndex],56))</f>
        <v/>
      </c>
      <c r="BF52" s="17">
        <f>IF(COUNTIFS(T_TTAFStock_Log[Part Name],$A52,T_TTAFStock_Log[WeekIndex],57)=0,"",SUMIFS(T_TTAFStock_Log[TTAF_Qty],T_TTAFStock_Log[Part Name],$A52,T_TTAFStock_Log[WeekIndex],57))</f>
        <v/>
      </c>
      <c r="BG52" s="17">
        <f>IF(COUNTIFS(T_TTAFStock_Log[Part Name],$A52,T_TTAFStock_Log[WeekIndex],58)=0,"",SUMIFS(T_TTAFStock_Log[TTAF_Qty],T_TTAFStock_Log[Part Name],$A52,T_TTAFStock_Log[WeekIndex],58))</f>
        <v/>
      </c>
      <c r="BH52" s="17">
        <f>IF(COUNTIFS(T_TTAFStock_Log[Part Name],$A52,T_TTAFStock_Log[WeekIndex],59)=0,"",SUMIFS(T_TTAFStock_Log[TTAF_Qty],T_TTAFStock_Log[Part Name],$A52,T_TTAFStock_Log[WeekIndex],59))</f>
        <v/>
      </c>
      <c r="BI52" s="17">
        <f>IF(COUNTIFS(T_TTAFStock_Log[Part Name],$A52,T_TTAFStock_Log[WeekIndex],60)=0,"",SUMIFS(T_TTAFStock_Log[TTAF_Qty],T_TTAFStock_Log[Part Name],$A52,T_TTAFStock_Log[WeekIndex],60))</f>
        <v/>
      </c>
      <c r="BJ52" s="17">
        <f>IF(COUNTIFS(T_TTAFStock_Log[Part Name],$A52,T_TTAFStock_Log[WeekIndex],61)=0,"",SUMIFS(T_TTAFStock_Log[TTAF_Qty],T_TTAFStock_Log[Part Name],$A52,T_TTAFStock_Log[WeekIndex],61))</f>
        <v/>
      </c>
      <c r="BK52" s="17">
        <f>IF(COUNTIFS(T_TTAFStock_Log[Part Name],$A52,T_TTAFStock_Log[WeekIndex],62)=0,"",SUMIFS(T_TTAFStock_Log[TTAF_Qty],T_TTAFStock_Log[Part Name],$A52,T_TTAFStock_Log[WeekIndex],62))</f>
        <v/>
      </c>
      <c r="BL52" s="17">
        <f>IF(COUNTIFS(T_TTAFStock_Log[Part Name],$A52,T_TTAFStock_Log[WeekIndex],63)=0,"",SUMIFS(T_TTAFStock_Log[TTAF_Qty],T_TTAFStock_Log[Part Name],$A52,T_TTAFStock_Log[WeekIndex],63))</f>
        <v/>
      </c>
      <c r="BM52" s="17">
        <f>IF(COUNTIFS(T_TTAFStock_Log[Part Name],$A52,T_TTAFStock_Log[WeekIndex],64)=0,"",SUMIFS(T_TTAFStock_Log[TTAF_Qty],T_TTAFStock_Log[Part Name],$A52,T_TTAFStock_Log[WeekIndex],64))</f>
        <v/>
      </c>
      <c r="BN52" s="17">
        <f>IF(COUNTIFS(T_TTAFStock_Log[Part Name],$A52,T_TTAFStock_Log[WeekIndex],65)=0,"",SUMIFS(T_TTAFStock_Log[TTAF_Qty],T_TTAFStock_Log[Part Name],$A52,T_TTAFStock_Log[WeekIndex],65))</f>
        <v/>
      </c>
      <c r="BO52" s="17">
        <f>IF(COUNTIFS(T_TTAFStock_Log[Part Name],$A52,T_TTAFStock_Log[WeekIndex],66)=0,"",SUMIFS(T_TTAFStock_Log[TTAF_Qty],T_TTAFStock_Log[Part Name],$A52,T_TTAFStock_Log[WeekIndex],66))</f>
        <v/>
      </c>
      <c r="BP52" s="17">
        <f>IF(COUNTIFS(T_TTAFStock_Log[Part Name],$A52,T_TTAFStock_Log[WeekIndex],67)=0,"",SUMIFS(T_TTAFStock_Log[TTAF_Qty],T_TTAFStock_Log[Part Name],$A52,T_TTAFStock_Log[WeekIndex],67))</f>
        <v/>
      </c>
      <c r="BQ52" s="17">
        <f>IF(COUNTIFS(T_TTAFStock_Log[Part Name],$A52,T_TTAFStock_Log[WeekIndex],68)=0,"",SUMIFS(T_TTAFStock_Log[TTAF_Qty],T_TTAFStock_Log[Part Name],$A52,T_TTAFStock_Log[WeekIndex],68))</f>
        <v/>
      </c>
      <c r="BR52" s="17">
        <f>IF(COUNTIFS(T_TTAFStock_Log[Part Name],$A52,T_TTAFStock_Log[WeekIndex],69)=0,"",SUMIFS(T_TTAFStock_Log[TTAF_Qty],T_TTAFStock_Log[Part Name],$A52,T_TTAFStock_Log[WeekIndex],69))</f>
        <v/>
      </c>
      <c r="BS52" s="17">
        <f>IF(COUNTIFS(T_TTAFStock_Log[Part Name],$A52,T_TTAFStock_Log[WeekIndex],70)=0,"",SUMIFS(T_TTAFStock_Log[TTAF_Qty],T_TTAFStock_Log[Part Name],$A52,T_TTAFStock_Log[WeekIndex],70))</f>
        <v/>
      </c>
      <c r="BT52" s="17">
        <f>IF(COUNTIFS(T_TTAFStock_Log[Part Name],$A52,T_TTAFStock_Log[WeekIndex],71)=0,"",SUMIFS(T_TTAFStock_Log[TTAF_Qty],T_TTAFStock_Log[Part Name],$A52,T_TTAFStock_Log[WeekIndex],71))</f>
        <v/>
      </c>
      <c r="BU52" s="17">
        <f>IF(COUNTIFS(T_TTAFStock_Log[Part Name],$A52,T_TTAFStock_Log[WeekIndex],72)=0,"",SUMIFS(T_TTAFStock_Log[TTAF_Qty],T_TTAFStock_Log[Part Name],$A52,T_TTAFStock_Log[WeekIndex],72))</f>
        <v/>
      </c>
      <c r="BV52" s="17">
        <f>IF(COUNTIFS(T_TTAFStock_Log[Part Name],$A52,T_TTAFStock_Log[WeekIndex],73)=0,"",SUMIFS(T_TTAFStock_Log[TTAF_Qty],T_TTAFStock_Log[Part Name],$A52,T_TTAFStock_Log[WeekIndex],73))</f>
        <v/>
      </c>
      <c r="BW52" s="17">
        <f>IF(COUNTIFS(T_TTAFStock_Log[Part Name],$A52,T_TTAFStock_Log[WeekIndex],74)=0,"",SUMIFS(T_TTAFStock_Log[TTAF_Qty],T_TTAFStock_Log[Part Name],$A52,T_TTAFStock_Log[WeekIndex],74))</f>
        <v/>
      </c>
      <c r="BX52" s="17">
        <f>IF(COUNTIFS(T_TTAFStock_Log[Part Name],$A52,T_TTAFStock_Log[WeekIndex],75)=0,"",SUMIFS(T_TTAFStock_Log[TTAF_Qty],T_TTAFStock_Log[Part Name],$A52,T_TTAFStock_Log[WeekIndex],75))</f>
        <v/>
      </c>
      <c r="BY52" s="17">
        <f>IF(COUNTIFS(T_TTAFStock_Log[Part Name],$A52,T_TTAFStock_Log[WeekIndex],76)=0,"",SUMIFS(T_TTAFStock_Log[TTAF_Qty],T_TTAFStock_Log[Part Name],$A52,T_TTAFStock_Log[WeekIndex],76))</f>
        <v/>
      </c>
      <c r="BZ52" s="17">
        <f>IF(COUNTIFS(T_TTAFStock_Log[Part Name],$A52,T_TTAFStock_Log[WeekIndex],77)=0,"",SUMIFS(T_TTAFStock_Log[TTAF_Qty],T_TTAFStock_Log[Part Name],$A52,T_TTAFStock_Log[WeekIndex],77))</f>
        <v/>
      </c>
      <c r="CA52" s="17">
        <f>IF(COUNTIFS(T_TTAFStock_Log[Part Name],$A52,T_TTAFStock_Log[WeekIndex],78)=0,"",SUMIFS(T_TTAFStock_Log[TTAF_Qty],T_TTAFStock_Log[Part Name],$A52,T_TTAFStock_Log[WeekIndex],78))</f>
        <v/>
      </c>
      <c r="CB52" s="17">
        <f>IF(COUNTIFS(T_TTAFStock_Log[Part Name],$A52,T_TTAFStock_Log[WeekIndex],79)=0,"",SUMIFS(T_TTAFStock_Log[TTAF_Qty],T_TTAFStock_Log[Part Name],$A52,T_TTAFStock_Log[WeekIndex],79))</f>
        <v/>
      </c>
      <c r="CC52" s="17">
        <f>IF(COUNTIFS(T_TTAFStock_Log[Part Name],$A52,T_TTAFStock_Log[WeekIndex],80)=0,"",SUMIFS(T_TTAFStock_Log[TTAF_Qty],T_TTAFStock_Log[Part Name],$A52,T_TTAFStock_Log[WeekIndex],80))</f>
        <v/>
      </c>
      <c r="CD52" s="17">
        <f>IF(COUNTIFS(T_TTAFStock_Log[Part Name],$A52,T_TTAFStock_Log[WeekIndex],81)=0,"",SUMIFS(T_TTAFStock_Log[TTAF_Qty],T_TTAFStock_Log[Part Name],$A52,T_TTAFStock_Log[WeekIndex],81))</f>
        <v/>
      </c>
      <c r="CE52" s="17">
        <f>IF(COUNTIFS(T_TTAFStock_Log[Part Name],$A52,T_TTAFStock_Log[WeekIndex],82)=0,"",SUMIFS(T_TTAFStock_Log[TTAF_Qty],T_TTAFStock_Log[Part Name],$A52,T_TTAFStock_Log[WeekIndex],82))</f>
        <v/>
      </c>
      <c r="CF52" s="17">
        <f>IF(COUNTIFS(T_TTAFStock_Log[Part Name],$A52,T_TTAFStock_Log[WeekIndex],83)=0,"",SUMIFS(T_TTAFStock_Log[TTAF_Qty],T_TTAFStock_Log[Part Name],$A52,T_TTAFStock_Log[WeekIndex],83))</f>
        <v/>
      </c>
      <c r="CG52" s="17">
        <f>IF(COUNTIFS(T_TTAFStock_Log[Part Name],$A52,T_TTAFStock_Log[WeekIndex],84)=0,"",SUMIFS(T_TTAFStock_Log[TTAF_Qty],T_TTAFStock_Log[Part Name],$A52,T_TTAFStock_Log[WeekIndex],84))</f>
        <v/>
      </c>
      <c r="CH52" s="17">
        <f>IF(COUNTIFS(T_TTAFStock_Log[Part Name],$A52,T_TTAFStock_Log[WeekIndex],85)=0,"",SUMIFS(T_TTAFStock_Log[TTAF_Qty],T_TTAFStock_Log[Part Name],$A52,T_TTAFStock_Log[WeekIndex],85))</f>
        <v/>
      </c>
      <c r="CI52" s="17">
        <f>IF(COUNTIFS(T_TTAFStock_Log[Part Name],$A52,T_TTAFStock_Log[WeekIndex],86)=0,"",SUMIFS(T_TTAFStock_Log[TTAF_Qty],T_TTAFStock_Log[Part Name],$A52,T_TTAFStock_Log[WeekIndex],86))</f>
        <v/>
      </c>
      <c r="CJ52" s="17">
        <f>IF(COUNTIFS(T_TTAFStock_Log[Part Name],$A52,T_TTAFStock_Log[WeekIndex],87)=0,"",SUMIFS(T_TTAFStock_Log[TTAF_Qty],T_TTAFStock_Log[Part Name],$A52,T_TTAFStock_Log[WeekIndex],87))</f>
        <v/>
      </c>
      <c r="CK52" s="17">
        <f>IF(COUNTIFS(T_TTAFStock_Log[Part Name],$A52,T_TTAFStock_Log[WeekIndex],88)=0,"",SUMIFS(T_TTAFStock_Log[TTAF_Qty],T_TTAFStock_Log[Part Name],$A52,T_TTAFStock_Log[WeekIndex],88))</f>
        <v/>
      </c>
      <c r="CL52" s="17">
        <f>IF(COUNTIFS(T_TTAFStock_Log[Part Name],$A52,T_TTAFStock_Log[WeekIndex],89)=0,"",SUMIFS(T_TTAFStock_Log[TTAF_Qty],T_TTAFStock_Log[Part Name],$A52,T_TTAFStock_Log[WeekIndex],89))</f>
        <v/>
      </c>
      <c r="CM52" s="17">
        <f>IF(COUNTIFS(T_TTAFStock_Log[Part Name],$A52,T_TTAFStock_Log[WeekIndex],90)=0,"",SUMIFS(T_TTAFStock_Log[TTAF_Qty],T_TTAFStock_Log[Part Name],$A52,T_TTAFStock_Log[WeekIndex],90))</f>
        <v/>
      </c>
      <c r="CN52" s="17">
        <f>IF(COUNTIFS(T_TTAFStock_Log[Part Name],$A52,T_TTAFStock_Log[WeekIndex],91)=0,"",SUMIFS(T_TTAFStock_Log[TTAF_Qty],T_TTAFStock_Log[Part Name],$A52,T_TTAFStock_Log[WeekIndex],91))</f>
        <v/>
      </c>
      <c r="CO52" s="17">
        <f>IF(COUNTIFS(T_TTAFStock_Log[Part Name],$A52,T_TTAFStock_Log[WeekIndex],92)=0,"",SUMIFS(T_TTAFStock_Log[TTAF_Qty],T_TTAFStock_Log[Part Name],$A52,T_TTAFStock_Log[WeekIndex],92))</f>
        <v/>
      </c>
      <c r="CP52" s="17">
        <f>IF(COUNTIFS(T_TTAFStock_Log[Part Name],$A52,T_TTAFStock_Log[WeekIndex],93)=0,"",SUMIFS(T_TTAFStock_Log[TTAF_Qty],T_TTAFStock_Log[Part Name],$A52,T_TTAFStock_Log[WeekIndex],93))</f>
        <v/>
      </c>
      <c r="CQ52" s="17">
        <f>IF(COUNTIFS(T_TTAFStock_Log[Part Name],$A52,T_TTAFStock_Log[WeekIndex],94)=0,"",SUMIFS(T_TTAFStock_Log[TTAF_Qty],T_TTAFStock_Log[Part Name],$A52,T_TTAFStock_Log[WeekIndex],94))</f>
        <v/>
      </c>
      <c r="CR52" s="17">
        <f>IF(COUNTIFS(T_TTAFStock_Log[Part Name],$A52,T_TTAFStock_Log[WeekIndex],95)=0,"",SUMIFS(T_TTAFStock_Log[TTAF_Qty],T_TTAFStock_Log[Part Name],$A52,T_TTAFStock_Log[WeekIndex],95))</f>
        <v/>
      </c>
      <c r="CS52" s="17">
        <f>IF(COUNTIFS(T_TTAFStock_Log[Part Name],$A52,T_TTAFStock_Log[WeekIndex],96)=0,"",SUMIFS(T_TTAFStock_Log[TTAF_Qty],T_TTAFStock_Log[Part Name],$A52,T_TTAFStock_Log[WeekIndex],96))</f>
        <v/>
      </c>
      <c r="CT52" s="17">
        <f>IF(COUNTIFS(T_TTAFStock_Log[Part Name],$A52,T_TTAFStock_Log[WeekIndex],97)=0,"",SUMIFS(T_TTAFStock_Log[TTAF_Qty],T_TTAFStock_Log[Part Name],$A52,T_TTAFStock_Log[WeekIndex],97))</f>
        <v/>
      </c>
      <c r="CU52" s="17">
        <f>IF(COUNTIFS(T_TTAFStock_Log[Part Name],$A52,T_TTAFStock_Log[WeekIndex],98)=0,"",SUMIFS(T_TTAFStock_Log[TTAF_Qty],T_TTAFStock_Log[Part Name],$A52,T_TTAFStock_Log[WeekIndex],98))</f>
        <v/>
      </c>
      <c r="CV52" s="17">
        <f>IF(COUNTIFS(T_TTAFStock_Log[Part Name],$A52,T_TTAFStock_Log[WeekIndex],99)=0,"",SUMIFS(T_TTAFStock_Log[TTAF_Qty],T_TTAFStock_Log[Part Name],$A52,T_TTAFStock_Log[WeekIndex],99))</f>
        <v/>
      </c>
      <c r="CW52" s="17">
        <f>IF(COUNTIFS(T_TTAFStock_Log[Part Name],$A52,T_TTAFStock_Log[WeekIndex],100)=0,"",SUMIFS(T_TTAFStock_Log[TTAF_Qty],T_TTAFStock_Log[Part Name],$A52,T_TTAFStock_Log[WeekIndex],100))</f>
        <v/>
      </c>
      <c r="CX52" s="17">
        <f>IF(COUNTIFS(T_TTAFStock_Log[Part Name],$A52,T_TTAFStock_Log[WeekIndex],101)=0,"",SUMIFS(T_TTAFStock_Log[TTAF_Qty],T_TTAFStock_Log[Part Name],$A52,T_TTAFStock_Log[WeekIndex],101))</f>
        <v/>
      </c>
      <c r="CY52" s="17">
        <f>IF(COUNTIFS(T_TTAFStock_Log[Part Name],$A52,T_TTAFStock_Log[WeekIndex],102)=0,"",SUMIFS(T_TTAFStock_Log[TTAF_Qty],T_TTAFStock_Log[Part Name],$A52,T_TTAFStock_Log[WeekIndex],102))</f>
        <v/>
      </c>
      <c r="CZ52" s="17">
        <f>IF(COUNTIFS(T_TTAFStock_Log[Part Name],$A52,T_TTAFStock_Log[WeekIndex],103)=0,"",SUMIFS(T_TTAFStock_Log[TTAF_Qty],T_TTAFStock_Log[Part Name],$A52,T_TTAFStock_Log[WeekIndex],103))</f>
        <v/>
      </c>
      <c r="DA52" s="17">
        <f>IF(COUNTIFS(T_TTAFStock_Log[Part Name],$A52,T_TTAFStock_Log[WeekIndex],104)=0,"",SUMIFS(T_TTAFStock_Log[TTAF_Qty],T_TTAFStock_Log[Part Name],$A52,T_TTAFStock_Log[WeekIndex],104))</f>
        <v/>
      </c>
    </row>
    <row r="53">
      <c r="A53" s="19" t="inlineStr">
        <is>
          <t>CHEM-1760</t>
        </is>
      </c>
      <c r="B53" s="19">
        <f>IF(COUNTIFS(T_TTAFStock_Log[Part Name],$A53,T_TTAFStock_Log[WeekIndex],1)=0,"",SUMIFS(T_TTAFStock_Log[TTAF_Qty],T_TTAFStock_Log[Part Name],$A53,T_TTAFStock_Log[WeekIndex],1))</f>
        <v/>
      </c>
      <c r="C53" s="19">
        <f>IF(COUNTIFS(T_TTAFStock_Log[Part Name],$A53,T_TTAFStock_Log[WeekIndex],2)=0,"",SUMIFS(T_TTAFStock_Log[TTAF_Qty],T_TTAFStock_Log[Part Name],$A53,T_TTAFStock_Log[WeekIndex],2))</f>
        <v/>
      </c>
      <c r="D53" s="19">
        <f>IF(COUNTIFS(T_TTAFStock_Log[Part Name],$A53,T_TTAFStock_Log[WeekIndex],3)=0,"",SUMIFS(T_TTAFStock_Log[TTAF_Qty],T_TTAFStock_Log[Part Name],$A53,T_TTAFStock_Log[WeekIndex],3))</f>
        <v/>
      </c>
      <c r="E53" s="19">
        <f>IF(COUNTIFS(T_TTAFStock_Log[Part Name],$A53,T_TTAFStock_Log[WeekIndex],4)=0,"",SUMIFS(T_TTAFStock_Log[TTAF_Qty],T_TTAFStock_Log[Part Name],$A53,T_TTAFStock_Log[WeekIndex],4))</f>
        <v/>
      </c>
      <c r="F53" s="19">
        <f>IF(COUNTIFS(T_TTAFStock_Log[Part Name],$A53,T_TTAFStock_Log[WeekIndex],5)=0,"",SUMIFS(T_TTAFStock_Log[TTAF_Qty],T_TTAFStock_Log[Part Name],$A53,T_TTAFStock_Log[WeekIndex],5))</f>
        <v/>
      </c>
      <c r="G53" s="19">
        <f>IF(COUNTIFS(T_TTAFStock_Log[Part Name],$A53,T_TTAFStock_Log[WeekIndex],6)=0,"",SUMIFS(T_TTAFStock_Log[TTAF_Qty],T_TTAFStock_Log[Part Name],$A53,T_TTAFStock_Log[WeekIndex],6))</f>
        <v/>
      </c>
      <c r="H53" s="19">
        <f>IF(COUNTIFS(T_TTAFStock_Log[Part Name],$A53,T_TTAFStock_Log[WeekIndex],7)=0,"",SUMIFS(T_TTAFStock_Log[TTAF_Qty],T_TTAFStock_Log[Part Name],$A53,T_TTAFStock_Log[WeekIndex],7))</f>
        <v/>
      </c>
      <c r="I53" s="19">
        <f>IF(COUNTIFS(T_TTAFStock_Log[Part Name],$A53,T_TTAFStock_Log[WeekIndex],8)=0,"",SUMIFS(T_TTAFStock_Log[TTAF_Qty],T_TTAFStock_Log[Part Name],$A53,T_TTAFStock_Log[WeekIndex],8))</f>
        <v/>
      </c>
      <c r="J53" s="19">
        <f>IF(COUNTIFS(T_TTAFStock_Log[Part Name],$A53,T_TTAFStock_Log[WeekIndex],9)=0,"",SUMIFS(T_TTAFStock_Log[TTAF_Qty],T_TTAFStock_Log[Part Name],$A53,T_TTAFStock_Log[WeekIndex],9))</f>
        <v/>
      </c>
      <c r="K53" s="19">
        <f>IF(COUNTIFS(T_TTAFStock_Log[Part Name],$A53,T_TTAFStock_Log[WeekIndex],10)=0,"",SUMIFS(T_TTAFStock_Log[TTAF_Qty],T_TTAFStock_Log[Part Name],$A53,T_TTAFStock_Log[WeekIndex],10))</f>
        <v/>
      </c>
      <c r="L53" s="19">
        <f>IF(COUNTIFS(T_TTAFStock_Log[Part Name],$A53,T_TTAFStock_Log[WeekIndex],11)=0,"",SUMIFS(T_TTAFStock_Log[TTAF_Qty],T_TTAFStock_Log[Part Name],$A53,T_TTAFStock_Log[WeekIndex],11))</f>
        <v/>
      </c>
      <c r="M53" s="19">
        <f>IF(COUNTIFS(T_TTAFStock_Log[Part Name],$A53,T_TTAFStock_Log[WeekIndex],12)=0,"",SUMIFS(T_TTAFStock_Log[TTAF_Qty],T_TTAFStock_Log[Part Name],$A53,T_TTAFStock_Log[WeekIndex],12))</f>
        <v/>
      </c>
      <c r="N53" s="19">
        <f>IF(COUNTIFS(T_TTAFStock_Log[Part Name],$A53,T_TTAFStock_Log[WeekIndex],13)=0,"",SUMIFS(T_TTAFStock_Log[TTAF_Qty],T_TTAFStock_Log[Part Name],$A53,T_TTAFStock_Log[WeekIndex],13))</f>
        <v/>
      </c>
      <c r="O53" s="19">
        <f>IF(COUNTIFS(T_TTAFStock_Log[Part Name],$A53,T_TTAFStock_Log[WeekIndex],14)=0,"",SUMIFS(T_TTAFStock_Log[TTAF_Qty],T_TTAFStock_Log[Part Name],$A53,T_TTAFStock_Log[WeekIndex],14))</f>
        <v/>
      </c>
      <c r="P53" s="19">
        <f>IF(COUNTIFS(T_TTAFStock_Log[Part Name],$A53,T_TTAFStock_Log[WeekIndex],15)=0,"",SUMIFS(T_TTAFStock_Log[TTAF_Qty],T_TTAFStock_Log[Part Name],$A53,T_TTAFStock_Log[WeekIndex],15))</f>
        <v/>
      </c>
      <c r="Q53" s="19">
        <f>IF(COUNTIFS(T_TTAFStock_Log[Part Name],$A53,T_TTAFStock_Log[WeekIndex],16)=0,"",SUMIFS(T_TTAFStock_Log[TTAF_Qty],T_TTAFStock_Log[Part Name],$A53,T_TTAFStock_Log[WeekIndex],16))</f>
        <v/>
      </c>
      <c r="R53" s="19">
        <f>IF(COUNTIFS(T_TTAFStock_Log[Part Name],$A53,T_TTAFStock_Log[WeekIndex],17)=0,"",SUMIFS(T_TTAFStock_Log[TTAF_Qty],T_TTAFStock_Log[Part Name],$A53,T_TTAFStock_Log[WeekIndex],17))</f>
        <v/>
      </c>
      <c r="S53" s="19">
        <f>IF(COUNTIFS(T_TTAFStock_Log[Part Name],$A53,T_TTAFStock_Log[WeekIndex],18)=0,"",SUMIFS(T_TTAFStock_Log[TTAF_Qty],T_TTAFStock_Log[Part Name],$A53,T_TTAFStock_Log[WeekIndex],18))</f>
        <v/>
      </c>
      <c r="T53" s="19">
        <f>IF(COUNTIFS(T_TTAFStock_Log[Part Name],$A53,T_TTAFStock_Log[WeekIndex],19)=0,"",SUMIFS(T_TTAFStock_Log[TTAF_Qty],T_TTAFStock_Log[Part Name],$A53,T_TTAFStock_Log[WeekIndex],19))</f>
        <v/>
      </c>
      <c r="U53" s="19">
        <f>IF(COUNTIFS(T_TTAFStock_Log[Part Name],$A53,T_TTAFStock_Log[WeekIndex],20)=0,"",SUMIFS(T_TTAFStock_Log[TTAF_Qty],T_TTAFStock_Log[Part Name],$A53,T_TTAFStock_Log[WeekIndex],20))</f>
        <v/>
      </c>
      <c r="V53" s="19">
        <f>IF(COUNTIFS(T_TTAFStock_Log[Part Name],$A53,T_TTAFStock_Log[WeekIndex],21)=0,"",SUMIFS(T_TTAFStock_Log[TTAF_Qty],T_TTAFStock_Log[Part Name],$A53,T_TTAFStock_Log[WeekIndex],21))</f>
        <v/>
      </c>
      <c r="W53" s="19">
        <f>IF(COUNTIFS(T_TTAFStock_Log[Part Name],$A53,T_TTAFStock_Log[WeekIndex],22)=0,"",SUMIFS(T_TTAFStock_Log[TTAF_Qty],T_TTAFStock_Log[Part Name],$A53,T_TTAFStock_Log[WeekIndex],22))</f>
        <v/>
      </c>
      <c r="X53" s="19">
        <f>IF(COUNTIFS(T_TTAFStock_Log[Part Name],$A53,T_TTAFStock_Log[WeekIndex],23)=0,"",SUMIFS(T_TTAFStock_Log[TTAF_Qty],T_TTAFStock_Log[Part Name],$A53,T_TTAFStock_Log[WeekIndex],23))</f>
        <v/>
      </c>
      <c r="Y53" s="19">
        <f>IF(COUNTIFS(T_TTAFStock_Log[Part Name],$A53,T_TTAFStock_Log[WeekIndex],24)=0,"",SUMIFS(T_TTAFStock_Log[TTAF_Qty],T_TTAFStock_Log[Part Name],$A53,T_TTAFStock_Log[WeekIndex],24))</f>
        <v/>
      </c>
      <c r="Z53" s="19">
        <f>IF(COUNTIFS(T_TTAFStock_Log[Part Name],$A53,T_TTAFStock_Log[WeekIndex],25)=0,"",SUMIFS(T_TTAFStock_Log[TTAF_Qty],T_TTAFStock_Log[Part Name],$A53,T_TTAFStock_Log[WeekIndex],25))</f>
        <v/>
      </c>
      <c r="AA53" s="19">
        <f>IF(COUNTIFS(T_TTAFStock_Log[Part Name],$A53,T_TTAFStock_Log[WeekIndex],26)=0,"",SUMIFS(T_TTAFStock_Log[TTAF_Qty],T_TTAFStock_Log[Part Name],$A53,T_TTAFStock_Log[WeekIndex],26))</f>
        <v/>
      </c>
      <c r="AB53" s="19">
        <f>IF(COUNTIFS(T_TTAFStock_Log[Part Name],$A53,T_TTAFStock_Log[WeekIndex],27)=0,"",SUMIFS(T_TTAFStock_Log[TTAF_Qty],T_TTAFStock_Log[Part Name],$A53,T_TTAFStock_Log[WeekIndex],27))</f>
        <v/>
      </c>
      <c r="AC53" s="19">
        <f>IF(COUNTIFS(T_TTAFStock_Log[Part Name],$A53,T_TTAFStock_Log[WeekIndex],28)=0,"",SUMIFS(T_TTAFStock_Log[TTAF_Qty],T_TTAFStock_Log[Part Name],$A53,T_TTAFStock_Log[WeekIndex],28))</f>
        <v/>
      </c>
      <c r="AD53" s="19">
        <f>IF(COUNTIFS(T_TTAFStock_Log[Part Name],$A53,T_TTAFStock_Log[WeekIndex],29)=0,"",SUMIFS(T_TTAFStock_Log[TTAF_Qty],T_TTAFStock_Log[Part Name],$A53,T_TTAFStock_Log[WeekIndex],29))</f>
        <v/>
      </c>
      <c r="AE53" s="19">
        <f>IF(COUNTIFS(T_TTAFStock_Log[Part Name],$A53,T_TTAFStock_Log[WeekIndex],30)=0,"",SUMIFS(T_TTAFStock_Log[TTAF_Qty],T_TTAFStock_Log[Part Name],$A53,T_TTAFStock_Log[WeekIndex],30))</f>
        <v/>
      </c>
      <c r="AF53" s="19">
        <f>IF(COUNTIFS(T_TTAFStock_Log[Part Name],$A53,T_TTAFStock_Log[WeekIndex],31)=0,"",SUMIFS(T_TTAFStock_Log[TTAF_Qty],T_TTAFStock_Log[Part Name],$A53,T_TTAFStock_Log[WeekIndex],31))</f>
        <v/>
      </c>
      <c r="AG53" s="19">
        <f>IF(COUNTIFS(T_TTAFStock_Log[Part Name],$A53,T_TTAFStock_Log[WeekIndex],32)=0,"",SUMIFS(T_TTAFStock_Log[TTAF_Qty],T_TTAFStock_Log[Part Name],$A53,T_TTAFStock_Log[WeekIndex],32))</f>
        <v/>
      </c>
      <c r="AH53" s="19">
        <f>IF(COUNTIFS(T_TTAFStock_Log[Part Name],$A53,T_TTAFStock_Log[WeekIndex],33)=0,"",SUMIFS(T_TTAFStock_Log[TTAF_Qty],T_TTAFStock_Log[Part Name],$A53,T_TTAFStock_Log[WeekIndex],33))</f>
        <v/>
      </c>
      <c r="AI53" s="19">
        <f>IF(COUNTIFS(T_TTAFStock_Log[Part Name],$A53,T_TTAFStock_Log[WeekIndex],34)=0,"",SUMIFS(T_TTAFStock_Log[TTAF_Qty],T_TTAFStock_Log[Part Name],$A53,T_TTAFStock_Log[WeekIndex],34))</f>
        <v/>
      </c>
      <c r="AJ53" s="19">
        <f>IF(COUNTIFS(T_TTAFStock_Log[Part Name],$A53,T_TTAFStock_Log[WeekIndex],35)=0,"",SUMIFS(T_TTAFStock_Log[TTAF_Qty],T_TTAFStock_Log[Part Name],$A53,T_TTAFStock_Log[WeekIndex],35))</f>
        <v/>
      </c>
      <c r="AK53" s="19">
        <f>IF(COUNTIFS(T_TTAFStock_Log[Part Name],$A53,T_TTAFStock_Log[WeekIndex],36)=0,"",SUMIFS(T_TTAFStock_Log[TTAF_Qty],T_TTAFStock_Log[Part Name],$A53,T_TTAFStock_Log[WeekIndex],36))</f>
        <v/>
      </c>
      <c r="AL53" s="19">
        <f>IF(COUNTIFS(T_TTAFStock_Log[Part Name],$A53,T_TTAFStock_Log[WeekIndex],37)=0,"",SUMIFS(T_TTAFStock_Log[TTAF_Qty],T_TTAFStock_Log[Part Name],$A53,T_TTAFStock_Log[WeekIndex],37))</f>
        <v/>
      </c>
      <c r="AM53" s="19">
        <f>IF(COUNTIFS(T_TTAFStock_Log[Part Name],$A53,T_TTAFStock_Log[WeekIndex],38)=0,"",SUMIFS(T_TTAFStock_Log[TTAF_Qty],T_TTAFStock_Log[Part Name],$A53,T_TTAFStock_Log[WeekIndex],38))</f>
        <v/>
      </c>
      <c r="AN53" s="19">
        <f>IF(COUNTIFS(T_TTAFStock_Log[Part Name],$A53,T_TTAFStock_Log[WeekIndex],39)=0,"",SUMIFS(T_TTAFStock_Log[TTAF_Qty],T_TTAFStock_Log[Part Name],$A53,T_TTAFStock_Log[WeekIndex],39))</f>
        <v/>
      </c>
      <c r="AO53" s="19">
        <f>IF(COUNTIFS(T_TTAFStock_Log[Part Name],$A53,T_TTAFStock_Log[WeekIndex],40)=0,"",SUMIFS(T_TTAFStock_Log[TTAF_Qty],T_TTAFStock_Log[Part Name],$A53,T_TTAFStock_Log[WeekIndex],40))</f>
        <v/>
      </c>
      <c r="AP53" s="19">
        <f>IF(COUNTIFS(T_TTAFStock_Log[Part Name],$A53,T_TTAFStock_Log[WeekIndex],41)=0,"",SUMIFS(T_TTAFStock_Log[TTAF_Qty],T_TTAFStock_Log[Part Name],$A53,T_TTAFStock_Log[WeekIndex],41))</f>
        <v/>
      </c>
      <c r="AQ53" s="19">
        <f>IF(COUNTIFS(T_TTAFStock_Log[Part Name],$A53,T_TTAFStock_Log[WeekIndex],42)=0,"",SUMIFS(T_TTAFStock_Log[TTAF_Qty],T_TTAFStock_Log[Part Name],$A53,T_TTAFStock_Log[WeekIndex],42))</f>
        <v/>
      </c>
      <c r="AR53" s="19">
        <f>IF(COUNTIFS(T_TTAFStock_Log[Part Name],$A53,T_TTAFStock_Log[WeekIndex],43)=0,"",SUMIFS(T_TTAFStock_Log[TTAF_Qty],T_TTAFStock_Log[Part Name],$A53,T_TTAFStock_Log[WeekIndex],43))</f>
        <v/>
      </c>
      <c r="AS53" s="19">
        <f>IF(COUNTIFS(T_TTAFStock_Log[Part Name],$A53,T_TTAFStock_Log[WeekIndex],44)=0,"",SUMIFS(T_TTAFStock_Log[TTAF_Qty],T_TTAFStock_Log[Part Name],$A53,T_TTAFStock_Log[WeekIndex],44))</f>
        <v/>
      </c>
      <c r="AT53" s="19">
        <f>IF(COUNTIFS(T_TTAFStock_Log[Part Name],$A53,T_TTAFStock_Log[WeekIndex],45)=0,"",SUMIFS(T_TTAFStock_Log[TTAF_Qty],T_TTAFStock_Log[Part Name],$A53,T_TTAFStock_Log[WeekIndex],45))</f>
        <v/>
      </c>
      <c r="AU53" s="19">
        <f>IF(COUNTIFS(T_TTAFStock_Log[Part Name],$A53,T_TTAFStock_Log[WeekIndex],46)=0,"",SUMIFS(T_TTAFStock_Log[TTAF_Qty],T_TTAFStock_Log[Part Name],$A53,T_TTAFStock_Log[WeekIndex],46))</f>
        <v/>
      </c>
      <c r="AV53" s="19">
        <f>IF(COUNTIFS(T_TTAFStock_Log[Part Name],$A53,T_TTAFStock_Log[WeekIndex],47)=0,"",SUMIFS(T_TTAFStock_Log[TTAF_Qty],T_TTAFStock_Log[Part Name],$A53,T_TTAFStock_Log[WeekIndex],47))</f>
        <v/>
      </c>
      <c r="AW53" s="19">
        <f>IF(COUNTIFS(T_TTAFStock_Log[Part Name],$A53,T_TTAFStock_Log[WeekIndex],48)=0,"",SUMIFS(T_TTAFStock_Log[TTAF_Qty],T_TTAFStock_Log[Part Name],$A53,T_TTAFStock_Log[WeekIndex],48))</f>
        <v/>
      </c>
      <c r="AX53" s="19">
        <f>IF(COUNTIFS(T_TTAFStock_Log[Part Name],$A53,T_TTAFStock_Log[WeekIndex],49)=0,"",SUMIFS(T_TTAFStock_Log[TTAF_Qty],T_TTAFStock_Log[Part Name],$A53,T_TTAFStock_Log[WeekIndex],49))</f>
        <v/>
      </c>
      <c r="AY53" s="19">
        <f>IF(COUNTIFS(T_TTAFStock_Log[Part Name],$A53,T_TTAFStock_Log[WeekIndex],50)=0,"",SUMIFS(T_TTAFStock_Log[TTAF_Qty],T_TTAFStock_Log[Part Name],$A53,T_TTAFStock_Log[WeekIndex],50))</f>
        <v/>
      </c>
      <c r="AZ53" s="19">
        <f>IF(COUNTIFS(T_TTAFStock_Log[Part Name],$A53,T_TTAFStock_Log[WeekIndex],51)=0,"",SUMIFS(T_TTAFStock_Log[TTAF_Qty],T_TTAFStock_Log[Part Name],$A53,T_TTAFStock_Log[WeekIndex],51))</f>
        <v/>
      </c>
      <c r="BA53" s="19">
        <f>IF(COUNTIFS(T_TTAFStock_Log[Part Name],$A53,T_TTAFStock_Log[WeekIndex],52)=0,"",SUMIFS(T_TTAFStock_Log[TTAF_Qty],T_TTAFStock_Log[Part Name],$A53,T_TTAFStock_Log[WeekIndex],52))</f>
        <v/>
      </c>
      <c r="BB53" s="19">
        <f>IF(COUNTIFS(T_TTAFStock_Log[Part Name],$A53,T_TTAFStock_Log[WeekIndex],53)=0,"",SUMIFS(T_TTAFStock_Log[TTAF_Qty],T_TTAFStock_Log[Part Name],$A53,T_TTAFStock_Log[WeekIndex],53))</f>
        <v/>
      </c>
      <c r="BC53" s="19">
        <f>IF(COUNTIFS(T_TTAFStock_Log[Part Name],$A53,T_TTAFStock_Log[WeekIndex],54)=0,"",SUMIFS(T_TTAFStock_Log[TTAF_Qty],T_TTAFStock_Log[Part Name],$A53,T_TTAFStock_Log[WeekIndex],54))</f>
        <v/>
      </c>
      <c r="BD53" s="19">
        <f>IF(COUNTIFS(T_TTAFStock_Log[Part Name],$A53,T_TTAFStock_Log[WeekIndex],55)=0,"",SUMIFS(T_TTAFStock_Log[TTAF_Qty],T_TTAFStock_Log[Part Name],$A53,T_TTAFStock_Log[WeekIndex],55))</f>
        <v/>
      </c>
      <c r="BE53" s="19">
        <f>IF(COUNTIFS(T_TTAFStock_Log[Part Name],$A53,T_TTAFStock_Log[WeekIndex],56)=0,"",SUMIFS(T_TTAFStock_Log[TTAF_Qty],T_TTAFStock_Log[Part Name],$A53,T_TTAFStock_Log[WeekIndex],56))</f>
        <v/>
      </c>
      <c r="BF53" s="19">
        <f>IF(COUNTIFS(T_TTAFStock_Log[Part Name],$A53,T_TTAFStock_Log[WeekIndex],57)=0,"",SUMIFS(T_TTAFStock_Log[TTAF_Qty],T_TTAFStock_Log[Part Name],$A53,T_TTAFStock_Log[WeekIndex],57))</f>
        <v/>
      </c>
      <c r="BG53" s="19">
        <f>IF(COUNTIFS(T_TTAFStock_Log[Part Name],$A53,T_TTAFStock_Log[WeekIndex],58)=0,"",SUMIFS(T_TTAFStock_Log[TTAF_Qty],T_TTAFStock_Log[Part Name],$A53,T_TTAFStock_Log[WeekIndex],58))</f>
        <v/>
      </c>
      <c r="BH53" s="19">
        <f>IF(COUNTIFS(T_TTAFStock_Log[Part Name],$A53,T_TTAFStock_Log[WeekIndex],59)=0,"",SUMIFS(T_TTAFStock_Log[TTAF_Qty],T_TTAFStock_Log[Part Name],$A53,T_TTAFStock_Log[WeekIndex],59))</f>
        <v/>
      </c>
      <c r="BI53" s="19">
        <f>IF(COUNTIFS(T_TTAFStock_Log[Part Name],$A53,T_TTAFStock_Log[WeekIndex],60)=0,"",SUMIFS(T_TTAFStock_Log[TTAF_Qty],T_TTAFStock_Log[Part Name],$A53,T_TTAFStock_Log[WeekIndex],60))</f>
        <v/>
      </c>
      <c r="BJ53" s="19">
        <f>IF(COUNTIFS(T_TTAFStock_Log[Part Name],$A53,T_TTAFStock_Log[WeekIndex],61)=0,"",SUMIFS(T_TTAFStock_Log[TTAF_Qty],T_TTAFStock_Log[Part Name],$A53,T_TTAFStock_Log[WeekIndex],61))</f>
        <v/>
      </c>
      <c r="BK53" s="19">
        <f>IF(COUNTIFS(T_TTAFStock_Log[Part Name],$A53,T_TTAFStock_Log[WeekIndex],62)=0,"",SUMIFS(T_TTAFStock_Log[TTAF_Qty],T_TTAFStock_Log[Part Name],$A53,T_TTAFStock_Log[WeekIndex],62))</f>
        <v/>
      </c>
      <c r="BL53" s="19">
        <f>IF(COUNTIFS(T_TTAFStock_Log[Part Name],$A53,T_TTAFStock_Log[WeekIndex],63)=0,"",SUMIFS(T_TTAFStock_Log[TTAF_Qty],T_TTAFStock_Log[Part Name],$A53,T_TTAFStock_Log[WeekIndex],63))</f>
        <v/>
      </c>
      <c r="BM53" s="19">
        <f>IF(COUNTIFS(T_TTAFStock_Log[Part Name],$A53,T_TTAFStock_Log[WeekIndex],64)=0,"",SUMIFS(T_TTAFStock_Log[TTAF_Qty],T_TTAFStock_Log[Part Name],$A53,T_TTAFStock_Log[WeekIndex],64))</f>
        <v/>
      </c>
      <c r="BN53" s="19">
        <f>IF(COUNTIFS(T_TTAFStock_Log[Part Name],$A53,T_TTAFStock_Log[WeekIndex],65)=0,"",SUMIFS(T_TTAFStock_Log[TTAF_Qty],T_TTAFStock_Log[Part Name],$A53,T_TTAFStock_Log[WeekIndex],65))</f>
        <v/>
      </c>
      <c r="BO53" s="19">
        <f>IF(COUNTIFS(T_TTAFStock_Log[Part Name],$A53,T_TTAFStock_Log[WeekIndex],66)=0,"",SUMIFS(T_TTAFStock_Log[TTAF_Qty],T_TTAFStock_Log[Part Name],$A53,T_TTAFStock_Log[WeekIndex],66))</f>
        <v/>
      </c>
      <c r="BP53" s="19">
        <f>IF(COUNTIFS(T_TTAFStock_Log[Part Name],$A53,T_TTAFStock_Log[WeekIndex],67)=0,"",SUMIFS(T_TTAFStock_Log[TTAF_Qty],T_TTAFStock_Log[Part Name],$A53,T_TTAFStock_Log[WeekIndex],67))</f>
        <v/>
      </c>
      <c r="BQ53" s="19">
        <f>IF(COUNTIFS(T_TTAFStock_Log[Part Name],$A53,T_TTAFStock_Log[WeekIndex],68)=0,"",SUMIFS(T_TTAFStock_Log[TTAF_Qty],T_TTAFStock_Log[Part Name],$A53,T_TTAFStock_Log[WeekIndex],68))</f>
        <v/>
      </c>
      <c r="BR53" s="19">
        <f>IF(COUNTIFS(T_TTAFStock_Log[Part Name],$A53,T_TTAFStock_Log[WeekIndex],69)=0,"",SUMIFS(T_TTAFStock_Log[TTAF_Qty],T_TTAFStock_Log[Part Name],$A53,T_TTAFStock_Log[WeekIndex],69))</f>
        <v/>
      </c>
      <c r="BS53" s="19">
        <f>IF(COUNTIFS(T_TTAFStock_Log[Part Name],$A53,T_TTAFStock_Log[WeekIndex],70)=0,"",SUMIFS(T_TTAFStock_Log[TTAF_Qty],T_TTAFStock_Log[Part Name],$A53,T_TTAFStock_Log[WeekIndex],70))</f>
        <v/>
      </c>
      <c r="BT53" s="19">
        <f>IF(COUNTIFS(T_TTAFStock_Log[Part Name],$A53,T_TTAFStock_Log[WeekIndex],71)=0,"",SUMIFS(T_TTAFStock_Log[TTAF_Qty],T_TTAFStock_Log[Part Name],$A53,T_TTAFStock_Log[WeekIndex],71))</f>
        <v/>
      </c>
      <c r="BU53" s="19">
        <f>IF(COUNTIFS(T_TTAFStock_Log[Part Name],$A53,T_TTAFStock_Log[WeekIndex],72)=0,"",SUMIFS(T_TTAFStock_Log[TTAF_Qty],T_TTAFStock_Log[Part Name],$A53,T_TTAFStock_Log[WeekIndex],72))</f>
        <v/>
      </c>
      <c r="BV53" s="19">
        <f>IF(COUNTIFS(T_TTAFStock_Log[Part Name],$A53,T_TTAFStock_Log[WeekIndex],73)=0,"",SUMIFS(T_TTAFStock_Log[TTAF_Qty],T_TTAFStock_Log[Part Name],$A53,T_TTAFStock_Log[WeekIndex],73))</f>
        <v/>
      </c>
      <c r="BW53" s="19">
        <f>IF(COUNTIFS(T_TTAFStock_Log[Part Name],$A53,T_TTAFStock_Log[WeekIndex],74)=0,"",SUMIFS(T_TTAFStock_Log[TTAF_Qty],T_TTAFStock_Log[Part Name],$A53,T_TTAFStock_Log[WeekIndex],74))</f>
        <v/>
      </c>
      <c r="BX53" s="19">
        <f>IF(COUNTIFS(T_TTAFStock_Log[Part Name],$A53,T_TTAFStock_Log[WeekIndex],75)=0,"",SUMIFS(T_TTAFStock_Log[TTAF_Qty],T_TTAFStock_Log[Part Name],$A53,T_TTAFStock_Log[WeekIndex],75))</f>
        <v/>
      </c>
      <c r="BY53" s="19">
        <f>IF(COUNTIFS(T_TTAFStock_Log[Part Name],$A53,T_TTAFStock_Log[WeekIndex],76)=0,"",SUMIFS(T_TTAFStock_Log[TTAF_Qty],T_TTAFStock_Log[Part Name],$A53,T_TTAFStock_Log[WeekIndex],76))</f>
        <v/>
      </c>
      <c r="BZ53" s="19">
        <f>IF(COUNTIFS(T_TTAFStock_Log[Part Name],$A53,T_TTAFStock_Log[WeekIndex],77)=0,"",SUMIFS(T_TTAFStock_Log[TTAF_Qty],T_TTAFStock_Log[Part Name],$A53,T_TTAFStock_Log[WeekIndex],77))</f>
        <v/>
      </c>
      <c r="CA53" s="19">
        <f>IF(COUNTIFS(T_TTAFStock_Log[Part Name],$A53,T_TTAFStock_Log[WeekIndex],78)=0,"",SUMIFS(T_TTAFStock_Log[TTAF_Qty],T_TTAFStock_Log[Part Name],$A53,T_TTAFStock_Log[WeekIndex],78))</f>
        <v/>
      </c>
      <c r="CB53" s="19">
        <f>IF(COUNTIFS(T_TTAFStock_Log[Part Name],$A53,T_TTAFStock_Log[WeekIndex],79)=0,"",SUMIFS(T_TTAFStock_Log[TTAF_Qty],T_TTAFStock_Log[Part Name],$A53,T_TTAFStock_Log[WeekIndex],79))</f>
        <v/>
      </c>
      <c r="CC53" s="19">
        <f>IF(COUNTIFS(T_TTAFStock_Log[Part Name],$A53,T_TTAFStock_Log[WeekIndex],80)=0,"",SUMIFS(T_TTAFStock_Log[TTAF_Qty],T_TTAFStock_Log[Part Name],$A53,T_TTAFStock_Log[WeekIndex],80))</f>
        <v/>
      </c>
      <c r="CD53" s="19">
        <f>IF(COUNTIFS(T_TTAFStock_Log[Part Name],$A53,T_TTAFStock_Log[WeekIndex],81)=0,"",SUMIFS(T_TTAFStock_Log[TTAF_Qty],T_TTAFStock_Log[Part Name],$A53,T_TTAFStock_Log[WeekIndex],81))</f>
        <v/>
      </c>
      <c r="CE53" s="19">
        <f>IF(COUNTIFS(T_TTAFStock_Log[Part Name],$A53,T_TTAFStock_Log[WeekIndex],82)=0,"",SUMIFS(T_TTAFStock_Log[TTAF_Qty],T_TTAFStock_Log[Part Name],$A53,T_TTAFStock_Log[WeekIndex],82))</f>
        <v/>
      </c>
      <c r="CF53" s="19">
        <f>IF(COUNTIFS(T_TTAFStock_Log[Part Name],$A53,T_TTAFStock_Log[WeekIndex],83)=0,"",SUMIFS(T_TTAFStock_Log[TTAF_Qty],T_TTAFStock_Log[Part Name],$A53,T_TTAFStock_Log[WeekIndex],83))</f>
        <v/>
      </c>
      <c r="CG53" s="19">
        <f>IF(COUNTIFS(T_TTAFStock_Log[Part Name],$A53,T_TTAFStock_Log[WeekIndex],84)=0,"",SUMIFS(T_TTAFStock_Log[TTAF_Qty],T_TTAFStock_Log[Part Name],$A53,T_TTAFStock_Log[WeekIndex],84))</f>
        <v/>
      </c>
      <c r="CH53" s="19">
        <f>IF(COUNTIFS(T_TTAFStock_Log[Part Name],$A53,T_TTAFStock_Log[WeekIndex],85)=0,"",SUMIFS(T_TTAFStock_Log[TTAF_Qty],T_TTAFStock_Log[Part Name],$A53,T_TTAFStock_Log[WeekIndex],85))</f>
        <v/>
      </c>
      <c r="CI53" s="19">
        <f>IF(COUNTIFS(T_TTAFStock_Log[Part Name],$A53,T_TTAFStock_Log[WeekIndex],86)=0,"",SUMIFS(T_TTAFStock_Log[TTAF_Qty],T_TTAFStock_Log[Part Name],$A53,T_TTAFStock_Log[WeekIndex],86))</f>
        <v/>
      </c>
      <c r="CJ53" s="19">
        <f>IF(COUNTIFS(T_TTAFStock_Log[Part Name],$A53,T_TTAFStock_Log[WeekIndex],87)=0,"",SUMIFS(T_TTAFStock_Log[TTAF_Qty],T_TTAFStock_Log[Part Name],$A53,T_TTAFStock_Log[WeekIndex],87))</f>
        <v/>
      </c>
      <c r="CK53" s="19">
        <f>IF(COUNTIFS(T_TTAFStock_Log[Part Name],$A53,T_TTAFStock_Log[WeekIndex],88)=0,"",SUMIFS(T_TTAFStock_Log[TTAF_Qty],T_TTAFStock_Log[Part Name],$A53,T_TTAFStock_Log[WeekIndex],88))</f>
        <v/>
      </c>
      <c r="CL53" s="19">
        <f>IF(COUNTIFS(T_TTAFStock_Log[Part Name],$A53,T_TTAFStock_Log[WeekIndex],89)=0,"",SUMIFS(T_TTAFStock_Log[TTAF_Qty],T_TTAFStock_Log[Part Name],$A53,T_TTAFStock_Log[WeekIndex],89))</f>
        <v/>
      </c>
      <c r="CM53" s="19">
        <f>IF(COUNTIFS(T_TTAFStock_Log[Part Name],$A53,T_TTAFStock_Log[WeekIndex],90)=0,"",SUMIFS(T_TTAFStock_Log[TTAF_Qty],T_TTAFStock_Log[Part Name],$A53,T_TTAFStock_Log[WeekIndex],90))</f>
        <v/>
      </c>
      <c r="CN53" s="19">
        <f>IF(COUNTIFS(T_TTAFStock_Log[Part Name],$A53,T_TTAFStock_Log[WeekIndex],91)=0,"",SUMIFS(T_TTAFStock_Log[TTAF_Qty],T_TTAFStock_Log[Part Name],$A53,T_TTAFStock_Log[WeekIndex],91))</f>
        <v/>
      </c>
      <c r="CO53" s="19">
        <f>IF(COUNTIFS(T_TTAFStock_Log[Part Name],$A53,T_TTAFStock_Log[WeekIndex],92)=0,"",SUMIFS(T_TTAFStock_Log[TTAF_Qty],T_TTAFStock_Log[Part Name],$A53,T_TTAFStock_Log[WeekIndex],92))</f>
        <v/>
      </c>
      <c r="CP53" s="19">
        <f>IF(COUNTIFS(T_TTAFStock_Log[Part Name],$A53,T_TTAFStock_Log[WeekIndex],93)=0,"",SUMIFS(T_TTAFStock_Log[TTAF_Qty],T_TTAFStock_Log[Part Name],$A53,T_TTAFStock_Log[WeekIndex],93))</f>
        <v/>
      </c>
      <c r="CQ53" s="19">
        <f>IF(COUNTIFS(T_TTAFStock_Log[Part Name],$A53,T_TTAFStock_Log[WeekIndex],94)=0,"",SUMIFS(T_TTAFStock_Log[TTAF_Qty],T_TTAFStock_Log[Part Name],$A53,T_TTAFStock_Log[WeekIndex],94))</f>
        <v/>
      </c>
      <c r="CR53" s="19">
        <f>IF(COUNTIFS(T_TTAFStock_Log[Part Name],$A53,T_TTAFStock_Log[WeekIndex],95)=0,"",SUMIFS(T_TTAFStock_Log[TTAF_Qty],T_TTAFStock_Log[Part Name],$A53,T_TTAFStock_Log[WeekIndex],95))</f>
        <v/>
      </c>
      <c r="CS53" s="19">
        <f>IF(COUNTIFS(T_TTAFStock_Log[Part Name],$A53,T_TTAFStock_Log[WeekIndex],96)=0,"",SUMIFS(T_TTAFStock_Log[TTAF_Qty],T_TTAFStock_Log[Part Name],$A53,T_TTAFStock_Log[WeekIndex],96))</f>
        <v/>
      </c>
      <c r="CT53" s="19">
        <f>IF(COUNTIFS(T_TTAFStock_Log[Part Name],$A53,T_TTAFStock_Log[WeekIndex],97)=0,"",SUMIFS(T_TTAFStock_Log[TTAF_Qty],T_TTAFStock_Log[Part Name],$A53,T_TTAFStock_Log[WeekIndex],97))</f>
        <v/>
      </c>
      <c r="CU53" s="19">
        <f>IF(COUNTIFS(T_TTAFStock_Log[Part Name],$A53,T_TTAFStock_Log[WeekIndex],98)=0,"",SUMIFS(T_TTAFStock_Log[TTAF_Qty],T_TTAFStock_Log[Part Name],$A53,T_TTAFStock_Log[WeekIndex],98))</f>
        <v/>
      </c>
      <c r="CV53" s="19">
        <f>IF(COUNTIFS(T_TTAFStock_Log[Part Name],$A53,T_TTAFStock_Log[WeekIndex],99)=0,"",SUMIFS(T_TTAFStock_Log[TTAF_Qty],T_TTAFStock_Log[Part Name],$A53,T_TTAFStock_Log[WeekIndex],99))</f>
        <v/>
      </c>
      <c r="CW53" s="19">
        <f>IF(COUNTIFS(T_TTAFStock_Log[Part Name],$A53,T_TTAFStock_Log[WeekIndex],100)=0,"",SUMIFS(T_TTAFStock_Log[TTAF_Qty],T_TTAFStock_Log[Part Name],$A53,T_TTAFStock_Log[WeekIndex],100))</f>
        <v/>
      </c>
      <c r="CX53" s="19">
        <f>IF(COUNTIFS(T_TTAFStock_Log[Part Name],$A53,T_TTAFStock_Log[WeekIndex],101)=0,"",SUMIFS(T_TTAFStock_Log[TTAF_Qty],T_TTAFStock_Log[Part Name],$A53,T_TTAFStock_Log[WeekIndex],101))</f>
        <v/>
      </c>
      <c r="CY53" s="19">
        <f>IF(COUNTIFS(T_TTAFStock_Log[Part Name],$A53,T_TTAFStock_Log[WeekIndex],102)=0,"",SUMIFS(T_TTAFStock_Log[TTAF_Qty],T_TTAFStock_Log[Part Name],$A53,T_TTAFStock_Log[WeekIndex],102))</f>
        <v/>
      </c>
      <c r="CZ53" s="19">
        <f>IF(COUNTIFS(T_TTAFStock_Log[Part Name],$A53,T_TTAFStock_Log[WeekIndex],103)=0,"",SUMIFS(T_TTAFStock_Log[TTAF_Qty],T_TTAFStock_Log[Part Name],$A53,T_TTAFStock_Log[WeekIndex],103))</f>
        <v/>
      </c>
      <c r="DA53" s="19">
        <f>IF(COUNTIFS(T_TTAFStock_Log[Part Name],$A53,T_TTAFStock_Log[WeekIndex],104)=0,"",SUMIFS(T_TTAFStock_Log[TTAF_Qty],T_TTAFStock_Log[Part Name],$A53,T_TTAFStock_Log[WeekIndex],104))</f>
        <v/>
      </c>
    </row>
    <row r="54">
      <c r="A54" s="17" t="inlineStr">
        <is>
          <t>CHEM-1700</t>
        </is>
      </c>
      <c r="B54" s="17">
        <f>IF(COUNTIFS(T_TTAFStock_Log[Part Name],$A54,T_TTAFStock_Log[WeekIndex],1)=0,"",SUMIFS(T_TTAFStock_Log[TTAF_Qty],T_TTAFStock_Log[Part Name],$A54,T_TTAFStock_Log[WeekIndex],1))</f>
        <v/>
      </c>
      <c r="C54" s="17">
        <f>IF(COUNTIFS(T_TTAFStock_Log[Part Name],$A54,T_TTAFStock_Log[WeekIndex],2)=0,"",SUMIFS(T_TTAFStock_Log[TTAF_Qty],T_TTAFStock_Log[Part Name],$A54,T_TTAFStock_Log[WeekIndex],2))</f>
        <v/>
      </c>
      <c r="D54" s="17">
        <f>IF(COUNTIFS(T_TTAFStock_Log[Part Name],$A54,T_TTAFStock_Log[WeekIndex],3)=0,"",SUMIFS(T_TTAFStock_Log[TTAF_Qty],T_TTAFStock_Log[Part Name],$A54,T_TTAFStock_Log[WeekIndex],3))</f>
        <v/>
      </c>
      <c r="E54" s="17">
        <f>IF(COUNTIFS(T_TTAFStock_Log[Part Name],$A54,T_TTAFStock_Log[WeekIndex],4)=0,"",SUMIFS(T_TTAFStock_Log[TTAF_Qty],T_TTAFStock_Log[Part Name],$A54,T_TTAFStock_Log[WeekIndex],4))</f>
        <v/>
      </c>
      <c r="F54" s="17">
        <f>IF(COUNTIFS(T_TTAFStock_Log[Part Name],$A54,T_TTAFStock_Log[WeekIndex],5)=0,"",SUMIFS(T_TTAFStock_Log[TTAF_Qty],T_TTAFStock_Log[Part Name],$A54,T_TTAFStock_Log[WeekIndex],5))</f>
        <v/>
      </c>
      <c r="G54" s="17">
        <f>IF(COUNTIFS(T_TTAFStock_Log[Part Name],$A54,T_TTAFStock_Log[WeekIndex],6)=0,"",SUMIFS(T_TTAFStock_Log[TTAF_Qty],T_TTAFStock_Log[Part Name],$A54,T_TTAFStock_Log[WeekIndex],6))</f>
        <v/>
      </c>
      <c r="H54" s="17">
        <f>IF(COUNTIFS(T_TTAFStock_Log[Part Name],$A54,T_TTAFStock_Log[WeekIndex],7)=0,"",SUMIFS(T_TTAFStock_Log[TTAF_Qty],T_TTAFStock_Log[Part Name],$A54,T_TTAFStock_Log[WeekIndex],7))</f>
        <v/>
      </c>
      <c r="I54" s="17">
        <f>IF(COUNTIFS(T_TTAFStock_Log[Part Name],$A54,T_TTAFStock_Log[WeekIndex],8)=0,"",SUMIFS(T_TTAFStock_Log[TTAF_Qty],T_TTAFStock_Log[Part Name],$A54,T_TTAFStock_Log[WeekIndex],8))</f>
        <v/>
      </c>
      <c r="J54" s="17">
        <f>IF(COUNTIFS(T_TTAFStock_Log[Part Name],$A54,T_TTAFStock_Log[WeekIndex],9)=0,"",SUMIFS(T_TTAFStock_Log[TTAF_Qty],T_TTAFStock_Log[Part Name],$A54,T_TTAFStock_Log[WeekIndex],9))</f>
        <v/>
      </c>
      <c r="K54" s="17">
        <f>IF(COUNTIFS(T_TTAFStock_Log[Part Name],$A54,T_TTAFStock_Log[WeekIndex],10)=0,"",SUMIFS(T_TTAFStock_Log[TTAF_Qty],T_TTAFStock_Log[Part Name],$A54,T_TTAFStock_Log[WeekIndex],10))</f>
        <v/>
      </c>
      <c r="L54" s="17">
        <f>IF(COUNTIFS(T_TTAFStock_Log[Part Name],$A54,T_TTAFStock_Log[WeekIndex],11)=0,"",SUMIFS(T_TTAFStock_Log[TTAF_Qty],T_TTAFStock_Log[Part Name],$A54,T_TTAFStock_Log[WeekIndex],11))</f>
        <v/>
      </c>
      <c r="M54" s="17">
        <f>IF(COUNTIFS(T_TTAFStock_Log[Part Name],$A54,T_TTAFStock_Log[WeekIndex],12)=0,"",SUMIFS(T_TTAFStock_Log[TTAF_Qty],T_TTAFStock_Log[Part Name],$A54,T_TTAFStock_Log[WeekIndex],12))</f>
        <v/>
      </c>
      <c r="N54" s="17">
        <f>IF(COUNTIFS(T_TTAFStock_Log[Part Name],$A54,T_TTAFStock_Log[WeekIndex],13)=0,"",SUMIFS(T_TTAFStock_Log[TTAF_Qty],T_TTAFStock_Log[Part Name],$A54,T_TTAFStock_Log[WeekIndex],13))</f>
        <v/>
      </c>
      <c r="O54" s="17">
        <f>IF(COUNTIFS(T_TTAFStock_Log[Part Name],$A54,T_TTAFStock_Log[WeekIndex],14)=0,"",SUMIFS(T_TTAFStock_Log[TTAF_Qty],T_TTAFStock_Log[Part Name],$A54,T_TTAFStock_Log[WeekIndex],14))</f>
        <v/>
      </c>
      <c r="P54" s="17">
        <f>IF(COUNTIFS(T_TTAFStock_Log[Part Name],$A54,T_TTAFStock_Log[WeekIndex],15)=0,"",SUMIFS(T_TTAFStock_Log[TTAF_Qty],T_TTAFStock_Log[Part Name],$A54,T_TTAFStock_Log[WeekIndex],15))</f>
        <v/>
      </c>
      <c r="Q54" s="17">
        <f>IF(COUNTIFS(T_TTAFStock_Log[Part Name],$A54,T_TTAFStock_Log[WeekIndex],16)=0,"",SUMIFS(T_TTAFStock_Log[TTAF_Qty],T_TTAFStock_Log[Part Name],$A54,T_TTAFStock_Log[WeekIndex],16))</f>
        <v/>
      </c>
      <c r="R54" s="17">
        <f>IF(COUNTIFS(T_TTAFStock_Log[Part Name],$A54,T_TTAFStock_Log[WeekIndex],17)=0,"",SUMIFS(T_TTAFStock_Log[TTAF_Qty],T_TTAFStock_Log[Part Name],$A54,T_TTAFStock_Log[WeekIndex],17))</f>
        <v/>
      </c>
      <c r="S54" s="17">
        <f>IF(COUNTIFS(T_TTAFStock_Log[Part Name],$A54,T_TTAFStock_Log[WeekIndex],18)=0,"",SUMIFS(T_TTAFStock_Log[TTAF_Qty],T_TTAFStock_Log[Part Name],$A54,T_TTAFStock_Log[WeekIndex],18))</f>
        <v/>
      </c>
      <c r="T54" s="17">
        <f>IF(COUNTIFS(T_TTAFStock_Log[Part Name],$A54,T_TTAFStock_Log[WeekIndex],19)=0,"",SUMIFS(T_TTAFStock_Log[TTAF_Qty],T_TTAFStock_Log[Part Name],$A54,T_TTAFStock_Log[WeekIndex],19))</f>
        <v/>
      </c>
      <c r="U54" s="17">
        <f>IF(COUNTIFS(T_TTAFStock_Log[Part Name],$A54,T_TTAFStock_Log[WeekIndex],20)=0,"",SUMIFS(T_TTAFStock_Log[TTAF_Qty],T_TTAFStock_Log[Part Name],$A54,T_TTAFStock_Log[WeekIndex],20))</f>
        <v/>
      </c>
      <c r="V54" s="17">
        <f>IF(COUNTIFS(T_TTAFStock_Log[Part Name],$A54,T_TTAFStock_Log[WeekIndex],21)=0,"",SUMIFS(T_TTAFStock_Log[TTAF_Qty],T_TTAFStock_Log[Part Name],$A54,T_TTAFStock_Log[WeekIndex],21))</f>
        <v/>
      </c>
      <c r="W54" s="17">
        <f>IF(COUNTIFS(T_TTAFStock_Log[Part Name],$A54,T_TTAFStock_Log[WeekIndex],22)=0,"",SUMIFS(T_TTAFStock_Log[TTAF_Qty],T_TTAFStock_Log[Part Name],$A54,T_TTAFStock_Log[WeekIndex],22))</f>
        <v/>
      </c>
      <c r="X54" s="17">
        <f>IF(COUNTIFS(T_TTAFStock_Log[Part Name],$A54,T_TTAFStock_Log[WeekIndex],23)=0,"",SUMIFS(T_TTAFStock_Log[TTAF_Qty],T_TTAFStock_Log[Part Name],$A54,T_TTAFStock_Log[WeekIndex],23))</f>
        <v/>
      </c>
      <c r="Y54" s="17">
        <f>IF(COUNTIFS(T_TTAFStock_Log[Part Name],$A54,T_TTAFStock_Log[WeekIndex],24)=0,"",SUMIFS(T_TTAFStock_Log[TTAF_Qty],T_TTAFStock_Log[Part Name],$A54,T_TTAFStock_Log[WeekIndex],24))</f>
        <v/>
      </c>
      <c r="Z54" s="17">
        <f>IF(COUNTIFS(T_TTAFStock_Log[Part Name],$A54,T_TTAFStock_Log[WeekIndex],25)=0,"",SUMIFS(T_TTAFStock_Log[TTAF_Qty],T_TTAFStock_Log[Part Name],$A54,T_TTAFStock_Log[WeekIndex],25))</f>
        <v/>
      </c>
      <c r="AA54" s="17">
        <f>IF(COUNTIFS(T_TTAFStock_Log[Part Name],$A54,T_TTAFStock_Log[WeekIndex],26)=0,"",SUMIFS(T_TTAFStock_Log[TTAF_Qty],T_TTAFStock_Log[Part Name],$A54,T_TTAFStock_Log[WeekIndex],26))</f>
        <v/>
      </c>
      <c r="AB54" s="17">
        <f>IF(COUNTIFS(T_TTAFStock_Log[Part Name],$A54,T_TTAFStock_Log[WeekIndex],27)=0,"",SUMIFS(T_TTAFStock_Log[TTAF_Qty],T_TTAFStock_Log[Part Name],$A54,T_TTAFStock_Log[WeekIndex],27))</f>
        <v/>
      </c>
      <c r="AC54" s="17">
        <f>IF(COUNTIFS(T_TTAFStock_Log[Part Name],$A54,T_TTAFStock_Log[WeekIndex],28)=0,"",SUMIFS(T_TTAFStock_Log[TTAF_Qty],T_TTAFStock_Log[Part Name],$A54,T_TTAFStock_Log[WeekIndex],28))</f>
        <v/>
      </c>
      <c r="AD54" s="17">
        <f>IF(COUNTIFS(T_TTAFStock_Log[Part Name],$A54,T_TTAFStock_Log[WeekIndex],29)=0,"",SUMIFS(T_TTAFStock_Log[TTAF_Qty],T_TTAFStock_Log[Part Name],$A54,T_TTAFStock_Log[WeekIndex],29))</f>
        <v/>
      </c>
      <c r="AE54" s="17">
        <f>IF(COUNTIFS(T_TTAFStock_Log[Part Name],$A54,T_TTAFStock_Log[WeekIndex],30)=0,"",SUMIFS(T_TTAFStock_Log[TTAF_Qty],T_TTAFStock_Log[Part Name],$A54,T_TTAFStock_Log[WeekIndex],30))</f>
        <v/>
      </c>
      <c r="AF54" s="17">
        <f>IF(COUNTIFS(T_TTAFStock_Log[Part Name],$A54,T_TTAFStock_Log[WeekIndex],31)=0,"",SUMIFS(T_TTAFStock_Log[TTAF_Qty],T_TTAFStock_Log[Part Name],$A54,T_TTAFStock_Log[WeekIndex],31))</f>
        <v/>
      </c>
      <c r="AG54" s="17">
        <f>IF(COUNTIFS(T_TTAFStock_Log[Part Name],$A54,T_TTAFStock_Log[WeekIndex],32)=0,"",SUMIFS(T_TTAFStock_Log[TTAF_Qty],T_TTAFStock_Log[Part Name],$A54,T_TTAFStock_Log[WeekIndex],32))</f>
        <v/>
      </c>
      <c r="AH54" s="17">
        <f>IF(COUNTIFS(T_TTAFStock_Log[Part Name],$A54,T_TTAFStock_Log[WeekIndex],33)=0,"",SUMIFS(T_TTAFStock_Log[TTAF_Qty],T_TTAFStock_Log[Part Name],$A54,T_TTAFStock_Log[WeekIndex],33))</f>
        <v/>
      </c>
      <c r="AI54" s="17">
        <f>IF(COUNTIFS(T_TTAFStock_Log[Part Name],$A54,T_TTAFStock_Log[WeekIndex],34)=0,"",SUMIFS(T_TTAFStock_Log[TTAF_Qty],T_TTAFStock_Log[Part Name],$A54,T_TTAFStock_Log[WeekIndex],34))</f>
        <v/>
      </c>
      <c r="AJ54" s="17">
        <f>IF(COUNTIFS(T_TTAFStock_Log[Part Name],$A54,T_TTAFStock_Log[WeekIndex],35)=0,"",SUMIFS(T_TTAFStock_Log[TTAF_Qty],T_TTAFStock_Log[Part Name],$A54,T_TTAFStock_Log[WeekIndex],35))</f>
        <v/>
      </c>
      <c r="AK54" s="17">
        <f>IF(COUNTIFS(T_TTAFStock_Log[Part Name],$A54,T_TTAFStock_Log[WeekIndex],36)=0,"",SUMIFS(T_TTAFStock_Log[TTAF_Qty],T_TTAFStock_Log[Part Name],$A54,T_TTAFStock_Log[WeekIndex],36))</f>
        <v/>
      </c>
      <c r="AL54" s="17">
        <f>IF(COUNTIFS(T_TTAFStock_Log[Part Name],$A54,T_TTAFStock_Log[WeekIndex],37)=0,"",SUMIFS(T_TTAFStock_Log[TTAF_Qty],T_TTAFStock_Log[Part Name],$A54,T_TTAFStock_Log[WeekIndex],37))</f>
        <v/>
      </c>
      <c r="AM54" s="17">
        <f>IF(COUNTIFS(T_TTAFStock_Log[Part Name],$A54,T_TTAFStock_Log[WeekIndex],38)=0,"",SUMIFS(T_TTAFStock_Log[TTAF_Qty],T_TTAFStock_Log[Part Name],$A54,T_TTAFStock_Log[WeekIndex],38))</f>
        <v/>
      </c>
      <c r="AN54" s="17">
        <f>IF(COUNTIFS(T_TTAFStock_Log[Part Name],$A54,T_TTAFStock_Log[WeekIndex],39)=0,"",SUMIFS(T_TTAFStock_Log[TTAF_Qty],T_TTAFStock_Log[Part Name],$A54,T_TTAFStock_Log[WeekIndex],39))</f>
        <v/>
      </c>
      <c r="AO54" s="17">
        <f>IF(COUNTIFS(T_TTAFStock_Log[Part Name],$A54,T_TTAFStock_Log[WeekIndex],40)=0,"",SUMIFS(T_TTAFStock_Log[TTAF_Qty],T_TTAFStock_Log[Part Name],$A54,T_TTAFStock_Log[WeekIndex],40))</f>
        <v/>
      </c>
      <c r="AP54" s="17">
        <f>IF(COUNTIFS(T_TTAFStock_Log[Part Name],$A54,T_TTAFStock_Log[WeekIndex],41)=0,"",SUMIFS(T_TTAFStock_Log[TTAF_Qty],T_TTAFStock_Log[Part Name],$A54,T_TTAFStock_Log[WeekIndex],41))</f>
        <v/>
      </c>
      <c r="AQ54" s="17">
        <f>IF(COUNTIFS(T_TTAFStock_Log[Part Name],$A54,T_TTAFStock_Log[WeekIndex],42)=0,"",SUMIFS(T_TTAFStock_Log[TTAF_Qty],T_TTAFStock_Log[Part Name],$A54,T_TTAFStock_Log[WeekIndex],42))</f>
        <v/>
      </c>
      <c r="AR54" s="17">
        <f>IF(COUNTIFS(T_TTAFStock_Log[Part Name],$A54,T_TTAFStock_Log[WeekIndex],43)=0,"",SUMIFS(T_TTAFStock_Log[TTAF_Qty],T_TTAFStock_Log[Part Name],$A54,T_TTAFStock_Log[WeekIndex],43))</f>
        <v/>
      </c>
      <c r="AS54" s="17">
        <f>IF(COUNTIFS(T_TTAFStock_Log[Part Name],$A54,T_TTAFStock_Log[WeekIndex],44)=0,"",SUMIFS(T_TTAFStock_Log[TTAF_Qty],T_TTAFStock_Log[Part Name],$A54,T_TTAFStock_Log[WeekIndex],44))</f>
        <v/>
      </c>
      <c r="AT54" s="17">
        <f>IF(COUNTIFS(T_TTAFStock_Log[Part Name],$A54,T_TTAFStock_Log[WeekIndex],45)=0,"",SUMIFS(T_TTAFStock_Log[TTAF_Qty],T_TTAFStock_Log[Part Name],$A54,T_TTAFStock_Log[WeekIndex],45))</f>
        <v/>
      </c>
      <c r="AU54" s="17">
        <f>IF(COUNTIFS(T_TTAFStock_Log[Part Name],$A54,T_TTAFStock_Log[WeekIndex],46)=0,"",SUMIFS(T_TTAFStock_Log[TTAF_Qty],T_TTAFStock_Log[Part Name],$A54,T_TTAFStock_Log[WeekIndex],46))</f>
        <v/>
      </c>
      <c r="AV54" s="17">
        <f>IF(COUNTIFS(T_TTAFStock_Log[Part Name],$A54,T_TTAFStock_Log[WeekIndex],47)=0,"",SUMIFS(T_TTAFStock_Log[TTAF_Qty],T_TTAFStock_Log[Part Name],$A54,T_TTAFStock_Log[WeekIndex],47))</f>
        <v/>
      </c>
      <c r="AW54" s="17">
        <f>IF(COUNTIFS(T_TTAFStock_Log[Part Name],$A54,T_TTAFStock_Log[WeekIndex],48)=0,"",SUMIFS(T_TTAFStock_Log[TTAF_Qty],T_TTAFStock_Log[Part Name],$A54,T_TTAFStock_Log[WeekIndex],48))</f>
        <v/>
      </c>
      <c r="AX54" s="17">
        <f>IF(COUNTIFS(T_TTAFStock_Log[Part Name],$A54,T_TTAFStock_Log[WeekIndex],49)=0,"",SUMIFS(T_TTAFStock_Log[TTAF_Qty],T_TTAFStock_Log[Part Name],$A54,T_TTAFStock_Log[WeekIndex],49))</f>
        <v/>
      </c>
      <c r="AY54" s="17">
        <f>IF(COUNTIFS(T_TTAFStock_Log[Part Name],$A54,T_TTAFStock_Log[WeekIndex],50)=0,"",SUMIFS(T_TTAFStock_Log[TTAF_Qty],T_TTAFStock_Log[Part Name],$A54,T_TTAFStock_Log[WeekIndex],50))</f>
        <v/>
      </c>
      <c r="AZ54" s="17">
        <f>IF(COUNTIFS(T_TTAFStock_Log[Part Name],$A54,T_TTAFStock_Log[WeekIndex],51)=0,"",SUMIFS(T_TTAFStock_Log[TTAF_Qty],T_TTAFStock_Log[Part Name],$A54,T_TTAFStock_Log[WeekIndex],51))</f>
        <v/>
      </c>
      <c r="BA54" s="17">
        <f>IF(COUNTIFS(T_TTAFStock_Log[Part Name],$A54,T_TTAFStock_Log[WeekIndex],52)=0,"",SUMIFS(T_TTAFStock_Log[TTAF_Qty],T_TTAFStock_Log[Part Name],$A54,T_TTAFStock_Log[WeekIndex],52))</f>
        <v/>
      </c>
      <c r="BB54" s="17">
        <f>IF(COUNTIFS(T_TTAFStock_Log[Part Name],$A54,T_TTAFStock_Log[WeekIndex],53)=0,"",SUMIFS(T_TTAFStock_Log[TTAF_Qty],T_TTAFStock_Log[Part Name],$A54,T_TTAFStock_Log[WeekIndex],53))</f>
        <v/>
      </c>
      <c r="BC54" s="17">
        <f>IF(COUNTIFS(T_TTAFStock_Log[Part Name],$A54,T_TTAFStock_Log[WeekIndex],54)=0,"",SUMIFS(T_TTAFStock_Log[TTAF_Qty],T_TTAFStock_Log[Part Name],$A54,T_TTAFStock_Log[WeekIndex],54))</f>
        <v/>
      </c>
      <c r="BD54" s="17">
        <f>IF(COUNTIFS(T_TTAFStock_Log[Part Name],$A54,T_TTAFStock_Log[WeekIndex],55)=0,"",SUMIFS(T_TTAFStock_Log[TTAF_Qty],T_TTAFStock_Log[Part Name],$A54,T_TTAFStock_Log[WeekIndex],55))</f>
        <v/>
      </c>
      <c r="BE54" s="17">
        <f>IF(COUNTIFS(T_TTAFStock_Log[Part Name],$A54,T_TTAFStock_Log[WeekIndex],56)=0,"",SUMIFS(T_TTAFStock_Log[TTAF_Qty],T_TTAFStock_Log[Part Name],$A54,T_TTAFStock_Log[WeekIndex],56))</f>
        <v/>
      </c>
      <c r="BF54" s="17">
        <f>IF(COUNTIFS(T_TTAFStock_Log[Part Name],$A54,T_TTAFStock_Log[WeekIndex],57)=0,"",SUMIFS(T_TTAFStock_Log[TTAF_Qty],T_TTAFStock_Log[Part Name],$A54,T_TTAFStock_Log[WeekIndex],57))</f>
        <v/>
      </c>
      <c r="BG54" s="17">
        <f>IF(COUNTIFS(T_TTAFStock_Log[Part Name],$A54,T_TTAFStock_Log[WeekIndex],58)=0,"",SUMIFS(T_TTAFStock_Log[TTAF_Qty],T_TTAFStock_Log[Part Name],$A54,T_TTAFStock_Log[WeekIndex],58))</f>
        <v/>
      </c>
      <c r="BH54" s="17">
        <f>IF(COUNTIFS(T_TTAFStock_Log[Part Name],$A54,T_TTAFStock_Log[WeekIndex],59)=0,"",SUMIFS(T_TTAFStock_Log[TTAF_Qty],T_TTAFStock_Log[Part Name],$A54,T_TTAFStock_Log[WeekIndex],59))</f>
        <v/>
      </c>
      <c r="BI54" s="17">
        <f>IF(COUNTIFS(T_TTAFStock_Log[Part Name],$A54,T_TTAFStock_Log[WeekIndex],60)=0,"",SUMIFS(T_TTAFStock_Log[TTAF_Qty],T_TTAFStock_Log[Part Name],$A54,T_TTAFStock_Log[WeekIndex],60))</f>
        <v/>
      </c>
      <c r="BJ54" s="17">
        <f>IF(COUNTIFS(T_TTAFStock_Log[Part Name],$A54,T_TTAFStock_Log[WeekIndex],61)=0,"",SUMIFS(T_TTAFStock_Log[TTAF_Qty],T_TTAFStock_Log[Part Name],$A54,T_TTAFStock_Log[WeekIndex],61))</f>
        <v/>
      </c>
      <c r="BK54" s="17">
        <f>IF(COUNTIFS(T_TTAFStock_Log[Part Name],$A54,T_TTAFStock_Log[WeekIndex],62)=0,"",SUMIFS(T_TTAFStock_Log[TTAF_Qty],T_TTAFStock_Log[Part Name],$A54,T_TTAFStock_Log[WeekIndex],62))</f>
        <v/>
      </c>
      <c r="BL54" s="17">
        <f>IF(COUNTIFS(T_TTAFStock_Log[Part Name],$A54,T_TTAFStock_Log[WeekIndex],63)=0,"",SUMIFS(T_TTAFStock_Log[TTAF_Qty],T_TTAFStock_Log[Part Name],$A54,T_TTAFStock_Log[WeekIndex],63))</f>
        <v/>
      </c>
      <c r="BM54" s="17">
        <f>IF(COUNTIFS(T_TTAFStock_Log[Part Name],$A54,T_TTAFStock_Log[WeekIndex],64)=0,"",SUMIFS(T_TTAFStock_Log[TTAF_Qty],T_TTAFStock_Log[Part Name],$A54,T_TTAFStock_Log[WeekIndex],64))</f>
        <v/>
      </c>
      <c r="BN54" s="17">
        <f>IF(COUNTIFS(T_TTAFStock_Log[Part Name],$A54,T_TTAFStock_Log[WeekIndex],65)=0,"",SUMIFS(T_TTAFStock_Log[TTAF_Qty],T_TTAFStock_Log[Part Name],$A54,T_TTAFStock_Log[WeekIndex],65))</f>
        <v/>
      </c>
      <c r="BO54" s="17">
        <f>IF(COUNTIFS(T_TTAFStock_Log[Part Name],$A54,T_TTAFStock_Log[WeekIndex],66)=0,"",SUMIFS(T_TTAFStock_Log[TTAF_Qty],T_TTAFStock_Log[Part Name],$A54,T_TTAFStock_Log[WeekIndex],66))</f>
        <v/>
      </c>
      <c r="BP54" s="17">
        <f>IF(COUNTIFS(T_TTAFStock_Log[Part Name],$A54,T_TTAFStock_Log[WeekIndex],67)=0,"",SUMIFS(T_TTAFStock_Log[TTAF_Qty],T_TTAFStock_Log[Part Name],$A54,T_TTAFStock_Log[WeekIndex],67))</f>
        <v/>
      </c>
      <c r="BQ54" s="17">
        <f>IF(COUNTIFS(T_TTAFStock_Log[Part Name],$A54,T_TTAFStock_Log[WeekIndex],68)=0,"",SUMIFS(T_TTAFStock_Log[TTAF_Qty],T_TTAFStock_Log[Part Name],$A54,T_TTAFStock_Log[WeekIndex],68))</f>
        <v/>
      </c>
      <c r="BR54" s="17">
        <f>IF(COUNTIFS(T_TTAFStock_Log[Part Name],$A54,T_TTAFStock_Log[WeekIndex],69)=0,"",SUMIFS(T_TTAFStock_Log[TTAF_Qty],T_TTAFStock_Log[Part Name],$A54,T_TTAFStock_Log[WeekIndex],69))</f>
        <v/>
      </c>
      <c r="BS54" s="17">
        <f>IF(COUNTIFS(T_TTAFStock_Log[Part Name],$A54,T_TTAFStock_Log[WeekIndex],70)=0,"",SUMIFS(T_TTAFStock_Log[TTAF_Qty],T_TTAFStock_Log[Part Name],$A54,T_TTAFStock_Log[WeekIndex],70))</f>
        <v/>
      </c>
      <c r="BT54" s="17">
        <f>IF(COUNTIFS(T_TTAFStock_Log[Part Name],$A54,T_TTAFStock_Log[WeekIndex],71)=0,"",SUMIFS(T_TTAFStock_Log[TTAF_Qty],T_TTAFStock_Log[Part Name],$A54,T_TTAFStock_Log[WeekIndex],71))</f>
        <v/>
      </c>
      <c r="BU54" s="17">
        <f>IF(COUNTIFS(T_TTAFStock_Log[Part Name],$A54,T_TTAFStock_Log[WeekIndex],72)=0,"",SUMIFS(T_TTAFStock_Log[TTAF_Qty],T_TTAFStock_Log[Part Name],$A54,T_TTAFStock_Log[WeekIndex],72))</f>
        <v/>
      </c>
      <c r="BV54" s="17">
        <f>IF(COUNTIFS(T_TTAFStock_Log[Part Name],$A54,T_TTAFStock_Log[WeekIndex],73)=0,"",SUMIFS(T_TTAFStock_Log[TTAF_Qty],T_TTAFStock_Log[Part Name],$A54,T_TTAFStock_Log[WeekIndex],73))</f>
        <v/>
      </c>
      <c r="BW54" s="17">
        <f>IF(COUNTIFS(T_TTAFStock_Log[Part Name],$A54,T_TTAFStock_Log[WeekIndex],74)=0,"",SUMIFS(T_TTAFStock_Log[TTAF_Qty],T_TTAFStock_Log[Part Name],$A54,T_TTAFStock_Log[WeekIndex],74))</f>
        <v/>
      </c>
      <c r="BX54" s="17">
        <f>IF(COUNTIFS(T_TTAFStock_Log[Part Name],$A54,T_TTAFStock_Log[WeekIndex],75)=0,"",SUMIFS(T_TTAFStock_Log[TTAF_Qty],T_TTAFStock_Log[Part Name],$A54,T_TTAFStock_Log[WeekIndex],75))</f>
        <v/>
      </c>
      <c r="BY54" s="17">
        <f>IF(COUNTIFS(T_TTAFStock_Log[Part Name],$A54,T_TTAFStock_Log[WeekIndex],76)=0,"",SUMIFS(T_TTAFStock_Log[TTAF_Qty],T_TTAFStock_Log[Part Name],$A54,T_TTAFStock_Log[WeekIndex],76))</f>
        <v/>
      </c>
      <c r="BZ54" s="17">
        <f>IF(COUNTIFS(T_TTAFStock_Log[Part Name],$A54,T_TTAFStock_Log[WeekIndex],77)=0,"",SUMIFS(T_TTAFStock_Log[TTAF_Qty],T_TTAFStock_Log[Part Name],$A54,T_TTAFStock_Log[WeekIndex],77))</f>
        <v/>
      </c>
      <c r="CA54" s="17">
        <f>IF(COUNTIFS(T_TTAFStock_Log[Part Name],$A54,T_TTAFStock_Log[WeekIndex],78)=0,"",SUMIFS(T_TTAFStock_Log[TTAF_Qty],T_TTAFStock_Log[Part Name],$A54,T_TTAFStock_Log[WeekIndex],78))</f>
        <v/>
      </c>
      <c r="CB54" s="17">
        <f>IF(COUNTIFS(T_TTAFStock_Log[Part Name],$A54,T_TTAFStock_Log[WeekIndex],79)=0,"",SUMIFS(T_TTAFStock_Log[TTAF_Qty],T_TTAFStock_Log[Part Name],$A54,T_TTAFStock_Log[WeekIndex],79))</f>
        <v/>
      </c>
      <c r="CC54" s="17">
        <f>IF(COUNTIFS(T_TTAFStock_Log[Part Name],$A54,T_TTAFStock_Log[WeekIndex],80)=0,"",SUMIFS(T_TTAFStock_Log[TTAF_Qty],T_TTAFStock_Log[Part Name],$A54,T_TTAFStock_Log[WeekIndex],80))</f>
        <v/>
      </c>
      <c r="CD54" s="17">
        <f>IF(COUNTIFS(T_TTAFStock_Log[Part Name],$A54,T_TTAFStock_Log[WeekIndex],81)=0,"",SUMIFS(T_TTAFStock_Log[TTAF_Qty],T_TTAFStock_Log[Part Name],$A54,T_TTAFStock_Log[WeekIndex],81))</f>
        <v/>
      </c>
      <c r="CE54" s="17">
        <f>IF(COUNTIFS(T_TTAFStock_Log[Part Name],$A54,T_TTAFStock_Log[WeekIndex],82)=0,"",SUMIFS(T_TTAFStock_Log[TTAF_Qty],T_TTAFStock_Log[Part Name],$A54,T_TTAFStock_Log[WeekIndex],82))</f>
        <v/>
      </c>
      <c r="CF54" s="17">
        <f>IF(COUNTIFS(T_TTAFStock_Log[Part Name],$A54,T_TTAFStock_Log[WeekIndex],83)=0,"",SUMIFS(T_TTAFStock_Log[TTAF_Qty],T_TTAFStock_Log[Part Name],$A54,T_TTAFStock_Log[WeekIndex],83))</f>
        <v/>
      </c>
      <c r="CG54" s="17">
        <f>IF(COUNTIFS(T_TTAFStock_Log[Part Name],$A54,T_TTAFStock_Log[WeekIndex],84)=0,"",SUMIFS(T_TTAFStock_Log[TTAF_Qty],T_TTAFStock_Log[Part Name],$A54,T_TTAFStock_Log[WeekIndex],84))</f>
        <v/>
      </c>
      <c r="CH54" s="17">
        <f>IF(COUNTIFS(T_TTAFStock_Log[Part Name],$A54,T_TTAFStock_Log[WeekIndex],85)=0,"",SUMIFS(T_TTAFStock_Log[TTAF_Qty],T_TTAFStock_Log[Part Name],$A54,T_TTAFStock_Log[WeekIndex],85))</f>
        <v/>
      </c>
      <c r="CI54" s="17">
        <f>IF(COUNTIFS(T_TTAFStock_Log[Part Name],$A54,T_TTAFStock_Log[WeekIndex],86)=0,"",SUMIFS(T_TTAFStock_Log[TTAF_Qty],T_TTAFStock_Log[Part Name],$A54,T_TTAFStock_Log[WeekIndex],86))</f>
        <v/>
      </c>
      <c r="CJ54" s="17">
        <f>IF(COUNTIFS(T_TTAFStock_Log[Part Name],$A54,T_TTAFStock_Log[WeekIndex],87)=0,"",SUMIFS(T_TTAFStock_Log[TTAF_Qty],T_TTAFStock_Log[Part Name],$A54,T_TTAFStock_Log[WeekIndex],87))</f>
        <v/>
      </c>
      <c r="CK54" s="17">
        <f>IF(COUNTIFS(T_TTAFStock_Log[Part Name],$A54,T_TTAFStock_Log[WeekIndex],88)=0,"",SUMIFS(T_TTAFStock_Log[TTAF_Qty],T_TTAFStock_Log[Part Name],$A54,T_TTAFStock_Log[WeekIndex],88))</f>
        <v/>
      </c>
      <c r="CL54" s="17">
        <f>IF(COUNTIFS(T_TTAFStock_Log[Part Name],$A54,T_TTAFStock_Log[WeekIndex],89)=0,"",SUMIFS(T_TTAFStock_Log[TTAF_Qty],T_TTAFStock_Log[Part Name],$A54,T_TTAFStock_Log[WeekIndex],89))</f>
        <v/>
      </c>
      <c r="CM54" s="17">
        <f>IF(COUNTIFS(T_TTAFStock_Log[Part Name],$A54,T_TTAFStock_Log[WeekIndex],90)=0,"",SUMIFS(T_TTAFStock_Log[TTAF_Qty],T_TTAFStock_Log[Part Name],$A54,T_TTAFStock_Log[WeekIndex],90))</f>
        <v/>
      </c>
      <c r="CN54" s="17">
        <f>IF(COUNTIFS(T_TTAFStock_Log[Part Name],$A54,T_TTAFStock_Log[WeekIndex],91)=0,"",SUMIFS(T_TTAFStock_Log[TTAF_Qty],T_TTAFStock_Log[Part Name],$A54,T_TTAFStock_Log[WeekIndex],91))</f>
        <v/>
      </c>
      <c r="CO54" s="17">
        <f>IF(COUNTIFS(T_TTAFStock_Log[Part Name],$A54,T_TTAFStock_Log[WeekIndex],92)=0,"",SUMIFS(T_TTAFStock_Log[TTAF_Qty],T_TTAFStock_Log[Part Name],$A54,T_TTAFStock_Log[WeekIndex],92))</f>
        <v/>
      </c>
      <c r="CP54" s="17">
        <f>IF(COUNTIFS(T_TTAFStock_Log[Part Name],$A54,T_TTAFStock_Log[WeekIndex],93)=0,"",SUMIFS(T_TTAFStock_Log[TTAF_Qty],T_TTAFStock_Log[Part Name],$A54,T_TTAFStock_Log[WeekIndex],93))</f>
        <v/>
      </c>
      <c r="CQ54" s="17">
        <f>IF(COUNTIFS(T_TTAFStock_Log[Part Name],$A54,T_TTAFStock_Log[WeekIndex],94)=0,"",SUMIFS(T_TTAFStock_Log[TTAF_Qty],T_TTAFStock_Log[Part Name],$A54,T_TTAFStock_Log[WeekIndex],94))</f>
        <v/>
      </c>
      <c r="CR54" s="17">
        <f>IF(COUNTIFS(T_TTAFStock_Log[Part Name],$A54,T_TTAFStock_Log[WeekIndex],95)=0,"",SUMIFS(T_TTAFStock_Log[TTAF_Qty],T_TTAFStock_Log[Part Name],$A54,T_TTAFStock_Log[WeekIndex],95))</f>
        <v/>
      </c>
      <c r="CS54" s="17">
        <f>IF(COUNTIFS(T_TTAFStock_Log[Part Name],$A54,T_TTAFStock_Log[WeekIndex],96)=0,"",SUMIFS(T_TTAFStock_Log[TTAF_Qty],T_TTAFStock_Log[Part Name],$A54,T_TTAFStock_Log[WeekIndex],96))</f>
        <v/>
      </c>
      <c r="CT54" s="17">
        <f>IF(COUNTIFS(T_TTAFStock_Log[Part Name],$A54,T_TTAFStock_Log[WeekIndex],97)=0,"",SUMIFS(T_TTAFStock_Log[TTAF_Qty],T_TTAFStock_Log[Part Name],$A54,T_TTAFStock_Log[WeekIndex],97))</f>
        <v/>
      </c>
      <c r="CU54" s="17">
        <f>IF(COUNTIFS(T_TTAFStock_Log[Part Name],$A54,T_TTAFStock_Log[WeekIndex],98)=0,"",SUMIFS(T_TTAFStock_Log[TTAF_Qty],T_TTAFStock_Log[Part Name],$A54,T_TTAFStock_Log[WeekIndex],98))</f>
        <v/>
      </c>
      <c r="CV54" s="17">
        <f>IF(COUNTIFS(T_TTAFStock_Log[Part Name],$A54,T_TTAFStock_Log[WeekIndex],99)=0,"",SUMIFS(T_TTAFStock_Log[TTAF_Qty],T_TTAFStock_Log[Part Name],$A54,T_TTAFStock_Log[WeekIndex],99))</f>
        <v/>
      </c>
      <c r="CW54" s="17">
        <f>IF(COUNTIFS(T_TTAFStock_Log[Part Name],$A54,T_TTAFStock_Log[WeekIndex],100)=0,"",SUMIFS(T_TTAFStock_Log[TTAF_Qty],T_TTAFStock_Log[Part Name],$A54,T_TTAFStock_Log[WeekIndex],100))</f>
        <v/>
      </c>
      <c r="CX54" s="17">
        <f>IF(COUNTIFS(T_TTAFStock_Log[Part Name],$A54,T_TTAFStock_Log[WeekIndex],101)=0,"",SUMIFS(T_TTAFStock_Log[TTAF_Qty],T_TTAFStock_Log[Part Name],$A54,T_TTAFStock_Log[WeekIndex],101))</f>
        <v/>
      </c>
      <c r="CY54" s="17">
        <f>IF(COUNTIFS(T_TTAFStock_Log[Part Name],$A54,T_TTAFStock_Log[WeekIndex],102)=0,"",SUMIFS(T_TTAFStock_Log[TTAF_Qty],T_TTAFStock_Log[Part Name],$A54,T_TTAFStock_Log[WeekIndex],102))</f>
        <v/>
      </c>
      <c r="CZ54" s="17">
        <f>IF(COUNTIFS(T_TTAFStock_Log[Part Name],$A54,T_TTAFStock_Log[WeekIndex],103)=0,"",SUMIFS(T_TTAFStock_Log[TTAF_Qty],T_TTAFStock_Log[Part Name],$A54,T_TTAFStock_Log[WeekIndex],103))</f>
        <v/>
      </c>
      <c r="DA54" s="17">
        <f>IF(COUNTIFS(T_TTAFStock_Log[Part Name],$A54,T_TTAFStock_Log[WeekIndex],104)=0,"",SUMIFS(T_TTAFStock_Log[TTAF_Qty],T_TTAFStock_Log[Part Name],$A54,T_TTAFStock_Log[WeekIndex],104))</f>
        <v/>
      </c>
    </row>
    <row r="55">
      <c r="A55" s="19" t="inlineStr">
        <is>
          <t>CHEM-1850</t>
        </is>
      </c>
      <c r="B55" s="19">
        <f>IF(COUNTIFS(T_TTAFStock_Log[Part Name],$A55,T_TTAFStock_Log[WeekIndex],1)=0,"",SUMIFS(T_TTAFStock_Log[TTAF_Qty],T_TTAFStock_Log[Part Name],$A55,T_TTAFStock_Log[WeekIndex],1))</f>
        <v/>
      </c>
      <c r="C55" s="19">
        <f>IF(COUNTIFS(T_TTAFStock_Log[Part Name],$A55,T_TTAFStock_Log[WeekIndex],2)=0,"",SUMIFS(T_TTAFStock_Log[TTAF_Qty],T_TTAFStock_Log[Part Name],$A55,T_TTAFStock_Log[WeekIndex],2))</f>
        <v/>
      </c>
      <c r="D55" s="19">
        <f>IF(COUNTIFS(T_TTAFStock_Log[Part Name],$A55,T_TTAFStock_Log[WeekIndex],3)=0,"",SUMIFS(T_TTAFStock_Log[TTAF_Qty],T_TTAFStock_Log[Part Name],$A55,T_TTAFStock_Log[WeekIndex],3))</f>
        <v/>
      </c>
      <c r="E55" s="19">
        <f>IF(COUNTIFS(T_TTAFStock_Log[Part Name],$A55,T_TTAFStock_Log[WeekIndex],4)=0,"",SUMIFS(T_TTAFStock_Log[TTAF_Qty],T_TTAFStock_Log[Part Name],$A55,T_TTAFStock_Log[WeekIndex],4))</f>
        <v/>
      </c>
      <c r="F55" s="19">
        <f>IF(COUNTIFS(T_TTAFStock_Log[Part Name],$A55,T_TTAFStock_Log[WeekIndex],5)=0,"",SUMIFS(T_TTAFStock_Log[TTAF_Qty],T_TTAFStock_Log[Part Name],$A55,T_TTAFStock_Log[WeekIndex],5))</f>
        <v/>
      </c>
      <c r="G55" s="19">
        <f>IF(COUNTIFS(T_TTAFStock_Log[Part Name],$A55,T_TTAFStock_Log[WeekIndex],6)=0,"",SUMIFS(T_TTAFStock_Log[TTAF_Qty],T_TTAFStock_Log[Part Name],$A55,T_TTAFStock_Log[WeekIndex],6))</f>
        <v/>
      </c>
      <c r="H55" s="19">
        <f>IF(COUNTIFS(T_TTAFStock_Log[Part Name],$A55,T_TTAFStock_Log[WeekIndex],7)=0,"",SUMIFS(T_TTAFStock_Log[TTAF_Qty],T_TTAFStock_Log[Part Name],$A55,T_TTAFStock_Log[WeekIndex],7))</f>
        <v/>
      </c>
      <c r="I55" s="19">
        <f>IF(COUNTIFS(T_TTAFStock_Log[Part Name],$A55,T_TTAFStock_Log[WeekIndex],8)=0,"",SUMIFS(T_TTAFStock_Log[TTAF_Qty],T_TTAFStock_Log[Part Name],$A55,T_TTAFStock_Log[WeekIndex],8))</f>
        <v/>
      </c>
      <c r="J55" s="19">
        <f>IF(COUNTIFS(T_TTAFStock_Log[Part Name],$A55,T_TTAFStock_Log[WeekIndex],9)=0,"",SUMIFS(T_TTAFStock_Log[TTAF_Qty],T_TTAFStock_Log[Part Name],$A55,T_TTAFStock_Log[WeekIndex],9))</f>
        <v/>
      </c>
      <c r="K55" s="19">
        <f>IF(COUNTIFS(T_TTAFStock_Log[Part Name],$A55,T_TTAFStock_Log[WeekIndex],10)=0,"",SUMIFS(T_TTAFStock_Log[TTAF_Qty],T_TTAFStock_Log[Part Name],$A55,T_TTAFStock_Log[WeekIndex],10))</f>
        <v/>
      </c>
      <c r="L55" s="19">
        <f>IF(COUNTIFS(T_TTAFStock_Log[Part Name],$A55,T_TTAFStock_Log[WeekIndex],11)=0,"",SUMIFS(T_TTAFStock_Log[TTAF_Qty],T_TTAFStock_Log[Part Name],$A55,T_TTAFStock_Log[WeekIndex],11))</f>
        <v/>
      </c>
      <c r="M55" s="19">
        <f>IF(COUNTIFS(T_TTAFStock_Log[Part Name],$A55,T_TTAFStock_Log[WeekIndex],12)=0,"",SUMIFS(T_TTAFStock_Log[TTAF_Qty],T_TTAFStock_Log[Part Name],$A55,T_TTAFStock_Log[WeekIndex],12))</f>
        <v/>
      </c>
      <c r="N55" s="19">
        <f>IF(COUNTIFS(T_TTAFStock_Log[Part Name],$A55,T_TTAFStock_Log[WeekIndex],13)=0,"",SUMIFS(T_TTAFStock_Log[TTAF_Qty],T_TTAFStock_Log[Part Name],$A55,T_TTAFStock_Log[WeekIndex],13))</f>
        <v/>
      </c>
      <c r="O55" s="19">
        <f>IF(COUNTIFS(T_TTAFStock_Log[Part Name],$A55,T_TTAFStock_Log[WeekIndex],14)=0,"",SUMIFS(T_TTAFStock_Log[TTAF_Qty],T_TTAFStock_Log[Part Name],$A55,T_TTAFStock_Log[WeekIndex],14))</f>
        <v/>
      </c>
      <c r="P55" s="19">
        <f>IF(COUNTIFS(T_TTAFStock_Log[Part Name],$A55,T_TTAFStock_Log[WeekIndex],15)=0,"",SUMIFS(T_TTAFStock_Log[TTAF_Qty],T_TTAFStock_Log[Part Name],$A55,T_TTAFStock_Log[WeekIndex],15))</f>
        <v/>
      </c>
      <c r="Q55" s="19">
        <f>IF(COUNTIFS(T_TTAFStock_Log[Part Name],$A55,T_TTAFStock_Log[WeekIndex],16)=0,"",SUMIFS(T_TTAFStock_Log[TTAF_Qty],T_TTAFStock_Log[Part Name],$A55,T_TTAFStock_Log[WeekIndex],16))</f>
        <v/>
      </c>
      <c r="R55" s="19">
        <f>IF(COUNTIFS(T_TTAFStock_Log[Part Name],$A55,T_TTAFStock_Log[WeekIndex],17)=0,"",SUMIFS(T_TTAFStock_Log[TTAF_Qty],T_TTAFStock_Log[Part Name],$A55,T_TTAFStock_Log[WeekIndex],17))</f>
        <v/>
      </c>
      <c r="S55" s="19">
        <f>IF(COUNTIFS(T_TTAFStock_Log[Part Name],$A55,T_TTAFStock_Log[WeekIndex],18)=0,"",SUMIFS(T_TTAFStock_Log[TTAF_Qty],T_TTAFStock_Log[Part Name],$A55,T_TTAFStock_Log[WeekIndex],18))</f>
        <v/>
      </c>
      <c r="T55" s="19">
        <f>IF(COUNTIFS(T_TTAFStock_Log[Part Name],$A55,T_TTAFStock_Log[WeekIndex],19)=0,"",SUMIFS(T_TTAFStock_Log[TTAF_Qty],T_TTAFStock_Log[Part Name],$A55,T_TTAFStock_Log[WeekIndex],19))</f>
        <v/>
      </c>
      <c r="U55" s="19">
        <f>IF(COUNTIFS(T_TTAFStock_Log[Part Name],$A55,T_TTAFStock_Log[WeekIndex],20)=0,"",SUMIFS(T_TTAFStock_Log[TTAF_Qty],T_TTAFStock_Log[Part Name],$A55,T_TTAFStock_Log[WeekIndex],20))</f>
        <v/>
      </c>
      <c r="V55" s="19">
        <f>IF(COUNTIFS(T_TTAFStock_Log[Part Name],$A55,T_TTAFStock_Log[WeekIndex],21)=0,"",SUMIFS(T_TTAFStock_Log[TTAF_Qty],T_TTAFStock_Log[Part Name],$A55,T_TTAFStock_Log[WeekIndex],21))</f>
        <v/>
      </c>
      <c r="W55" s="19">
        <f>IF(COUNTIFS(T_TTAFStock_Log[Part Name],$A55,T_TTAFStock_Log[WeekIndex],22)=0,"",SUMIFS(T_TTAFStock_Log[TTAF_Qty],T_TTAFStock_Log[Part Name],$A55,T_TTAFStock_Log[WeekIndex],22))</f>
        <v/>
      </c>
      <c r="X55" s="19">
        <f>IF(COUNTIFS(T_TTAFStock_Log[Part Name],$A55,T_TTAFStock_Log[WeekIndex],23)=0,"",SUMIFS(T_TTAFStock_Log[TTAF_Qty],T_TTAFStock_Log[Part Name],$A55,T_TTAFStock_Log[WeekIndex],23))</f>
        <v/>
      </c>
      <c r="Y55" s="19">
        <f>IF(COUNTIFS(T_TTAFStock_Log[Part Name],$A55,T_TTAFStock_Log[WeekIndex],24)=0,"",SUMIFS(T_TTAFStock_Log[TTAF_Qty],T_TTAFStock_Log[Part Name],$A55,T_TTAFStock_Log[WeekIndex],24))</f>
        <v/>
      </c>
      <c r="Z55" s="19">
        <f>IF(COUNTIFS(T_TTAFStock_Log[Part Name],$A55,T_TTAFStock_Log[WeekIndex],25)=0,"",SUMIFS(T_TTAFStock_Log[TTAF_Qty],T_TTAFStock_Log[Part Name],$A55,T_TTAFStock_Log[WeekIndex],25))</f>
        <v/>
      </c>
      <c r="AA55" s="19">
        <f>IF(COUNTIFS(T_TTAFStock_Log[Part Name],$A55,T_TTAFStock_Log[WeekIndex],26)=0,"",SUMIFS(T_TTAFStock_Log[TTAF_Qty],T_TTAFStock_Log[Part Name],$A55,T_TTAFStock_Log[WeekIndex],26))</f>
        <v/>
      </c>
      <c r="AB55" s="19">
        <f>IF(COUNTIFS(T_TTAFStock_Log[Part Name],$A55,T_TTAFStock_Log[WeekIndex],27)=0,"",SUMIFS(T_TTAFStock_Log[TTAF_Qty],T_TTAFStock_Log[Part Name],$A55,T_TTAFStock_Log[WeekIndex],27))</f>
        <v/>
      </c>
      <c r="AC55" s="19">
        <f>IF(COUNTIFS(T_TTAFStock_Log[Part Name],$A55,T_TTAFStock_Log[WeekIndex],28)=0,"",SUMIFS(T_TTAFStock_Log[TTAF_Qty],T_TTAFStock_Log[Part Name],$A55,T_TTAFStock_Log[WeekIndex],28))</f>
        <v/>
      </c>
      <c r="AD55" s="19">
        <f>IF(COUNTIFS(T_TTAFStock_Log[Part Name],$A55,T_TTAFStock_Log[WeekIndex],29)=0,"",SUMIFS(T_TTAFStock_Log[TTAF_Qty],T_TTAFStock_Log[Part Name],$A55,T_TTAFStock_Log[WeekIndex],29))</f>
        <v/>
      </c>
      <c r="AE55" s="19">
        <f>IF(COUNTIFS(T_TTAFStock_Log[Part Name],$A55,T_TTAFStock_Log[WeekIndex],30)=0,"",SUMIFS(T_TTAFStock_Log[TTAF_Qty],T_TTAFStock_Log[Part Name],$A55,T_TTAFStock_Log[WeekIndex],30))</f>
        <v/>
      </c>
      <c r="AF55" s="19">
        <f>IF(COUNTIFS(T_TTAFStock_Log[Part Name],$A55,T_TTAFStock_Log[WeekIndex],31)=0,"",SUMIFS(T_TTAFStock_Log[TTAF_Qty],T_TTAFStock_Log[Part Name],$A55,T_TTAFStock_Log[WeekIndex],31))</f>
        <v/>
      </c>
      <c r="AG55" s="19">
        <f>IF(COUNTIFS(T_TTAFStock_Log[Part Name],$A55,T_TTAFStock_Log[WeekIndex],32)=0,"",SUMIFS(T_TTAFStock_Log[TTAF_Qty],T_TTAFStock_Log[Part Name],$A55,T_TTAFStock_Log[WeekIndex],32))</f>
        <v/>
      </c>
      <c r="AH55" s="19">
        <f>IF(COUNTIFS(T_TTAFStock_Log[Part Name],$A55,T_TTAFStock_Log[WeekIndex],33)=0,"",SUMIFS(T_TTAFStock_Log[TTAF_Qty],T_TTAFStock_Log[Part Name],$A55,T_TTAFStock_Log[WeekIndex],33))</f>
        <v/>
      </c>
      <c r="AI55" s="19">
        <f>IF(COUNTIFS(T_TTAFStock_Log[Part Name],$A55,T_TTAFStock_Log[WeekIndex],34)=0,"",SUMIFS(T_TTAFStock_Log[TTAF_Qty],T_TTAFStock_Log[Part Name],$A55,T_TTAFStock_Log[WeekIndex],34))</f>
        <v/>
      </c>
      <c r="AJ55" s="19">
        <f>IF(COUNTIFS(T_TTAFStock_Log[Part Name],$A55,T_TTAFStock_Log[WeekIndex],35)=0,"",SUMIFS(T_TTAFStock_Log[TTAF_Qty],T_TTAFStock_Log[Part Name],$A55,T_TTAFStock_Log[WeekIndex],35))</f>
        <v/>
      </c>
      <c r="AK55" s="19">
        <f>IF(COUNTIFS(T_TTAFStock_Log[Part Name],$A55,T_TTAFStock_Log[WeekIndex],36)=0,"",SUMIFS(T_TTAFStock_Log[TTAF_Qty],T_TTAFStock_Log[Part Name],$A55,T_TTAFStock_Log[WeekIndex],36))</f>
        <v/>
      </c>
      <c r="AL55" s="19">
        <f>IF(COUNTIFS(T_TTAFStock_Log[Part Name],$A55,T_TTAFStock_Log[WeekIndex],37)=0,"",SUMIFS(T_TTAFStock_Log[TTAF_Qty],T_TTAFStock_Log[Part Name],$A55,T_TTAFStock_Log[WeekIndex],37))</f>
        <v/>
      </c>
      <c r="AM55" s="19">
        <f>IF(COUNTIFS(T_TTAFStock_Log[Part Name],$A55,T_TTAFStock_Log[WeekIndex],38)=0,"",SUMIFS(T_TTAFStock_Log[TTAF_Qty],T_TTAFStock_Log[Part Name],$A55,T_TTAFStock_Log[WeekIndex],38))</f>
        <v/>
      </c>
      <c r="AN55" s="19">
        <f>IF(COUNTIFS(T_TTAFStock_Log[Part Name],$A55,T_TTAFStock_Log[WeekIndex],39)=0,"",SUMIFS(T_TTAFStock_Log[TTAF_Qty],T_TTAFStock_Log[Part Name],$A55,T_TTAFStock_Log[WeekIndex],39))</f>
        <v/>
      </c>
      <c r="AO55" s="19">
        <f>IF(COUNTIFS(T_TTAFStock_Log[Part Name],$A55,T_TTAFStock_Log[WeekIndex],40)=0,"",SUMIFS(T_TTAFStock_Log[TTAF_Qty],T_TTAFStock_Log[Part Name],$A55,T_TTAFStock_Log[WeekIndex],40))</f>
        <v/>
      </c>
      <c r="AP55" s="19">
        <f>IF(COUNTIFS(T_TTAFStock_Log[Part Name],$A55,T_TTAFStock_Log[WeekIndex],41)=0,"",SUMIFS(T_TTAFStock_Log[TTAF_Qty],T_TTAFStock_Log[Part Name],$A55,T_TTAFStock_Log[WeekIndex],41))</f>
        <v/>
      </c>
      <c r="AQ55" s="19">
        <f>IF(COUNTIFS(T_TTAFStock_Log[Part Name],$A55,T_TTAFStock_Log[WeekIndex],42)=0,"",SUMIFS(T_TTAFStock_Log[TTAF_Qty],T_TTAFStock_Log[Part Name],$A55,T_TTAFStock_Log[WeekIndex],42))</f>
        <v/>
      </c>
      <c r="AR55" s="19">
        <f>IF(COUNTIFS(T_TTAFStock_Log[Part Name],$A55,T_TTAFStock_Log[WeekIndex],43)=0,"",SUMIFS(T_TTAFStock_Log[TTAF_Qty],T_TTAFStock_Log[Part Name],$A55,T_TTAFStock_Log[WeekIndex],43))</f>
        <v/>
      </c>
      <c r="AS55" s="19">
        <f>IF(COUNTIFS(T_TTAFStock_Log[Part Name],$A55,T_TTAFStock_Log[WeekIndex],44)=0,"",SUMIFS(T_TTAFStock_Log[TTAF_Qty],T_TTAFStock_Log[Part Name],$A55,T_TTAFStock_Log[WeekIndex],44))</f>
        <v/>
      </c>
      <c r="AT55" s="19">
        <f>IF(COUNTIFS(T_TTAFStock_Log[Part Name],$A55,T_TTAFStock_Log[WeekIndex],45)=0,"",SUMIFS(T_TTAFStock_Log[TTAF_Qty],T_TTAFStock_Log[Part Name],$A55,T_TTAFStock_Log[WeekIndex],45))</f>
        <v/>
      </c>
      <c r="AU55" s="19">
        <f>IF(COUNTIFS(T_TTAFStock_Log[Part Name],$A55,T_TTAFStock_Log[WeekIndex],46)=0,"",SUMIFS(T_TTAFStock_Log[TTAF_Qty],T_TTAFStock_Log[Part Name],$A55,T_TTAFStock_Log[WeekIndex],46))</f>
        <v/>
      </c>
      <c r="AV55" s="19">
        <f>IF(COUNTIFS(T_TTAFStock_Log[Part Name],$A55,T_TTAFStock_Log[WeekIndex],47)=0,"",SUMIFS(T_TTAFStock_Log[TTAF_Qty],T_TTAFStock_Log[Part Name],$A55,T_TTAFStock_Log[WeekIndex],47))</f>
        <v/>
      </c>
      <c r="AW55" s="19">
        <f>IF(COUNTIFS(T_TTAFStock_Log[Part Name],$A55,T_TTAFStock_Log[WeekIndex],48)=0,"",SUMIFS(T_TTAFStock_Log[TTAF_Qty],T_TTAFStock_Log[Part Name],$A55,T_TTAFStock_Log[WeekIndex],48))</f>
        <v/>
      </c>
      <c r="AX55" s="19">
        <f>IF(COUNTIFS(T_TTAFStock_Log[Part Name],$A55,T_TTAFStock_Log[WeekIndex],49)=0,"",SUMIFS(T_TTAFStock_Log[TTAF_Qty],T_TTAFStock_Log[Part Name],$A55,T_TTAFStock_Log[WeekIndex],49))</f>
        <v/>
      </c>
      <c r="AY55" s="19">
        <f>IF(COUNTIFS(T_TTAFStock_Log[Part Name],$A55,T_TTAFStock_Log[WeekIndex],50)=0,"",SUMIFS(T_TTAFStock_Log[TTAF_Qty],T_TTAFStock_Log[Part Name],$A55,T_TTAFStock_Log[WeekIndex],50))</f>
        <v/>
      </c>
      <c r="AZ55" s="19">
        <f>IF(COUNTIFS(T_TTAFStock_Log[Part Name],$A55,T_TTAFStock_Log[WeekIndex],51)=0,"",SUMIFS(T_TTAFStock_Log[TTAF_Qty],T_TTAFStock_Log[Part Name],$A55,T_TTAFStock_Log[WeekIndex],51))</f>
        <v/>
      </c>
      <c r="BA55" s="19">
        <f>IF(COUNTIFS(T_TTAFStock_Log[Part Name],$A55,T_TTAFStock_Log[WeekIndex],52)=0,"",SUMIFS(T_TTAFStock_Log[TTAF_Qty],T_TTAFStock_Log[Part Name],$A55,T_TTAFStock_Log[WeekIndex],52))</f>
        <v/>
      </c>
      <c r="BB55" s="19">
        <f>IF(COUNTIFS(T_TTAFStock_Log[Part Name],$A55,T_TTAFStock_Log[WeekIndex],53)=0,"",SUMIFS(T_TTAFStock_Log[TTAF_Qty],T_TTAFStock_Log[Part Name],$A55,T_TTAFStock_Log[WeekIndex],53))</f>
        <v/>
      </c>
      <c r="BC55" s="19">
        <f>IF(COUNTIFS(T_TTAFStock_Log[Part Name],$A55,T_TTAFStock_Log[WeekIndex],54)=0,"",SUMIFS(T_TTAFStock_Log[TTAF_Qty],T_TTAFStock_Log[Part Name],$A55,T_TTAFStock_Log[WeekIndex],54))</f>
        <v/>
      </c>
      <c r="BD55" s="19">
        <f>IF(COUNTIFS(T_TTAFStock_Log[Part Name],$A55,T_TTAFStock_Log[WeekIndex],55)=0,"",SUMIFS(T_TTAFStock_Log[TTAF_Qty],T_TTAFStock_Log[Part Name],$A55,T_TTAFStock_Log[WeekIndex],55))</f>
        <v/>
      </c>
      <c r="BE55" s="19">
        <f>IF(COUNTIFS(T_TTAFStock_Log[Part Name],$A55,T_TTAFStock_Log[WeekIndex],56)=0,"",SUMIFS(T_TTAFStock_Log[TTAF_Qty],T_TTAFStock_Log[Part Name],$A55,T_TTAFStock_Log[WeekIndex],56))</f>
        <v/>
      </c>
      <c r="BF55" s="19">
        <f>IF(COUNTIFS(T_TTAFStock_Log[Part Name],$A55,T_TTAFStock_Log[WeekIndex],57)=0,"",SUMIFS(T_TTAFStock_Log[TTAF_Qty],T_TTAFStock_Log[Part Name],$A55,T_TTAFStock_Log[WeekIndex],57))</f>
        <v/>
      </c>
      <c r="BG55" s="19">
        <f>IF(COUNTIFS(T_TTAFStock_Log[Part Name],$A55,T_TTAFStock_Log[WeekIndex],58)=0,"",SUMIFS(T_TTAFStock_Log[TTAF_Qty],T_TTAFStock_Log[Part Name],$A55,T_TTAFStock_Log[WeekIndex],58))</f>
        <v/>
      </c>
      <c r="BH55" s="19">
        <f>IF(COUNTIFS(T_TTAFStock_Log[Part Name],$A55,T_TTAFStock_Log[WeekIndex],59)=0,"",SUMIFS(T_TTAFStock_Log[TTAF_Qty],T_TTAFStock_Log[Part Name],$A55,T_TTAFStock_Log[WeekIndex],59))</f>
        <v/>
      </c>
      <c r="BI55" s="19">
        <f>IF(COUNTIFS(T_TTAFStock_Log[Part Name],$A55,T_TTAFStock_Log[WeekIndex],60)=0,"",SUMIFS(T_TTAFStock_Log[TTAF_Qty],T_TTAFStock_Log[Part Name],$A55,T_TTAFStock_Log[WeekIndex],60))</f>
        <v/>
      </c>
      <c r="BJ55" s="19">
        <f>IF(COUNTIFS(T_TTAFStock_Log[Part Name],$A55,T_TTAFStock_Log[WeekIndex],61)=0,"",SUMIFS(T_TTAFStock_Log[TTAF_Qty],T_TTAFStock_Log[Part Name],$A55,T_TTAFStock_Log[WeekIndex],61))</f>
        <v/>
      </c>
      <c r="BK55" s="19">
        <f>IF(COUNTIFS(T_TTAFStock_Log[Part Name],$A55,T_TTAFStock_Log[WeekIndex],62)=0,"",SUMIFS(T_TTAFStock_Log[TTAF_Qty],T_TTAFStock_Log[Part Name],$A55,T_TTAFStock_Log[WeekIndex],62))</f>
        <v/>
      </c>
      <c r="BL55" s="19">
        <f>IF(COUNTIFS(T_TTAFStock_Log[Part Name],$A55,T_TTAFStock_Log[WeekIndex],63)=0,"",SUMIFS(T_TTAFStock_Log[TTAF_Qty],T_TTAFStock_Log[Part Name],$A55,T_TTAFStock_Log[WeekIndex],63))</f>
        <v/>
      </c>
      <c r="BM55" s="19">
        <f>IF(COUNTIFS(T_TTAFStock_Log[Part Name],$A55,T_TTAFStock_Log[WeekIndex],64)=0,"",SUMIFS(T_TTAFStock_Log[TTAF_Qty],T_TTAFStock_Log[Part Name],$A55,T_TTAFStock_Log[WeekIndex],64))</f>
        <v/>
      </c>
      <c r="BN55" s="19">
        <f>IF(COUNTIFS(T_TTAFStock_Log[Part Name],$A55,T_TTAFStock_Log[WeekIndex],65)=0,"",SUMIFS(T_TTAFStock_Log[TTAF_Qty],T_TTAFStock_Log[Part Name],$A55,T_TTAFStock_Log[WeekIndex],65))</f>
        <v/>
      </c>
      <c r="BO55" s="19">
        <f>IF(COUNTIFS(T_TTAFStock_Log[Part Name],$A55,T_TTAFStock_Log[WeekIndex],66)=0,"",SUMIFS(T_TTAFStock_Log[TTAF_Qty],T_TTAFStock_Log[Part Name],$A55,T_TTAFStock_Log[WeekIndex],66))</f>
        <v/>
      </c>
      <c r="BP55" s="19">
        <f>IF(COUNTIFS(T_TTAFStock_Log[Part Name],$A55,T_TTAFStock_Log[WeekIndex],67)=0,"",SUMIFS(T_TTAFStock_Log[TTAF_Qty],T_TTAFStock_Log[Part Name],$A55,T_TTAFStock_Log[WeekIndex],67))</f>
        <v/>
      </c>
      <c r="BQ55" s="19">
        <f>IF(COUNTIFS(T_TTAFStock_Log[Part Name],$A55,T_TTAFStock_Log[WeekIndex],68)=0,"",SUMIFS(T_TTAFStock_Log[TTAF_Qty],T_TTAFStock_Log[Part Name],$A55,T_TTAFStock_Log[WeekIndex],68))</f>
        <v/>
      </c>
      <c r="BR55" s="19">
        <f>IF(COUNTIFS(T_TTAFStock_Log[Part Name],$A55,T_TTAFStock_Log[WeekIndex],69)=0,"",SUMIFS(T_TTAFStock_Log[TTAF_Qty],T_TTAFStock_Log[Part Name],$A55,T_TTAFStock_Log[WeekIndex],69))</f>
        <v/>
      </c>
      <c r="BS55" s="19">
        <f>IF(COUNTIFS(T_TTAFStock_Log[Part Name],$A55,T_TTAFStock_Log[WeekIndex],70)=0,"",SUMIFS(T_TTAFStock_Log[TTAF_Qty],T_TTAFStock_Log[Part Name],$A55,T_TTAFStock_Log[WeekIndex],70))</f>
        <v/>
      </c>
      <c r="BT55" s="19">
        <f>IF(COUNTIFS(T_TTAFStock_Log[Part Name],$A55,T_TTAFStock_Log[WeekIndex],71)=0,"",SUMIFS(T_TTAFStock_Log[TTAF_Qty],T_TTAFStock_Log[Part Name],$A55,T_TTAFStock_Log[WeekIndex],71))</f>
        <v/>
      </c>
      <c r="BU55" s="19">
        <f>IF(COUNTIFS(T_TTAFStock_Log[Part Name],$A55,T_TTAFStock_Log[WeekIndex],72)=0,"",SUMIFS(T_TTAFStock_Log[TTAF_Qty],T_TTAFStock_Log[Part Name],$A55,T_TTAFStock_Log[WeekIndex],72))</f>
        <v/>
      </c>
      <c r="BV55" s="19">
        <f>IF(COUNTIFS(T_TTAFStock_Log[Part Name],$A55,T_TTAFStock_Log[WeekIndex],73)=0,"",SUMIFS(T_TTAFStock_Log[TTAF_Qty],T_TTAFStock_Log[Part Name],$A55,T_TTAFStock_Log[WeekIndex],73))</f>
        <v/>
      </c>
      <c r="BW55" s="19">
        <f>IF(COUNTIFS(T_TTAFStock_Log[Part Name],$A55,T_TTAFStock_Log[WeekIndex],74)=0,"",SUMIFS(T_TTAFStock_Log[TTAF_Qty],T_TTAFStock_Log[Part Name],$A55,T_TTAFStock_Log[WeekIndex],74))</f>
        <v/>
      </c>
      <c r="BX55" s="19">
        <f>IF(COUNTIFS(T_TTAFStock_Log[Part Name],$A55,T_TTAFStock_Log[WeekIndex],75)=0,"",SUMIFS(T_TTAFStock_Log[TTAF_Qty],T_TTAFStock_Log[Part Name],$A55,T_TTAFStock_Log[WeekIndex],75))</f>
        <v/>
      </c>
      <c r="BY55" s="19">
        <f>IF(COUNTIFS(T_TTAFStock_Log[Part Name],$A55,T_TTAFStock_Log[WeekIndex],76)=0,"",SUMIFS(T_TTAFStock_Log[TTAF_Qty],T_TTAFStock_Log[Part Name],$A55,T_TTAFStock_Log[WeekIndex],76))</f>
        <v/>
      </c>
      <c r="BZ55" s="19">
        <f>IF(COUNTIFS(T_TTAFStock_Log[Part Name],$A55,T_TTAFStock_Log[WeekIndex],77)=0,"",SUMIFS(T_TTAFStock_Log[TTAF_Qty],T_TTAFStock_Log[Part Name],$A55,T_TTAFStock_Log[WeekIndex],77))</f>
        <v/>
      </c>
      <c r="CA55" s="19">
        <f>IF(COUNTIFS(T_TTAFStock_Log[Part Name],$A55,T_TTAFStock_Log[WeekIndex],78)=0,"",SUMIFS(T_TTAFStock_Log[TTAF_Qty],T_TTAFStock_Log[Part Name],$A55,T_TTAFStock_Log[WeekIndex],78))</f>
        <v/>
      </c>
      <c r="CB55" s="19">
        <f>IF(COUNTIFS(T_TTAFStock_Log[Part Name],$A55,T_TTAFStock_Log[WeekIndex],79)=0,"",SUMIFS(T_TTAFStock_Log[TTAF_Qty],T_TTAFStock_Log[Part Name],$A55,T_TTAFStock_Log[WeekIndex],79))</f>
        <v/>
      </c>
      <c r="CC55" s="19">
        <f>IF(COUNTIFS(T_TTAFStock_Log[Part Name],$A55,T_TTAFStock_Log[WeekIndex],80)=0,"",SUMIFS(T_TTAFStock_Log[TTAF_Qty],T_TTAFStock_Log[Part Name],$A55,T_TTAFStock_Log[WeekIndex],80))</f>
        <v/>
      </c>
      <c r="CD55" s="19">
        <f>IF(COUNTIFS(T_TTAFStock_Log[Part Name],$A55,T_TTAFStock_Log[WeekIndex],81)=0,"",SUMIFS(T_TTAFStock_Log[TTAF_Qty],T_TTAFStock_Log[Part Name],$A55,T_TTAFStock_Log[WeekIndex],81))</f>
        <v/>
      </c>
      <c r="CE55" s="19">
        <f>IF(COUNTIFS(T_TTAFStock_Log[Part Name],$A55,T_TTAFStock_Log[WeekIndex],82)=0,"",SUMIFS(T_TTAFStock_Log[TTAF_Qty],T_TTAFStock_Log[Part Name],$A55,T_TTAFStock_Log[WeekIndex],82))</f>
        <v/>
      </c>
      <c r="CF55" s="19">
        <f>IF(COUNTIFS(T_TTAFStock_Log[Part Name],$A55,T_TTAFStock_Log[WeekIndex],83)=0,"",SUMIFS(T_TTAFStock_Log[TTAF_Qty],T_TTAFStock_Log[Part Name],$A55,T_TTAFStock_Log[WeekIndex],83))</f>
        <v/>
      </c>
      <c r="CG55" s="19">
        <f>IF(COUNTIFS(T_TTAFStock_Log[Part Name],$A55,T_TTAFStock_Log[WeekIndex],84)=0,"",SUMIFS(T_TTAFStock_Log[TTAF_Qty],T_TTAFStock_Log[Part Name],$A55,T_TTAFStock_Log[WeekIndex],84))</f>
        <v/>
      </c>
      <c r="CH55" s="19">
        <f>IF(COUNTIFS(T_TTAFStock_Log[Part Name],$A55,T_TTAFStock_Log[WeekIndex],85)=0,"",SUMIFS(T_TTAFStock_Log[TTAF_Qty],T_TTAFStock_Log[Part Name],$A55,T_TTAFStock_Log[WeekIndex],85))</f>
        <v/>
      </c>
      <c r="CI55" s="19">
        <f>IF(COUNTIFS(T_TTAFStock_Log[Part Name],$A55,T_TTAFStock_Log[WeekIndex],86)=0,"",SUMIFS(T_TTAFStock_Log[TTAF_Qty],T_TTAFStock_Log[Part Name],$A55,T_TTAFStock_Log[WeekIndex],86))</f>
        <v/>
      </c>
      <c r="CJ55" s="19">
        <f>IF(COUNTIFS(T_TTAFStock_Log[Part Name],$A55,T_TTAFStock_Log[WeekIndex],87)=0,"",SUMIFS(T_TTAFStock_Log[TTAF_Qty],T_TTAFStock_Log[Part Name],$A55,T_TTAFStock_Log[WeekIndex],87))</f>
        <v/>
      </c>
      <c r="CK55" s="19">
        <f>IF(COUNTIFS(T_TTAFStock_Log[Part Name],$A55,T_TTAFStock_Log[WeekIndex],88)=0,"",SUMIFS(T_TTAFStock_Log[TTAF_Qty],T_TTAFStock_Log[Part Name],$A55,T_TTAFStock_Log[WeekIndex],88))</f>
        <v/>
      </c>
      <c r="CL55" s="19">
        <f>IF(COUNTIFS(T_TTAFStock_Log[Part Name],$A55,T_TTAFStock_Log[WeekIndex],89)=0,"",SUMIFS(T_TTAFStock_Log[TTAF_Qty],T_TTAFStock_Log[Part Name],$A55,T_TTAFStock_Log[WeekIndex],89))</f>
        <v/>
      </c>
      <c r="CM55" s="19">
        <f>IF(COUNTIFS(T_TTAFStock_Log[Part Name],$A55,T_TTAFStock_Log[WeekIndex],90)=0,"",SUMIFS(T_TTAFStock_Log[TTAF_Qty],T_TTAFStock_Log[Part Name],$A55,T_TTAFStock_Log[WeekIndex],90))</f>
        <v/>
      </c>
      <c r="CN55" s="19">
        <f>IF(COUNTIFS(T_TTAFStock_Log[Part Name],$A55,T_TTAFStock_Log[WeekIndex],91)=0,"",SUMIFS(T_TTAFStock_Log[TTAF_Qty],T_TTAFStock_Log[Part Name],$A55,T_TTAFStock_Log[WeekIndex],91))</f>
        <v/>
      </c>
      <c r="CO55" s="19">
        <f>IF(COUNTIFS(T_TTAFStock_Log[Part Name],$A55,T_TTAFStock_Log[WeekIndex],92)=0,"",SUMIFS(T_TTAFStock_Log[TTAF_Qty],T_TTAFStock_Log[Part Name],$A55,T_TTAFStock_Log[WeekIndex],92))</f>
        <v/>
      </c>
      <c r="CP55" s="19">
        <f>IF(COUNTIFS(T_TTAFStock_Log[Part Name],$A55,T_TTAFStock_Log[WeekIndex],93)=0,"",SUMIFS(T_TTAFStock_Log[TTAF_Qty],T_TTAFStock_Log[Part Name],$A55,T_TTAFStock_Log[WeekIndex],93))</f>
        <v/>
      </c>
      <c r="CQ55" s="19">
        <f>IF(COUNTIFS(T_TTAFStock_Log[Part Name],$A55,T_TTAFStock_Log[WeekIndex],94)=0,"",SUMIFS(T_TTAFStock_Log[TTAF_Qty],T_TTAFStock_Log[Part Name],$A55,T_TTAFStock_Log[WeekIndex],94))</f>
        <v/>
      </c>
      <c r="CR55" s="19">
        <f>IF(COUNTIFS(T_TTAFStock_Log[Part Name],$A55,T_TTAFStock_Log[WeekIndex],95)=0,"",SUMIFS(T_TTAFStock_Log[TTAF_Qty],T_TTAFStock_Log[Part Name],$A55,T_TTAFStock_Log[WeekIndex],95))</f>
        <v/>
      </c>
      <c r="CS55" s="19">
        <f>IF(COUNTIFS(T_TTAFStock_Log[Part Name],$A55,T_TTAFStock_Log[WeekIndex],96)=0,"",SUMIFS(T_TTAFStock_Log[TTAF_Qty],T_TTAFStock_Log[Part Name],$A55,T_TTAFStock_Log[WeekIndex],96))</f>
        <v/>
      </c>
      <c r="CT55" s="19">
        <f>IF(COUNTIFS(T_TTAFStock_Log[Part Name],$A55,T_TTAFStock_Log[WeekIndex],97)=0,"",SUMIFS(T_TTAFStock_Log[TTAF_Qty],T_TTAFStock_Log[Part Name],$A55,T_TTAFStock_Log[WeekIndex],97))</f>
        <v/>
      </c>
      <c r="CU55" s="19">
        <f>IF(COUNTIFS(T_TTAFStock_Log[Part Name],$A55,T_TTAFStock_Log[WeekIndex],98)=0,"",SUMIFS(T_TTAFStock_Log[TTAF_Qty],T_TTAFStock_Log[Part Name],$A55,T_TTAFStock_Log[WeekIndex],98))</f>
        <v/>
      </c>
      <c r="CV55" s="19">
        <f>IF(COUNTIFS(T_TTAFStock_Log[Part Name],$A55,T_TTAFStock_Log[WeekIndex],99)=0,"",SUMIFS(T_TTAFStock_Log[TTAF_Qty],T_TTAFStock_Log[Part Name],$A55,T_TTAFStock_Log[WeekIndex],99))</f>
        <v/>
      </c>
      <c r="CW55" s="19">
        <f>IF(COUNTIFS(T_TTAFStock_Log[Part Name],$A55,T_TTAFStock_Log[WeekIndex],100)=0,"",SUMIFS(T_TTAFStock_Log[TTAF_Qty],T_TTAFStock_Log[Part Name],$A55,T_TTAFStock_Log[WeekIndex],100))</f>
        <v/>
      </c>
      <c r="CX55" s="19">
        <f>IF(COUNTIFS(T_TTAFStock_Log[Part Name],$A55,T_TTAFStock_Log[WeekIndex],101)=0,"",SUMIFS(T_TTAFStock_Log[TTAF_Qty],T_TTAFStock_Log[Part Name],$A55,T_TTAFStock_Log[WeekIndex],101))</f>
        <v/>
      </c>
      <c r="CY55" s="19">
        <f>IF(COUNTIFS(T_TTAFStock_Log[Part Name],$A55,T_TTAFStock_Log[WeekIndex],102)=0,"",SUMIFS(T_TTAFStock_Log[TTAF_Qty],T_TTAFStock_Log[Part Name],$A55,T_TTAFStock_Log[WeekIndex],102))</f>
        <v/>
      </c>
      <c r="CZ55" s="19">
        <f>IF(COUNTIFS(T_TTAFStock_Log[Part Name],$A55,T_TTAFStock_Log[WeekIndex],103)=0,"",SUMIFS(T_TTAFStock_Log[TTAF_Qty],T_TTAFStock_Log[Part Name],$A55,T_TTAFStock_Log[WeekIndex],103))</f>
        <v/>
      </c>
      <c r="DA55" s="19">
        <f>IF(COUNTIFS(T_TTAFStock_Log[Part Name],$A55,T_TTAFStock_Log[WeekIndex],104)=0,"",SUMIFS(T_TTAFStock_Log[TTAF_Qty],T_TTAFStock_Log[Part Name],$A55,T_TTAFStock_Log[WeekIndex],104))</f>
        <v/>
      </c>
    </row>
    <row r="56">
      <c r="A56" s="17" t="inlineStr">
        <is>
          <t>Original Towel</t>
        </is>
      </c>
      <c r="B56" s="17">
        <f>IF(COUNTIFS(T_TTAFStock_Log[Part Name],$A56,T_TTAFStock_Log[WeekIndex],1)=0,"",SUMIFS(T_TTAFStock_Log[TTAF_Qty],T_TTAFStock_Log[Part Name],$A56,T_TTAFStock_Log[WeekIndex],1))</f>
        <v/>
      </c>
      <c r="C56" s="17">
        <f>IF(COUNTIFS(T_TTAFStock_Log[Part Name],$A56,T_TTAFStock_Log[WeekIndex],2)=0,"",SUMIFS(T_TTAFStock_Log[TTAF_Qty],T_TTAFStock_Log[Part Name],$A56,T_TTAFStock_Log[WeekIndex],2))</f>
        <v/>
      </c>
      <c r="D56" s="17">
        <f>IF(COUNTIFS(T_TTAFStock_Log[Part Name],$A56,T_TTAFStock_Log[WeekIndex],3)=0,"",SUMIFS(T_TTAFStock_Log[TTAF_Qty],T_TTAFStock_Log[Part Name],$A56,T_TTAFStock_Log[WeekIndex],3))</f>
        <v/>
      </c>
      <c r="E56" s="17">
        <f>IF(COUNTIFS(T_TTAFStock_Log[Part Name],$A56,T_TTAFStock_Log[WeekIndex],4)=0,"",SUMIFS(T_TTAFStock_Log[TTAF_Qty],T_TTAFStock_Log[Part Name],$A56,T_TTAFStock_Log[WeekIndex],4))</f>
        <v/>
      </c>
      <c r="F56" s="17">
        <f>IF(COUNTIFS(T_TTAFStock_Log[Part Name],$A56,T_TTAFStock_Log[WeekIndex],5)=0,"",SUMIFS(T_TTAFStock_Log[TTAF_Qty],T_TTAFStock_Log[Part Name],$A56,T_TTAFStock_Log[WeekIndex],5))</f>
        <v/>
      </c>
      <c r="G56" s="17">
        <f>IF(COUNTIFS(T_TTAFStock_Log[Part Name],$A56,T_TTAFStock_Log[WeekIndex],6)=0,"",SUMIFS(T_TTAFStock_Log[TTAF_Qty],T_TTAFStock_Log[Part Name],$A56,T_TTAFStock_Log[WeekIndex],6))</f>
        <v/>
      </c>
      <c r="H56" s="17">
        <f>IF(COUNTIFS(T_TTAFStock_Log[Part Name],$A56,T_TTAFStock_Log[WeekIndex],7)=0,"",SUMIFS(T_TTAFStock_Log[TTAF_Qty],T_TTAFStock_Log[Part Name],$A56,T_TTAFStock_Log[WeekIndex],7))</f>
        <v/>
      </c>
      <c r="I56" s="17">
        <f>IF(COUNTIFS(T_TTAFStock_Log[Part Name],$A56,T_TTAFStock_Log[WeekIndex],8)=0,"",SUMIFS(T_TTAFStock_Log[TTAF_Qty],T_TTAFStock_Log[Part Name],$A56,T_TTAFStock_Log[WeekIndex],8))</f>
        <v/>
      </c>
      <c r="J56" s="17">
        <f>IF(COUNTIFS(T_TTAFStock_Log[Part Name],$A56,T_TTAFStock_Log[WeekIndex],9)=0,"",SUMIFS(T_TTAFStock_Log[TTAF_Qty],T_TTAFStock_Log[Part Name],$A56,T_TTAFStock_Log[WeekIndex],9))</f>
        <v/>
      </c>
      <c r="K56" s="17">
        <f>IF(COUNTIFS(T_TTAFStock_Log[Part Name],$A56,T_TTAFStock_Log[WeekIndex],10)=0,"",SUMIFS(T_TTAFStock_Log[TTAF_Qty],T_TTAFStock_Log[Part Name],$A56,T_TTAFStock_Log[WeekIndex],10))</f>
        <v/>
      </c>
      <c r="L56" s="17">
        <f>IF(COUNTIFS(T_TTAFStock_Log[Part Name],$A56,T_TTAFStock_Log[WeekIndex],11)=0,"",SUMIFS(T_TTAFStock_Log[TTAF_Qty],T_TTAFStock_Log[Part Name],$A56,T_TTAFStock_Log[WeekIndex],11))</f>
        <v/>
      </c>
      <c r="M56" s="17">
        <f>IF(COUNTIFS(T_TTAFStock_Log[Part Name],$A56,T_TTAFStock_Log[WeekIndex],12)=0,"",SUMIFS(T_TTAFStock_Log[TTAF_Qty],T_TTAFStock_Log[Part Name],$A56,T_TTAFStock_Log[WeekIndex],12))</f>
        <v/>
      </c>
      <c r="N56" s="17">
        <f>IF(COUNTIFS(T_TTAFStock_Log[Part Name],$A56,T_TTAFStock_Log[WeekIndex],13)=0,"",SUMIFS(T_TTAFStock_Log[TTAF_Qty],T_TTAFStock_Log[Part Name],$A56,T_TTAFStock_Log[WeekIndex],13))</f>
        <v/>
      </c>
      <c r="O56" s="17">
        <f>IF(COUNTIFS(T_TTAFStock_Log[Part Name],$A56,T_TTAFStock_Log[WeekIndex],14)=0,"",SUMIFS(T_TTAFStock_Log[TTAF_Qty],T_TTAFStock_Log[Part Name],$A56,T_TTAFStock_Log[WeekIndex],14))</f>
        <v/>
      </c>
      <c r="P56" s="17">
        <f>IF(COUNTIFS(T_TTAFStock_Log[Part Name],$A56,T_TTAFStock_Log[WeekIndex],15)=0,"",SUMIFS(T_TTAFStock_Log[TTAF_Qty],T_TTAFStock_Log[Part Name],$A56,T_TTAFStock_Log[WeekIndex],15))</f>
        <v/>
      </c>
      <c r="Q56" s="17">
        <f>IF(COUNTIFS(T_TTAFStock_Log[Part Name],$A56,T_TTAFStock_Log[WeekIndex],16)=0,"",SUMIFS(T_TTAFStock_Log[TTAF_Qty],T_TTAFStock_Log[Part Name],$A56,T_TTAFStock_Log[WeekIndex],16))</f>
        <v/>
      </c>
      <c r="R56" s="17">
        <f>IF(COUNTIFS(T_TTAFStock_Log[Part Name],$A56,T_TTAFStock_Log[WeekIndex],17)=0,"",SUMIFS(T_TTAFStock_Log[TTAF_Qty],T_TTAFStock_Log[Part Name],$A56,T_TTAFStock_Log[WeekIndex],17))</f>
        <v/>
      </c>
      <c r="S56" s="17">
        <f>IF(COUNTIFS(T_TTAFStock_Log[Part Name],$A56,T_TTAFStock_Log[WeekIndex],18)=0,"",SUMIFS(T_TTAFStock_Log[TTAF_Qty],T_TTAFStock_Log[Part Name],$A56,T_TTAFStock_Log[WeekIndex],18))</f>
        <v/>
      </c>
      <c r="T56" s="17">
        <f>IF(COUNTIFS(T_TTAFStock_Log[Part Name],$A56,T_TTAFStock_Log[WeekIndex],19)=0,"",SUMIFS(T_TTAFStock_Log[TTAF_Qty],T_TTAFStock_Log[Part Name],$A56,T_TTAFStock_Log[WeekIndex],19))</f>
        <v/>
      </c>
      <c r="U56" s="17">
        <f>IF(COUNTIFS(T_TTAFStock_Log[Part Name],$A56,T_TTAFStock_Log[WeekIndex],20)=0,"",SUMIFS(T_TTAFStock_Log[TTAF_Qty],T_TTAFStock_Log[Part Name],$A56,T_TTAFStock_Log[WeekIndex],20))</f>
        <v/>
      </c>
      <c r="V56" s="17">
        <f>IF(COUNTIFS(T_TTAFStock_Log[Part Name],$A56,T_TTAFStock_Log[WeekIndex],21)=0,"",SUMIFS(T_TTAFStock_Log[TTAF_Qty],T_TTAFStock_Log[Part Name],$A56,T_TTAFStock_Log[WeekIndex],21))</f>
        <v/>
      </c>
      <c r="W56" s="17">
        <f>IF(COUNTIFS(T_TTAFStock_Log[Part Name],$A56,T_TTAFStock_Log[WeekIndex],22)=0,"",SUMIFS(T_TTAFStock_Log[TTAF_Qty],T_TTAFStock_Log[Part Name],$A56,T_TTAFStock_Log[WeekIndex],22))</f>
        <v/>
      </c>
      <c r="X56" s="17">
        <f>IF(COUNTIFS(T_TTAFStock_Log[Part Name],$A56,T_TTAFStock_Log[WeekIndex],23)=0,"",SUMIFS(T_TTAFStock_Log[TTAF_Qty],T_TTAFStock_Log[Part Name],$A56,T_TTAFStock_Log[WeekIndex],23))</f>
        <v/>
      </c>
      <c r="Y56" s="17">
        <f>IF(COUNTIFS(T_TTAFStock_Log[Part Name],$A56,T_TTAFStock_Log[WeekIndex],24)=0,"",SUMIFS(T_TTAFStock_Log[TTAF_Qty],T_TTAFStock_Log[Part Name],$A56,T_TTAFStock_Log[WeekIndex],24))</f>
        <v/>
      </c>
      <c r="Z56" s="17">
        <f>IF(COUNTIFS(T_TTAFStock_Log[Part Name],$A56,T_TTAFStock_Log[WeekIndex],25)=0,"",SUMIFS(T_TTAFStock_Log[TTAF_Qty],T_TTAFStock_Log[Part Name],$A56,T_TTAFStock_Log[WeekIndex],25))</f>
        <v/>
      </c>
      <c r="AA56" s="17">
        <f>IF(COUNTIFS(T_TTAFStock_Log[Part Name],$A56,T_TTAFStock_Log[WeekIndex],26)=0,"",SUMIFS(T_TTAFStock_Log[TTAF_Qty],T_TTAFStock_Log[Part Name],$A56,T_TTAFStock_Log[WeekIndex],26))</f>
        <v/>
      </c>
      <c r="AB56" s="17">
        <f>IF(COUNTIFS(T_TTAFStock_Log[Part Name],$A56,T_TTAFStock_Log[WeekIndex],27)=0,"",SUMIFS(T_TTAFStock_Log[TTAF_Qty],T_TTAFStock_Log[Part Name],$A56,T_TTAFStock_Log[WeekIndex],27))</f>
        <v/>
      </c>
      <c r="AC56" s="17">
        <f>IF(COUNTIFS(T_TTAFStock_Log[Part Name],$A56,T_TTAFStock_Log[WeekIndex],28)=0,"",SUMIFS(T_TTAFStock_Log[TTAF_Qty],T_TTAFStock_Log[Part Name],$A56,T_TTAFStock_Log[WeekIndex],28))</f>
        <v/>
      </c>
      <c r="AD56" s="17">
        <f>IF(COUNTIFS(T_TTAFStock_Log[Part Name],$A56,T_TTAFStock_Log[WeekIndex],29)=0,"",SUMIFS(T_TTAFStock_Log[TTAF_Qty],T_TTAFStock_Log[Part Name],$A56,T_TTAFStock_Log[WeekIndex],29))</f>
        <v/>
      </c>
      <c r="AE56" s="17">
        <f>IF(COUNTIFS(T_TTAFStock_Log[Part Name],$A56,T_TTAFStock_Log[WeekIndex],30)=0,"",SUMIFS(T_TTAFStock_Log[TTAF_Qty],T_TTAFStock_Log[Part Name],$A56,T_TTAFStock_Log[WeekIndex],30))</f>
        <v/>
      </c>
      <c r="AF56" s="17">
        <f>IF(COUNTIFS(T_TTAFStock_Log[Part Name],$A56,T_TTAFStock_Log[WeekIndex],31)=0,"",SUMIFS(T_TTAFStock_Log[TTAF_Qty],T_TTAFStock_Log[Part Name],$A56,T_TTAFStock_Log[WeekIndex],31))</f>
        <v/>
      </c>
      <c r="AG56" s="17">
        <f>IF(COUNTIFS(T_TTAFStock_Log[Part Name],$A56,T_TTAFStock_Log[WeekIndex],32)=0,"",SUMIFS(T_TTAFStock_Log[TTAF_Qty],T_TTAFStock_Log[Part Name],$A56,T_TTAFStock_Log[WeekIndex],32))</f>
        <v/>
      </c>
      <c r="AH56" s="17">
        <f>IF(COUNTIFS(T_TTAFStock_Log[Part Name],$A56,T_TTAFStock_Log[WeekIndex],33)=0,"",SUMIFS(T_TTAFStock_Log[TTAF_Qty],T_TTAFStock_Log[Part Name],$A56,T_TTAFStock_Log[WeekIndex],33))</f>
        <v/>
      </c>
      <c r="AI56" s="17">
        <f>IF(COUNTIFS(T_TTAFStock_Log[Part Name],$A56,T_TTAFStock_Log[WeekIndex],34)=0,"",SUMIFS(T_TTAFStock_Log[TTAF_Qty],T_TTAFStock_Log[Part Name],$A56,T_TTAFStock_Log[WeekIndex],34))</f>
        <v/>
      </c>
      <c r="AJ56" s="17">
        <f>IF(COUNTIFS(T_TTAFStock_Log[Part Name],$A56,T_TTAFStock_Log[WeekIndex],35)=0,"",SUMIFS(T_TTAFStock_Log[TTAF_Qty],T_TTAFStock_Log[Part Name],$A56,T_TTAFStock_Log[WeekIndex],35))</f>
        <v/>
      </c>
      <c r="AK56" s="17">
        <f>IF(COUNTIFS(T_TTAFStock_Log[Part Name],$A56,T_TTAFStock_Log[WeekIndex],36)=0,"",SUMIFS(T_TTAFStock_Log[TTAF_Qty],T_TTAFStock_Log[Part Name],$A56,T_TTAFStock_Log[WeekIndex],36))</f>
        <v/>
      </c>
      <c r="AL56" s="17">
        <f>IF(COUNTIFS(T_TTAFStock_Log[Part Name],$A56,T_TTAFStock_Log[WeekIndex],37)=0,"",SUMIFS(T_TTAFStock_Log[TTAF_Qty],T_TTAFStock_Log[Part Name],$A56,T_TTAFStock_Log[WeekIndex],37))</f>
        <v/>
      </c>
      <c r="AM56" s="17">
        <f>IF(COUNTIFS(T_TTAFStock_Log[Part Name],$A56,T_TTAFStock_Log[WeekIndex],38)=0,"",SUMIFS(T_TTAFStock_Log[TTAF_Qty],T_TTAFStock_Log[Part Name],$A56,T_TTAFStock_Log[WeekIndex],38))</f>
        <v/>
      </c>
      <c r="AN56" s="17">
        <f>IF(COUNTIFS(T_TTAFStock_Log[Part Name],$A56,T_TTAFStock_Log[WeekIndex],39)=0,"",SUMIFS(T_TTAFStock_Log[TTAF_Qty],T_TTAFStock_Log[Part Name],$A56,T_TTAFStock_Log[WeekIndex],39))</f>
        <v/>
      </c>
      <c r="AO56" s="17">
        <f>IF(COUNTIFS(T_TTAFStock_Log[Part Name],$A56,T_TTAFStock_Log[WeekIndex],40)=0,"",SUMIFS(T_TTAFStock_Log[TTAF_Qty],T_TTAFStock_Log[Part Name],$A56,T_TTAFStock_Log[WeekIndex],40))</f>
        <v/>
      </c>
      <c r="AP56" s="17">
        <f>IF(COUNTIFS(T_TTAFStock_Log[Part Name],$A56,T_TTAFStock_Log[WeekIndex],41)=0,"",SUMIFS(T_TTAFStock_Log[TTAF_Qty],T_TTAFStock_Log[Part Name],$A56,T_TTAFStock_Log[WeekIndex],41))</f>
        <v/>
      </c>
      <c r="AQ56" s="17">
        <f>IF(COUNTIFS(T_TTAFStock_Log[Part Name],$A56,T_TTAFStock_Log[WeekIndex],42)=0,"",SUMIFS(T_TTAFStock_Log[TTAF_Qty],T_TTAFStock_Log[Part Name],$A56,T_TTAFStock_Log[WeekIndex],42))</f>
        <v/>
      </c>
      <c r="AR56" s="17">
        <f>IF(COUNTIFS(T_TTAFStock_Log[Part Name],$A56,T_TTAFStock_Log[WeekIndex],43)=0,"",SUMIFS(T_TTAFStock_Log[TTAF_Qty],T_TTAFStock_Log[Part Name],$A56,T_TTAFStock_Log[WeekIndex],43))</f>
        <v/>
      </c>
      <c r="AS56" s="17">
        <f>IF(COUNTIFS(T_TTAFStock_Log[Part Name],$A56,T_TTAFStock_Log[WeekIndex],44)=0,"",SUMIFS(T_TTAFStock_Log[TTAF_Qty],T_TTAFStock_Log[Part Name],$A56,T_TTAFStock_Log[WeekIndex],44))</f>
        <v/>
      </c>
      <c r="AT56" s="17">
        <f>IF(COUNTIFS(T_TTAFStock_Log[Part Name],$A56,T_TTAFStock_Log[WeekIndex],45)=0,"",SUMIFS(T_TTAFStock_Log[TTAF_Qty],T_TTAFStock_Log[Part Name],$A56,T_TTAFStock_Log[WeekIndex],45))</f>
        <v/>
      </c>
      <c r="AU56" s="17">
        <f>IF(COUNTIFS(T_TTAFStock_Log[Part Name],$A56,T_TTAFStock_Log[WeekIndex],46)=0,"",SUMIFS(T_TTAFStock_Log[TTAF_Qty],T_TTAFStock_Log[Part Name],$A56,T_TTAFStock_Log[WeekIndex],46))</f>
        <v/>
      </c>
      <c r="AV56" s="17">
        <f>IF(COUNTIFS(T_TTAFStock_Log[Part Name],$A56,T_TTAFStock_Log[WeekIndex],47)=0,"",SUMIFS(T_TTAFStock_Log[TTAF_Qty],T_TTAFStock_Log[Part Name],$A56,T_TTAFStock_Log[WeekIndex],47))</f>
        <v/>
      </c>
      <c r="AW56" s="17">
        <f>IF(COUNTIFS(T_TTAFStock_Log[Part Name],$A56,T_TTAFStock_Log[WeekIndex],48)=0,"",SUMIFS(T_TTAFStock_Log[TTAF_Qty],T_TTAFStock_Log[Part Name],$A56,T_TTAFStock_Log[WeekIndex],48))</f>
        <v/>
      </c>
      <c r="AX56" s="17">
        <f>IF(COUNTIFS(T_TTAFStock_Log[Part Name],$A56,T_TTAFStock_Log[WeekIndex],49)=0,"",SUMIFS(T_TTAFStock_Log[TTAF_Qty],T_TTAFStock_Log[Part Name],$A56,T_TTAFStock_Log[WeekIndex],49))</f>
        <v/>
      </c>
      <c r="AY56" s="17">
        <f>IF(COUNTIFS(T_TTAFStock_Log[Part Name],$A56,T_TTAFStock_Log[WeekIndex],50)=0,"",SUMIFS(T_TTAFStock_Log[TTAF_Qty],T_TTAFStock_Log[Part Name],$A56,T_TTAFStock_Log[WeekIndex],50))</f>
        <v/>
      </c>
      <c r="AZ56" s="17">
        <f>IF(COUNTIFS(T_TTAFStock_Log[Part Name],$A56,T_TTAFStock_Log[WeekIndex],51)=0,"",SUMIFS(T_TTAFStock_Log[TTAF_Qty],T_TTAFStock_Log[Part Name],$A56,T_TTAFStock_Log[WeekIndex],51))</f>
        <v/>
      </c>
      <c r="BA56" s="17">
        <f>IF(COUNTIFS(T_TTAFStock_Log[Part Name],$A56,T_TTAFStock_Log[WeekIndex],52)=0,"",SUMIFS(T_TTAFStock_Log[TTAF_Qty],T_TTAFStock_Log[Part Name],$A56,T_TTAFStock_Log[WeekIndex],52))</f>
        <v/>
      </c>
      <c r="BB56" s="17">
        <f>IF(COUNTIFS(T_TTAFStock_Log[Part Name],$A56,T_TTAFStock_Log[WeekIndex],53)=0,"",SUMIFS(T_TTAFStock_Log[TTAF_Qty],T_TTAFStock_Log[Part Name],$A56,T_TTAFStock_Log[WeekIndex],53))</f>
        <v/>
      </c>
      <c r="BC56" s="17">
        <f>IF(COUNTIFS(T_TTAFStock_Log[Part Name],$A56,T_TTAFStock_Log[WeekIndex],54)=0,"",SUMIFS(T_TTAFStock_Log[TTAF_Qty],T_TTAFStock_Log[Part Name],$A56,T_TTAFStock_Log[WeekIndex],54))</f>
        <v/>
      </c>
      <c r="BD56" s="17">
        <f>IF(COUNTIFS(T_TTAFStock_Log[Part Name],$A56,T_TTAFStock_Log[WeekIndex],55)=0,"",SUMIFS(T_TTAFStock_Log[TTAF_Qty],T_TTAFStock_Log[Part Name],$A56,T_TTAFStock_Log[WeekIndex],55))</f>
        <v/>
      </c>
      <c r="BE56" s="17">
        <f>IF(COUNTIFS(T_TTAFStock_Log[Part Name],$A56,T_TTAFStock_Log[WeekIndex],56)=0,"",SUMIFS(T_TTAFStock_Log[TTAF_Qty],T_TTAFStock_Log[Part Name],$A56,T_TTAFStock_Log[WeekIndex],56))</f>
        <v/>
      </c>
      <c r="BF56" s="17">
        <f>IF(COUNTIFS(T_TTAFStock_Log[Part Name],$A56,T_TTAFStock_Log[WeekIndex],57)=0,"",SUMIFS(T_TTAFStock_Log[TTAF_Qty],T_TTAFStock_Log[Part Name],$A56,T_TTAFStock_Log[WeekIndex],57))</f>
        <v/>
      </c>
      <c r="BG56" s="17">
        <f>IF(COUNTIFS(T_TTAFStock_Log[Part Name],$A56,T_TTAFStock_Log[WeekIndex],58)=0,"",SUMIFS(T_TTAFStock_Log[TTAF_Qty],T_TTAFStock_Log[Part Name],$A56,T_TTAFStock_Log[WeekIndex],58))</f>
        <v/>
      </c>
      <c r="BH56" s="17">
        <f>IF(COUNTIFS(T_TTAFStock_Log[Part Name],$A56,T_TTAFStock_Log[WeekIndex],59)=0,"",SUMIFS(T_TTAFStock_Log[TTAF_Qty],T_TTAFStock_Log[Part Name],$A56,T_TTAFStock_Log[WeekIndex],59))</f>
        <v/>
      </c>
      <c r="BI56" s="17">
        <f>IF(COUNTIFS(T_TTAFStock_Log[Part Name],$A56,T_TTAFStock_Log[WeekIndex],60)=0,"",SUMIFS(T_TTAFStock_Log[TTAF_Qty],T_TTAFStock_Log[Part Name],$A56,T_TTAFStock_Log[WeekIndex],60))</f>
        <v/>
      </c>
      <c r="BJ56" s="17">
        <f>IF(COUNTIFS(T_TTAFStock_Log[Part Name],$A56,T_TTAFStock_Log[WeekIndex],61)=0,"",SUMIFS(T_TTAFStock_Log[TTAF_Qty],T_TTAFStock_Log[Part Name],$A56,T_TTAFStock_Log[WeekIndex],61))</f>
        <v/>
      </c>
      <c r="BK56" s="17">
        <f>IF(COUNTIFS(T_TTAFStock_Log[Part Name],$A56,T_TTAFStock_Log[WeekIndex],62)=0,"",SUMIFS(T_TTAFStock_Log[TTAF_Qty],T_TTAFStock_Log[Part Name],$A56,T_TTAFStock_Log[WeekIndex],62))</f>
        <v/>
      </c>
      <c r="BL56" s="17">
        <f>IF(COUNTIFS(T_TTAFStock_Log[Part Name],$A56,T_TTAFStock_Log[WeekIndex],63)=0,"",SUMIFS(T_TTAFStock_Log[TTAF_Qty],T_TTAFStock_Log[Part Name],$A56,T_TTAFStock_Log[WeekIndex],63))</f>
        <v/>
      </c>
      <c r="BM56" s="17">
        <f>IF(COUNTIFS(T_TTAFStock_Log[Part Name],$A56,T_TTAFStock_Log[WeekIndex],64)=0,"",SUMIFS(T_TTAFStock_Log[TTAF_Qty],T_TTAFStock_Log[Part Name],$A56,T_TTAFStock_Log[WeekIndex],64))</f>
        <v/>
      </c>
      <c r="BN56" s="17">
        <f>IF(COUNTIFS(T_TTAFStock_Log[Part Name],$A56,T_TTAFStock_Log[WeekIndex],65)=0,"",SUMIFS(T_TTAFStock_Log[TTAF_Qty],T_TTAFStock_Log[Part Name],$A56,T_TTAFStock_Log[WeekIndex],65))</f>
        <v/>
      </c>
      <c r="BO56" s="17">
        <f>IF(COUNTIFS(T_TTAFStock_Log[Part Name],$A56,T_TTAFStock_Log[WeekIndex],66)=0,"",SUMIFS(T_TTAFStock_Log[TTAF_Qty],T_TTAFStock_Log[Part Name],$A56,T_TTAFStock_Log[WeekIndex],66))</f>
        <v/>
      </c>
      <c r="BP56" s="17">
        <f>IF(COUNTIFS(T_TTAFStock_Log[Part Name],$A56,T_TTAFStock_Log[WeekIndex],67)=0,"",SUMIFS(T_TTAFStock_Log[TTAF_Qty],T_TTAFStock_Log[Part Name],$A56,T_TTAFStock_Log[WeekIndex],67))</f>
        <v/>
      </c>
      <c r="BQ56" s="17">
        <f>IF(COUNTIFS(T_TTAFStock_Log[Part Name],$A56,T_TTAFStock_Log[WeekIndex],68)=0,"",SUMIFS(T_TTAFStock_Log[TTAF_Qty],T_TTAFStock_Log[Part Name],$A56,T_TTAFStock_Log[WeekIndex],68))</f>
        <v/>
      </c>
      <c r="BR56" s="17">
        <f>IF(COUNTIFS(T_TTAFStock_Log[Part Name],$A56,T_TTAFStock_Log[WeekIndex],69)=0,"",SUMIFS(T_TTAFStock_Log[TTAF_Qty],T_TTAFStock_Log[Part Name],$A56,T_TTAFStock_Log[WeekIndex],69))</f>
        <v/>
      </c>
      <c r="BS56" s="17">
        <f>IF(COUNTIFS(T_TTAFStock_Log[Part Name],$A56,T_TTAFStock_Log[WeekIndex],70)=0,"",SUMIFS(T_TTAFStock_Log[TTAF_Qty],T_TTAFStock_Log[Part Name],$A56,T_TTAFStock_Log[WeekIndex],70))</f>
        <v/>
      </c>
      <c r="BT56" s="17">
        <f>IF(COUNTIFS(T_TTAFStock_Log[Part Name],$A56,T_TTAFStock_Log[WeekIndex],71)=0,"",SUMIFS(T_TTAFStock_Log[TTAF_Qty],T_TTAFStock_Log[Part Name],$A56,T_TTAFStock_Log[WeekIndex],71))</f>
        <v/>
      </c>
      <c r="BU56" s="17">
        <f>IF(COUNTIFS(T_TTAFStock_Log[Part Name],$A56,T_TTAFStock_Log[WeekIndex],72)=0,"",SUMIFS(T_TTAFStock_Log[TTAF_Qty],T_TTAFStock_Log[Part Name],$A56,T_TTAFStock_Log[WeekIndex],72))</f>
        <v/>
      </c>
      <c r="BV56" s="17">
        <f>IF(COUNTIFS(T_TTAFStock_Log[Part Name],$A56,T_TTAFStock_Log[WeekIndex],73)=0,"",SUMIFS(T_TTAFStock_Log[TTAF_Qty],T_TTAFStock_Log[Part Name],$A56,T_TTAFStock_Log[WeekIndex],73))</f>
        <v/>
      </c>
      <c r="BW56" s="17">
        <f>IF(COUNTIFS(T_TTAFStock_Log[Part Name],$A56,T_TTAFStock_Log[WeekIndex],74)=0,"",SUMIFS(T_TTAFStock_Log[TTAF_Qty],T_TTAFStock_Log[Part Name],$A56,T_TTAFStock_Log[WeekIndex],74))</f>
        <v/>
      </c>
      <c r="BX56" s="17">
        <f>IF(COUNTIFS(T_TTAFStock_Log[Part Name],$A56,T_TTAFStock_Log[WeekIndex],75)=0,"",SUMIFS(T_TTAFStock_Log[TTAF_Qty],T_TTAFStock_Log[Part Name],$A56,T_TTAFStock_Log[WeekIndex],75))</f>
        <v/>
      </c>
      <c r="BY56" s="17">
        <f>IF(COUNTIFS(T_TTAFStock_Log[Part Name],$A56,T_TTAFStock_Log[WeekIndex],76)=0,"",SUMIFS(T_TTAFStock_Log[TTAF_Qty],T_TTAFStock_Log[Part Name],$A56,T_TTAFStock_Log[WeekIndex],76))</f>
        <v/>
      </c>
      <c r="BZ56" s="17">
        <f>IF(COUNTIFS(T_TTAFStock_Log[Part Name],$A56,T_TTAFStock_Log[WeekIndex],77)=0,"",SUMIFS(T_TTAFStock_Log[TTAF_Qty],T_TTAFStock_Log[Part Name],$A56,T_TTAFStock_Log[WeekIndex],77))</f>
        <v/>
      </c>
      <c r="CA56" s="17">
        <f>IF(COUNTIFS(T_TTAFStock_Log[Part Name],$A56,T_TTAFStock_Log[WeekIndex],78)=0,"",SUMIFS(T_TTAFStock_Log[TTAF_Qty],T_TTAFStock_Log[Part Name],$A56,T_TTAFStock_Log[WeekIndex],78))</f>
        <v/>
      </c>
      <c r="CB56" s="17">
        <f>IF(COUNTIFS(T_TTAFStock_Log[Part Name],$A56,T_TTAFStock_Log[WeekIndex],79)=0,"",SUMIFS(T_TTAFStock_Log[TTAF_Qty],T_TTAFStock_Log[Part Name],$A56,T_TTAFStock_Log[WeekIndex],79))</f>
        <v/>
      </c>
      <c r="CC56" s="17">
        <f>IF(COUNTIFS(T_TTAFStock_Log[Part Name],$A56,T_TTAFStock_Log[WeekIndex],80)=0,"",SUMIFS(T_TTAFStock_Log[TTAF_Qty],T_TTAFStock_Log[Part Name],$A56,T_TTAFStock_Log[WeekIndex],80))</f>
        <v/>
      </c>
      <c r="CD56" s="17">
        <f>IF(COUNTIFS(T_TTAFStock_Log[Part Name],$A56,T_TTAFStock_Log[WeekIndex],81)=0,"",SUMIFS(T_TTAFStock_Log[TTAF_Qty],T_TTAFStock_Log[Part Name],$A56,T_TTAFStock_Log[WeekIndex],81))</f>
        <v/>
      </c>
      <c r="CE56" s="17">
        <f>IF(COUNTIFS(T_TTAFStock_Log[Part Name],$A56,T_TTAFStock_Log[WeekIndex],82)=0,"",SUMIFS(T_TTAFStock_Log[TTAF_Qty],T_TTAFStock_Log[Part Name],$A56,T_TTAFStock_Log[WeekIndex],82))</f>
        <v/>
      </c>
      <c r="CF56" s="17">
        <f>IF(COUNTIFS(T_TTAFStock_Log[Part Name],$A56,T_TTAFStock_Log[WeekIndex],83)=0,"",SUMIFS(T_TTAFStock_Log[TTAF_Qty],T_TTAFStock_Log[Part Name],$A56,T_TTAFStock_Log[WeekIndex],83))</f>
        <v/>
      </c>
      <c r="CG56" s="17">
        <f>IF(COUNTIFS(T_TTAFStock_Log[Part Name],$A56,T_TTAFStock_Log[WeekIndex],84)=0,"",SUMIFS(T_TTAFStock_Log[TTAF_Qty],T_TTAFStock_Log[Part Name],$A56,T_TTAFStock_Log[WeekIndex],84))</f>
        <v/>
      </c>
      <c r="CH56" s="17">
        <f>IF(COUNTIFS(T_TTAFStock_Log[Part Name],$A56,T_TTAFStock_Log[WeekIndex],85)=0,"",SUMIFS(T_TTAFStock_Log[TTAF_Qty],T_TTAFStock_Log[Part Name],$A56,T_TTAFStock_Log[WeekIndex],85))</f>
        <v/>
      </c>
      <c r="CI56" s="17">
        <f>IF(COUNTIFS(T_TTAFStock_Log[Part Name],$A56,T_TTAFStock_Log[WeekIndex],86)=0,"",SUMIFS(T_TTAFStock_Log[TTAF_Qty],T_TTAFStock_Log[Part Name],$A56,T_TTAFStock_Log[WeekIndex],86))</f>
        <v/>
      </c>
      <c r="CJ56" s="17">
        <f>IF(COUNTIFS(T_TTAFStock_Log[Part Name],$A56,T_TTAFStock_Log[WeekIndex],87)=0,"",SUMIFS(T_TTAFStock_Log[TTAF_Qty],T_TTAFStock_Log[Part Name],$A56,T_TTAFStock_Log[WeekIndex],87))</f>
        <v/>
      </c>
      <c r="CK56" s="17">
        <f>IF(COUNTIFS(T_TTAFStock_Log[Part Name],$A56,T_TTAFStock_Log[WeekIndex],88)=0,"",SUMIFS(T_TTAFStock_Log[TTAF_Qty],T_TTAFStock_Log[Part Name],$A56,T_TTAFStock_Log[WeekIndex],88))</f>
        <v/>
      </c>
      <c r="CL56" s="17">
        <f>IF(COUNTIFS(T_TTAFStock_Log[Part Name],$A56,T_TTAFStock_Log[WeekIndex],89)=0,"",SUMIFS(T_TTAFStock_Log[TTAF_Qty],T_TTAFStock_Log[Part Name],$A56,T_TTAFStock_Log[WeekIndex],89))</f>
        <v/>
      </c>
      <c r="CM56" s="17">
        <f>IF(COUNTIFS(T_TTAFStock_Log[Part Name],$A56,T_TTAFStock_Log[WeekIndex],90)=0,"",SUMIFS(T_TTAFStock_Log[TTAF_Qty],T_TTAFStock_Log[Part Name],$A56,T_TTAFStock_Log[WeekIndex],90))</f>
        <v/>
      </c>
      <c r="CN56" s="17">
        <f>IF(COUNTIFS(T_TTAFStock_Log[Part Name],$A56,T_TTAFStock_Log[WeekIndex],91)=0,"",SUMIFS(T_TTAFStock_Log[TTAF_Qty],T_TTAFStock_Log[Part Name],$A56,T_TTAFStock_Log[WeekIndex],91))</f>
        <v/>
      </c>
      <c r="CO56" s="17">
        <f>IF(COUNTIFS(T_TTAFStock_Log[Part Name],$A56,T_TTAFStock_Log[WeekIndex],92)=0,"",SUMIFS(T_TTAFStock_Log[TTAF_Qty],T_TTAFStock_Log[Part Name],$A56,T_TTAFStock_Log[WeekIndex],92))</f>
        <v/>
      </c>
      <c r="CP56" s="17">
        <f>IF(COUNTIFS(T_TTAFStock_Log[Part Name],$A56,T_TTAFStock_Log[WeekIndex],93)=0,"",SUMIFS(T_TTAFStock_Log[TTAF_Qty],T_TTAFStock_Log[Part Name],$A56,T_TTAFStock_Log[WeekIndex],93))</f>
        <v/>
      </c>
      <c r="CQ56" s="17">
        <f>IF(COUNTIFS(T_TTAFStock_Log[Part Name],$A56,T_TTAFStock_Log[WeekIndex],94)=0,"",SUMIFS(T_TTAFStock_Log[TTAF_Qty],T_TTAFStock_Log[Part Name],$A56,T_TTAFStock_Log[WeekIndex],94))</f>
        <v/>
      </c>
      <c r="CR56" s="17">
        <f>IF(COUNTIFS(T_TTAFStock_Log[Part Name],$A56,T_TTAFStock_Log[WeekIndex],95)=0,"",SUMIFS(T_TTAFStock_Log[TTAF_Qty],T_TTAFStock_Log[Part Name],$A56,T_TTAFStock_Log[WeekIndex],95))</f>
        <v/>
      </c>
      <c r="CS56" s="17">
        <f>IF(COUNTIFS(T_TTAFStock_Log[Part Name],$A56,T_TTAFStock_Log[WeekIndex],96)=0,"",SUMIFS(T_TTAFStock_Log[TTAF_Qty],T_TTAFStock_Log[Part Name],$A56,T_TTAFStock_Log[WeekIndex],96))</f>
        <v/>
      </c>
      <c r="CT56" s="17">
        <f>IF(COUNTIFS(T_TTAFStock_Log[Part Name],$A56,T_TTAFStock_Log[WeekIndex],97)=0,"",SUMIFS(T_TTAFStock_Log[TTAF_Qty],T_TTAFStock_Log[Part Name],$A56,T_TTAFStock_Log[WeekIndex],97))</f>
        <v/>
      </c>
      <c r="CU56" s="17">
        <f>IF(COUNTIFS(T_TTAFStock_Log[Part Name],$A56,T_TTAFStock_Log[WeekIndex],98)=0,"",SUMIFS(T_TTAFStock_Log[TTAF_Qty],T_TTAFStock_Log[Part Name],$A56,T_TTAFStock_Log[WeekIndex],98))</f>
        <v/>
      </c>
      <c r="CV56" s="17">
        <f>IF(COUNTIFS(T_TTAFStock_Log[Part Name],$A56,T_TTAFStock_Log[WeekIndex],99)=0,"",SUMIFS(T_TTAFStock_Log[TTAF_Qty],T_TTAFStock_Log[Part Name],$A56,T_TTAFStock_Log[WeekIndex],99))</f>
        <v/>
      </c>
      <c r="CW56" s="17">
        <f>IF(COUNTIFS(T_TTAFStock_Log[Part Name],$A56,T_TTAFStock_Log[WeekIndex],100)=0,"",SUMIFS(T_TTAFStock_Log[TTAF_Qty],T_TTAFStock_Log[Part Name],$A56,T_TTAFStock_Log[WeekIndex],100))</f>
        <v/>
      </c>
      <c r="CX56" s="17">
        <f>IF(COUNTIFS(T_TTAFStock_Log[Part Name],$A56,T_TTAFStock_Log[WeekIndex],101)=0,"",SUMIFS(T_TTAFStock_Log[TTAF_Qty],T_TTAFStock_Log[Part Name],$A56,T_TTAFStock_Log[WeekIndex],101))</f>
        <v/>
      </c>
      <c r="CY56" s="17">
        <f>IF(COUNTIFS(T_TTAFStock_Log[Part Name],$A56,T_TTAFStock_Log[WeekIndex],102)=0,"",SUMIFS(T_TTAFStock_Log[TTAF_Qty],T_TTAFStock_Log[Part Name],$A56,T_TTAFStock_Log[WeekIndex],102))</f>
        <v/>
      </c>
      <c r="CZ56" s="17">
        <f>IF(COUNTIFS(T_TTAFStock_Log[Part Name],$A56,T_TTAFStock_Log[WeekIndex],103)=0,"",SUMIFS(T_TTAFStock_Log[TTAF_Qty],T_TTAFStock_Log[Part Name],$A56,T_TTAFStock_Log[WeekIndex],103))</f>
        <v/>
      </c>
      <c r="DA56" s="17">
        <f>IF(COUNTIFS(T_TTAFStock_Log[Part Name],$A56,T_TTAFStock_Log[WeekIndex],104)=0,"",SUMIFS(T_TTAFStock_Log[TTAF_Qty],T_TTAFStock_Log[Part Name],$A56,T_TTAFStock_Log[WeekIndex],104))</f>
        <v/>
      </c>
    </row>
    <row r="57">
      <c r="A57" s="19" t="inlineStr">
        <is>
          <t>Ester Film</t>
        </is>
      </c>
      <c r="B57" s="19">
        <f>IF(COUNTIFS(T_TTAFStock_Log[Part Name],$A57,T_TTAFStock_Log[WeekIndex],1)=0,"",SUMIFS(T_TTAFStock_Log[TTAF_Qty],T_TTAFStock_Log[Part Name],$A57,T_TTAFStock_Log[WeekIndex],1))</f>
        <v/>
      </c>
      <c r="C57" s="19">
        <f>IF(COUNTIFS(T_TTAFStock_Log[Part Name],$A57,T_TTAFStock_Log[WeekIndex],2)=0,"",SUMIFS(T_TTAFStock_Log[TTAF_Qty],T_TTAFStock_Log[Part Name],$A57,T_TTAFStock_Log[WeekIndex],2))</f>
        <v/>
      </c>
      <c r="D57" s="19">
        <f>IF(COUNTIFS(T_TTAFStock_Log[Part Name],$A57,T_TTAFStock_Log[WeekIndex],3)=0,"",SUMIFS(T_TTAFStock_Log[TTAF_Qty],T_TTAFStock_Log[Part Name],$A57,T_TTAFStock_Log[WeekIndex],3))</f>
        <v/>
      </c>
      <c r="E57" s="19">
        <f>IF(COUNTIFS(T_TTAFStock_Log[Part Name],$A57,T_TTAFStock_Log[WeekIndex],4)=0,"",SUMIFS(T_TTAFStock_Log[TTAF_Qty],T_TTAFStock_Log[Part Name],$A57,T_TTAFStock_Log[WeekIndex],4))</f>
        <v/>
      </c>
      <c r="F57" s="19">
        <f>IF(COUNTIFS(T_TTAFStock_Log[Part Name],$A57,T_TTAFStock_Log[WeekIndex],5)=0,"",SUMIFS(T_TTAFStock_Log[TTAF_Qty],T_TTAFStock_Log[Part Name],$A57,T_TTAFStock_Log[WeekIndex],5))</f>
        <v/>
      </c>
      <c r="G57" s="19">
        <f>IF(COUNTIFS(T_TTAFStock_Log[Part Name],$A57,T_TTAFStock_Log[WeekIndex],6)=0,"",SUMIFS(T_TTAFStock_Log[TTAF_Qty],T_TTAFStock_Log[Part Name],$A57,T_TTAFStock_Log[WeekIndex],6))</f>
        <v/>
      </c>
      <c r="H57" s="19">
        <f>IF(COUNTIFS(T_TTAFStock_Log[Part Name],$A57,T_TTAFStock_Log[WeekIndex],7)=0,"",SUMIFS(T_TTAFStock_Log[TTAF_Qty],T_TTAFStock_Log[Part Name],$A57,T_TTAFStock_Log[WeekIndex],7))</f>
        <v/>
      </c>
      <c r="I57" s="19">
        <f>IF(COUNTIFS(T_TTAFStock_Log[Part Name],$A57,T_TTAFStock_Log[WeekIndex],8)=0,"",SUMIFS(T_TTAFStock_Log[TTAF_Qty],T_TTAFStock_Log[Part Name],$A57,T_TTAFStock_Log[WeekIndex],8))</f>
        <v/>
      </c>
      <c r="J57" s="19">
        <f>IF(COUNTIFS(T_TTAFStock_Log[Part Name],$A57,T_TTAFStock_Log[WeekIndex],9)=0,"",SUMIFS(T_TTAFStock_Log[TTAF_Qty],T_TTAFStock_Log[Part Name],$A57,T_TTAFStock_Log[WeekIndex],9))</f>
        <v/>
      </c>
      <c r="K57" s="19">
        <f>IF(COUNTIFS(T_TTAFStock_Log[Part Name],$A57,T_TTAFStock_Log[WeekIndex],10)=0,"",SUMIFS(T_TTAFStock_Log[TTAF_Qty],T_TTAFStock_Log[Part Name],$A57,T_TTAFStock_Log[WeekIndex],10))</f>
        <v/>
      </c>
      <c r="L57" s="19">
        <f>IF(COUNTIFS(T_TTAFStock_Log[Part Name],$A57,T_TTAFStock_Log[WeekIndex],11)=0,"",SUMIFS(T_TTAFStock_Log[TTAF_Qty],T_TTAFStock_Log[Part Name],$A57,T_TTAFStock_Log[WeekIndex],11))</f>
        <v/>
      </c>
      <c r="M57" s="19">
        <f>IF(COUNTIFS(T_TTAFStock_Log[Part Name],$A57,T_TTAFStock_Log[WeekIndex],12)=0,"",SUMIFS(T_TTAFStock_Log[TTAF_Qty],T_TTAFStock_Log[Part Name],$A57,T_TTAFStock_Log[WeekIndex],12))</f>
        <v/>
      </c>
      <c r="N57" s="19">
        <f>IF(COUNTIFS(T_TTAFStock_Log[Part Name],$A57,T_TTAFStock_Log[WeekIndex],13)=0,"",SUMIFS(T_TTAFStock_Log[TTAF_Qty],T_TTAFStock_Log[Part Name],$A57,T_TTAFStock_Log[WeekIndex],13))</f>
        <v/>
      </c>
      <c r="O57" s="19">
        <f>IF(COUNTIFS(T_TTAFStock_Log[Part Name],$A57,T_TTAFStock_Log[WeekIndex],14)=0,"",SUMIFS(T_TTAFStock_Log[TTAF_Qty],T_TTAFStock_Log[Part Name],$A57,T_TTAFStock_Log[WeekIndex],14))</f>
        <v/>
      </c>
      <c r="P57" s="19">
        <f>IF(COUNTIFS(T_TTAFStock_Log[Part Name],$A57,T_TTAFStock_Log[WeekIndex],15)=0,"",SUMIFS(T_TTAFStock_Log[TTAF_Qty],T_TTAFStock_Log[Part Name],$A57,T_TTAFStock_Log[WeekIndex],15))</f>
        <v/>
      </c>
      <c r="Q57" s="19">
        <f>IF(COUNTIFS(T_TTAFStock_Log[Part Name],$A57,T_TTAFStock_Log[WeekIndex],16)=0,"",SUMIFS(T_TTAFStock_Log[TTAF_Qty],T_TTAFStock_Log[Part Name],$A57,T_TTAFStock_Log[WeekIndex],16))</f>
        <v/>
      </c>
      <c r="R57" s="19">
        <f>IF(COUNTIFS(T_TTAFStock_Log[Part Name],$A57,T_TTAFStock_Log[WeekIndex],17)=0,"",SUMIFS(T_TTAFStock_Log[TTAF_Qty],T_TTAFStock_Log[Part Name],$A57,T_TTAFStock_Log[WeekIndex],17))</f>
        <v/>
      </c>
      <c r="S57" s="19">
        <f>IF(COUNTIFS(T_TTAFStock_Log[Part Name],$A57,T_TTAFStock_Log[WeekIndex],18)=0,"",SUMIFS(T_TTAFStock_Log[TTAF_Qty],T_TTAFStock_Log[Part Name],$A57,T_TTAFStock_Log[WeekIndex],18))</f>
        <v/>
      </c>
      <c r="T57" s="19">
        <f>IF(COUNTIFS(T_TTAFStock_Log[Part Name],$A57,T_TTAFStock_Log[WeekIndex],19)=0,"",SUMIFS(T_TTAFStock_Log[TTAF_Qty],T_TTAFStock_Log[Part Name],$A57,T_TTAFStock_Log[WeekIndex],19))</f>
        <v/>
      </c>
      <c r="U57" s="19">
        <f>IF(COUNTIFS(T_TTAFStock_Log[Part Name],$A57,T_TTAFStock_Log[WeekIndex],20)=0,"",SUMIFS(T_TTAFStock_Log[TTAF_Qty],T_TTAFStock_Log[Part Name],$A57,T_TTAFStock_Log[WeekIndex],20))</f>
        <v/>
      </c>
      <c r="V57" s="19">
        <f>IF(COUNTIFS(T_TTAFStock_Log[Part Name],$A57,T_TTAFStock_Log[WeekIndex],21)=0,"",SUMIFS(T_TTAFStock_Log[TTAF_Qty],T_TTAFStock_Log[Part Name],$A57,T_TTAFStock_Log[WeekIndex],21))</f>
        <v/>
      </c>
      <c r="W57" s="19">
        <f>IF(COUNTIFS(T_TTAFStock_Log[Part Name],$A57,T_TTAFStock_Log[WeekIndex],22)=0,"",SUMIFS(T_TTAFStock_Log[TTAF_Qty],T_TTAFStock_Log[Part Name],$A57,T_TTAFStock_Log[WeekIndex],22))</f>
        <v/>
      </c>
      <c r="X57" s="19">
        <f>IF(COUNTIFS(T_TTAFStock_Log[Part Name],$A57,T_TTAFStock_Log[WeekIndex],23)=0,"",SUMIFS(T_TTAFStock_Log[TTAF_Qty],T_TTAFStock_Log[Part Name],$A57,T_TTAFStock_Log[WeekIndex],23))</f>
        <v/>
      </c>
      <c r="Y57" s="19">
        <f>IF(COUNTIFS(T_TTAFStock_Log[Part Name],$A57,T_TTAFStock_Log[WeekIndex],24)=0,"",SUMIFS(T_TTAFStock_Log[TTAF_Qty],T_TTAFStock_Log[Part Name],$A57,T_TTAFStock_Log[WeekIndex],24))</f>
        <v/>
      </c>
      <c r="Z57" s="19">
        <f>IF(COUNTIFS(T_TTAFStock_Log[Part Name],$A57,T_TTAFStock_Log[WeekIndex],25)=0,"",SUMIFS(T_TTAFStock_Log[TTAF_Qty],T_TTAFStock_Log[Part Name],$A57,T_TTAFStock_Log[WeekIndex],25))</f>
        <v/>
      </c>
      <c r="AA57" s="19">
        <f>IF(COUNTIFS(T_TTAFStock_Log[Part Name],$A57,T_TTAFStock_Log[WeekIndex],26)=0,"",SUMIFS(T_TTAFStock_Log[TTAF_Qty],T_TTAFStock_Log[Part Name],$A57,T_TTAFStock_Log[WeekIndex],26))</f>
        <v/>
      </c>
      <c r="AB57" s="19">
        <f>IF(COUNTIFS(T_TTAFStock_Log[Part Name],$A57,T_TTAFStock_Log[WeekIndex],27)=0,"",SUMIFS(T_TTAFStock_Log[TTAF_Qty],T_TTAFStock_Log[Part Name],$A57,T_TTAFStock_Log[WeekIndex],27))</f>
        <v/>
      </c>
      <c r="AC57" s="19">
        <f>IF(COUNTIFS(T_TTAFStock_Log[Part Name],$A57,T_TTAFStock_Log[WeekIndex],28)=0,"",SUMIFS(T_TTAFStock_Log[TTAF_Qty],T_TTAFStock_Log[Part Name],$A57,T_TTAFStock_Log[WeekIndex],28))</f>
        <v/>
      </c>
      <c r="AD57" s="19">
        <f>IF(COUNTIFS(T_TTAFStock_Log[Part Name],$A57,T_TTAFStock_Log[WeekIndex],29)=0,"",SUMIFS(T_TTAFStock_Log[TTAF_Qty],T_TTAFStock_Log[Part Name],$A57,T_TTAFStock_Log[WeekIndex],29))</f>
        <v/>
      </c>
      <c r="AE57" s="19">
        <f>IF(COUNTIFS(T_TTAFStock_Log[Part Name],$A57,T_TTAFStock_Log[WeekIndex],30)=0,"",SUMIFS(T_TTAFStock_Log[TTAF_Qty],T_TTAFStock_Log[Part Name],$A57,T_TTAFStock_Log[WeekIndex],30))</f>
        <v/>
      </c>
      <c r="AF57" s="19">
        <f>IF(COUNTIFS(T_TTAFStock_Log[Part Name],$A57,T_TTAFStock_Log[WeekIndex],31)=0,"",SUMIFS(T_TTAFStock_Log[TTAF_Qty],T_TTAFStock_Log[Part Name],$A57,T_TTAFStock_Log[WeekIndex],31))</f>
        <v/>
      </c>
      <c r="AG57" s="19">
        <f>IF(COUNTIFS(T_TTAFStock_Log[Part Name],$A57,T_TTAFStock_Log[WeekIndex],32)=0,"",SUMIFS(T_TTAFStock_Log[TTAF_Qty],T_TTAFStock_Log[Part Name],$A57,T_TTAFStock_Log[WeekIndex],32))</f>
        <v/>
      </c>
      <c r="AH57" s="19">
        <f>IF(COUNTIFS(T_TTAFStock_Log[Part Name],$A57,T_TTAFStock_Log[WeekIndex],33)=0,"",SUMIFS(T_TTAFStock_Log[TTAF_Qty],T_TTAFStock_Log[Part Name],$A57,T_TTAFStock_Log[WeekIndex],33))</f>
        <v/>
      </c>
      <c r="AI57" s="19">
        <f>IF(COUNTIFS(T_TTAFStock_Log[Part Name],$A57,T_TTAFStock_Log[WeekIndex],34)=0,"",SUMIFS(T_TTAFStock_Log[TTAF_Qty],T_TTAFStock_Log[Part Name],$A57,T_TTAFStock_Log[WeekIndex],34))</f>
        <v/>
      </c>
      <c r="AJ57" s="19">
        <f>IF(COUNTIFS(T_TTAFStock_Log[Part Name],$A57,T_TTAFStock_Log[WeekIndex],35)=0,"",SUMIFS(T_TTAFStock_Log[TTAF_Qty],T_TTAFStock_Log[Part Name],$A57,T_TTAFStock_Log[WeekIndex],35))</f>
        <v/>
      </c>
      <c r="AK57" s="19">
        <f>IF(COUNTIFS(T_TTAFStock_Log[Part Name],$A57,T_TTAFStock_Log[WeekIndex],36)=0,"",SUMIFS(T_TTAFStock_Log[TTAF_Qty],T_TTAFStock_Log[Part Name],$A57,T_TTAFStock_Log[WeekIndex],36))</f>
        <v/>
      </c>
      <c r="AL57" s="19">
        <f>IF(COUNTIFS(T_TTAFStock_Log[Part Name],$A57,T_TTAFStock_Log[WeekIndex],37)=0,"",SUMIFS(T_TTAFStock_Log[TTAF_Qty],T_TTAFStock_Log[Part Name],$A57,T_TTAFStock_Log[WeekIndex],37))</f>
        <v/>
      </c>
      <c r="AM57" s="19">
        <f>IF(COUNTIFS(T_TTAFStock_Log[Part Name],$A57,T_TTAFStock_Log[WeekIndex],38)=0,"",SUMIFS(T_TTAFStock_Log[TTAF_Qty],T_TTAFStock_Log[Part Name],$A57,T_TTAFStock_Log[WeekIndex],38))</f>
        <v/>
      </c>
      <c r="AN57" s="19">
        <f>IF(COUNTIFS(T_TTAFStock_Log[Part Name],$A57,T_TTAFStock_Log[WeekIndex],39)=0,"",SUMIFS(T_TTAFStock_Log[TTAF_Qty],T_TTAFStock_Log[Part Name],$A57,T_TTAFStock_Log[WeekIndex],39))</f>
        <v/>
      </c>
      <c r="AO57" s="19">
        <f>IF(COUNTIFS(T_TTAFStock_Log[Part Name],$A57,T_TTAFStock_Log[WeekIndex],40)=0,"",SUMIFS(T_TTAFStock_Log[TTAF_Qty],T_TTAFStock_Log[Part Name],$A57,T_TTAFStock_Log[WeekIndex],40))</f>
        <v/>
      </c>
      <c r="AP57" s="19">
        <f>IF(COUNTIFS(T_TTAFStock_Log[Part Name],$A57,T_TTAFStock_Log[WeekIndex],41)=0,"",SUMIFS(T_TTAFStock_Log[TTAF_Qty],T_TTAFStock_Log[Part Name],$A57,T_TTAFStock_Log[WeekIndex],41))</f>
        <v/>
      </c>
      <c r="AQ57" s="19">
        <f>IF(COUNTIFS(T_TTAFStock_Log[Part Name],$A57,T_TTAFStock_Log[WeekIndex],42)=0,"",SUMIFS(T_TTAFStock_Log[TTAF_Qty],T_TTAFStock_Log[Part Name],$A57,T_TTAFStock_Log[WeekIndex],42))</f>
        <v/>
      </c>
      <c r="AR57" s="19">
        <f>IF(COUNTIFS(T_TTAFStock_Log[Part Name],$A57,T_TTAFStock_Log[WeekIndex],43)=0,"",SUMIFS(T_TTAFStock_Log[TTAF_Qty],T_TTAFStock_Log[Part Name],$A57,T_TTAFStock_Log[WeekIndex],43))</f>
        <v/>
      </c>
      <c r="AS57" s="19">
        <f>IF(COUNTIFS(T_TTAFStock_Log[Part Name],$A57,T_TTAFStock_Log[WeekIndex],44)=0,"",SUMIFS(T_TTAFStock_Log[TTAF_Qty],T_TTAFStock_Log[Part Name],$A57,T_TTAFStock_Log[WeekIndex],44))</f>
        <v/>
      </c>
      <c r="AT57" s="19">
        <f>IF(COUNTIFS(T_TTAFStock_Log[Part Name],$A57,T_TTAFStock_Log[WeekIndex],45)=0,"",SUMIFS(T_TTAFStock_Log[TTAF_Qty],T_TTAFStock_Log[Part Name],$A57,T_TTAFStock_Log[WeekIndex],45))</f>
        <v/>
      </c>
      <c r="AU57" s="19">
        <f>IF(COUNTIFS(T_TTAFStock_Log[Part Name],$A57,T_TTAFStock_Log[WeekIndex],46)=0,"",SUMIFS(T_TTAFStock_Log[TTAF_Qty],T_TTAFStock_Log[Part Name],$A57,T_TTAFStock_Log[WeekIndex],46))</f>
        <v/>
      </c>
      <c r="AV57" s="19">
        <f>IF(COUNTIFS(T_TTAFStock_Log[Part Name],$A57,T_TTAFStock_Log[WeekIndex],47)=0,"",SUMIFS(T_TTAFStock_Log[TTAF_Qty],T_TTAFStock_Log[Part Name],$A57,T_TTAFStock_Log[WeekIndex],47))</f>
        <v/>
      </c>
      <c r="AW57" s="19">
        <f>IF(COUNTIFS(T_TTAFStock_Log[Part Name],$A57,T_TTAFStock_Log[WeekIndex],48)=0,"",SUMIFS(T_TTAFStock_Log[TTAF_Qty],T_TTAFStock_Log[Part Name],$A57,T_TTAFStock_Log[WeekIndex],48))</f>
        <v/>
      </c>
      <c r="AX57" s="19">
        <f>IF(COUNTIFS(T_TTAFStock_Log[Part Name],$A57,T_TTAFStock_Log[WeekIndex],49)=0,"",SUMIFS(T_TTAFStock_Log[TTAF_Qty],T_TTAFStock_Log[Part Name],$A57,T_TTAFStock_Log[WeekIndex],49))</f>
        <v/>
      </c>
      <c r="AY57" s="19">
        <f>IF(COUNTIFS(T_TTAFStock_Log[Part Name],$A57,T_TTAFStock_Log[WeekIndex],50)=0,"",SUMIFS(T_TTAFStock_Log[TTAF_Qty],T_TTAFStock_Log[Part Name],$A57,T_TTAFStock_Log[WeekIndex],50))</f>
        <v/>
      </c>
      <c r="AZ57" s="19">
        <f>IF(COUNTIFS(T_TTAFStock_Log[Part Name],$A57,T_TTAFStock_Log[WeekIndex],51)=0,"",SUMIFS(T_TTAFStock_Log[TTAF_Qty],T_TTAFStock_Log[Part Name],$A57,T_TTAFStock_Log[WeekIndex],51))</f>
        <v/>
      </c>
      <c r="BA57" s="19">
        <f>IF(COUNTIFS(T_TTAFStock_Log[Part Name],$A57,T_TTAFStock_Log[WeekIndex],52)=0,"",SUMIFS(T_TTAFStock_Log[TTAF_Qty],T_TTAFStock_Log[Part Name],$A57,T_TTAFStock_Log[WeekIndex],52))</f>
        <v/>
      </c>
      <c r="BB57" s="19">
        <f>IF(COUNTIFS(T_TTAFStock_Log[Part Name],$A57,T_TTAFStock_Log[WeekIndex],53)=0,"",SUMIFS(T_TTAFStock_Log[TTAF_Qty],T_TTAFStock_Log[Part Name],$A57,T_TTAFStock_Log[WeekIndex],53))</f>
        <v/>
      </c>
      <c r="BC57" s="19">
        <f>IF(COUNTIFS(T_TTAFStock_Log[Part Name],$A57,T_TTAFStock_Log[WeekIndex],54)=0,"",SUMIFS(T_TTAFStock_Log[TTAF_Qty],T_TTAFStock_Log[Part Name],$A57,T_TTAFStock_Log[WeekIndex],54))</f>
        <v/>
      </c>
      <c r="BD57" s="19">
        <f>IF(COUNTIFS(T_TTAFStock_Log[Part Name],$A57,T_TTAFStock_Log[WeekIndex],55)=0,"",SUMIFS(T_TTAFStock_Log[TTAF_Qty],T_TTAFStock_Log[Part Name],$A57,T_TTAFStock_Log[WeekIndex],55))</f>
        <v/>
      </c>
      <c r="BE57" s="19">
        <f>IF(COUNTIFS(T_TTAFStock_Log[Part Name],$A57,T_TTAFStock_Log[WeekIndex],56)=0,"",SUMIFS(T_TTAFStock_Log[TTAF_Qty],T_TTAFStock_Log[Part Name],$A57,T_TTAFStock_Log[WeekIndex],56))</f>
        <v/>
      </c>
      <c r="BF57" s="19">
        <f>IF(COUNTIFS(T_TTAFStock_Log[Part Name],$A57,T_TTAFStock_Log[WeekIndex],57)=0,"",SUMIFS(T_TTAFStock_Log[TTAF_Qty],T_TTAFStock_Log[Part Name],$A57,T_TTAFStock_Log[WeekIndex],57))</f>
        <v/>
      </c>
      <c r="BG57" s="19">
        <f>IF(COUNTIFS(T_TTAFStock_Log[Part Name],$A57,T_TTAFStock_Log[WeekIndex],58)=0,"",SUMIFS(T_TTAFStock_Log[TTAF_Qty],T_TTAFStock_Log[Part Name],$A57,T_TTAFStock_Log[WeekIndex],58))</f>
        <v/>
      </c>
      <c r="BH57" s="19">
        <f>IF(COUNTIFS(T_TTAFStock_Log[Part Name],$A57,T_TTAFStock_Log[WeekIndex],59)=0,"",SUMIFS(T_TTAFStock_Log[TTAF_Qty],T_TTAFStock_Log[Part Name],$A57,T_TTAFStock_Log[WeekIndex],59))</f>
        <v/>
      </c>
      <c r="BI57" s="19">
        <f>IF(COUNTIFS(T_TTAFStock_Log[Part Name],$A57,T_TTAFStock_Log[WeekIndex],60)=0,"",SUMIFS(T_TTAFStock_Log[TTAF_Qty],T_TTAFStock_Log[Part Name],$A57,T_TTAFStock_Log[WeekIndex],60))</f>
        <v/>
      </c>
      <c r="BJ57" s="19">
        <f>IF(COUNTIFS(T_TTAFStock_Log[Part Name],$A57,T_TTAFStock_Log[WeekIndex],61)=0,"",SUMIFS(T_TTAFStock_Log[TTAF_Qty],T_TTAFStock_Log[Part Name],$A57,T_TTAFStock_Log[WeekIndex],61))</f>
        <v/>
      </c>
      <c r="BK57" s="19">
        <f>IF(COUNTIFS(T_TTAFStock_Log[Part Name],$A57,T_TTAFStock_Log[WeekIndex],62)=0,"",SUMIFS(T_TTAFStock_Log[TTAF_Qty],T_TTAFStock_Log[Part Name],$A57,T_TTAFStock_Log[WeekIndex],62))</f>
        <v/>
      </c>
      <c r="BL57" s="19">
        <f>IF(COUNTIFS(T_TTAFStock_Log[Part Name],$A57,T_TTAFStock_Log[WeekIndex],63)=0,"",SUMIFS(T_TTAFStock_Log[TTAF_Qty],T_TTAFStock_Log[Part Name],$A57,T_TTAFStock_Log[WeekIndex],63))</f>
        <v/>
      </c>
      <c r="BM57" s="19">
        <f>IF(COUNTIFS(T_TTAFStock_Log[Part Name],$A57,T_TTAFStock_Log[WeekIndex],64)=0,"",SUMIFS(T_TTAFStock_Log[TTAF_Qty],T_TTAFStock_Log[Part Name],$A57,T_TTAFStock_Log[WeekIndex],64))</f>
        <v/>
      </c>
      <c r="BN57" s="19">
        <f>IF(COUNTIFS(T_TTAFStock_Log[Part Name],$A57,T_TTAFStock_Log[WeekIndex],65)=0,"",SUMIFS(T_TTAFStock_Log[TTAF_Qty],T_TTAFStock_Log[Part Name],$A57,T_TTAFStock_Log[WeekIndex],65))</f>
        <v/>
      </c>
      <c r="BO57" s="19">
        <f>IF(COUNTIFS(T_TTAFStock_Log[Part Name],$A57,T_TTAFStock_Log[WeekIndex],66)=0,"",SUMIFS(T_TTAFStock_Log[TTAF_Qty],T_TTAFStock_Log[Part Name],$A57,T_TTAFStock_Log[WeekIndex],66))</f>
        <v/>
      </c>
      <c r="BP57" s="19">
        <f>IF(COUNTIFS(T_TTAFStock_Log[Part Name],$A57,T_TTAFStock_Log[WeekIndex],67)=0,"",SUMIFS(T_TTAFStock_Log[TTAF_Qty],T_TTAFStock_Log[Part Name],$A57,T_TTAFStock_Log[WeekIndex],67))</f>
        <v/>
      </c>
      <c r="BQ57" s="19">
        <f>IF(COUNTIFS(T_TTAFStock_Log[Part Name],$A57,T_TTAFStock_Log[WeekIndex],68)=0,"",SUMIFS(T_TTAFStock_Log[TTAF_Qty],T_TTAFStock_Log[Part Name],$A57,T_TTAFStock_Log[WeekIndex],68))</f>
        <v/>
      </c>
      <c r="BR57" s="19">
        <f>IF(COUNTIFS(T_TTAFStock_Log[Part Name],$A57,T_TTAFStock_Log[WeekIndex],69)=0,"",SUMIFS(T_TTAFStock_Log[TTAF_Qty],T_TTAFStock_Log[Part Name],$A57,T_TTAFStock_Log[WeekIndex],69))</f>
        <v/>
      </c>
      <c r="BS57" s="19">
        <f>IF(COUNTIFS(T_TTAFStock_Log[Part Name],$A57,T_TTAFStock_Log[WeekIndex],70)=0,"",SUMIFS(T_TTAFStock_Log[TTAF_Qty],T_TTAFStock_Log[Part Name],$A57,T_TTAFStock_Log[WeekIndex],70))</f>
        <v/>
      </c>
      <c r="BT57" s="19">
        <f>IF(COUNTIFS(T_TTAFStock_Log[Part Name],$A57,T_TTAFStock_Log[WeekIndex],71)=0,"",SUMIFS(T_TTAFStock_Log[TTAF_Qty],T_TTAFStock_Log[Part Name],$A57,T_TTAFStock_Log[WeekIndex],71))</f>
        <v/>
      </c>
      <c r="BU57" s="19">
        <f>IF(COUNTIFS(T_TTAFStock_Log[Part Name],$A57,T_TTAFStock_Log[WeekIndex],72)=0,"",SUMIFS(T_TTAFStock_Log[TTAF_Qty],T_TTAFStock_Log[Part Name],$A57,T_TTAFStock_Log[WeekIndex],72))</f>
        <v/>
      </c>
      <c r="BV57" s="19">
        <f>IF(COUNTIFS(T_TTAFStock_Log[Part Name],$A57,T_TTAFStock_Log[WeekIndex],73)=0,"",SUMIFS(T_TTAFStock_Log[TTAF_Qty],T_TTAFStock_Log[Part Name],$A57,T_TTAFStock_Log[WeekIndex],73))</f>
        <v/>
      </c>
      <c r="BW57" s="19">
        <f>IF(COUNTIFS(T_TTAFStock_Log[Part Name],$A57,T_TTAFStock_Log[WeekIndex],74)=0,"",SUMIFS(T_TTAFStock_Log[TTAF_Qty],T_TTAFStock_Log[Part Name],$A57,T_TTAFStock_Log[WeekIndex],74))</f>
        <v/>
      </c>
      <c r="BX57" s="19">
        <f>IF(COUNTIFS(T_TTAFStock_Log[Part Name],$A57,T_TTAFStock_Log[WeekIndex],75)=0,"",SUMIFS(T_TTAFStock_Log[TTAF_Qty],T_TTAFStock_Log[Part Name],$A57,T_TTAFStock_Log[WeekIndex],75))</f>
        <v/>
      </c>
      <c r="BY57" s="19">
        <f>IF(COUNTIFS(T_TTAFStock_Log[Part Name],$A57,T_TTAFStock_Log[WeekIndex],76)=0,"",SUMIFS(T_TTAFStock_Log[TTAF_Qty],T_TTAFStock_Log[Part Name],$A57,T_TTAFStock_Log[WeekIndex],76))</f>
        <v/>
      </c>
      <c r="BZ57" s="19">
        <f>IF(COUNTIFS(T_TTAFStock_Log[Part Name],$A57,T_TTAFStock_Log[WeekIndex],77)=0,"",SUMIFS(T_TTAFStock_Log[TTAF_Qty],T_TTAFStock_Log[Part Name],$A57,T_TTAFStock_Log[WeekIndex],77))</f>
        <v/>
      </c>
      <c r="CA57" s="19">
        <f>IF(COUNTIFS(T_TTAFStock_Log[Part Name],$A57,T_TTAFStock_Log[WeekIndex],78)=0,"",SUMIFS(T_TTAFStock_Log[TTAF_Qty],T_TTAFStock_Log[Part Name],$A57,T_TTAFStock_Log[WeekIndex],78))</f>
        <v/>
      </c>
      <c r="CB57" s="19">
        <f>IF(COUNTIFS(T_TTAFStock_Log[Part Name],$A57,T_TTAFStock_Log[WeekIndex],79)=0,"",SUMIFS(T_TTAFStock_Log[TTAF_Qty],T_TTAFStock_Log[Part Name],$A57,T_TTAFStock_Log[WeekIndex],79))</f>
        <v/>
      </c>
      <c r="CC57" s="19">
        <f>IF(COUNTIFS(T_TTAFStock_Log[Part Name],$A57,T_TTAFStock_Log[WeekIndex],80)=0,"",SUMIFS(T_TTAFStock_Log[TTAF_Qty],T_TTAFStock_Log[Part Name],$A57,T_TTAFStock_Log[WeekIndex],80))</f>
        <v/>
      </c>
      <c r="CD57" s="19">
        <f>IF(COUNTIFS(T_TTAFStock_Log[Part Name],$A57,T_TTAFStock_Log[WeekIndex],81)=0,"",SUMIFS(T_TTAFStock_Log[TTAF_Qty],T_TTAFStock_Log[Part Name],$A57,T_TTAFStock_Log[WeekIndex],81))</f>
        <v/>
      </c>
      <c r="CE57" s="19">
        <f>IF(COUNTIFS(T_TTAFStock_Log[Part Name],$A57,T_TTAFStock_Log[WeekIndex],82)=0,"",SUMIFS(T_TTAFStock_Log[TTAF_Qty],T_TTAFStock_Log[Part Name],$A57,T_TTAFStock_Log[WeekIndex],82))</f>
        <v/>
      </c>
      <c r="CF57" s="19">
        <f>IF(COUNTIFS(T_TTAFStock_Log[Part Name],$A57,T_TTAFStock_Log[WeekIndex],83)=0,"",SUMIFS(T_TTAFStock_Log[TTAF_Qty],T_TTAFStock_Log[Part Name],$A57,T_TTAFStock_Log[WeekIndex],83))</f>
        <v/>
      </c>
      <c r="CG57" s="19">
        <f>IF(COUNTIFS(T_TTAFStock_Log[Part Name],$A57,T_TTAFStock_Log[WeekIndex],84)=0,"",SUMIFS(T_TTAFStock_Log[TTAF_Qty],T_TTAFStock_Log[Part Name],$A57,T_TTAFStock_Log[WeekIndex],84))</f>
        <v/>
      </c>
      <c r="CH57" s="19">
        <f>IF(COUNTIFS(T_TTAFStock_Log[Part Name],$A57,T_TTAFStock_Log[WeekIndex],85)=0,"",SUMIFS(T_TTAFStock_Log[TTAF_Qty],T_TTAFStock_Log[Part Name],$A57,T_TTAFStock_Log[WeekIndex],85))</f>
        <v/>
      </c>
      <c r="CI57" s="19">
        <f>IF(COUNTIFS(T_TTAFStock_Log[Part Name],$A57,T_TTAFStock_Log[WeekIndex],86)=0,"",SUMIFS(T_TTAFStock_Log[TTAF_Qty],T_TTAFStock_Log[Part Name],$A57,T_TTAFStock_Log[WeekIndex],86))</f>
        <v/>
      </c>
      <c r="CJ57" s="19">
        <f>IF(COUNTIFS(T_TTAFStock_Log[Part Name],$A57,T_TTAFStock_Log[WeekIndex],87)=0,"",SUMIFS(T_TTAFStock_Log[TTAF_Qty],T_TTAFStock_Log[Part Name],$A57,T_TTAFStock_Log[WeekIndex],87))</f>
        <v/>
      </c>
      <c r="CK57" s="19">
        <f>IF(COUNTIFS(T_TTAFStock_Log[Part Name],$A57,T_TTAFStock_Log[WeekIndex],88)=0,"",SUMIFS(T_TTAFStock_Log[TTAF_Qty],T_TTAFStock_Log[Part Name],$A57,T_TTAFStock_Log[WeekIndex],88))</f>
        <v/>
      </c>
      <c r="CL57" s="19">
        <f>IF(COUNTIFS(T_TTAFStock_Log[Part Name],$A57,T_TTAFStock_Log[WeekIndex],89)=0,"",SUMIFS(T_TTAFStock_Log[TTAF_Qty],T_TTAFStock_Log[Part Name],$A57,T_TTAFStock_Log[WeekIndex],89))</f>
        <v/>
      </c>
      <c r="CM57" s="19">
        <f>IF(COUNTIFS(T_TTAFStock_Log[Part Name],$A57,T_TTAFStock_Log[WeekIndex],90)=0,"",SUMIFS(T_TTAFStock_Log[TTAF_Qty],T_TTAFStock_Log[Part Name],$A57,T_TTAFStock_Log[WeekIndex],90))</f>
        <v/>
      </c>
      <c r="CN57" s="19">
        <f>IF(COUNTIFS(T_TTAFStock_Log[Part Name],$A57,T_TTAFStock_Log[WeekIndex],91)=0,"",SUMIFS(T_TTAFStock_Log[TTAF_Qty],T_TTAFStock_Log[Part Name],$A57,T_TTAFStock_Log[WeekIndex],91))</f>
        <v/>
      </c>
      <c r="CO57" s="19">
        <f>IF(COUNTIFS(T_TTAFStock_Log[Part Name],$A57,T_TTAFStock_Log[WeekIndex],92)=0,"",SUMIFS(T_TTAFStock_Log[TTAF_Qty],T_TTAFStock_Log[Part Name],$A57,T_TTAFStock_Log[WeekIndex],92))</f>
        <v/>
      </c>
      <c r="CP57" s="19">
        <f>IF(COUNTIFS(T_TTAFStock_Log[Part Name],$A57,T_TTAFStock_Log[WeekIndex],93)=0,"",SUMIFS(T_TTAFStock_Log[TTAF_Qty],T_TTAFStock_Log[Part Name],$A57,T_TTAFStock_Log[WeekIndex],93))</f>
        <v/>
      </c>
      <c r="CQ57" s="19">
        <f>IF(COUNTIFS(T_TTAFStock_Log[Part Name],$A57,T_TTAFStock_Log[WeekIndex],94)=0,"",SUMIFS(T_TTAFStock_Log[TTAF_Qty],T_TTAFStock_Log[Part Name],$A57,T_TTAFStock_Log[WeekIndex],94))</f>
        <v/>
      </c>
      <c r="CR57" s="19">
        <f>IF(COUNTIFS(T_TTAFStock_Log[Part Name],$A57,T_TTAFStock_Log[WeekIndex],95)=0,"",SUMIFS(T_TTAFStock_Log[TTAF_Qty],T_TTAFStock_Log[Part Name],$A57,T_TTAFStock_Log[WeekIndex],95))</f>
        <v/>
      </c>
      <c r="CS57" s="19">
        <f>IF(COUNTIFS(T_TTAFStock_Log[Part Name],$A57,T_TTAFStock_Log[WeekIndex],96)=0,"",SUMIFS(T_TTAFStock_Log[TTAF_Qty],T_TTAFStock_Log[Part Name],$A57,T_TTAFStock_Log[WeekIndex],96))</f>
        <v/>
      </c>
      <c r="CT57" s="19">
        <f>IF(COUNTIFS(T_TTAFStock_Log[Part Name],$A57,T_TTAFStock_Log[WeekIndex],97)=0,"",SUMIFS(T_TTAFStock_Log[TTAF_Qty],T_TTAFStock_Log[Part Name],$A57,T_TTAFStock_Log[WeekIndex],97))</f>
        <v/>
      </c>
      <c r="CU57" s="19">
        <f>IF(COUNTIFS(T_TTAFStock_Log[Part Name],$A57,T_TTAFStock_Log[WeekIndex],98)=0,"",SUMIFS(T_TTAFStock_Log[TTAF_Qty],T_TTAFStock_Log[Part Name],$A57,T_TTAFStock_Log[WeekIndex],98))</f>
        <v/>
      </c>
      <c r="CV57" s="19">
        <f>IF(COUNTIFS(T_TTAFStock_Log[Part Name],$A57,T_TTAFStock_Log[WeekIndex],99)=0,"",SUMIFS(T_TTAFStock_Log[TTAF_Qty],T_TTAFStock_Log[Part Name],$A57,T_TTAFStock_Log[WeekIndex],99))</f>
        <v/>
      </c>
      <c r="CW57" s="19">
        <f>IF(COUNTIFS(T_TTAFStock_Log[Part Name],$A57,T_TTAFStock_Log[WeekIndex],100)=0,"",SUMIFS(T_TTAFStock_Log[TTAF_Qty],T_TTAFStock_Log[Part Name],$A57,T_TTAFStock_Log[WeekIndex],100))</f>
        <v/>
      </c>
      <c r="CX57" s="19">
        <f>IF(COUNTIFS(T_TTAFStock_Log[Part Name],$A57,T_TTAFStock_Log[WeekIndex],101)=0,"",SUMIFS(T_TTAFStock_Log[TTAF_Qty],T_TTAFStock_Log[Part Name],$A57,T_TTAFStock_Log[WeekIndex],101))</f>
        <v/>
      </c>
      <c r="CY57" s="19">
        <f>IF(COUNTIFS(T_TTAFStock_Log[Part Name],$A57,T_TTAFStock_Log[WeekIndex],102)=0,"",SUMIFS(T_TTAFStock_Log[TTAF_Qty],T_TTAFStock_Log[Part Name],$A57,T_TTAFStock_Log[WeekIndex],102))</f>
        <v/>
      </c>
      <c r="CZ57" s="19">
        <f>IF(COUNTIFS(T_TTAFStock_Log[Part Name],$A57,T_TTAFStock_Log[WeekIndex],103)=0,"",SUMIFS(T_TTAFStock_Log[TTAF_Qty],T_TTAFStock_Log[Part Name],$A57,T_TTAFStock_Log[WeekIndex],103))</f>
        <v/>
      </c>
      <c r="DA57" s="19">
        <f>IF(COUNTIFS(T_TTAFStock_Log[Part Name],$A57,T_TTAFStock_Log[WeekIndex],104)=0,"",SUMIFS(T_TTAFStock_Log[TTAF_Qty],T_TTAFStock_Log[Part Name],$A57,T_TTAFStock_Log[WeekIndex],104))</f>
        <v/>
      </c>
    </row>
    <row r="58">
      <c r="A58" s="17" t="inlineStr">
        <is>
          <t>PP Film</t>
        </is>
      </c>
      <c r="B58" s="17">
        <f>IF(COUNTIFS(T_TTAFStock_Log[Part Name],$A58,T_TTAFStock_Log[WeekIndex],1)=0,"",SUMIFS(T_TTAFStock_Log[TTAF_Qty],T_TTAFStock_Log[Part Name],$A58,T_TTAFStock_Log[WeekIndex],1))</f>
        <v/>
      </c>
      <c r="C58" s="17">
        <f>IF(COUNTIFS(T_TTAFStock_Log[Part Name],$A58,T_TTAFStock_Log[WeekIndex],2)=0,"",SUMIFS(T_TTAFStock_Log[TTAF_Qty],T_TTAFStock_Log[Part Name],$A58,T_TTAFStock_Log[WeekIndex],2))</f>
        <v/>
      </c>
      <c r="D58" s="17">
        <f>IF(COUNTIFS(T_TTAFStock_Log[Part Name],$A58,T_TTAFStock_Log[WeekIndex],3)=0,"",SUMIFS(T_TTAFStock_Log[TTAF_Qty],T_TTAFStock_Log[Part Name],$A58,T_TTAFStock_Log[WeekIndex],3))</f>
        <v/>
      </c>
      <c r="E58" s="17">
        <f>IF(COUNTIFS(T_TTAFStock_Log[Part Name],$A58,T_TTAFStock_Log[WeekIndex],4)=0,"",SUMIFS(T_TTAFStock_Log[TTAF_Qty],T_TTAFStock_Log[Part Name],$A58,T_TTAFStock_Log[WeekIndex],4))</f>
        <v/>
      </c>
      <c r="F58" s="17">
        <f>IF(COUNTIFS(T_TTAFStock_Log[Part Name],$A58,T_TTAFStock_Log[WeekIndex],5)=0,"",SUMIFS(T_TTAFStock_Log[TTAF_Qty],T_TTAFStock_Log[Part Name],$A58,T_TTAFStock_Log[WeekIndex],5))</f>
        <v/>
      </c>
      <c r="G58" s="17">
        <f>IF(COUNTIFS(T_TTAFStock_Log[Part Name],$A58,T_TTAFStock_Log[WeekIndex],6)=0,"",SUMIFS(T_TTAFStock_Log[TTAF_Qty],T_TTAFStock_Log[Part Name],$A58,T_TTAFStock_Log[WeekIndex],6))</f>
        <v/>
      </c>
      <c r="H58" s="17">
        <f>IF(COUNTIFS(T_TTAFStock_Log[Part Name],$A58,T_TTAFStock_Log[WeekIndex],7)=0,"",SUMIFS(T_TTAFStock_Log[TTAF_Qty],T_TTAFStock_Log[Part Name],$A58,T_TTAFStock_Log[WeekIndex],7))</f>
        <v/>
      </c>
      <c r="I58" s="17">
        <f>IF(COUNTIFS(T_TTAFStock_Log[Part Name],$A58,T_TTAFStock_Log[WeekIndex],8)=0,"",SUMIFS(T_TTAFStock_Log[TTAF_Qty],T_TTAFStock_Log[Part Name],$A58,T_TTAFStock_Log[WeekIndex],8))</f>
        <v/>
      </c>
      <c r="J58" s="17">
        <f>IF(COUNTIFS(T_TTAFStock_Log[Part Name],$A58,T_TTAFStock_Log[WeekIndex],9)=0,"",SUMIFS(T_TTAFStock_Log[TTAF_Qty],T_TTAFStock_Log[Part Name],$A58,T_TTAFStock_Log[WeekIndex],9))</f>
        <v/>
      </c>
      <c r="K58" s="17">
        <f>IF(COUNTIFS(T_TTAFStock_Log[Part Name],$A58,T_TTAFStock_Log[WeekIndex],10)=0,"",SUMIFS(T_TTAFStock_Log[TTAF_Qty],T_TTAFStock_Log[Part Name],$A58,T_TTAFStock_Log[WeekIndex],10))</f>
        <v/>
      </c>
      <c r="L58" s="17">
        <f>IF(COUNTIFS(T_TTAFStock_Log[Part Name],$A58,T_TTAFStock_Log[WeekIndex],11)=0,"",SUMIFS(T_TTAFStock_Log[TTAF_Qty],T_TTAFStock_Log[Part Name],$A58,T_TTAFStock_Log[WeekIndex],11))</f>
        <v/>
      </c>
      <c r="M58" s="17">
        <f>IF(COUNTIFS(T_TTAFStock_Log[Part Name],$A58,T_TTAFStock_Log[WeekIndex],12)=0,"",SUMIFS(T_TTAFStock_Log[TTAF_Qty],T_TTAFStock_Log[Part Name],$A58,T_TTAFStock_Log[WeekIndex],12))</f>
        <v/>
      </c>
      <c r="N58" s="17">
        <f>IF(COUNTIFS(T_TTAFStock_Log[Part Name],$A58,T_TTAFStock_Log[WeekIndex],13)=0,"",SUMIFS(T_TTAFStock_Log[TTAF_Qty],T_TTAFStock_Log[Part Name],$A58,T_TTAFStock_Log[WeekIndex],13))</f>
        <v/>
      </c>
      <c r="O58" s="17">
        <f>IF(COUNTIFS(T_TTAFStock_Log[Part Name],$A58,T_TTAFStock_Log[WeekIndex],14)=0,"",SUMIFS(T_TTAFStock_Log[TTAF_Qty],T_TTAFStock_Log[Part Name],$A58,T_TTAFStock_Log[WeekIndex],14))</f>
        <v/>
      </c>
      <c r="P58" s="17">
        <f>IF(COUNTIFS(T_TTAFStock_Log[Part Name],$A58,T_TTAFStock_Log[WeekIndex],15)=0,"",SUMIFS(T_TTAFStock_Log[TTAF_Qty],T_TTAFStock_Log[Part Name],$A58,T_TTAFStock_Log[WeekIndex],15))</f>
        <v/>
      </c>
      <c r="Q58" s="17">
        <f>IF(COUNTIFS(T_TTAFStock_Log[Part Name],$A58,T_TTAFStock_Log[WeekIndex],16)=0,"",SUMIFS(T_TTAFStock_Log[TTAF_Qty],T_TTAFStock_Log[Part Name],$A58,T_TTAFStock_Log[WeekIndex],16))</f>
        <v/>
      </c>
      <c r="R58" s="17">
        <f>IF(COUNTIFS(T_TTAFStock_Log[Part Name],$A58,T_TTAFStock_Log[WeekIndex],17)=0,"",SUMIFS(T_TTAFStock_Log[TTAF_Qty],T_TTAFStock_Log[Part Name],$A58,T_TTAFStock_Log[WeekIndex],17))</f>
        <v/>
      </c>
      <c r="S58" s="17">
        <f>IF(COUNTIFS(T_TTAFStock_Log[Part Name],$A58,T_TTAFStock_Log[WeekIndex],18)=0,"",SUMIFS(T_TTAFStock_Log[TTAF_Qty],T_TTAFStock_Log[Part Name],$A58,T_TTAFStock_Log[WeekIndex],18))</f>
        <v/>
      </c>
      <c r="T58" s="17">
        <f>IF(COUNTIFS(T_TTAFStock_Log[Part Name],$A58,T_TTAFStock_Log[WeekIndex],19)=0,"",SUMIFS(T_TTAFStock_Log[TTAF_Qty],T_TTAFStock_Log[Part Name],$A58,T_TTAFStock_Log[WeekIndex],19))</f>
        <v/>
      </c>
      <c r="U58" s="17">
        <f>IF(COUNTIFS(T_TTAFStock_Log[Part Name],$A58,T_TTAFStock_Log[WeekIndex],20)=0,"",SUMIFS(T_TTAFStock_Log[TTAF_Qty],T_TTAFStock_Log[Part Name],$A58,T_TTAFStock_Log[WeekIndex],20))</f>
        <v/>
      </c>
      <c r="V58" s="17">
        <f>IF(COUNTIFS(T_TTAFStock_Log[Part Name],$A58,T_TTAFStock_Log[WeekIndex],21)=0,"",SUMIFS(T_TTAFStock_Log[TTAF_Qty],T_TTAFStock_Log[Part Name],$A58,T_TTAFStock_Log[WeekIndex],21))</f>
        <v/>
      </c>
      <c r="W58" s="17">
        <f>IF(COUNTIFS(T_TTAFStock_Log[Part Name],$A58,T_TTAFStock_Log[WeekIndex],22)=0,"",SUMIFS(T_TTAFStock_Log[TTAF_Qty],T_TTAFStock_Log[Part Name],$A58,T_TTAFStock_Log[WeekIndex],22))</f>
        <v/>
      </c>
      <c r="X58" s="17">
        <f>IF(COUNTIFS(T_TTAFStock_Log[Part Name],$A58,T_TTAFStock_Log[WeekIndex],23)=0,"",SUMIFS(T_TTAFStock_Log[TTAF_Qty],T_TTAFStock_Log[Part Name],$A58,T_TTAFStock_Log[WeekIndex],23))</f>
        <v/>
      </c>
      <c r="Y58" s="17">
        <f>IF(COUNTIFS(T_TTAFStock_Log[Part Name],$A58,T_TTAFStock_Log[WeekIndex],24)=0,"",SUMIFS(T_TTAFStock_Log[TTAF_Qty],T_TTAFStock_Log[Part Name],$A58,T_TTAFStock_Log[WeekIndex],24))</f>
        <v/>
      </c>
      <c r="Z58" s="17">
        <f>IF(COUNTIFS(T_TTAFStock_Log[Part Name],$A58,T_TTAFStock_Log[WeekIndex],25)=0,"",SUMIFS(T_TTAFStock_Log[TTAF_Qty],T_TTAFStock_Log[Part Name],$A58,T_TTAFStock_Log[WeekIndex],25))</f>
        <v/>
      </c>
      <c r="AA58" s="17">
        <f>IF(COUNTIFS(T_TTAFStock_Log[Part Name],$A58,T_TTAFStock_Log[WeekIndex],26)=0,"",SUMIFS(T_TTAFStock_Log[TTAF_Qty],T_TTAFStock_Log[Part Name],$A58,T_TTAFStock_Log[WeekIndex],26))</f>
        <v/>
      </c>
      <c r="AB58" s="17">
        <f>IF(COUNTIFS(T_TTAFStock_Log[Part Name],$A58,T_TTAFStock_Log[WeekIndex],27)=0,"",SUMIFS(T_TTAFStock_Log[TTAF_Qty],T_TTAFStock_Log[Part Name],$A58,T_TTAFStock_Log[WeekIndex],27))</f>
        <v/>
      </c>
      <c r="AC58" s="17">
        <f>IF(COUNTIFS(T_TTAFStock_Log[Part Name],$A58,T_TTAFStock_Log[WeekIndex],28)=0,"",SUMIFS(T_TTAFStock_Log[TTAF_Qty],T_TTAFStock_Log[Part Name],$A58,T_TTAFStock_Log[WeekIndex],28))</f>
        <v/>
      </c>
      <c r="AD58" s="17">
        <f>IF(COUNTIFS(T_TTAFStock_Log[Part Name],$A58,T_TTAFStock_Log[WeekIndex],29)=0,"",SUMIFS(T_TTAFStock_Log[TTAF_Qty],T_TTAFStock_Log[Part Name],$A58,T_TTAFStock_Log[WeekIndex],29))</f>
        <v/>
      </c>
      <c r="AE58" s="17">
        <f>IF(COUNTIFS(T_TTAFStock_Log[Part Name],$A58,T_TTAFStock_Log[WeekIndex],30)=0,"",SUMIFS(T_TTAFStock_Log[TTAF_Qty],T_TTAFStock_Log[Part Name],$A58,T_TTAFStock_Log[WeekIndex],30))</f>
        <v/>
      </c>
      <c r="AF58" s="17">
        <f>IF(COUNTIFS(T_TTAFStock_Log[Part Name],$A58,T_TTAFStock_Log[WeekIndex],31)=0,"",SUMIFS(T_TTAFStock_Log[TTAF_Qty],T_TTAFStock_Log[Part Name],$A58,T_TTAFStock_Log[WeekIndex],31))</f>
        <v/>
      </c>
      <c r="AG58" s="17">
        <f>IF(COUNTIFS(T_TTAFStock_Log[Part Name],$A58,T_TTAFStock_Log[WeekIndex],32)=0,"",SUMIFS(T_TTAFStock_Log[TTAF_Qty],T_TTAFStock_Log[Part Name],$A58,T_TTAFStock_Log[WeekIndex],32))</f>
        <v/>
      </c>
      <c r="AH58" s="17">
        <f>IF(COUNTIFS(T_TTAFStock_Log[Part Name],$A58,T_TTAFStock_Log[WeekIndex],33)=0,"",SUMIFS(T_TTAFStock_Log[TTAF_Qty],T_TTAFStock_Log[Part Name],$A58,T_TTAFStock_Log[WeekIndex],33))</f>
        <v/>
      </c>
      <c r="AI58" s="17">
        <f>IF(COUNTIFS(T_TTAFStock_Log[Part Name],$A58,T_TTAFStock_Log[WeekIndex],34)=0,"",SUMIFS(T_TTAFStock_Log[TTAF_Qty],T_TTAFStock_Log[Part Name],$A58,T_TTAFStock_Log[WeekIndex],34))</f>
        <v/>
      </c>
      <c r="AJ58" s="17">
        <f>IF(COUNTIFS(T_TTAFStock_Log[Part Name],$A58,T_TTAFStock_Log[WeekIndex],35)=0,"",SUMIFS(T_TTAFStock_Log[TTAF_Qty],T_TTAFStock_Log[Part Name],$A58,T_TTAFStock_Log[WeekIndex],35))</f>
        <v/>
      </c>
      <c r="AK58" s="17">
        <f>IF(COUNTIFS(T_TTAFStock_Log[Part Name],$A58,T_TTAFStock_Log[WeekIndex],36)=0,"",SUMIFS(T_TTAFStock_Log[TTAF_Qty],T_TTAFStock_Log[Part Name],$A58,T_TTAFStock_Log[WeekIndex],36))</f>
        <v/>
      </c>
      <c r="AL58" s="17">
        <f>IF(COUNTIFS(T_TTAFStock_Log[Part Name],$A58,T_TTAFStock_Log[WeekIndex],37)=0,"",SUMIFS(T_TTAFStock_Log[TTAF_Qty],T_TTAFStock_Log[Part Name],$A58,T_TTAFStock_Log[WeekIndex],37))</f>
        <v/>
      </c>
      <c r="AM58" s="17">
        <f>IF(COUNTIFS(T_TTAFStock_Log[Part Name],$A58,T_TTAFStock_Log[WeekIndex],38)=0,"",SUMIFS(T_TTAFStock_Log[TTAF_Qty],T_TTAFStock_Log[Part Name],$A58,T_TTAFStock_Log[WeekIndex],38))</f>
        <v/>
      </c>
      <c r="AN58" s="17">
        <f>IF(COUNTIFS(T_TTAFStock_Log[Part Name],$A58,T_TTAFStock_Log[WeekIndex],39)=0,"",SUMIFS(T_TTAFStock_Log[TTAF_Qty],T_TTAFStock_Log[Part Name],$A58,T_TTAFStock_Log[WeekIndex],39))</f>
        <v/>
      </c>
      <c r="AO58" s="17">
        <f>IF(COUNTIFS(T_TTAFStock_Log[Part Name],$A58,T_TTAFStock_Log[WeekIndex],40)=0,"",SUMIFS(T_TTAFStock_Log[TTAF_Qty],T_TTAFStock_Log[Part Name],$A58,T_TTAFStock_Log[WeekIndex],40))</f>
        <v/>
      </c>
      <c r="AP58" s="17">
        <f>IF(COUNTIFS(T_TTAFStock_Log[Part Name],$A58,T_TTAFStock_Log[WeekIndex],41)=0,"",SUMIFS(T_TTAFStock_Log[TTAF_Qty],T_TTAFStock_Log[Part Name],$A58,T_TTAFStock_Log[WeekIndex],41))</f>
        <v/>
      </c>
      <c r="AQ58" s="17">
        <f>IF(COUNTIFS(T_TTAFStock_Log[Part Name],$A58,T_TTAFStock_Log[WeekIndex],42)=0,"",SUMIFS(T_TTAFStock_Log[TTAF_Qty],T_TTAFStock_Log[Part Name],$A58,T_TTAFStock_Log[WeekIndex],42))</f>
        <v/>
      </c>
      <c r="AR58" s="17">
        <f>IF(COUNTIFS(T_TTAFStock_Log[Part Name],$A58,T_TTAFStock_Log[WeekIndex],43)=0,"",SUMIFS(T_TTAFStock_Log[TTAF_Qty],T_TTAFStock_Log[Part Name],$A58,T_TTAFStock_Log[WeekIndex],43))</f>
        <v/>
      </c>
      <c r="AS58" s="17">
        <f>IF(COUNTIFS(T_TTAFStock_Log[Part Name],$A58,T_TTAFStock_Log[WeekIndex],44)=0,"",SUMIFS(T_TTAFStock_Log[TTAF_Qty],T_TTAFStock_Log[Part Name],$A58,T_TTAFStock_Log[WeekIndex],44))</f>
        <v/>
      </c>
      <c r="AT58" s="17">
        <f>IF(COUNTIFS(T_TTAFStock_Log[Part Name],$A58,T_TTAFStock_Log[WeekIndex],45)=0,"",SUMIFS(T_TTAFStock_Log[TTAF_Qty],T_TTAFStock_Log[Part Name],$A58,T_TTAFStock_Log[WeekIndex],45))</f>
        <v/>
      </c>
      <c r="AU58" s="17">
        <f>IF(COUNTIFS(T_TTAFStock_Log[Part Name],$A58,T_TTAFStock_Log[WeekIndex],46)=0,"",SUMIFS(T_TTAFStock_Log[TTAF_Qty],T_TTAFStock_Log[Part Name],$A58,T_TTAFStock_Log[WeekIndex],46))</f>
        <v/>
      </c>
      <c r="AV58" s="17">
        <f>IF(COUNTIFS(T_TTAFStock_Log[Part Name],$A58,T_TTAFStock_Log[WeekIndex],47)=0,"",SUMIFS(T_TTAFStock_Log[TTAF_Qty],T_TTAFStock_Log[Part Name],$A58,T_TTAFStock_Log[WeekIndex],47))</f>
        <v/>
      </c>
      <c r="AW58" s="17">
        <f>IF(COUNTIFS(T_TTAFStock_Log[Part Name],$A58,T_TTAFStock_Log[WeekIndex],48)=0,"",SUMIFS(T_TTAFStock_Log[TTAF_Qty],T_TTAFStock_Log[Part Name],$A58,T_TTAFStock_Log[WeekIndex],48))</f>
        <v/>
      </c>
      <c r="AX58" s="17">
        <f>IF(COUNTIFS(T_TTAFStock_Log[Part Name],$A58,T_TTAFStock_Log[WeekIndex],49)=0,"",SUMIFS(T_TTAFStock_Log[TTAF_Qty],T_TTAFStock_Log[Part Name],$A58,T_TTAFStock_Log[WeekIndex],49))</f>
        <v/>
      </c>
      <c r="AY58" s="17">
        <f>IF(COUNTIFS(T_TTAFStock_Log[Part Name],$A58,T_TTAFStock_Log[WeekIndex],50)=0,"",SUMIFS(T_TTAFStock_Log[TTAF_Qty],T_TTAFStock_Log[Part Name],$A58,T_TTAFStock_Log[WeekIndex],50))</f>
        <v/>
      </c>
      <c r="AZ58" s="17">
        <f>IF(COUNTIFS(T_TTAFStock_Log[Part Name],$A58,T_TTAFStock_Log[WeekIndex],51)=0,"",SUMIFS(T_TTAFStock_Log[TTAF_Qty],T_TTAFStock_Log[Part Name],$A58,T_TTAFStock_Log[WeekIndex],51))</f>
        <v/>
      </c>
      <c r="BA58" s="17">
        <f>IF(COUNTIFS(T_TTAFStock_Log[Part Name],$A58,T_TTAFStock_Log[WeekIndex],52)=0,"",SUMIFS(T_TTAFStock_Log[TTAF_Qty],T_TTAFStock_Log[Part Name],$A58,T_TTAFStock_Log[WeekIndex],52))</f>
        <v/>
      </c>
      <c r="BB58" s="17">
        <f>IF(COUNTIFS(T_TTAFStock_Log[Part Name],$A58,T_TTAFStock_Log[WeekIndex],53)=0,"",SUMIFS(T_TTAFStock_Log[TTAF_Qty],T_TTAFStock_Log[Part Name],$A58,T_TTAFStock_Log[WeekIndex],53))</f>
        <v/>
      </c>
      <c r="BC58" s="17">
        <f>IF(COUNTIFS(T_TTAFStock_Log[Part Name],$A58,T_TTAFStock_Log[WeekIndex],54)=0,"",SUMIFS(T_TTAFStock_Log[TTAF_Qty],T_TTAFStock_Log[Part Name],$A58,T_TTAFStock_Log[WeekIndex],54))</f>
        <v/>
      </c>
      <c r="BD58" s="17">
        <f>IF(COUNTIFS(T_TTAFStock_Log[Part Name],$A58,T_TTAFStock_Log[WeekIndex],55)=0,"",SUMIFS(T_TTAFStock_Log[TTAF_Qty],T_TTAFStock_Log[Part Name],$A58,T_TTAFStock_Log[WeekIndex],55))</f>
        <v/>
      </c>
      <c r="BE58" s="17">
        <f>IF(COUNTIFS(T_TTAFStock_Log[Part Name],$A58,T_TTAFStock_Log[WeekIndex],56)=0,"",SUMIFS(T_TTAFStock_Log[TTAF_Qty],T_TTAFStock_Log[Part Name],$A58,T_TTAFStock_Log[WeekIndex],56))</f>
        <v/>
      </c>
      <c r="BF58" s="17">
        <f>IF(COUNTIFS(T_TTAFStock_Log[Part Name],$A58,T_TTAFStock_Log[WeekIndex],57)=0,"",SUMIFS(T_TTAFStock_Log[TTAF_Qty],T_TTAFStock_Log[Part Name],$A58,T_TTAFStock_Log[WeekIndex],57))</f>
        <v/>
      </c>
      <c r="BG58" s="17">
        <f>IF(COUNTIFS(T_TTAFStock_Log[Part Name],$A58,T_TTAFStock_Log[WeekIndex],58)=0,"",SUMIFS(T_TTAFStock_Log[TTAF_Qty],T_TTAFStock_Log[Part Name],$A58,T_TTAFStock_Log[WeekIndex],58))</f>
        <v/>
      </c>
      <c r="BH58" s="17">
        <f>IF(COUNTIFS(T_TTAFStock_Log[Part Name],$A58,T_TTAFStock_Log[WeekIndex],59)=0,"",SUMIFS(T_TTAFStock_Log[TTAF_Qty],T_TTAFStock_Log[Part Name],$A58,T_TTAFStock_Log[WeekIndex],59))</f>
        <v/>
      </c>
      <c r="BI58" s="17">
        <f>IF(COUNTIFS(T_TTAFStock_Log[Part Name],$A58,T_TTAFStock_Log[WeekIndex],60)=0,"",SUMIFS(T_TTAFStock_Log[TTAF_Qty],T_TTAFStock_Log[Part Name],$A58,T_TTAFStock_Log[WeekIndex],60))</f>
        <v/>
      </c>
      <c r="BJ58" s="17">
        <f>IF(COUNTIFS(T_TTAFStock_Log[Part Name],$A58,T_TTAFStock_Log[WeekIndex],61)=0,"",SUMIFS(T_TTAFStock_Log[TTAF_Qty],T_TTAFStock_Log[Part Name],$A58,T_TTAFStock_Log[WeekIndex],61))</f>
        <v/>
      </c>
      <c r="BK58" s="17">
        <f>IF(COUNTIFS(T_TTAFStock_Log[Part Name],$A58,T_TTAFStock_Log[WeekIndex],62)=0,"",SUMIFS(T_TTAFStock_Log[TTAF_Qty],T_TTAFStock_Log[Part Name],$A58,T_TTAFStock_Log[WeekIndex],62))</f>
        <v/>
      </c>
      <c r="BL58" s="17">
        <f>IF(COUNTIFS(T_TTAFStock_Log[Part Name],$A58,T_TTAFStock_Log[WeekIndex],63)=0,"",SUMIFS(T_TTAFStock_Log[TTAF_Qty],T_TTAFStock_Log[Part Name],$A58,T_TTAFStock_Log[WeekIndex],63))</f>
        <v/>
      </c>
      <c r="BM58" s="17">
        <f>IF(COUNTIFS(T_TTAFStock_Log[Part Name],$A58,T_TTAFStock_Log[WeekIndex],64)=0,"",SUMIFS(T_TTAFStock_Log[TTAF_Qty],T_TTAFStock_Log[Part Name],$A58,T_TTAFStock_Log[WeekIndex],64))</f>
        <v/>
      </c>
      <c r="BN58" s="17">
        <f>IF(COUNTIFS(T_TTAFStock_Log[Part Name],$A58,T_TTAFStock_Log[WeekIndex],65)=0,"",SUMIFS(T_TTAFStock_Log[TTAF_Qty],T_TTAFStock_Log[Part Name],$A58,T_TTAFStock_Log[WeekIndex],65))</f>
        <v/>
      </c>
      <c r="BO58" s="17">
        <f>IF(COUNTIFS(T_TTAFStock_Log[Part Name],$A58,T_TTAFStock_Log[WeekIndex],66)=0,"",SUMIFS(T_TTAFStock_Log[TTAF_Qty],T_TTAFStock_Log[Part Name],$A58,T_TTAFStock_Log[WeekIndex],66))</f>
        <v/>
      </c>
      <c r="BP58" s="17">
        <f>IF(COUNTIFS(T_TTAFStock_Log[Part Name],$A58,T_TTAFStock_Log[WeekIndex],67)=0,"",SUMIFS(T_TTAFStock_Log[TTAF_Qty],T_TTAFStock_Log[Part Name],$A58,T_TTAFStock_Log[WeekIndex],67))</f>
        <v/>
      </c>
      <c r="BQ58" s="17">
        <f>IF(COUNTIFS(T_TTAFStock_Log[Part Name],$A58,T_TTAFStock_Log[WeekIndex],68)=0,"",SUMIFS(T_TTAFStock_Log[TTAF_Qty],T_TTAFStock_Log[Part Name],$A58,T_TTAFStock_Log[WeekIndex],68))</f>
        <v/>
      </c>
      <c r="BR58" s="17">
        <f>IF(COUNTIFS(T_TTAFStock_Log[Part Name],$A58,T_TTAFStock_Log[WeekIndex],69)=0,"",SUMIFS(T_TTAFStock_Log[TTAF_Qty],T_TTAFStock_Log[Part Name],$A58,T_TTAFStock_Log[WeekIndex],69))</f>
        <v/>
      </c>
      <c r="BS58" s="17">
        <f>IF(COUNTIFS(T_TTAFStock_Log[Part Name],$A58,T_TTAFStock_Log[WeekIndex],70)=0,"",SUMIFS(T_TTAFStock_Log[TTAF_Qty],T_TTAFStock_Log[Part Name],$A58,T_TTAFStock_Log[WeekIndex],70))</f>
        <v/>
      </c>
      <c r="BT58" s="17">
        <f>IF(COUNTIFS(T_TTAFStock_Log[Part Name],$A58,T_TTAFStock_Log[WeekIndex],71)=0,"",SUMIFS(T_TTAFStock_Log[TTAF_Qty],T_TTAFStock_Log[Part Name],$A58,T_TTAFStock_Log[WeekIndex],71))</f>
        <v/>
      </c>
      <c r="BU58" s="17">
        <f>IF(COUNTIFS(T_TTAFStock_Log[Part Name],$A58,T_TTAFStock_Log[WeekIndex],72)=0,"",SUMIFS(T_TTAFStock_Log[TTAF_Qty],T_TTAFStock_Log[Part Name],$A58,T_TTAFStock_Log[WeekIndex],72))</f>
        <v/>
      </c>
      <c r="BV58" s="17">
        <f>IF(COUNTIFS(T_TTAFStock_Log[Part Name],$A58,T_TTAFStock_Log[WeekIndex],73)=0,"",SUMIFS(T_TTAFStock_Log[TTAF_Qty],T_TTAFStock_Log[Part Name],$A58,T_TTAFStock_Log[WeekIndex],73))</f>
        <v/>
      </c>
      <c r="BW58" s="17">
        <f>IF(COUNTIFS(T_TTAFStock_Log[Part Name],$A58,T_TTAFStock_Log[WeekIndex],74)=0,"",SUMIFS(T_TTAFStock_Log[TTAF_Qty],T_TTAFStock_Log[Part Name],$A58,T_TTAFStock_Log[WeekIndex],74))</f>
        <v/>
      </c>
      <c r="BX58" s="17">
        <f>IF(COUNTIFS(T_TTAFStock_Log[Part Name],$A58,T_TTAFStock_Log[WeekIndex],75)=0,"",SUMIFS(T_TTAFStock_Log[TTAF_Qty],T_TTAFStock_Log[Part Name],$A58,T_TTAFStock_Log[WeekIndex],75))</f>
        <v/>
      </c>
      <c r="BY58" s="17">
        <f>IF(COUNTIFS(T_TTAFStock_Log[Part Name],$A58,T_TTAFStock_Log[WeekIndex],76)=0,"",SUMIFS(T_TTAFStock_Log[TTAF_Qty],T_TTAFStock_Log[Part Name],$A58,T_TTAFStock_Log[WeekIndex],76))</f>
        <v/>
      </c>
      <c r="BZ58" s="17">
        <f>IF(COUNTIFS(T_TTAFStock_Log[Part Name],$A58,T_TTAFStock_Log[WeekIndex],77)=0,"",SUMIFS(T_TTAFStock_Log[TTAF_Qty],T_TTAFStock_Log[Part Name],$A58,T_TTAFStock_Log[WeekIndex],77))</f>
        <v/>
      </c>
      <c r="CA58" s="17">
        <f>IF(COUNTIFS(T_TTAFStock_Log[Part Name],$A58,T_TTAFStock_Log[WeekIndex],78)=0,"",SUMIFS(T_TTAFStock_Log[TTAF_Qty],T_TTAFStock_Log[Part Name],$A58,T_TTAFStock_Log[WeekIndex],78))</f>
        <v/>
      </c>
      <c r="CB58" s="17">
        <f>IF(COUNTIFS(T_TTAFStock_Log[Part Name],$A58,T_TTAFStock_Log[WeekIndex],79)=0,"",SUMIFS(T_TTAFStock_Log[TTAF_Qty],T_TTAFStock_Log[Part Name],$A58,T_TTAFStock_Log[WeekIndex],79))</f>
        <v/>
      </c>
      <c r="CC58" s="17">
        <f>IF(COUNTIFS(T_TTAFStock_Log[Part Name],$A58,T_TTAFStock_Log[WeekIndex],80)=0,"",SUMIFS(T_TTAFStock_Log[TTAF_Qty],T_TTAFStock_Log[Part Name],$A58,T_TTAFStock_Log[WeekIndex],80))</f>
        <v/>
      </c>
      <c r="CD58" s="17">
        <f>IF(COUNTIFS(T_TTAFStock_Log[Part Name],$A58,T_TTAFStock_Log[WeekIndex],81)=0,"",SUMIFS(T_TTAFStock_Log[TTAF_Qty],T_TTAFStock_Log[Part Name],$A58,T_TTAFStock_Log[WeekIndex],81))</f>
        <v/>
      </c>
      <c r="CE58" s="17">
        <f>IF(COUNTIFS(T_TTAFStock_Log[Part Name],$A58,T_TTAFStock_Log[WeekIndex],82)=0,"",SUMIFS(T_TTAFStock_Log[TTAF_Qty],T_TTAFStock_Log[Part Name],$A58,T_TTAFStock_Log[WeekIndex],82))</f>
        <v/>
      </c>
      <c r="CF58" s="17">
        <f>IF(COUNTIFS(T_TTAFStock_Log[Part Name],$A58,T_TTAFStock_Log[WeekIndex],83)=0,"",SUMIFS(T_TTAFStock_Log[TTAF_Qty],T_TTAFStock_Log[Part Name],$A58,T_TTAFStock_Log[WeekIndex],83))</f>
        <v/>
      </c>
      <c r="CG58" s="17">
        <f>IF(COUNTIFS(T_TTAFStock_Log[Part Name],$A58,T_TTAFStock_Log[WeekIndex],84)=0,"",SUMIFS(T_TTAFStock_Log[TTAF_Qty],T_TTAFStock_Log[Part Name],$A58,T_TTAFStock_Log[WeekIndex],84))</f>
        <v/>
      </c>
      <c r="CH58" s="17">
        <f>IF(COUNTIFS(T_TTAFStock_Log[Part Name],$A58,T_TTAFStock_Log[WeekIndex],85)=0,"",SUMIFS(T_TTAFStock_Log[TTAF_Qty],T_TTAFStock_Log[Part Name],$A58,T_TTAFStock_Log[WeekIndex],85))</f>
        <v/>
      </c>
      <c r="CI58" s="17">
        <f>IF(COUNTIFS(T_TTAFStock_Log[Part Name],$A58,T_TTAFStock_Log[WeekIndex],86)=0,"",SUMIFS(T_TTAFStock_Log[TTAF_Qty],T_TTAFStock_Log[Part Name],$A58,T_TTAFStock_Log[WeekIndex],86))</f>
        <v/>
      </c>
      <c r="CJ58" s="17">
        <f>IF(COUNTIFS(T_TTAFStock_Log[Part Name],$A58,T_TTAFStock_Log[WeekIndex],87)=0,"",SUMIFS(T_TTAFStock_Log[TTAF_Qty],T_TTAFStock_Log[Part Name],$A58,T_TTAFStock_Log[WeekIndex],87))</f>
        <v/>
      </c>
      <c r="CK58" s="17">
        <f>IF(COUNTIFS(T_TTAFStock_Log[Part Name],$A58,T_TTAFStock_Log[WeekIndex],88)=0,"",SUMIFS(T_TTAFStock_Log[TTAF_Qty],T_TTAFStock_Log[Part Name],$A58,T_TTAFStock_Log[WeekIndex],88))</f>
        <v/>
      </c>
      <c r="CL58" s="17">
        <f>IF(COUNTIFS(T_TTAFStock_Log[Part Name],$A58,T_TTAFStock_Log[WeekIndex],89)=0,"",SUMIFS(T_TTAFStock_Log[TTAF_Qty],T_TTAFStock_Log[Part Name],$A58,T_TTAFStock_Log[WeekIndex],89))</f>
        <v/>
      </c>
      <c r="CM58" s="17">
        <f>IF(COUNTIFS(T_TTAFStock_Log[Part Name],$A58,T_TTAFStock_Log[WeekIndex],90)=0,"",SUMIFS(T_TTAFStock_Log[TTAF_Qty],T_TTAFStock_Log[Part Name],$A58,T_TTAFStock_Log[WeekIndex],90))</f>
        <v/>
      </c>
      <c r="CN58" s="17">
        <f>IF(COUNTIFS(T_TTAFStock_Log[Part Name],$A58,T_TTAFStock_Log[WeekIndex],91)=0,"",SUMIFS(T_TTAFStock_Log[TTAF_Qty],T_TTAFStock_Log[Part Name],$A58,T_TTAFStock_Log[WeekIndex],91))</f>
        <v/>
      </c>
      <c r="CO58" s="17">
        <f>IF(COUNTIFS(T_TTAFStock_Log[Part Name],$A58,T_TTAFStock_Log[WeekIndex],92)=0,"",SUMIFS(T_TTAFStock_Log[TTAF_Qty],T_TTAFStock_Log[Part Name],$A58,T_TTAFStock_Log[WeekIndex],92))</f>
        <v/>
      </c>
      <c r="CP58" s="17">
        <f>IF(COUNTIFS(T_TTAFStock_Log[Part Name],$A58,T_TTAFStock_Log[WeekIndex],93)=0,"",SUMIFS(T_TTAFStock_Log[TTAF_Qty],T_TTAFStock_Log[Part Name],$A58,T_TTAFStock_Log[WeekIndex],93))</f>
        <v/>
      </c>
      <c r="CQ58" s="17">
        <f>IF(COUNTIFS(T_TTAFStock_Log[Part Name],$A58,T_TTAFStock_Log[WeekIndex],94)=0,"",SUMIFS(T_TTAFStock_Log[TTAF_Qty],T_TTAFStock_Log[Part Name],$A58,T_TTAFStock_Log[WeekIndex],94))</f>
        <v/>
      </c>
      <c r="CR58" s="17">
        <f>IF(COUNTIFS(T_TTAFStock_Log[Part Name],$A58,T_TTAFStock_Log[WeekIndex],95)=0,"",SUMIFS(T_TTAFStock_Log[TTAF_Qty],T_TTAFStock_Log[Part Name],$A58,T_TTAFStock_Log[WeekIndex],95))</f>
        <v/>
      </c>
      <c r="CS58" s="17">
        <f>IF(COUNTIFS(T_TTAFStock_Log[Part Name],$A58,T_TTAFStock_Log[WeekIndex],96)=0,"",SUMIFS(T_TTAFStock_Log[TTAF_Qty],T_TTAFStock_Log[Part Name],$A58,T_TTAFStock_Log[WeekIndex],96))</f>
        <v/>
      </c>
      <c r="CT58" s="17">
        <f>IF(COUNTIFS(T_TTAFStock_Log[Part Name],$A58,T_TTAFStock_Log[WeekIndex],97)=0,"",SUMIFS(T_TTAFStock_Log[TTAF_Qty],T_TTAFStock_Log[Part Name],$A58,T_TTAFStock_Log[WeekIndex],97))</f>
        <v/>
      </c>
      <c r="CU58" s="17">
        <f>IF(COUNTIFS(T_TTAFStock_Log[Part Name],$A58,T_TTAFStock_Log[WeekIndex],98)=0,"",SUMIFS(T_TTAFStock_Log[TTAF_Qty],T_TTAFStock_Log[Part Name],$A58,T_TTAFStock_Log[WeekIndex],98))</f>
        <v/>
      </c>
      <c r="CV58" s="17">
        <f>IF(COUNTIFS(T_TTAFStock_Log[Part Name],$A58,T_TTAFStock_Log[WeekIndex],99)=0,"",SUMIFS(T_TTAFStock_Log[TTAF_Qty],T_TTAFStock_Log[Part Name],$A58,T_TTAFStock_Log[WeekIndex],99))</f>
        <v/>
      </c>
      <c r="CW58" s="17">
        <f>IF(COUNTIFS(T_TTAFStock_Log[Part Name],$A58,T_TTAFStock_Log[WeekIndex],100)=0,"",SUMIFS(T_TTAFStock_Log[TTAF_Qty],T_TTAFStock_Log[Part Name],$A58,T_TTAFStock_Log[WeekIndex],100))</f>
        <v/>
      </c>
      <c r="CX58" s="17">
        <f>IF(COUNTIFS(T_TTAFStock_Log[Part Name],$A58,T_TTAFStock_Log[WeekIndex],101)=0,"",SUMIFS(T_TTAFStock_Log[TTAF_Qty],T_TTAFStock_Log[Part Name],$A58,T_TTAFStock_Log[WeekIndex],101))</f>
        <v/>
      </c>
      <c r="CY58" s="17">
        <f>IF(COUNTIFS(T_TTAFStock_Log[Part Name],$A58,T_TTAFStock_Log[WeekIndex],102)=0,"",SUMIFS(T_TTAFStock_Log[TTAF_Qty],T_TTAFStock_Log[Part Name],$A58,T_TTAFStock_Log[WeekIndex],102))</f>
        <v/>
      </c>
      <c r="CZ58" s="17">
        <f>IF(COUNTIFS(T_TTAFStock_Log[Part Name],$A58,T_TTAFStock_Log[WeekIndex],103)=0,"",SUMIFS(T_TTAFStock_Log[TTAF_Qty],T_TTAFStock_Log[Part Name],$A58,T_TTAFStock_Log[WeekIndex],103))</f>
        <v/>
      </c>
      <c r="DA58" s="17">
        <f>IF(COUNTIFS(T_TTAFStock_Log[Part Name],$A58,T_TTAFStock_Log[WeekIndex],104)=0,"",SUMIFS(T_TTAFStock_Log[TTAF_Qty],T_TTAFStock_Log[Part Name],$A58,T_TTAFStock_Log[WeekIndex],104))</f>
        <v/>
      </c>
    </row>
    <row r="59">
      <c r="A59" s="19" t="inlineStr">
        <is>
          <t>CHEM-1560</t>
        </is>
      </c>
      <c r="B59" s="19">
        <f>IF(COUNTIFS(T_TTAFStock_Log[Part Name],$A59,T_TTAFStock_Log[WeekIndex],1)=0,"",SUMIFS(T_TTAFStock_Log[TTAF_Qty],T_TTAFStock_Log[Part Name],$A59,T_TTAFStock_Log[WeekIndex],1))</f>
        <v/>
      </c>
      <c r="C59" s="19">
        <f>IF(COUNTIFS(T_TTAFStock_Log[Part Name],$A59,T_TTAFStock_Log[WeekIndex],2)=0,"",SUMIFS(T_TTAFStock_Log[TTAF_Qty],T_TTAFStock_Log[Part Name],$A59,T_TTAFStock_Log[WeekIndex],2))</f>
        <v/>
      </c>
      <c r="D59" s="19">
        <f>IF(COUNTIFS(T_TTAFStock_Log[Part Name],$A59,T_TTAFStock_Log[WeekIndex],3)=0,"",SUMIFS(T_TTAFStock_Log[TTAF_Qty],T_TTAFStock_Log[Part Name],$A59,T_TTAFStock_Log[WeekIndex],3))</f>
        <v/>
      </c>
      <c r="E59" s="19">
        <f>IF(COUNTIFS(T_TTAFStock_Log[Part Name],$A59,T_TTAFStock_Log[WeekIndex],4)=0,"",SUMIFS(T_TTAFStock_Log[TTAF_Qty],T_TTAFStock_Log[Part Name],$A59,T_TTAFStock_Log[WeekIndex],4))</f>
        <v/>
      </c>
      <c r="F59" s="19">
        <f>IF(COUNTIFS(T_TTAFStock_Log[Part Name],$A59,T_TTAFStock_Log[WeekIndex],5)=0,"",SUMIFS(T_TTAFStock_Log[TTAF_Qty],T_TTAFStock_Log[Part Name],$A59,T_TTAFStock_Log[WeekIndex],5))</f>
        <v/>
      </c>
      <c r="G59" s="19">
        <f>IF(COUNTIFS(T_TTAFStock_Log[Part Name],$A59,T_TTAFStock_Log[WeekIndex],6)=0,"",SUMIFS(T_TTAFStock_Log[TTAF_Qty],T_TTAFStock_Log[Part Name],$A59,T_TTAFStock_Log[WeekIndex],6))</f>
        <v/>
      </c>
      <c r="H59" s="19">
        <f>IF(COUNTIFS(T_TTAFStock_Log[Part Name],$A59,T_TTAFStock_Log[WeekIndex],7)=0,"",SUMIFS(T_TTAFStock_Log[TTAF_Qty],T_TTAFStock_Log[Part Name],$A59,T_TTAFStock_Log[WeekIndex],7))</f>
        <v/>
      </c>
      <c r="I59" s="19">
        <f>IF(COUNTIFS(T_TTAFStock_Log[Part Name],$A59,T_TTAFStock_Log[WeekIndex],8)=0,"",SUMIFS(T_TTAFStock_Log[TTAF_Qty],T_TTAFStock_Log[Part Name],$A59,T_TTAFStock_Log[WeekIndex],8))</f>
        <v/>
      </c>
      <c r="J59" s="19">
        <f>IF(COUNTIFS(T_TTAFStock_Log[Part Name],$A59,T_TTAFStock_Log[WeekIndex],9)=0,"",SUMIFS(T_TTAFStock_Log[TTAF_Qty],T_TTAFStock_Log[Part Name],$A59,T_TTAFStock_Log[WeekIndex],9))</f>
        <v/>
      </c>
      <c r="K59" s="19">
        <f>IF(COUNTIFS(T_TTAFStock_Log[Part Name],$A59,T_TTAFStock_Log[WeekIndex],10)=0,"",SUMIFS(T_TTAFStock_Log[TTAF_Qty],T_TTAFStock_Log[Part Name],$A59,T_TTAFStock_Log[WeekIndex],10))</f>
        <v/>
      </c>
      <c r="L59" s="19">
        <f>IF(COUNTIFS(T_TTAFStock_Log[Part Name],$A59,T_TTAFStock_Log[WeekIndex],11)=0,"",SUMIFS(T_TTAFStock_Log[TTAF_Qty],T_TTAFStock_Log[Part Name],$A59,T_TTAFStock_Log[WeekIndex],11))</f>
        <v/>
      </c>
      <c r="M59" s="19">
        <f>IF(COUNTIFS(T_TTAFStock_Log[Part Name],$A59,T_TTAFStock_Log[WeekIndex],12)=0,"",SUMIFS(T_TTAFStock_Log[TTAF_Qty],T_TTAFStock_Log[Part Name],$A59,T_TTAFStock_Log[WeekIndex],12))</f>
        <v/>
      </c>
      <c r="N59" s="19">
        <f>IF(COUNTIFS(T_TTAFStock_Log[Part Name],$A59,T_TTAFStock_Log[WeekIndex],13)=0,"",SUMIFS(T_TTAFStock_Log[TTAF_Qty],T_TTAFStock_Log[Part Name],$A59,T_TTAFStock_Log[WeekIndex],13))</f>
        <v/>
      </c>
      <c r="O59" s="19">
        <f>IF(COUNTIFS(T_TTAFStock_Log[Part Name],$A59,T_TTAFStock_Log[WeekIndex],14)=0,"",SUMIFS(T_TTAFStock_Log[TTAF_Qty],T_TTAFStock_Log[Part Name],$A59,T_TTAFStock_Log[WeekIndex],14))</f>
        <v/>
      </c>
      <c r="P59" s="19">
        <f>IF(COUNTIFS(T_TTAFStock_Log[Part Name],$A59,T_TTAFStock_Log[WeekIndex],15)=0,"",SUMIFS(T_TTAFStock_Log[TTAF_Qty],T_TTAFStock_Log[Part Name],$A59,T_TTAFStock_Log[WeekIndex],15))</f>
        <v/>
      </c>
      <c r="Q59" s="19">
        <f>IF(COUNTIFS(T_TTAFStock_Log[Part Name],$A59,T_TTAFStock_Log[WeekIndex],16)=0,"",SUMIFS(T_TTAFStock_Log[TTAF_Qty],T_TTAFStock_Log[Part Name],$A59,T_TTAFStock_Log[WeekIndex],16))</f>
        <v/>
      </c>
      <c r="R59" s="19">
        <f>IF(COUNTIFS(T_TTAFStock_Log[Part Name],$A59,T_TTAFStock_Log[WeekIndex],17)=0,"",SUMIFS(T_TTAFStock_Log[TTAF_Qty],T_TTAFStock_Log[Part Name],$A59,T_TTAFStock_Log[WeekIndex],17))</f>
        <v/>
      </c>
      <c r="S59" s="19">
        <f>IF(COUNTIFS(T_TTAFStock_Log[Part Name],$A59,T_TTAFStock_Log[WeekIndex],18)=0,"",SUMIFS(T_TTAFStock_Log[TTAF_Qty],T_TTAFStock_Log[Part Name],$A59,T_TTAFStock_Log[WeekIndex],18))</f>
        <v/>
      </c>
      <c r="T59" s="19">
        <f>IF(COUNTIFS(T_TTAFStock_Log[Part Name],$A59,T_TTAFStock_Log[WeekIndex],19)=0,"",SUMIFS(T_TTAFStock_Log[TTAF_Qty],T_TTAFStock_Log[Part Name],$A59,T_TTAFStock_Log[WeekIndex],19))</f>
        <v/>
      </c>
      <c r="U59" s="19">
        <f>IF(COUNTIFS(T_TTAFStock_Log[Part Name],$A59,T_TTAFStock_Log[WeekIndex],20)=0,"",SUMIFS(T_TTAFStock_Log[TTAF_Qty],T_TTAFStock_Log[Part Name],$A59,T_TTAFStock_Log[WeekIndex],20))</f>
        <v/>
      </c>
      <c r="V59" s="19">
        <f>IF(COUNTIFS(T_TTAFStock_Log[Part Name],$A59,T_TTAFStock_Log[WeekIndex],21)=0,"",SUMIFS(T_TTAFStock_Log[TTAF_Qty],T_TTAFStock_Log[Part Name],$A59,T_TTAFStock_Log[WeekIndex],21))</f>
        <v/>
      </c>
      <c r="W59" s="19">
        <f>IF(COUNTIFS(T_TTAFStock_Log[Part Name],$A59,T_TTAFStock_Log[WeekIndex],22)=0,"",SUMIFS(T_TTAFStock_Log[TTAF_Qty],T_TTAFStock_Log[Part Name],$A59,T_TTAFStock_Log[WeekIndex],22))</f>
        <v/>
      </c>
      <c r="X59" s="19">
        <f>IF(COUNTIFS(T_TTAFStock_Log[Part Name],$A59,T_TTAFStock_Log[WeekIndex],23)=0,"",SUMIFS(T_TTAFStock_Log[TTAF_Qty],T_TTAFStock_Log[Part Name],$A59,T_TTAFStock_Log[WeekIndex],23))</f>
        <v/>
      </c>
      <c r="Y59" s="19">
        <f>IF(COUNTIFS(T_TTAFStock_Log[Part Name],$A59,T_TTAFStock_Log[WeekIndex],24)=0,"",SUMIFS(T_TTAFStock_Log[TTAF_Qty],T_TTAFStock_Log[Part Name],$A59,T_TTAFStock_Log[WeekIndex],24))</f>
        <v/>
      </c>
      <c r="Z59" s="19">
        <f>IF(COUNTIFS(T_TTAFStock_Log[Part Name],$A59,T_TTAFStock_Log[WeekIndex],25)=0,"",SUMIFS(T_TTAFStock_Log[TTAF_Qty],T_TTAFStock_Log[Part Name],$A59,T_TTAFStock_Log[WeekIndex],25))</f>
        <v/>
      </c>
      <c r="AA59" s="19">
        <f>IF(COUNTIFS(T_TTAFStock_Log[Part Name],$A59,T_TTAFStock_Log[WeekIndex],26)=0,"",SUMIFS(T_TTAFStock_Log[TTAF_Qty],T_TTAFStock_Log[Part Name],$A59,T_TTAFStock_Log[WeekIndex],26))</f>
        <v/>
      </c>
      <c r="AB59" s="19">
        <f>IF(COUNTIFS(T_TTAFStock_Log[Part Name],$A59,T_TTAFStock_Log[WeekIndex],27)=0,"",SUMIFS(T_TTAFStock_Log[TTAF_Qty],T_TTAFStock_Log[Part Name],$A59,T_TTAFStock_Log[WeekIndex],27))</f>
        <v/>
      </c>
      <c r="AC59" s="19">
        <f>IF(COUNTIFS(T_TTAFStock_Log[Part Name],$A59,T_TTAFStock_Log[WeekIndex],28)=0,"",SUMIFS(T_TTAFStock_Log[TTAF_Qty],T_TTAFStock_Log[Part Name],$A59,T_TTAFStock_Log[WeekIndex],28))</f>
        <v/>
      </c>
      <c r="AD59" s="19">
        <f>IF(COUNTIFS(T_TTAFStock_Log[Part Name],$A59,T_TTAFStock_Log[WeekIndex],29)=0,"",SUMIFS(T_TTAFStock_Log[TTAF_Qty],T_TTAFStock_Log[Part Name],$A59,T_TTAFStock_Log[WeekIndex],29))</f>
        <v/>
      </c>
      <c r="AE59" s="19">
        <f>IF(COUNTIFS(T_TTAFStock_Log[Part Name],$A59,T_TTAFStock_Log[WeekIndex],30)=0,"",SUMIFS(T_TTAFStock_Log[TTAF_Qty],T_TTAFStock_Log[Part Name],$A59,T_TTAFStock_Log[WeekIndex],30))</f>
        <v/>
      </c>
      <c r="AF59" s="19">
        <f>IF(COUNTIFS(T_TTAFStock_Log[Part Name],$A59,T_TTAFStock_Log[WeekIndex],31)=0,"",SUMIFS(T_TTAFStock_Log[TTAF_Qty],T_TTAFStock_Log[Part Name],$A59,T_TTAFStock_Log[WeekIndex],31))</f>
        <v/>
      </c>
      <c r="AG59" s="19">
        <f>IF(COUNTIFS(T_TTAFStock_Log[Part Name],$A59,T_TTAFStock_Log[WeekIndex],32)=0,"",SUMIFS(T_TTAFStock_Log[TTAF_Qty],T_TTAFStock_Log[Part Name],$A59,T_TTAFStock_Log[WeekIndex],32))</f>
        <v/>
      </c>
      <c r="AH59" s="19">
        <f>IF(COUNTIFS(T_TTAFStock_Log[Part Name],$A59,T_TTAFStock_Log[WeekIndex],33)=0,"",SUMIFS(T_TTAFStock_Log[TTAF_Qty],T_TTAFStock_Log[Part Name],$A59,T_TTAFStock_Log[WeekIndex],33))</f>
        <v/>
      </c>
      <c r="AI59" s="19">
        <f>IF(COUNTIFS(T_TTAFStock_Log[Part Name],$A59,T_TTAFStock_Log[WeekIndex],34)=0,"",SUMIFS(T_TTAFStock_Log[TTAF_Qty],T_TTAFStock_Log[Part Name],$A59,T_TTAFStock_Log[WeekIndex],34))</f>
        <v/>
      </c>
      <c r="AJ59" s="19">
        <f>IF(COUNTIFS(T_TTAFStock_Log[Part Name],$A59,T_TTAFStock_Log[WeekIndex],35)=0,"",SUMIFS(T_TTAFStock_Log[TTAF_Qty],T_TTAFStock_Log[Part Name],$A59,T_TTAFStock_Log[WeekIndex],35))</f>
        <v/>
      </c>
      <c r="AK59" s="19">
        <f>IF(COUNTIFS(T_TTAFStock_Log[Part Name],$A59,T_TTAFStock_Log[WeekIndex],36)=0,"",SUMIFS(T_TTAFStock_Log[TTAF_Qty],T_TTAFStock_Log[Part Name],$A59,T_TTAFStock_Log[WeekIndex],36))</f>
        <v/>
      </c>
      <c r="AL59" s="19">
        <f>IF(COUNTIFS(T_TTAFStock_Log[Part Name],$A59,T_TTAFStock_Log[WeekIndex],37)=0,"",SUMIFS(T_TTAFStock_Log[TTAF_Qty],T_TTAFStock_Log[Part Name],$A59,T_TTAFStock_Log[WeekIndex],37))</f>
        <v/>
      </c>
      <c r="AM59" s="19">
        <f>IF(COUNTIFS(T_TTAFStock_Log[Part Name],$A59,T_TTAFStock_Log[WeekIndex],38)=0,"",SUMIFS(T_TTAFStock_Log[TTAF_Qty],T_TTAFStock_Log[Part Name],$A59,T_TTAFStock_Log[WeekIndex],38))</f>
        <v/>
      </c>
      <c r="AN59" s="19">
        <f>IF(COUNTIFS(T_TTAFStock_Log[Part Name],$A59,T_TTAFStock_Log[WeekIndex],39)=0,"",SUMIFS(T_TTAFStock_Log[TTAF_Qty],T_TTAFStock_Log[Part Name],$A59,T_TTAFStock_Log[WeekIndex],39))</f>
        <v/>
      </c>
      <c r="AO59" s="19">
        <f>IF(COUNTIFS(T_TTAFStock_Log[Part Name],$A59,T_TTAFStock_Log[WeekIndex],40)=0,"",SUMIFS(T_TTAFStock_Log[TTAF_Qty],T_TTAFStock_Log[Part Name],$A59,T_TTAFStock_Log[WeekIndex],40))</f>
        <v/>
      </c>
      <c r="AP59" s="19">
        <f>IF(COUNTIFS(T_TTAFStock_Log[Part Name],$A59,T_TTAFStock_Log[WeekIndex],41)=0,"",SUMIFS(T_TTAFStock_Log[TTAF_Qty],T_TTAFStock_Log[Part Name],$A59,T_TTAFStock_Log[WeekIndex],41))</f>
        <v/>
      </c>
      <c r="AQ59" s="19">
        <f>IF(COUNTIFS(T_TTAFStock_Log[Part Name],$A59,T_TTAFStock_Log[WeekIndex],42)=0,"",SUMIFS(T_TTAFStock_Log[TTAF_Qty],T_TTAFStock_Log[Part Name],$A59,T_TTAFStock_Log[WeekIndex],42))</f>
        <v/>
      </c>
      <c r="AR59" s="19">
        <f>IF(COUNTIFS(T_TTAFStock_Log[Part Name],$A59,T_TTAFStock_Log[WeekIndex],43)=0,"",SUMIFS(T_TTAFStock_Log[TTAF_Qty],T_TTAFStock_Log[Part Name],$A59,T_TTAFStock_Log[WeekIndex],43))</f>
        <v/>
      </c>
      <c r="AS59" s="19">
        <f>IF(COUNTIFS(T_TTAFStock_Log[Part Name],$A59,T_TTAFStock_Log[WeekIndex],44)=0,"",SUMIFS(T_TTAFStock_Log[TTAF_Qty],T_TTAFStock_Log[Part Name],$A59,T_TTAFStock_Log[WeekIndex],44))</f>
        <v/>
      </c>
      <c r="AT59" s="19">
        <f>IF(COUNTIFS(T_TTAFStock_Log[Part Name],$A59,T_TTAFStock_Log[WeekIndex],45)=0,"",SUMIFS(T_TTAFStock_Log[TTAF_Qty],T_TTAFStock_Log[Part Name],$A59,T_TTAFStock_Log[WeekIndex],45))</f>
        <v/>
      </c>
      <c r="AU59" s="19">
        <f>IF(COUNTIFS(T_TTAFStock_Log[Part Name],$A59,T_TTAFStock_Log[WeekIndex],46)=0,"",SUMIFS(T_TTAFStock_Log[TTAF_Qty],T_TTAFStock_Log[Part Name],$A59,T_TTAFStock_Log[WeekIndex],46))</f>
        <v/>
      </c>
      <c r="AV59" s="19">
        <f>IF(COUNTIFS(T_TTAFStock_Log[Part Name],$A59,T_TTAFStock_Log[WeekIndex],47)=0,"",SUMIFS(T_TTAFStock_Log[TTAF_Qty],T_TTAFStock_Log[Part Name],$A59,T_TTAFStock_Log[WeekIndex],47))</f>
        <v/>
      </c>
      <c r="AW59" s="19">
        <f>IF(COUNTIFS(T_TTAFStock_Log[Part Name],$A59,T_TTAFStock_Log[WeekIndex],48)=0,"",SUMIFS(T_TTAFStock_Log[TTAF_Qty],T_TTAFStock_Log[Part Name],$A59,T_TTAFStock_Log[WeekIndex],48))</f>
        <v/>
      </c>
      <c r="AX59" s="19">
        <f>IF(COUNTIFS(T_TTAFStock_Log[Part Name],$A59,T_TTAFStock_Log[WeekIndex],49)=0,"",SUMIFS(T_TTAFStock_Log[TTAF_Qty],T_TTAFStock_Log[Part Name],$A59,T_TTAFStock_Log[WeekIndex],49))</f>
        <v/>
      </c>
      <c r="AY59" s="19">
        <f>IF(COUNTIFS(T_TTAFStock_Log[Part Name],$A59,T_TTAFStock_Log[WeekIndex],50)=0,"",SUMIFS(T_TTAFStock_Log[TTAF_Qty],T_TTAFStock_Log[Part Name],$A59,T_TTAFStock_Log[WeekIndex],50))</f>
        <v/>
      </c>
      <c r="AZ59" s="19">
        <f>IF(COUNTIFS(T_TTAFStock_Log[Part Name],$A59,T_TTAFStock_Log[WeekIndex],51)=0,"",SUMIFS(T_TTAFStock_Log[TTAF_Qty],T_TTAFStock_Log[Part Name],$A59,T_TTAFStock_Log[WeekIndex],51))</f>
        <v/>
      </c>
      <c r="BA59" s="19">
        <f>IF(COUNTIFS(T_TTAFStock_Log[Part Name],$A59,T_TTAFStock_Log[WeekIndex],52)=0,"",SUMIFS(T_TTAFStock_Log[TTAF_Qty],T_TTAFStock_Log[Part Name],$A59,T_TTAFStock_Log[WeekIndex],52))</f>
        <v/>
      </c>
      <c r="BB59" s="19">
        <f>IF(COUNTIFS(T_TTAFStock_Log[Part Name],$A59,T_TTAFStock_Log[WeekIndex],53)=0,"",SUMIFS(T_TTAFStock_Log[TTAF_Qty],T_TTAFStock_Log[Part Name],$A59,T_TTAFStock_Log[WeekIndex],53))</f>
        <v/>
      </c>
      <c r="BC59" s="19">
        <f>IF(COUNTIFS(T_TTAFStock_Log[Part Name],$A59,T_TTAFStock_Log[WeekIndex],54)=0,"",SUMIFS(T_TTAFStock_Log[TTAF_Qty],T_TTAFStock_Log[Part Name],$A59,T_TTAFStock_Log[WeekIndex],54))</f>
        <v/>
      </c>
      <c r="BD59" s="19">
        <f>IF(COUNTIFS(T_TTAFStock_Log[Part Name],$A59,T_TTAFStock_Log[WeekIndex],55)=0,"",SUMIFS(T_TTAFStock_Log[TTAF_Qty],T_TTAFStock_Log[Part Name],$A59,T_TTAFStock_Log[WeekIndex],55))</f>
        <v/>
      </c>
      <c r="BE59" s="19">
        <f>IF(COUNTIFS(T_TTAFStock_Log[Part Name],$A59,T_TTAFStock_Log[WeekIndex],56)=0,"",SUMIFS(T_TTAFStock_Log[TTAF_Qty],T_TTAFStock_Log[Part Name],$A59,T_TTAFStock_Log[WeekIndex],56))</f>
        <v/>
      </c>
      <c r="BF59" s="19">
        <f>IF(COUNTIFS(T_TTAFStock_Log[Part Name],$A59,T_TTAFStock_Log[WeekIndex],57)=0,"",SUMIFS(T_TTAFStock_Log[TTAF_Qty],T_TTAFStock_Log[Part Name],$A59,T_TTAFStock_Log[WeekIndex],57))</f>
        <v/>
      </c>
      <c r="BG59" s="19">
        <f>IF(COUNTIFS(T_TTAFStock_Log[Part Name],$A59,T_TTAFStock_Log[WeekIndex],58)=0,"",SUMIFS(T_TTAFStock_Log[TTAF_Qty],T_TTAFStock_Log[Part Name],$A59,T_TTAFStock_Log[WeekIndex],58))</f>
        <v/>
      </c>
      <c r="BH59" s="19">
        <f>IF(COUNTIFS(T_TTAFStock_Log[Part Name],$A59,T_TTAFStock_Log[WeekIndex],59)=0,"",SUMIFS(T_TTAFStock_Log[TTAF_Qty],T_TTAFStock_Log[Part Name],$A59,T_TTAFStock_Log[WeekIndex],59))</f>
        <v/>
      </c>
      <c r="BI59" s="19">
        <f>IF(COUNTIFS(T_TTAFStock_Log[Part Name],$A59,T_TTAFStock_Log[WeekIndex],60)=0,"",SUMIFS(T_TTAFStock_Log[TTAF_Qty],T_TTAFStock_Log[Part Name],$A59,T_TTAFStock_Log[WeekIndex],60))</f>
        <v/>
      </c>
      <c r="BJ59" s="19">
        <f>IF(COUNTIFS(T_TTAFStock_Log[Part Name],$A59,T_TTAFStock_Log[WeekIndex],61)=0,"",SUMIFS(T_TTAFStock_Log[TTAF_Qty],T_TTAFStock_Log[Part Name],$A59,T_TTAFStock_Log[WeekIndex],61))</f>
        <v/>
      </c>
      <c r="BK59" s="19">
        <f>IF(COUNTIFS(T_TTAFStock_Log[Part Name],$A59,T_TTAFStock_Log[WeekIndex],62)=0,"",SUMIFS(T_TTAFStock_Log[TTAF_Qty],T_TTAFStock_Log[Part Name],$A59,T_TTAFStock_Log[WeekIndex],62))</f>
        <v/>
      </c>
      <c r="BL59" s="19">
        <f>IF(COUNTIFS(T_TTAFStock_Log[Part Name],$A59,T_TTAFStock_Log[WeekIndex],63)=0,"",SUMIFS(T_TTAFStock_Log[TTAF_Qty],T_TTAFStock_Log[Part Name],$A59,T_TTAFStock_Log[WeekIndex],63))</f>
        <v/>
      </c>
      <c r="BM59" s="19">
        <f>IF(COUNTIFS(T_TTAFStock_Log[Part Name],$A59,T_TTAFStock_Log[WeekIndex],64)=0,"",SUMIFS(T_TTAFStock_Log[TTAF_Qty],T_TTAFStock_Log[Part Name],$A59,T_TTAFStock_Log[WeekIndex],64))</f>
        <v/>
      </c>
      <c r="BN59" s="19">
        <f>IF(COUNTIFS(T_TTAFStock_Log[Part Name],$A59,T_TTAFStock_Log[WeekIndex],65)=0,"",SUMIFS(T_TTAFStock_Log[TTAF_Qty],T_TTAFStock_Log[Part Name],$A59,T_TTAFStock_Log[WeekIndex],65))</f>
        <v/>
      </c>
      <c r="BO59" s="19">
        <f>IF(COUNTIFS(T_TTAFStock_Log[Part Name],$A59,T_TTAFStock_Log[WeekIndex],66)=0,"",SUMIFS(T_TTAFStock_Log[TTAF_Qty],T_TTAFStock_Log[Part Name],$A59,T_TTAFStock_Log[WeekIndex],66))</f>
        <v/>
      </c>
      <c r="BP59" s="19">
        <f>IF(COUNTIFS(T_TTAFStock_Log[Part Name],$A59,T_TTAFStock_Log[WeekIndex],67)=0,"",SUMIFS(T_TTAFStock_Log[TTAF_Qty],T_TTAFStock_Log[Part Name],$A59,T_TTAFStock_Log[WeekIndex],67))</f>
        <v/>
      </c>
      <c r="BQ59" s="19">
        <f>IF(COUNTIFS(T_TTAFStock_Log[Part Name],$A59,T_TTAFStock_Log[WeekIndex],68)=0,"",SUMIFS(T_TTAFStock_Log[TTAF_Qty],T_TTAFStock_Log[Part Name],$A59,T_TTAFStock_Log[WeekIndex],68))</f>
        <v/>
      </c>
      <c r="BR59" s="19">
        <f>IF(COUNTIFS(T_TTAFStock_Log[Part Name],$A59,T_TTAFStock_Log[WeekIndex],69)=0,"",SUMIFS(T_TTAFStock_Log[TTAF_Qty],T_TTAFStock_Log[Part Name],$A59,T_TTAFStock_Log[WeekIndex],69))</f>
        <v/>
      </c>
      <c r="BS59" s="19">
        <f>IF(COUNTIFS(T_TTAFStock_Log[Part Name],$A59,T_TTAFStock_Log[WeekIndex],70)=0,"",SUMIFS(T_TTAFStock_Log[TTAF_Qty],T_TTAFStock_Log[Part Name],$A59,T_TTAFStock_Log[WeekIndex],70))</f>
        <v/>
      </c>
      <c r="BT59" s="19">
        <f>IF(COUNTIFS(T_TTAFStock_Log[Part Name],$A59,T_TTAFStock_Log[WeekIndex],71)=0,"",SUMIFS(T_TTAFStock_Log[TTAF_Qty],T_TTAFStock_Log[Part Name],$A59,T_TTAFStock_Log[WeekIndex],71))</f>
        <v/>
      </c>
      <c r="BU59" s="19">
        <f>IF(COUNTIFS(T_TTAFStock_Log[Part Name],$A59,T_TTAFStock_Log[WeekIndex],72)=0,"",SUMIFS(T_TTAFStock_Log[TTAF_Qty],T_TTAFStock_Log[Part Name],$A59,T_TTAFStock_Log[WeekIndex],72))</f>
        <v/>
      </c>
      <c r="BV59" s="19">
        <f>IF(COUNTIFS(T_TTAFStock_Log[Part Name],$A59,T_TTAFStock_Log[WeekIndex],73)=0,"",SUMIFS(T_TTAFStock_Log[TTAF_Qty],T_TTAFStock_Log[Part Name],$A59,T_TTAFStock_Log[WeekIndex],73))</f>
        <v/>
      </c>
      <c r="BW59" s="19">
        <f>IF(COUNTIFS(T_TTAFStock_Log[Part Name],$A59,T_TTAFStock_Log[WeekIndex],74)=0,"",SUMIFS(T_TTAFStock_Log[TTAF_Qty],T_TTAFStock_Log[Part Name],$A59,T_TTAFStock_Log[WeekIndex],74))</f>
        <v/>
      </c>
      <c r="BX59" s="19">
        <f>IF(COUNTIFS(T_TTAFStock_Log[Part Name],$A59,T_TTAFStock_Log[WeekIndex],75)=0,"",SUMIFS(T_TTAFStock_Log[TTAF_Qty],T_TTAFStock_Log[Part Name],$A59,T_TTAFStock_Log[WeekIndex],75))</f>
        <v/>
      </c>
      <c r="BY59" s="19">
        <f>IF(COUNTIFS(T_TTAFStock_Log[Part Name],$A59,T_TTAFStock_Log[WeekIndex],76)=0,"",SUMIFS(T_TTAFStock_Log[TTAF_Qty],T_TTAFStock_Log[Part Name],$A59,T_TTAFStock_Log[WeekIndex],76))</f>
        <v/>
      </c>
      <c r="BZ59" s="19">
        <f>IF(COUNTIFS(T_TTAFStock_Log[Part Name],$A59,T_TTAFStock_Log[WeekIndex],77)=0,"",SUMIFS(T_TTAFStock_Log[TTAF_Qty],T_TTAFStock_Log[Part Name],$A59,T_TTAFStock_Log[WeekIndex],77))</f>
        <v/>
      </c>
      <c r="CA59" s="19">
        <f>IF(COUNTIFS(T_TTAFStock_Log[Part Name],$A59,T_TTAFStock_Log[WeekIndex],78)=0,"",SUMIFS(T_TTAFStock_Log[TTAF_Qty],T_TTAFStock_Log[Part Name],$A59,T_TTAFStock_Log[WeekIndex],78))</f>
        <v/>
      </c>
      <c r="CB59" s="19">
        <f>IF(COUNTIFS(T_TTAFStock_Log[Part Name],$A59,T_TTAFStock_Log[WeekIndex],79)=0,"",SUMIFS(T_TTAFStock_Log[TTAF_Qty],T_TTAFStock_Log[Part Name],$A59,T_TTAFStock_Log[WeekIndex],79))</f>
        <v/>
      </c>
      <c r="CC59" s="19">
        <f>IF(COUNTIFS(T_TTAFStock_Log[Part Name],$A59,T_TTAFStock_Log[WeekIndex],80)=0,"",SUMIFS(T_TTAFStock_Log[TTAF_Qty],T_TTAFStock_Log[Part Name],$A59,T_TTAFStock_Log[WeekIndex],80))</f>
        <v/>
      </c>
      <c r="CD59" s="19">
        <f>IF(COUNTIFS(T_TTAFStock_Log[Part Name],$A59,T_TTAFStock_Log[WeekIndex],81)=0,"",SUMIFS(T_TTAFStock_Log[TTAF_Qty],T_TTAFStock_Log[Part Name],$A59,T_TTAFStock_Log[WeekIndex],81))</f>
        <v/>
      </c>
      <c r="CE59" s="19">
        <f>IF(COUNTIFS(T_TTAFStock_Log[Part Name],$A59,T_TTAFStock_Log[WeekIndex],82)=0,"",SUMIFS(T_TTAFStock_Log[TTAF_Qty],T_TTAFStock_Log[Part Name],$A59,T_TTAFStock_Log[WeekIndex],82))</f>
        <v/>
      </c>
      <c r="CF59" s="19">
        <f>IF(COUNTIFS(T_TTAFStock_Log[Part Name],$A59,T_TTAFStock_Log[WeekIndex],83)=0,"",SUMIFS(T_TTAFStock_Log[TTAF_Qty],T_TTAFStock_Log[Part Name],$A59,T_TTAFStock_Log[WeekIndex],83))</f>
        <v/>
      </c>
      <c r="CG59" s="19">
        <f>IF(COUNTIFS(T_TTAFStock_Log[Part Name],$A59,T_TTAFStock_Log[WeekIndex],84)=0,"",SUMIFS(T_TTAFStock_Log[TTAF_Qty],T_TTAFStock_Log[Part Name],$A59,T_TTAFStock_Log[WeekIndex],84))</f>
        <v/>
      </c>
      <c r="CH59" s="19">
        <f>IF(COUNTIFS(T_TTAFStock_Log[Part Name],$A59,T_TTAFStock_Log[WeekIndex],85)=0,"",SUMIFS(T_TTAFStock_Log[TTAF_Qty],T_TTAFStock_Log[Part Name],$A59,T_TTAFStock_Log[WeekIndex],85))</f>
        <v/>
      </c>
      <c r="CI59" s="19">
        <f>IF(COUNTIFS(T_TTAFStock_Log[Part Name],$A59,T_TTAFStock_Log[WeekIndex],86)=0,"",SUMIFS(T_TTAFStock_Log[TTAF_Qty],T_TTAFStock_Log[Part Name],$A59,T_TTAFStock_Log[WeekIndex],86))</f>
        <v/>
      </c>
      <c r="CJ59" s="19">
        <f>IF(COUNTIFS(T_TTAFStock_Log[Part Name],$A59,T_TTAFStock_Log[WeekIndex],87)=0,"",SUMIFS(T_TTAFStock_Log[TTAF_Qty],T_TTAFStock_Log[Part Name],$A59,T_TTAFStock_Log[WeekIndex],87))</f>
        <v/>
      </c>
      <c r="CK59" s="19">
        <f>IF(COUNTIFS(T_TTAFStock_Log[Part Name],$A59,T_TTAFStock_Log[WeekIndex],88)=0,"",SUMIFS(T_TTAFStock_Log[TTAF_Qty],T_TTAFStock_Log[Part Name],$A59,T_TTAFStock_Log[WeekIndex],88))</f>
        <v/>
      </c>
      <c r="CL59" s="19">
        <f>IF(COUNTIFS(T_TTAFStock_Log[Part Name],$A59,T_TTAFStock_Log[WeekIndex],89)=0,"",SUMIFS(T_TTAFStock_Log[TTAF_Qty],T_TTAFStock_Log[Part Name],$A59,T_TTAFStock_Log[WeekIndex],89))</f>
        <v/>
      </c>
      <c r="CM59" s="19">
        <f>IF(COUNTIFS(T_TTAFStock_Log[Part Name],$A59,T_TTAFStock_Log[WeekIndex],90)=0,"",SUMIFS(T_TTAFStock_Log[TTAF_Qty],T_TTAFStock_Log[Part Name],$A59,T_TTAFStock_Log[WeekIndex],90))</f>
        <v/>
      </c>
      <c r="CN59" s="19">
        <f>IF(COUNTIFS(T_TTAFStock_Log[Part Name],$A59,T_TTAFStock_Log[WeekIndex],91)=0,"",SUMIFS(T_TTAFStock_Log[TTAF_Qty],T_TTAFStock_Log[Part Name],$A59,T_TTAFStock_Log[WeekIndex],91))</f>
        <v/>
      </c>
      <c r="CO59" s="19">
        <f>IF(COUNTIFS(T_TTAFStock_Log[Part Name],$A59,T_TTAFStock_Log[WeekIndex],92)=0,"",SUMIFS(T_TTAFStock_Log[TTAF_Qty],T_TTAFStock_Log[Part Name],$A59,T_TTAFStock_Log[WeekIndex],92))</f>
        <v/>
      </c>
      <c r="CP59" s="19">
        <f>IF(COUNTIFS(T_TTAFStock_Log[Part Name],$A59,T_TTAFStock_Log[WeekIndex],93)=0,"",SUMIFS(T_TTAFStock_Log[TTAF_Qty],T_TTAFStock_Log[Part Name],$A59,T_TTAFStock_Log[WeekIndex],93))</f>
        <v/>
      </c>
      <c r="CQ59" s="19">
        <f>IF(COUNTIFS(T_TTAFStock_Log[Part Name],$A59,T_TTAFStock_Log[WeekIndex],94)=0,"",SUMIFS(T_TTAFStock_Log[TTAF_Qty],T_TTAFStock_Log[Part Name],$A59,T_TTAFStock_Log[WeekIndex],94))</f>
        <v/>
      </c>
      <c r="CR59" s="19">
        <f>IF(COUNTIFS(T_TTAFStock_Log[Part Name],$A59,T_TTAFStock_Log[WeekIndex],95)=0,"",SUMIFS(T_TTAFStock_Log[TTAF_Qty],T_TTAFStock_Log[Part Name],$A59,T_TTAFStock_Log[WeekIndex],95))</f>
        <v/>
      </c>
      <c r="CS59" s="19">
        <f>IF(COUNTIFS(T_TTAFStock_Log[Part Name],$A59,T_TTAFStock_Log[WeekIndex],96)=0,"",SUMIFS(T_TTAFStock_Log[TTAF_Qty],T_TTAFStock_Log[Part Name],$A59,T_TTAFStock_Log[WeekIndex],96))</f>
        <v/>
      </c>
      <c r="CT59" s="19">
        <f>IF(COUNTIFS(T_TTAFStock_Log[Part Name],$A59,T_TTAFStock_Log[WeekIndex],97)=0,"",SUMIFS(T_TTAFStock_Log[TTAF_Qty],T_TTAFStock_Log[Part Name],$A59,T_TTAFStock_Log[WeekIndex],97))</f>
        <v/>
      </c>
      <c r="CU59" s="19">
        <f>IF(COUNTIFS(T_TTAFStock_Log[Part Name],$A59,T_TTAFStock_Log[WeekIndex],98)=0,"",SUMIFS(T_TTAFStock_Log[TTAF_Qty],T_TTAFStock_Log[Part Name],$A59,T_TTAFStock_Log[WeekIndex],98))</f>
        <v/>
      </c>
      <c r="CV59" s="19">
        <f>IF(COUNTIFS(T_TTAFStock_Log[Part Name],$A59,T_TTAFStock_Log[WeekIndex],99)=0,"",SUMIFS(T_TTAFStock_Log[TTAF_Qty],T_TTAFStock_Log[Part Name],$A59,T_TTAFStock_Log[WeekIndex],99))</f>
        <v/>
      </c>
      <c r="CW59" s="19">
        <f>IF(COUNTIFS(T_TTAFStock_Log[Part Name],$A59,T_TTAFStock_Log[WeekIndex],100)=0,"",SUMIFS(T_TTAFStock_Log[TTAF_Qty],T_TTAFStock_Log[Part Name],$A59,T_TTAFStock_Log[WeekIndex],100))</f>
        <v/>
      </c>
      <c r="CX59" s="19">
        <f>IF(COUNTIFS(T_TTAFStock_Log[Part Name],$A59,T_TTAFStock_Log[WeekIndex],101)=0,"",SUMIFS(T_TTAFStock_Log[TTAF_Qty],T_TTAFStock_Log[Part Name],$A59,T_TTAFStock_Log[WeekIndex],101))</f>
        <v/>
      </c>
      <c r="CY59" s="19">
        <f>IF(COUNTIFS(T_TTAFStock_Log[Part Name],$A59,T_TTAFStock_Log[WeekIndex],102)=0,"",SUMIFS(T_TTAFStock_Log[TTAF_Qty],T_TTAFStock_Log[Part Name],$A59,T_TTAFStock_Log[WeekIndex],102))</f>
        <v/>
      </c>
      <c r="CZ59" s="19">
        <f>IF(COUNTIFS(T_TTAFStock_Log[Part Name],$A59,T_TTAFStock_Log[WeekIndex],103)=0,"",SUMIFS(T_TTAFStock_Log[TTAF_Qty],T_TTAFStock_Log[Part Name],$A59,T_TTAFStock_Log[WeekIndex],103))</f>
        <v/>
      </c>
      <c r="DA59" s="19">
        <f>IF(COUNTIFS(T_TTAFStock_Log[Part Name],$A59,T_TTAFStock_Log[WeekIndex],104)=0,"",SUMIFS(T_TTAFStock_Log[TTAF_Qty],T_TTAFStock_Log[Part Name],$A59,T_TTAFStock_Log[WeekIndex],104))</f>
        <v/>
      </c>
    </row>
    <row r="60">
      <c r="A60" s="17" t="inlineStr">
        <is>
          <t>CHEM-1690</t>
        </is>
      </c>
      <c r="B60" s="17">
        <f>IF(COUNTIFS(T_TTAFStock_Log[Part Name],$A60,T_TTAFStock_Log[WeekIndex],1)=0,"",SUMIFS(T_TTAFStock_Log[TTAF_Qty],T_TTAFStock_Log[Part Name],$A60,T_TTAFStock_Log[WeekIndex],1))</f>
        <v/>
      </c>
      <c r="C60" s="17">
        <f>IF(COUNTIFS(T_TTAFStock_Log[Part Name],$A60,T_TTAFStock_Log[WeekIndex],2)=0,"",SUMIFS(T_TTAFStock_Log[TTAF_Qty],T_TTAFStock_Log[Part Name],$A60,T_TTAFStock_Log[WeekIndex],2))</f>
        <v/>
      </c>
      <c r="D60" s="17">
        <f>IF(COUNTIFS(T_TTAFStock_Log[Part Name],$A60,T_TTAFStock_Log[WeekIndex],3)=0,"",SUMIFS(T_TTAFStock_Log[TTAF_Qty],T_TTAFStock_Log[Part Name],$A60,T_TTAFStock_Log[WeekIndex],3))</f>
        <v/>
      </c>
      <c r="E60" s="17">
        <f>IF(COUNTIFS(T_TTAFStock_Log[Part Name],$A60,T_TTAFStock_Log[WeekIndex],4)=0,"",SUMIFS(T_TTAFStock_Log[TTAF_Qty],T_TTAFStock_Log[Part Name],$A60,T_TTAFStock_Log[WeekIndex],4))</f>
        <v/>
      </c>
      <c r="F60" s="17">
        <f>IF(COUNTIFS(T_TTAFStock_Log[Part Name],$A60,T_TTAFStock_Log[WeekIndex],5)=0,"",SUMIFS(T_TTAFStock_Log[TTAF_Qty],T_TTAFStock_Log[Part Name],$A60,T_TTAFStock_Log[WeekIndex],5))</f>
        <v/>
      </c>
      <c r="G60" s="17">
        <f>IF(COUNTIFS(T_TTAFStock_Log[Part Name],$A60,T_TTAFStock_Log[WeekIndex],6)=0,"",SUMIFS(T_TTAFStock_Log[TTAF_Qty],T_TTAFStock_Log[Part Name],$A60,T_TTAFStock_Log[WeekIndex],6))</f>
        <v/>
      </c>
      <c r="H60" s="17">
        <f>IF(COUNTIFS(T_TTAFStock_Log[Part Name],$A60,T_TTAFStock_Log[WeekIndex],7)=0,"",SUMIFS(T_TTAFStock_Log[TTAF_Qty],T_TTAFStock_Log[Part Name],$A60,T_TTAFStock_Log[WeekIndex],7))</f>
        <v/>
      </c>
      <c r="I60" s="17">
        <f>IF(COUNTIFS(T_TTAFStock_Log[Part Name],$A60,T_TTAFStock_Log[WeekIndex],8)=0,"",SUMIFS(T_TTAFStock_Log[TTAF_Qty],T_TTAFStock_Log[Part Name],$A60,T_TTAFStock_Log[WeekIndex],8))</f>
        <v/>
      </c>
      <c r="J60" s="17">
        <f>IF(COUNTIFS(T_TTAFStock_Log[Part Name],$A60,T_TTAFStock_Log[WeekIndex],9)=0,"",SUMIFS(T_TTAFStock_Log[TTAF_Qty],T_TTAFStock_Log[Part Name],$A60,T_TTAFStock_Log[WeekIndex],9))</f>
        <v/>
      </c>
      <c r="K60" s="17">
        <f>IF(COUNTIFS(T_TTAFStock_Log[Part Name],$A60,T_TTAFStock_Log[WeekIndex],10)=0,"",SUMIFS(T_TTAFStock_Log[TTAF_Qty],T_TTAFStock_Log[Part Name],$A60,T_TTAFStock_Log[WeekIndex],10))</f>
        <v/>
      </c>
      <c r="L60" s="17">
        <f>IF(COUNTIFS(T_TTAFStock_Log[Part Name],$A60,T_TTAFStock_Log[WeekIndex],11)=0,"",SUMIFS(T_TTAFStock_Log[TTAF_Qty],T_TTAFStock_Log[Part Name],$A60,T_TTAFStock_Log[WeekIndex],11))</f>
        <v/>
      </c>
      <c r="M60" s="17">
        <f>IF(COUNTIFS(T_TTAFStock_Log[Part Name],$A60,T_TTAFStock_Log[WeekIndex],12)=0,"",SUMIFS(T_TTAFStock_Log[TTAF_Qty],T_TTAFStock_Log[Part Name],$A60,T_TTAFStock_Log[WeekIndex],12))</f>
        <v/>
      </c>
      <c r="N60" s="17">
        <f>IF(COUNTIFS(T_TTAFStock_Log[Part Name],$A60,T_TTAFStock_Log[WeekIndex],13)=0,"",SUMIFS(T_TTAFStock_Log[TTAF_Qty],T_TTAFStock_Log[Part Name],$A60,T_TTAFStock_Log[WeekIndex],13))</f>
        <v/>
      </c>
      <c r="O60" s="17">
        <f>IF(COUNTIFS(T_TTAFStock_Log[Part Name],$A60,T_TTAFStock_Log[WeekIndex],14)=0,"",SUMIFS(T_TTAFStock_Log[TTAF_Qty],T_TTAFStock_Log[Part Name],$A60,T_TTAFStock_Log[WeekIndex],14))</f>
        <v/>
      </c>
      <c r="P60" s="17">
        <f>IF(COUNTIFS(T_TTAFStock_Log[Part Name],$A60,T_TTAFStock_Log[WeekIndex],15)=0,"",SUMIFS(T_TTAFStock_Log[TTAF_Qty],T_TTAFStock_Log[Part Name],$A60,T_TTAFStock_Log[WeekIndex],15))</f>
        <v/>
      </c>
      <c r="Q60" s="17">
        <f>IF(COUNTIFS(T_TTAFStock_Log[Part Name],$A60,T_TTAFStock_Log[WeekIndex],16)=0,"",SUMIFS(T_TTAFStock_Log[TTAF_Qty],T_TTAFStock_Log[Part Name],$A60,T_TTAFStock_Log[WeekIndex],16))</f>
        <v/>
      </c>
      <c r="R60" s="17">
        <f>IF(COUNTIFS(T_TTAFStock_Log[Part Name],$A60,T_TTAFStock_Log[WeekIndex],17)=0,"",SUMIFS(T_TTAFStock_Log[TTAF_Qty],T_TTAFStock_Log[Part Name],$A60,T_TTAFStock_Log[WeekIndex],17))</f>
        <v/>
      </c>
      <c r="S60" s="17">
        <f>IF(COUNTIFS(T_TTAFStock_Log[Part Name],$A60,T_TTAFStock_Log[WeekIndex],18)=0,"",SUMIFS(T_TTAFStock_Log[TTAF_Qty],T_TTAFStock_Log[Part Name],$A60,T_TTAFStock_Log[WeekIndex],18))</f>
        <v/>
      </c>
      <c r="T60" s="17">
        <f>IF(COUNTIFS(T_TTAFStock_Log[Part Name],$A60,T_TTAFStock_Log[WeekIndex],19)=0,"",SUMIFS(T_TTAFStock_Log[TTAF_Qty],T_TTAFStock_Log[Part Name],$A60,T_TTAFStock_Log[WeekIndex],19))</f>
        <v/>
      </c>
      <c r="U60" s="17">
        <f>IF(COUNTIFS(T_TTAFStock_Log[Part Name],$A60,T_TTAFStock_Log[WeekIndex],20)=0,"",SUMIFS(T_TTAFStock_Log[TTAF_Qty],T_TTAFStock_Log[Part Name],$A60,T_TTAFStock_Log[WeekIndex],20))</f>
        <v/>
      </c>
      <c r="V60" s="17">
        <f>IF(COUNTIFS(T_TTAFStock_Log[Part Name],$A60,T_TTAFStock_Log[WeekIndex],21)=0,"",SUMIFS(T_TTAFStock_Log[TTAF_Qty],T_TTAFStock_Log[Part Name],$A60,T_TTAFStock_Log[WeekIndex],21))</f>
        <v/>
      </c>
      <c r="W60" s="17">
        <f>IF(COUNTIFS(T_TTAFStock_Log[Part Name],$A60,T_TTAFStock_Log[WeekIndex],22)=0,"",SUMIFS(T_TTAFStock_Log[TTAF_Qty],T_TTAFStock_Log[Part Name],$A60,T_TTAFStock_Log[WeekIndex],22))</f>
        <v/>
      </c>
      <c r="X60" s="17">
        <f>IF(COUNTIFS(T_TTAFStock_Log[Part Name],$A60,T_TTAFStock_Log[WeekIndex],23)=0,"",SUMIFS(T_TTAFStock_Log[TTAF_Qty],T_TTAFStock_Log[Part Name],$A60,T_TTAFStock_Log[WeekIndex],23))</f>
        <v/>
      </c>
      <c r="Y60" s="17">
        <f>IF(COUNTIFS(T_TTAFStock_Log[Part Name],$A60,T_TTAFStock_Log[WeekIndex],24)=0,"",SUMIFS(T_TTAFStock_Log[TTAF_Qty],T_TTAFStock_Log[Part Name],$A60,T_TTAFStock_Log[WeekIndex],24))</f>
        <v/>
      </c>
      <c r="Z60" s="17">
        <f>IF(COUNTIFS(T_TTAFStock_Log[Part Name],$A60,T_TTAFStock_Log[WeekIndex],25)=0,"",SUMIFS(T_TTAFStock_Log[TTAF_Qty],T_TTAFStock_Log[Part Name],$A60,T_TTAFStock_Log[WeekIndex],25))</f>
        <v/>
      </c>
      <c r="AA60" s="17">
        <f>IF(COUNTIFS(T_TTAFStock_Log[Part Name],$A60,T_TTAFStock_Log[WeekIndex],26)=0,"",SUMIFS(T_TTAFStock_Log[TTAF_Qty],T_TTAFStock_Log[Part Name],$A60,T_TTAFStock_Log[WeekIndex],26))</f>
        <v/>
      </c>
      <c r="AB60" s="17">
        <f>IF(COUNTIFS(T_TTAFStock_Log[Part Name],$A60,T_TTAFStock_Log[WeekIndex],27)=0,"",SUMIFS(T_TTAFStock_Log[TTAF_Qty],T_TTAFStock_Log[Part Name],$A60,T_TTAFStock_Log[WeekIndex],27))</f>
        <v/>
      </c>
      <c r="AC60" s="17">
        <f>IF(COUNTIFS(T_TTAFStock_Log[Part Name],$A60,T_TTAFStock_Log[WeekIndex],28)=0,"",SUMIFS(T_TTAFStock_Log[TTAF_Qty],T_TTAFStock_Log[Part Name],$A60,T_TTAFStock_Log[WeekIndex],28))</f>
        <v/>
      </c>
      <c r="AD60" s="17">
        <f>IF(COUNTIFS(T_TTAFStock_Log[Part Name],$A60,T_TTAFStock_Log[WeekIndex],29)=0,"",SUMIFS(T_TTAFStock_Log[TTAF_Qty],T_TTAFStock_Log[Part Name],$A60,T_TTAFStock_Log[WeekIndex],29))</f>
        <v/>
      </c>
      <c r="AE60" s="17">
        <f>IF(COUNTIFS(T_TTAFStock_Log[Part Name],$A60,T_TTAFStock_Log[WeekIndex],30)=0,"",SUMIFS(T_TTAFStock_Log[TTAF_Qty],T_TTAFStock_Log[Part Name],$A60,T_TTAFStock_Log[WeekIndex],30))</f>
        <v/>
      </c>
      <c r="AF60" s="17">
        <f>IF(COUNTIFS(T_TTAFStock_Log[Part Name],$A60,T_TTAFStock_Log[WeekIndex],31)=0,"",SUMIFS(T_TTAFStock_Log[TTAF_Qty],T_TTAFStock_Log[Part Name],$A60,T_TTAFStock_Log[WeekIndex],31))</f>
        <v/>
      </c>
      <c r="AG60" s="17">
        <f>IF(COUNTIFS(T_TTAFStock_Log[Part Name],$A60,T_TTAFStock_Log[WeekIndex],32)=0,"",SUMIFS(T_TTAFStock_Log[TTAF_Qty],T_TTAFStock_Log[Part Name],$A60,T_TTAFStock_Log[WeekIndex],32))</f>
        <v/>
      </c>
      <c r="AH60" s="17">
        <f>IF(COUNTIFS(T_TTAFStock_Log[Part Name],$A60,T_TTAFStock_Log[WeekIndex],33)=0,"",SUMIFS(T_TTAFStock_Log[TTAF_Qty],T_TTAFStock_Log[Part Name],$A60,T_TTAFStock_Log[WeekIndex],33))</f>
        <v/>
      </c>
      <c r="AI60" s="17">
        <f>IF(COUNTIFS(T_TTAFStock_Log[Part Name],$A60,T_TTAFStock_Log[WeekIndex],34)=0,"",SUMIFS(T_TTAFStock_Log[TTAF_Qty],T_TTAFStock_Log[Part Name],$A60,T_TTAFStock_Log[WeekIndex],34))</f>
        <v/>
      </c>
      <c r="AJ60" s="17">
        <f>IF(COUNTIFS(T_TTAFStock_Log[Part Name],$A60,T_TTAFStock_Log[WeekIndex],35)=0,"",SUMIFS(T_TTAFStock_Log[TTAF_Qty],T_TTAFStock_Log[Part Name],$A60,T_TTAFStock_Log[WeekIndex],35))</f>
        <v/>
      </c>
      <c r="AK60" s="17">
        <f>IF(COUNTIFS(T_TTAFStock_Log[Part Name],$A60,T_TTAFStock_Log[WeekIndex],36)=0,"",SUMIFS(T_TTAFStock_Log[TTAF_Qty],T_TTAFStock_Log[Part Name],$A60,T_TTAFStock_Log[WeekIndex],36))</f>
        <v/>
      </c>
      <c r="AL60" s="17">
        <f>IF(COUNTIFS(T_TTAFStock_Log[Part Name],$A60,T_TTAFStock_Log[WeekIndex],37)=0,"",SUMIFS(T_TTAFStock_Log[TTAF_Qty],T_TTAFStock_Log[Part Name],$A60,T_TTAFStock_Log[WeekIndex],37))</f>
        <v/>
      </c>
      <c r="AM60" s="17">
        <f>IF(COUNTIFS(T_TTAFStock_Log[Part Name],$A60,T_TTAFStock_Log[WeekIndex],38)=0,"",SUMIFS(T_TTAFStock_Log[TTAF_Qty],T_TTAFStock_Log[Part Name],$A60,T_TTAFStock_Log[WeekIndex],38))</f>
        <v/>
      </c>
      <c r="AN60" s="17">
        <f>IF(COUNTIFS(T_TTAFStock_Log[Part Name],$A60,T_TTAFStock_Log[WeekIndex],39)=0,"",SUMIFS(T_TTAFStock_Log[TTAF_Qty],T_TTAFStock_Log[Part Name],$A60,T_TTAFStock_Log[WeekIndex],39))</f>
        <v/>
      </c>
      <c r="AO60" s="17">
        <f>IF(COUNTIFS(T_TTAFStock_Log[Part Name],$A60,T_TTAFStock_Log[WeekIndex],40)=0,"",SUMIFS(T_TTAFStock_Log[TTAF_Qty],T_TTAFStock_Log[Part Name],$A60,T_TTAFStock_Log[WeekIndex],40))</f>
        <v/>
      </c>
      <c r="AP60" s="17">
        <f>IF(COUNTIFS(T_TTAFStock_Log[Part Name],$A60,T_TTAFStock_Log[WeekIndex],41)=0,"",SUMIFS(T_TTAFStock_Log[TTAF_Qty],T_TTAFStock_Log[Part Name],$A60,T_TTAFStock_Log[WeekIndex],41))</f>
        <v/>
      </c>
      <c r="AQ60" s="17">
        <f>IF(COUNTIFS(T_TTAFStock_Log[Part Name],$A60,T_TTAFStock_Log[WeekIndex],42)=0,"",SUMIFS(T_TTAFStock_Log[TTAF_Qty],T_TTAFStock_Log[Part Name],$A60,T_TTAFStock_Log[WeekIndex],42))</f>
        <v/>
      </c>
      <c r="AR60" s="17">
        <f>IF(COUNTIFS(T_TTAFStock_Log[Part Name],$A60,T_TTAFStock_Log[WeekIndex],43)=0,"",SUMIFS(T_TTAFStock_Log[TTAF_Qty],T_TTAFStock_Log[Part Name],$A60,T_TTAFStock_Log[WeekIndex],43))</f>
        <v/>
      </c>
      <c r="AS60" s="17">
        <f>IF(COUNTIFS(T_TTAFStock_Log[Part Name],$A60,T_TTAFStock_Log[WeekIndex],44)=0,"",SUMIFS(T_TTAFStock_Log[TTAF_Qty],T_TTAFStock_Log[Part Name],$A60,T_TTAFStock_Log[WeekIndex],44))</f>
        <v/>
      </c>
      <c r="AT60" s="17">
        <f>IF(COUNTIFS(T_TTAFStock_Log[Part Name],$A60,T_TTAFStock_Log[WeekIndex],45)=0,"",SUMIFS(T_TTAFStock_Log[TTAF_Qty],T_TTAFStock_Log[Part Name],$A60,T_TTAFStock_Log[WeekIndex],45))</f>
        <v/>
      </c>
      <c r="AU60" s="17">
        <f>IF(COUNTIFS(T_TTAFStock_Log[Part Name],$A60,T_TTAFStock_Log[WeekIndex],46)=0,"",SUMIFS(T_TTAFStock_Log[TTAF_Qty],T_TTAFStock_Log[Part Name],$A60,T_TTAFStock_Log[WeekIndex],46))</f>
        <v/>
      </c>
      <c r="AV60" s="17">
        <f>IF(COUNTIFS(T_TTAFStock_Log[Part Name],$A60,T_TTAFStock_Log[WeekIndex],47)=0,"",SUMIFS(T_TTAFStock_Log[TTAF_Qty],T_TTAFStock_Log[Part Name],$A60,T_TTAFStock_Log[WeekIndex],47))</f>
        <v/>
      </c>
      <c r="AW60" s="17">
        <f>IF(COUNTIFS(T_TTAFStock_Log[Part Name],$A60,T_TTAFStock_Log[WeekIndex],48)=0,"",SUMIFS(T_TTAFStock_Log[TTAF_Qty],T_TTAFStock_Log[Part Name],$A60,T_TTAFStock_Log[WeekIndex],48))</f>
        <v/>
      </c>
      <c r="AX60" s="17">
        <f>IF(COUNTIFS(T_TTAFStock_Log[Part Name],$A60,T_TTAFStock_Log[WeekIndex],49)=0,"",SUMIFS(T_TTAFStock_Log[TTAF_Qty],T_TTAFStock_Log[Part Name],$A60,T_TTAFStock_Log[WeekIndex],49))</f>
        <v/>
      </c>
      <c r="AY60" s="17">
        <f>IF(COUNTIFS(T_TTAFStock_Log[Part Name],$A60,T_TTAFStock_Log[WeekIndex],50)=0,"",SUMIFS(T_TTAFStock_Log[TTAF_Qty],T_TTAFStock_Log[Part Name],$A60,T_TTAFStock_Log[WeekIndex],50))</f>
        <v/>
      </c>
      <c r="AZ60" s="17">
        <f>IF(COUNTIFS(T_TTAFStock_Log[Part Name],$A60,T_TTAFStock_Log[WeekIndex],51)=0,"",SUMIFS(T_TTAFStock_Log[TTAF_Qty],T_TTAFStock_Log[Part Name],$A60,T_TTAFStock_Log[WeekIndex],51))</f>
        <v/>
      </c>
      <c r="BA60" s="17">
        <f>IF(COUNTIFS(T_TTAFStock_Log[Part Name],$A60,T_TTAFStock_Log[WeekIndex],52)=0,"",SUMIFS(T_TTAFStock_Log[TTAF_Qty],T_TTAFStock_Log[Part Name],$A60,T_TTAFStock_Log[WeekIndex],52))</f>
        <v/>
      </c>
      <c r="BB60" s="17">
        <f>IF(COUNTIFS(T_TTAFStock_Log[Part Name],$A60,T_TTAFStock_Log[WeekIndex],53)=0,"",SUMIFS(T_TTAFStock_Log[TTAF_Qty],T_TTAFStock_Log[Part Name],$A60,T_TTAFStock_Log[WeekIndex],53))</f>
        <v/>
      </c>
      <c r="BC60" s="17">
        <f>IF(COUNTIFS(T_TTAFStock_Log[Part Name],$A60,T_TTAFStock_Log[WeekIndex],54)=0,"",SUMIFS(T_TTAFStock_Log[TTAF_Qty],T_TTAFStock_Log[Part Name],$A60,T_TTAFStock_Log[WeekIndex],54))</f>
        <v/>
      </c>
      <c r="BD60" s="17">
        <f>IF(COUNTIFS(T_TTAFStock_Log[Part Name],$A60,T_TTAFStock_Log[WeekIndex],55)=0,"",SUMIFS(T_TTAFStock_Log[TTAF_Qty],T_TTAFStock_Log[Part Name],$A60,T_TTAFStock_Log[WeekIndex],55))</f>
        <v/>
      </c>
      <c r="BE60" s="17">
        <f>IF(COUNTIFS(T_TTAFStock_Log[Part Name],$A60,T_TTAFStock_Log[WeekIndex],56)=0,"",SUMIFS(T_TTAFStock_Log[TTAF_Qty],T_TTAFStock_Log[Part Name],$A60,T_TTAFStock_Log[WeekIndex],56))</f>
        <v/>
      </c>
      <c r="BF60" s="17">
        <f>IF(COUNTIFS(T_TTAFStock_Log[Part Name],$A60,T_TTAFStock_Log[WeekIndex],57)=0,"",SUMIFS(T_TTAFStock_Log[TTAF_Qty],T_TTAFStock_Log[Part Name],$A60,T_TTAFStock_Log[WeekIndex],57))</f>
        <v/>
      </c>
      <c r="BG60" s="17">
        <f>IF(COUNTIFS(T_TTAFStock_Log[Part Name],$A60,T_TTAFStock_Log[WeekIndex],58)=0,"",SUMIFS(T_TTAFStock_Log[TTAF_Qty],T_TTAFStock_Log[Part Name],$A60,T_TTAFStock_Log[WeekIndex],58))</f>
        <v/>
      </c>
      <c r="BH60" s="17">
        <f>IF(COUNTIFS(T_TTAFStock_Log[Part Name],$A60,T_TTAFStock_Log[WeekIndex],59)=0,"",SUMIFS(T_TTAFStock_Log[TTAF_Qty],T_TTAFStock_Log[Part Name],$A60,T_TTAFStock_Log[WeekIndex],59))</f>
        <v/>
      </c>
      <c r="BI60" s="17">
        <f>IF(COUNTIFS(T_TTAFStock_Log[Part Name],$A60,T_TTAFStock_Log[WeekIndex],60)=0,"",SUMIFS(T_TTAFStock_Log[TTAF_Qty],T_TTAFStock_Log[Part Name],$A60,T_TTAFStock_Log[WeekIndex],60))</f>
        <v/>
      </c>
      <c r="BJ60" s="17">
        <f>IF(COUNTIFS(T_TTAFStock_Log[Part Name],$A60,T_TTAFStock_Log[WeekIndex],61)=0,"",SUMIFS(T_TTAFStock_Log[TTAF_Qty],T_TTAFStock_Log[Part Name],$A60,T_TTAFStock_Log[WeekIndex],61))</f>
        <v/>
      </c>
      <c r="BK60" s="17">
        <f>IF(COUNTIFS(T_TTAFStock_Log[Part Name],$A60,T_TTAFStock_Log[WeekIndex],62)=0,"",SUMIFS(T_TTAFStock_Log[TTAF_Qty],T_TTAFStock_Log[Part Name],$A60,T_TTAFStock_Log[WeekIndex],62))</f>
        <v/>
      </c>
      <c r="BL60" s="17">
        <f>IF(COUNTIFS(T_TTAFStock_Log[Part Name],$A60,T_TTAFStock_Log[WeekIndex],63)=0,"",SUMIFS(T_TTAFStock_Log[TTAF_Qty],T_TTAFStock_Log[Part Name],$A60,T_TTAFStock_Log[WeekIndex],63))</f>
        <v/>
      </c>
      <c r="BM60" s="17">
        <f>IF(COUNTIFS(T_TTAFStock_Log[Part Name],$A60,T_TTAFStock_Log[WeekIndex],64)=0,"",SUMIFS(T_TTAFStock_Log[TTAF_Qty],T_TTAFStock_Log[Part Name],$A60,T_TTAFStock_Log[WeekIndex],64))</f>
        <v/>
      </c>
      <c r="BN60" s="17">
        <f>IF(COUNTIFS(T_TTAFStock_Log[Part Name],$A60,T_TTAFStock_Log[WeekIndex],65)=0,"",SUMIFS(T_TTAFStock_Log[TTAF_Qty],T_TTAFStock_Log[Part Name],$A60,T_TTAFStock_Log[WeekIndex],65))</f>
        <v/>
      </c>
      <c r="BO60" s="17">
        <f>IF(COUNTIFS(T_TTAFStock_Log[Part Name],$A60,T_TTAFStock_Log[WeekIndex],66)=0,"",SUMIFS(T_TTAFStock_Log[TTAF_Qty],T_TTAFStock_Log[Part Name],$A60,T_TTAFStock_Log[WeekIndex],66))</f>
        <v/>
      </c>
      <c r="BP60" s="17">
        <f>IF(COUNTIFS(T_TTAFStock_Log[Part Name],$A60,T_TTAFStock_Log[WeekIndex],67)=0,"",SUMIFS(T_TTAFStock_Log[TTAF_Qty],T_TTAFStock_Log[Part Name],$A60,T_TTAFStock_Log[WeekIndex],67))</f>
        <v/>
      </c>
      <c r="BQ60" s="17">
        <f>IF(COUNTIFS(T_TTAFStock_Log[Part Name],$A60,T_TTAFStock_Log[WeekIndex],68)=0,"",SUMIFS(T_TTAFStock_Log[TTAF_Qty],T_TTAFStock_Log[Part Name],$A60,T_TTAFStock_Log[WeekIndex],68))</f>
        <v/>
      </c>
      <c r="BR60" s="17">
        <f>IF(COUNTIFS(T_TTAFStock_Log[Part Name],$A60,T_TTAFStock_Log[WeekIndex],69)=0,"",SUMIFS(T_TTAFStock_Log[TTAF_Qty],T_TTAFStock_Log[Part Name],$A60,T_TTAFStock_Log[WeekIndex],69))</f>
        <v/>
      </c>
      <c r="BS60" s="17">
        <f>IF(COUNTIFS(T_TTAFStock_Log[Part Name],$A60,T_TTAFStock_Log[WeekIndex],70)=0,"",SUMIFS(T_TTAFStock_Log[TTAF_Qty],T_TTAFStock_Log[Part Name],$A60,T_TTAFStock_Log[WeekIndex],70))</f>
        <v/>
      </c>
      <c r="BT60" s="17">
        <f>IF(COUNTIFS(T_TTAFStock_Log[Part Name],$A60,T_TTAFStock_Log[WeekIndex],71)=0,"",SUMIFS(T_TTAFStock_Log[TTAF_Qty],T_TTAFStock_Log[Part Name],$A60,T_TTAFStock_Log[WeekIndex],71))</f>
        <v/>
      </c>
      <c r="BU60" s="17">
        <f>IF(COUNTIFS(T_TTAFStock_Log[Part Name],$A60,T_TTAFStock_Log[WeekIndex],72)=0,"",SUMIFS(T_TTAFStock_Log[TTAF_Qty],T_TTAFStock_Log[Part Name],$A60,T_TTAFStock_Log[WeekIndex],72))</f>
        <v/>
      </c>
      <c r="BV60" s="17">
        <f>IF(COUNTIFS(T_TTAFStock_Log[Part Name],$A60,T_TTAFStock_Log[WeekIndex],73)=0,"",SUMIFS(T_TTAFStock_Log[TTAF_Qty],T_TTAFStock_Log[Part Name],$A60,T_TTAFStock_Log[WeekIndex],73))</f>
        <v/>
      </c>
      <c r="BW60" s="17">
        <f>IF(COUNTIFS(T_TTAFStock_Log[Part Name],$A60,T_TTAFStock_Log[WeekIndex],74)=0,"",SUMIFS(T_TTAFStock_Log[TTAF_Qty],T_TTAFStock_Log[Part Name],$A60,T_TTAFStock_Log[WeekIndex],74))</f>
        <v/>
      </c>
      <c r="BX60" s="17">
        <f>IF(COUNTIFS(T_TTAFStock_Log[Part Name],$A60,T_TTAFStock_Log[WeekIndex],75)=0,"",SUMIFS(T_TTAFStock_Log[TTAF_Qty],T_TTAFStock_Log[Part Name],$A60,T_TTAFStock_Log[WeekIndex],75))</f>
        <v/>
      </c>
      <c r="BY60" s="17">
        <f>IF(COUNTIFS(T_TTAFStock_Log[Part Name],$A60,T_TTAFStock_Log[WeekIndex],76)=0,"",SUMIFS(T_TTAFStock_Log[TTAF_Qty],T_TTAFStock_Log[Part Name],$A60,T_TTAFStock_Log[WeekIndex],76))</f>
        <v/>
      </c>
      <c r="BZ60" s="17">
        <f>IF(COUNTIFS(T_TTAFStock_Log[Part Name],$A60,T_TTAFStock_Log[WeekIndex],77)=0,"",SUMIFS(T_TTAFStock_Log[TTAF_Qty],T_TTAFStock_Log[Part Name],$A60,T_TTAFStock_Log[WeekIndex],77))</f>
        <v/>
      </c>
      <c r="CA60" s="17">
        <f>IF(COUNTIFS(T_TTAFStock_Log[Part Name],$A60,T_TTAFStock_Log[WeekIndex],78)=0,"",SUMIFS(T_TTAFStock_Log[TTAF_Qty],T_TTAFStock_Log[Part Name],$A60,T_TTAFStock_Log[WeekIndex],78))</f>
        <v/>
      </c>
      <c r="CB60" s="17">
        <f>IF(COUNTIFS(T_TTAFStock_Log[Part Name],$A60,T_TTAFStock_Log[WeekIndex],79)=0,"",SUMIFS(T_TTAFStock_Log[TTAF_Qty],T_TTAFStock_Log[Part Name],$A60,T_TTAFStock_Log[WeekIndex],79))</f>
        <v/>
      </c>
      <c r="CC60" s="17">
        <f>IF(COUNTIFS(T_TTAFStock_Log[Part Name],$A60,T_TTAFStock_Log[WeekIndex],80)=0,"",SUMIFS(T_TTAFStock_Log[TTAF_Qty],T_TTAFStock_Log[Part Name],$A60,T_TTAFStock_Log[WeekIndex],80))</f>
        <v/>
      </c>
      <c r="CD60" s="17">
        <f>IF(COUNTIFS(T_TTAFStock_Log[Part Name],$A60,T_TTAFStock_Log[WeekIndex],81)=0,"",SUMIFS(T_TTAFStock_Log[TTAF_Qty],T_TTAFStock_Log[Part Name],$A60,T_TTAFStock_Log[WeekIndex],81))</f>
        <v/>
      </c>
      <c r="CE60" s="17">
        <f>IF(COUNTIFS(T_TTAFStock_Log[Part Name],$A60,T_TTAFStock_Log[WeekIndex],82)=0,"",SUMIFS(T_TTAFStock_Log[TTAF_Qty],T_TTAFStock_Log[Part Name],$A60,T_TTAFStock_Log[WeekIndex],82))</f>
        <v/>
      </c>
      <c r="CF60" s="17">
        <f>IF(COUNTIFS(T_TTAFStock_Log[Part Name],$A60,T_TTAFStock_Log[WeekIndex],83)=0,"",SUMIFS(T_TTAFStock_Log[TTAF_Qty],T_TTAFStock_Log[Part Name],$A60,T_TTAFStock_Log[WeekIndex],83))</f>
        <v/>
      </c>
      <c r="CG60" s="17">
        <f>IF(COUNTIFS(T_TTAFStock_Log[Part Name],$A60,T_TTAFStock_Log[WeekIndex],84)=0,"",SUMIFS(T_TTAFStock_Log[TTAF_Qty],T_TTAFStock_Log[Part Name],$A60,T_TTAFStock_Log[WeekIndex],84))</f>
        <v/>
      </c>
      <c r="CH60" s="17">
        <f>IF(COUNTIFS(T_TTAFStock_Log[Part Name],$A60,T_TTAFStock_Log[WeekIndex],85)=0,"",SUMIFS(T_TTAFStock_Log[TTAF_Qty],T_TTAFStock_Log[Part Name],$A60,T_TTAFStock_Log[WeekIndex],85))</f>
        <v/>
      </c>
      <c r="CI60" s="17">
        <f>IF(COUNTIFS(T_TTAFStock_Log[Part Name],$A60,T_TTAFStock_Log[WeekIndex],86)=0,"",SUMIFS(T_TTAFStock_Log[TTAF_Qty],T_TTAFStock_Log[Part Name],$A60,T_TTAFStock_Log[WeekIndex],86))</f>
        <v/>
      </c>
      <c r="CJ60" s="17">
        <f>IF(COUNTIFS(T_TTAFStock_Log[Part Name],$A60,T_TTAFStock_Log[WeekIndex],87)=0,"",SUMIFS(T_TTAFStock_Log[TTAF_Qty],T_TTAFStock_Log[Part Name],$A60,T_TTAFStock_Log[WeekIndex],87))</f>
        <v/>
      </c>
      <c r="CK60" s="17">
        <f>IF(COUNTIFS(T_TTAFStock_Log[Part Name],$A60,T_TTAFStock_Log[WeekIndex],88)=0,"",SUMIFS(T_TTAFStock_Log[TTAF_Qty],T_TTAFStock_Log[Part Name],$A60,T_TTAFStock_Log[WeekIndex],88))</f>
        <v/>
      </c>
      <c r="CL60" s="17">
        <f>IF(COUNTIFS(T_TTAFStock_Log[Part Name],$A60,T_TTAFStock_Log[WeekIndex],89)=0,"",SUMIFS(T_TTAFStock_Log[TTAF_Qty],T_TTAFStock_Log[Part Name],$A60,T_TTAFStock_Log[WeekIndex],89))</f>
        <v/>
      </c>
      <c r="CM60" s="17">
        <f>IF(COUNTIFS(T_TTAFStock_Log[Part Name],$A60,T_TTAFStock_Log[WeekIndex],90)=0,"",SUMIFS(T_TTAFStock_Log[TTAF_Qty],T_TTAFStock_Log[Part Name],$A60,T_TTAFStock_Log[WeekIndex],90))</f>
        <v/>
      </c>
      <c r="CN60" s="17">
        <f>IF(COUNTIFS(T_TTAFStock_Log[Part Name],$A60,T_TTAFStock_Log[WeekIndex],91)=0,"",SUMIFS(T_TTAFStock_Log[TTAF_Qty],T_TTAFStock_Log[Part Name],$A60,T_TTAFStock_Log[WeekIndex],91))</f>
        <v/>
      </c>
      <c r="CO60" s="17">
        <f>IF(COUNTIFS(T_TTAFStock_Log[Part Name],$A60,T_TTAFStock_Log[WeekIndex],92)=0,"",SUMIFS(T_TTAFStock_Log[TTAF_Qty],T_TTAFStock_Log[Part Name],$A60,T_TTAFStock_Log[WeekIndex],92))</f>
        <v/>
      </c>
      <c r="CP60" s="17">
        <f>IF(COUNTIFS(T_TTAFStock_Log[Part Name],$A60,T_TTAFStock_Log[WeekIndex],93)=0,"",SUMIFS(T_TTAFStock_Log[TTAF_Qty],T_TTAFStock_Log[Part Name],$A60,T_TTAFStock_Log[WeekIndex],93))</f>
        <v/>
      </c>
      <c r="CQ60" s="17">
        <f>IF(COUNTIFS(T_TTAFStock_Log[Part Name],$A60,T_TTAFStock_Log[WeekIndex],94)=0,"",SUMIFS(T_TTAFStock_Log[TTAF_Qty],T_TTAFStock_Log[Part Name],$A60,T_TTAFStock_Log[WeekIndex],94))</f>
        <v/>
      </c>
      <c r="CR60" s="17">
        <f>IF(COUNTIFS(T_TTAFStock_Log[Part Name],$A60,T_TTAFStock_Log[WeekIndex],95)=0,"",SUMIFS(T_TTAFStock_Log[TTAF_Qty],T_TTAFStock_Log[Part Name],$A60,T_TTAFStock_Log[WeekIndex],95))</f>
        <v/>
      </c>
      <c r="CS60" s="17">
        <f>IF(COUNTIFS(T_TTAFStock_Log[Part Name],$A60,T_TTAFStock_Log[WeekIndex],96)=0,"",SUMIFS(T_TTAFStock_Log[TTAF_Qty],T_TTAFStock_Log[Part Name],$A60,T_TTAFStock_Log[WeekIndex],96))</f>
        <v/>
      </c>
      <c r="CT60" s="17">
        <f>IF(COUNTIFS(T_TTAFStock_Log[Part Name],$A60,T_TTAFStock_Log[WeekIndex],97)=0,"",SUMIFS(T_TTAFStock_Log[TTAF_Qty],T_TTAFStock_Log[Part Name],$A60,T_TTAFStock_Log[WeekIndex],97))</f>
        <v/>
      </c>
      <c r="CU60" s="17">
        <f>IF(COUNTIFS(T_TTAFStock_Log[Part Name],$A60,T_TTAFStock_Log[WeekIndex],98)=0,"",SUMIFS(T_TTAFStock_Log[TTAF_Qty],T_TTAFStock_Log[Part Name],$A60,T_TTAFStock_Log[WeekIndex],98))</f>
        <v/>
      </c>
      <c r="CV60" s="17">
        <f>IF(COUNTIFS(T_TTAFStock_Log[Part Name],$A60,T_TTAFStock_Log[WeekIndex],99)=0,"",SUMIFS(T_TTAFStock_Log[TTAF_Qty],T_TTAFStock_Log[Part Name],$A60,T_TTAFStock_Log[WeekIndex],99))</f>
        <v/>
      </c>
      <c r="CW60" s="17">
        <f>IF(COUNTIFS(T_TTAFStock_Log[Part Name],$A60,T_TTAFStock_Log[WeekIndex],100)=0,"",SUMIFS(T_TTAFStock_Log[TTAF_Qty],T_TTAFStock_Log[Part Name],$A60,T_TTAFStock_Log[WeekIndex],100))</f>
        <v/>
      </c>
      <c r="CX60" s="17">
        <f>IF(COUNTIFS(T_TTAFStock_Log[Part Name],$A60,T_TTAFStock_Log[WeekIndex],101)=0,"",SUMIFS(T_TTAFStock_Log[TTAF_Qty],T_TTAFStock_Log[Part Name],$A60,T_TTAFStock_Log[WeekIndex],101))</f>
        <v/>
      </c>
      <c r="CY60" s="17">
        <f>IF(COUNTIFS(T_TTAFStock_Log[Part Name],$A60,T_TTAFStock_Log[WeekIndex],102)=0,"",SUMIFS(T_TTAFStock_Log[TTAF_Qty],T_TTAFStock_Log[Part Name],$A60,T_TTAFStock_Log[WeekIndex],102))</f>
        <v/>
      </c>
      <c r="CZ60" s="17">
        <f>IF(COUNTIFS(T_TTAFStock_Log[Part Name],$A60,T_TTAFStock_Log[WeekIndex],103)=0,"",SUMIFS(T_TTAFStock_Log[TTAF_Qty],T_TTAFStock_Log[Part Name],$A60,T_TTAFStock_Log[WeekIndex],103))</f>
        <v/>
      </c>
      <c r="DA60" s="17">
        <f>IF(COUNTIFS(T_TTAFStock_Log[Part Name],$A60,T_TTAFStock_Log[WeekIndex],104)=0,"",SUMIFS(T_TTAFStock_Log[TTAF_Qty],T_TTAFStock_Log[Part Name],$A60,T_TTAFStock_Log[WeekIndex],104))</f>
        <v/>
      </c>
    </row>
    <row r="61">
      <c r="A61" s="19" t="inlineStr">
        <is>
          <t>CHEM-1720</t>
        </is>
      </c>
      <c r="B61" s="19">
        <f>IF(COUNTIFS(T_TTAFStock_Log[Part Name],$A61,T_TTAFStock_Log[WeekIndex],1)=0,"",SUMIFS(T_TTAFStock_Log[TTAF_Qty],T_TTAFStock_Log[Part Name],$A61,T_TTAFStock_Log[WeekIndex],1))</f>
        <v/>
      </c>
      <c r="C61" s="19">
        <f>IF(COUNTIFS(T_TTAFStock_Log[Part Name],$A61,T_TTAFStock_Log[WeekIndex],2)=0,"",SUMIFS(T_TTAFStock_Log[TTAF_Qty],T_TTAFStock_Log[Part Name],$A61,T_TTAFStock_Log[WeekIndex],2))</f>
        <v/>
      </c>
      <c r="D61" s="19">
        <f>IF(COUNTIFS(T_TTAFStock_Log[Part Name],$A61,T_TTAFStock_Log[WeekIndex],3)=0,"",SUMIFS(T_TTAFStock_Log[TTAF_Qty],T_TTAFStock_Log[Part Name],$A61,T_TTAFStock_Log[WeekIndex],3))</f>
        <v/>
      </c>
      <c r="E61" s="19">
        <f>IF(COUNTIFS(T_TTAFStock_Log[Part Name],$A61,T_TTAFStock_Log[WeekIndex],4)=0,"",SUMIFS(T_TTAFStock_Log[TTAF_Qty],T_TTAFStock_Log[Part Name],$A61,T_TTAFStock_Log[WeekIndex],4))</f>
        <v/>
      </c>
      <c r="F61" s="19">
        <f>IF(COUNTIFS(T_TTAFStock_Log[Part Name],$A61,T_TTAFStock_Log[WeekIndex],5)=0,"",SUMIFS(T_TTAFStock_Log[TTAF_Qty],T_TTAFStock_Log[Part Name],$A61,T_TTAFStock_Log[WeekIndex],5))</f>
        <v/>
      </c>
      <c r="G61" s="19">
        <f>IF(COUNTIFS(T_TTAFStock_Log[Part Name],$A61,T_TTAFStock_Log[WeekIndex],6)=0,"",SUMIFS(T_TTAFStock_Log[TTAF_Qty],T_TTAFStock_Log[Part Name],$A61,T_TTAFStock_Log[WeekIndex],6))</f>
        <v/>
      </c>
      <c r="H61" s="19">
        <f>IF(COUNTIFS(T_TTAFStock_Log[Part Name],$A61,T_TTAFStock_Log[WeekIndex],7)=0,"",SUMIFS(T_TTAFStock_Log[TTAF_Qty],T_TTAFStock_Log[Part Name],$A61,T_TTAFStock_Log[WeekIndex],7))</f>
        <v/>
      </c>
      <c r="I61" s="19">
        <f>IF(COUNTIFS(T_TTAFStock_Log[Part Name],$A61,T_TTAFStock_Log[WeekIndex],8)=0,"",SUMIFS(T_TTAFStock_Log[TTAF_Qty],T_TTAFStock_Log[Part Name],$A61,T_TTAFStock_Log[WeekIndex],8))</f>
        <v/>
      </c>
      <c r="J61" s="19">
        <f>IF(COUNTIFS(T_TTAFStock_Log[Part Name],$A61,T_TTAFStock_Log[WeekIndex],9)=0,"",SUMIFS(T_TTAFStock_Log[TTAF_Qty],T_TTAFStock_Log[Part Name],$A61,T_TTAFStock_Log[WeekIndex],9))</f>
        <v/>
      </c>
      <c r="K61" s="19">
        <f>IF(COUNTIFS(T_TTAFStock_Log[Part Name],$A61,T_TTAFStock_Log[WeekIndex],10)=0,"",SUMIFS(T_TTAFStock_Log[TTAF_Qty],T_TTAFStock_Log[Part Name],$A61,T_TTAFStock_Log[WeekIndex],10))</f>
        <v/>
      </c>
      <c r="L61" s="19">
        <f>IF(COUNTIFS(T_TTAFStock_Log[Part Name],$A61,T_TTAFStock_Log[WeekIndex],11)=0,"",SUMIFS(T_TTAFStock_Log[TTAF_Qty],T_TTAFStock_Log[Part Name],$A61,T_TTAFStock_Log[WeekIndex],11))</f>
        <v/>
      </c>
      <c r="M61" s="19">
        <f>IF(COUNTIFS(T_TTAFStock_Log[Part Name],$A61,T_TTAFStock_Log[WeekIndex],12)=0,"",SUMIFS(T_TTAFStock_Log[TTAF_Qty],T_TTAFStock_Log[Part Name],$A61,T_TTAFStock_Log[WeekIndex],12))</f>
        <v/>
      </c>
      <c r="N61" s="19">
        <f>IF(COUNTIFS(T_TTAFStock_Log[Part Name],$A61,T_TTAFStock_Log[WeekIndex],13)=0,"",SUMIFS(T_TTAFStock_Log[TTAF_Qty],T_TTAFStock_Log[Part Name],$A61,T_TTAFStock_Log[WeekIndex],13))</f>
        <v/>
      </c>
      <c r="O61" s="19">
        <f>IF(COUNTIFS(T_TTAFStock_Log[Part Name],$A61,T_TTAFStock_Log[WeekIndex],14)=0,"",SUMIFS(T_TTAFStock_Log[TTAF_Qty],T_TTAFStock_Log[Part Name],$A61,T_TTAFStock_Log[WeekIndex],14))</f>
        <v/>
      </c>
      <c r="P61" s="19">
        <f>IF(COUNTIFS(T_TTAFStock_Log[Part Name],$A61,T_TTAFStock_Log[WeekIndex],15)=0,"",SUMIFS(T_TTAFStock_Log[TTAF_Qty],T_TTAFStock_Log[Part Name],$A61,T_TTAFStock_Log[WeekIndex],15))</f>
        <v/>
      </c>
      <c r="Q61" s="19">
        <f>IF(COUNTIFS(T_TTAFStock_Log[Part Name],$A61,T_TTAFStock_Log[WeekIndex],16)=0,"",SUMIFS(T_TTAFStock_Log[TTAF_Qty],T_TTAFStock_Log[Part Name],$A61,T_TTAFStock_Log[WeekIndex],16))</f>
        <v/>
      </c>
      <c r="R61" s="19">
        <f>IF(COUNTIFS(T_TTAFStock_Log[Part Name],$A61,T_TTAFStock_Log[WeekIndex],17)=0,"",SUMIFS(T_TTAFStock_Log[TTAF_Qty],T_TTAFStock_Log[Part Name],$A61,T_TTAFStock_Log[WeekIndex],17))</f>
        <v/>
      </c>
      <c r="S61" s="19">
        <f>IF(COUNTIFS(T_TTAFStock_Log[Part Name],$A61,T_TTAFStock_Log[WeekIndex],18)=0,"",SUMIFS(T_TTAFStock_Log[TTAF_Qty],T_TTAFStock_Log[Part Name],$A61,T_TTAFStock_Log[WeekIndex],18))</f>
        <v/>
      </c>
      <c r="T61" s="19">
        <f>IF(COUNTIFS(T_TTAFStock_Log[Part Name],$A61,T_TTAFStock_Log[WeekIndex],19)=0,"",SUMIFS(T_TTAFStock_Log[TTAF_Qty],T_TTAFStock_Log[Part Name],$A61,T_TTAFStock_Log[WeekIndex],19))</f>
        <v/>
      </c>
      <c r="U61" s="19">
        <f>IF(COUNTIFS(T_TTAFStock_Log[Part Name],$A61,T_TTAFStock_Log[WeekIndex],20)=0,"",SUMIFS(T_TTAFStock_Log[TTAF_Qty],T_TTAFStock_Log[Part Name],$A61,T_TTAFStock_Log[WeekIndex],20))</f>
        <v/>
      </c>
      <c r="V61" s="19">
        <f>IF(COUNTIFS(T_TTAFStock_Log[Part Name],$A61,T_TTAFStock_Log[WeekIndex],21)=0,"",SUMIFS(T_TTAFStock_Log[TTAF_Qty],T_TTAFStock_Log[Part Name],$A61,T_TTAFStock_Log[WeekIndex],21))</f>
        <v/>
      </c>
      <c r="W61" s="19">
        <f>IF(COUNTIFS(T_TTAFStock_Log[Part Name],$A61,T_TTAFStock_Log[WeekIndex],22)=0,"",SUMIFS(T_TTAFStock_Log[TTAF_Qty],T_TTAFStock_Log[Part Name],$A61,T_TTAFStock_Log[WeekIndex],22))</f>
        <v/>
      </c>
      <c r="X61" s="19">
        <f>IF(COUNTIFS(T_TTAFStock_Log[Part Name],$A61,T_TTAFStock_Log[WeekIndex],23)=0,"",SUMIFS(T_TTAFStock_Log[TTAF_Qty],T_TTAFStock_Log[Part Name],$A61,T_TTAFStock_Log[WeekIndex],23))</f>
        <v/>
      </c>
      <c r="Y61" s="19">
        <f>IF(COUNTIFS(T_TTAFStock_Log[Part Name],$A61,T_TTAFStock_Log[WeekIndex],24)=0,"",SUMIFS(T_TTAFStock_Log[TTAF_Qty],T_TTAFStock_Log[Part Name],$A61,T_TTAFStock_Log[WeekIndex],24))</f>
        <v/>
      </c>
      <c r="Z61" s="19">
        <f>IF(COUNTIFS(T_TTAFStock_Log[Part Name],$A61,T_TTAFStock_Log[WeekIndex],25)=0,"",SUMIFS(T_TTAFStock_Log[TTAF_Qty],T_TTAFStock_Log[Part Name],$A61,T_TTAFStock_Log[WeekIndex],25))</f>
        <v/>
      </c>
      <c r="AA61" s="19">
        <f>IF(COUNTIFS(T_TTAFStock_Log[Part Name],$A61,T_TTAFStock_Log[WeekIndex],26)=0,"",SUMIFS(T_TTAFStock_Log[TTAF_Qty],T_TTAFStock_Log[Part Name],$A61,T_TTAFStock_Log[WeekIndex],26))</f>
        <v/>
      </c>
      <c r="AB61" s="19">
        <f>IF(COUNTIFS(T_TTAFStock_Log[Part Name],$A61,T_TTAFStock_Log[WeekIndex],27)=0,"",SUMIFS(T_TTAFStock_Log[TTAF_Qty],T_TTAFStock_Log[Part Name],$A61,T_TTAFStock_Log[WeekIndex],27))</f>
        <v/>
      </c>
      <c r="AC61" s="19">
        <f>IF(COUNTIFS(T_TTAFStock_Log[Part Name],$A61,T_TTAFStock_Log[WeekIndex],28)=0,"",SUMIFS(T_TTAFStock_Log[TTAF_Qty],T_TTAFStock_Log[Part Name],$A61,T_TTAFStock_Log[WeekIndex],28))</f>
        <v/>
      </c>
      <c r="AD61" s="19">
        <f>IF(COUNTIFS(T_TTAFStock_Log[Part Name],$A61,T_TTAFStock_Log[WeekIndex],29)=0,"",SUMIFS(T_TTAFStock_Log[TTAF_Qty],T_TTAFStock_Log[Part Name],$A61,T_TTAFStock_Log[WeekIndex],29))</f>
        <v/>
      </c>
      <c r="AE61" s="19">
        <f>IF(COUNTIFS(T_TTAFStock_Log[Part Name],$A61,T_TTAFStock_Log[WeekIndex],30)=0,"",SUMIFS(T_TTAFStock_Log[TTAF_Qty],T_TTAFStock_Log[Part Name],$A61,T_TTAFStock_Log[WeekIndex],30))</f>
        <v/>
      </c>
      <c r="AF61" s="19">
        <f>IF(COUNTIFS(T_TTAFStock_Log[Part Name],$A61,T_TTAFStock_Log[WeekIndex],31)=0,"",SUMIFS(T_TTAFStock_Log[TTAF_Qty],T_TTAFStock_Log[Part Name],$A61,T_TTAFStock_Log[WeekIndex],31))</f>
        <v/>
      </c>
      <c r="AG61" s="19">
        <f>IF(COUNTIFS(T_TTAFStock_Log[Part Name],$A61,T_TTAFStock_Log[WeekIndex],32)=0,"",SUMIFS(T_TTAFStock_Log[TTAF_Qty],T_TTAFStock_Log[Part Name],$A61,T_TTAFStock_Log[WeekIndex],32))</f>
        <v/>
      </c>
      <c r="AH61" s="19">
        <f>IF(COUNTIFS(T_TTAFStock_Log[Part Name],$A61,T_TTAFStock_Log[WeekIndex],33)=0,"",SUMIFS(T_TTAFStock_Log[TTAF_Qty],T_TTAFStock_Log[Part Name],$A61,T_TTAFStock_Log[WeekIndex],33))</f>
        <v/>
      </c>
      <c r="AI61" s="19">
        <f>IF(COUNTIFS(T_TTAFStock_Log[Part Name],$A61,T_TTAFStock_Log[WeekIndex],34)=0,"",SUMIFS(T_TTAFStock_Log[TTAF_Qty],T_TTAFStock_Log[Part Name],$A61,T_TTAFStock_Log[WeekIndex],34))</f>
        <v/>
      </c>
      <c r="AJ61" s="19">
        <f>IF(COUNTIFS(T_TTAFStock_Log[Part Name],$A61,T_TTAFStock_Log[WeekIndex],35)=0,"",SUMIFS(T_TTAFStock_Log[TTAF_Qty],T_TTAFStock_Log[Part Name],$A61,T_TTAFStock_Log[WeekIndex],35))</f>
        <v/>
      </c>
      <c r="AK61" s="19">
        <f>IF(COUNTIFS(T_TTAFStock_Log[Part Name],$A61,T_TTAFStock_Log[WeekIndex],36)=0,"",SUMIFS(T_TTAFStock_Log[TTAF_Qty],T_TTAFStock_Log[Part Name],$A61,T_TTAFStock_Log[WeekIndex],36))</f>
        <v/>
      </c>
      <c r="AL61" s="19">
        <f>IF(COUNTIFS(T_TTAFStock_Log[Part Name],$A61,T_TTAFStock_Log[WeekIndex],37)=0,"",SUMIFS(T_TTAFStock_Log[TTAF_Qty],T_TTAFStock_Log[Part Name],$A61,T_TTAFStock_Log[WeekIndex],37))</f>
        <v/>
      </c>
      <c r="AM61" s="19">
        <f>IF(COUNTIFS(T_TTAFStock_Log[Part Name],$A61,T_TTAFStock_Log[WeekIndex],38)=0,"",SUMIFS(T_TTAFStock_Log[TTAF_Qty],T_TTAFStock_Log[Part Name],$A61,T_TTAFStock_Log[WeekIndex],38))</f>
        <v/>
      </c>
      <c r="AN61" s="19">
        <f>IF(COUNTIFS(T_TTAFStock_Log[Part Name],$A61,T_TTAFStock_Log[WeekIndex],39)=0,"",SUMIFS(T_TTAFStock_Log[TTAF_Qty],T_TTAFStock_Log[Part Name],$A61,T_TTAFStock_Log[WeekIndex],39))</f>
        <v/>
      </c>
      <c r="AO61" s="19">
        <f>IF(COUNTIFS(T_TTAFStock_Log[Part Name],$A61,T_TTAFStock_Log[WeekIndex],40)=0,"",SUMIFS(T_TTAFStock_Log[TTAF_Qty],T_TTAFStock_Log[Part Name],$A61,T_TTAFStock_Log[WeekIndex],40))</f>
        <v/>
      </c>
      <c r="AP61" s="19">
        <f>IF(COUNTIFS(T_TTAFStock_Log[Part Name],$A61,T_TTAFStock_Log[WeekIndex],41)=0,"",SUMIFS(T_TTAFStock_Log[TTAF_Qty],T_TTAFStock_Log[Part Name],$A61,T_TTAFStock_Log[WeekIndex],41))</f>
        <v/>
      </c>
      <c r="AQ61" s="19">
        <f>IF(COUNTIFS(T_TTAFStock_Log[Part Name],$A61,T_TTAFStock_Log[WeekIndex],42)=0,"",SUMIFS(T_TTAFStock_Log[TTAF_Qty],T_TTAFStock_Log[Part Name],$A61,T_TTAFStock_Log[WeekIndex],42))</f>
        <v/>
      </c>
      <c r="AR61" s="19">
        <f>IF(COUNTIFS(T_TTAFStock_Log[Part Name],$A61,T_TTAFStock_Log[WeekIndex],43)=0,"",SUMIFS(T_TTAFStock_Log[TTAF_Qty],T_TTAFStock_Log[Part Name],$A61,T_TTAFStock_Log[WeekIndex],43))</f>
        <v/>
      </c>
      <c r="AS61" s="19">
        <f>IF(COUNTIFS(T_TTAFStock_Log[Part Name],$A61,T_TTAFStock_Log[WeekIndex],44)=0,"",SUMIFS(T_TTAFStock_Log[TTAF_Qty],T_TTAFStock_Log[Part Name],$A61,T_TTAFStock_Log[WeekIndex],44))</f>
        <v/>
      </c>
      <c r="AT61" s="19">
        <f>IF(COUNTIFS(T_TTAFStock_Log[Part Name],$A61,T_TTAFStock_Log[WeekIndex],45)=0,"",SUMIFS(T_TTAFStock_Log[TTAF_Qty],T_TTAFStock_Log[Part Name],$A61,T_TTAFStock_Log[WeekIndex],45))</f>
        <v/>
      </c>
      <c r="AU61" s="19">
        <f>IF(COUNTIFS(T_TTAFStock_Log[Part Name],$A61,T_TTAFStock_Log[WeekIndex],46)=0,"",SUMIFS(T_TTAFStock_Log[TTAF_Qty],T_TTAFStock_Log[Part Name],$A61,T_TTAFStock_Log[WeekIndex],46))</f>
        <v/>
      </c>
      <c r="AV61" s="19">
        <f>IF(COUNTIFS(T_TTAFStock_Log[Part Name],$A61,T_TTAFStock_Log[WeekIndex],47)=0,"",SUMIFS(T_TTAFStock_Log[TTAF_Qty],T_TTAFStock_Log[Part Name],$A61,T_TTAFStock_Log[WeekIndex],47))</f>
        <v/>
      </c>
      <c r="AW61" s="19">
        <f>IF(COUNTIFS(T_TTAFStock_Log[Part Name],$A61,T_TTAFStock_Log[WeekIndex],48)=0,"",SUMIFS(T_TTAFStock_Log[TTAF_Qty],T_TTAFStock_Log[Part Name],$A61,T_TTAFStock_Log[WeekIndex],48))</f>
        <v/>
      </c>
      <c r="AX61" s="19">
        <f>IF(COUNTIFS(T_TTAFStock_Log[Part Name],$A61,T_TTAFStock_Log[WeekIndex],49)=0,"",SUMIFS(T_TTAFStock_Log[TTAF_Qty],T_TTAFStock_Log[Part Name],$A61,T_TTAFStock_Log[WeekIndex],49))</f>
        <v/>
      </c>
      <c r="AY61" s="19">
        <f>IF(COUNTIFS(T_TTAFStock_Log[Part Name],$A61,T_TTAFStock_Log[WeekIndex],50)=0,"",SUMIFS(T_TTAFStock_Log[TTAF_Qty],T_TTAFStock_Log[Part Name],$A61,T_TTAFStock_Log[WeekIndex],50))</f>
        <v/>
      </c>
      <c r="AZ61" s="19">
        <f>IF(COUNTIFS(T_TTAFStock_Log[Part Name],$A61,T_TTAFStock_Log[WeekIndex],51)=0,"",SUMIFS(T_TTAFStock_Log[TTAF_Qty],T_TTAFStock_Log[Part Name],$A61,T_TTAFStock_Log[WeekIndex],51))</f>
        <v/>
      </c>
      <c r="BA61" s="19">
        <f>IF(COUNTIFS(T_TTAFStock_Log[Part Name],$A61,T_TTAFStock_Log[WeekIndex],52)=0,"",SUMIFS(T_TTAFStock_Log[TTAF_Qty],T_TTAFStock_Log[Part Name],$A61,T_TTAFStock_Log[WeekIndex],52))</f>
        <v/>
      </c>
      <c r="BB61" s="19">
        <f>IF(COUNTIFS(T_TTAFStock_Log[Part Name],$A61,T_TTAFStock_Log[WeekIndex],53)=0,"",SUMIFS(T_TTAFStock_Log[TTAF_Qty],T_TTAFStock_Log[Part Name],$A61,T_TTAFStock_Log[WeekIndex],53))</f>
        <v/>
      </c>
      <c r="BC61" s="19">
        <f>IF(COUNTIFS(T_TTAFStock_Log[Part Name],$A61,T_TTAFStock_Log[WeekIndex],54)=0,"",SUMIFS(T_TTAFStock_Log[TTAF_Qty],T_TTAFStock_Log[Part Name],$A61,T_TTAFStock_Log[WeekIndex],54))</f>
        <v/>
      </c>
      <c r="BD61" s="19">
        <f>IF(COUNTIFS(T_TTAFStock_Log[Part Name],$A61,T_TTAFStock_Log[WeekIndex],55)=0,"",SUMIFS(T_TTAFStock_Log[TTAF_Qty],T_TTAFStock_Log[Part Name],$A61,T_TTAFStock_Log[WeekIndex],55))</f>
        <v/>
      </c>
      <c r="BE61" s="19">
        <f>IF(COUNTIFS(T_TTAFStock_Log[Part Name],$A61,T_TTAFStock_Log[WeekIndex],56)=0,"",SUMIFS(T_TTAFStock_Log[TTAF_Qty],T_TTAFStock_Log[Part Name],$A61,T_TTAFStock_Log[WeekIndex],56))</f>
        <v/>
      </c>
      <c r="BF61" s="19">
        <f>IF(COUNTIFS(T_TTAFStock_Log[Part Name],$A61,T_TTAFStock_Log[WeekIndex],57)=0,"",SUMIFS(T_TTAFStock_Log[TTAF_Qty],T_TTAFStock_Log[Part Name],$A61,T_TTAFStock_Log[WeekIndex],57))</f>
        <v/>
      </c>
      <c r="BG61" s="19">
        <f>IF(COUNTIFS(T_TTAFStock_Log[Part Name],$A61,T_TTAFStock_Log[WeekIndex],58)=0,"",SUMIFS(T_TTAFStock_Log[TTAF_Qty],T_TTAFStock_Log[Part Name],$A61,T_TTAFStock_Log[WeekIndex],58))</f>
        <v/>
      </c>
      <c r="BH61" s="19">
        <f>IF(COUNTIFS(T_TTAFStock_Log[Part Name],$A61,T_TTAFStock_Log[WeekIndex],59)=0,"",SUMIFS(T_TTAFStock_Log[TTAF_Qty],T_TTAFStock_Log[Part Name],$A61,T_TTAFStock_Log[WeekIndex],59))</f>
        <v/>
      </c>
      <c r="BI61" s="19">
        <f>IF(COUNTIFS(T_TTAFStock_Log[Part Name],$A61,T_TTAFStock_Log[WeekIndex],60)=0,"",SUMIFS(T_TTAFStock_Log[TTAF_Qty],T_TTAFStock_Log[Part Name],$A61,T_TTAFStock_Log[WeekIndex],60))</f>
        <v/>
      </c>
      <c r="BJ61" s="19">
        <f>IF(COUNTIFS(T_TTAFStock_Log[Part Name],$A61,T_TTAFStock_Log[WeekIndex],61)=0,"",SUMIFS(T_TTAFStock_Log[TTAF_Qty],T_TTAFStock_Log[Part Name],$A61,T_TTAFStock_Log[WeekIndex],61))</f>
        <v/>
      </c>
      <c r="BK61" s="19">
        <f>IF(COUNTIFS(T_TTAFStock_Log[Part Name],$A61,T_TTAFStock_Log[WeekIndex],62)=0,"",SUMIFS(T_TTAFStock_Log[TTAF_Qty],T_TTAFStock_Log[Part Name],$A61,T_TTAFStock_Log[WeekIndex],62))</f>
        <v/>
      </c>
      <c r="BL61" s="19">
        <f>IF(COUNTIFS(T_TTAFStock_Log[Part Name],$A61,T_TTAFStock_Log[WeekIndex],63)=0,"",SUMIFS(T_TTAFStock_Log[TTAF_Qty],T_TTAFStock_Log[Part Name],$A61,T_TTAFStock_Log[WeekIndex],63))</f>
        <v/>
      </c>
      <c r="BM61" s="19">
        <f>IF(COUNTIFS(T_TTAFStock_Log[Part Name],$A61,T_TTAFStock_Log[WeekIndex],64)=0,"",SUMIFS(T_TTAFStock_Log[TTAF_Qty],T_TTAFStock_Log[Part Name],$A61,T_TTAFStock_Log[WeekIndex],64))</f>
        <v/>
      </c>
      <c r="BN61" s="19">
        <f>IF(COUNTIFS(T_TTAFStock_Log[Part Name],$A61,T_TTAFStock_Log[WeekIndex],65)=0,"",SUMIFS(T_TTAFStock_Log[TTAF_Qty],T_TTAFStock_Log[Part Name],$A61,T_TTAFStock_Log[WeekIndex],65))</f>
        <v/>
      </c>
      <c r="BO61" s="19">
        <f>IF(COUNTIFS(T_TTAFStock_Log[Part Name],$A61,T_TTAFStock_Log[WeekIndex],66)=0,"",SUMIFS(T_TTAFStock_Log[TTAF_Qty],T_TTAFStock_Log[Part Name],$A61,T_TTAFStock_Log[WeekIndex],66))</f>
        <v/>
      </c>
      <c r="BP61" s="19">
        <f>IF(COUNTIFS(T_TTAFStock_Log[Part Name],$A61,T_TTAFStock_Log[WeekIndex],67)=0,"",SUMIFS(T_TTAFStock_Log[TTAF_Qty],T_TTAFStock_Log[Part Name],$A61,T_TTAFStock_Log[WeekIndex],67))</f>
        <v/>
      </c>
      <c r="BQ61" s="19">
        <f>IF(COUNTIFS(T_TTAFStock_Log[Part Name],$A61,T_TTAFStock_Log[WeekIndex],68)=0,"",SUMIFS(T_TTAFStock_Log[TTAF_Qty],T_TTAFStock_Log[Part Name],$A61,T_TTAFStock_Log[WeekIndex],68))</f>
        <v/>
      </c>
      <c r="BR61" s="19">
        <f>IF(COUNTIFS(T_TTAFStock_Log[Part Name],$A61,T_TTAFStock_Log[WeekIndex],69)=0,"",SUMIFS(T_TTAFStock_Log[TTAF_Qty],T_TTAFStock_Log[Part Name],$A61,T_TTAFStock_Log[WeekIndex],69))</f>
        <v/>
      </c>
      <c r="BS61" s="19">
        <f>IF(COUNTIFS(T_TTAFStock_Log[Part Name],$A61,T_TTAFStock_Log[WeekIndex],70)=0,"",SUMIFS(T_TTAFStock_Log[TTAF_Qty],T_TTAFStock_Log[Part Name],$A61,T_TTAFStock_Log[WeekIndex],70))</f>
        <v/>
      </c>
      <c r="BT61" s="19">
        <f>IF(COUNTIFS(T_TTAFStock_Log[Part Name],$A61,T_TTAFStock_Log[WeekIndex],71)=0,"",SUMIFS(T_TTAFStock_Log[TTAF_Qty],T_TTAFStock_Log[Part Name],$A61,T_TTAFStock_Log[WeekIndex],71))</f>
        <v/>
      </c>
      <c r="BU61" s="19">
        <f>IF(COUNTIFS(T_TTAFStock_Log[Part Name],$A61,T_TTAFStock_Log[WeekIndex],72)=0,"",SUMIFS(T_TTAFStock_Log[TTAF_Qty],T_TTAFStock_Log[Part Name],$A61,T_TTAFStock_Log[WeekIndex],72))</f>
        <v/>
      </c>
      <c r="BV61" s="19">
        <f>IF(COUNTIFS(T_TTAFStock_Log[Part Name],$A61,T_TTAFStock_Log[WeekIndex],73)=0,"",SUMIFS(T_TTAFStock_Log[TTAF_Qty],T_TTAFStock_Log[Part Name],$A61,T_TTAFStock_Log[WeekIndex],73))</f>
        <v/>
      </c>
      <c r="BW61" s="19">
        <f>IF(COUNTIFS(T_TTAFStock_Log[Part Name],$A61,T_TTAFStock_Log[WeekIndex],74)=0,"",SUMIFS(T_TTAFStock_Log[TTAF_Qty],T_TTAFStock_Log[Part Name],$A61,T_TTAFStock_Log[WeekIndex],74))</f>
        <v/>
      </c>
      <c r="BX61" s="19">
        <f>IF(COUNTIFS(T_TTAFStock_Log[Part Name],$A61,T_TTAFStock_Log[WeekIndex],75)=0,"",SUMIFS(T_TTAFStock_Log[TTAF_Qty],T_TTAFStock_Log[Part Name],$A61,T_TTAFStock_Log[WeekIndex],75))</f>
        <v/>
      </c>
      <c r="BY61" s="19">
        <f>IF(COUNTIFS(T_TTAFStock_Log[Part Name],$A61,T_TTAFStock_Log[WeekIndex],76)=0,"",SUMIFS(T_TTAFStock_Log[TTAF_Qty],T_TTAFStock_Log[Part Name],$A61,T_TTAFStock_Log[WeekIndex],76))</f>
        <v/>
      </c>
      <c r="BZ61" s="19">
        <f>IF(COUNTIFS(T_TTAFStock_Log[Part Name],$A61,T_TTAFStock_Log[WeekIndex],77)=0,"",SUMIFS(T_TTAFStock_Log[TTAF_Qty],T_TTAFStock_Log[Part Name],$A61,T_TTAFStock_Log[WeekIndex],77))</f>
        <v/>
      </c>
      <c r="CA61" s="19">
        <f>IF(COUNTIFS(T_TTAFStock_Log[Part Name],$A61,T_TTAFStock_Log[WeekIndex],78)=0,"",SUMIFS(T_TTAFStock_Log[TTAF_Qty],T_TTAFStock_Log[Part Name],$A61,T_TTAFStock_Log[WeekIndex],78))</f>
        <v/>
      </c>
      <c r="CB61" s="19">
        <f>IF(COUNTIFS(T_TTAFStock_Log[Part Name],$A61,T_TTAFStock_Log[WeekIndex],79)=0,"",SUMIFS(T_TTAFStock_Log[TTAF_Qty],T_TTAFStock_Log[Part Name],$A61,T_TTAFStock_Log[WeekIndex],79))</f>
        <v/>
      </c>
      <c r="CC61" s="19">
        <f>IF(COUNTIFS(T_TTAFStock_Log[Part Name],$A61,T_TTAFStock_Log[WeekIndex],80)=0,"",SUMIFS(T_TTAFStock_Log[TTAF_Qty],T_TTAFStock_Log[Part Name],$A61,T_TTAFStock_Log[WeekIndex],80))</f>
        <v/>
      </c>
      <c r="CD61" s="19">
        <f>IF(COUNTIFS(T_TTAFStock_Log[Part Name],$A61,T_TTAFStock_Log[WeekIndex],81)=0,"",SUMIFS(T_TTAFStock_Log[TTAF_Qty],T_TTAFStock_Log[Part Name],$A61,T_TTAFStock_Log[WeekIndex],81))</f>
        <v/>
      </c>
      <c r="CE61" s="19">
        <f>IF(COUNTIFS(T_TTAFStock_Log[Part Name],$A61,T_TTAFStock_Log[WeekIndex],82)=0,"",SUMIFS(T_TTAFStock_Log[TTAF_Qty],T_TTAFStock_Log[Part Name],$A61,T_TTAFStock_Log[WeekIndex],82))</f>
        <v/>
      </c>
      <c r="CF61" s="19">
        <f>IF(COUNTIFS(T_TTAFStock_Log[Part Name],$A61,T_TTAFStock_Log[WeekIndex],83)=0,"",SUMIFS(T_TTAFStock_Log[TTAF_Qty],T_TTAFStock_Log[Part Name],$A61,T_TTAFStock_Log[WeekIndex],83))</f>
        <v/>
      </c>
      <c r="CG61" s="19">
        <f>IF(COUNTIFS(T_TTAFStock_Log[Part Name],$A61,T_TTAFStock_Log[WeekIndex],84)=0,"",SUMIFS(T_TTAFStock_Log[TTAF_Qty],T_TTAFStock_Log[Part Name],$A61,T_TTAFStock_Log[WeekIndex],84))</f>
        <v/>
      </c>
      <c r="CH61" s="19">
        <f>IF(COUNTIFS(T_TTAFStock_Log[Part Name],$A61,T_TTAFStock_Log[WeekIndex],85)=0,"",SUMIFS(T_TTAFStock_Log[TTAF_Qty],T_TTAFStock_Log[Part Name],$A61,T_TTAFStock_Log[WeekIndex],85))</f>
        <v/>
      </c>
      <c r="CI61" s="19">
        <f>IF(COUNTIFS(T_TTAFStock_Log[Part Name],$A61,T_TTAFStock_Log[WeekIndex],86)=0,"",SUMIFS(T_TTAFStock_Log[TTAF_Qty],T_TTAFStock_Log[Part Name],$A61,T_TTAFStock_Log[WeekIndex],86))</f>
        <v/>
      </c>
      <c r="CJ61" s="19">
        <f>IF(COUNTIFS(T_TTAFStock_Log[Part Name],$A61,T_TTAFStock_Log[WeekIndex],87)=0,"",SUMIFS(T_TTAFStock_Log[TTAF_Qty],T_TTAFStock_Log[Part Name],$A61,T_TTAFStock_Log[WeekIndex],87))</f>
        <v/>
      </c>
      <c r="CK61" s="19">
        <f>IF(COUNTIFS(T_TTAFStock_Log[Part Name],$A61,T_TTAFStock_Log[WeekIndex],88)=0,"",SUMIFS(T_TTAFStock_Log[TTAF_Qty],T_TTAFStock_Log[Part Name],$A61,T_TTAFStock_Log[WeekIndex],88))</f>
        <v/>
      </c>
      <c r="CL61" s="19">
        <f>IF(COUNTIFS(T_TTAFStock_Log[Part Name],$A61,T_TTAFStock_Log[WeekIndex],89)=0,"",SUMIFS(T_TTAFStock_Log[TTAF_Qty],T_TTAFStock_Log[Part Name],$A61,T_TTAFStock_Log[WeekIndex],89))</f>
        <v/>
      </c>
      <c r="CM61" s="19">
        <f>IF(COUNTIFS(T_TTAFStock_Log[Part Name],$A61,T_TTAFStock_Log[WeekIndex],90)=0,"",SUMIFS(T_TTAFStock_Log[TTAF_Qty],T_TTAFStock_Log[Part Name],$A61,T_TTAFStock_Log[WeekIndex],90))</f>
        <v/>
      </c>
      <c r="CN61" s="19">
        <f>IF(COUNTIFS(T_TTAFStock_Log[Part Name],$A61,T_TTAFStock_Log[WeekIndex],91)=0,"",SUMIFS(T_TTAFStock_Log[TTAF_Qty],T_TTAFStock_Log[Part Name],$A61,T_TTAFStock_Log[WeekIndex],91))</f>
        <v/>
      </c>
      <c r="CO61" s="19">
        <f>IF(COUNTIFS(T_TTAFStock_Log[Part Name],$A61,T_TTAFStock_Log[WeekIndex],92)=0,"",SUMIFS(T_TTAFStock_Log[TTAF_Qty],T_TTAFStock_Log[Part Name],$A61,T_TTAFStock_Log[WeekIndex],92))</f>
        <v/>
      </c>
      <c r="CP61" s="19">
        <f>IF(COUNTIFS(T_TTAFStock_Log[Part Name],$A61,T_TTAFStock_Log[WeekIndex],93)=0,"",SUMIFS(T_TTAFStock_Log[TTAF_Qty],T_TTAFStock_Log[Part Name],$A61,T_TTAFStock_Log[WeekIndex],93))</f>
        <v/>
      </c>
      <c r="CQ61" s="19">
        <f>IF(COUNTIFS(T_TTAFStock_Log[Part Name],$A61,T_TTAFStock_Log[WeekIndex],94)=0,"",SUMIFS(T_TTAFStock_Log[TTAF_Qty],T_TTAFStock_Log[Part Name],$A61,T_TTAFStock_Log[WeekIndex],94))</f>
        <v/>
      </c>
      <c r="CR61" s="19">
        <f>IF(COUNTIFS(T_TTAFStock_Log[Part Name],$A61,T_TTAFStock_Log[WeekIndex],95)=0,"",SUMIFS(T_TTAFStock_Log[TTAF_Qty],T_TTAFStock_Log[Part Name],$A61,T_TTAFStock_Log[WeekIndex],95))</f>
        <v/>
      </c>
      <c r="CS61" s="19">
        <f>IF(COUNTIFS(T_TTAFStock_Log[Part Name],$A61,T_TTAFStock_Log[WeekIndex],96)=0,"",SUMIFS(T_TTAFStock_Log[TTAF_Qty],T_TTAFStock_Log[Part Name],$A61,T_TTAFStock_Log[WeekIndex],96))</f>
        <v/>
      </c>
      <c r="CT61" s="19">
        <f>IF(COUNTIFS(T_TTAFStock_Log[Part Name],$A61,T_TTAFStock_Log[WeekIndex],97)=0,"",SUMIFS(T_TTAFStock_Log[TTAF_Qty],T_TTAFStock_Log[Part Name],$A61,T_TTAFStock_Log[WeekIndex],97))</f>
        <v/>
      </c>
      <c r="CU61" s="19">
        <f>IF(COUNTIFS(T_TTAFStock_Log[Part Name],$A61,T_TTAFStock_Log[WeekIndex],98)=0,"",SUMIFS(T_TTAFStock_Log[TTAF_Qty],T_TTAFStock_Log[Part Name],$A61,T_TTAFStock_Log[WeekIndex],98))</f>
        <v/>
      </c>
      <c r="CV61" s="19">
        <f>IF(COUNTIFS(T_TTAFStock_Log[Part Name],$A61,T_TTAFStock_Log[WeekIndex],99)=0,"",SUMIFS(T_TTAFStock_Log[TTAF_Qty],T_TTAFStock_Log[Part Name],$A61,T_TTAFStock_Log[WeekIndex],99))</f>
        <v/>
      </c>
      <c r="CW61" s="19">
        <f>IF(COUNTIFS(T_TTAFStock_Log[Part Name],$A61,T_TTAFStock_Log[WeekIndex],100)=0,"",SUMIFS(T_TTAFStock_Log[TTAF_Qty],T_TTAFStock_Log[Part Name],$A61,T_TTAFStock_Log[WeekIndex],100))</f>
        <v/>
      </c>
      <c r="CX61" s="19">
        <f>IF(COUNTIFS(T_TTAFStock_Log[Part Name],$A61,T_TTAFStock_Log[WeekIndex],101)=0,"",SUMIFS(T_TTAFStock_Log[TTAF_Qty],T_TTAFStock_Log[Part Name],$A61,T_TTAFStock_Log[WeekIndex],101))</f>
        <v/>
      </c>
      <c r="CY61" s="19">
        <f>IF(COUNTIFS(T_TTAFStock_Log[Part Name],$A61,T_TTAFStock_Log[WeekIndex],102)=0,"",SUMIFS(T_TTAFStock_Log[TTAF_Qty],T_TTAFStock_Log[Part Name],$A61,T_TTAFStock_Log[WeekIndex],102))</f>
        <v/>
      </c>
      <c r="CZ61" s="19">
        <f>IF(COUNTIFS(T_TTAFStock_Log[Part Name],$A61,T_TTAFStock_Log[WeekIndex],103)=0,"",SUMIFS(T_TTAFStock_Log[TTAF_Qty],T_TTAFStock_Log[Part Name],$A61,T_TTAFStock_Log[WeekIndex],103))</f>
        <v/>
      </c>
      <c r="DA61" s="19">
        <f>IF(COUNTIFS(T_TTAFStock_Log[Part Name],$A61,T_TTAFStock_Log[WeekIndex],104)=0,"",SUMIFS(T_TTAFStock_Log[TTAF_Qty],T_TTAFStock_Log[Part Name],$A61,T_TTAFStock_Log[WeekIndex],104))</f>
        <v/>
      </c>
    </row>
  </sheetData>
  <conditionalFormatting sqref="B5:DA61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  <col width="20" customWidth="1" min="10" max="10"/>
  </cols>
  <sheetData>
    <row r="1">
      <c r="A1" s="6" t="inlineStr">
        <is>
          <t>Part Name</t>
        </is>
      </c>
      <c r="B1" s="6" t="inlineStr">
        <is>
          <t>Description</t>
        </is>
      </c>
      <c r="C1" s="6" t="inlineStr">
        <is>
          <t>Supplier</t>
        </is>
      </c>
      <c r="D1" s="6" t="inlineStr">
        <is>
          <t>Category</t>
        </is>
      </c>
      <c r="E1" s="6" t="inlineStr">
        <is>
          <t>UOM</t>
        </is>
      </c>
      <c r="F1" s="6" t="inlineStr">
        <is>
          <t>基準在庫下限_要入力</t>
        </is>
      </c>
      <c r="G1" s="6" t="inlineStr">
        <is>
          <t>基準在庫上限_要入力</t>
        </is>
      </c>
      <c r="H1" s="6" t="inlineStr">
        <is>
          <t>LeadTime_Weeks_要入力</t>
        </is>
      </c>
      <c r="I1" s="6" t="inlineStr">
        <is>
          <t>TTAF_Code</t>
        </is>
      </c>
      <c r="J1" s="6" t="inlineStr">
        <is>
          <t>固定週次消費量_要入力</t>
        </is>
      </c>
    </row>
    <row r="2">
      <c r="A2" t="inlineStr">
        <is>
          <t>7EP</t>
        </is>
      </c>
      <c r="B2" t="inlineStr">
        <is>
          <t>TTAF 44FK13093100</t>
        </is>
      </c>
      <c r="C2" t="inlineStr">
        <is>
          <t>TTAF</t>
        </is>
      </c>
      <c r="D2" t="inlineStr">
        <is>
          <t>Substrate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1846540040 ( 4FK13093100Z)</t>
        </is>
      </c>
      <c r="J2" t="n">
        <v>0</v>
      </c>
    </row>
    <row r="3">
      <c r="A3" t="inlineStr">
        <is>
          <t>1EK</t>
        </is>
      </c>
      <c r="B3" t="inlineStr">
        <is>
          <t>Substrate NGK TP166-103-105xT1</t>
        </is>
      </c>
      <c r="C3" t="inlineStr">
        <is>
          <t>TTAF</t>
        </is>
      </c>
      <c r="D3" t="inlineStr">
        <is>
          <t>Substrate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N60H29R08-JP</t>
        </is>
      </c>
      <c r="J3" t="n">
        <v>0</v>
      </c>
    </row>
    <row r="4">
      <c r="A4" t="inlineStr">
        <is>
          <t>4HL</t>
        </is>
      </c>
      <c r="B4" t="inlineStr">
        <is>
          <t>NGK - 4HL</t>
        </is>
      </c>
      <c r="C4" t="inlineStr">
        <is>
          <t>TTAF</t>
        </is>
      </c>
      <c r="D4" t="inlineStr">
        <is>
          <t>Substrate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N60H27R08-JP</t>
        </is>
      </c>
      <c r="J4" t="n">
        <v>0</v>
      </c>
    </row>
    <row r="5">
      <c r="A5" t="inlineStr">
        <is>
          <t>9RN</t>
        </is>
      </c>
      <c r="B5" t="inlineStr">
        <is>
          <t>TTAF 4FK13117080</t>
        </is>
      </c>
      <c r="C5" t="inlineStr">
        <is>
          <t>TTAF</t>
        </is>
      </c>
      <c r="D5" t="inlineStr">
        <is>
          <t>Substrate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1846515030 ( 4FK13117080Z)</t>
        </is>
      </c>
      <c r="J5" t="n">
        <v>0</v>
      </c>
    </row>
    <row r="6">
      <c r="A6" t="inlineStr">
        <is>
          <t>7CL</t>
        </is>
      </c>
      <c r="B6" t="inlineStr">
        <is>
          <t>Substrate NGK TP167-103-096xT4</t>
        </is>
      </c>
      <c r="C6" t="inlineStr">
        <is>
          <t>TTAF</t>
        </is>
      </c>
      <c r="D6" t="inlineStr">
        <is>
          <t>Substrate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N75H28R08-JP</t>
        </is>
      </c>
      <c r="J6" t="n">
        <v>0</v>
      </c>
    </row>
    <row r="7">
      <c r="A7" t="inlineStr">
        <is>
          <t>OJN</t>
        </is>
      </c>
      <c r="B7" t="inlineStr">
        <is>
          <t>Substrate TTAF WF6</t>
        </is>
      </c>
      <c r="C7" t="inlineStr">
        <is>
          <t>TTAF</t>
        </is>
      </c>
      <c r="D7" t="inlineStr">
        <is>
          <t>Substrate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/>
      <c r="J7" t="n">
        <v>0</v>
      </c>
    </row>
    <row r="8">
      <c r="A8" t="inlineStr">
        <is>
          <t>TDJ</t>
        </is>
      </c>
      <c r="B8" t="inlineStr">
        <is>
          <t>N60S/2-11R08 TTAF</t>
        </is>
      </c>
      <c r="C8" t="inlineStr">
        <is>
          <t>TTAF</t>
        </is>
      </c>
      <c r="D8" t="inlineStr">
        <is>
          <t>Substrate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1846537010</t>
        </is>
      </c>
      <c r="J8" t="n">
        <v>0</v>
      </c>
    </row>
    <row r="9">
      <c r="A9" t="inlineStr">
        <is>
          <t>3TP</t>
        </is>
      </c>
      <c r="B9" t="inlineStr">
        <is>
          <t>Substrate TTAF WF7</t>
        </is>
      </c>
      <c r="C9" t="inlineStr">
        <is>
          <t>TTAF</t>
        </is>
      </c>
      <c r="D9" t="inlineStr">
        <is>
          <t>Substrate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/>
      <c r="J9" t="n">
        <v>0</v>
      </c>
    </row>
    <row r="10">
      <c r="A10" t="inlineStr">
        <is>
          <t>KEJ</t>
        </is>
      </c>
      <c r="B10" t="inlineStr">
        <is>
          <t>TP119-103-084</t>
        </is>
      </c>
      <c r="C10" t="inlineStr">
        <is>
          <t>TTAF</t>
        </is>
      </c>
      <c r="D10" t="inlineStr">
        <is>
          <t>Substrate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N90S27R08</t>
        </is>
      </c>
      <c r="J10" t="n">
        <v>0</v>
      </c>
    </row>
    <row r="11">
      <c r="A11" t="inlineStr">
        <is>
          <t>JEJ</t>
        </is>
      </c>
      <c r="B11" t="inlineStr">
        <is>
          <t>TP119-103-105*T7</t>
        </is>
      </c>
      <c r="C11" t="inlineStr">
        <is>
          <t>TTAF</t>
        </is>
      </c>
      <c r="D11" t="inlineStr">
        <is>
          <t>Substrate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N90S29R08</t>
        </is>
      </c>
      <c r="J11" t="n">
        <v>0</v>
      </c>
    </row>
    <row r="12">
      <c r="A12" t="inlineStr">
        <is>
          <t>YAN</t>
        </is>
      </c>
      <c r="B12" t="inlineStr">
        <is>
          <t>N20S/9-13R-11-WF10</t>
        </is>
      </c>
      <c r="C12" t="inlineStr">
        <is>
          <t>TTAF</t>
        </is>
      </c>
      <c r="D12" t="inlineStr">
        <is>
          <t>Substrate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18465F2100Z</t>
        </is>
      </c>
      <c r="J12" t="n">
        <v>0</v>
      </c>
    </row>
    <row r="13">
      <c r="A13" t="inlineStr">
        <is>
          <t>ABN</t>
        </is>
      </c>
      <c r="B13" t="inlineStr">
        <is>
          <t>N20S/9-11R-11-WF10</t>
        </is>
      </c>
      <c r="C13" t="inlineStr">
        <is>
          <t>TTAF</t>
        </is>
      </c>
      <c r="D13" t="inlineStr">
        <is>
          <t>Substrate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18465F3050Z</t>
        </is>
      </c>
      <c r="J13" t="n">
        <v>0</v>
      </c>
    </row>
    <row r="14">
      <c r="A14" t="inlineStr">
        <is>
          <t>OLJ</t>
        </is>
      </c>
      <c r="B14" t="inlineStr">
        <is>
          <t>Substrate NGK N126-103-105xT5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/>
      <c r="J14" t="n">
        <v>0</v>
      </c>
    </row>
    <row r="15">
      <c r="A15" t="inlineStr">
        <is>
          <t>5SN</t>
        </is>
      </c>
      <c r="B15" t="inlineStr">
        <is>
          <t>Substrate NGK WF6</t>
        </is>
      </c>
      <c r="C15" t="inlineStr">
        <is>
          <t>TTAF</t>
        </is>
      </c>
      <c r="D15" t="inlineStr">
        <is>
          <t>Substrate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/>
      <c r="J15" t="n">
        <v>0</v>
      </c>
    </row>
    <row r="16">
      <c r="A16" t="inlineStr">
        <is>
          <t>8EN</t>
        </is>
      </c>
      <c r="B16" t="inlineStr">
        <is>
          <t>Substrate NGK KFK1D118-152xX1</t>
        </is>
      </c>
      <c r="C16" t="inlineStr">
        <is>
          <t>TTAF</t>
        </is>
      </c>
      <c r="D16" t="inlineStr">
        <is>
          <t>Substrate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/>
      <c r="J16" t="n">
        <v>0</v>
      </c>
    </row>
    <row r="17">
      <c r="A17" t="inlineStr">
        <is>
          <t>9RJ</t>
        </is>
      </c>
      <c r="B17" t="inlineStr">
        <is>
          <t>Substrate NGK N116-103-130xTB</t>
        </is>
      </c>
      <c r="C17" t="inlineStr">
        <is>
          <t>TTAF</t>
        </is>
      </c>
      <c r="D17" t="inlineStr">
        <is>
          <t>Substrate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/>
      <c r="J17" t="n">
        <v>0</v>
      </c>
    </row>
    <row r="18">
      <c r="A18" t="inlineStr">
        <is>
          <t>5JK</t>
        </is>
      </c>
      <c r="B18" t="inlineStr">
        <is>
          <t>Substrate NGK TP167-103-105xT2</t>
        </is>
      </c>
      <c r="C18" t="inlineStr">
        <is>
          <t>TTAF</t>
        </is>
      </c>
      <c r="D18" t="inlineStr">
        <is>
          <t>Substrate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/>
      <c r="J18" t="n">
        <v>0</v>
      </c>
    </row>
    <row r="19">
      <c r="A19" t="inlineStr">
        <is>
          <t>26F</t>
        </is>
      </c>
      <c r="B19" t="inlineStr">
        <is>
          <t>18471-N40S/4 - 13R13</t>
        </is>
      </c>
      <c r="C19" t="inlineStr">
        <is>
          <t>TTAF</t>
        </is>
      </c>
      <c r="D19" t="inlineStr">
        <is>
          <t>Substrate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/>
      <c r="J19" t="n">
        <v>0</v>
      </c>
    </row>
    <row r="20">
      <c r="A20" t="inlineStr">
        <is>
          <t>73K</t>
        </is>
      </c>
      <c r="B20" t="inlineStr">
        <is>
          <t>18471-N60S/3 - 9R07</t>
        </is>
      </c>
      <c r="C20" t="inlineStr">
        <is>
          <t>TTAF</t>
        </is>
      </c>
      <c r="D20" t="inlineStr">
        <is>
          <t>Substrate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/>
      <c r="J20" t="n">
        <v>0</v>
      </c>
    </row>
    <row r="21">
      <c r="A21" t="inlineStr">
        <is>
          <t>1JN</t>
        </is>
      </c>
      <c r="B21" t="inlineStr">
        <is>
          <t>Substrate TTAF WF6</t>
        </is>
      </c>
      <c r="C21" t="inlineStr">
        <is>
          <t>TTAF</t>
        </is>
      </c>
      <c r="D21" t="inlineStr">
        <is>
          <t>Substrate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/>
      <c r="J21" t="n">
        <v>0</v>
      </c>
    </row>
    <row r="22">
      <c r="A22" t="inlineStr">
        <is>
          <t>CHEM-1670</t>
        </is>
      </c>
      <c r="B22" t="inlineStr">
        <is>
          <t>Alesper 1065</t>
        </is>
      </c>
      <c r="C22" t="inlineStr">
        <is>
          <t>TTAF</t>
        </is>
      </c>
      <c r="D22" t="inlineStr">
        <is>
          <t>Chemical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712886265</t>
        </is>
      </c>
      <c r="J22" t="n">
        <v>0</v>
      </c>
    </row>
    <row r="23">
      <c r="A23" t="inlineStr">
        <is>
          <t>CHEM-1110</t>
        </is>
      </c>
      <c r="B23" t="inlineStr">
        <is>
          <t>Alumina Powder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Alumina Powder</t>
        </is>
      </c>
      <c r="J23" t="n">
        <v>0</v>
      </c>
    </row>
    <row r="24">
      <c r="A24" t="inlineStr">
        <is>
          <t>CHEM-1240</t>
        </is>
      </c>
      <c r="B24" t="inlineStr">
        <is>
          <t>Alumina Sol [AS-200]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83988008101</t>
        </is>
      </c>
      <c r="J24" t="n">
        <v>0</v>
      </c>
    </row>
    <row r="25">
      <c r="A25" t="inlineStr">
        <is>
          <t>CHEM-1510</t>
        </is>
      </c>
      <c r="B25" t="inlineStr">
        <is>
          <t>BA-070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71288625001</t>
        </is>
      </c>
      <c r="J25" t="n">
        <v>0</v>
      </c>
    </row>
    <row r="26">
      <c r="A26" t="inlineStr">
        <is>
          <t>CHEM-1580</t>
        </is>
      </c>
      <c r="B26" t="inlineStr">
        <is>
          <t>Barium Acetate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71288614301</t>
        </is>
      </c>
      <c r="J26" t="n">
        <v>0</v>
      </c>
    </row>
    <row r="27">
      <c r="A27" t="inlineStr">
        <is>
          <t>CHEM-1250</t>
        </is>
      </c>
      <c r="B27" t="inlineStr">
        <is>
          <t>Barium Sulfate [B-55]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71288614901</t>
        </is>
      </c>
      <c r="J27" t="n">
        <v>0</v>
      </c>
    </row>
    <row r="28">
      <c r="A28" t="inlineStr">
        <is>
          <t>CHEM-1600</t>
        </is>
      </c>
      <c r="B28" t="inlineStr">
        <is>
          <t>BF-1P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71388005101</t>
        </is>
      </c>
      <c r="J28" t="n">
        <v>0</v>
      </c>
    </row>
    <row r="29">
      <c r="A29" t="inlineStr">
        <is>
          <t>CHEM-1120</t>
        </is>
      </c>
      <c r="B29" t="inlineStr">
        <is>
          <t>Catapal D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712886120</t>
        </is>
      </c>
      <c r="J29" t="n">
        <v>0</v>
      </c>
    </row>
    <row r="30">
      <c r="A30" t="inlineStr">
        <is>
          <t>CHEM-1550</t>
        </is>
      </c>
      <c r="B30" t="inlineStr">
        <is>
          <t>CHUPOL CC-6</t>
        </is>
      </c>
      <c r="C30" t="inlineStr">
        <is>
          <t>TTAF</t>
        </is>
      </c>
      <c r="D30" t="inlineStr">
        <is>
          <t>Chemical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71288624901</t>
        </is>
      </c>
      <c r="J30" t="n">
        <v>0</v>
      </c>
    </row>
    <row r="31">
      <c r="A31" t="inlineStr">
        <is>
          <t>CHEM-1440</t>
        </is>
      </c>
      <c r="B31" t="inlineStr">
        <is>
          <t>Citric Acid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83988005701</t>
        </is>
      </c>
      <c r="J31" t="n">
        <v>0</v>
      </c>
    </row>
    <row r="32">
      <c r="A32" t="inlineStr">
        <is>
          <t>CHEM-1780</t>
        </is>
      </c>
      <c r="B32" t="inlineStr">
        <is>
          <t>Diammonium Citrate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New</t>
        </is>
      </c>
      <c r="J32" t="n">
        <v>0</v>
      </c>
    </row>
    <row r="33">
      <c r="A33" t="inlineStr">
        <is>
          <t>CHEM-1400</t>
        </is>
      </c>
      <c r="B33" t="inlineStr">
        <is>
          <t>Dispal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71288617001</t>
        </is>
      </c>
      <c r="J33" t="n">
        <v>0</v>
      </c>
    </row>
    <row r="34">
      <c r="A34" t="inlineStr">
        <is>
          <t>CHEM-1650</t>
        </is>
      </c>
      <c r="B34" t="inlineStr">
        <is>
          <t>Duasyn Acid Blue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712886256</t>
        </is>
      </c>
      <c r="J34" t="n">
        <v>0</v>
      </c>
    </row>
    <row r="35">
      <c r="A35" t="inlineStr">
        <is>
          <t>CHEM-1660</t>
        </is>
      </c>
      <c r="B35" t="inlineStr">
        <is>
          <t>GW-3394</t>
        </is>
      </c>
      <c r="C35" t="inlineStr">
        <is>
          <t>TTAF</t>
        </is>
      </c>
      <c r="D35" t="inlineStr">
        <is>
          <t>Hazardous 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71288627101</t>
        </is>
      </c>
      <c r="J35" t="n">
        <v>0</v>
      </c>
    </row>
    <row r="36">
      <c r="A36" t="inlineStr">
        <is>
          <t>CHEM-1420</t>
        </is>
      </c>
      <c r="B36" t="inlineStr">
        <is>
          <t>HEC SE900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71288629601</t>
        </is>
      </c>
      <c r="J36" t="n">
        <v>0</v>
      </c>
    </row>
    <row r="37">
      <c r="A37" t="inlineStr">
        <is>
          <t>CHEM-1530</t>
        </is>
      </c>
      <c r="B37" t="inlineStr">
        <is>
          <t>JCK-97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>
        <is>
          <t>71388003501</t>
        </is>
      </c>
      <c r="J37" t="n">
        <v>0</v>
      </c>
    </row>
    <row r="38">
      <c r="A38" t="inlineStr">
        <is>
          <t>CHEM-1480</t>
        </is>
      </c>
      <c r="B38" t="inlineStr">
        <is>
          <t>NAT 30</t>
        </is>
      </c>
      <c r="C38" t="inlineStr">
        <is>
          <t>TTAF</t>
        </is>
      </c>
      <c r="D38" t="inlineStr">
        <is>
          <t>Chemical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>
        <is>
          <t>NAT30</t>
        </is>
      </c>
      <c r="J38" t="n">
        <v>0</v>
      </c>
    </row>
    <row r="39">
      <c r="A39" t="inlineStr">
        <is>
          <t>CHEM-1540</t>
        </is>
      </c>
      <c r="B39" t="inlineStr">
        <is>
          <t>NAT 35</t>
        </is>
      </c>
      <c r="C39" t="inlineStr">
        <is>
          <t>TTAF</t>
        </is>
      </c>
      <c r="D39" t="inlineStr">
        <is>
          <t>Chemical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71388005801</t>
        </is>
      </c>
      <c r="J39" t="n">
        <v>0</v>
      </c>
    </row>
    <row r="40">
      <c r="A40" t="inlineStr">
        <is>
          <t>CHEM-1680</t>
        </is>
      </c>
      <c r="B40" t="inlineStr">
        <is>
          <t>NAT 38</t>
        </is>
      </c>
      <c r="C40" t="inlineStr">
        <is>
          <t>TTAF</t>
        </is>
      </c>
      <c r="D40" t="inlineStr">
        <is>
          <t>Chemical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>
        <is>
          <t>713880069</t>
        </is>
      </c>
      <c r="J40" t="n">
        <v>0</v>
      </c>
    </row>
    <row r="41">
      <c r="A41" t="inlineStr">
        <is>
          <t>CHEM-1730</t>
        </is>
      </c>
      <c r="B41" t="inlineStr">
        <is>
          <t>NAT 41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>
        <is>
          <t>71388007701</t>
        </is>
      </c>
      <c r="J41" t="n">
        <v>0</v>
      </c>
    </row>
    <row r="42">
      <c r="A42" t="inlineStr">
        <is>
          <t>CHEM-1280</t>
        </is>
      </c>
      <c r="B42" t="inlineStr">
        <is>
          <t>N-Dodeoyl Trimethyl Ammonium Chloride</t>
        </is>
      </c>
      <c r="C42" t="inlineStr">
        <is>
          <t>TTAF</t>
        </is>
      </c>
      <c r="D42" t="inlineStr">
        <is>
          <t>Hazardous 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>
        <is>
          <t>83988002202</t>
        </is>
      </c>
      <c r="J42" t="n">
        <v>0</v>
      </c>
    </row>
    <row r="43">
      <c r="A43" t="inlineStr">
        <is>
          <t>CHEM-1570</t>
        </is>
      </c>
      <c r="B43" t="inlineStr">
        <is>
          <t>NOPAGOAL A</t>
        </is>
      </c>
      <c r="C43" t="inlineStr">
        <is>
          <t>TTAF</t>
        </is>
      </c>
      <c r="D43" t="inlineStr">
        <is>
          <t>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>
        <is>
          <t>71288624802</t>
        </is>
      </c>
      <c r="J43" t="n">
        <v>0</v>
      </c>
    </row>
    <row r="44">
      <c r="A44" t="inlineStr">
        <is>
          <t>CHEM-1450</t>
        </is>
      </c>
      <c r="B44" t="inlineStr">
        <is>
          <t>Noptechs</t>
        </is>
      </c>
      <c r="C44" t="inlineStr">
        <is>
          <t>TTAF</t>
        </is>
      </c>
      <c r="D44" t="inlineStr">
        <is>
          <t>Chemical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>
        <is>
          <t>Noptechs</t>
        </is>
      </c>
      <c r="J44" t="n">
        <v>0</v>
      </c>
    </row>
    <row r="45">
      <c r="A45" t="inlineStr">
        <is>
          <t>CHEM-1770</t>
        </is>
      </c>
      <c r="B45" t="inlineStr">
        <is>
          <t>RCT39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>
        <is>
          <t>New</t>
        </is>
      </c>
      <c r="J45" t="n">
        <v>0</v>
      </c>
    </row>
    <row r="46">
      <c r="A46" t="inlineStr">
        <is>
          <t>CHEM-1430</t>
        </is>
      </c>
      <c r="B46" t="inlineStr">
        <is>
          <t>RCT22</t>
        </is>
      </c>
      <c r="C46" t="inlineStr">
        <is>
          <t>TTAF</t>
        </is>
      </c>
      <c r="D46" t="inlineStr">
        <is>
          <t>Chemical</t>
        </is>
      </c>
      <c r="E46" t="inlineStr">
        <is>
          <t>kg</t>
        </is>
      </c>
      <c r="F46" t="n">
        <v>0</v>
      </c>
      <c r="G46" t="n">
        <v>0</v>
      </c>
      <c r="H46" t="n">
        <v>4</v>
      </c>
      <c r="I46" t="inlineStr">
        <is>
          <t>71388004301</t>
        </is>
      </c>
      <c r="J46" t="n">
        <v>0</v>
      </c>
    </row>
    <row r="47">
      <c r="A47" t="inlineStr">
        <is>
          <t>CHEM-1470</t>
        </is>
      </c>
      <c r="B47" t="inlineStr">
        <is>
          <t>Aluminium Oxide [SCFA-100] - NO LANTHANUM</t>
        </is>
      </c>
      <c r="C47" t="inlineStr">
        <is>
          <t>TTAF</t>
        </is>
      </c>
      <c r="D47" t="inlineStr">
        <is>
          <t>Chemical</t>
        </is>
      </c>
      <c r="E47" t="inlineStr">
        <is>
          <t>kg</t>
        </is>
      </c>
      <c r="F47" t="n">
        <v>0</v>
      </c>
      <c r="G47" t="n">
        <v>0</v>
      </c>
      <c r="H47" t="n">
        <v>4</v>
      </c>
      <c r="I47" t="inlineStr">
        <is>
          <t>SCFA100</t>
        </is>
      </c>
      <c r="J47" t="n">
        <v>0</v>
      </c>
    </row>
    <row r="48">
      <c r="A48" t="inlineStr">
        <is>
          <t>CHEM-1010</t>
        </is>
      </c>
      <c r="B48" t="inlineStr">
        <is>
          <t>Sodium Carbonate Anhydrous</t>
        </is>
      </c>
      <c r="C48" t="inlineStr">
        <is>
          <t>TTAF</t>
        </is>
      </c>
      <c r="D48" t="inlineStr">
        <is>
          <t>Chemical</t>
        </is>
      </c>
      <c r="E48" t="inlineStr">
        <is>
          <t>kg</t>
        </is>
      </c>
      <c r="F48" t="n">
        <v>0</v>
      </c>
      <c r="G48" t="n">
        <v>0</v>
      </c>
      <c r="H48" t="n">
        <v>4</v>
      </c>
      <c r="I48" t="inlineStr">
        <is>
          <t>Sodium Carbonate</t>
        </is>
      </c>
      <c r="J48" t="n">
        <v>0</v>
      </c>
    </row>
    <row r="49">
      <c r="A49" t="inlineStr">
        <is>
          <t>CHEM-1760</t>
        </is>
      </c>
      <c r="B49" t="inlineStr">
        <is>
          <t>Pigment TC RED FD (A)</t>
        </is>
      </c>
      <c r="C49" t="inlineStr">
        <is>
          <t>TTAF</t>
        </is>
      </c>
      <c r="D49" t="inlineStr">
        <is>
          <t>Chemical</t>
        </is>
      </c>
      <c r="E49" t="inlineStr">
        <is>
          <t>kg</t>
        </is>
      </c>
      <c r="F49" t="n">
        <v>0</v>
      </c>
      <c r="G49" t="n">
        <v>0</v>
      </c>
      <c r="H49" t="n">
        <v>4</v>
      </c>
      <c r="I49" t="inlineStr">
        <is>
          <t>713880079</t>
        </is>
      </c>
      <c r="J49" t="n">
        <v>0</v>
      </c>
    </row>
    <row r="50">
      <c r="A50" t="inlineStr">
        <is>
          <t>CHEM-1700</t>
        </is>
      </c>
      <c r="B50" t="inlineStr">
        <is>
          <t>Tepyrus CT38</t>
        </is>
      </c>
      <c r="C50" t="inlineStr">
        <is>
          <t>TTAF</t>
        </is>
      </c>
      <c r="D50" t="inlineStr">
        <is>
          <t>Chemical</t>
        </is>
      </c>
      <c r="E50" t="inlineStr">
        <is>
          <t>kg</t>
        </is>
      </c>
      <c r="F50" t="n">
        <v>0</v>
      </c>
      <c r="G50" t="n">
        <v>0</v>
      </c>
      <c r="H50" t="n">
        <v>4</v>
      </c>
      <c r="I50" t="inlineStr">
        <is>
          <t>712886270</t>
        </is>
      </c>
      <c r="J50" t="n">
        <v>0</v>
      </c>
    </row>
    <row r="51">
      <c r="A51" t="inlineStr">
        <is>
          <t>CHEM-1850</t>
        </is>
      </c>
      <c r="B51" t="inlineStr">
        <is>
          <t>TPP-1469</t>
        </is>
      </c>
      <c r="C51" t="inlineStr">
        <is>
          <t>TTAF</t>
        </is>
      </c>
      <c r="D51" t="inlineStr">
        <is>
          <t>Chemical</t>
        </is>
      </c>
      <c r="E51" t="inlineStr">
        <is>
          <t>kg</t>
        </is>
      </c>
      <c r="F51" t="n">
        <v>0</v>
      </c>
      <c r="G51" t="n">
        <v>0</v>
      </c>
      <c r="H51" t="n">
        <v>4</v>
      </c>
      <c r="I51" t="inlineStr">
        <is>
          <t>kg</t>
        </is>
      </c>
      <c r="J51" t="n">
        <v>0</v>
      </c>
    </row>
    <row r="52">
      <c r="A52" t="inlineStr">
        <is>
          <t>Original Towel</t>
        </is>
      </c>
      <c r="B52" t="inlineStr">
        <is>
          <t>Towel Paper</t>
        </is>
      </c>
      <c r="C52" t="inlineStr">
        <is>
          <t>TTAF</t>
        </is>
      </c>
      <c r="D52" t="inlineStr">
        <is>
          <t>Chemical</t>
        </is>
      </c>
      <c r="E52" t="inlineStr">
        <is>
          <t>kg</t>
        </is>
      </c>
      <c r="F52" t="n">
        <v>0</v>
      </c>
      <c r="G52" t="n">
        <v>0</v>
      </c>
      <c r="H52" t="n">
        <v>4</v>
      </c>
      <c r="I52" t="inlineStr">
        <is>
          <t>859882220</t>
        </is>
      </c>
      <c r="J52" t="n">
        <v>200</v>
      </c>
    </row>
    <row r="53">
      <c r="A53" t="inlineStr">
        <is>
          <t>Ester Film</t>
        </is>
      </c>
      <c r="B53" t="inlineStr">
        <is>
          <t>Ester Film</t>
        </is>
      </c>
      <c r="C53" t="inlineStr">
        <is>
          <t>TTAF</t>
        </is>
      </c>
      <c r="D53" t="inlineStr">
        <is>
          <t>Chemical</t>
        </is>
      </c>
      <c r="E53" t="inlineStr">
        <is>
          <t>kg</t>
        </is>
      </c>
      <c r="F53" t="n">
        <v>0</v>
      </c>
      <c r="G53" t="n">
        <v>0</v>
      </c>
      <c r="H53" t="n">
        <v>4</v>
      </c>
      <c r="I53" t="inlineStr"/>
      <c r="J53" t="n">
        <v>0</v>
      </c>
    </row>
    <row r="54">
      <c r="A54" t="inlineStr">
        <is>
          <t>PP Film</t>
        </is>
      </c>
      <c r="B54" t="inlineStr">
        <is>
          <t>PP Film</t>
        </is>
      </c>
      <c r="C54" t="inlineStr">
        <is>
          <t>TTAF</t>
        </is>
      </c>
      <c r="D54" t="inlineStr">
        <is>
          <t>Chemical</t>
        </is>
      </c>
      <c r="E54" t="inlineStr">
        <is>
          <t>kg</t>
        </is>
      </c>
      <c r="F54" t="n">
        <v>0</v>
      </c>
      <c r="G54" t="n">
        <v>0</v>
      </c>
      <c r="H54" t="n">
        <v>4</v>
      </c>
      <c r="I54" t="inlineStr">
        <is>
          <t>83988405701</t>
        </is>
      </c>
      <c r="J54" t="n">
        <v>0</v>
      </c>
    </row>
    <row r="55">
      <c r="A55" t="inlineStr">
        <is>
          <t>CHEM-1560</t>
        </is>
      </c>
      <c r="B55" t="inlineStr">
        <is>
          <t>TZP 511</t>
        </is>
      </c>
      <c r="C55" t="inlineStr">
        <is>
          <t>TTAF</t>
        </is>
      </c>
      <c r="D55" t="inlineStr">
        <is>
          <t>Chemical</t>
        </is>
      </c>
      <c r="E55" t="inlineStr">
        <is>
          <t>kg</t>
        </is>
      </c>
      <c r="F55" t="n">
        <v>0</v>
      </c>
      <c r="G55" t="n">
        <v>0</v>
      </c>
      <c r="H55" t="n">
        <v>4</v>
      </c>
      <c r="I55" t="inlineStr">
        <is>
          <t>734831030</t>
        </is>
      </c>
      <c r="J55" t="n">
        <v>0</v>
      </c>
    </row>
    <row r="56">
      <c r="A56" t="inlineStr">
        <is>
          <t>CHEM-1690</t>
        </is>
      </c>
      <c r="B56" t="inlineStr">
        <is>
          <t>TPZ 560</t>
        </is>
      </c>
      <c r="C56" t="inlineStr">
        <is>
          <t>TTAF</t>
        </is>
      </c>
      <c r="D56" t="inlineStr">
        <is>
          <t>Chemical</t>
        </is>
      </c>
      <c r="E56" t="inlineStr">
        <is>
          <t>kg</t>
        </is>
      </c>
      <c r="F56" t="n">
        <v>0</v>
      </c>
      <c r="G56" t="n">
        <v>0</v>
      </c>
      <c r="H56" t="n">
        <v>4</v>
      </c>
      <c r="I56" t="inlineStr">
        <is>
          <t>734831040</t>
        </is>
      </c>
      <c r="J56" t="n">
        <v>0</v>
      </c>
    </row>
    <row r="57">
      <c r="A57" t="inlineStr">
        <is>
          <t>CHEM-1720</t>
        </is>
      </c>
      <c r="B57" t="inlineStr">
        <is>
          <t>TPZ 868</t>
        </is>
      </c>
      <c r="C57" t="inlineStr">
        <is>
          <t>TTAF</t>
        </is>
      </c>
      <c r="D57" t="inlineStr">
        <is>
          <t>Chemical</t>
        </is>
      </c>
      <c r="E57" t="inlineStr">
        <is>
          <t>kg</t>
        </is>
      </c>
      <c r="F57" t="n">
        <v>0</v>
      </c>
      <c r="G57" t="n">
        <v>0</v>
      </c>
      <c r="H57" t="n">
        <v>4</v>
      </c>
      <c r="I57" t="inlineStr">
        <is>
          <t>734831050</t>
        </is>
      </c>
      <c r="J57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Part Name</t>
        </is>
      </c>
      <c r="C1" s="6" t="inlineStr">
        <is>
          <t>RM_Qty_Per_Batch</t>
        </is>
      </c>
      <c r="D1" s="6" t="inlineStr">
        <is>
          <t>PPGridRow</t>
        </is>
      </c>
    </row>
    <row r="2">
      <c r="A2" t="inlineStr">
        <is>
          <t>0Q110</t>
        </is>
      </c>
      <c r="B2" t="inlineStr">
        <is>
          <t>5SN</t>
        </is>
      </c>
      <c r="C2" t="n">
        <v>1</v>
      </c>
      <c r="D2">
        <f>IFERROR(MATCH($A2,PP_Grid[Intermediate],0),99999)</f>
        <v/>
      </c>
    </row>
    <row r="3">
      <c r="A3" t="inlineStr">
        <is>
          <t>0Q120</t>
        </is>
      </c>
      <c r="B3" t="inlineStr">
        <is>
          <t>7EP</t>
        </is>
      </c>
      <c r="C3" t="n">
        <v>1</v>
      </c>
      <c r="D3">
        <f>IFERROR(MATCH($A3,PP_Grid[Intermediate],0),99999)</f>
        <v/>
      </c>
    </row>
    <row r="4">
      <c r="A4" t="inlineStr">
        <is>
          <t>0T150</t>
        </is>
      </c>
      <c r="B4" t="inlineStr">
        <is>
          <t>OLJ</t>
        </is>
      </c>
      <c r="C4" t="n">
        <v>1</v>
      </c>
      <c r="D4">
        <f>IFERROR(MATCH($A4,PP_Grid[Intermediate],0),99999)</f>
        <v/>
      </c>
    </row>
    <row r="5">
      <c r="A5" t="inlineStr">
        <is>
          <t>0T160</t>
        </is>
      </c>
      <c r="B5" t="inlineStr">
        <is>
          <t>9RJ</t>
        </is>
      </c>
      <c r="C5" t="n">
        <v>1</v>
      </c>
      <c r="D5">
        <f>IFERROR(MATCH($A5,PP_Grid[Intermediate],0),99999)</f>
        <v/>
      </c>
    </row>
    <row r="6">
      <c r="A6" t="inlineStr">
        <is>
          <t>0T410</t>
        </is>
      </c>
      <c r="B6" t="inlineStr">
        <is>
          <t>OLJ</t>
        </is>
      </c>
      <c r="C6" t="n">
        <v>1</v>
      </c>
      <c r="D6">
        <f>IFERROR(MATCH($A6,PP_Grid[Intermediate],0),99999)</f>
        <v/>
      </c>
    </row>
    <row r="7">
      <c r="A7" t="inlineStr">
        <is>
          <t>0T420</t>
        </is>
      </c>
      <c r="B7" t="inlineStr">
        <is>
          <t>OLJ</t>
        </is>
      </c>
      <c r="C7" t="n">
        <v>1</v>
      </c>
      <c r="D7">
        <f>IFERROR(MATCH($A7,PP_Grid[Intermediate],0),99999)</f>
        <v/>
      </c>
    </row>
    <row r="8">
      <c r="A8" t="inlineStr">
        <is>
          <t>0T470</t>
        </is>
      </c>
      <c r="B8" t="inlineStr">
        <is>
          <t>OLJ</t>
        </is>
      </c>
      <c r="C8" t="n">
        <v>1</v>
      </c>
      <c r="D8">
        <f>IFERROR(MATCH($A8,PP_Grid[Intermediate],0),99999)</f>
        <v/>
      </c>
    </row>
    <row r="9">
      <c r="A9" t="inlineStr">
        <is>
          <t>0T480</t>
        </is>
      </c>
      <c r="B9" t="inlineStr">
        <is>
          <t>1EK</t>
        </is>
      </c>
      <c r="C9" t="n">
        <v>1</v>
      </c>
      <c r="D9">
        <f>IFERROR(MATCH($A9,PP_Grid[Intermediate],0),99999)</f>
        <v/>
      </c>
    </row>
    <row r="10">
      <c r="A10" t="inlineStr">
        <is>
          <t>0T490</t>
        </is>
      </c>
      <c r="B10" t="inlineStr">
        <is>
          <t>OLJ</t>
        </is>
      </c>
      <c r="C10" t="n">
        <v>1</v>
      </c>
      <c r="D10">
        <f>IFERROR(MATCH($A10,PP_Grid[Intermediate],0),99999)</f>
        <v/>
      </c>
    </row>
    <row r="11">
      <c r="A11" t="inlineStr">
        <is>
          <t>0T500</t>
        </is>
      </c>
      <c r="B11" t="inlineStr">
        <is>
          <t>5JK</t>
        </is>
      </c>
      <c r="C11" t="n">
        <v>1</v>
      </c>
      <c r="D11">
        <f>IFERROR(MATCH($A11,PP_Grid[Intermediate],0),99999)</f>
        <v/>
      </c>
    </row>
    <row r="12">
      <c r="A12" t="inlineStr">
        <is>
          <t>0T690</t>
        </is>
      </c>
      <c r="B12" t="inlineStr">
        <is>
          <t>1EK</t>
        </is>
      </c>
      <c r="C12" t="n">
        <v>1</v>
      </c>
      <c r="D12">
        <f>IFERROR(MATCH($A12,PP_Grid[Intermediate],0),99999)</f>
        <v/>
      </c>
    </row>
    <row r="13">
      <c r="A13" t="inlineStr">
        <is>
          <t>0T720</t>
        </is>
      </c>
      <c r="B13" t="inlineStr">
        <is>
          <t>1EK</t>
        </is>
      </c>
      <c r="C13" t="n">
        <v>1</v>
      </c>
      <c r="D13">
        <f>IFERROR(MATCH($A13,PP_Grid[Intermediate],0),99999)</f>
        <v/>
      </c>
    </row>
    <row r="14">
      <c r="A14" t="inlineStr">
        <is>
          <t>0T740</t>
        </is>
      </c>
      <c r="B14" t="inlineStr">
        <is>
          <t>1EK</t>
        </is>
      </c>
      <c r="C14" t="n">
        <v>1</v>
      </c>
      <c r="D14">
        <f>IFERROR(MATCH($A14,PP_Grid[Intermediate],0),99999)</f>
        <v/>
      </c>
    </row>
    <row r="15">
      <c r="A15" t="inlineStr">
        <is>
          <t>0T750</t>
        </is>
      </c>
      <c r="B15" t="inlineStr">
        <is>
          <t>1EK</t>
        </is>
      </c>
      <c r="C15" t="n">
        <v>1</v>
      </c>
      <c r="D15">
        <f>IFERROR(MATCH($A15,PP_Grid[Intermediate],0),99999)</f>
        <v/>
      </c>
    </row>
    <row r="16">
      <c r="A16" t="inlineStr">
        <is>
          <t>0T860</t>
        </is>
      </c>
      <c r="B16" t="inlineStr">
        <is>
          <t>1EK</t>
        </is>
      </c>
      <c r="C16" t="n">
        <v>1</v>
      </c>
      <c r="D16">
        <f>IFERROR(MATCH($A16,PP_Grid[Intermediate],0),99999)</f>
        <v/>
      </c>
    </row>
    <row r="17">
      <c r="A17" t="inlineStr">
        <is>
          <t>0T870</t>
        </is>
      </c>
      <c r="B17" t="inlineStr">
        <is>
          <t>1EK</t>
        </is>
      </c>
      <c r="C17" t="n">
        <v>1</v>
      </c>
      <c r="D17">
        <f>IFERROR(MATCH($A17,PP_Grid[Intermediate],0),99999)</f>
        <v/>
      </c>
    </row>
    <row r="18">
      <c r="A18" t="inlineStr">
        <is>
          <t>0T880</t>
        </is>
      </c>
      <c r="B18" t="inlineStr">
        <is>
          <t>1EK</t>
        </is>
      </c>
      <c r="C18" t="n">
        <v>1</v>
      </c>
      <c r="D18">
        <f>IFERROR(MATCH($A18,PP_Grid[Intermediate],0),99999)</f>
        <v/>
      </c>
    </row>
    <row r="19">
      <c r="A19" t="inlineStr">
        <is>
          <t>0TA30</t>
        </is>
      </c>
      <c r="B19" t="inlineStr">
        <is>
          <t>TDJ</t>
        </is>
      </c>
      <c r="C19" t="n">
        <v>1</v>
      </c>
      <c r="D19">
        <f>IFERROR(MATCH($A19,PP_Grid[Intermediate],0),99999)</f>
        <v/>
      </c>
    </row>
    <row r="20">
      <c r="A20" t="inlineStr">
        <is>
          <t>0TA40</t>
        </is>
      </c>
      <c r="B20" t="inlineStr">
        <is>
          <t>1EK</t>
        </is>
      </c>
      <c r="C20" t="n">
        <v>1</v>
      </c>
      <c r="D20">
        <f>IFERROR(MATCH($A20,PP_Grid[Intermediate],0),99999)</f>
        <v/>
      </c>
    </row>
    <row r="21">
      <c r="A21" t="inlineStr">
        <is>
          <t>0W750</t>
        </is>
      </c>
      <c r="B21" t="inlineStr">
        <is>
          <t>OLJ</t>
        </is>
      </c>
      <c r="C21" t="n">
        <v>1</v>
      </c>
      <c r="D21">
        <f>IFERROR(MATCH($A21,PP_Grid[Intermediate],0),99999)</f>
        <v/>
      </c>
    </row>
    <row r="22">
      <c r="A22" t="inlineStr">
        <is>
          <t>0W780</t>
        </is>
      </c>
      <c r="B22" t="inlineStr">
        <is>
          <t>OLJ</t>
        </is>
      </c>
      <c r="C22" t="n">
        <v>1</v>
      </c>
      <c r="D22">
        <f>IFERROR(MATCH($A22,PP_Grid[Intermediate],0),99999)</f>
        <v/>
      </c>
    </row>
    <row r="23">
      <c r="A23" t="inlineStr">
        <is>
          <t>0Y460</t>
        </is>
      </c>
      <c r="B23" t="inlineStr">
        <is>
          <t>1JN</t>
        </is>
      </c>
      <c r="C23" t="n">
        <v>1</v>
      </c>
      <c r="D23">
        <f>IFERROR(MATCH($A23,PP_Grid[Intermediate],0),99999)</f>
        <v/>
      </c>
    </row>
    <row r="24">
      <c r="A24" t="inlineStr">
        <is>
          <t>F0220</t>
        </is>
      </c>
      <c r="B24" t="inlineStr">
        <is>
          <t>7CL</t>
        </is>
      </c>
      <c r="C24" t="n">
        <v>1</v>
      </c>
      <c r="D24">
        <f>IFERROR(MATCH($A24,PP_Grid[Intermediate],0),99999)</f>
        <v/>
      </c>
    </row>
    <row r="25">
      <c r="A25" t="inlineStr">
        <is>
          <t>F2090</t>
        </is>
      </c>
      <c r="B25" t="inlineStr">
        <is>
          <t>OJN</t>
        </is>
      </c>
      <c r="C25" t="n">
        <v>1</v>
      </c>
      <c r="D25">
        <f>IFERROR(MATCH($A25,PP_Grid[Intermediate],0),99999)</f>
        <v/>
      </c>
    </row>
    <row r="26">
      <c r="A26" t="inlineStr">
        <is>
          <t>F2100</t>
        </is>
      </c>
      <c r="B26" t="inlineStr">
        <is>
          <t>7CL</t>
        </is>
      </c>
      <c r="C26" t="n">
        <v>1</v>
      </c>
      <c r="D26">
        <f>IFERROR(MATCH($A26,PP_Grid[Intermediate],0),99999)</f>
        <v/>
      </c>
    </row>
    <row r="27">
      <c r="A27" t="inlineStr">
        <is>
          <t>F2180</t>
        </is>
      </c>
      <c r="B27" t="inlineStr">
        <is>
          <t>7CL</t>
        </is>
      </c>
      <c r="C27" t="n">
        <v>1</v>
      </c>
      <c r="D27">
        <f>IFERROR(MATCH($A27,PP_Grid[Intermediate],0),99999)</f>
        <v/>
      </c>
    </row>
    <row r="28">
      <c r="A28" t="inlineStr">
        <is>
          <t>F2210</t>
        </is>
      </c>
      <c r="B28" t="inlineStr">
        <is>
          <t>7CL</t>
        </is>
      </c>
      <c r="C28" t="n">
        <v>1</v>
      </c>
      <c r="D28">
        <f>IFERROR(MATCH($A28,PP_Grid[Intermediate],0),99999)</f>
        <v/>
      </c>
    </row>
    <row r="29">
      <c r="A29" t="inlineStr">
        <is>
          <t>F2290</t>
        </is>
      </c>
      <c r="B29" t="inlineStr">
        <is>
          <t>3TP</t>
        </is>
      </c>
      <c r="C29" t="n">
        <v>1</v>
      </c>
      <c r="D29">
        <f>IFERROR(MATCH($A29,PP_Grid[Intermediate],0),99999)</f>
        <v/>
      </c>
    </row>
    <row r="30">
      <c r="A30" t="inlineStr">
        <is>
          <t>F2350</t>
        </is>
      </c>
      <c r="B30" t="inlineStr">
        <is>
          <t>7CL</t>
        </is>
      </c>
      <c r="C30" t="n">
        <v>1</v>
      </c>
      <c r="D30">
        <f>IFERROR(MATCH($A30,PP_Grid[Intermediate],0),99999)</f>
        <v/>
      </c>
    </row>
    <row r="31">
      <c r="A31" t="inlineStr">
        <is>
          <t>F3060</t>
        </is>
      </c>
      <c r="B31" t="inlineStr">
        <is>
          <t>4HL</t>
        </is>
      </c>
      <c r="C31" t="n">
        <v>1</v>
      </c>
      <c r="D31">
        <f>IFERROR(MATCH($A31,PP_Grid[Intermediate],0),99999)</f>
        <v/>
      </c>
    </row>
    <row r="32">
      <c r="A32" t="inlineStr">
        <is>
          <t>K0030</t>
        </is>
      </c>
      <c r="B32" t="inlineStr">
        <is>
          <t>4HL</t>
        </is>
      </c>
      <c r="C32" t="n">
        <v>1</v>
      </c>
      <c r="D32">
        <f>IFERROR(MATCH($A32,PP_Grid[Intermediate],0),99999)</f>
        <v/>
      </c>
    </row>
    <row r="33">
      <c r="A33" t="inlineStr">
        <is>
          <t>K0050</t>
        </is>
      </c>
      <c r="B33" t="inlineStr">
        <is>
          <t>9RN</t>
        </is>
      </c>
      <c r="C33" t="n">
        <v>1</v>
      </c>
      <c r="D33">
        <f>IFERROR(MATCH($A33,PP_Grid[Intermediate],0),99999)</f>
        <v/>
      </c>
    </row>
    <row r="34">
      <c r="A34" t="inlineStr">
        <is>
          <t>SOL-20P</t>
        </is>
      </c>
      <c r="B34" t="inlineStr">
        <is>
          <t>CHEM-1010</t>
        </is>
      </c>
      <c r="C34" t="n">
        <v>4.874</v>
      </c>
      <c r="D34">
        <f>IFERROR(MATCH($A34,PP_Grid[Intermediate],0),99999)</f>
        <v/>
      </c>
    </row>
    <row r="35">
      <c r="A35" t="inlineStr">
        <is>
          <t>SOL-250D</t>
        </is>
      </c>
      <c r="B35" t="inlineStr">
        <is>
          <t>CHEM-1280</t>
        </is>
      </c>
      <c r="C35" t="n">
        <v>69.230002</v>
      </c>
      <c r="D35">
        <f>IFERROR(MATCH($A35,PP_Grid[Intermediate],0),99999)</f>
        <v/>
      </c>
    </row>
    <row r="36">
      <c r="A36" t="inlineStr">
        <is>
          <t>SOL-85D</t>
        </is>
      </c>
      <c r="B36" t="inlineStr">
        <is>
          <t>CHEM-1280</t>
        </is>
      </c>
      <c r="C36" t="n">
        <v>115.0004</v>
      </c>
      <c r="D36">
        <f>IFERROR(MATCH($A36,PP_Grid[Intermediate],0),99999)</f>
        <v/>
      </c>
    </row>
    <row r="37">
      <c r="A37" t="inlineStr">
        <is>
          <t>TPP-103</t>
        </is>
      </c>
      <c r="B37" t="inlineStr">
        <is>
          <t>CHEM-1110</t>
        </is>
      </c>
      <c r="C37" t="n">
        <v>23.498407</v>
      </c>
      <c r="D37">
        <f>IFERROR(MATCH($A37,PP_Grid[Intermediate],0),99999)</f>
        <v/>
      </c>
    </row>
    <row r="38">
      <c r="A38" t="inlineStr">
        <is>
          <t>TPP-1367</t>
        </is>
      </c>
      <c r="B38" t="inlineStr">
        <is>
          <t>SOL-SCH</t>
        </is>
      </c>
      <c r="C38" t="n">
        <v>20.639627</v>
      </c>
      <c r="D38">
        <f>IFERROR(MATCH($A38,PP_Grid[Intermediate],0),99999)</f>
        <v/>
      </c>
    </row>
    <row r="39">
      <c r="A39" t="inlineStr">
        <is>
          <t>TPP-1368</t>
        </is>
      </c>
      <c r="B39" t="inlineStr">
        <is>
          <t>SOL-SCH</t>
        </is>
      </c>
      <c r="C39" t="n">
        <v>18.650981</v>
      </c>
      <c r="D39">
        <f>IFERROR(MATCH($A39,PP_Grid[Intermediate],0),99999)</f>
        <v/>
      </c>
    </row>
    <row r="40">
      <c r="A40" t="inlineStr">
        <is>
          <t>TPP-1369</t>
        </is>
      </c>
      <c r="B40" t="inlineStr">
        <is>
          <t>SOL-SCH</t>
        </is>
      </c>
      <c r="C40" t="n">
        <v>10.755686</v>
      </c>
      <c r="D40">
        <f>IFERROR(MATCH($A40,PP_Grid[Intermediate],0),99999)</f>
        <v/>
      </c>
    </row>
    <row r="41">
      <c r="A41" t="inlineStr">
        <is>
          <t>TPP-1378</t>
        </is>
      </c>
      <c r="B41" t="inlineStr">
        <is>
          <t>SOL-SCH</t>
        </is>
      </c>
      <c r="C41" t="n">
        <v>11.463192</v>
      </c>
      <c r="D41">
        <f>IFERROR(MATCH($A41,PP_Grid[Intermediate],0),99999)</f>
        <v/>
      </c>
    </row>
    <row r="42">
      <c r="A42" t="inlineStr">
        <is>
          <t>TPP-1379</t>
        </is>
      </c>
      <c r="B42" t="inlineStr">
        <is>
          <t>SOL-SCH</t>
        </is>
      </c>
      <c r="C42" t="n">
        <v>5.871333</v>
      </c>
      <c r="D42">
        <f>IFERROR(MATCH($A42,PP_Grid[Intermediate],0),99999)</f>
        <v/>
      </c>
    </row>
    <row r="43">
      <c r="A43" t="inlineStr">
        <is>
          <t>TPP-358</t>
        </is>
      </c>
      <c r="B43" t="inlineStr">
        <is>
          <t>CHEM-1540</t>
        </is>
      </c>
      <c r="C43" t="n">
        <v>65.146396</v>
      </c>
      <c r="D43">
        <f>IFERROR(MATCH($A43,PP_Grid[Intermediate],0),99999)</f>
        <v/>
      </c>
    </row>
    <row r="44">
      <c r="A44" t="inlineStr">
        <is>
          <t>TPP-358</t>
        </is>
      </c>
      <c r="B44" t="inlineStr">
        <is>
          <t>SOL-SH</t>
        </is>
      </c>
      <c r="C44" t="n">
        <v>11.165028</v>
      </c>
      <c r="D44">
        <f>IFERROR(MATCH($A44,PP_Grid[Intermediate],0),99999)</f>
        <v/>
      </c>
    </row>
    <row r="45">
      <c r="A45" t="inlineStr">
        <is>
          <t>TPP-533</t>
        </is>
      </c>
      <c r="B45" t="inlineStr">
        <is>
          <t>CHEM-1540</t>
        </is>
      </c>
      <c r="C45" t="n">
        <v>59.283751</v>
      </c>
      <c r="D45">
        <f>IFERROR(MATCH($A45,PP_Grid[Intermediate],0),99999)</f>
        <v/>
      </c>
    </row>
    <row r="46">
      <c r="A46" t="inlineStr">
        <is>
          <t>TPP-533</t>
        </is>
      </c>
      <c r="B46" t="inlineStr">
        <is>
          <t>SOL-SH</t>
        </is>
      </c>
      <c r="C46" t="n">
        <v>13.546547</v>
      </c>
      <c r="D46">
        <f>IFERROR(MATCH($A46,PP_Grid[Intermediate],0),99999)</f>
        <v/>
      </c>
    </row>
    <row r="47">
      <c r="A47" t="inlineStr">
        <is>
          <t>TPP-611</t>
        </is>
      </c>
      <c r="B47" t="inlineStr">
        <is>
          <t>CHEM-1680</t>
        </is>
      </c>
      <c r="C47" t="n">
        <v>18.224726</v>
      </c>
      <c r="D47">
        <f>IFERROR(MATCH($A47,PP_Grid[Intermediate],0),99999)</f>
        <v/>
      </c>
    </row>
    <row r="48">
      <c r="A48" t="inlineStr">
        <is>
          <t>TPP-611</t>
        </is>
      </c>
      <c r="B48" t="inlineStr">
        <is>
          <t>SOL-SH</t>
        </is>
      </c>
      <c r="C48" t="n">
        <v>7.624032</v>
      </c>
      <c r="D48">
        <f>IFERROR(MATCH($A48,PP_Grid[Intermediate],0),99999)</f>
        <v/>
      </c>
    </row>
    <row r="49">
      <c r="A49" t="inlineStr">
        <is>
          <t>TPP-613</t>
        </is>
      </c>
      <c r="B49" t="inlineStr">
        <is>
          <t>CHEM-1680</t>
        </is>
      </c>
      <c r="C49" t="n">
        <v>18.246076</v>
      </c>
      <c r="D49">
        <f>IFERROR(MATCH($A49,PP_Grid[Intermediate],0),99999)</f>
        <v/>
      </c>
    </row>
    <row r="50">
      <c r="A50" t="inlineStr">
        <is>
          <t>TPP-613</t>
        </is>
      </c>
      <c r="B50" t="inlineStr">
        <is>
          <t>SOL-SH</t>
        </is>
      </c>
      <c r="C50" t="n">
        <v>4.57974</v>
      </c>
      <c r="D50">
        <f>IFERROR(MATCH($A50,PP_Grid[Intermediate],0),99999)</f>
        <v/>
      </c>
    </row>
    <row r="51">
      <c r="A51" t="inlineStr">
        <is>
          <t>TPP-635</t>
        </is>
      </c>
      <c r="B51" t="inlineStr">
        <is>
          <t>CHEM-1770</t>
        </is>
      </c>
      <c r="C51" t="n">
        <v>44.216183</v>
      </c>
      <c r="D51">
        <f>IFERROR(MATCH($A51,PP_Grid[Intermediate],0),99999)</f>
        <v/>
      </c>
    </row>
    <row r="52">
      <c r="A52" t="inlineStr">
        <is>
          <t>TPP-635</t>
        </is>
      </c>
      <c r="B52" t="inlineStr">
        <is>
          <t>SOL-10H</t>
        </is>
      </c>
      <c r="C52" t="n">
        <v>11.031805</v>
      </c>
      <c r="D52">
        <f>IFERROR(MATCH($A52,PP_Grid[Intermediate],0),99999)</f>
        <v/>
      </c>
    </row>
    <row r="53">
      <c r="A53" t="inlineStr">
        <is>
          <t>TPP-649</t>
        </is>
      </c>
      <c r="B53" t="inlineStr">
        <is>
          <t>SOL-10H</t>
        </is>
      </c>
      <c r="C53" t="n">
        <v>64.43164</v>
      </c>
      <c r="D53">
        <f>IFERROR(MATCH($A53,PP_Grid[Intermediate],0),99999)</f>
        <v/>
      </c>
    </row>
    <row r="54">
      <c r="A54" t="inlineStr">
        <is>
          <t>TPP-650</t>
        </is>
      </c>
      <c r="B54" t="inlineStr">
        <is>
          <t>CHEM-1530</t>
        </is>
      </c>
      <c r="C54" t="n">
        <v>36.211277</v>
      </c>
      <c r="D54">
        <f>IFERROR(MATCH($A54,PP_Grid[Intermediate],0),99999)</f>
        <v/>
      </c>
    </row>
    <row r="55">
      <c r="A55" t="inlineStr">
        <is>
          <t>TPP-699</t>
        </is>
      </c>
      <c r="B55" t="inlineStr">
        <is>
          <t>CHEM-1010</t>
        </is>
      </c>
      <c r="C55" t="n">
        <v>0.457141</v>
      </c>
      <c r="D55">
        <f>IFERROR(MATCH($A55,PP_Grid[Intermediate],0),99999)</f>
        <v/>
      </c>
    </row>
    <row r="56">
      <c r="A56" t="inlineStr">
        <is>
          <t>TPP-699</t>
        </is>
      </c>
      <c r="B56" t="inlineStr">
        <is>
          <t>SOL-20P</t>
        </is>
      </c>
      <c r="C56" t="n">
        <v>18.758334</v>
      </c>
      <c r="D56">
        <f>IFERROR(MATCH($A56,PP_Grid[Intermediate],0),99999)</f>
        <v/>
      </c>
    </row>
    <row r="57">
      <c r="A57" t="inlineStr">
        <is>
          <t>TPP-700</t>
        </is>
      </c>
      <c r="B57" t="inlineStr">
        <is>
          <t>CHEM-1010</t>
        </is>
      </c>
      <c r="C57" t="n">
        <v>0.389266</v>
      </c>
      <c r="D57">
        <f>IFERROR(MATCH($A57,PP_Grid[Intermediate],0),99999)</f>
        <v/>
      </c>
    </row>
    <row r="58">
      <c r="A58" t="inlineStr">
        <is>
          <t>TPP-700</t>
        </is>
      </c>
      <c r="B58" t="inlineStr">
        <is>
          <t>SOL-20P</t>
        </is>
      </c>
      <c r="C58" t="n">
        <v>15.97318</v>
      </c>
      <c r="D58">
        <f>IFERROR(MATCH($A58,PP_Grid[Intermediate],0),99999)</f>
        <v/>
      </c>
    </row>
    <row r="59">
      <c r="A59" t="inlineStr">
        <is>
          <t>TPP-701</t>
        </is>
      </c>
      <c r="B59" t="inlineStr">
        <is>
          <t>CHEM-1010</t>
        </is>
      </c>
      <c r="C59" t="n">
        <v>0.289077</v>
      </c>
      <c r="D59">
        <f>IFERROR(MATCH($A59,PP_Grid[Intermediate],0),99999)</f>
        <v/>
      </c>
    </row>
    <row r="60">
      <c r="A60" t="inlineStr">
        <is>
          <t>TPP-701</t>
        </is>
      </c>
      <c r="B60" t="inlineStr">
        <is>
          <t>SOL-20P</t>
        </is>
      </c>
      <c r="C60" t="n">
        <v>11.862006</v>
      </c>
      <c r="D60">
        <f>IFERROR(MATCH($A60,PP_Grid[Intermediate],0),99999)</f>
        <v/>
      </c>
    </row>
    <row r="61">
      <c r="A61" t="inlineStr">
        <is>
          <t>TPP-825</t>
        </is>
      </c>
      <c r="B61" t="inlineStr">
        <is>
          <t>CHEM-1010</t>
        </is>
      </c>
      <c r="C61" t="n">
        <v>0.17016</v>
      </c>
      <c r="D61">
        <f>IFERROR(MATCH($A61,PP_Grid[Intermediate],0),99999)</f>
        <v/>
      </c>
    </row>
    <row r="62">
      <c r="A62" t="inlineStr">
        <is>
          <t>TPP-825</t>
        </is>
      </c>
      <c r="B62" t="inlineStr">
        <is>
          <t>SOL-20P</t>
        </is>
      </c>
      <c r="C62" t="n">
        <v>6.982353</v>
      </c>
      <c r="D62">
        <f>IFERROR(MATCH($A62,PP_Grid[Intermediate],0),99999)</f>
        <v/>
      </c>
    </row>
    <row r="63">
      <c r="A63" t="inlineStr">
        <is>
          <t>TPP-911</t>
        </is>
      </c>
      <c r="B63" t="inlineStr">
        <is>
          <t>CHEM-1730</t>
        </is>
      </c>
      <c r="C63" t="n">
        <v>51.793294</v>
      </c>
      <c r="D63">
        <f>IFERROR(MATCH($A63,PP_Grid[Intermediate],0),99999)</f>
        <v/>
      </c>
    </row>
    <row r="64">
      <c r="A64" t="inlineStr">
        <is>
          <t>TPP-912</t>
        </is>
      </c>
      <c r="B64" t="inlineStr">
        <is>
          <t>CHEM-1730</t>
        </is>
      </c>
      <c r="C64" t="n">
        <v>52.170222</v>
      </c>
      <c r="D64">
        <f>IFERROR(MATCH($A64,PP_Grid[Intermediate],0),99999)</f>
        <v/>
      </c>
    </row>
    <row r="65">
      <c r="A65" t="inlineStr">
        <is>
          <t>TPP-914</t>
        </is>
      </c>
      <c r="B65" t="inlineStr">
        <is>
          <t>CHEM-1680</t>
        </is>
      </c>
      <c r="C65" t="n">
        <v>26.309129</v>
      </c>
      <c r="D65">
        <f>IFERROR(MATCH($A65,PP_Grid[Intermediate],0),99999)</f>
        <v/>
      </c>
    </row>
    <row r="66">
      <c r="A66" t="inlineStr">
        <is>
          <t>TPP-914</t>
        </is>
      </c>
      <c r="B66" t="inlineStr">
        <is>
          <t>SOL-SH</t>
        </is>
      </c>
      <c r="C66" t="n">
        <v>6.420188</v>
      </c>
      <c r="D66">
        <f>IFERROR(MATCH($A66,PP_Grid[Intermediate],0),99999)</f>
        <v/>
      </c>
    </row>
    <row r="67">
      <c r="A67" t="inlineStr">
        <is>
          <t>TPP-915</t>
        </is>
      </c>
      <c r="B67" t="inlineStr">
        <is>
          <t>CHEM-1680</t>
        </is>
      </c>
      <c r="C67" t="n">
        <v>26.00403</v>
      </c>
      <c r="D67">
        <f>IFERROR(MATCH($A67,PP_Grid[Intermediate],0),99999)</f>
        <v/>
      </c>
    </row>
    <row r="68">
      <c r="A68" t="inlineStr">
        <is>
          <t>TPP-915</t>
        </is>
      </c>
      <c r="B68" t="inlineStr">
        <is>
          <t>SOL-SH</t>
        </is>
      </c>
      <c r="C68" t="n">
        <v>4.758195</v>
      </c>
      <c r="D68">
        <f>IFERROR(MATCH($A68,PP_Grid[Intermediate],0),99999)</f>
        <v/>
      </c>
    </row>
    <row r="69">
      <c r="A69" t="inlineStr">
        <is>
          <t>TPP-916</t>
        </is>
      </c>
      <c r="B69" t="inlineStr">
        <is>
          <t>CHEM-1680</t>
        </is>
      </c>
      <c r="C69" t="n">
        <v>26.631334</v>
      </c>
      <c r="D69">
        <f>IFERROR(MATCH($A69,PP_Grid[Intermediate],0),99999)</f>
        <v/>
      </c>
    </row>
    <row r="70">
      <c r="A70" t="inlineStr">
        <is>
          <t>TPP-916</t>
        </is>
      </c>
      <c r="B70" t="inlineStr">
        <is>
          <t>SOL-SH</t>
        </is>
      </c>
      <c r="C70" t="n">
        <v>2.924462</v>
      </c>
      <c r="D70">
        <f>IFERROR(MATCH($A70,PP_Grid[Intermediate],0),99999)</f>
        <v/>
      </c>
    </row>
    <row r="71">
      <c r="A71" t="inlineStr">
        <is>
          <t>TPP-917</t>
        </is>
      </c>
      <c r="B71" t="inlineStr">
        <is>
          <t>CHEM-1680</t>
        </is>
      </c>
      <c r="C71" t="n">
        <v>26.637444</v>
      </c>
      <c r="D71">
        <f>IFERROR(MATCH($A71,PP_Grid[Intermediate],0),99999)</f>
        <v/>
      </c>
    </row>
    <row r="72">
      <c r="A72" t="inlineStr">
        <is>
          <t>TPP-917</t>
        </is>
      </c>
      <c r="B72" t="inlineStr">
        <is>
          <t>SOL-SH</t>
        </is>
      </c>
      <c r="C72" t="n">
        <v>1.950035</v>
      </c>
      <c r="D72">
        <f>IFERROR(MATCH($A72,PP_Grid[Intermediate],0),99999)</f>
        <v/>
      </c>
    </row>
    <row r="73">
      <c r="A73" t="inlineStr">
        <is>
          <t>TPP-919</t>
        </is>
      </c>
      <c r="B73" t="inlineStr">
        <is>
          <t>CHEM-1680</t>
        </is>
      </c>
      <c r="C73" t="n">
        <v>17.817402</v>
      </c>
      <c r="D73">
        <f>IFERROR(MATCH($A73,PP_Grid[Intermediate],0),99999)</f>
        <v/>
      </c>
    </row>
    <row r="74">
      <c r="A74" t="inlineStr">
        <is>
          <t>TPP-919</t>
        </is>
      </c>
      <c r="B74" t="inlineStr">
        <is>
          <t>SOL-SH</t>
        </is>
      </c>
      <c r="C74" t="n">
        <v>5.929077</v>
      </c>
      <c r="D74">
        <f>IFERROR(MATCH($A74,PP_Grid[Intermediate],0),99999)</f>
        <v/>
      </c>
    </row>
    <row r="75">
      <c r="A75" t="inlineStr">
        <is>
          <t>TPP-920</t>
        </is>
      </c>
      <c r="B75" t="inlineStr">
        <is>
          <t>CHEM-1680</t>
        </is>
      </c>
      <c r="C75" t="n">
        <v>18.482297</v>
      </c>
      <c r="D75">
        <f>IFERROR(MATCH($A75,PP_Grid[Intermediate],0),99999)</f>
        <v/>
      </c>
    </row>
    <row r="76">
      <c r="A76" t="inlineStr">
        <is>
          <t>TPP-920</t>
        </is>
      </c>
      <c r="B76" t="inlineStr">
        <is>
          <t>SOL-SH</t>
        </is>
      </c>
      <c r="C76" t="n">
        <v>4.61358</v>
      </c>
      <c r="D76">
        <f>IFERROR(MATCH($A76,PP_Grid[Intermediate],0),99999)</f>
        <v/>
      </c>
    </row>
    <row r="77">
      <c r="A77" t="inlineStr">
        <is>
          <t>TPP-922</t>
        </is>
      </c>
      <c r="B77" t="inlineStr">
        <is>
          <t>CHEM-1680</t>
        </is>
      </c>
      <c r="C77" t="n">
        <v>18.162854</v>
      </c>
      <c r="D77">
        <f>IFERROR(MATCH($A77,PP_Grid[Intermediate],0),99999)</f>
        <v/>
      </c>
    </row>
    <row r="78">
      <c r="A78" t="inlineStr">
        <is>
          <t>TPP-922</t>
        </is>
      </c>
      <c r="B78" t="inlineStr">
        <is>
          <t>SOL-SH</t>
        </is>
      </c>
      <c r="C78" t="n">
        <v>2.719838</v>
      </c>
      <c r="D78">
        <f>IFERROR(MATCH($A78,PP_Grid[Intermediate],0),99999)</f>
        <v/>
      </c>
    </row>
    <row r="79">
      <c r="A79" t="inlineStr">
        <is>
          <t>TPP-923</t>
        </is>
      </c>
      <c r="B79" t="inlineStr">
        <is>
          <t>CHEM-1680</t>
        </is>
      </c>
      <c r="C79" t="n">
        <v>18.16688</v>
      </c>
      <c r="D79">
        <f>IFERROR(MATCH($A79,PP_Grid[Intermediate],0),99999)</f>
        <v/>
      </c>
    </row>
    <row r="80">
      <c r="A80" t="inlineStr">
        <is>
          <t>TPP-923</t>
        </is>
      </c>
      <c r="B80" t="inlineStr">
        <is>
          <t>SOL-SH</t>
        </is>
      </c>
      <c r="C80" t="n">
        <v>1.813649</v>
      </c>
      <c r="D80">
        <f>IFERROR(MATCH($A80,PP_Grid[Intermediate],0),99999)</f>
        <v/>
      </c>
    </row>
    <row r="81">
      <c r="A81" t="inlineStr">
        <is>
          <t>TPP-968</t>
        </is>
      </c>
      <c r="B81" t="inlineStr">
        <is>
          <t>SOL-10H</t>
        </is>
      </c>
      <c r="C81" t="n">
        <v>44.501063</v>
      </c>
      <c r="D81">
        <f>IFERROR(MATCH($A81,PP_Grid[Intermediate],0),99999)</f>
        <v/>
      </c>
    </row>
    <row r="82">
      <c r="A82" t="inlineStr">
        <is>
          <t>TSP-049</t>
        </is>
      </c>
      <c r="B82" t="inlineStr">
        <is>
          <t>CHEM-1010</t>
        </is>
      </c>
      <c r="C82" t="n">
        <v>0.5394139999999999</v>
      </c>
      <c r="D82">
        <f>IFERROR(MATCH($A82,PP_Grid[Intermediate],0),99999)</f>
        <v/>
      </c>
    </row>
    <row r="83">
      <c r="A83" t="inlineStr">
        <is>
          <t>TSP-049</t>
        </is>
      </c>
      <c r="B83" t="inlineStr">
        <is>
          <t>CHEM-1120</t>
        </is>
      </c>
      <c r="C83" t="n">
        <v>6.329366</v>
      </c>
      <c r="D83">
        <f>IFERROR(MATCH($A83,PP_Grid[Intermediate],0),99999)</f>
        <v/>
      </c>
    </row>
    <row r="84">
      <c r="A84" t="inlineStr">
        <is>
          <t>TSP-049</t>
        </is>
      </c>
      <c r="B84" t="inlineStr">
        <is>
          <t>CHEM-1250</t>
        </is>
      </c>
      <c r="C84" t="n">
        <v>4.557205</v>
      </c>
      <c r="D84">
        <f>IFERROR(MATCH($A84,PP_Grid[Intermediate],0),99999)</f>
        <v/>
      </c>
    </row>
    <row r="85">
      <c r="A85" t="inlineStr">
        <is>
          <t>TSP-049</t>
        </is>
      </c>
      <c r="B85" t="inlineStr">
        <is>
          <t>CHEM-1420</t>
        </is>
      </c>
      <c r="C85" t="n">
        <v>0.3074</v>
      </c>
      <c r="D85">
        <f>IFERROR(MATCH($A85,PP_Grid[Intermediate],0),99999)</f>
        <v/>
      </c>
    </row>
    <row r="86">
      <c r="A86" t="inlineStr">
        <is>
          <t>TSP-049</t>
        </is>
      </c>
      <c r="B86" t="inlineStr">
        <is>
          <t>CHEM-1440</t>
        </is>
      </c>
      <c r="C86" t="n">
        <v>0.484155</v>
      </c>
      <c r="D86">
        <f>IFERROR(MATCH($A86,PP_Grid[Intermediate],0),99999)</f>
        <v/>
      </c>
    </row>
    <row r="87">
      <c r="A87" t="inlineStr">
        <is>
          <t>TSP-049</t>
        </is>
      </c>
      <c r="B87" t="inlineStr">
        <is>
          <t>SOL-20P</t>
        </is>
      </c>
      <c r="C87" t="n">
        <v>22.134337</v>
      </c>
      <c r="D87">
        <f>IFERROR(MATCH($A87,PP_Grid[Intermediate],0),99999)</f>
        <v/>
      </c>
    </row>
    <row r="88">
      <c r="A88" t="inlineStr">
        <is>
          <t>TSP-050</t>
        </is>
      </c>
      <c r="B88" t="inlineStr">
        <is>
          <t>CHEM-1400</t>
        </is>
      </c>
      <c r="C88" t="n">
        <v>7.816631</v>
      </c>
      <c r="D88">
        <f>IFERROR(MATCH($A88,PP_Grid[Intermediate],0),99999)</f>
        <v/>
      </c>
    </row>
    <row r="89">
      <c r="A89" t="inlineStr">
        <is>
          <t>TSP-050</t>
        </is>
      </c>
      <c r="B89" t="inlineStr">
        <is>
          <t>CHEM-1420</t>
        </is>
      </c>
      <c r="C89" t="n">
        <v>2.240138</v>
      </c>
      <c r="D89">
        <f>IFERROR(MATCH($A89,PP_Grid[Intermediate],0),99999)</f>
        <v/>
      </c>
    </row>
    <row r="90">
      <c r="A90" t="inlineStr">
        <is>
          <t>TSP-050</t>
        </is>
      </c>
      <c r="B90" t="inlineStr">
        <is>
          <t>CHEM-1430</t>
        </is>
      </c>
      <c r="C90" t="n">
        <v>68.33081</v>
      </c>
      <c r="D90">
        <f>IFERROR(MATCH($A90,PP_Grid[Intermediate],0),99999)</f>
        <v/>
      </c>
    </row>
    <row r="91">
      <c r="A91" t="inlineStr">
        <is>
          <t>TSP-050</t>
        </is>
      </c>
      <c r="B91" t="inlineStr">
        <is>
          <t>SOL-10H</t>
        </is>
      </c>
      <c r="C91" t="n">
        <v>28.10069</v>
      </c>
      <c r="D91">
        <f>IFERROR(MATCH($A91,PP_Grid[Intermediate],0),99999)</f>
        <v/>
      </c>
    </row>
    <row r="92">
      <c r="A92" t="inlineStr">
        <is>
          <t>TSP-067</t>
        </is>
      </c>
      <c r="B92" t="inlineStr">
        <is>
          <t>CHEM-1010</t>
        </is>
      </c>
      <c r="C92" t="n">
        <v>0.906384</v>
      </c>
      <c r="D92">
        <f>IFERROR(MATCH($A92,PP_Grid[Intermediate],0),99999)</f>
        <v/>
      </c>
    </row>
    <row r="93">
      <c r="A93" t="inlineStr">
        <is>
          <t>TSP-067</t>
        </is>
      </c>
      <c r="B93" t="inlineStr">
        <is>
          <t>CHEM-1120</t>
        </is>
      </c>
      <c r="C93" t="n">
        <v>4.253564</v>
      </c>
      <c r="D93">
        <f>IFERROR(MATCH($A93,PP_Grid[Intermediate],0),99999)</f>
        <v/>
      </c>
    </row>
    <row r="94">
      <c r="A94" t="inlineStr">
        <is>
          <t>TSP-067</t>
        </is>
      </c>
      <c r="B94" t="inlineStr">
        <is>
          <t>CHEM-1250</t>
        </is>
      </c>
      <c r="C94" t="n">
        <v>10.211824</v>
      </c>
      <c r="D94">
        <f>IFERROR(MATCH($A94,PP_Grid[Intermediate],0),99999)</f>
        <v/>
      </c>
    </row>
    <row r="95">
      <c r="A95" t="inlineStr">
        <is>
          <t>TSP-067</t>
        </is>
      </c>
      <c r="B95" t="inlineStr">
        <is>
          <t>CHEM-1420</t>
        </is>
      </c>
      <c r="C95" t="n">
        <v>0.502824</v>
      </c>
      <c r="D95">
        <f>IFERROR(MATCH($A95,PP_Grid[Intermediate],0),99999)</f>
        <v/>
      </c>
    </row>
    <row r="96">
      <c r="A96" t="inlineStr">
        <is>
          <t>TSP-067</t>
        </is>
      </c>
      <c r="B96" t="inlineStr">
        <is>
          <t>CHEM-1440</t>
        </is>
      </c>
      <c r="C96" t="n">
        <v>0.502824</v>
      </c>
      <c r="D96">
        <f>IFERROR(MATCH($A96,PP_Grid[Intermediate],0),99999)</f>
        <v/>
      </c>
    </row>
    <row r="97">
      <c r="A97" t="inlineStr">
        <is>
          <t>TSP-067</t>
        </is>
      </c>
      <c r="B97" t="inlineStr">
        <is>
          <t>SOL-20P</t>
        </is>
      </c>
      <c r="C97" t="n">
        <v>37.192624</v>
      </c>
      <c r="D97">
        <f>IFERROR(MATCH($A97,PP_Grid[Intermediate],0),99999)</f>
        <v/>
      </c>
    </row>
    <row r="98">
      <c r="A98" t="inlineStr">
        <is>
          <t>TSP-069</t>
        </is>
      </c>
      <c r="B98" t="inlineStr">
        <is>
          <t>CHEM-1010</t>
        </is>
      </c>
      <c r="C98" t="n">
        <v>0.625108</v>
      </c>
      <c r="D98">
        <f>IFERROR(MATCH($A98,PP_Grid[Intermediate],0),99999)</f>
        <v/>
      </c>
    </row>
    <row r="99">
      <c r="A99" t="inlineStr">
        <is>
          <t>TSP-069</t>
        </is>
      </c>
      <c r="B99" t="inlineStr">
        <is>
          <t>CHEM-1120</t>
        </is>
      </c>
      <c r="C99" t="n">
        <v>4.400846</v>
      </c>
      <c r="D99">
        <f>IFERROR(MATCH($A99,PP_Grid[Intermediate],0),99999)</f>
        <v/>
      </c>
    </row>
    <row r="100">
      <c r="A100" t="inlineStr">
        <is>
          <t>TSP-069</t>
        </is>
      </c>
      <c r="B100" t="inlineStr">
        <is>
          <t>CHEM-1250</t>
        </is>
      </c>
      <c r="C100" t="n">
        <v>10.563925</v>
      </c>
      <c r="D100">
        <f>IFERROR(MATCH($A100,PP_Grid[Intermediate],0),99999)</f>
        <v/>
      </c>
    </row>
    <row r="101">
      <c r="A101" t="inlineStr">
        <is>
          <t>TSP-069</t>
        </is>
      </c>
      <c r="B101" t="inlineStr">
        <is>
          <t>CHEM-1420</t>
        </is>
      </c>
      <c r="C101" t="n">
        <v>0.526039</v>
      </c>
      <c r="D101">
        <f>IFERROR(MATCH($A101,PP_Grid[Intermediate],0),99999)</f>
        <v/>
      </c>
    </row>
    <row r="102">
      <c r="A102" t="inlineStr">
        <is>
          <t>TSP-069</t>
        </is>
      </c>
      <c r="B102" t="inlineStr">
        <is>
          <t>CHEM-1440</t>
        </is>
      </c>
      <c r="C102" t="n">
        <v>0.315624</v>
      </c>
      <c r="D102">
        <f>IFERROR(MATCH($A102,PP_Grid[Intermediate],0),99999)</f>
        <v/>
      </c>
    </row>
    <row r="103">
      <c r="A103" t="inlineStr">
        <is>
          <t>TSP-069</t>
        </is>
      </c>
      <c r="B103" t="inlineStr">
        <is>
          <t>SOL-20P</t>
        </is>
      </c>
      <c r="C103" t="n">
        <v>25.650738</v>
      </c>
      <c r="D103">
        <f>IFERROR(MATCH($A103,PP_Grid[Intermediate],0),99999)</f>
        <v/>
      </c>
    </row>
    <row r="104">
      <c r="A104" t="inlineStr">
        <is>
          <t>TSP-078</t>
        </is>
      </c>
      <c r="B104" t="inlineStr">
        <is>
          <t>CHEM-1400</t>
        </is>
      </c>
      <c r="C104" t="n">
        <v>11.618775</v>
      </c>
      <c r="D104">
        <f>IFERROR(MATCH($A104,PP_Grid[Intermediate],0),99999)</f>
        <v/>
      </c>
    </row>
    <row r="105">
      <c r="A105" t="inlineStr">
        <is>
          <t>TSP-078</t>
        </is>
      </c>
      <c r="B105" t="inlineStr">
        <is>
          <t>CHEM-1420</t>
        </is>
      </c>
      <c r="C105" t="n">
        <v>3.00645</v>
      </c>
      <c r="D105">
        <f>IFERROR(MATCH($A105,PP_Grid[Intermediate],0),99999)</f>
        <v/>
      </c>
    </row>
    <row r="106">
      <c r="A106" t="inlineStr">
        <is>
          <t>TSP-078</t>
        </is>
      </c>
      <c r="B106" t="inlineStr">
        <is>
          <t>CHEM-1430</t>
        </is>
      </c>
      <c r="C106" t="n">
        <v>16.92765</v>
      </c>
      <c r="D106">
        <f>IFERROR(MATCH($A106,PP_Grid[Intermediate],0),99999)</f>
        <v/>
      </c>
    </row>
    <row r="107">
      <c r="A107" t="inlineStr">
        <is>
          <t>TSP-078</t>
        </is>
      </c>
      <c r="B107" t="inlineStr">
        <is>
          <t>SOL-10H</t>
        </is>
      </c>
      <c r="C107" t="n">
        <v>55.6929</v>
      </c>
      <c r="D107">
        <f>IFERROR(MATCH($A107,PP_Grid[Intermediate],0),99999)</f>
        <v/>
      </c>
    </row>
    <row r="108">
      <c r="A108" t="inlineStr">
        <is>
          <t>TSP-080</t>
        </is>
      </c>
      <c r="B108" t="inlineStr">
        <is>
          <t>CHEM-1400</t>
        </is>
      </c>
      <c r="C108" t="n">
        <v>13.864347</v>
      </c>
      <c r="D108">
        <f>IFERROR(MATCH($A108,PP_Grid[Intermediate],0),99999)</f>
        <v/>
      </c>
    </row>
    <row r="109">
      <c r="A109" t="inlineStr">
        <is>
          <t>TSP-080</t>
        </is>
      </c>
      <c r="B109" t="inlineStr">
        <is>
          <t>CHEM-1420</t>
        </is>
      </c>
      <c r="C109" t="n">
        <v>3.766249</v>
      </c>
      <c r="D109">
        <f>IFERROR(MATCH($A109,PP_Grid[Intermediate],0),99999)</f>
        <v/>
      </c>
    </row>
    <row r="110">
      <c r="A110" t="inlineStr">
        <is>
          <t>TSP-080</t>
        </is>
      </c>
      <c r="B110" t="inlineStr">
        <is>
          <t>CHEM-1430</t>
        </is>
      </c>
      <c r="C110" t="n">
        <v>20.200204</v>
      </c>
      <c r="D110">
        <f>IFERROR(MATCH($A110,PP_Grid[Intermediate],0),99999)</f>
        <v/>
      </c>
    </row>
    <row r="111">
      <c r="A111" t="inlineStr">
        <is>
          <t>TSP-080</t>
        </is>
      </c>
      <c r="B111" t="inlineStr">
        <is>
          <t>SOL-10H</t>
        </is>
      </c>
      <c r="C111" t="n">
        <v>33.229389</v>
      </c>
      <c r="D111">
        <f>IFERROR(MATCH($A111,PP_Grid[Intermediate],0),99999)</f>
        <v/>
      </c>
    </row>
    <row r="112">
      <c r="A112" t="inlineStr">
        <is>
          <t>TSP-104</t>
        </is>
      </c>
      <c r="B112" t="inlineStr">
        <is>
          <t>CHEM-1110</t>
        </is>
      </c>
      <c r="C112" t="n">
        <v>23.482535</v>
      </c>
      <c r="D112">
        <f>IFERROR(MATCH($A112,PP_Grid[Intermediate],0),99999)</f>
        <v/>
      </c>
    </row>
    <row r="113">
      <c r="A113" t="inlineStr">
        <is>
          <t>TSP-104</t>
        </is>
      </c>
      <c r="B113" t="inlineStr">
        <is>
          <t>CHEM-1120</t>
        </is>
      </c>
      <c r="C113" t="n">
        <v>3.491053</v>
      </c>
      <c r="D113">
        <f>IFERROR(MATCH($A113,PP_Grid[Intermediate],0),99999)</f>
        <v/>
      </c>
    </row>
    <row r="114">
      <c r="A114" t="inlineStr">
        <is>
          <t>TSP-104</t>
        </is>
      </c>
      <c r="B114" t="inlineStr">
        <is>
          <t>CHEM-1250</t>
        </is>
      </c>
      <c r="C114" t="n">
        <v>10.055182</v>
      </c>
      <c r="D114">
        <f>IFERROR(MATCH($A114,PP_Grid[Intermediate],0),99999)</f>
        <v/>
      </c>
    </row>
    <row r="115">
      <c r="A115" t="inlineStr">
        <is>
          <t>TSP-104</t>
        </is>
      </c>
      <c r="B115" t="inlineStr">
        <is>
          <t>CHEM-1420</t>
        </is>
      </c>
      <c r="C115" t="n">
        <v>0.247842</v>
      </c>
      <c r="D115">
        <f>IFERROR(MATCH($A115,PP_Grid[Intermediate],0),99999)</f>
        <v/>
      </c>
    </row>
    <row r="116">
      <c r="A116" t="inlineStr">
        <is>
          <t>TSP-104</t>
        </is>
      </c>
      <c r="B116" t="inlineStr">
        <is>
          <t>CHEM-1440</t>
        </is>
      </c>
      <c r="C116" t="n">
        <v>0.81796</v>
      </c>
      <c r="D116">
        <f>IFERROR(MATCH($A116,PP_Grid[Intermediate],0),99999)</f>
        <v/>
      </c>
    </row>
    <row r="117">
      <c r="A117" t="inlineStr">
        <is>
          <t>TSP-104</t>
        </is>
      </c>
      <c r="B117" t="inlineStr">
        <is>
          <t>TPP-103</t>
        </is>
      </c>
      <c r="C117" t="n">
        <v>69.403088</v>
      </c>
      <c r="D117">
        <f>IFERROR(MATCH($A117,PP_Grid[Intermediate],0),99999)</f>
        <v/>
      </c>
    </row>
    <row r="118">
      <c r="A118" t="inlineStr">
        <is>
          <t>TSP-105</t>
        </is>
      </c>
      <c r="B118" t="inlineStr">
        <is>
          <t>CHEM-1400</t>
        </is>
      </c>
      <c r="C118" t="n">
        <v>3.62784</v>
      </c>
      <c r="D118">
        <f>IFERROR(MATCH($A118,PP_Grid[Intermediate],0),99999)</f>
        <v/>
      </c>
    </row>
    <row r="119">
      <c r="A119" t="inlineStr">
        <is>
          <t>TSP-105</t>
        </is>
      </c>
      <c r="B119" t="inlineStr">
        <is>
          <t>CHEM-1420</t>
        </is>
      </c>
      <c r="C119" t="n">
        <v>1.60032</v>
      </c>
      <c r="D119">
        <f>IFERROR(MATCH($A119,PP_Grid[Intermediate],0),99999)</f>
        <v/>
      </c>
    </row>
    <row r="120">
      <c r="A120" t="inlineStr">
        <is>
          <t>TSP-105</t>
        </is>
      </c>
      <c r="B120" t="inlineStr">
        <is>
          <t>CHEM-1430</t>
        </is>
      </c>
      <c r="C120" t="n">
        <v>70.48128</v>
      </c>
      <c r="D120">
        <f>IFERROR(MATCH($A120,PP_Grid[Intermediate],0),99999)</f>
        <v/>
      </c>
    </row>
    <row r="121">
      <c r="A121" t="inlineStr">
        <is>
          <t>TSP-105</t>
        </is>
      </c>
      <c r="B121" t="inlineStr">
        <is>
          <t>SOL-10H</t>
        </is>
      </c>
      <c r="C121" t="n">
        <v>28.98528</v>
      </c>
      <c r="D121">
        <f>IFERROR(MATCH($A121,PP_Grid[Intermediate],0),99999)</f>
        <v/>
      </c>
    </row>
    <row r="122">
      <c r="A122" t="inlineStr">
        <is>
          <t>TSP-1388</t>
        </is>
      </c>
      <c r="B122" t="inlineStr">
        <is>
          <t>CHEM-1420</t>
        </is>
      </c>
      <c r="C122" t="n">
        <v>0.3465</v>
      </c>
      <c r="D122">
        <f>IFERROR(MATCH($A122,PP_Grid[Intermediate],0),99999)</f>
        <v/>
      </c>
    </row>
    <row r="123">
      <c r="A123" t="inlineStr">
        <is>
          <t>TSP-1388</t>
        </is>
      </c>
      <c r="B123" t="inlineStr">
        <is>
          <t>CHEM-1440</t>
        </is>
      </c>
      <c r="C123" t="n">
        <v>1.5015</v>
      </c>
      <c r="D123">
        <f>IFERROR(MATCH($A123,PP_Grid[Intermediate],0),99999)</f>
        <v/>
      </c>
    </row>
    <row r="124">
      <c r="A124" t="inlineStr">
        <is>
          <t>TSP-1388</t>
        </is>
      </c>
      <c r="B124" t="inlineStr">
        <is>
          <t>CHEM-1510</t>
        </is>
      </c>
      <c r="C124" t="n">
        <v>0.378264</v>
      </c>
      <c r="D124">
        <f>IFERROR(MATCH($A124,PP_Grid[Intermediate],0),99999)</f>
        <v/>
      </c>
    </row>
    <row r="125">
      <c r="A125" t="inlineStr">
        <is>
          <t>TSP-1388</t>
        </is>
      </c>
      <c r="B125" t="inlineStr">
        <is>
          <t>CHEM-1570</t>
        </is>
      </c>
      <c r="C125" t="n">
        <v>0.012617</v>
      </c>
      <c r="D125">
        <f>IFERROR(MATCH($A125,PP_Grid[Intermediate],0),99999)</f>
        <v/>
      </c>
    </row>
    <row r="126">
      <c r="A126" t="inlineStr">
        <is>
          <t>TSP-1388</t>
        </is>
      </c>
      <c r="B126" t="inlineStr">
        <is>
          <t>CHEM-1600</t>
        </is>
      </c>
      <c r="C126" t="n">
        <v>12.887859</v>
      </c>
      <c r="D126">
        <f>IFERROR(MATCH($A126,PP_Grid[Intermediate],0),99999)</f>
        <v/>
      </c>
    </row>
    <row r="127">
      <c r="A127" t="inlineStr">
        <is>
          <t>TSP-1388</t>
        </is>
      </c>
      <c r="B127" t="inlineStr">
        <is>
          <t>CHEM-1650</t>
        </is>
      </c>
      <c r="C127" t="n">
        <v>0.118965</v>
      </c>
      <c r="D127">
        <f>IFERROR(MATCH($A127,PP_Grid[Intermediate],0),99999)</f>
        <v/>
      </c>
    </row>
    <row r="128">
      <c r="A128" t="inlineStr">
        <is>
          <t>TSP-1388</t>
        </is>
      </c>
      <c r="B128" t="inlineStr">
        <is>
          <t>CHEM-1700</t>
        </is>
      </c>
      <c r="C128" t="n">
        <v>1.7325</v>
      </c>
      <c r="D128">
        <f>IFERROR(MATCH($A128,PP_Grid[Intermediate],0),99999)</f>
        <v/>
      </c>
    </row>
    <row r="129">
      <c r="A129" t="inlineStr">
        <is>
          <t>TSP-1388</t>
        </is>
      </c>
      <c r="B129" t="inlineStr">
        <is>
          <t>TSZ-616</t>
        </is>
      </c>
      <c r="C129" t="n">
        <v>12.61722</v>
      </c>
      <c r="D129">
        <f>IFERROR(MATCH($A129,PP_Grid[Intermediate],0),99999)</f>
        <v/>
      </c>
    </row>
    <row r="130">
      <c r="A130" t="inlineStr">
        <is>
          <t>TSP-1444</t>
        </is>
      </c>
      <c r="B130" t="inlineStr">
        <is>
          <t>CHEM-1420</t>
        </is>
      </c>
      <c r="C130" t="n">
        <v>0.38795</v>
      </c>
      <c r="D130">
        <f>IFERROR(MATCH($A130,PP_Grid[Intermediate],0),99999)</f>
        <v/>
      </c>
    </row>
    <row r="131">
      <c r="A131" t="inlineStr">
        <is>
          <t>TSP-1444</t>
        </is>
      </c>
      <c r="B131" t="inlineStr">
        <is>
          <t>CHEM-1440</t>
        </is>
      </c>
      <c r="C131" t="n">
        <v>2.070362</v>
      </c>
      <c r="D131">
        <f>IFERROR(MATCH($A131,PP_Grid[Intermediate],0),99999)</f>
        <v/>
      </c>
    </row>
    <row r="132">
      <c r="A132" t="inlineStr">
        <is>
          <t>TSP-1444</t>
        </is>
      </c>
      <c r="B132" t="inlineStr">
        <is>
          <t>CHEM-1540</t>
        </is>
      </c>
      <c r="C132" t="n">
        <v>51.765515</v>
      </c>
      <c r="D132">
        <f>IFERROR(MATCH($A132,PP_Grid[Intermediate],0),99999)</f>
        <v/>
      </c>
    </row>
    <row r="133">
      <c r="A133" t="inlineStr">
        <is>
          <t>TSP-1444</t>
        </is>
      </c>
      <c r="B133" t="inlineStr">
        <is>
          <t>CHEM-1670</t>
        </is>
      </c>
      <c r="C133" t="n">
        <v>5.164913</v>
      </c>
      <c r="D133">
        <f>IFERROR(MATCH($A133,PP_Grid[Intermediate],0),99999)</f>
        <v/>
      </c>
    </row>
    <row r="134">
      <c r="A134" t="inlineStr">
        <is>
          <t>TSP-1444</t>
        </is>
      </c>
      <c r="B134" t="inlineStr">
        <is>
          <t>CHEM-1720</t>
        </is>
      </c>
      <c r="C134" t="n">
        <v>19.829438</v>
      </c>
      <c r="D134">
        <f>IFERROR(MATCH($A134,PP_Grid[Intermediate],0),99999)</f>
        <v/>
      </c>
    </row>
    <row r="135">
      <c r="A135" t="inlineStr">
        <is>
          <t>TSP-1444</t>
        </is>
      </c>
      <c r="B135" t="inlineStr">
        <is>
          <t>SOL-SCH</t>
        </is>
      </c>
      <c r="C135" t="n">
        <v>20.516692</v>
      </c>
      <c r="D135">
        <f>IFERROR(MATCH($A135,PP_Grid[Intermediate],0),99999)</f>
        <v/>
      </c>
    </row>
    <row r="136">
      <c r="A136" t="inlineStr">
        <is>
          <t>TSP-1444</t>
        </is>
      </c>
      <c r="B136" t="inlineStr">
        <is>
          <t>TPP-1367</t>
        </is>
      </c>
      <c r="C136" t="n">
        <v>26.38192</v>
      </c>
      <c r="D136">
        <f>IFERROR(MATCH($A136,PP_Grid[Intermediate],0),99999)</f>
        <v/>
      </c>
    </row>
    <row r="137">
      <c r="A137" t="inlineStr">
        <is>
          <t>TSP-1445</t>
        </is>
      </c>
      <c r="B137" t="inlineStr">
        <is>
          <t>CHEM-1420</t>
        </is>
      </c>
      <c r="C137" t="n">
        <v>0.468562</v>
      </c>
      <c r="D137">
        <f>IFERROR(MATCH($A137,PP_Grid[Intermediate],0),99999)</f>
        <v/>
      </c>
    </row>
    <row r="138">
      <c r="A138" t="inlineStr">
        <is>
          <t>TSP-1445</t>
        </is>
      </c>
      <c r="B138" t="inlineStr">
        <is>
          <t>CHEM-1440</t>
        </is>
      </c>
      <c r="C138" t="n">
        <v>2.146016</v>
      </c>
      <c r="D138">
        <f>IFERROR(MATCH($A138,PP_Grid[Intermediate],0),99999)</f>
        <v/>
      </c>
    </row>
    <row r="139">
      <c r="A139" t="inlineStr">
        <is>
          <t>TSP-1445</t>
        </is>
      </c>
      <c r="B139" t="inlineStr">
        <is>
          <t>CHEM-1540</t>
        </is>
      </c>
      <c r="C139" t="n">
        <v>53.602211</v>
      </c>
      <c r="D139">
        <f>IFERROR(MATCH($A139,PP_Grid[Intermediate],0),99999)</f>
        <v/>
      </c>
    </row>
    <row r="140">
      <c r="A140" t="inlineStr">
        <is>
          <t>TSP-1445</t>
        </is>
      </c>
      <c r="B140" t="inlineStr">
        <is>
          <t>CHEM-1670</t>
        </is>
      </c>
      <c r="C140" t="n">
        <v>5.346968</v>
      </c>
      <c r="D140">
        <f>IFERROR(MATCH($A140,PP_Grid[Intermediate],0),99999)</f>
        <v/>
      </c>
    </row>
    <row r="141">
      <c r="A141" t="inlineStr">
        <is>
          <t>TSP-1445</t>
        </is>
      </c>
      <c r="B141" t="inlineStr">
        <is>
          <t>CHEM-1720</t>
        </is>
      </c>
      <c r="C141" t="n">
        <v>20.532409</v>
      </c>
      <c r="D141">
        <f>IFERROR(MATCH($A141,PP_Grid[Intermediate],0),99999)</f>
        <v/>
      </c>
    </row>
    <row r="142">
      <c r="A142" t="inlineStr">
        <is>
          <t>TSP-1445</t>
        </is>
      </c>
      <c r="B142" t="inlineStr">
        <is>
          <t>SOL-SCH</t>
        </is>
      </c>
      <c r="C142" t="n">
        <v>18.313895</v>
      </c>
      <c r="D142">
        <f>IFERROR(MATCH($A142,PP_Grid[Intermediate],0),99999)</f>
        <v/>
      </c>
    </row>
    <row r="143">
      <c r="A143" t="inlineStr">
        <is>
          <t>TSP-1445</t>
        </is>
      </c>
      <c r="B143" t="inlineStr">
        <is>
          <t>TPP-1368</t>
        </is>
      </c>
      <c r="C143" t="n">
        <v>27.287741</v>
      </c>
      <c r="D143">
        <f>IFERROR(MATCH($A143,PP_Grid[Intermediate],0),99999)</f>
        <v/>
      </c>
    </row>
    <row r="144">
      <c r="A144" t="inlineStr">
        <is>
          <t>TSP-1446</t>
        </is>
      </c>
      <c r="B144" t="inlineStr">
        <is>
          <t>CHEM-1420</t>
        </is>
      </c>
      <c r="C144" t="n">
        <v>0.528062</v>
      </c>
      <c r="D144">
        <f>IFERROR(MATCH($A144,PP_Grid[Intermediate],0),99999)</f>
        <v/>
      </c>
    </row>
    <row r="145">
      <c r="A145" t="inlineStr">
        <is>
          <t>TSP-1446</t>
        </is>
      </c>
      <c r="B145" t="inlineStr">
        <is>
          <t>CHEM-1440</t>
        </is>
      </c>
      <c r="C145" t="n">
        <v>2.420035</v>
      </c>
      <c r="D145">
        <f>IFERROR(MATCH($A145,PP_Grid[Intermediate],0),99999)</f>
        <v/>
      </c>
    </row>
    <row r="146">
      <c r="A146" t="inlineStr">
        <is>
          <t>TSP-1446</t>
        </is>
      </c>
      <c r="B146" t="inlineStr">
        <is>
          <t>CHEM-1540</t>
        </is>
      </c>
      <c r="C146" t="n">
        <v>60.448069</v>
      </c>
      <c r="D146">
        <f>IFERROR(MATCH($A146,PP_Grid[Intermediate],0),99999)</f>
        <v/>
      </c>
    </row>
    <row r="147">
      <c r="A147" t="inlineStr">
        <is>
          <t>TSP-1446</t>
        </is>
      </c>
      <c r="B147" t="inlineStr">
        <is>
          <t>CHEM-1670</t>
        </is>
      </c>
      <c r="C147" t="n">
        <v>6.030474</v>
      </c>
      <c r="D147">
        <f>IFERROR(MATCH($A147,PP_Grid[Intermediate],0),99999)</f>
        <v/>
      </c>
    </row>
    <row r="148">
      <c r="A148" t="inlineStr">
        <is>
          <t>TSP-1446</t>
        </is>
      </c>
      <c r="B148" t="inlineStr">
        <is>
          <t>CHEM-1720</t>
        </is>
      </c>
      <c r="C148" t="n">
        <v>23.154786</v>
      </c>
      <c r="D148">
        <f>IFERROR(MATCH($A148,PP_Grid[Intermediate],0),99999)</f>
        <v/>
      </c>
    </row>
    <row r="149">
      <c r="A149" t="inlineStr">
        <is>
          <t>TSP-1446</t>
        </is>
      </c>
      <c r="B149" t="inlineStr">
        <is>
          <t>SOL-SCH</t>
        </is>
      </c>
      <c r="C149" t="n">
        <v>10.73972</v>
      </c>
      <c r="D149">
        <f>IFERROR(MATCH($A149,PP_Grid[Intermediate],0),99999)</f>
        <v/>
      </c>
    </row>
    <row r="150">
      <c r="A150" t="inlineStr">
        <is>
          <t>TSP-1446</t>
        </is>
      </c>
      <c r="B150" t="inlineStr">
        <is>
          <t>TPP-1369</t>
        </is>
      </c>
      <c r="C150" t="n">
        <v>30.674396</v>
      </c>
      <c r="D150">
        <f>IFERROR(MATCH($A150,PP_Grid[Intermediate],0),99999)</f>
        <v/>
      </c>
    </row>
    <row r="151">
      <c r="A151" t="inlineStr">
        <is>
          <t>TSP-1448</t>
        </is>
      </c>
      <c r="B151" t="inlineStr">
        <is>
          <t>CHEM-1240</t>
        </is>
      </c>
      <c r="C151" t="n">
        <v>18.148838</v>
      </c>
      <c r="D151">
        <f>IFERROR(MATCH($A151,PP_Grid[Intermediate],0),99999)</f>
        <v/>
      </c>
    </row>
    <row r="152">
      <c r="A152" t="inlineStr">
        <is>
          <t>TSP-1448</t>
        </is>
      </c>
      <c r="B152" t="inlineStr">
        <is>
          <t>CHEM-1420</t>
        </is>
      </c>
      <c r="C152" t="n">
        <v>1.133987</v>
      </c>
      <c r="D152">
        <f>IFERROR(MATCH($A152,PP_Grid[Intermediate],0),99999)</f>
        <v/>
      </c>
    </row>
    <row r="153">
      <c r="A153" t="inlineStr">
        <is>
          <t>TSP-1448</t>
        </is>
      </c>
      <c r="B153" t="inlineStr">
        <is>
          <t>CHEM-1440</t>
        </is>
      </c>
      <c r="C153" t="n">
        <v>1.638612</v>
      </c>
      <c r="D153">
        <f>IFERROR(MATCH($A153,PP_Grid[Intermediate],0),99999)</f>
        <v/>
      </c>
    </row>
    <row r="154">
      <c r="A154" t="inlineStr">
        <is>
          <t>TSP-1448</t>
        </is>
      </c>
      <c r="B154" t="inlineStr">
        <is>
          <t>CHEM-1540</t>
        </is>
      </c>
      <c r="C154" t="n">
        <v>14.524489</v>
      </c>
      <c r="D154">
        <f>IFERROR(MATCH($A154,PP_Grid[Intermediate],0),99999)</f>
        <v/>
      </c>
    </row>
    <row r="155">
      <c r="A155" t="inlineStr">
        <is>
          <t>TSP-1448</t>
        </is>
      </c>
      <c r="B155" t="inlineStr">
        <is>
          <t>CHEM-1570</t>
        </is>
      </c>
      <c r="C155" t="n">
        <v>0.066429</v>
      </c>
      <c r="D155">
        <f>IFERROR(MATCH($A155,PP_Grid[Intermediate],0),99999)</f>
        <v/>
      </c>
    </row>
    <row r="156">
      <c r="A156" t="inlineStr">
        <is>
          <t>TSP-1448</t>
        </is>
      </c>
      <c r="B156" t="inlineStr">
        <is>
          <t>CHEM-1700</t>
        </is>
      </c>
      <c r="C156" t="n">
        <v>1.259356</v>
      </c>
      <c r="D156">
        <f>IFERROR(MATCH($A156,PP_Grid[Intermediate],0),99999)</f>
        <v/>
      </c>
    </row>
    <row r="157">
      <c r="A157" t="inlineStr">
        <is>
          <t>TSP-1448</t>
        </is>
      </c>
      <c r="B157" t="inlineStr">
        <is>
          <t>CHEM-1720</t>
        </is>
      </c>
      <c r="C157" t="n">
        <v>8.583655</v>
      </c>
      <c r="D157">
        <f>IFERROR(MATCH($A157,PP_Grid[Intermediate],0),99999)</f>
        <v/>
      </c>
    </row>
    <row r="158">
      <c r="A158" t="inlineStr">
        <is>
          <t>TSP-1448</t>
        </is>
      </c>
      <c r="B158" t="inlineStr">
        <is>
          <t>SOL-SCH</t>
        </is>
      </c>
      <c r="C158" t="n">
        <v>11.433781</v>
      </c>
      <c r="D158">
        <f>IFERROR(MATCH($A158,PP_Grid[Intermediate],0),99999)</f>
        <v/>
      </c>
    </row>
    <row r="159">
      <c r="A159" t="inlineStr">
        <is>
          <t>TSP-1448</t>
        </is>
      </c>
      <c r="B159" t="inlineStr">
        <is>
          <t>TPP-1378</t>
        </is>
      </c>
      <c r="C159" t="n">
        <v>19.170687</v>
      </c>
      <c r="D159">
        <f>IFERROR(MATCH($A159,PP_Grid[Intermediate],0),99999)</f>
        <v/>
      </c>
    </row>
    <row r="160">
      <c r="A160" t="inlineStr">
        <is>
          <t>TSP-1448</t>
        </is>
      </c>
      <c r="B160" t="inlineStr">
        <is>
          <t>TSZ-938</t>
        </is>
      </c>
      <c r="C160" t="n">
        <v>19.056028</v>
      </c>
      <c r="D160">
        <f>IFERROR(MATCH($A160,PP_Grid[Intermediate],0),99999)</f>
        <v/>
      </c>
    </row>
    <row r="161">
      <c r="A161" t="inlineStr">
        <is>
          <t>TSP-1449</t>
        </is>
      </c>
      <c r="B161" t="inlineStr">
        <is>
          <t>CHEM-1240</t>
        </is>
      </c>
      <c r="C161" t="n">
        <v>18.59793</v>
      </c>
      <c r="D161">
        <f>IFERROR(MATCH($A161,PP_Grid[Intermediate],0),99999)</f>
        <v/>
      </c>
    </row>
    <row r="162">
      <c r="A162" t="inlineStr">
        <is>
          <t>TSP-1449</t>
        </is>
      </c>
      <c r="B162" t="inlineStr">
        <is>
          <t>CHEM-1420</t>
        </is>
      </c>
      <c r="C162" t="n">
        <v>1.23066</v>
      </c>
      <c r="D162">
        <f>IFERROR(MATCH($A162,PP_Grid[Intermediate],0),99999)</f>
        <v/>
      </c>
    </row>
    <row r="163">
      <c r="A163" t="inlineStr">
        <is>
          <t>TSP-1449</t>
        </is>
      </c>
      <c r="B163" t="inlineStr">
        <is>
          <t>CHEM-1440</t>
        </is>
      </c>
      <c r="C163" t="n">
        <v>1.67958</v>
      </c>
      <c r="D163">
        <f>IFERROR(MATCH($A163,PP_Grid[Intermediate],0),99999)</f>
        <v/>
      </c>
    </row>
    <row r="164">
      <c r="A164" t="inlineStr">
        <is>
          <t>TSP-1449</t>
        </is>
      </c>
      <c r="B164" t="inlineStr">
        <is>
          <t>CHEM-1540</t>
        </is>
      </c>
      <c r="C164" t="n">
        <v>14.88402</v>
      </c>
      <c r="D164">
        <f>IFERROR(MATCH($A164,PP_Grid[Intermediate],0),99999)</f>
        <v/>
      </c>
    </row>
    <row r="165">
      <c r="A165" t="inlineStr">
        <is>
          <t>TSP-1449</t>
        </is>
      </c>
      <c r="B165" t="inlineStr">
        <is>
          <t>CHEM-1570</t>
        </is>
      </c>
      <c r="C165" t="n">
        <v>0.132515</v>
      </c>
      <c r="D165">
        <f>IFERROR(MATCH($A165,PP_Grid[Intermediate],0),99999)</f>
        <v/>
      </c>
    </row>
    <row r="166">
      <c r="A166" t="inlineStr">
        <is>
          <t>TSP-1449</t>
        </is>
      </c>
      <c r="B166" t="inlineStr">
        <is>
          <t>CHEM-1700</t>
        </is>
      </c>
      <c r="C166" t="n">
        <v>1.29</v>
      </c>
      <c r="D166">
        <f>IFERROR(MATCH($A166,PP_Grid[Intermediate],0),99999)</f>
        <v/>
      </c>
    </row>
    <row r="167">
      <c r="A167" t="inlineStr">
        <is>
          <t>TSP-1449</t>
        </is>
      </c>
      <c r="B167" t="inlineStr">
        <is>
          <t>CHEM-1720</t>
        </is>
      </c>
      <c r="C167" t="n">
        <v>8.79651</v>
      </c>
      <c r="D167">
        <f>IFERROR(MATCH($A167,PP_Grid[Intermediate],0),99999)</f>
        <v/>
      </c>
    </row>
    <row r="168">
      <c r="A168" t="inlineStr">
        <is>
          <t>TSP-1449</t>
        </is>
      </c>
      <c r="B168" t="inlineStr">
        <is>
          <t>SOL-SCH</t>
        </is>
      </c>
      <c r="C168" t="n">
        <v>5.858194</v>
      </c>
      <c r="D168">
        <f>IFERROR(MATCH($A168,PP_Grid[Intermediate],0),99999)</f>
        <v/>
      </c>
    </row>
    <row r="169">
      <c r="A169" t="inlineStr">
        <is>
          <t>TSP-1449</t>
        </is>
      </c>
      <c r="B169" t="inlineStr">
        <is>
          <t>TPP-1379</t>
        </is>
      </c>
      <c r="C169" t="n">
        <v>19.58607</v>
      </c>
      <c r="D169">
        <f>IFERROR(MATCH($A169,PP_Grid[Intermediate],0),99999)</f>
        <v/>
      </c>
    </row>
    <row r="170">
      <c r="A170" t="inlineStr">
        <is>
          <t>TSP-1449</t>
        </is>
      </c>
      <c r="B170" t="inlineStr">
        <is>
          <t>TSZ-938</t>
        </is>
      </c>
      <c r="C170" t="n">
        <v>19.527375</v>
      </c>
      <c r="D170">
        <f>IFERROR(MATCH($A170,PP_Grid[Intermediate],0),99999)</f>
        <v/>
      </c>
    </row>
    <row r="171">
      <c r="A171" t="inlineStr">
        <is>
          <t>TSP-1499</t>
        </is>
      </c>
      <c r="B171" t="inlineStr">
        <is>
          <t>CHEM-1400</t>
        </is>
      </c>
      <c r="C171" t="n">
        <v>0.695168</v>
      </c>
      <c r="D171">
        <f>IFERROR(MATCH($A171,PP_Grid[Intermediate],0),99999)</f>
        <v/>
      </c>
    </row>
    <row r="172">
      <c r="A172" t="inlineStr">
        <is>
          <t>TSP-1499</t>
        </is>
      </c>
      <c r="B172" t="inlineStr">
        <is>
          <t>CHEM-1420</t>
        </is>
      </c>
      <c r="C172" t="n">
        <v>0.203729</v>
      </c>
      <c r="D172">
        <f>IFERROR(MATCH($A172,PP_Grid[Intermediate],0),99999)</f>
        <v/>
      </c>
    </row>
    <row r="173">
      <c r="A173" t="inlineStr">
        <is>
          <t>TSP-1499</t>
        </is>
      </c>
      <c r="B173" t="inlineStr">
        <is>
          <t>CHEM-1530</t>
        </is>
      </c>
      <c r="C173" t="n">
        <v>19.034699</v>
      </c>
      <c r="D173">
        <f>IFERROR(MATCH($A173,PP_Grid[Intermediate],0),99999)</f>
        <v/>
      </c>
    </row>
    <row r="174">
      <c r="A174" t="inlineStr">
        <is>
          <t>TSP-1499</t>
        </is>
      </c>
      <c r="B174" t="inlineStr">
        <is>
          <t>CHEM-1670</t>
        </is>
      </c>
      <c r="C174" t="n">
        <v>0.803254</v>
      </c>
      <c r="D174">
        <f>IFERROR(MATCH($A174,PP_Grid[Intermediate],0),99999)</f>
        <v/>
      </c>
    </row>
    <row r="175">
      <c r="A175" t="inlineStr">
        <is>
          <t>TSP-1499</t>
        </is>
      </c>
      <c r="B175" t="inlineStr">
        <is>
          <t>CHEM-1700</t>
        </is>
      </c>
      <c r="C175" t="n">
        <v>0.785369</v>
      </c>
      <c r="D175">
        <f>IFERROR(MATCH($A175,PP_Grid[Intermediate],0),99999)</f>
        <v/>
      </c>
    </row>
    <row r="176">
      <c r="A176" t="inlineStr">
        <is>
          <t>TSP-1499</t>
        </is>
      </c>
      <c r="B176" t="inlineStr">
        <is>
          <t>CHEM-1720</t>
        </is>
      </c>
      <c r="C176" t="n">
        <v>4.825742</v>
      </c>
      <c r="D176">
        <f>IFERROR(MATCH($A176,PP_Grid[Intermediate],0),99999)</f>
        <v/>
      </c>
    </row>
    <row r="177">
      <c r="A177" t="inlineStr">
        <is>
          <t>TSP-1499</t>
        </is>
      </c>
      <c r="B177" t="inlineStr">
        <is>
          <t>CHEM-1780</t>
        </is>
      </c>
      <c r="C177" t="n">
        <v>0.203729</v>
      </c>
      <c r="D177">
        <f>IFERROR(MATCH($A177,PP_Grid[Intermediate],0),99999)</f>
        <v/>
      </c>
    </row>
    <row r="178">
      <c r="A178" t="inlineStr">
        <is>
          <t>TSP-1555</t>
        </is>
      </c>
      <c r="B178" t="inlineStr">
        <is>
          <t>CHEM-1400</t>
        </is>
      </c>
      <c r="C178" t="n">
        <v>1.08621</v>
      </c>
      <c r="D178">
        <f>IFERROR(MATCH($A178,PP_Grid[Intermediate],0),99999)</f>
        <v/>
      </c>
    </row>
    <row r="179">
      <c r="A179" t="inlineStr">
        <is>
          <t>TSP-1555</t>
        </is>
      </c>
      <c r="B179" t="inlineStr">
        <is>
          <t>CHEM-1420</t>
        </is>
      </c>
      <c r="C179" t="n">
        <v>0.31833</v>
      </c>
      <c r="D179">
        <f>IFERROR(MATCH($A179,PP_Grid[Intermediate],0),99999)</f>
        <v/>
      </c>
    </row>
    <row r="180">
      <c r="A180" t="inlineStr">
        <is>
          <t>TSP-1555</t>
        </is>
      </c>
      <c r="B180" t="inlineStr">
        <is>
          <t>CHEM-1530</t>
        </is>
      </c>
      <c r="C180" t="n">
        <v>29.749275</v>
      </c>
      <c r="D180">
        <f>IFERROR(MATCH($A180,PP_Grid[Intermediate],0),99999)</f>
        <v/>
      </c>
    </row>
    <row r="181">
      <c r="A181" t="inlineStr">
        <is>
          <t>TSP-1555</t>
        </is>
      </c>
      <c r="B181" t="inlineStr">
        <is>
          <t>CHEM-1670</t>
        </is>
      </c>
      <c r="C181" t="n">
        <v>1.25631</v>
      </c>
      <c r="D181">
        <f>IFERROR(MATCH($A181,PP_Grid[Intermediate],0),99999)</f>
        <v/>
      </c>
    </row>
    <row r="182">
      <c r="A182" t="inlineStr">
        <is>
          <t>TSP-1555</t>
        </is>
      </c>
      <c r="B182" t="inlineStr">
        <is>
          <t>CHEM-1700</t>
        </is>
      </c>
      <c r="C182" t="n">
        <v>1.22715</v>
      </c>
      <c r="D182">
        <f>IFERROR(MATCH($A182,PP_Grid[Intermediate],0),99999)</f>
        <v/>
      </c>
    </row>
    <row r="183">
      <c r="A183" t="inlineStr">
        <is>
          <t>TSP-1555</t>
        </is>
      </c>
      <c r="B183" t="inlineStr">
        <is>
          <t>CHEM-1720</t>
        </is>
      </c>
      <c r="C183" t="n">
        <v>7.54272</v>
      </c>
      <c r="D183">
        <f>IFERROR(MATCH($A183,PP_Grid[Intermediate],0),99999)</f>
        <v/>
      </c>
    </row>
    <row r="184">
      <c r="A184" t="inlineStr">
        <is>
          <t>TSP-1555</t>
        </is>
      </c>
      <c r="B184" t="inlineStr">
        <is>
          <t>CHEM-1780</t>
        </is>
      </c>
      <c r="C184" t="n">
        <v>0.31833</v>
      </c>
      <c r="D184">
        <f>IFERROR(MATCH($A184,PP_Grid[Intermediate],0),99999)</f>
        <v/>
      </c>
    </row>
    <row r="185">
      <c r="A185" t="inlineStr">
        <is>
          <t>TSP-1558</t>
        </is>
      </c>
      <c r="B185" t="inlineStr">
        <is>
          <t>CHEM-1240</t>
        </is>
      </c>
      <c r="C185" t="n">
        <v>11.175416</v>
      </c>
      <c r="D185">
        <f>IFERROR(MATCH($A185,PP_Grid[Intermediate],0),99999)</f>
        <v/>
      </c>
    </row>
    <row r="186">
      <c r="A186" t="inlineStr">
        <is>
          <t>TSP-1558</t>
        </is>
      </c>
      <c r="B186" t="inlineStr">
        <is>
          <t>CHEM-1420</t>
        </is>
      </c>
      <c r="C186" t="n">
        <v>0.31426</v>
      </c>
      <c r="D186">
        <f>IFERROR(MATCH($A186,PP_Grid[Intermediate],0),99999)</f>
        <v/>
      </c>
    </row>
    <row r="187">
      <c r="A187" t="inlineStr">
        <is>
          <t>TSP-1558</t>
        </is>
      </c>
      <c r="B187" t="inlineStr">
        <is>
          <t>CHEM-1440</t>
        </is>
      </c>
      <c r="C187" t="n">
        <v>0.4962</v>
      </c>
      <c r="D187">
        <f>IFERROR(MATCH($A187,PP_Grid[Intermediate],0),99999)</f>
        <v/>
      </c>
    </row>
    <row r="188">
      <c r="A188" t="inlineStr">
        <is>
          <t>TSP-1558</t>
        </is>
      </c>
      <c r="B188" t="inlineStr">
        <is>
          <t>CHEM-1850</t>
        </is>
      </c>
      <c r="C188" t="n">
        <v>18.641903</v>
      </c>
      <c r="D188">
        <f>IFERROR(MATCH($A188,PP_Grid[Intermediate],0),99999)</f>
        <v/>
      </c>
    </row>
    <row r="189">
      <c r="A189" t="inlineStr">
        <is>
          <t>TSP-1559</t>
        </is>
      </c>
      <c r="B189" t="inlineStr">
        <is>
          <t>CHEM-1240</t>
        </is>
      </c>
      <c r="C189" t="n">
        <v>11.223958</v>
      </c>
      <c r="D189">
        <f>IFERROR(MATCH($A189,PP_Grid[Intermediate],0),99999)</f>
        <v/>
      </c>
    </row>
    <row r="190">
      <c r="A190" t="inlineStr">
        <is>
          <t>TSP-1559</t>
        </is>
      </c>
      <c r="B190" t="inlineStr">
        <is>
          <t>CHEM-1420</t>
        </is>
      </c>
      <c r="C190" t="n">
        <v>0.312511</v>
      </c>
      <c r="D190">
        <f>IFERROR(MATCH($A190,PP_Grid[Intermediate],0),99999)</f>
        <v/>
      </c>
    </row>
    <row r="191">
      <c r="A191" t="inlineStr">
        <is>
          <t>TSP-1559</t>
        </is>
      </c>
      <c r="B191" t="inlineStr">
        <is>
          <t>CHEM-1440</t>
        </is>
      </c>
      <c r="C191" t="n">
        <v>0.497042</v>
      </c>
      <c r="D191">
        <f>IFERROR(MATCH($A191,PP_Grid[Intermediate],0),99999)</f>
        <v/>
      </c>
    </row>
    <row r="192">
      <c r="A192" t="inlineStr">
        <is>
          <t>TSP-199</t>
        </is>
      </c>
      <c r="B192" t="inlineStr">
        <is>
          <t>CHEM-1250</t>
        </is>
      </c>
      <c r="C192" t="n">
        <v>5.355851</v>
      </c>
      <c r="D192">
        <f>IFERROR(MATCH($A192,PP_Grid[Intermediate],0),99999)</f>
        <v/>
      </c>
    </row>
    <row r="193">
      <c r="A193" t="inlineStr">
        <is>
          <t>TSP-199</t>
        </is>
      </c>
      <c r="B193" t="inlineStr">
        <is>
          <t>CHEM-1400</t>
        </is>
      </c>
      <c r="C193" t="n">
        <v>3.672607</v>
      </c>
      <c r="D193">
        <f>IFERROR(MATCH($A193,PP_Grid[Intermediate],0),99999)</f>
        <v/>
      </c>
    </row>
    <row r="194">
      <c r="A194" t="inlineStr">
        <is>
          <t>TSP-199</t>
        </is>
      </c>
      <c r="B194" t="inlineStr">
        <is>
          <t>CHEM-1420</t>
        </is>
      </c>
      <c r="C194" t="n">
        <v>0.401229</v>
      </c>
      <c r="D194">
        <f>IFERROR(MATCH($A194,PP_Grid[Intermediate],0),99999)</f>
        <v/>
      </c>
    </row>
    <row r="195">
      <c r="A195" t="inlineStr">
        <is>
          <t>TSP-199</t>
        </is>
      </c>
      <c r="B195" t="inlineStr">
        <is>
          <t>CHEM-1440</t>
        </is>
      </c>
      <c r="C195" t="n">
        <v>0.633814</v>
      </c>
      <c r="D195">
        <f>IFERROR(MATCH($A195,PP_Grid[Intermediate],0),99999)</f>
        <v/>
      </c>
    </row>
    <row r="196">
      <c r="A196" t="inlineStr">
        <is>
          <t>TSP-199</t>
        </is>
      </c>
      <c r="B196" t="inlineStr">
        <is>
          <t>TPP-190</t>
        </is>
      </c>
      <c r="C196" t="n">
        <v>72.00466900000001</v>
      </c>
      <c r="D196">
        <f>IFERROR(MATCH($A196,PP_Grid[Intermediate],0),99999)</f>
        <v/>
      </c>
    </row>
    <row r="197">
      <c r="A197" t="inlineStr">
        <is>
          <t>TSP-205</t>
        </is>
      </c>
      <c r="B197" t="inlineStr">
        <is>
          <t>CHEM-1250</t>
        </is>
      </c>
      <c r="C197" t="n">
        <v>7.829196</v>
      </c>
      <c r="D197">
        <f>IFERROR(MATCH($A197,PP_Grid[Intermediate],0),99999)</f>
        <v/>
      </c>
    </row>
    <row r="198">
      <c r="A198" t="inlineStr">
        <is>
          <t>TSP-205</t>
        </is>
      </c>
      <c r="B198" t="inlineStr">
        <is>
          <t>CHEM-1400</t>
        </is>
      </c>
      <c r="C198" t="n">
        <v>5.368607</v>
      </c>
      <c r="D198">
        <f>IFERROR(MATCH($A198,PP_Grid[Intermediate],0),99999)</f>
        <v/>
      </c>
    </row>
    <row r="199">
      <c r="A199" t="inlineStr">
        <is>
          <t>TSP-205</t>
        </is>
      </c>
      <c r="B199" t="inlineStr">
        <is>
          <t>CHEM-1420</t>
        </is>
      </c>
      <c r="C199" t="n">
        <v>0.462993</v>
      </c>
      <c r="D199">
        <f>IFERROR(MATCH($A199,PP_Grid[Intermediate],0),99999)</f>
        <v/>
      </c>
    </row>
    <row r="200">
      <c r="A200" t="inlineStr">
        <is>
          <t>TSP-205</t>
        </is>
      </c>
      <c r="B200" t="inlineStr">
        <is>
          <t>CHEM-1440</t>
        </is>
      </c>
      <c r="C200" t="n">
        <v>0.331821</v>
      </c>
      <c r="D200">
        <f>IFERROR(MATCH($A200,PP_Grid[Intermediate],0),99999)</f>
        <v/>
      </c>
    </row>
    <row r="201">
      <c r="A201" t="inlineStr">
        <is>
          <t>TSP-205</t>
        </is>
      </c>
      <c r="B201" t="inlineStr">
        <is>
          <t>TPP-204</t>
        </is>
      </c>
      <c r="C201" t="n">
        <v>44.002127</v>
      </c>
      <c r="D201">
        <f>IFERROR(MATCH($A201,PP_Grid[Intermediate],0),99999)</f>
        <v/>
      </c>
    </row>
    <row r="202">
      <c r="A202" t="inlineStr">
        <is>
          <t>TSP-206</t>
        </is>
      </c>
      <c r="B202" t="inlineStr">
        <is>
          <t>CHEM-1400</t>
        </is>
      </c>
      <c r="C202" t="n">
        <v>4.583592</v>
      </c>
      <c r="D202">
        <f>IFERROR(MATCH($A202,PP_Grid[Intermediate],0),99999)</f>
        <v/>
      </c>
    </row>
    <row r="203">
      <c r="A203" t="inlineStr">
        <is>
          <t>TSP-206</t>
        </is>
      </c>
      <c r="B203" t="inlineStr">
        <is>
          <t>CHEM-1420</t>
        </is>
      </c>
      <c r="C203" t="n">
        <v>0.6176199999999999</v>
      </c>
      <c r="D203">
        <f>IFERROR(MATCH($A203,PP_Grid[Intermediate],0),99999)</f>
        <v/>
      </c>
    </row>
    <row r="204">
      <c r="A204" t="inlineStr">
        <is>
          <t>TSP-206</t>
        </is>
      </c>
      <c r="B204" t="inlineStr">
        <is>
          <t>CHEM-1440</t>
        </is>
      </c>
      <c r="C204" t="n">
        <v>1.565413</v>
      </c>
      <c r="D204">
        <f>IFERROR(MATCH($A204,PP_Grid[Intermediate],0),99999)</f>
        <v/>
      </c>
    </row>
    <row r="205">
      <c r="A205" t="inlineStr">
        <is>
          <t>TSP-206</t>
        </is>
      </c>
      <c r="B205" t="inlineStr">
        <is>
          <t>CHEM-1480</t>
        </is>
      </c>
      <c r="C205" t="n">
        <v>45.90817</v>
      </c>
      <c r="D205">
        <f>IFERROR(MATCH($A205,PP_Grid[Intermediate],0),99999)</f>
        <v/>
      </c>
    </row>
    <row r="206">
      <c r="A206" t="inlineStr">
        <is>
          <t>TSP-206</t>
        </is>
      </c>
      <c r="B206" t="inlineStr">
        <is>
          <t>SOL-10H</t>
        </is>
      </c>
      <c r="C206" t="n">
        <v>20.595866</v>
      </c>
      <c r="D206">
        <f>IFERROR(MATCH($A206,PP_Grid[Intermediate],0),99999)</f>
        <v/>
      </c>
    </row>
    <row r="207">
      <c r="A207" t="inlineStr">
        <is>
          <t>TSP-224</t>
        </is>
      </c>
      <c r="B207" t="inlineStr">
        <is>
          <t>CHEM-1010</t>
        </is>
      </c>
      <c r="C207" t="n">
        <v>0.539552</v>
      </c>
      <c r="D207">
        <f>IFERROR(MATCH($A207,PP_Grid[Intermediate],0),99999)</f>
        <v/>
      </c>
    </row>
    <row r="208">
      <c r="A208" t="inlineStr">
        <is>
          <t>TSP-224</t>
        </is>
      </c>
      <c r="B208" t="inlineStr">
        <is>
          <t>CHEM-1240</t>
        </is>
      </c>
      <c r="C208" t="n">
        <v>56.28312</v>
      </c>
      <c r="D208">
        <f>IFERROR(MATCH($A208,PP_Grid[Intermediate],0),99999)</f>
        <v/>
      </c>
    </row>
    <row r="209">
      <c r="A209" t="inlineStr">
        <is>
          <t>TSP-224</t>
        </is>
      </c>
      <c r="B209" t="inlineStr">
        <is>
          <t>CHEM-1420</t>
        </is>
      </c>
      <c r="C209" t="n">
        <v>0.97524</v>
      </c>
      <c r="D209">
        <f>IFERROR(MATCH($A209,PP_Grid[Intermediate],0),99999)</f>
        <v/>
      </c>
    </row>
    <row r="210">
      <c r="A210" t="inlineStr">
        <is>
          <t>TSP-224</t>
        </is>
      </c>
      <c r="B210" t="inlineStr">
        <is>
          <t>CHEM-1440</t>
        </is>
      </c>
      <c r="C210" t="n">
        <v>0.864</v>
      </c>
      <c r="D210">
        <f>IFERROR(MATCH($A210,PP_Grid[Intermediate],0),99999)</f>
        <v/>
      </c>
    </row>
    <row r="211">
      <c r="A211" t="inlineStr">
        <is>
          <t>TSP-224</t>
        </is>
      </c>
      <c r="B211" t="inlineStr">
        <is>
          <t>CHEM-1470</t>
        </is>
      </c>
      <c r="C211" t="n">
        <v>27.60804</v>
      </c>
      <c r="D211">
        <f>IFERROR(MATCH($A211,PP_Grid[Intermediate],0),99999)</f>
        <v/>
      </c>
    </row>
    <row r="212">
      <c r="A212" t="inlineStr">
        <is>
          <t>TSP-224</t>
        </is>
      </c>
      <c r="B212" t="inlineStr">
        <is>
          <t>SOL-20P</t>
        </is>
      </c>
      <c r="C212" t="n">
        <v>22.14</v>
      </c>
      <c r="D212">
        <f>IFERROR(MATCH($A212,PP_Grid[Intermediate],0),99999)</f>
        <v/>
      </c>
    </row>
    <row r="213">
      <c r="A213" t="inlineStr">
        <is>
          <t>TSP-225</t>
        </is>
      </c>
      <c r="B213" t="inlineStr">
        <is>
          <t>CHEM-1400</t>
        </is>
      </c>
      <c r="C213" t="n">
        <v>5.843729</v>
      </c>
      <c r="D213">
        <f>IFERROR(MATCH($A213,PP_Grid[Intermediate],0),99999)</f>
        <v/>
      </c>
    </row>
    <row r="214">
      <c r="A214" t="inlineStr">
        <is>
          <t>TSP-225</t>
        </is>
      </c>
      <c r="B214" t="inlineStr">
        <is>
          <t>CHEM-1420</t>
        </is>
      </c>
      <c r="C214" t="n">
        <v>1.680588</v>
      </c>
      <c r="D214">
        <f>IFERROR(MATCH($A214,PP_Grid[Intermediate],0),99999)</f>
        <v/>
      </c>
    </row>
    <row r="215">
      <c r="A215" t="inlineStr">
        <is>
          <t>TSP-225</t>
        </is>
      </c>
      <c r="B215" t="inlineStr">
        <is>
          <t>CHEM-1430</t>
        </is>
      </c>
      <c r="C215" t="n">
        <v>14.189386</v>
      </c>
      <c r="D215">
        <f>IFERROR(MATCH($A215,PP_Grid[Intermediate],0),99999)</f>
        <v/>
      </c>
    </row>
    <row r="216">
      <c r="A216" t="inlineStr">
        <is>
          <t>TSP-225</t>
        </is>
      </c>
      <c r="B216" t="inlineStr">
        <is>
          <t>CHEM-1450</t>
        </is>
      </c>
      <c r="C216" t="n">
        <v>0.784274</v>
      </c>
      <c r="D216">
        <f>IFERROR(MATCH($A216,PP_Grid[Intermediate],0),99999)</f>
        <v/>
      </c>
    </row>
    <row r="217">
      <c r="A217" t="inlineStr">
        <is>
          <t>TSP-225</t>
        </is>
      </c>
      <c r="B217" t="inlineStr">
        <is>
          <t>CHEM-1470</t>
        </is>
      </c>
      <c r="C217" t="n">
        <v>66.488105</v>
      </c>
      <c r="D217">
        <f>IFERROR(MATCH($A217,PP_Grid[Intermediate],0),99999)</f>
        <v/>
      </c>
    </row>
    <row r="218">
      <c r="A218" t="inlineStr">
        <is>
          <t>TSP-225</t>
        </is>
      </c>
      <c r="B218" t="inlineStr">
        <is>
          <t>SOL-10H</t>
        </is>
      </c>
      <c r="C218" t="n">
        <v>17.505914</v>
      </c>
      <c r="D218">
        <f>IFERROR(MATCH($A218,PP_Grid[Intermediate],0),99999)</f>
        <v/>
      </c>
    </row>
    <row r="219">
      <c r="A219" t="inlineStr">
        <is>
          <t>TSP-360</t>
        </is>
      </c>
      <c r="B219" t="inlineStr">
        <is>
          <t>CHEM-1400</t>
        </is>
      </c>
      <c r="C219" t="n">
        <v>2.933853</v>
      </c>
      <c r="D219">
        <f>IFERROR(MATCH($A219,PP_Grid[Intermediate],0),99999)</f>
        <v/>
      </c>
    </row>
    <row r="220">
      <c r="A220" t="inlineStr">
        <is>
          <t>TSP-360</t>
        </is>
      </c>
      <c r="B220" t="inlineStr">
        <is>
          <t>CHEM-1420</t>
        </is>
      </c>
      <c r="C220" t="n">
        <v>0.181191</v>
      </c>
      <c r="D220">
        <f>IFERROR(MATCH($A220,PP_Grid[Intermediate],0),99999)</f>
        <v/>
      </c>
    </row>
    <row r="221">
      <c r="A221" t="inlineStr">
        <is>
          <t>TSP-360</t>
        </is>
      </c>
      <c r="B221" t="inlineStr">
        <is>
          <t>CHEM-1510</t>
        </is>
      </c>
      <c r="C221" t="n">
        <v>9.045147999999999</v>
      </c>
      <c r="D221">
        <f>IFERROR(MATCH($A221,PP_Grid[Intermediate],0),99999)</f>
        <v/>
      </c>
    </row>
    <row r="222">
      <c r="A222" t="inlineStr">
        <is>
          <t>TSP-360</t>
        </is>
      </c>
      <c r="B222" t="inlineStr">
        <is>
          <t>CHEM-1560</t>
        </is>
      </c>
      <c r="C222" t="n">
        <v>3.771411</v>
      </c>
      <c r="D222">
        <f>IFERROR(MATCH($A222,PP_Grid[Intermediate],0),99999)</f>
        <v/>
      </c>
    </row>
    <row r="223">
      <c r="A223" t="inlineStr">
        <is>
          <t>TSP-360</t>
        </is>
      </c>
      <c r="B223" t="inlineStr">
        <is>
          <t>CHEM-1580</t>
        </is>
      </c>
      <c r="C223" t="n">
        <v>16.79436</v>
      </c>
      <c r="D223">
        <f>IFERROR(MATCH($A223,PP_Grid[Intermediate],0),99999)</f>
        <v/>
      </c>
    </row>
    <row r="224">
      <c r="A224" t="inlineStr">
        <is>
          <t>TSP-360</t>
        </is>
      </c>
      <c r="B224" t="inlineStr">
        <is>
          <t>TPP-350</t>
        </is>
      </c>
      <c r="C224" t="n">
        <v>102.658467</v>
      </c>
      <c r="D224">
        <f>IFERROR(MATCH($A224,PP_Grid[Intermediate],0),99999)</f>
        <v/>
      </c>
    </row>
    <row r="225">
      <c r="A225" t="inlineStr">
        <is>
          <t>TSP-367</t>
        </is>
      </c>
      <c r="B225" t="inlineStr">
        <is>
          <t>CHEM-1400</t>
        </is>
      </c>
      <c r="C225" t="n">
        <v>3.573429</v>
      </c>
      <c r="D225">
        <f>IFERROR(MATCH($A225,PP_Grid[Intermediate],0),99999)</f>
        <v/>
      </c>
    </row>
    <row r="226">
      <c r="A226" t="inlineStr">
        <is>
          <t>TSP-367</t>
        </is>
      </c>
      <c r="B226" t="inlineStr">
        <is>
          <t>CHEM-1420</t>
        </is>
      </c>
      <c r="C226" t="n">
        <v>0.8814</v>
      </c>
      <c r="D226">
        <f>IFERROR(MATCH($A226,PP_Grid[Intermediate],0),99999)</f>
        <v/>
      </c>
    </row>
    <row r="227">
      <c r="A227" t="inlineStr">
        <is>
          <t>TSP-367</t>
        </is>
      </c>
      <c r="B227" t="inlineStr">
        <is>
          <t>CHEM-1440</t>
        </is>
      </c>
      <c r="C227" t="n">
        <v>1.010243</v>
      </c>
      <c r="D227">
        <f>IFERROR(MATCH($A227,PP_Grid[Intermediate],0),99999)</f>
        <v/>
      </c>
    </row>
    <row r="228">
      <c r="A228" t="inlineStr">
        <is>
          <t>TSP-367</t>
        </is>
      </c>
      <c r="B228" t="inlineStr">
        <is>
          <t>CHEM-1510</t>
        </is>
      </c>
      <c r="C228" t="n">
        <v>4.866735</v>
      </c>
      <c r="D228">
        <f>IFERROR(MATCH($A228,PP_Grid[Intermediate],0),99999)</f>
        <v/>
      </c>
    </row>
    <row r="229">
      <c r="A229" t="inlineStr">
        <is>
          <t>TSP-367</t>
        </is>
      </c>
      <c r="B229" t="inlineStr">
        <is>
          <t>CHEM-1580</t>
        </is>
      </c>
      <c r="C229" t="n">
        <v>24.55134</v>
      </c>
      <c r="D229">
        <f>IFERROR(MATCH($A229,PP_Grid[Intermediate],0),99999)</f>
        <v/>
      </c>
    </row>
    <row r="230">
      <c r="A230" t="inlineStr">
        <is>
          <t>TSP-367</t>
        </is>
      </c>
      <c r="B230" t="inlineStr">
        <is>
          <t>TPP-356</t>
        </is>
      </c>
      <c r="C230" t="n">
        <v>89.343531</v>
      </c>
      <c r="D230">
        <f>IFERROR(MATCH($A230,PP_Grid[Intermediate],0),99999)</f>
        <v/>
      </c>
    </row>
    <row r="231">
      <c r="A231" t="inlineStr">
        <is>
          <t>TSP-369</t>
        </is>
      </c>
      <c r="B231" t="inlineStr">
        <is>
          <t>CHEM-1400</t>
        </is>
      </c>
      <c r="C231" t="n">
        <v>3.835804</v>
      </c>
      <c r="D231">
        <f>IFERROR(MATCH($A231,PP_Grid[Intermediate],0),99999)</f>
        <v/>
      </c>
    </row>
    <row r="232">
      <c r="A232" t="inlineStr">
        <is>
          <t>TSP-369</t>
        </is>
      </c>
      <c r="B232" t="inlineStr">
        <is>
          <t>CHEM-1420</t>
        </is>
      </c>
      <c r="C232" t="n">
        <v>0.73921</v>
      </c>
      <c r="D232">
        <f>IFERROR(MATCH($A232,PP_Grid[Intermediate],0),99999)</f>
        <v/>
      </c>
    </row>
    <row r="233">
      <c r="A233" t="inlineStr">
        <is>
          <t>TSP-369</t>
        </is>
      </c>
      <c r="B233" t="inlineStr">
        <is>
          <t>CHEM-1440</t>
        </is>
      </c>
      <c r="C233" t="n">
        <v>1.380043</v>
      </c>
      <c r="D233">
        <f>IFERROR(MATCH($A233,PP_Grid[Intermediate],0),99999)</f>
        <v/>
      </c>
    </row>
    <row r="234">
      <c r="A234" t="inlineStr">
        <is>
          <t>TSP-369</t>
        </is>
      </c>
      <c r="B234" t="inlineStr">
        <is>
          <t>CHEM-1540</t>
        </is>
      </c>
      <c r="C234" t="n">
        <v>65.09481100000001</v>
      </c>
      <c r="D234">
        <f>IFERROR(MATCH($A234,PP_Grid[Intermediate],0),99999)</f>
        <v/>
      </c>
    </row>
    <row r="235">
      <c r="A235" t="inlineStr">
        <is>
          <t>TSP-369</t>
        </is>
      </c>
      <c r="B235" t="inlineStr">
        <is>
          <t>SOL-SH</t>
        </is>
      </c>
      <c r="C235" t="n">
        <v>11.156187</v>
      </c>
      <c r="D235">
        <f>IFERROR(MATCH($A235,PP_Grid[Intermediate],0),99999)</f>
        <v/>
      </c>
    </row>
    <row r="236">
      <c r="A236" t="inlineStr">
        <is>
          <t>TSP-369</t>
        </is>
      </c>
      <c r="B236" t="inlineStr">
        <is>
          <t>TPP-358</t>
        </is>
      </c>
      <c r="C236" t="n">
        <v>64.349006</v>
      </c>
      <c r="D236">
        <f>IFERROR(MATCH($A236,PP_Grid[Intermediate],0),99999)</f>
        <v/>
      </c>
    </row>
    <row r="237">
      <c r="A237" t="inlineStr">
        <is>
          <t>TSP-402</t>
        </is>
      </c>
      <c r="B237" t="inlineStr">
        <is>
          <t>CHEM-1400</t>
        </is>
      </c>
      <c r="C237" t="n">
        <v>7.12965</v>
      </c>
      <c r="D237">
        <f>IFERROR(MATCH($A237,PP_Grid[Intermediate],0),99999)</f>
        <v/>
      </c>
    </row>
    <row r="238">
      <c r="A238" t="inlineStr">
        <is>
          <t>TSP-402</t>
        </is>
      </c>
      <c r="B238" t="inlineStr">
        <is>
          <t>CHEM-1420</t>
        </is>
      </c>
      <c r="C238" t="n">
        <v>1.114575</v>
      </c>
      <c r="D238">
        <f>IFERROR(MATCH($A238,PP_Grid[Intermediate],0),99999)</f>
        <v/>
      </c>
    </row>
    <row r="239">
      <c r="A239" t="inlineStr">
        <is>
          <t>TSP-402</t>
        </is>
      </c>
      <c r="B239" t="inlineStr">
        <is>
          <t>CHEM-1530</t>
        </is>
      </c>
      <c r="C239" t="n">
        <v>39.0324</v>
      </c>
      <c r="D239">
        <f>IFERROR(MATCH($A239,PP_Grid[Intermediate],0),99999)</f>
        <v/>
      </c>
    </row>
    <row r="240">
      <c r="A240" t="inlineStr">
        <is>
          <t>TSP-402</t>
        </is>
      </c>
      <c r="B240" t="inlineStr">
        <is>
          <t>CHEM-1550</t>
        </is>
      </c>
      <c r="C240" t="n">
        <v>6.343425</v>
      </c>
      <c r="D240">
        <f>IFERROR(MATCH($A240,PP_Grid[Intermediate],0),99999)</f>
        <v/>
      </c>
    </row>
    <row r="241">
      <c r="A241" t="inlineStr">
        <is>
          <t>TSP-402</t>
        </is>
      </c>
      <c r="B241" t="inlineStr">
        <is>
          <t>CHEM-1650</t>
        </is>
      </c>
      <c r="C241" t="n">
        <v>0.033825</v>
      </c>
      <c r="D241">
        <f>IFERROR(MATCH($A241,PP_Grid[Intermediate],0),99999)</f>
        <v/>
      </c>
    </row>
    <row r="242">
      <c r="A242" t="inlineStr">
        <is>
          <t>TSP-402</t>
        </is>
      </c>
      <c r="B242" t="inlineStr">
        <is>
          <t>SOL-10H</t>
        </is>
      </c>
      <c r="C242" t="n">
        <v>40.0488</v>
      </c>
      <c r="D242">
        <f>IFERROR(MATCH($A242,PP_Grid[Intermediate],0),99999)</f>
        <v/>
      </c>
    </row>
    <row r="243">
      <c r="A243" t="inlineStr">
        <is>
          <t>TSP-403</t>
        </is>
      </c>
      <c r="B243" t="inlineStr">
        <is>
          <t>CHEM-1400</t>
        </is>
      </c>
      <c r="C243" t="n">
        <v>7.137075</v>
      </c>
      <c r="D243">
        <f>IFERROR(MATCH($A243,PP_Grid[Intermediate],0),99999)</f>
        <v/>
      </c>
    </row>
    <row r="244">
      <c r="A244" t="inlineStr">
        <is>
          <t>TSP-403</t>
        </is>
      </c>
      <c r="B244" t="inlineStr">
        <is>
          <t>CHEM-1420</t>
        </is>
      </c>
      <c r="C244" t="n">
        <v>1.116225</v>
      </c>
      <c r="D244">
        <f>IFERROR(MATCH($A244,PP_Grid[Intermediate],0),99999)</f>
        <v/>
      </c>
    </row>
    <row r="245">
      <c r="A245" t="inlineStr">
        <is>
          <t>TSP-403</t>
        </is>
      </c>
      <c r="B245" t="inlineStr">
        <is>
          <t>CHEM-1530</t>
        </is>
      </c>
      <c r="C245" t="n">
        <v>39.071175</v>
      </c>
      <c r="D245">
        <f>IFERROR(MATCH($A245,PP_Grid[Intermediate],0),99999)</f>
        <v/>
      </c>
    </row>
    <row r="246">
      <c r="A246" t="inlineStr">
        <is>
          <t>TSP-403</t>
        </is>
      </c>
      <c r="B246" t="inlineStr">
        <is>
          <t>CHEM-1550</t>
        </is>
      </c>
      <c r="C246" t="n">
        <v>6.3492</v>
      </c>
      <c r="D246">
        <f>IFERROR(MATCH($A246,PP_Grid[Intermediate],0),99999)</f>
        <v/>
      </c>
    </row>
    <row r="247">
      <c r="A247" t="inlineStr">
        <is>
          <t>TSP-403</t>
        </is>
      </c>
      <c r="B247" t="inlineStr">
        <is>
          <t>CHEM-1650</t>
        </is>
      </c>
      <c r="C247" t="n">
        <v>0.033825</v>
      </c>
      <c r="D247">
        <f>IFERROR(MATCH($A247,PP_Grid[Intermediate],0),99999)</f>
        <v/>
      </c>
    </row>
    <row r="248">
      <c r="A248" t="inlineStr">
        <is>
          <t>TSP-403</t>
        </is>
      </c>
      <c r="B248" t="inlineStr">
        <is>
          <t>SOL-10H</t>
        </is>
      </c>
      <c r="C248" t="n">
        <v>33.14025</v>
      </c>
      <c r="D248">
        <f>IFERROR(MATCH($A248,PP_Grid[Intermediate],0),99999)</f>
        <v/>
      </c>
    </row>
    <row r="249">
      <c r="A249" t="inlineStr">
        <is>
          <t>TSP-404</t>
        </is>
      </c>
      <c r="B249" t="inlineStr">
        <is>
          <t>CHEM-1400</t>
        </is>
      </c>
      <c r="C249" t="n">
        <v>6.625665</v>
      </c>
      <c r="D249">
        <f>IFERROR(MATCH($A249,PP_Grid[Intermediate],0),99999)</f>
        <v/>
      </c>
    </row>
    <row r="250">
      <c r="A250" t="inlineStr">
        <is>
          <t>TSP-404</t>
        </is>
      </c>
      <c r="B250" t="inlineStr">
        <is>
          <t>CHEM-1420</t>
        </is>
      </c>
      <c r="C250" t="n">
        <v>1.03581</v>
      </c>
      <c r="D250">
        <f>IFERROR(MATCH($A250,PP_Grid[Intermediate],0),99999)</f>
        <v/>
      </c>
    </row>
    <row r="251">
      <c r="A251" t="inlineStr">
        <is>
          <t>TSP-404</t>
        </is>
      </c>
      <c r="B251" t="inlineStr">
        <is>
          <t>CHEM-1530</t>
        </is>
      </c>
      <c r="C251" t="n">
        <v>36.272475</v>
      </c>
      <c r="D251">
        <f>IFERROR(MATCH($A251,PP_Grid[Intermediate],0),99999)</f>
        <v/>
      </c>
    </row>
    <row r="252">
      <c r="A252" t="inlineStr">
        <is>
          <t>TSP-404</t>
        </is>
      </c>
      <c r="B252" t="inlineStr">
        <is>
          <t>CHEM-1550</t>
        </is>
      </c>
      <c r="C252" t="n">
        <v>4.28706</v>
      </c>
      <c r="D252">
        <f>IFERROR(MATCH($A252,PP_Grid[Intermediate],0),99999)</f>
        <v/>
      </c>
    </row>
    <row r="253">
      <c r="A253" t="inlineStr">
        <is>
          <t>TSP-404</t>
        </is>
      </c>
      <c r="B253" t="inlineStr">
        <is>
          <t>CHEM-1650</t>
        </is>
      </c>
      <c r="C253" t="n">
        <v>0.031365</v>
      </c>
      <c r="D253">
        <f>IFERROR(MATCH($A253,PP_Grid[Intermediate],0),99999)</f>
        <v/>
      </c>
    </row>
    <row r="254">
      <c r="A254" t="inlineStr">
        <is>
          <t>TSP-404</t>
        </is>
      </c>
      <c r="B254" t="inlineStr">
        <is>
          <t>SOL-10H</t>
        </is>
      </c>
      <c r="C254" t="n">
        <v>23.322555</v>
      </c>
      <c r="D254">
        <f>IFERROR(MATCH($A254,PP_Grid[Intermediate],0),99999)</f>
        <v/>
      </c>
    </row>
    <row r="255">
      <c r="A255" t="inlineStr">
        <is>
          <t>TSP-405</t>
        </is>
      </c>
      <c r="B255" t="inlineStr">
        <is>
          <t>CHEM-1400</t>
        </is>
      </c>
      <c r="C255" t="n">
        <v>6.63102</v>
      </c>
      <c r="D255">
        <f>IFERROR(MATCH($A255,PP_Grid[Intermediate],0),99999)</f>
        <v/>
      </c>
    </row>
    <row r="256">
      <c r="A256" t="inlineStr">
        <is>
          <t>TSP-405</t>
        </is>
      </c>
      <c r="B256" t="inlineStr">
        <is>
          <t>CHEM-1420</t>
        </is>
      </c>
      <c r="C256" t="n">
        <v>1.036575</v>
      </c>
      <c r="D256">
        <f>IFERROR(MATCH($A256,PP_Grid[Intermediate],0),99999)</f>
        <v/>
      </c>
    </row>
    <row r="257">
      <c r="A257" t="inlineStr">
        <is>
          <t>TSP-405</t>
        </is>
      </c>
      <c r="B257" t="inlineStr">
        <is>
          <t>CHEM-1530</t>
        </is>
      </c>
      <c r="C257" t="n">
        <v>36.30078</v>
      </c>
      <c r="D257">
        <f>IFERROR(MATCH($A257,PP_Grid[Intermediate],0),99999)</f>
        <v/>
      </c>
    </row>
    <row r="258">
      <c r="A258" t="inlineStr">
        <is>
          <t>TSP-405</t>
        </is>
      </c>
      <c r="B258" t="inlineStr">
        <is>
          <t>CHEM-1550</t>
        </is>
      </c>
      <c r="C258" t="n">
        <v>4.29012</v>
      </c>
      <c r="D258">
        <f>IFERROR(MATCH($A258,PP_Grid[Intermediate],0),99999)</f>
        <v/>
      </c>
    </row>
    <row r="259">
      <c r="A259" t="inlineStr">
        <is>
          <t>TSP-405</t>
        </is>
      </c>
      <c r="B259" t="inlineStr">
        <is>
          <t>CHEM-1650</t>
        </is>
      </c>
      <c r="C259" t="n">
        <v>0.031365</v>
      </c>
      <c r="D259">
        <f>IFERROR(MATCH($A259,PP_Grid[Intermediate],0),99999)</f>
        <v/>
      </c>
    </row>
    <row r="260">
      <c r="A260" t="inlineStr">
        <is>
          <t>TSP-405</t>
        </is>
      </c>
      <c r="B260" t="inlineStr">
        <is>
          <t>SOL-10H</t>
        </is>
      </c>
      <c r="C260" t="n">
        <v>18.374535</v>
      </c>
      <c r="D260">
        <f>IFERROR(MATCH($A260,PP_Grid[Intermediate],0),99999)</f>
        <v/>
      </c>
    </row>
    <row r="261">
      <c r="A261" t="inlineStr">
        <is>
          <t>TSP-544</t>
        </is>
      </c>
      <c r="B261" t="inlineStr">
        <is>
          <t>CHEM-1400</t>
        </is>
      </c>
      <c r="C261" t="n">
        <v>1.281052</v>
      </c>
      <c r="D261">
        <f>IFERROR(MATCH($A261,PP_Grid[Intermediate],0),99999)</f>
        <v/>
      </c>
    </row>
    <row r="262">
      <c r="A262" t="inlineStr">
        <is>
          <t>TSP-544</t>
        </is>
      </c>
      <c r="B262" t="inlineStr">
        <is>
          <t>CHEM-1420</t>
        </is>
      </c>
      <c r="C262" t="n">
        <v>0.375527</v>
      </c>
      <c r="D262">
        <f>IFERROR(MATCH($A262,PP_Grid[Intermediate],0),99999)</f>
        <v/>
      </c>
    </row>
    <row r="263">
      <c r="A263" t="inlineStr">
        <is>
          <t>TSP-544</t>
        </is>
      </c>
      <c r="B263" t="inlineStr">
        <is>
          <t>CHEM-1440</t>
        </is>
      </c>
      <c r="C263" t="n">
        <v>0.335577</v>
      </c>
      <c r="D263">
        <f>IFERROR(MATCH($A263,PP_Grid[Intermediate],0),99999)</f>
        <v/>
      </c>
    </row>
    <row r="264">
      <c r="A264" t="inlineStr">
        <is>
          <t>TSP-544</t>
        </is>
      </c>
      <c r="B264" t="inlineStr">
        <is>
          <t>CHEM-1510</t>
        </is>
      </c>
      <c r="C264" t="n">
        <v>9.875553</v>
      </c>
      <c r="D264">
        <f>IFERROR(MATCH($A264,PP_Grid[Intermediate],0),99999)</f>
        <v/>
      </c>
    </row>
    <row r="265">
      <c r="A265" t="inlineStr">
        <is>
          <t>TSP-544</t>
        </is>
      </c>
      <c r="B265" t="inlineStr">
        <is>
          <t>CHEM-1560</t>
        </is>
      </c>
      <c r="C265" t="n">
        <v>4.94044</v>
      </c>
      <c r="D265">
        <f>IFERROR(MATCH($A265,PP_Grid[Intermediate],0),99999)</f>
        <v/>
      </c>
    </row>
    <row r="266">
      <c r="A266" t="inlineStr">
        <is>
          <t>TSP-544</t>
        </is>
      </c>
      <c r="B266" t="inlineStr">
        <is>
          <t>CHEM-1580</t>
        </is>
      </c>
      <c r="C266" t="n">
        <v>13.203359</v>
      </c>
      <c r="D266">
        <f>IFERROR(MATCH($A266,PP_Grid[Intermediate],0),99999)</f>
        <v/>
      </c>
    </row>
    <row r="267">
      <c r="A267" t="inlineStr">
        <is>
          <t>TSP-544</t>
        </is>
      </c>
      <c r="B267" t="inlineStr">
        <is>
          <t>TPP-527</t>
        </is>
      </c>
      <c r="C267" t="n">
        <v>114.401149</v>
      </c>
      <c r="D267">
        <f>IFERROR(MATCH($A267,PP_Grid[Intermediate],0),99999)</f>
        <v/>
      </c>
    </row>
    <row r="268">
      <c r="A268" t="inlineStr">
        <is>
          <t>TSP-558</t>
        </is>
      </c>
      <c r="B268" t="inlineStr">
        <is>
          <t>CHEM-1400</t>
        </is>
      </c>
      <c r="C268" t="n">
        <v>1.154404</v>
      </c>
      <c r="D268">
        <f>IFERROR(MATCH($A268,PP_Grid[Intermediate],0),99999)</f>
        <v/>
      </c>
    </row>
    <row r="269">
      <c r="A269" t="inlineStr">
        <is>
          <t>TSP-558</t>
        </is>
      </c>
      <c r="B269" t="inlineStr">
        <is>
          <t>CHEM-1420</t>
        </is>
      </c>
      <c r="C269" t="n">
        <v>0.853975</v>
      </c>
      <c r="D269">
        <f>IFERROR(MATCH($A269,PP_Grid[Intermediate],0),99999)</f>
        <v/>
      </c>
    </row>
    <row r="270">
      <c r="A270" t="inlineStr">
        <is>
          <t>TSP-558</t>
        </is>
      </c>
      <c r="B270" t="inlineStr">
        <is>
          <t>CHEM-1450</t>
        </is>
      </c>
      <c r="C270" t="n">
        <v>0.435267</v>
      </c>
      <c r="D270">
        <f>IFERROR(MATCH($A270,PP_Grid[Intermediate],0),99999)</f>
        <v/>
      </c>
    </row>
    <row r="271">
      <c r="A271" t="inlineStr">
        <is>
          <t>TSP-558</t>
        </is>
      </c>
      <c r="B271" t="inlineStr">
        <is>
          <t>CHEM-1540</t>
        </is>
      </c>
      <c r="C271" t="n">
        <v>58.745894</v>
      </c>
      <c r="D271">
        <f>IFERROR(MATCH($A271,PP_Grid[Intermediate],0),99999)</f>
        <v/>
      </c>
    </row>
    <row r="272">
      <c r="A272" t="inlineStr">
        <is>
          <t>TSP-558</t>
        </is>
      </c>
      <c r="B272" t="inlineStr">
        <is>
          <t>CHEM-1570</t>
        </is>
      </c>
      <c r="C272" t="n">
        <v>0.023656</v>
      </c>
      <c r="D272">
        <f>IFERROR(MATCH($A272,PP_Grid[Intermediate],0),99999)</f>
        <v/>
      </c>
    </row>
    <row r="273">
      <c r="A273" t="inlineStr">
        <is>
          <t>TSP-558</t>
        </is>
      </c>
      <c r="B273" t="inlineStr">
        <is>
          <t>CHEM-1670</t>
        </is>
      </c>
      <c r="C273" t="n">
        <v>5.514171</v>
      </c>
      <c r="D273">
        <f>IFERROR(MATCH($A273,PP_Grid[Intermediate],0),99999)</f>
        <v/>
      </c>
    </row>
    <row r="274">
      <c r="A274" t="inlineStr">
        <is>
          <t>TSP-558</t>
        </is>
      </c>
      <c r="B274" t="inlineStr">
        <is>
          <t>SOL-SH</t>
        </is>
      </c>
      <c r="C274" t="n">
        <v>13.423645</v>
      </c>
      <c r="D274">
        <f>IFERROR(MATCH($A274,PP_Grid[Intermediate],0),99999)</f>
        <v/>
      </c>
    </row>
    <row r="275">
      <c r="A275" t="inlineStr">
        <is>
          <t>TSP-558</t>
        </is>
      </c>
      <c r="B275" t="inlineStr">
        <is>
          <t>TPP-533</t>
        </is>
      </c>
      <c r="C275" t="n">
        <v>58.161372</v>
      </c>
      <c r="D275">
        <f>IFERROR(MATCH($A275,PP_Grid[Intermediate],0),99999)</f>
        <v/>
      </c>
    </row>
    <row r="276">
      <c r="A276" t="inlineStr">
        <is>
          <t>TSP-558</t>
        </is>
      </c>
      <c r="B276" t="inlineStr">
        <is>
          <t>TPP-537</t>
        </is>
      </c>
      <c r="C276" t="n">
        <v>35.928453</v>
      </c>
      <c r="D276">
        <f>IFERROR(MATCH($A276,PP_Grid[Intermediate],0),99999)</f>
        <v/>
      </c>
    </row>
    <row r="277">
      <c r="A277" t="inlineStr">
        <is>
          <t>TSP-618</t>
        </is>
      </c>
      <c r="B277" t="inlineStr">
        <is>
          <t>CHEM-1400</t>
        </is>
      </c>
      <c r="C277" t="n">
        <v>1.237217</v>
      </c>
      <c r="D277">
        <f>IFERROR(MATCH($A277,PP_Grid[Intermediate],0),99999)</f>
        <v/>
      </c>
    </row>
    <row r="278">
      <c r="A278" t="inlineStr">
        <is>
          <t>TSP-618</t>
        </is>
      </c>
      <c r="B278" t="inlineStr">
        <is>
          <t>CHEM-1420</t>
        </is>
      </c>
      <c r="C278" t="n">
        <v>0.676785</v>
      </c>
      <c r="D278">
        <f>IFERROR(MATCH($A278,PP_Grid[Intermediate],0),99999)</f>
        <v/>
      </c>
    </row>
    <row r="279">
      <c r="A279" t="inlineStr">
        <is>
          <t>TSP-618</t>
        </is>
      </c>
      <c r="B279" t="inlineStr">
        <is>
          <t>CHEM-1440</t>
        </is>
      </c>
      <c r="C279" t="n">
        <v>1.335147</v>
      </c>
      <c r="D279">
        <f>IFERROR(MATCH($A279,PP_Grid[Intermediate],0),99999)</f>
        <v/>
      </c>
    </row>
    <row r="280">
      <c r="A280" t="inlineStr">
        <is>
          <t>TSP-618</t>
        </is>
      </c>
      <c r="B280" t="inlineStr">
        <is>
          <t>CHEM-1510</t>
        </is>
      </c>
      <c r="C280" t="n">
        <v>0.142902</v>
      </c>
      <c r="D280">
        <f>IFERROR(MATCH($A280,PP_Grid[Intermediate],0),99999)</f>
        <v/>
      </c>
    </row>
    <row r="281">
      <c r="A281" t="inlineStr">
        <is>
          <t>TSP-618</t>
        </is>
      </c>
      <c r="B281" t="inlineStr">
        <is>
          <t>CHEM-1570</t>
        </is>
      </c>
      <c r="C281" t="n">
        <v>0.004767</v>
      </c>
      <c r="D281">
        <f>IFERROR(MATCH($A281,PP_Grid[Intermediate],0),99999)</f>
        <v/>
      </c>
    </row>
    <row r="282">
      <c r="A282" t="inlineStr">
        <is>
          <t>TSP-618</t>
        </is>
      </c>
      <c r="B282" t="inlineStr">
        <is>
          <t>CHEM-1600</t>
        </is>
      </c>
      <c r="C282" t="n">
        <v>4.868826</v>
      </c>
      <c r="D282">
        <f>IFERROR(MATCH($A282,PP_Grid[Intermediate],0),99999)</f>
        <v/>
      </c>
    </row>
    <row r="283">
      <c r="A283" t="inlineStr">
        <is>
          <t>TSP-618</t>
        </is>
      </c>
      <c r="B283" t="inlineStr">
        <is>
          <t>CHEM-1690</t>
        </is>
      </c>
      <c r="C283" t="n">
        <v>9.543832</v>
      </c>
      <c r="D283">
        <f>IFERROR(MATCH($A283,PP_Grid[Intermediate],0),99999)</f>
        <v/>
      </c>
    </row>
    <row r="284">
      <c r="A284" t="inlineStr">
        <is>
          <t>TSP-618</t>
        </is>
      </c>
      <c r="B284" t="inlineStr">
        <is>
          <t>TPP-609</t>
        </is>
      </c>
      <c r="C284" t="n">
        <v>43.570215</v>
      </c>
      <c r="D284">
        <f>IFERROR(MATCH($A284,PP_Grid[Intermediate],0),99999)</f>
        <v/>
      </c>
    </row>
    <row r="285">
      <c r="A285" t="inlineStr">
        <is>
          <t>TSP-618</t>
        </is>
      </c>
      <c r="B285" t="inlineStr">
        <is>
          <t>TSZ-616</t>
        </is>
      </c>
      <c r="C285" t="n">
        <v>4.766583</v>
      </c>
      <c r="D285">
        <f>IFERROR(MATCH($A285,PP_Grid[Intermediate],0),99999)</f>
        <v/>
      </c>
    </row>
    <row r="286">
      <c r="A286" t="inlineStr">
        <is>
          <t>TSP-620</t>
        </is>
      </c>
      <c r="B286" t="inlineStr">
        <is>
          <t>CHEM-1400</t>
        </is>
      </c>
      <c r="C286" t="n">
        <v>1.04535</v>
      </c>
      <c r="D286">
        <f>IFERROR(MATCH($A286,PP_Grid[Intermediate],0),99999)</f>
        <v/>
      </c>
    </row>
    <row r="287">
      <c r="A287" t="inlineStr">
        <is>
          <t>TSP-620</t>
        </is>
      </c>
      <c r="B287" t="inlineStr">
        <is>
          <t>CHEM-1420</t>
        </is>
      </c>
      <c r="C287" t="n">
        <v>0.70518</v>
      </c>
      <c r="D287">
        <f>IFERROR(MATCH($A287,PP_Grid[Intermediate],0),99999)</f>
        <v/>
      </c>
    </row>
    <row r="288">
      <c r="A288" t="inlineStr">
        <is>
          <t>TSP-620</t>
        </is>
      </c>
      <c r="B288" t="inlineStr">
        <is>
          <t>CHEM-1440</t>
        </is>
      </c>
      <c r="C288" t="n">
        <v>1.05777</v>
      </c>
      <c r="D288">
        <f>IFERROR(MATCH($A288,PP_Grid[Intermediate],0),99999)</f>
        <v/>
      </c>
    </row>
    <row r="289">
      <c r="A289" t="inlineStr">
        <is>
          <t>TSP-620</t>
        </is>
      </c>
      <c r="B289" t="inlineStr">
        <is>
          <t>CHEM-1540</t>
        </is>
      </c>
      <c r="C289" t="n">
        <v>36.85221</v>
      </c>
      <c r="D289">
        <f>IFERROR(MATCH($A289,PP_Grid[Intermediate],0),99999)</f>
        <v/>
      </c>
    </row>
    <row r="290">
      <c r="A290" t="inlineStr">
        <is>
          <t>TSP-620</t>
        </is>
      </c>
      <c r="B290" t="inlineStr">
        <is>
          <t>CHEM-1570</t>
        </is>
      </c>
      <c r="C290" t="n">
        <v>0.06900000000000001</v>
      </c>
      <c r="D290">
        <f>IFERROR(MATCH($A290,PP_Grid[Intermediate],0),99999)</f>
        <v/>
      </c>
    </row>
    <row r="291">
      <c r="A291" t="inlineStr">
        <is>
          <t>TSP-620</t>
        </is>
      </c>
      <c r="B291" t="inlineStr">
        <is>
          <t>CHEM-1650</t>
        </is>
      </c>
      <c r="C291" t="n">
        <v>0.0276</v>
      </c>
      <c r="D291">
        <f>IFERROR(MATCH($A291,PP_Grid[Intermediate],0),99999)</f>
        <v/>
      </c>
    </row>
    <row r="292">
      <c r="A292" t="inlineStr">
        <is>
          <t>TSP-620</t>
        </is>
      </c>
      <c r="B292" t="inlineStr">
        <is>
          <t>CHEM-1680</t>
        </is>
      </c>
      <c r="C292" t="n">
        <v>18.172651</v>
      </c>
      <c r="D292">
        <f>IFERROR(MATCH($A292,PP_Grid[Intermediate],0),99999)</f>
        <v/>
      </c>
    </row>
    <row r="293">
      <c r="A293" t="inlineStr">
        <is>
          <t>TSP-620</t>
        </is>
      </c>
      <c r="B293" t="inlineStr">
        <is>
          <t>CHEM-1700</t>
        </is>
      </c>
      <c r="C293" t="n">
        <v>1.71258</v>
      </c>
      <c r="D293">
        <f>IFERROR(MATCH($A293,PP_Grid[Intermediate],0),99999)</f>
        <v/>
      </c>
    </row>
    <row r="294">
      <c r="A294" t="inlineStr">
        <is>
          <t>TSP-620</t>
        </is>
      </c>
      <c r="B294" t="inlineStr">
        <is>
          <t>SOL-SH</t>
        </is>
      </c>
      <c r="C294" t="n">
        <v>7.602247</v>
      </c>
      <c r="D294">
        <f>IFERROR(MATCH($A294,PP_Grid[Intermediate],0),99999)</f>
        <v/>
      </c>
    </row>
    <row r="295">
      <c r="A295" t="inlineStr">
        <is>
          <t>TSP-620</t>
        </is>
      </c>
      <c r="B295" t="inlineStr">
        <is>
          <t>TPP-611</t>
        </is>
      </c>
      <c r="C295" t="n">
        <v>17.82891</v>
      </c>
      <c r="D295">
        <f>IFERROR(MATCH($A295,PP_Grid[Intermediate],0),99999)</f>
        <v/>
      </c>
    </row>
    <row r="296">
      <c r="A296" t="inlineStr">
        <is>
          <t>TSP-623</t>
        </is>
      </c>
      <c r="B296" t="inlineStr">
        <is>
          <t>CHEM-1400</t>
        </is>
      </c>
      <c r="C296" t="n">
        <v>1.04673</v>
      </c>
      <c r="D296">
        <f>IFERROR(MATCH($A296,PP_Grid[Intermediate],0),99999)</f>
        <v/>
      </c>
    </row>
    <row r="297">
      <c r="A297" t="inlineStr">
        <is>
          <t>TSP-623</t>
        </is>
      </c>
      <c r="B297" t="inlineStr">
        <is>
          <t>CHEM-1420</t>
        </is>
      </c>
      <c r="C297" t="n">
        <v>0.70587</v>
      </c>
      <c r="D297">
        <f>IFERROR(MATCH($A297,PP_Grid[Intermediate],0),99999)</f>
        <v/>
      </c>
    </row>
    <row r="298">
      <c r="A298" t="inlineStr">
        <is>
          <t>TSP-623</t>
        </is>
      </c>
      <c r="B298" t="inlineStr">
        <is>
          <t>CHEM-1440</t>
        </is>
      </c>
      <c r="C298" t="n">
        <v>1.05915</v>
      </c>
      <c r="D298">
        <f>IFERROR(MATCH($A298,PP_Grid[Intermediate],0),99999)</f>
        <v/>
      </c>
    </row>
    <row r="299">
      <c r="A299" t="inlineStr">
        <is>
          <t>TSP-623</t>
        </is>
      </c>
      <c r="B299" t="inlineStr">
        <is>
          <t>CHEM-1540</t>
        </is>
      </c>
      <c r="C299" t="n">
        <v>36.89568</v>
      </c>
      <c r="D299">
        <f>IFERROR(MATCH($A299,PP_Grid[Intermediate],0),99999)</f>
        <v/>
      </c>
    </row>
    <row r="300">
      <c r="A300" t="inlineStr">
        <is>
          <t>TSP-623</t>
        </is>
      </c>
      <c r="B300" t="inlineStr">
        <is>
          <t>CHEM-1570</t>
        </is>
      </c>
      <c r="C300" t="n">
        <v>0.06900000000000001</v>
      </c>
      <c r="D300">
        <f>IFERROR(MATCH($A300,PP_Grid[Intermediate],0),99999)</f>
        <v/>
      </c>
    </row>
    <row r="301">
      <c r="A301" t="inlineStr">
        <is>
          <t>TSP-623</t>
        </is>
      </c>
      <c r="B301" t="inlineStr">
        <is>
          <t>CHEM-1650</t>
        </is>
      </c>
      <c r="C301" t="n">
        <v>0.0276</v>
      </c>
      <c r="D301">
        <f>IFERROR(MATCH($A301,PP_Grid[Intermediate],0),99999)</f>
        <v/>
      </c>
    </row>
    <row r="302">
      <c r="A302" t="inlineStr">
        <is>
          <t>TSP-623</t>
        </is>
      </c>
      <c r="B302" t="inlineStr">
        <is>
          <t>CHEM-1680</t>
        </is>
      </c>
      <c r="C302" t="n">
        <v>18.19444</v>
      </c>
      <c r="D302">
        <f>IFERROR(MATCH($A302,PP_Grid[Intermediate],0),99999)</f>
        <v/>
      </c>
    </row>
    <row r="303">
      <c r="A303" t="inlineStr">
        <is>
          <t>TSP-623</t>
        </is>
      </c>
      <c r="B303" t="inlineStr">
        <is>
          <t>CHEM-1700</t>
        </is>
      </c>
      <c r="C303" t="n">
        <v>1.71465</v>
      </c>
      <c r="D303">
        <f>IFERROR(MATCH($A303,PP_Grid[Intermediate],0),99999)</f>
        <v/>
      </c>
    </row>
    <row r="304">
      <c r="A304" t="inlineStr">
        <is>
          <t>TSP-623</t>
        </is>
      </c>
      <c r="B304" t="inlineStr">
        <is>
          <t>SOL-SH</t>
        </is>
      </c>
      <c r="C304" t="n">
        <v>4.566779</v>
      </c>
      <c r="D304">
        <f>IFERROR(MATCH($A304,PP_Grid[Intermediate],0),99999)</f>
        <v/>
      </c>
    </row>
    <row r="305">
      <c r="A305" t="inlineStr">
        <is>
          <t>TSP-623</t>
        </is>
      </c>
      <c r="B305" t="inlineStr">
        <is>
          <t>TPP-613</t>
        </is>
      </c>
      <c r="C305" t="n">
        <v>17.76957</v>
      </c>
      <c r="D305">
        <f>IFERROR(MATCH($A305,PP_Grid[Intermediate],0),99999)</f>
        <v/>
      </c>
    </row>
    <row r="306">
      <c r="A306" t="inlineStr">
        <is>
          <t>TSP-655</t>
        </is>
      </c>
      <c r="B306" t="inlineStr">
        <is>
          <t>CHEM-1400</t>
        </is>
      </c>
      <c r="C306" t="n">
        <v>4.659257</v>
      </c>
      <c r="D306">
        <f>IFERROR(MATCH($A306,PP_Grid[Intermediate],0),99999)</f>
        <v/>
      </c>
    </row>
    <row r="307">
      <c r="A307" t="inlineStr">
        <is>
          <t>TSP-655</t>
        </is>
      </c>
      <c r="B307" t="inlineStr">
        <is>
          <t>CHEM-1420</t>
        </is>
      </c>
      <c r="C307" t="n">
        <v>2.693816</v>
      </c>
      <c r="D307">
        <f>IFERROR(MATCH($A307,PP_Grid[Intermediate],0),99999)</f>
        <v/>
      </c>
    </row>
    <row r="308">
      <c r="A308" t="inlineStr">
        <is>
          <t>TSP-655</t>
        </is>
      </c>
      <c r="B308" t="inlineStr">
        <is>
          <t>CHEM-1530</t>
        </is>
      </c>
      <c r="C308" t="n">
        <v>82.939705</v>
      </c>
      <c r="D308">
        <f>IFERROR(MATCH($A308,PP_Grid[Intermediate],0),99999)</f>
        <v/>
      </c>
    </row>
    <row r="309">
      <c r="A309" t="inlineStr">
        <is>
          <t>TSP-655</t>
        </is>
      </c>
      <c r="B309" t="inlineStr">
        <is>
          <t>CHEM-1570</t>
        </is>
      </c>
      <c r="C309" t="n">
        <v>0.972734</v>
      </c>
      <c r="D309">
        <f>IFERROR(MATCH($A309,PP_Grid[Intermediate],0),99999)</f>
        <v/>
      </c>
    </row>
    <row r="310">
      <c r="A310" t="inlineStr">
        <is>
          <t>TSP-655</t>
        </is>
      </c>
      <c r="B310" t="inlineStr">
        <is>
          <t>CHEM-1650</t>
        </is>
      </c>
      <c r="C310" t="n">
        <v>0.046992</v>
      </c>
      <c r="D310">
        <f>IFERROR(MATCH($A310,PP_Grid[Intermediate],0),99999)</f>
        <v/>
      </c>
    </row>
    <row r="311">
      <c r="A311" t="inlineStr">
        <is>
          <t>TSP-655</t>
        </is>
      </c>
      <c r="B311" t="inlineStr">
        <is>
          <t>CHEM-1660</t>
        </is>
      </c>
      <c r="C311" t="n">
        <v>11.670463</v>
      </c>
      <c r="D311">
        <f>IFERROR(MATCH($A311,PP_Grid[Intermediate],0),99999)</f>
        <v/>
      </c>
    </row>
    <row r="312">
      <c r="A312" t="inlineStr">
        <is>
          <t>TSP-655</t>
        </is>
      </c>
      <c r="B312" t="inlineStr">
        <is>
          <t>SOL-10H</t>
        </is>
      </c>
      <c r="C312" t="n">
        <v>64.337799</v>
      </c>
      <c r="D312">
        <f>IFERROR(MATCH($A312,PP_Grid[Intermediate],0),99999)</f>
        <v/>
      </c>
    </row>
    <row r="313">
      <c r="A313" t="inlineStr">
        <is>
          <t>TSP-655</t>
        </is>
      </c>
      <c r="B313" t="inlineStr">
        <is>
          <t>TPP-649</t>
        </is>
      </c>
      <c r="C313" t="n">
        <v>32.193044</v>
      </c>
      <c r="D313">
        <f>IFERROR(MATCH($A313,PP_Grid[Intermediate],0),99999)</f>
        <v/>
      </c>
    </row>
    <row r="314">
      <c r="A314" t="inlineStr">
        <is>
          <t>TSP-656</t>
        </is>
      </c>
      <c r="B314" t="inlineStr">
        <is>
          <t>CHEM-1250</t>
        </is>
      </c>
      <c r="C314" t="n">
        <v>5.78292</v>
      </c>
      <c r="D314">
        <f>IFERROR(MATCH($A314,PP_Grid[Intermediate],0),99999)</f>
        <v/>
      </c>
    </row>
    <row r="315">
      <c r="A315" t="inlineStr">
        <is>
          <t>TSP-656</t>
        </is>
      </c>
      <c r="B315" t="inlineStr">
        <is>
          <t>CHEM-1400</t>
        </is>
      </c>
      <c r="C315" t="n">
        <v>2.77398</v>
      </c>
      <c r="D315">
        <f>IFERROR(MATCH($A315,PP_Grid[Intermediate],0),99999)</f>
        <v/>
      </c>
    </row>
    <row r="316">
      <c r="A316" t="inlineStr">
        <is>
          <t>TSP-656</t>
        </is>
      </c>
      <c r="B316" t="inlineStr">
        <is>
          <t>CHEM-1420</t>
        </is>
      </c>
      <c r="C316" t="n">
        <v>1.85196</v>
      </c>
      <c r="D316">
        <f>IFERROR(MATCH($A316,PP_Grid[Intermediate],0),99999)</f>
        <v/>
      </c>
    </row>
    <row r="317">
      <c r="A317" t="inlineStr">
        <is>
          <t>TSP-656</t>
        </is>
      </c>
      <c r="B317" t="inlineStr">
        <is>
          <t>CHEM-1530</t>
        </is>
      </c>
      <c r="C317" t="n">
        <v>36.180086</v>
      </c>
      <c r="D317">
        <f>IFERROR(MATCH($A317,PP_Grid[Intermediate],0),99999)</f>
        <v/>
      </c>
    </row>
    <row r="318">
      <c r="A318" t="inlineStr">
        <is>
          <t>TSP-656</t>
        </is>
      </c>
      <c r="B318" t="inlineStr">
        <is>
          <t>CHEM-1570</t>
        </is>
      </c>
      <c r="C318" t="n">
        <v>0.46068</v>
      </c>
      <c r="D318">
        <f>IFERROR(MATCH($A318,PP_Grid[Intermediate],0),99999)</f>
        <v/>
      </c>
    </row>
    <row r="319">
      <c r="A319" t="inlineStr">
        <is>
          <t>TSP-656</t>
        </is>
      </c>
      <c r="B319" t="inlineStr">
        <is>
          <t>CHEM-1660</t>
        </is>
      </c>
      <c r="C319" t="n">
        <v>6.55182</v>
      </c>
      <c r="D319">
        <f>IFERROR(MATCH($A319,PP_Grid[Intermediate],0),99999)</f>
        <v/>
      </c>
    </row>
    <row r="320">
      <c r="A320" t="inlineStr">
        <is>
          <t>TSP-656</t>
        </is>
      </c>
      <c r="B320" t="inlineStr">
        <is>
          <t>TPP-650</t>
        </is>
      </c>
      <c r="C320" t="n">
        <v>58.15986</v>
      </c>
      <c r="D320">
        <f>IFERROR(MATCH($A320,PP_Grid[Intermediate],0),99999)</f>
        <v/>
      </c>
    </row>
    <row r="321">
      <c r="A321" t="inlineStr">
        <is>
          <t>TSP-668</t>
        </is>
      </c>
      <c r="B321" t="inlineStr">
        <is>
          <t>CHEM-1010</t>
        </is>
      </c>
      <c r="C321" t="n">
        <v>0.456559</v>
      </c>
      <c r="D321">
        <f>IFERROR(MATCH($A321,PP_Grid[Intermediate],0),99999)</f>
        <v/>
      </c>
    </row>
    <row r="322">
      <c r="A322" t="inlineStr">
        <is>
          <t>TSP-668</t>
        </is>
      </c>
      <c r="B322" t="inlineStr">
        <is>
          <t>CHEM-1240</t>
        </is>
      </c>
      <c r="C322" t="n">
        <v>24.151831</v>
      </c>
      <c r="D322">
        <f>IFERROR(MATCH($A322,PP_Grid[Intermediate],0),99999)</f>
        <v/>
      </c>
    </row>
    <row r="323">
      <c r="A323" t="inlineStr">
        <is>
          <t>TSP-668</t>
        </is>
      </c>
      <c r="B323" t="inlineStr">
        <is>
          <t>CHEM-1250</t>
        </is>
      </c>
      <c r="C323" t="n">
        <v>19.289536</v>
      </c>
      <c r="D323">
        <f>IFERROR(MATCH($A323,PP_Grid[Intermediate],0),99999)</f>
        <v/>
      </c>
    </row>
    <row r="324">
      <c r="A324" t="inlineStr">
        <is>
          <t>TSP-668</t>
        </is>
      </c>
      <c r="B324" t="inlineStr">
        <is>
          <t>CHEM-1420</t>
        </is>
      </c>
      <c r="C324" t="n">
        <v>1.116261</v>
      </c>
      <c r="D324">
        <f>IFERROR(MATCH($A324,PP_Grid[Intermediate],0),99999)</f>
        <v/>
      </c>
    </row>
    <row r="325">
      <c r="A325" t="inlineStr">
        <is>
          <t>TSP-668</t>
        </is>
      </c>
      <c r="B325" t="inlineStr">
        <is>
          <t>CHEM-1440</t>
        </is>
      </c>
      <c r="C325" t="n">
        <v>1.902099</v>
      </c>
      <c r="D325">
        <f>IFERROR(MATCH($A325,PP_Grid[Intermediate],0),99999)</f>
        <v/>
      </c>
    </row>
    <row r="326">
      <c r="A326" t="inlineStr">
        <is>
          <t>TSP-668</t>
        </is>
      </c>
      <c r="B326" t="inlineStr">
        <is>
          <t>SOL-20P</t>
        </is>
      </c>
      <c r="C326" t="n">
        <v>18.734478</v>
      </c>
      <c r="D326">
        <f>IFERROR(MATCH($A326,PP_Grid[Intermediate],0),99999)</f>
        <v/>
      </c>
    </row>
    <row r="327">
      <c r="A327" t="inlineStr">
        <is>
          <t>TSP-668</t>
        </is>
      </c>
      <c r="B327" t="inlineStr">
        <is>
          <t>TPP-699</t>
        </is>
      </c>
      <c r="C327" t="n">
        <v>38.800592</v>
      </c>
      <c r="D327">
        <f>IFERROR(MATCH($A327,PP_Grid[Intermediate],0),99999)</f>
        <v/>
      </c>
    </row>
    <row r="328">
      <c r="A328" t="inlineStr">
        <is>
          <t>TSP-669</t>
        </is>
      </c>
      <c r="B328" t="inlineStr">
        <is>
          <t>CHEM-1010</t>
        </is>
      </c>
      <c r="C328" t="n">
        <v>0.388761</v>
      </c>
      <c r="D328">
        <f>IFERROR(MATCH($A328,PP_Grid[Intermediate],0),99999)</f>
        <v/>
      </c>
    </row>
    <row r="329">
      <c r="A329" t="inlineStr">
        <is>
          <t>TSP-669</t>
        </is>
      </c>
      <c r="B329" t="inlineStr">
        <is>
          <t>CHEM-1240</t>
        </is>
      </c>
      <c r="C329" t="n">
        <v>22.435374</v>
      </c>
      <c r="D329">
        <f>IFERROR(MATCH($A329,PP_Grid[Intermediate],0),99999)</f>
        <v/>
      </c>
    </row>
    <row r="330">
      <c r="A330" t="inlineStr">
        <is>
          <t>TSP-669</t>
        </is>
      </c>
      <c r="B330" t="inlineStr">
        <is>
          <t>CHEM-1250</t>
        </is>
      </c>
      <c r="C330" t="n">
        <v>17.918655</v>
      </c>
      <c r="D330">
        <f>IFERROR(MATCH($A330,PP_Grid[Intermediate],0),99999)</f>
        <v/>
      </c>
    </row>
    <row r="331">
      <c r="A331" t="inlineStr">
        <is>
          <t>TSP-669</t>
        </is>
      </c>
      <c r="B331" t="inlineStr">
        <is>
          <t>CHEM-1420</t>
        </is>
      </c>
      <c r="C331" t="n">
        <v>1.154745</v>
      </c>
      <c r="D331">
        <f>IFERROR(MATCH($A331,PP_Grid[Intermediate],0),99999)</f>
        <v/>
      </c>
    </row>
    <row r="332">
      <c r="A332" t="inlineStr">
        <is>
          <t>TSP-669</t>
        </is>
      </c>
      <c r="B332" t="inlineStr">
        <is>
          <t>CHEM-1440</t>
        </is>
      </c>
      <c r="C332" t="n">
        <v>1.41327</v>
      </c>
      <c r="D332">
        <f>IFERROR(MATCH($A332,PP_Grid[Intermediate],0),99999)</f>
        <v/>
      </c>
    </row>
    <row r="333">
      <c r="A333" t="inlineStr">
        <is>
          <t>TSP-669</t>
        </is>
      </c>
      <c r="B333" t="inlineStr">
        <is>
          <t>SOL-20P</t>
        </is>
      </c>
      <c r="C333" t="n">
        <v>15.952447</v>
      </c>
      <c r="D333">
        <f>IFERROR(MATCH($A333,PP_Grid[Intermediate],0),99999)</f>
        <v/>
      </c>
    </row>
    <row r="334">
      <c r="A334" t="inlineStr">
        <is>
          <t>TSP-669</t>
        </is>
      </c>
      <c r="B334" t="inlineStr">
        <is>
          <t>TPP-700</t>
        </is>
      </c>
      <c r="C334" t="n">
        <v>35.983233</v>
      </c>
      <c r="D334">
        <f>IFERROR(MATCH($A334,PP_Grid[Intermediate],0),99999)</f>
        <v/>
      </c>
    </row>
    <row r="335">
      <c r="A335" t="inlineStr">
        <is>
          <t>TSP-670</t>
        </is>
      </c>
      <c r="B335" t="inlineStr">
        <is>
          <t>CHEM-1010</t>
        </is>
      </c>
      <c r="C335" t="n">
        <v>0.288721</v>
      </c>
      <c r="D335">
        <f>IFERROR(MATCH($A335,PP_Grid[Intermediate],0),99999)</f>
        <v/>
      </c>
    </row>
    <row r="336">
      <c r="A336" t="inlineStr">
        <is>
          <t>TSP-670</t>
        </is>
      </c>
      <c r="B336" t="inlineStr">
        <is>
          <t>CHEM-1240</t>
        </is>
      </c>
      <c r="C336" t="n">
        <v>22.909854</v>
      </c>
      <c r="D336">
        <f>IFERROR(MATCH($A336,PP_Grid[Intermediate],0),99999)</f>
        <v/>
      </c>
    </row>
    <row r="337">
      <c r="A337" t="inlineStr">
        <is>
          <t>TSP-670</t>
        </is>
      </c>
      <c r="B337" t="inlineStr">
        <is>
          <t>CHEM-1250</t>
        </is>
      </c>
      <c r="C337" t="n">
        <v>18.297659</v>
      </c>
      <c r="D337">
        <f>IFERROR(MATCH($A337,PP_Grid[Intermediate],0),99999)</f>
        <v/>
      </c>
    </row>
    <row r="338">
      <c r="A338" t="inlineStr">
        <is>
          <t>TSP-670</t>
        </is>
      </c>
      <c r="B338" t="inlineStr">
        <is>
          <t>CHEM-1420</t>
        </is>
      </c>
      <c r="C338" t="n">
        <v>1.166814</v>
      </c>
      <c r="D338">
        <f>IFERROR(MATCH($A338,PP_Grid[Intermediate],0),99999)</f>
        <v/>
      </c>
    </row>
    <row r="339">
      <c r="A339" t="inlineStr">
        <is>
          <t>TSP-670</t>
        </is>
      </c>
      <c r="B339" t="inlineStr">
        <is>
          <t>CHEM-1440</t>
        </is>
      </c>
      <c r="C339" t="n">
        <v>1.443288</v>
      </c>
      <c r="D339">
        <f>IFERROR(MATCH($A339,PP_Grid[Intermediate],0),99999)</f>
        <v/>
      </c>
    </row>
    <row r="340">
      <c r="A340" t="inlineStr">
        <is>
          <t>TSP-670</t>
        </is>
      </c>
      <c r="B340" t="inlineStr">
        <is>
          <t>SOL-20P</t>
        </is>
      </c>
      <c r="C340" t="n">
        <v>11.84738</v>
      </c>
      <c r="D340">
        <f>IFERROR(MATCH($A340,PP_Grid[Intermediate],0),99999)</f>
        <v/>
      </c>
    </row>
    <row r="341">
      <c r="A341" t="inlineStr">
        <is>
          <t>TSP-670</t>
        </is>
      </c>
      <c r="B341" t="inlineStr">
        <is>
          <t>TPP-701</t>
        </is>
      </c>
      <c r="C341" t="n">
        <v>36.564858</v>
      </c>
      <c r="D341">
        <f>IFERROR(MATCH($A341,PP_Grid[Intermediate],0),99999)</f>
        <v/>
      </c>
    </row>
    <row r="342">
      <c r="A342" t="inlineStr">
        <is>
          <t>TSP-710</t>
        </is>
      </c>
      <c r="B342" t="inlineStr">
        <is>
          <t>CHEM-1400</t>
        </is>
      </c>
      <c r="C342" t="n">
        <v>3.514668</v>
      </c>
      <c r="D342">
        <f>IFERROR(MATCH($A342,PP_Grid[Intermediate],0),99999)</f>
        <v/>
      </c>
    </row>
    <row r="343">
      <c r="A343" t="inlineStr">
        <is>
          <t>TSP-710</t>
        </is>
      </c>
      <c r="B343" t="inlineStr">
        <is>
          <t>CHEM-1420</t>
        </is>
      </c>
      <c r="C343" t="n">
        <v>0.333498</v>
      </c>
      <c r="D343">
        <f>IFERROR(MATCH($A343,PP_Grid[Intermediate],0),99999)</f>
        <v/>
      </c>
    </row>
    <row r="344">
      <c r="A344" t="inlineStr">
        <is>
          <t>TSP-710</t>
        </is>
      </c>
      <c r="B344" t="inlineStr">
        <is>
          <t>CHEM-1440</t>
        </is>
      </c>
      <c r="C344" t="n">
        <v>0.36081</v>
      </c>
      <c r="D344">
        <f>IFERROR(MATCH($A344,PP_Grid[Intermediate],0),99999)</f>
        <v/>
      </c>
    </row>
    <row r="345">
      <c r="A345" t="inlineStr">
        <is>
          <t>TSP-710</t>
        </is>
      </c>
      <c r="B345" t="inlineStr">
        <is>
          <t>CHEM-1510</t>
        </is>
      </c>
      <c r="C345" t="n">
        <v>4.334038</v>
      </c>
      <c r="D345">
        <f>IFERROR(MATCH($A345,PP_Grid[Intermediate],0),99999)</f>
        <v/>
      </c>
    </row>
    <row r="346">
      <c r="A346" t="inlineStr">
        <is>
          <t>TSP-710</t>
        </is>
      </c>
      <c r="B346" t="inlineStr">
        <is>
          <t>CHEM-1560</t>
        </is>
      </c>
      <c r="C346" t="n">
        <v>4.518037</v>
      </c>
      <c r="D346">
        <f>IFERROR(MATCH($A346,PP_Grid[Intermediate],0),99999)</f>
        <v/>
      </c>
    </row>
    <row r="347">
      <c r="A347" t="inlineStr">
        <is>
          <t>TSP-710</t>
        </is>
      </c>
      <c r="B347" t="inlineStr">
        <is>
          <t>CHEM-1580</t>
        </is>
      </c>
      <c r="C347" t="n">
        <v>20.119138</v>
      </c>
      <c r="D347">
        <f>IFERROR(MATCH($A347,PP_Grid[Intermediate],0),99999)</f>
        <v/>
      </c>
    </row>
    <row r="348">
      <c r="A348" t="inlineStr">
        <is>
          <t>TSP-710</t>
        </is>
      </c>
      <c r="B348" t="inlineStr">
        <is>
          <t>TPP-704</t>
        </is>
      </c>
      <c r="C348" t="n">
        <v>122.981753</v>
      </c>
      <c r="D348">
        <f>IFERROR(MATCH($A348,PP_Grid[Intermediate],0),99999)</f>
        <v/>
      </c>
    </row>
    <row r="349">
      <c r="A349" t="inlineStr">
        <is>
          <t>TSP-828</t>
        </is>
      </c>
      <c r="B349" t="inlineStr">
        <is>
          <t>CHEM-1010</t>
        </is>
      </c>
      <c r="C349" t="n">
        <v>0.169867</v>
      </c>
      <c r="D349">
        <f>IFERROR(MATCH($A349,PP_Grid[Intermediate],0),99999)</f>
        <v/>
      </c>
    </row>
    <row r="350">
      <c r="A350" t="inlineStr">
        <is>
          <t>TSP-828</t>
        </is>
      </c>
      <c r="B350" t="inlineStr">
        <is>
          <t>CHEM-1400</t>
        </is>
      </c>
      <c r="C350" t="n">
        <v>3.060643</v>
      </c>
      <c r="D350">
        <f>IFERROR(MATCH($A350,PP_Grid[Intermediate],0),99999)</f>
        <v/>
      </c>
    </row>
    <row r="351">
      <c r="A351" t="inlineStr">
        <is>
          <t>TSP-828</t>
        </is>
      </c>
      <c r="B351" t="inlineStr">
        <is>
          <t>CHEM-1420</t>
        </is>
      </c>
      <c r="C351" t="n">
        <v>0.884738</v>
      </c>
      <c r="D351">
        <f>IFERROR(MATCH($A351,PP_Grid[Intermediate],0),99999)</f>
        <v/>
      </c>
    </row>
    <row r="352">
      <c r="A352" t="inlineStr">
        <is>
          <t>TSP-828</t>
        </is>
      </c>
      <c r="B352" t="inlineStr">
        <is>
          <t>CHEM-1440</t>
        </is>
      </c>
      <c r="C352" t="n">
        <v>0.695722</v>
      </c>
      <c r="D352">
        <f>IFERROR(MATCH($A352,PP_Grid[Intermediate],0),99999)</f>
        <v/>
      </c>
    </row>
    <row r="353">
      <c r="A353" t="inlineStr">
        <is>
          <t>TSP-828</t>
        </is>
      </c>
      <c r="B353" t="inlineStr">
        <is>
          <t>CHEM-1570</t>
        </is>
      </c>
      <c r="C353" t="n">
        <v>0.02396</v>
      </c>
      <c r="D353">
        <f>IFERROR(MATCH($A353,PP_Grid[Intermediate],0),99999)</f>
        <v/>
      </c>
    </row>
    <row r="354">
      <c r="A354" t="inlineStr">
        <is>
          <t>TSP-828</t>
        </is>
      </c>
      <c r="B354" t="inlineStr">
        <is>
          <t>CHEM-1600</t>
        </is>
      </c>
      <c r="C354" t="n">
        <v>3.61438</v>
      </c>
      <c r="D354">
        <f>IFERROR(MATCH($A354,PP_Grid[Intermediate],0),99999)</f>
        <v/>
      </c>
    </row>
    <row r="355">
      <c r="A355" t="inlineStr">
        <is>
          <t>TSP-828</t>
        </is>
      </c>
      <c r="B355" t="inlineStr">
        <is>
          <t>SOL-20P</t>
        </is>
      </c>
      <c r="C355" t="n">
        <v>6.970346</v>
      </c>
      <c r="D355">
        <f>IFERROR(MATCH($A355,PP_Grid[Intermediate],0),99999)</f>
        <v/>
      </c>
    </row>
    <row r="356">
      <c r="A356" t="inlineStr">
        <is>
          <t>TSP-828</t>
        </is>
      </c>
      <c r="B356" t="inlineStr">
        <is>
          <t>TPP-825</t>
        </is>
      </c>
      <c r="C356" t="n">
        <v>29.76872</v>
      </c>
      <c r="D356">
        <f>IFERROR(MATCH($A356,PP_Grid[Intermediate],0),99999)</f>
        <v/>
      </c>
    </row>
    <row r="357">
      <c r="A357" t="inlineStr">
        <is>
          <t>TSP-903</t>
        </is>
      </c>
      <c r="B357" t="inlineStr">
        <is>
          <t>CHEM-1400</t>
        </is>
      </c>
      <c r="C357" t="n">
        <v>3.395908</v>
      </c>
      <c r="D357">
        <f>IFERROR(MATCH($A357,PP_Grid[Intermediate],0),99999)</f>
        <v/>
      </c>
    </row>
    <row r="358">
      <c r="A358" t="inlineStr">
        <is>
          <t>TSP-903</t>
        </is>
      </c>
      <c r="B358" t="inlineStr">
        <is>
          <t>CHEM-1420</t>
        </is>
      </c>
      <c r="C358" t="n">
        <v>0.540933</v>
      </c>
      <c r="D358">
        <f>IFERROR(MATCH($A358,PP_Grid[Intermediate],0),99999)</f>
        <v/>
      </c>
    </row>
    <row r="359">
      <c r="A359" t="inlineStr">
        <is>
          <t>TSP-903</t>
        </is>
      </c>
      <c r="B359" t="inlineStr">
        <is>
          <t>CHEM-1440</t>
        </is>
      </c>
      <c r="C359" t="n">
        <v>0.523832</v>
      </c>
      <c r="D359">
        <f>IFERROR(MATCH($A359,PP_Grid[Intermediate],0),99999)</f>
        <v/>
      </c>
    </row>
    <row r="360">
      <c r="A360" t="inlineStr">
        <is>
          <t>TSP-903</t>
        </is>
      </c>
      <c r="B360" t="inlineStr">
        <is>
          <t>CHEM-1530</t>
        </is>
      </c>
      <c r="C360" t="n">
        <v>13.287512</v>
      </c>
      <c r="D360">
        <f>IFERROR(MATCH($A360,PP_Grid[Intermediate],0),99999)</f>
        <v/>
      </c>
    </row>
    <row r="361">
      <c r="A361" t="inlineStr">
        <is>
          <t>TSP-903</t>
        </is>
      </c>
      <c r="B361" t="inlineStr">
        <is>
          <t>CHEM-1570</t>
        </is>
      </c>
      <c r="C361" t="n">
        <v>0.018001</v>
      </c>
      <c r="D361">
        <f>IFERROR(MATCH($A361,PP_Grid[Intermediate],0),99999)</f>
        <v/>
      </c>
    </row>
    <row r="362">
      <c r="A362" t="inlineStr">
        <is>
          <t>TSP-903</t>
        </is>
      </c>
      <c r="B362" t="inlineStr">
        <is>
          <t>CHEM-1650</t>
        </is>
      </c>
      <c r="C362" t="n">
        <v>0.036002</v>
      </c>
      <c r="D362">
        <f>IFERROR(MATCH($A362,PP_Grid[Intermediate],0),99999)</f>
        <v/>
      </c>
    </row>
    <row r="363">
      <c r="A363" t="inlineStr">
        <is>
          <t>TSP-903</t>
        </is>
      </c>
      <c r="B363" t="inlineStr">
        <is>
          <t>CHEM-1670</t>
        </is>
      </c>
      <c r="C363" t="n">
        <v>3.001683</v>
      </c>
      <c r="D363">
        <f>IFERROR(MATCH($A363,PP_Grid[Intermediate],0),99999)</f>
        <v/>
      </c>
    </row>
    <row r="364">
      <c r="A364" t="inlineStr">
        <is>
          <t>TSP-903</t>
        </is>
      </c>
      <c r="B364" t="inlineStr">
        <is>
          <t>CHEM-1690</t>
        </is>
      </c>
      <c r="C364" t="n">
        <v>8.734133999999999</v>
      </c>
      <c r="D364">
        <f>IFERROR(MATCH($A364,PP_Grid[Intermediate],0),99999)</f>
        <v/>
      </c>
    </row>
    <row r="365">
      <c r="A365" t="inlineStr">
        <is>
          <t>TSP-903</t>
        </is>
      </c>
      <c r="B365" t="inlineStr">
        <is>
          <t>CHEM-1770</t>
        </is>
      </c>
      <c r="C365" t="n">
        <v>43.716452</v>
      </c>
      <c r="D365">
        <f>IFERROR(MATCH($A365,PP_Grid[Intermediate],0),99999)</f>
        <v/>
      </c>
    </row>
    <row r="366">
      <c r="A366" t="inlineStr">
        <is>
          <t>TSP-903</t>
        </is>
      </c>
      <c r="B366" t="inlineStr">
        <is>
          <t>CHEM-1780</t>
        </is>
      </c>
      <c r="C366" t="n">
        <v>0.051303</v>
      </c>
      <c r="D366">
        <f>IFERROR(MATCH($A366,PP_Grid[Intermediate],0),99999)</f>
        <v/>
      </c>
    </row>
    <row r="367">
      <c r="A367" t="inlineStr">
        <is>
          <t>TSP-903</t>
        </is>
      </c>
      <c r="B367" t="inlineStr">
        <is>
          <t>SOL-10H</t>
        </is>
      </c>
      <c r="C367" t="n">
        <v>10.907124</v>
      </c>
      <c r="D367">
        <f>IFERROR(MATCH($A367,PP_Grid[Intermediate],0),99999)</f>
        <v/>
      </c>
    </row>
    <row r="368">
      <c r="A368" t="inlineStr">
        <is>
          <t>TSP-903</t>
        </is>
      </c>
      <c r="B368" t="inlineStr">
        <is>
          <t>TPP-635</t>
        </is>
      </c>
      <c r="C368" t="n">
        <v>43.759774</v>
      </c>
      <c r="D368">
        <f>IFERROR(MATCH($A368,PP_Grid[Intermediate],0),99999)</f>
        <v/>
      </c>
    </row>
    <row r="369">
      <c r="A369" t="inlineStr">
        <is>
          <t>TSP-924</t>
        </is>
      </c>
      <c r="B369" t="inlineStr">
        <is>
          <t>CHEM-1420</t>
        </is>
      </c>
      <c r="C369" t="n">
        <v>0.860226</v>
      </c>
      <c r="D369">
        <f>IFERROR(MATCH($A369,PP_Grid[Intermediate],0),99999)</f>
        <v/>
      </c>
    </row>
    <row r="370">
      <c r="A370" t="inlineStr">
        <is>
          <t>TSP-924</t>
        </is>
      </c>
      <c r="B370" t="inlineStr">
        <is>
          <t>CHEM-1440</t>
        </is>
      </c>
      <c r="C370" t="n">
        <v>1.811469</v>
      </c>
      <c r="D370">
        <f>IFERROR(MATCH($A370,PP_Grid[Intermediate],0),99999)</f>
        <v/>
      </c>
    </row>
    <row r="371">
      <c r="A371" t="inlineStr">
        <is>
          <t>TSP-924</t>
        </is>
      </c>
      <c r="B371" t="inlineStr">
        <is>
          <t>CHEM-1510</t>
        </is>
      </c>
      <c r="C371" t="n">
        <v>0.441417</v>
      </c>
      <c r="D371">
        <f>IFERROR(MATCH($A371,PP_Grid[Intermediate],0),99999)</f>
        <v/>
      </c>
    </row>
    <row r="372">
      <c r="A372" t="inlineStr">
        <is>
          <t>TSP-924</t>
        </is>
      </c>
      <c r="B372" t="inlineStr">
        <is>
          <t>CHEM-1570</t>
        </is>
      </c>
      <c r="C372" t="n">
        <v>0.014724</v>
      </c>
      <c r="D372">
        <f>IFERROR(MATCH($A372,PP_Grid[Intermediate],0),99999)</f>
        <v/>
      </c>
    </row>
    <row r="373">
      <c r="A373" t="inlineStr">
        <is>
          <t>TSP-924</t>
        </is>
      </c>
      <c r="B373" t="inlineStr">
        <is>
          <t>CHEM-1600</t>
        </is>
      </c>
      <c r="C373" t="n">
        <v>15.039556</v>
      </c>
      <c r="D373">
        <f>IFERROR(MATCH($A373,PP_Grid[Intermediate],0),99999)</f>
        <v/>
      </c>
    </row>
    <row r="374">
      <c r="A374" t="inlineStr">
        <is>
          <t>TSP-924</t>
        </is>
      </c>
      <c r="B374" t="inlineStr">
        <is>
          <t>CHEM-1730</t>
        </is>
      </c>
      <c r="C374" t="n">
        <v>51.744442</v>
      </c>
      <c r="D374">
        <f>IFERROR(MATCH($A374,PP_Grid[Intermediate],0),99999)</f>
        <v/>
      </c>
    </row>
    <row r="375">
      <c r="A375" t="inlineStr">
        <is>
          <t>TSP-924</t>
        </is>
      </c>
      <c r="B375" t="inlineStr">
        <is>
          <t>TPP-911</t>
        </is>
      </c>
      <c r="C375" t="n">
        <v>52.100811</v>
      </c>
      <c r="D375">
        <f>IFERROR(MATCH($A375,PP_Grid[Intermediate],0),99999)</f>
        <v/>
      </c>
    </row>
    <row r="376">
      <c r="A376" t="inlineStr">
        <is>
          <t>TSP-924</t>
        </is>
      </c>
      <c r="B376" t="inlineStr">
        <is>
          <t>TSZ-616</t>
        </is>
      </c>
      <c r="C376" t="n">
        <v>14.723732</v>
      </c>
      <c r="D376">
        <f>IFERROR(MATCH($A376,PP_Grid[Intermediate],0),99999)</f>
        <v/>
      </c>
    </row>
    <row r="377">
      <c r="A377" t="inlineStr">
        <is>
          <t>TSP-925</t>
        </is>
      </c>
      <c r="B377" t="inlineStr">
        <is>
          <t>CHEM-1420</t>
        </is>
      </c>
      <c r="C377" t="n">
        <v>0.866912</v>
      </c>
      <c r="D377">
        <f>IFERROR(MATCH($A377,PP_Grid[Intermediate],0),99999)</f>
        <v/>
      </c>
    </row>
    <row r="378">
      <c r="A378" t="inlineStr">
        <is>
          <t>TSP-925</t>
        </is>
      </c>
      <c r="B378" t="inlineStr">
        <is>
          <t>CHEM-1440</t>
        </is>
      </c>
      <c r="C378" t="n">
        <v>1.824845</v>
      </c>
      <c r="D378">
        <f>IFERROR(MATCH($A378,PP_Grid[Intermediate],0),99999)</f>
        <v/>
      </c>
    </row>
    <row r="379">
      <c r="A379" t="inlineStr">
        <is>
          <t>TSP-925</t>
        </is>
      </c>
      <c r="B379" t="inlineStr">
        <is>
          <t>CHEM-1510</t>
        </is>
      </c>
      <c r="C379" t="n">
        <v>0.444626</v>
      </c>
      <c r="D379">
        <f>IFERROR(MATCH($A379,PP_Grid[Intermediate],0),99999)</f>
        <v/>
      </c>
    </row>
    <row r="380">
      <c r="A380" t="inlineStr">
        <is>
          <t>TSP-925</t>
        </is>
      </c>
      <c r="B380" t="inlineStr">
        <is>
          <t>CHEM-1570</t>
        </is>
      </c>
      <c r="C380" t="n">
        <v>0.014831</v>
      </c>
      <c r="D380">
        <f>IFERROR(MATCH($A380,PP_Grid[Intermediate],0),99999)</f>
        <v/>
      </c>
    </row>
    <row r="381">
      <c r="A381" t="inlineStr">
        <is>
          <t>TSP-925</t>
        </is>
      </c>
      <c r="B381" t="inlineStr">
        <is>
          <t>CHEM-1600</t>
        </is>
      </c>
      <c r="C381" t="n">
        <v>15.14887</v>
      </c>
      <c r="D381">
        <f>IFERROR(MATCH($A381,PP_Grid[Intermediate],0),99999)</f>
        <v/>
      </c>
    </row>
    <row r="382">
      <c r="A382" t="inlineStr">
        <is>
          <t>TSP-925</t>
        </is>
      </c>
      <c r="B382" t="inlineStr">
        <is>
          <t>CHEM-1730</t>
        </is>
      </c>
      <c r="C382" t="n">
        <v>52.118193</v>
      </c>
      <c r="D382">
        <f>IFERROR(MATCH($A382,PP_Grid[Intermediate],0),99999)</f>
        <v/>
      </c>
    </row>
    <row r="383">
      <c r="A383" t="inlineStr">
        <is>
          <t>TSP-925</t>
        </is>
      </c>
      <c r="B383" t="inlineStr">
        <is>
          <t>TPP-912</t>
        </is>
      </c>
      <c r="C383" t="n">
        <v>51.67841</v>
      </c>
      <c r="D383">
        <f>IFERROR(MATCH($A383,PP_Grid[Intermediate],0),99999)</f>
        <v/>
      </c>
    </row>
    <row r="384">
      <c r="A384" t="inlineStr">
        <is>
          <t>TSP-925</t>
        </is>
      </c>
      <c r="B384" t="inlineStr">
        <is>
          <t>TSZ-616</t>
        </is>
      </c>
      <c r="C384" t="n">
        <v>14.83075</v>
      </c>
      <c r="D384">
        <f>IFERROR(MATCH($A384,PP_Grid[Intermediate],0),99999)</f>
        <v/>
      </c>
    </row>
    <row r="385">
      <c r="A385" t="inlineStr">
        <is>
          <t>TSP-927</t>
        </is>
      </c>
      <c r="B385" t="inlineStr">
        <is>
          <t>CHEM-1420</t>
        </is>
      </c>
      <c r="C385" t="n">
        <v>0.3825</v>
      </c>
      <c r="D385">
        <f>IFERROR(MATCH($A385,PP_Grid[Intermediate],0),99999)</f>
        <v/>
      </c>
    </row>
    <row r="386">
      <c r="A386" t="inlineStr">
        <is>
          <t>TSP-927</t>
        </is>
      </c>
      <c r="B386" t="inlineStr">
        <is>
          <t>CHEM-1440</t>
        </is>
      </c>
      <c r="C386" t="n">
        <v>1.4433</v>
      </c>
      <c r="D386">
        <f>IFERROR(MATCH($A386,PP_Grid[Intermediate],0),99999)</f>
        <v/>
      </c>
    </row>
    <row r="387">
      <c r="A387" t="inlineStr">
        <is>
          <t>TSP-927</t>
        </is>
      </c>
      <c r="B387" t="inlineStr">
        <is>
          <t>CHEM-1540</t>
        </is>
      </c>
      <c r="C387" t="n">
        <v>64.69987500000001</v>
      </c>
      <c r="D387">
        <f>IFERROR(MATCH($A387,PP_Grid[Intermediate],0),99999)</f>
        <v/>
      </c>
    </row>
    <row r="388">
      <c r="A388" t="inlineStr">
        <is>
          <t>TSP-927</t>
        </is>
      </c>
      <c r="B388" t="inlineStr">
        <is>
          <t>CHEM-1680</t>
        </is>
      </c>
      <c r="C388" t="n">
        <v>26.254263</v>
      </c>
      <c r="D388">
        <f>IFERROR(MATCH($A388,PP_Grid[Intermediate],0),99999)</f>
        <v/>
      </c>
    </row>
    <row r="389">
      <c r="A389" t="inlineStr">
        <is>
          <t>TSP-927</t>
        </is>
      </c>
      <c r="B389" t="inlineStr">
        <is>
          <t>CHEM-1720</t>
        </is>
      </c>
      <c r="C389" t="n">
        <v>6.7983</v>
      </c>
      <c r="D389">
        <f>IFERROR(MATCH($A389,PP_Grid[Intermediate],0),99999)</f>
        <v/>
      </c>
    </row>
    <row r="390">
      <c r="A390" t="inlineStr">
        <is>
          <t>TSP-927</t>
        </is>
      </c>
      <c r="B390" t="inlineStr">
        <is>
          <t>SOL-SH</t>
        </is>
      </c>
      <c r="C390" t="n">
        <v>6.406799</v>
      </c>
      <c r="D390">
        <f>IFERROR(MATCH($A390,PP_Grid[Intermediate],0),99999)</f>
        <v/>
      </c>
    </row>
    <row r="391">
      <c r="A391" t="inlineStr">
        <is>
          <t>TSP-927</t>
        </is>
      </c>
      <c r="B391" t="inlineStr">
        <is>
          <t>TPP-914</t>
        </is>
      </c>
      <c r="C391" t="n">
        <v>25.636425</v>
      </c>
      <c r="D391">
        <f>IFERROR(MATCH($A391,PP_Grid[Intermediate],0),99999)</f>
        <v/>
      </c>
    </row>
    <row r="392">
      <c r="A392" t="inlineStr">
        <is>
          <t>TSP-928</t>
        </is>
      </c>
      <c r="B392" t="inlineStr">
        <is>
          <t>CHEM-1420</t>
        </is>
      </c>
      <c r="C392" t="n">
        <v>0.377996</v>
      </c>
      <c r="D392">
        <f>IFERROR(MATCH($A392,PP_Grid[Intermediate],0),99999)</f>
        <v/>
      </c>
    </row>
    <row r="393">
      <c r="A393" t="inlineStr">
        <is>
          <t>TSP-928</t>
        </is>
      </c>
      <c r="B393" t="inlineStr">
        <is>
          <t>CHEM-1440</t>
        </is>
      </c>
      <c r="C393" t="n">
        <v>1.426304</v>
      </c>
      <c r="D393">
        <f>IFERROR(MATCH($A393,PP_Grid[Intermediate],0),99999)</f>
        <v/>
      </c>
    </row>
    <row r="394">
      <c r="A394" t="inlineStr">
        <is>
          <t>TSP-928</t>
        </is>
      </c>
      <c r="B394" t="inlineStr">
        <is>
          <t>CHEM-1540</t>
        </is>
      </c>
      <c r="C394" t="n">
        <v>63.959409</v>
      </c>
      <c r="D394">
        <f>IFERROR(MATCH($A394,PP_Grid[Intermediate],0),99999)</f>
        <v/>
      </c>
    </row>
    <row r="395">
      <c r="A395" t="inlineStr">
        <is>
          <t>TSP-928</t>
        </is>
      </c>
      <c r="B395" t="inlineStr">
        <is>
          <t>CHEM-1680</t>
        </is>
      </c>
      <c r="C395" t="n">
        <v>25.953272</v>
      </c>
      <c r="D395">
        <f>IFERROR(MATCH($A395,PP_Grid[Intermediate],0),99999)</f>
        <v/>
      </c>
    </row>
    <row r="396">
      <c r="A396" t="inlineStr">
        <is>
          <t>TSP-928</t>
        </is>
      </c>
      <c r="B396" t="inlineStr">
        <is>
          <t>CHEM-1720</t>
        </is>
      </c>
      <c r="C396" t="n">
        <v>6.719505</v>
      </c>
      <c r="D396">
        <f>IFERROR(MATCH($A396,PP_Grid[Intermediate],0),99999)</f>
        <v/>
      </c>
    </row>
    <row r="397">
      <c r="A397" t="inlineStr">
        <is>
          <t>TSP-928</t>
        </is>
      </c>
      <c r="B397" t="inlineStr">
        <is>
          <t>SOL-SH</t>
        </is>
      </c>
      <c r="C397" t="n">
        <v>4.748907</v>
      </c>
      <c r="D397">
        <f>IFERROR(MATCH($A397,PP_Grid[Intermediate],0),99999)</f>
        <v/>
      </c>
    </row>
    <row r="398">
      <c r="A398" t="inlineStr">
        <is>
          <t>TSP-928</t>
        </is>
      </c>
      <c r="B398" t="inlineStr">
        <is>
          <t>TPP-915</t>
        </is>
      </c>
      <c r="C398" t="n">
        <v>25.300519</v>
      </c>
      <c r="D398">
        <f>IFERROR(MATCH($A398,PP_Grid[Intermediate],0),99999)</f>
        <v/>
      </c>
    </row>
    <row r="399">
      <c r="A399" t="inlineStr">
        <is>
          <t>TSP-929</t>
        </is>
      </c>
      <c r="B399" t="inlineStr">
        <is>
          <t>CHEM-1420</t>
        </is>
      </c>
      <c r="C399" t="n">
        <v>0.387</v>
      </c>
      <c r="D399">
        <f>IFERROR(MATCH($A399,PP_Grid[Intermediate],0),99999)</f>
        <v/>
      </c>
    </row>
    <row r="400">
      <c r="A400" t="inlineStr">
        <is>
          <t>TSP-929</t>
        </is>
      </c>
      <c r="B400" t="inlineStr">
        <is>
          <t>CHEM-1440</t>
        </is>
      </c>
      <c r="C400" t="n">
        <v>1.46157</v>
      </c>
      <c r="D400">
        <f>IFERROR(MATCH($A400,PP_Grid[Intermediate],0),99999)</f>
        <v/>
      </c>
    </row>
    <row r="401">
      <c r="A401" t="inlineStr">
        <is>
          <t>TSP-929</t>
        </is>
      </c>
      <c r="B401" t="inlineStr">
        <is>
          <t>CHEM-1540</t>
        </is>
      </c>
      <c r="C401" t="n">
        <v>65.51007</v>
      </c>
      <c r="D401">
        <f>IFERROR(MATCH($A401,PP_Grid[Intermediate],0),99999)</f>
        <v/>
      </c>
    </row>
    <row r="402">
      <c r="A402" t="inlineStr">
        <is>
          <t>TSP-929</t>
        </is>
      </c>
      <c r="B402" t="inlineStr">
        <is>
          <t>CHEM-1680</t>
        </is>
      </c>
      <c r="C402" t="n">
        <v>26.581916</v>
      </c>
      <c r="D402">
        <f>IFERROR(MATCH($A402,PP_Grid[Intermediate],0),99999)</f>
        <v/>
      </c>
    </row>
    <row r="403">
      <c r="A403" t="inlineStr">
        <is>
          <t>TSP-929</t>
        </is>
      </c>
      <c r="B403" t="inlineStr">
        <is>
          <t>CHEM-1720</t>
        </is>
      </c>
      <c r="C403" t="n">
        <v>6.88344</v>
      </c>
      <c r="D403">
        <f>IFERROR(MATCH($A403,PP_Grid[Intermediate],0),99999)</f>
        <v/>
      </c>
    </row>
    <row r="404">
      <c r="A404" t="inlineStr">
        <is>
          <t>TSP-929</t>
        </is>
      </c>
      <c r="B404" t="inlineStr">
        <is>
          <t>SOL-SH</t>
        </is>
      </c>
      <c r="C404" t="n">
        <v>2.919035</v>
      </c>
      <c r="D404">
        <f>IFERROR(MATCH($A404,PP_Grid[Intermediate],0),99999)</f>
        <v/>
      </c>
    </row>
    <row r="405">
      <c r="A405" t="inlineStr">
        <is>
          <t>TSP-929</t>
        </is>
      </c>
      <c r="B405" t="inlineStr">
        <is>
          <t>TPP-916</t>
        </is>
      </c>
      <c r="C405" t="n">
        <v>25.86192</v>
      </c>
      <c r="D405">
        <f>IFERROR(MATCH($A405,PP_Grid[Intermediate],0),99999)</f>
        <v/>
      </c>
    </row>
    <row r="406">
      <c r="A406" t="inlineStr">
        <is>
          <t>TSP-930</t>
        </is>
      </c>
      <c r="B406" t="inlineStr">
        <is>
          <t>CHEM-1420</t>
        </is>
      </c>
      <c r="C406" t="n">
        <v>0.387</v>
      </c>
      <c r="D406">
        <f>IFERROR(MATCH($A406,PP_Grid[Intermediate],0),99999)</f>
        <v/>
      </c>
    </row>
    <row r="407">
      <c r="A407" t="inlineStr">
        <is>
          <t>TSP-930</t>
        </is>
      </c>
      <c r="B407" t="inlineStr">
        <is>
          <t>CHEM-1440</t>
        </is>
      </c>
      <c r="C407" t="n">
        <v>1.46157</v>
      </c>
      <c r="D407">
        <f>IFERROR(MATCH($A407,PP_Grid[Intermediate],0),99999)</f>
        <v/>
      </c>
    </row>
    <row r="408">
      <c r="A408" t="inlineStr">
        <is>
          <t>TSP-930</t>
        </is>
      </c>
      <c r="B408" t="inlineStr">
        <is>
          <t>CHEM-1540</t>
        </is>
      </c>
      <c r="C408" t="n">
        <v>65.52297</v>
      </c>
      <c r="D408">
        <f>IFERROR(MATCH($A408,PP_Grid[Intermediate],0),99999)</f>
        <v/>
      </c>
    </row>
    <row r="409">
      <c r="A409" t="inlineStr">
        <is>
          <t>TSP-930</t>
        </is>
      </c>
      <c r="B409" t="inlineStr">
        <is>
          <t>CHEM-1680</t>
        </is>
      </c>
      <c r="C409" t="n">
        <v>26.587318</v>
      </c>
      <c r="D409">
        <f>IFERROR(MATCH($A409,PP_Grid[Intermediate],0),99999)</f>
        <v/>
      </c>
    </row>
    <row r="410">
      <c r="A410" t="inlineStr">
        <is>
          <t>TSP-930</t>
        </is>
      </c>
      <c r="B410" t="inlineStr">
        <is>
          <t>CHEM-1720</t>
        </is>
      </c>
      <c r="C410" t="n">
        <v>6.88473</v>
      </c>
      <c r="D410">
        <f>IFERROR(MATCH($A410,PP_Grid[Intermediate],0),99999)</f>
        <v/>
      </c>
    </row>
    <row r="411">
      <c r="A411" t="inlineStr">
        <is>
          <t>TSP-930</t>
        </is>
      </c>
      <c r="B411" t="inlineStr">
        <is>
          <t>SOL-SH</t>
        </is>
      </c>
      <c r="C411" t="n">
        <v>1.946365</v>
      </c>
      <c r="D411">
        <f>IFERROR(MATCH($A411,PP_Grid[Intermediate],0),99999)</f>
        <v/>
      </c>
    </row>
    <row r="412">
      <c r="A412" t="inlineStr">
        <is>
          <t>TSP-930</t>
        </is>
      </c>
      <c r="B412" t="inlineStr">
        <is>
          <t>TPP-917</t>
        </is>
      </c>
      <c r="C412" t="n">
        <v>25.84128</v>
      </c>
      <c r="D412">
        <f>IFERROR(MATCH($A412,PP_Grid[Intermediate],0),99999)</f>
        <v/>
      </c>
    </row>
    <row r="413">
      <c r="A413" t="inlineStr">
        <is>
          <t>TSP-934</t>
        </is>
      </c>
      <c r="B413" t="inlineStr">
        <is>
          <t>CHEM-1420</t>
        </is>
      </c>
      <c r="C413" t="n">
        <v>0.86913</v>
      </c>
      <c r="D413">
        <f>IFERROR(MATCH($A413,PP_Grid[Intermediate],0),99999)</f>
        <v/>
      </c>
    </row>
    <row r="414">
      <c r="A414" t="inlineStr">
        <is>
          <t>TSP-934</t>
        </is>
      </c>
      <c r="B414" t="inlineStr">
        <is>
          <t>CHEM-1440</t>
        </is>
      </c>
      <c r="C414" t="n">
        <v>1.64511</v>
      </c>
      <c r="D414">
        <f>IFERROR(MATCH($A414,PP_Grid[Intermediate],0),99999)</f>
        <v/>
      </c>
    </row>
    <row r="415">
      <c r="A415" t="inlineStr">
        <is>
          <t>TSP-934</t>
        </is>
      </c>
      <c r="B415" t="inlineStr">
        <is>
          <t>CHEM-1540</t>
        </is>
      </c>
      <c r="C415" t="n">
        <v>39.80502</v>
      </c>
      <c r="D415">
        <f>IFERROR(MATCH($A415,PP_Grid[Intermediate],0),99999)</f>
        <v/>
      </c>
    </row>
    <row r="416">
      <c r="A416" t="inlineStr">
        <is>
          <t>TSP-934</t>
        </is>
      </c>
      <c r="B416" t="inlineStr">
        <is>
          <t>CHEM-1570</t>
        </is>
      </c>
      <c r="C416" t="n">
        <v>0.08167199999999999</v>
      </c>
      <c r="D416">
        <f>IFERROR(MATCH($A416,PP_Grid[Intermediate],0),99999)</f>
        <v/>
      </c>
    </row>
    <row r="417">
      <c r="A417" t="inlineStr">
        <is>
          <t>TSP-934</t>
        </is>
      </c>
      <c r="B417" t="inlineStr">
        <is>
          <t>CHEM-1650</t>
        </is>
      </c>
      <c r="C417" t="n">
        <v>0.0324</v>
      </c>
      <c r="D417">
        <f>IFERROR(MATCH($A417,PP_Grid[Intermediate],0),99999)</f>
        <v/>
      </c>
    </row>
    <row r="418">
      <c r="A418" t="inlineStr">
        <is>
          <t>TSP-934</t>
        </is>
      </c>
      <c r="B418" t="inlineStr">
        <is>
          <t>CHEM-1680</t>
        </is>
      </c>
      <c r="C418" t="n">
        <v>17.767035</v>
      </c>
      <c r="D418">
        <f>IFERROR(MATCH($A418,PP_Grid[Intermediate],0),99999)</f>
        <v/>
      </c>
    </row>
    <row r="419">
      <c r="A419" t="inlineStr">
        <is>
          <t>TSP-934</t>
        </is>
      </c>
      <c r="B419" t="inlineStr">
        <is>
          <t>CHEM-1700</t>
        </is>
      </c>
      <c r="C419" t="n">
        <v>1.7253</v>
      </c>
      <c r="D419">
        <f>IFERROR(MATCH($A419,PP_Grid[Intermediate],0),99999)</f>
        <v/>
      </c>
    </row>
    <row r="420">
      <c r="A420" t="inlineStr">
        <is>
          <t>TSP-934</t>
        </is>
      </c>
      <c r="B420" t="inlineStr">
        <is>
          <t>CHEM-1720</t>
        </is>
      </c>
      <c r="C420" t="n">
        <v>6.27345</v>
      </c>
      <c r="D420">
        <f>IFERROR(MATCH($A420,PP_Grid[Intermediate],0),99999)</f>
        <v/>
      </c>
    </row>
    <row r="421">
      <c r="A421" t="inlineStr">
        <is>
          <t>TSP-934</t>
        </is>
      </c>
      <c r="B421" t="inlineStr">
        <is>
          <t>SOL-SH</t>
        </is>
      </c>
      <c r="C421" t="n">
        <v>5.912316</v>
      </c>
      <c r="D421">
        <f>IFERROR(MATCH($A421,PP_Grid[Intermediate],0),99999)</f>
        <v/>
      </c>
    </row>
    <row r="422">
      <c r="A422" t="inlineStr">
        <is>
          <t>TSP-934</t>
        </is>
      </c>
      <c r="B422" t="inlineStr">
        <is>
          <t>TPP-919</t>
        </is>
      </c>
      <c r="C422" t="n">
        <v>17.3907</v>
      </c>
      <c r="D422">
        <f>IFERROR(MATCH($A422,PP_Grid[Intermediate],0),99999)</f>
        <v/>
      </c>
    </row>
    <row r="423">
      <c r="A423" t="inlineStr">
        <is>
          <t>TSP-934</t>
        </is>
      </c>
      <c r="B423" t="inlineStr">
        <is>
          <t>TSZ-938</t>
        </is>
      </c>
      <c r="C423" t="n">
        <v>17.23437</v>
      </c>
      <c r="D423">
        <f>IFERROR(MATCH($A423,PP_Grid[Intermediate],0),99999)</f>
        <v/>
      </c>
    </row>
    <row r="424">
      <c r="A424" t="inlineStr">
        <is>
          <t>TSP-935</t>
        </is>
      </c>
      <c r="B424" t="inlineStr">
        <is>
          <t>CHEM-1420</t>
        </is>
      </c>
      <c r="C424" t="n">
        <v>0.893747</v>
      </c>
      <c r="D424">
        <f>IFERROR(MATCH($A424,PP_Grid[Intermediate],0),99999)</f>
        <v/>
      </c>
    </row>
    <row r="425">
      <c r="A425" t="inlineStr">
        <is>
          <t>TSP-935</t>
        </is>
      </c>
      <c r="B425" t="inlineStr">
        <is>
          <t>CHEM-1440</t>
        </is>
      </c>
      <c r="C425" t="n">
        <v>1.706855</v>
      </c>
      <c r="D425">
        <f>IFERROR(MATCH($A425,PP_Grid[Intermediate],0),99999)</f>
        <v/>
      </c>
    </row>
    <row r="426">
      <c r="A426" t="inlineStr">
        <is>
          <t>TSP-935</t>
        </is>
      </c>
      <c r="B426" t="inlineStr">
        <is>
          <t>CHEM-1540</t>
        </is>
      </c>
      <c r="C426" t="n">
        <v>41.298825</v>
      </c>
      <c r="D426">
        <f>IFERROR(MATCH($A426,PP_Grid[Intermediate],0),99999)</f>
        <v/>
      </c>
    </row>
    <row r="427">
      <c r="A427" t="inlineStr">
        <is>
          <t>TSP-935</t>
        </is>
      </c>
      <c r="B427" t="inlineStr">
        <is>
          <t>CHEM-1570</t>
        </is>
      </c>
      <c r="C427" t="n">
        <v>0.08469699999999999</v>
      </c>
      <c r="D427">
        <f>IFERROR(MATCH($A427,PP_Grid[Intermediate],0),99999)</f>
        <v/>
      </c>
    </row>
    <row r="428">
      <c r="A428" t="inlineStr">
        <is>
          <t>TSP-935</t>
        </is>
      </c>
      <c r="B428" t="inlineStr">
        <is>
          <t>CHEM-1650</t>
        </is>
      </c>
      <c r="C428" t="n">
        <v>0.0336</v>
      </c>
      <c r="D428">
        <f>IFERROR(MATCH($A428,PP_Grid[Intermediate],0),99999)</f>
        <v/>
      </c>
    </row>
    <row r="429">
      <c r="A429" t="inlineStr">
        <is>
          <t>TSP-935</t>
        </is>
      </c>
      <c r="B429" t="inlineStr">
        <is>
          <t>CHEM-1680</t>
        </is>
      </c>
      <c r="C429" t="n">
        <v>18.433775</v>
      </c>
      <c r="D429">
        <f>IFERROR(MATCH($A429,PP_Grid[Intermediate],0),99999)</f>
        <v/>
      </c>
    </row>
    <row r="430">
      <c r="A430" t="inlineStr">
        <is>
          <t>TSP-935</t>
        </is>
      </c>
      <c r="B430" t="inlineStr">
        <is>
          <t>CHEM-1700</t>
        </is>
      </c>
      <c r="C430" t="n">
        <v>1.789173</v>
      </c>
      <c r="D430">
        <f>IFERROR(MATCH($A430,PP_Grid[Intermediate],0),99999)</f>
        <v/>
      </c>
    </row>
    <row r="431">
      <c r="A431" t="inlineStr">
        <is>
          <t>TSP-935</t>
        </is>
      </c>
      <c r="B431" t="inlineStr">
        <is>
          <t>CHEM-1720</t>
        </is>
      </c>
      <c r="C431" t="n">
        <v>6.508223</v>
      </c>
      <c r="D431">
        <f>IFERROR(MATCH($A431,PP_Grid[Intermediate],0),99999)</f>
        <v/>
      </c>
    </row>
    <row r="432">
      <c r="A432" t="inlineStr">
        <is>
          <t>TSP-935</t>
        </is>
      </c>
      <c r="B432" t="inlineStr">
        <is>
          <t>SOL-SH</t>
        </is>
      </c>
      <c r="C432" t="n">
        <v>4.601468</v>
      </c>
      <c r="D432">
        <f>IFERROR(MATCH($A432,PP_Grid[Intermediate],0),99999)</f>
        <v/>
      </c>
    </row>
    <row r="433">
      <c r="A433" t="inlineStr">
        <is>
          <t>TSP-935</t>
        </is>
      </c>
      <c r="B433" t="inlineStr">
        <is>
          <t>TPP-920</t>
        </is>
      </c>
      <c r="C433" t="n">
        <v>18.002612</v>
      </c>
      <c r="D433">
        <f>IFERROR(MATCH($A433,PP_Grid[Intermediate],0),99999)</f>
        <v/>
      </c>
    </row>
    <row r="434">
      <c r="A434" t="inlineStr">
        <is>
          <t>TSP-935</t>
        </is>
      </c>
      <c r="B434" t="inlineStr">
        <is>
          <t>TSZ-938</t>
        </is>
      </c>
      <c r="C434" t="n">
        <v>17.880814</v>
      </c>
      <c r="D434">
        <f>IFERROR(MATCH($A434,PP_Grid[Intermediate],0),99999)</f>
        <v/>
      </c>
    </row>
    <row r="435">
      <c r="A435" t="inlineStr">
        <is>
          <t>TSP-936</t>
        </is>
      </c>
      <c r="B435" t="inlineStr">
        <is>
          <t>CHEM-1420</t>
        </is>
      </c>
      <c r="C435" t="n">
        <v>0.886875</v>
      </c>
      <c r="D435">
        <f>IFERROR(MATCH($A435,PP_Grid[Intermediate],0),99999)</f>
        <v/>
      </c>
    </row>
    <row r="436">
      <c r="A436" t="inlineStr">
        <is>
          <t>TSP-936</t>
        </is>
      </c>
      <c r="B436" t="inlineStr">
        <is>
          <t>CHEM-1440</t>
        </is>
      </c>
      <c r="C436" t="n">
        <v>1.677225</v>
      </c>
      <c r="D436">
        <f>IFERROR(MATCH($A436,PP_Grid[Intermediate],0),99999)</f>
        <v/>
      </c>
    </row>
    <row r="437">
      <c r="A437" t="inlineStr">
        <is>
          <t>TSP-936</t>
        </is>
      </c>
      <c r="B437" t="inlineStr">
        <is>
          <t>CHEM-1540</t>
        </is>
      </c>
      <c r="C437" t="n">
        <v>40.585875</v>
      </c>
      <c r="D437">
        <f>IFERROR(MATCH($A437,PP_Grid[Intermediate],0),99999)</f>
        <v/>
      </c>
    </row>
    <row r="438">
      <c r="A438" t="inlineStr">
        <is>
          <t>TSP-936</t>
        </is>
      </c>
      <c r="B438" t="inlineStr">
        <is>
          <t>CHEM-1570</t>
        </is>
      </c>
      <c r="C438" t="n">
        <v>0.083188</v>
      </c>
      <c r="D438">
        <f>IFERROR(MATCH($A438,PP_Grid[Intermediate],0),99999)</f>
        <v/>
      </c>
    </row>
    <row r="439">
      <c r="A439" t="inlineStr">
        <is>
          <t>TSP-936</t>
        </is>
      </c>
      <c r="B439" t="inlineStr">
        <is>
          <t>CHEM-1650</t>
        </is>
      </c>
      <c r="C439" t="n">
        <v>0.033</v>
      </c>
      <c r="D439">
        <f>IFERROR(MATCH($A439,PP_Grid[Intermediate],0),99999)</f>
        <v/>
      </c>
    </row>
    <row r="440">
      <c r="A440" t="inlineStr">
        <is>
          <t>TSP-936</t>
        </is>
      </c>
      <c r="B440" t="inlineStr">
        <is>
          <t>CHEM-1680</t>
        </is>
      </c>
      <c r="C440" t="n">
        <v>18.115059</v>
      </c>
      <c r="D440">
        <f>IFERROR(MATCH($A440,PP_Grid[Intermediate],0),99999)</f>
        <v/>
      </c>
    </row>
    <row r="441">
      <c r="A441" t="inlineStr">
        <is>
          <t>TSP-936</t>
        </is>
      </c>
      <c r="B441" t="inlineStr">
        <is>
          <t>CHEM-1700</t>
        </is>
      </c>
      <c r="C441" t="n">
        <v>1.75725</v>
      </c>
      <c r="D441">
        <f>IFERROR(MATCH($A441,PP_Grid[Intermediate],0),99999)</f>
        <v/>
      </c>
    </row>
    <row r="442">
      <c r="A442" t="inlineStr">
        <is>
          <t>TSP-936</t>
        </is>
      </c>
      <c r="B442" t="inlineStr">
        <is>
          <t>CHEM-1720</t>
        </is>
      </c>
      <c r="C442" t="n">
        <v>6.396225</v>
      </c>
      <c r="D442">
        <f>IFERROR(MATCH($A442,PP_Grid[Intermediate],0),99999)</f>
        <v/>
      </c>
    </row>
    <row r="443">
      <c r="A443" t="inlineStr">
        <is>
          <t>TSP-936</t>
        </is>
      </c>
      <c r="B443" t="inlineStr">
        <is>
          <t>SOL-SH</t>
        </is>
      </c>
      <c r="C443" t="n">
        <v>2.71268</v>
      </c>
      <c r="D443">
        <f>IFERROR(MATCH($A443,PP_Grid[Intermediate],0),99999)</f>
        <v/>
      </c>
    </row>
    <row r="444">
      <c r="A444" t="inlineStr">
        <is>
          <t>TSP-936</t>
        </is>
      </c>
      <c r="B444" t="inlineStr">
        <is>
          <t>TPP-922</t>
        </is>
      </c>
      <c r="C444" t="n">
        <v>17.64345</v>
      </c>
      <c r="D444">
        <f>IFERROR(MATCH($A444,PP_Grid[Intermediate],0),99999)</f>
        <v/>
      </c>
    </row>
    <row r="445">
      <c r="A445" t="inlineStr">
        <is>
          <t>TSP-936</t>
        </is>
      </c>
      <c r="B445" t="inlineStr">
        <is>
          <t>TSZ-938</t>
        </is>
      </c>
      <c r="C445" t="n">
        <v>17.571675</v>
      </c>
      <c r="D445">
        <f>IFERROR(MATCH($A445,PP_Grid[Intermediate],0),99999)</f>
        <v/>
      </c>
    </row>
    <row r="446">
      <c r="A446" t="inlineStr">
        <is>
          <t>TSP-937</t>
        </is>
      </c>
      <c r="B446" t="inlineStr">
        <is>
          <t>CHEM-1420</t>
        </is>
      </c>
      <c r="C446" t="n">
        <v>0.878625</v>
      </c>
      <c r="D446">
        <f>IFERROR(MATCH($A446,PP_Grid[Intermediate],0),99999)</f>
        <v/>
      </c>
    </row>
    <row r="447">
      <c r="A447" t="inlineStr">
        <is>
          <t>TSP-937</t>
        </is>
      </c>
      <c r="B447" t="inlineStr">
        <is>
          <t>CHEM-1440</t>
        </is>
      </c>
      <c r="C447" t="n">
        <v>1.67805</v>
      </c>
      <c r="D447">
        <f>IFERROR(MATCH($A447,PP_Grid[Intermediate],0),99999)</f>
        <v/>
      </c>
    </row>
    <row r="448">
      <c r="A448" t="inlineStr">
        <is>
          <t>TSP-937</t>
        </is>
      </c>
      <c r="B448" t="inlineStr">
        <is>
          <t>CHEM-1540</t>
        </is>
      </c>
      <c r="C448" t="n">
        <v>40.597425</v>
      </c>
      <c r="D448">
        <f>IFERROR(MATCH($A448,PP_Grid[Intermediate],0),99999)</f>
        <v/>
      </c>
    </row>
    <row r="449">
      <c r="A449" t="inlineStr">
        <is>
          <t>TSP-937</t>
        </is>
      </c>
      <c r="B449" t="inlineStr">
        <is>
          <t>CHEM-1570</t>
        </is>
      </c>
      <c r="C449" t="n">
        <v>0.083189</v>
      </c>
      <c r="D449">
        <f>IFERROR(MATCH($A449,PP_Grid[Intermediate],0),99999)</f>
        <v/>
      </c>
    </row>
    <row r="450">
      <c r="A450" t="inlineStr">
        <is>
          <t>TSP-937</t>
        </is>
      </c>
      <c r="B450" t="inlineStr">
        <is>
          <t>CHEM-1650</t>
        </is>
      </c>
      <c r="C450" t="n">
        <v>0.033</v>
      </c>
      <c r="D450">
        <f>IFERROR(MATCH($A450,PP_Grid[Intermediate],0),99999)</f>
        <v/>
      </c>
    </row>
    <row r="451">
      <c r="A451" t="inlineStr">
        <is>
          <t>TSP-937</t>
        </is>
      </c>
      <c r="B451" t="inlineStr">
        <is>
          <t>CHEM-1680</t>
        </is>
      </c>
      <c r="C451" t="n">
        <v>18.120923</v>
      </c>
      <c r="D451">
        <f>IFERROR(MATCH($A451,PP_Grid[Intermediate],0),99999)</f>
        <v/>
      </c>
    </row>
    <row r="452">
      <c r="A452" t="inlineStr">
        <is>
          <t>TSP-937</t>
        </is>
      </c>
      <c r="B452" t="inlineStr">
        <is>
          <t>CHEM-1700</t>
        </is>
      </c>
      <c r="C452" t="n">
        <v>1.75725</v>
      </c>
      <c r="D452">
        <f>IFERROR(MATCH($A452,PP_Grid[Intermediate],0),99999)</f>
        <v/>
      </c>
    </row>
    <row r="453">
      <c r="A453" t="inlineStr">
        <is>
          <t>TSP-937</t>
        </is>
      </c>
      <c r="B453" t="inlineStr">
        <is>
          <t>CHEM-1720</t>
        </is>
      </c>
      <c r="C453" t="n">
        <v>6.397875</v>
      </c>
      <c r="D453">
        <f>IFERROR(MATCH($A453,PP_Grid[Intermediate],0),99999)</f>
        <v/>
      </c>
    </row>
    <row r="454">
      <c r="A454" t="inlineStr">
        <is>
          <t>TSP-937</t>
        </is>
      </c>
      <c r="B454" t="inlineStr">
        <is>
          <t>SOL-SH</t>
        </is>
      </c>
      <c r="C454" t="n">
        <v>1.809061</v>
      </c>
      <c r="D454">
        <f>IFERROR(MATCH($A454,PP_Grid[Intermediate],0),99999)</f>
        <v/>
      </c>
    </row>
    <row r="455">
      <c r="A455" t="inlineStr">
        <is>
          <t>TSP-937</t>
        </is>
      </c>
      <c r="B455" t="inlineStr">
        <is>
          <t>TPP-923</t>
        </is>
      </c>
      <c r="C455" t="n">
        <v>17.6253</v>
      </c>
      <c r="D455">
        <f>IFERROR(MATCH($A455,PP_Grid[Intermediate],0),99999)</f>
        <v/>
      </c>
    </row>
    <row r="456">
      <c r="A456" t="inlineStr">
        <is>
          <t>TSP-937</t>
        </is>
      </c>
      <c r="B456" t="inlineStr">
        <is>
          <t>TSZ-938</t>
        </is>
      </c>
      <c r="C456" t="n">
        <v>17.576625</v>
      </c>
      <c r="D456">
        <f>IFERROR(MATCH($A456,PP_Grid[Intermediate],0),99999)</f>
        <v/>
      </c>
    </row>
    <row r="457">
      <c r="A457" t="inlineStr">
        <is>
          <t>TSP-959</t>
        </is>
      </c>
      <c r="B457" t="inlineStr">
        <is>
          <t>CHEM-1400</t>
        </is>
      </c>
      <c r="C457" t="n">
        <v>3.140787</v>
      </c>
      <c r="D457">
        <f>IFERROR(MATCH($A457,PP_Grid[Intermediate],0),99999)</f>
        <v/>
      </c>
    </row>
    <row r="458">
      <c r="A458" t="inlineStr">
        <is>
          <t>TSP-959</t>
        </is>
      </c>
      <c r="B458" t="inlineStr">
        <is>
          <t>CHEM-1420</t>
        </is>
      </c>
      <c r="C458" t="n">
        <v>0.469444</v>
      </c>
      <c r="D458">
        <f>IFERROR(MATCH($A458,PP_Grid[Intermediate],0),99999)</f>
        <v/>
      </c>
    </row>
    <row r="459">
      <c r="A459" t="inlineStr">
        <is>
          <t>TSP-959</t>
        </is>
      </c>
      <c r="B459" t="inlineStr">
        <is>
          <t>CHEM-1530</t>
        </is>
      </c>
      <c r="C459" t="n">
        <v>57.764518</v>
      </c>
      <c r="D459">
        <f>IFERROR(MATCH($A459,PP_Grid[Intermediate],0),99999)</f>
        <v/>
      </c>
    </row>
    <row r="460">
      <c r="A460" t="inlineStr">
        <is>
          <t>TSP-959</t>
        </is>
      </c>
      <c r="B460" t="inlineStr">
        <is>
          <t>CHEM-1570</t>
        </is>
      </c>
      <c r="C460" t="n">
        <v>0.040821</v>
      </c>
      <c r="D460">
        <f>IFERROR(MATCH($A460,PP_Grid[Intermediate],0),99999)</f>
        <v/>
      </c>
    </row>
    <row r="461">
      <c r="A461" t="inlineStr">
        <is>
          <t>TSP-959</t>
        </is>
      </c>
      <c r="B461" t="inlineStr">
        <is>
          <t>CHEM-1650</t>
        </is>
      </c>
      <c r="C461" t="n">
        <v>0.032657</v>
      </c>
      <c r="D461">
        <f>IFERROR(MATCH($A461,PP_Grid[Intermediate],0),99999)</f>
        <v/>
      </c>
    </row>
    <row r="462">
      <c r="A462" t="inlineStr">
        <is>
          <t>TSP-959</t>
        </is>
      </c>
      <c r="B462" t="inlineStr">
        <is>
          <t>SOL-10H</t>
        </is>
      </c>
      <c r="C462" t="n">
        <v>44.388735</v>
      </c>
      <c r="D462">
        <f>IFERROR(MATCH($A462,PP_Grid[Intermediate],0),99999)</f>
        <v/>
      </c>
    </row>
    <row r="463">
      <c r="A463" t="inlineStr">
        <is>
          <t>TSP-959</t>
        </is>
      </c>
      <c r="B463" t="inlineStr">
        <is>
          <t>TPP-968</t>
        </is>
      </c>
      <c r="C463" t="n">
        <v>22.323509</v>
      </c>
      <c r="D463">
        <f>IFERROR(MATCH($A463,PP_Grid[Intermediate],0),99999)</f>
        <v/>
      </c>
    </row>
    <row r="464">
      <c r="A464" t="inlineStr">
        <is>
          <t>TSP-966</t>
        </is>
      </c>
      <c r="B464" t="inlineStr">
        <is>
          <t>CHEM-1250</t>
        </is>
      </c>
      <c r="C464" t="n">
        <v>3.54192</v>
      </c>
      <c r="D464">
        <f>IFERROR(MATCH($A464,PP_Grid[Intermediate],0),99999)</f>
        <v/>
      </c>
    </row>
    <row r="465">
      <c r="A465" t="inlineStr">
        <is>
          <t>TSP-966</t>
        </is>
      </c>
      <c r="B465" t="inlineStr">
        <is>
          <t>CHEM-1400</t>
        </is>
      </c>
      <c r="C465" t="n">
        <v>1.81248</v>
      </c>
      <c r="D465">
        <f>IFERROR(MATCH($A465,PP_Grid[Intermediate],0),99999)</f>
        <v/>
      </c>
    </row>
    <row r="466">
      <c r="A466" t="inlineStr">
        <is>
          <t>TSP-966</t>
        </is>
      </c>
      <c r="B466" t="inlineStr">
        <is>
          <t>CHEM-1420</t>
        </is>
      </c>
      <c r="C466" t="n">
        <v>0.5476799999999999</v>
      </c>
      <c r="D466">
        <f>IFERROR(MATCH($A466,PP_Grid[Intermediate],0),99999)</f>
        <v/>
      </c>
    </row>
    <row r="467">
      <c r="A467" t="inlineStr">
        <is>
          <t>TSP-966</t>
        </is>
      </c>
      <c r="B467" t="inlineStr">
        <is>
          <t>CHEM-1570</t>
        </is>
      </c>
      <c r="C467" t="n">
        <v>0.024</v>
      </c>
      <c r="D467">
        <f>IFERROR(MATCH($A467,PP_Grid[Intermediate],0),99999)</f>
        <v/>
      </c>
    </row>
    <row r="468">
      <c r="A468" t="inlineStr">
        <is>
          <t>TSP-966</t>
        </is>
      </c>
      <c r="B468" t="inlineStr">
        <is>
          <t>CHEM-1690</t>
        </is>
      </c>
      <c r="C468" t="n">
        <v>4.89456</v>
      </c>
      <c r="D468">
        <f>IFERROR(MATCH($A468,PP_Grid[Intermediate],0),99999)</f>
        <v/>
      </c>
    </row>
    <row r="469">
      <c r="A469" t="inlineStr">
        <is>
          <t>TSP-966</t>
        </is>
      </c>
      <c r="B469" t="inlineStr">
        <is>
          <t>TPP-970</t>
        </is>
      </c>
      <c r="C469" t="n">
        <v>38.22144</v>
      </c>
      <c r="D469">
        <f>IFERROR(MATCH($A469,PP_Grid[Intermediate],0),99999)</f>
        <v/>
      </c>
    </row>
    <row r="470">
      <c r="A470" t="inlineStr">
        <is>
          <t>TSZ-616</t>
        </is>
      </c>
      <c r="B470" t="inlineStr">
        <is>
          <t>CHEM-1510</t>
        </is>
      </c>
      <c r="C470" t="n">
        <v>1.1992</v>
      </c>
      <c r="D470">
        <f>IFERROR(MATCH($A470,PP_Grid[Intermediate],0),99999)</f>
        <v/>
      </c>
    </row>
    <row r="471">
      <c r="A471" t="inlineStr">
        <is>
          <t>TSZ-616</t>
        </is>
      </c>
      <c r="B471" t="inlineStr">
        <is>
          <t>CHEM-1570</t>
        </is>
      </c>
      <c r="C471" t="n">
        <v>0.04</v>
      </c>
      <c r="D471">
        <f>IFERROR(MATCH($A471,PP_Grid[Intermediate],0),99999)</f>
        <v/>
      </c>
    </row>
    <row r="472">
      <c r="A472" t="inlineStr">
        <is>
          <t>TSZ-616</t>
        </is>
      </c>
      <c r="B472" t="inlineStr">
        <is>
          <t>CHEM-1600</t>
        </is>
      </c>
      <c r="C472" t="n">
        <v>40.858</v>
      </c>
      <c r="D472">
        <f>IFERROR(MATCH($A472,PP_Grid[Intermediate],0),99999)</f>
        <v/>
      </c>
    </row>
    <row r="473">
      <c r="A473" t="inlineStr">
        <is>
          <t>TSZ-938</t>
        </is>
      </c>
      <c r="B473" t="inlineStr">
        <is>
          <t>CHEM-1570</t>
        </is>
      </c>
      <c r="C473" t="n">
        <v>0.0117</v>
      </c>
      <c r="D473">
        <f>IFERROR(MATCH($A473,PP_Grid[Intermediate],0),99999)</f>
        <v/>
      </c>
    </row>
    <row r="474">
      <c r="A474" t="inlineStr">
        <is>
          <t>TVS-267</t>
        </is>
      </c>
      <c r="B474" t="inlineStr">
        <is>
          <t>CHEM-1420</t>
        </is>
      </c>
      <c r="C474" t="n">
        <v>2.85088</v>
      </c>
      <c r="D474">
        <f>IFERROR(MATCH($A474,PP_Grid[Intermediate],0),99999)</f>
        <v/>
      </c>
    </row>
    <row r="475">
      <c r="A475" t="inlineStr">
        <is>
          <t>TVS-267</t>
        </is>
      </c>
      <c r="B475" t="inlineStr">
        <is>
          <t>CHEM-1570</t>
        </is>
      </c>
      <c r="C475" t="n">
        <v>0.09664</v>
      </c>
      <c r="D475">
        <f>IFERROR(MATCH($A475,PP_Grid[Intermediate],0),99999)</f>
        <v/>
      </c>
    </row>
    <row r="476">
      <c r="A476" t="inlineStr">
        <is>
          <t>TVS-267</t>
        </is>
      </c>
      <c r="B476" t="inlineStr">
        <is>
          <t>CHEM-1760</t>
        </is>
      </c>
      <c r="C476" t="n">
        <v>0.1963</v>
      </c>
      <c r="D476">
        <f>IFERROR(MATCH($A476,PP_Grid[Intermediate],0),99999)</f>
        <v/>
      </c>
    </row>
    <row r="477">
      <c r="A477" t="inlineStr">
        <is>
          <t>TVS-500</t>
        </is>
      </c>
      <c r="B477" t="inlineStr">
        <is>
          <t>CHEM-1420</t>
        </is>
      </c>
      <c r="C477" t="n">
        <v>2.86335</v>
      </c>
      <c r="D477">
        <f>IFERROR(MATCH($A477,PP_Grid[Intermediate],0),99999)</f>
        <v/>
      </c>
    </row>
    <row r="478">
      <c r="A478" t="inlineStr">
        <is>
          <t>TVS-500</t>
        </is>
      </c>
      <c r="B478" t="inlineStr">
        <is>
          <t>CHEM-1570</t>
        </is>
      </c>
      <c r="C478" t="n">
        <v>0.09999</v>
      </c>
      <c r="D478">
        <f>IFERROR(MATCH($A478,PP_Grid[Intermediate],0),99999)</f>
        <v/>
      </c>
    </row>
    <row r="479">
      <c r="A479" t="inlineStr">
        <is>
          <t>TVS-500</t>
        </is>
      </c>
      <c r="B479" t="inlineStr">
        <is>
          <t>CHEM-1760</t>
        </is>
      </c>
      <c r="C479" t="n">
        <v>0.18483</v>
      </c>
      <c r="D479">
        <f>IFERROR(MATCH($A479,PP_Grid[Intermediate],0),99999)</f>
        <v/>
      </c>
    </row>
    <row r="480">
      <c r="A480" t="inlineStr">
        <is>
          <t>TVS-664</t>
        </is>
      </c>
      <c r="B480" t="inlineStr">
        <is>
          <t>CHEM-1420</t>
        </is>
      </c>
      <c r="C480" t="n">
        <v>0.03876</v>
      </c>
      <c r="D480">
        <f>IFERROR(MATCH($A480,PP_Grid[Intermediate],0),99999)</f>
        <v/>
      </c>
    </row>
    <row r="481">
      <c r="A481" t="inlineStr">
        <is>
          <t>TVS-664</t>
        </is>
      </c>
      <c r="B481" t="inlineStr">
        <is>
          <t>CHEM-1570</t>
        </is>
      </c>
      <c r="C481" t="n">
        <v>0.01615</v>
      </c>
      <c r="D481">
        <f>IFERROR(MATCH($A481,PP_Grid[Intermediate],0),99999)</f>
        <v/>
      </c>
    </row>
    <row r="482">
      <c r="A482" t="inlineStr">
        <is>
          <t>TVS-664</t>
        </is>
      </c>
      <c r="B482" t="inlineStr">
        <is>
          <t>CHEM-1760</t>
        </is>
      </c>
      <c r="C482" t="n">
        <v>0.01615</v>
      </c>
      <c r="D482">
        <f>IFERROR(MATCH($A482,PP_Grid[Intermediate],0),99999)</f>
        <v/>
      </c>
    </row>
    <row r="483">
      <c r="A483" t="inlineStr">
        <is>
          <t>TVS-833</t>
        </is>
      </c>
      <c r="B483" t="inlineStr">
        <is>
          <t>CHEM-1420</t>
        </is>
      </c>
      <c r="C483" t="n">
        <v>2.856</v>
      </c>
      <c r="D483">
        <f>IFERROR(MATCH($A483,PP_Grid[Intermediate],0),99999)</f>
        <v/>
      </c>
    </row>
    <row r="484">
      <c r="A484" t="inlineStr">
        <is>
          <t>TVS-833</t>
        </is>
      </c>
      <c r="B484" t="inlineStr">
        <is>
          <t>CHEM-1570</t>
        </is>
      </c>
      <c r="C484" t="n">
        <v>0.09</v>
      </c>
      <c r="D484">
        <f>IFERROR(MATCH($A484,PP_Grid[Intermediate],0),99999)</f>
        <v/>
      </c>
    </row>
    <row r="485">
      <c r="A485" t="inlineStr">
        <is>
          <t>TVS-833</t>
        </is>
      </c>
      <c r="B485" t="inlineStr">
        <is>
          <t>CHEM-1760</t>
        </is>
      </c>
      <c r="C485" t="n">
        <v>0.183</v>
      </c>
      <c r="D485">
        <f>IFERROR(MATCH($A485,PP_Grid[Intermediate],0),99999)</f>
        <v/>
      </c>
    </row>
    <row r="486">
      <c r="A486" t="inlineStr">
        <is>
          <t>V14</t>
        </is>
      </c>
      <c r="B486" t="inlineStr">
        <is>
          <t>8EN</t>
        </is>
      </c>
      <c r="C486" t="n">
        <v>1</v>
      </c>
      <c r="D486">
        <f>IFERROR(MATCH($A486,PP_Grid[Intermediate],0),99999)</f>
        <v/>
      </c>
    </row>
    <row r="487">
      <c r="A487" t="inlineStr">
        <is>
          <t>V17</t>
        </is>
      </c>
      <c r="B487" t="inlineStr">
        <is>
          <t>8EN</t>
        </is>
      </c>
      <c r="C487" t="n">
        <v>1</v>
      </c>
      <c r="D487">
        <f>IFERROR(MATCH($A487,PP_Grid[Intermediate],0),99999)</f>
        <v/>
      </c>
    </row>
    <row r="488">
      <c r="A488" t="inlineStr">
        <is>
          <t>V18</t>
        </is>
      </c>
      <c r="B488" t="inlineStr">
        <is>
          <t>8EN</t>
        </is>
      </c>
      <c r="C488" t="n">
        <v>1</v>
      </c>
      <c r="D488">
        <f>IFERROR(MATCH($A488,PP_Grid[Intermediate],0),99999)</f>
        <v/>
      </c>
    </row>
    <row r="489">
      <c r="A489" t="inlineStr">
        <is>
          <t>VSP-600</t>
        </is>
      </c>
      <c r="B489" t="inlineStr">
        <is>
          <t>CHEM-1400</t>
        </is>
      </c>
      <c r="C489" t="n">
        <v>5.89792</v>
      </c>
      <c r="D489">
        <f>IFERROR(MATCH($A489,PP_Grid[Intermediate],0),99999)</f>
        <v/>
      </c>
    </row>
    <row r="490">
      <c r="A490" t="inlineStr">
        <is>
          <t>VSP-600</t>
        </is>
      </c>
      <c r="B490" t="inlineStr">
        <is>
          <t>CHEM-1420</t>
        </is>
      </c>
      <c r="C490" t="n">
        <v>0.73136</v>
      </c>
      <c r="D490">
        <f>IFERROR(MATCH($A490,PP_Grid[Intermediate],0),99999)</f>
        <v/>
      </c>
    </row>
    <row r="491">
      <c r="A491" t="inlineStr">
        <is>
          <t>VSP-600</t>
        </is>
      </c>
      <c r="B491" t="inlineStr">
        <is>
          <t>CHEM-1440</t>
        </is>
      </c>
      <c r="C491" t="n">
        <v>0.50064</v>
      </c>
      <c r="D491">
        <f>IFERROR(MATCH($A491,PP_Grid[Intermediate],0),99999)</f>
        <v/>
      </c>
    </row>
    <row r="492">
      <c r="A492" t="inlineStr">
        <is>
          <t>VSP-600</t>
        </is>
      </c>
      <c r="B492" t="inlineStr">
        <is>
          <t>CHEM-1600</t>
        </is>
      </c>
      <c r="C492" t="n">
        <v>16.78208</v>
      </c>
      <c r="D492">
        <f>IFERROR(MATCH($A492,PP_Grid[Intermediate],0),99999)</f>
        <v/>
      </c>
    </row>
    <row r="493">
      <c r="A493" t="inlineStr">
        <is>
          <t>VSP-600</t>
        </is>
      </c>
      <c r="B493" t="inlineStr">
        <is>
          <t>CHEM-1650</t>
        </is>
      </c>
      <c r="C493" t="n">
        <v>0.0448</v>
      </c>
      <c r="D493">
        <f>IFERROR(MATCH($A493,PP_Grid[Intermediate],0),99999)</f>
        <v/>
      </c>
    </row>
    <row r="494">
      <c r="A494" t="inlineStr">
        <is>
          <t>VSP-601</t>
        </is>
      </c>
      <c r="B494" t="inlineStr">
        <is>
          <t>CHEM-1400</t>
        </is>
      </c>
      <c r="C494" t="n">
        <v>5.891952</v>
      </c>
      <c r="D494">
        <f>IFERROR(MATCH($A494,PP_Grid[Intermediate],0),99999)</f>
        <v/>
      </c>
    </row>
    <row r="495">
      <c r="A495" t="inlineStr">
        <is>
          <t>VSP-601</t>
        </is>
      </c>
      <c r="B495" t="inlineStr">
        <is>
          <t>CHEM-1420</t>
        </is>
      </c>
      <c r="C495" t="n">
        <v>0.631468</v>
      </c>
      <c r="D495">
        <f>IFERROR(MATCH($A495,PP_Grid[Intermediate],0),99999)</f>
        <v/>
      </c>
    </row>
    <row r="496">
      <c r="A496" t="inlineStr">
        <is>
          <t>VSP-601</t>
        </is>
      </c>
      <c r="B496" t="inlineStr">
        <is>
          <t>CHEM-1600</t>
        </is>
      </c>
      <c r="C496" t="n">
        <v>16.764319</v>
      </c>
      <c r="D496">
        <f>IFERROR(MATCH($A496,PP_Grid[Intermediate],0),99999)</f>
        <v/>
      </c>
    </row>
    <row r="497">
      <c r="A497" t="inlineStr">
        <is>
          <t>VSP-602</t>
        </is>
      </c>
      <c r="B497" t="inlineStr">
        <is>
          <t>CHEM-1400</t>
        </is>
      </c>
      <c r="C497" t="n">
        <v>8.841888000000001</v>
      </c>
      <c r="D497">
        <f>IFERROR(MATCH($A497,PP_Grid[Intermediate],0),99999)</f>
        <v/>
      </c>
    </row>
    <row r="498">
      <c r="A498" t="inlineStr">
        <is>
          <t>VSP-602</t>
        </is>
      </c>
      <c r="B498" t="inlineStr">
        <is>
          <t>CHEM-1420</t>
        </is>
      </c>
      <c r="C498" t="n">
        <v>1.722336</v>
      </c>
      <c r="D498">
        <f>IFERROR(MATCH($A498,PP_Grid[Intermediate],0),99999)</f>
        <v/>
      </c>
    </row>
    <row r="499">
      <c r="A499" t="inlineStr">
        <is>
          <t>VSP-602</t>
        </is>
      </c>
      <c r="B499" t="inlineStr">
        <is>
          <t>CHEM-1440</t>
        </is>
      </c>
      <c r="C499" t="n">
        <v>1.231296</v>
      </c>
      <c r="D499">
        <f>IFERROR(MATCH($A499,PP_Grid[Intermediate],0),99999)</f>
        <v/>
      </c>
    </row>
    <row r="500">
      <c r="A500" t="inlineStr">
        <is>
          <t>VSP-602</t>
        </is>
      </c>
      <c r="B500" t="inlineStr">
        <is>
          <t>CHEM-1530</t>
        </is>
      </c>
      <c r="C500" t="n">
        <v>50.014272</v>
      </c>
      <c r="D500">
        <f>IFERROR(MATCH($A500,PP_Grid[Intermediate],0),99999)</f>
        <v/>
      </c>
    </row>
    <row r="501">
      <c r="A501" t="inlineStr">
        <is>
          <t>VSP-602</t>
        </is>
      </c>
      <c r="B501" t="inlineStr">
        <is>
          <t>SOL-10H VW</t>
        </is>
      </c>
      <c r="C501" t="n">
        <v>14.512608</v>
      </c>
      <c r="D501">
        <f>IFERROR(MATCH($A501,PP_Grid[Intermediate],0),99999)</f>
        <v/>
      </c>
    </row>
    <row r="502">
      <c r="A502" t="inlineStr">
        <is>
          <t>VSP-820</t>
        </is>
      </c>
      <c r="B502" t="inlineStr">
        <is>
          <t>CHEM-1400</t>
        </is>
      </c>
      <c r="C502" t="n">
        <v>3.532165</v>
      </c>
      <c r="D502">
        <f>IFERROR(MATCH($A502,PP_Grid[Intermediate],0),99999)</f>
        <v/>
      </c>
    </row>
    <row r="503">
      <c r="A503" t="inlineStr">
        <is>
          <t>VSP-820</t>
        </is>
      </c>
      <c r="B503" t="inlineStr">
        <is>
          <t>CHEM-1420</t>
        </is>
      </c>
      <c r="C503" t="n">
        <v>0.6100640000000001</v>
      </c>
      <c r="D503">
        <f>IFERROR(MATCH($A503,PP_Grid[Intermediate],0),99999)</f>
        <v/>
      </c>
    </row>
    <row r="504">
      <c r="A504" t="inlineStr">
        <is>
          <t>VSP-820</t>
        </is>
      </c>
      <c r="B504" t="inlineStr">
        <is>
          <t>CHEM-1510</t>
        </is>
      </c>
      <c r="C504" t="n">
        <v>6.788991</v>
      </c>
      <c r="D504">
        <f>IFERROR(MATCH($A504,PP_Grid[Intermediate],0),99999)</f>
        <v/>
      </c>
    </row>
    <row r="505">
      <c r="A505" t="inlineStr">
        <is>
          <t>VSP-820</t>
        </is>
      </c>
      <c r="B505" t="inlineStr">
        <is>
          <t>CHEM-1570</t>
        </is>
      </c>
      <c r="C505" t="n">
        <v>0.137669</v>
      </c>
      <c r="D505">
        <f>IFERROR(MATCH($A505,PP_Grid[Intermediate],0),99999)</f>
        <v/>
      </c>
    </row>
    <row r="506">
      <c r="A506" t="inlineStr">
        <is>
          <t>VSP-820</t>
        </is>
      </c>
      <c r="B506" t="inlineStr">
        <is>
          <t>CHEM-1600</t>
        </is>
      </c>
      <c r="C506" t="n">
        <v>20.102432</v>
      </c>
      <c r="D506">
        <f>IFERROR(MATCH($A506,PP_Grid[Intermediate],0),99999)</f>
        <v/>
      </c>
    </row>
    <row r="507">
      <c r="A507" t="inlineStr">
        <is>
          <t>VSP-820</t>
        </is>
      </c>
      <c r="B507" t="inlineStr">
        <is>
          <t>CHEM-1660</t>
        </is>
      </c>
      <c r="C507" t="n">
        <v>1.378044</v>
      </c>
      <c r="D507">
        <f>IFERROR(MATCH($A507,PP_Grid[Intermediate],0),99999)</f>
        <v/>
      </c>
    </row>
    <row r="508">
      <c r="A508" t="inlineStr">
        <is>
          <t>VSP-822</t>
        </is>
      </c>
      <c r="B508" t="inlineStr">
        <is>
          <t>CHEM-1400</t>
        </is>
      </c>
      <c r="C508" t="n">
        <v>4.920597</v>
      </c>
      <c r="D508">
        <f>IFERROR(MATCH($A508,PP_Grid[Intermediate],0),99999)</f>
        <v/>
      </c>
    </row>
    <row r="509">
      <c r="A509" t="inlineStr">
        <is>
          <t>VSP-822</t>
        </is>
      </c>
      <c r="B509" t="inlineStr">
        <is>
          <t>CHEM-1420</t>
        </is>
      </c>
      <c r="C509" t="n">
        <v>1.507374</v>
      </c>
      <c r="D509">
        <f>IFERROR(MATCH($A509,PP_Grid[Intermediate],0),99999)</f>
        <v/>
      </c>
    </row>
    <row r="510">
      <c r="A510" t="inlineStr">
        <is>
          <t>VSP-822</t>
        </is>
      </c>
      <c r="B510" t="inlineStr">
        <is>
          <t>CHEM-1440</t>
        </is>
      </c>
      <c r="C510" t="n">
        <v>1.234134</v>
      </c>
      <c r="D510">
        <f>IFERROR(MATCH($A510,PP_Grid[Intermediate],0),99999)</f>
        <v/>
      </c>
    </row>
    <row r="511">
      <c r="A511" t="inlineStr">
        <is>
          <t>VSP-822</t>
        </is>
      </c>
      <c r="B511" t="inlineStr">
        <is>
          <t>CHEM-1530</t>
        </is>
      </c>
      <c r="C511" t="n">
        <v>55.668096</v>
      </c>
      <c r="D511">
        <f>IFERROR(MATCH($A511,PP_Grid[Intermediate],0),99999)</f>
        <v/>
      </c>
    </row>
    <row r="512">
      <c r="A512" t="inlineStr">
        <is>
          <t>VSP-822</t>
        </is>
      </c>
      <c r="B512" t="inlineStr">
        <is>
          <t>CHEM-1570</t>
        </is>
      </c>
      <c r="C512" t="n">
        <v>0.109296</v>
      </c>
      <c r="D512">
        <f>IFERROR(MATCH($A512,PP_Grid[Intermediate],0),99999)</f>
        <v/>
      </c>
    </row>
    <row r="513">
      <c r="A513" t="inlineStr">
        <is>
          <t>VSP-822</t>
        </is>
      </c>
      <c r="B513" t="inlineStr">
        <is>
          <t>CHEM-1650</t>
        </is>
      </c>
      <c r="C513" t="n">
        <v>0.059202</v>
      </c>
      <c r="D513">
        <f>IFERROR(MATCH($A513,PP_Grid[Intermediate],0),99999)</f>
        <v/>
      </c>
    </row>
    <row r="514">
      <c r="A514" t="inlineStr">
        <is>
          <t>VSP-822</t>
        </is>
      </c>
      <c r="B514" t="inlineStr">
        <is>
          <t>CHEM-1660</t>
        </is>
      </c>
      <c r="C514" t="n">
        <v>1.096375</v>
      </c>
      <c r="D514">
        <f>IFERROR(MATCH($A514,PP_Grid[Intermediate],0),99999)</f>
        <v/>
      </c>
    </row>
    <row r="515">
      <c r="A515" t="inlineStr">
        <is>
          <t>VSP-822</t>
        </is>
      </c>
      <c r="B515" t="inlineStr">
        <is>
          <t>SOL-10H VW</t>
        </is>
      </c>
      <c r="C515" t="n">
        <v>28.747125</v>
      </c>
      <c r="D515">
        <f>IFERROR(MATCH($A515,PP_Grid[Intermediate],0),99999)</f>
        <v/>
      </c>
    </row>
    <row r="516">
      <c r="A516" t="inlineStr">
        <is>
          <t>VSP-910</t>
        </is>
      </c>
      <c r="B516" t="inlineStr">
        <is>
          <t>CHEM-1400</t>
        </is>
      </c>
      <c r="C516" t="n">
        <v>3.9474</v>
      </c>
      <c r="D516">
        <f>IFERROR(MATCH($A516,PP_Grid[Intermediate],0),99999)</f>
        <v/>
      </c>
    </row>
    <row r="517">
      <c r="A517" t="inlineStr">
        <is>
          <t>VSP-910</t>
        </is>
      </c>
      <c r="B517" t="inlineStr">
        <is>
          <t>CHEM-1420</t>
        </is>
      </c>
      <c r="C517" t="n">
        <v>1.429326</v>
      </c>
      <c r="D517">
        <f>IFERROR(MATCH($A517,PP_Grid[Intermediate],0),99999)</f>
        <v/>
      </c>
    </row>
    <row r="518">
      <c r="A518" t="inlineStr">
        <is>
          <t>VSP-910</t>
        </is>
      </c>
      <c r="B518" t="inlineStr">
        <is>
          <t>CHEM-1440</t>
        </is>
      </c>
      <c r="C518" t="n">
        <v>1.011636</v>
      </c>
      <c r="D518">
        <f>IFERROR(MATCH($A518,PP_Grid[Intermediate],0),99999)</f>
        <v/>
      </c>
    </row>
    <row r="519">
      <c r="A519" t="inlineStr">
        <is>
          <t>VSP-910</t>
        </is>
      </c>
      <c r="B519" t="inlineStr">
        <is>
          <t>CHEM-1530</t>
        </is>
      </c>
      <c r="C519" t="n">
        <v>44.65611</v>
      </c>
      <c r="D519">
        <f>IFERROR(MATCH($A519,PP_Grid[Intermediate],0),99999)</f>
        <v/>
      </c>
    </row>
    <row r="520">
      <c r="A520" t="inlineStr">
        <is>
          <t>VSP-910</t>
        </is>
      </c>
      <c r="B520" t="inlineStr">
        <is>
          <t>CHEM-1570</t>
        </is>
      </c>
      <c r="C520" t="n">
        <v>0.090882</v>
      </c>
      <c r="D520">
        <f>IFERROR(MATCH($A520,PP_Grid[Intermediate],0),99999)</f>
        <v/>
      </c>
    </row>
    <row r="521">
      <c r="A521" t="inlineStr">
        <is>
          <t>VSP-910</t>
        </is>
      </c>
      <c r="B521" t="inlineStr">
        <is>
          <t>CHEM-1650</t>
        </is>
      </c>
      <c r="C521" t="n">
        <v>0.047736</v>
      </c>
      <c r="D521">
        <f>IFERROR(MATCH($A521,PP_Grid[Intermediate],0),99999)</f>
        <v/>
      </c>
    </row>
    <row r="522">
      <c r="A522" t="inlineStr">
        <is>
          <t>VSP-910</t>
        </is>
      </c>
      <c r="B522" t="inlineStr">
        <is>
          <t>CHEM-1660</t>
        </is>
      </c>
      <c r="C522" t="n">
        <v>0.912492</v>
      </c>
      <c r="D522">
        <f>IFERROR(MATCH($A522,PP_Grid[Intermediate],0),99999)</f>
        <v/>
      </c>
    </row>
    <row r="523">
      <c r="A523" t="inlineStr">
        <is>
          <t>VSP-910</t>
        </is>
      </c>
      <c r="B523" t="inlineStr">
        <is>
          <t>SOL-10H VW</t>
        </is>
      </c>
      <c r="C523" t="n">
        <v>62.413902</v>
      </c>
      <c r="D523">
        <f>IFERROR(MATCH($A523,PP_Grid[Intermediate],0),99999)</f>
        <v/>
      </c>
    </row>
    <row r="524">
      <c r="A524" t="inlineStr">
        <is>
          <t>VSP-989</t>
        </is>
      </c>
      <c r="B524" t="inlineStr">
        <is>
          <t>CHEM-1400</t>
        </is>
      </c>
      <c r="C524" t="n">
        <v>2.14326</v>
      </c>
      <c r="D524">
        <f>IFERROR(MATCH($A524,PP_Grid[Intermediate],0),99999)</f>
        <v/>
      </c>
    </row>
    <row r="525">
      <c r="A525" t="inlineStr">
        <is>
          <t>VSP-989</t>
        </is>
      </c>
      <c r="B525" t="inlineStr">
        <is>
          <t>CHEM-1420</t>
        </is>
      </c>
      <c r="C525" t="n">
        <v>0.61236</v>
      </c>
      <c r="D525">
        <f>IFERROR(MATCH($A525,PP_Grid[Intermediate],0),99999)</f>
        <v/>
      </c>
    </row>
    <row r="526">
      <c r="A526" t="inlineStr">
        <is>
          <t>VSP-989</t>
        </is>
      </c>
      <c r="B526" t="inlineStr">
        <is>
          <t>CHEM-1440</t>
        </is>
      </c>
      <c r="C526" t="n">
        <v>0.09072</v>
      </c>
      <c r="D526">
        <f>IFERROR(MATCH($A526,PP_Grid[Intermediate],0),99999)</f>
        <v/>
      </c>
    </row>
    <row r="527">
      <c r="A527" t="inlineStr">
        <is>
          <t>VSP-989</t>
        </is>
      </c>
      <c r="B527" t="inlineStr">
        <is>
          <t>CHEM-1510</t>
        </is>
      </c>
      <c r="C527" t="n">
        <v>6.581925</v>
      </c>
      <c r="D527">
        <f>IFERROR(MATCH($A527,PP_Grid[Intermediate],0),99999)</f>
        <v/>
      </c>
    </row>
    <row r="528">
      <c r="A528" t="inlineStr">
        <is>
          <t>VSP-989</t>
        </is>
      </c>
      <c r="B528" t="inlineStr">
        <is>
          <t>CHEM-1570</t>
        </is>
      </c>
      <c r="C528" t="n">
        <v>0.09072</v>
      </c>
      <c r="D528">
        <f>IFERROR(MATCH($A528,PP_Grid[Intermediate],0),99999)</f>
        <v/>
      </c>
    </row>
    <row r="529">
      <c r="A529" t="inlineStr">
        <is>
          <t>VSP-989</t>
        </is>
      </c>
      <c r="B529" t="inlineStr">
        <is>
          <t>CHEM-1600</t>
        </is>
      </c>
      <c r="C529" t="n">
        <v>7.727265</v>
      </c>
      <c r="D529">
        <f>IFERROR(MATCH($A529,PP_Grid[Intermediate],0),99999)</f>
        <v/>
      </c>
    </row>
    <row r="530">
      <c r="A530" t="inlineStr">
        <is>
          <t>VSP-989</t>
        </is>
      </c>
      <c r="B530" t="inlineStr">
        <is>
          <t>CHEM-1660</t>
        </is>
      </c>
      <c r="C530" t="n">
        <v>0.908145</v>
      </c>
      <c r="D530">
        <f>IFERROR(MATCH($A530,PP_Grid[Intermediate],0),99999)</f>
        <v/>
      </c>
    </row>
    <row r="531">
      <c r="A531" t="inlineStr">
        <is>
          <t>VSP-990</t>
        </is>
      </c>
      <c r="B531" t="inlineStr">
        <is>
          <t>CHEM-1400</t>
        </is>
      </c>
      <c r="C531" t="n">
        <v>3.48543</v>
      </c>
      <c r="D531">
        <f>IFERROR(MATCH($A531,PP_Grid[Intermediate],0),99999)</f>
        <v/>
      </c>
    </row>
    <row r="532">
      <c r="A532" t="inlineStr">
        <is>
          <t>VSP-990</t>
        </is>
      </c>
      <c r="B532" t="inlineStr">
        <is>
          <t>CHEM-1420</t>
        </is>
      </c>
      <c r="C532" t="n">
        <v>0.8496899999999999</v>
      </c>
      <c r="D532">
        <f>IFERROR(MATCH($A532,PP_Grid[Intermediate],0),99999)</f>
        <v/>
      </c>
    </row>
    <row r="533">
      <c r="A533" t="inlineStr">
        <is>
          <t>VSP-990</t>
        </is>
      </c>
      <c r="B533" t="inlineStr">
        <is>
          <t>CHEM-1440</t>
        </is>
      </c>
      <c r="C533" t="n">
        <v>0.48438</v>
      </c>
      <c r="D533">
        <f>IFERROR(MATCH($A533,PP_Grid[Intermediate],0),99999)</f>
        <v/>
      </c>
    </row>
    <row r="534">
      <c r="A534" t="inlineStr">
        <is>
          <t>VSP-990</t>
        </is>
      </c>
      <c r="B534" t="inlineStr">
        <is>
          <t>CHEM-1530</t>
        </is>
      </c>
      <c r="C534" t="n">
        <v>39.41541</v>
      </c>
      <c r="D534">
        <f>IFERROR(MATCH($A534,PP_Grid[Intermediate],0),99999)</f>
        <v/>
      </c>
    </row>
    <row r="535">
      <c r="A535" t="inlineStr">
        <is>
          <t>VSP-990</t>
        </is>
      </c>
      <c r="B535" t="inlineStr">
        <is>
          <t>CHEM-1570</t>
        </is>
      </c>
      <c r="C535" t="n">
        <v>0.081</v>
      </c>
      <c r="D535">
        <f>IFERROR(MATCH($A535,PP_Grid[Intermediate],0),99999)</f>
        <v/>
      </c>
    </row>
    <row r="536">
      <c r="A536" t="inlineStr">
        <is>
          <t>VSP-990</t>
        </is>
      </c>
      <c r="B536" t="inlineStr">
        <is>
          <t>CHEM-1650</t>
        </is>
      </c>
      <c r="C536" t="n">
        <v>0.0486</v>
      </c>
      <c r="D536">
        <f>IFERROR(MATCH($A536,PP_Grid[Intermediate],0),99999)</f>
        <v/>
      </c>
    </row>
    <row r="537">
      <c r="A537" t="inlineStr">
        <is>
          <t>VSP-990</t>
        </is>
      </c>
      <c r="B537" t="inlineStr">
        <is>
          <t>CHEM-1660</t>
        </is>
      </c>
      <c r="C537" t="n">
        <v>0.80676</v>
      </c>
      <c r="D537">
        <f>IFERROR(MATCH($A537,PP_Grid[Intermediate],0),99999)</f>
        <v/>
      </c>
    </row>
    <row r="538">
      <c r="A538" t="inlineStr">
        <is>
          <t>VSP-990</t>
        </is>
      </c>
      <c r="B538" t="inlineStr">
        <is>
          <t>SOL-10H VW</t>
        </is>
      </c>
      <c r="C538" t="n">
        <v>52.73505</v>
      </c>
      <c r="D538">
        <f>IFERROR(MATCH($A538,PP_Grid[Intermediate],0),99999)</f>
        <v/>
      </c>
    </row>
    <row r="539">
      <c r="A539" t="inlineStr">
        <is>
          <t>Ester Film</t>
        </is>
      </c>
      <c r="B539" t="inlineStr">
        <is>
          <t>Ester Film</t>
        </is>
      </c>
      <c r="C539" t="n">
        <v>35</v>
      </c>
      <c r="D539">
        <f>IFERROR(MATCH($A539,PP_Grid[Intermediate],0),99999)</f>
        <v/>
      </c>
    </row>
    <row r="540">
      <c r="A540" t="inlineStr">
        <is>
          <t>PP Film</t>
        </is>
      </c>
      <c r="B540" t="inlineStr">
        <is>
          <t>PP Film</t>
        </is>
      </c>
      <c r="C540" t="n">
        <v>4</v>
      </c>
      <c r="D540">
        <f>IFERROR(MATCH($A540,PP_Grid[Intermediate],0),99999)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A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6" t="inlineStr">
        <is>
          <t>Intermediate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TSP-049</t>
        </is>
      </c>
      <c r="B2" s="27" t="n">
        <v>0</v>
      </c>
      <c r="C2" s="27" t="n">
        <v>0</v>
      </c>
      <c r="D2" s="27" t="n">
        <v>0</v>
      </c>
      <c r="E2" s="27" t="n">
        <v>0</v>
      </c>
      <c r="F2" s="27" t="n">
        <v>0</v>
      </c>
      <c r="G2" s="27" t="n">
        <v>0</v>
      </c>
      <c r="H2" s="27" t="n">
        <v>0</v>
      </c>
      <c r="I2" s="27" t="n">
        <v>0</v>
      </c>
      <c r="J2" s="27" t="n">
        <v>0</v>
      </c>
      <c r="K2" s="27" t="n">
        <v>0</v>
      </c>
      <c r="L2" s="27" t="n">
        <v>0</v>
      </c>
      <c r="M2" s="27" t="n">
        <v>0</v>
      </c>
      <c r="N2" s="27" t="n">
        <v>0</v>
      </c>
      <c r="O2" s="27" t="n">
        <v>0</v>
      </c>
      <c r="P2" s="27" t="n">
        <v>0</v>
      </c>
      <c r="Q2" s="27" t="n">
        <v>0</v>
      </c>
      <c r="R2" s="27" t="n">
        <v>0</v>
      </c>
      <c r="S2" s="27" t="n">
        <v>0</v>
      </c>
      <c r="T2" s="27" t="n">
        <v>0</v>
      </c>
      <c r="U2" s="27" t="n">
        <v>0</v>
      </c>
      <c r="V2" s="27" t="n">
        <v>0</v>
      </c>
      <c r="W2" s="27" t="n">
        <v>0</v>
      </c>
      <c r="X2" s="27" t="n">
        <v>0</v>
      </c>
      <c r="Y2" s="27" t="n">
        <v>0</v>
      </c>
      <c r="Z2" s="27" t="n">
        <v>0</v>
      </c>
      <c r="AA2" s="27" t="n">
        <v>0</v>
      </c>
      <c r="AB2" s="27" t="n">
        <v>0</v>
      </c>
      <c r="AC2" s="27" t="n">
        <v>0</v>
      </c>
      <c r="AD2" s="27" t="n">
        <v>0</v>
      </c>
      <c r="AE2" s="27" t="n">
        <v>0</v>
      </c>
      <c r="AF2" s="27" t="n">
        <v>0</v>
      </c>
      <c r="AG2" s="27" t="n">
        <v>0</v>
      </c>
      <c r="AH2" s="27" t="n">
        <v>0</v>
      </c>
      <c r="AI2" s="27" t="n">
        <v>0</v>
      </c>
      <c r="AJ2" s="27" t="n">
        <v>0</v>
      </c>
      <c r="AK2" s="27" t="n">
        <v>0</v>
      </c>
      <c r="AL2" s="27" t="n">
        <v>0</v>
      </c>
      <c r="AM2" s="27" t="n">
        <v>0</v>
      </c>
      <c r="AN2" s="27" t="n">
        <v>0</v>
      </c>
      <c r="AO2" s="27" t="n">
        <v>0</v>
      </c>
      <c r="AP2" s="27" t="n">
        <v>0</v>
      </c>
      <c r="AQ2" s="27" t="n">
        <v>0</v>
      </c>
      <c r="AR2" s="27" t="n">
        <v>0</v>
      </c>
      <c r="AS2" s="27" t="n">
        <v>0</v>
      </c>
      <c r="AT2" s="27" t="n">
        <v>0</v>
      </c>
      <c r="AU2" s="27" t="n">
        <v>0</v>
      </c>
      <c r="AV2" s="27" t="n">
        <v>0</v>
      </c>
      <c r="AW2" s="27" t="n">
        <v>0</v>
      </c>
      <c r="AX2" s="27" t="n">
        <v>0</v>
      </c>
      <c r="AY2" s="27" t="n">
        <v>0</v>
      </c>
      <c r="AZ2" s="27" t="n">
        <v>0</v>
      </c>
      <c r="BA2" s="27" t="n">
        <v>0</v>
      </c>
      <c r="BB2" s="27" t="n">
        <v>0</v>
      </c>
      <c r="BC2" s="27" t="n">
        <v>0</v>
      </c>
      <c r="BD2" s="27" t="n">
        <v>0</v>
      </c>
      <c r="BE2" s="27" t="n">
        <v>0</v>
      </c>
      <c r="BF2" s="27" t="n">
        <v>0</v>
      </c>
      <c r="BG2" s="27" t="n">
        <v>0</v>
      </c>
      <c r="BH2" s="27" t="n">
        <v>0</v>
      </c>
      <c r="BI2" s="27" t="n">
        <v>0</v>
      </c>
      <c r="BJ2" s="27" t="n">
        <v>0</v>
      </c>
      <c r="BK2" s="27" t="n">
        <v>0</v>
      </c>
      <c r="BL2" s="27" t="n">
        <v>0</v>
      </c>
      <c r="BM2" s="27" t="n">
        <v>0</v>
      </c>
      <c r="BN2" s="27" t="n">
        <v>0</v>
      </c>
      <c r="BO2" s="27" t="n">
        <v>0</v>
      </c>
      <c r="BP2" s="27" t="n">
        <v>0</v>
      </c>
      <c r="BQ2" s="27" t="n">
        <v>0</v>
      </c>
      <c r="BR2" s="27" t="n">
        <v>0</v>
      </c>
      <c r="BS2" s="27" t="n">
        <v>0</v>
      </c>
      <c r="BT2" s="27" t="n">
        <v>0</v>
      </c>
      <c r="BU2" s="27" t="n">
        <v>0</v>
      </c>
      <c r="BV2" s="27" t="n">
        <v>0</v>
      </c>
      <c r="BW2" s="27" t="n">
        <v>0</v>
      </c>
      <c r="BX2" s="27" t="n">
        <v>0</v>
      </c>
      <c r="BY2" s="27" t="n">
        <v>0</v>
      </c>
      <c r="BZ2" s="27" t="n">
        <v>0</v>
      </c>
      <c r="CA2" s="27" t="n">
        <v>0</v>
      </c>
      <c r="CB2" s="27" t="n">
        <v>0</v>
      </c>
      <c r="CC2" s="27" t="n">
        <v>0</v>
      </c>
      <c r="CD2" s="27" t="n">
        <v>0</v>
      </c>
      <c r="CE2" s="27" t="n">
        <v>0</v>
      </c>
      <c r="CF2" s="27" t="n">
        <v>0</v>
      </c>
      <c r="CG2" s="27" t="n">
        <v>0</v>
      </c>
      <c r="CH2" s="27" t="n">
        <v>0</v>
      </c>
      <c r="CI2" s="27" t="n">
        <v>0</v>
      </c>
      <c r="CJ2" s="27" t="n">
        <v>0</v>
      </c>
      <c r="CK2" s="27" t="n">
        <v>0</v>
      </c>
      <c r="CL2" s="27" t="n">
        <v>0</v>
      </c>
      <c r="CM2" s="27" t="n">
        <v>0</v>
      </c>
      <c r="CN2" s="27" t="n">
        <v>0</v>
      </c>
      <c r="CO2" s="27" t="n">
        <v>0</v>
      </c>
      <c r="CP2" s="27" t="n">
        <v>0</v>
      </c>
      <c r="CQ2" s="27" t="n">
        <v>0</v>
      </c>
      <c r="CR2" s="27" t="n">
        <v>0</v>
      </c>
      <c r="CS2" s="27" t="n">
        <v>0</v>
      </c>
      <c r="CT2" s="27" t="n">
        <v>0</v>
      </c>
      <c r="CU2" s="27" t="n">
        <v>0</v>
      </c>
      <c r="CV2" s="27" t="n">
        <v>0</v>
      </c>
      <c r="CW2" s="27" t="n">
        <v>0</v>
      </c>
      <c r="CX2" s="27" t="n">
        <v>0</v>
      </c>
      <c r="CY2" s="27" t="n">
        <v>0</v>
      </c>
      <c r="CZ2" s="27" t="n">
        <v>0</v>
      </c>
      <c r="DA2" s="27" t="n">
        <v>0</v>
      </c>
    </row>
    <row r="3">
      <c r="A3" t="inlineStr">
        <is>
          <t>TSP-050</t>
        </is>
      </c>
      <c r="B3" s="27" t="n">
        <v>0</v>
      </c>
      <c r="C3" s="27" t="n">
        <v>0</v>
      </c>
      <c r="D3" s="27" t="n">
        <v>0</v>
      </c>
      <c r="E3" s="27" t="n">
        <v>0</v>
      </c>
      <c r="F3" s="27" t="n">
        <v>0</v>
      </c>
      <c r="G3" s="27" t="n">
        <v>0</v>
      </c>
      <c r="H3" s="27" t="n">
        <v>0</v>
      </c>
      <c r="I3" s="27" t="n">
        <v>0</v>
      </c>
      <c r="J3" s="27" t="n">
        <v>0</v>
      </c>
      <c r="K3" s="27" t="n">
        <v>0</v>
      </c>
      <c r="L3" s="27" t="n">
        <v>0</v>
      </c>
      <c r="M3" s="27" t="n">
        <v>0</v>
      </c>
      <c r="N3" s="27" t="n">
        <v>0</v>
      </c>
      <c r="O3" s="27" t="n">
        <v>0</v>
      </c>
      <c r="P3" s="27" t="n">
        <v>0</v>
      </c>
      <c r="Q3" s="27" t="n">
        <v>0</v>
      </c>
      <c r="R3" s="27" t="n">
        <v>0</v>
      </c>
      <c r="S3" s="27" t="n">
        <v>0</v>
      </c>
      <c r="T3" s="27" t="n">
        <v>0</v>
      </c>
      <c r="U3" s="27" t="n">
        <v>0</v>
      </c>
      <c r="V3" s="27" t="n">
        <v>0</v>
      </c>
      <c r="W3" s="27" t="n">
        <v>0</v>
      </c>
      <c r="X3" s="27" t="n">
        <v>0</v>
      </c>
      <c r="Y3" s="27" t="n">
        <v>0</v>
      </c>
      <c r="Z3" s="27" t="n">
        <v>0</v>
      </c>
      <c r="AA3" s="27" t="n">
        <v>0</v>
      </c>
      <c r="AB3" s="27" t="n">
        <v>0</v>
      </c>
      <c r="AC3" s="27" t="n">
        <v>0</v>
      </c>
      <c r="AD3" s="27" t="n">
        <v>0</v>
      </c>
      <c r="AE3" s="27" t="n">
        <v>0</v>
      </c>
      <c r="AF3" s="27" t="n">
        <v>0</v>
      </c>
      <c r="AG3" s="27" t="n">
        <v>0</v>
      </c>
      <c r="AH3" s="27" t="n">
        <v>0</v>
      </c>
      <c r="AI3" s="27" t="n">
        <v>0</v>
      </c>
      <c r="AJ3" s="27" t="n">
        <v>0</v>
      </c>
      <c r="AK3" s="27" t="n">
        <v>0</v>
      </c>
      <c r="AL3" s="27" t="n">
        <v>0</v>
      </c>
      <c r="AM3" s="27" t="n">
        <v>0</v>
      </c>
      <c r="AN3" s="27" t="n">
        <v>0</v>
      </c>
      <c r="AO3" s="27" t="n">
        <v>0</v>
      </c>
      <c r="AP3" s="27" t="n">
        <v>0</v>
      </c>
      <c r="AQ3" s="27" t="n">
        <v>0</v>
      </c>
      <c r="AR3" s="27" t="n">
        <v>0</v>
      </c>
      <c r="AS3" s="27" t="n">
        <v>0</v>
      </c>
      <c r="AT3" s="27" t="n">
        <v>0</v>
      </c>
      <c r="AU3" s="27" t="n">
        <v>0</v>
      </c>
      <c r="AV3" s="27" t="n">
        <v>0</v>
      </c>
      <c r="AW3" s="27" t="n">
        <v>0</v>
      </c>
      <c r="AX3" s="27" t="n">
        <v>0</v>
      </c>
      <c r="AY3" s="27" t="n">
        <v>0</v>
      </c>
      <c r="AZ3" s="27" t="n">
        <v>0</v>
      </c>
      <c r="BA3" s="27" t="n">
        <v>0</v>
      </c>
      <c r="BB3" s="27" t="n">
        <v>0</v>
      </c>
      <c r="BC3" s="27" t="n">
        <v>0</v>
      </c>
      <c r="BD3" s="27" t="n">
        <v>0</v>
      </c>
      <c r="BE3" s="27" t="n">
        <v>0</v>
      </c>
      <c r="BF3" s="27" t="n">
        <v>0</v>
      </c>
      <c r="BG3" s="27" t="n">
        <v>0</v>
      </c>
      <c r="BH3" s="27" t="n">
        <v>0</v>
      </c>
      <c r="BI3" s="27" t="n">
        <v>0</v>
      </c>
      <c r="BJ3" s="27" t="n">
        <v>0</v>
      </c>
      <c r="BK3" s="27" t="n">
        <v>0</v>
      </c>
      <c r="BL3" s="27" t="n">
        <v>0</v>
      </c>
      <c r="BM3" s="27" t="n">
        <v>0</v>
      </c>
      <c r="BN3" s="27" t="n">
        <v>0</v>
      </c>
      <c r="BO3" s="27" t="n">
        <v>0</v>
      </c>
      <c r="BP3" s="27" t="n">
        <v>0</v>
      </c>
      <c r="BQ3" s="27" t="n">
        <v>0</v>
      </c>
      <c r="BR3" s="27" t="n">
        <v>0</v>
      </c>
      <c r="BS3" s="27" t="n">
        <v>0</v>
      </c>
      <c r="BT3" s="27" t="n">
        <v>0</v>
      </c>
      <c r="BU3" s="27" t="n">
        <v>0</v>
      </c>
      <c r="BV3" s="27" t="n">
        <v>0</v>
      </c>
      <c r="BW3" s="27" t="n">
        <v>0</v>
      </c>
      <c r="BX3" s="27" t="n">
        <v>0</v>
      </c>
      <c r="BY3" s="27" t="n">
        <v>0</v>
      </c>
      <c r="BZ3" s="27" t="n">
        <v>0</v>
      </c>
      <c r="CA3" s="27" t="n">
        <v>0</v>
      </c>
      <c r="CB3" s="27" t="n">
        <v>0</v>
      </c>
      <c r="CC3" s="27" t="n">
        <v>0</v>
      </c>
      <c r="CD3" s="27" t="n">
        <v>0</v>
      </c>
      <c r="CE3" s="27" t="n">
        <v>0</v>
      </c>
      <c r="CF3" s="27" t="n">
        <v>0</v>
      </c>
      <c r="CG3" s="27" t="n">
        <v>0</v>
      </c>
      <c r="CH3" s="27" t="n">
        <v>0</v>
      </c>
      <c r="CI3" s="27" t="n">
        <v>0</v>
      </c>
      <c r="CJ3" s="27" t="n">
        <v>0</v>
      </c>
      <c r="CK3" s="27" t="n">
        <v>0</v>
      </c>
      <c r="CL3" s="27" t="n">
        <v>0</v>
      </c>
      <c r="CM3" s="27" t="n">
        <v>0</v>
      </c>
      <c r="CN3" s="27" t="n">
        <v>0</v>
      </c>
      <c r="CO3" s="27" t="n">
        <v>0</v>
      </c>
      <c r="CP3" s="27" t="n">
        <v>0</v>
      </c>
      <c r="CQ3" s="27" t="n">
        <v>0</v>
      </c>
      <c r="CR3" s="27" t="n">
        <v>0</v>
      </c>
      <c r="CS3" s="27" t="n">
        <v>0</v>
      </c>
      <c r="CT3" s="27" t="n">
        <v>0</v>
      </c>
      <c r="CU3" s="27" t="n">
        <v>0</v>
      </c>
      <c r="CV3" s="27" t="n">
        <v>0</v>
      </c>
      <c r="CW3" s="27" t="n">
        <v>0</v>
      </c>
      <c r="CX3" s="27" t="n">
        <v>0</v>
      </c>
      <c r="CY3" s="27" t="n">
        <v>0</v>
      </c>
      <c r="CZ3" s="27" t="n">
        <v>0</v>
      </c>
      <c r="DA3" s="27" t="n">
        <v>0</v>
      </c>
    </row>
    <row r="4">
      <c r="A4" t="inlineStr">
        <is>
          <t>TSP-067</t>
        </is>
      </c>
      <c r="B4" s="27" t="n">
        <v>0</v>
      </c>
      <c r="C4" s="27" t="n">
        <v>0</v>
      </c>
      <c r="D4" s="27" t="n">
        <v>0</v>
      </c>
      <c r="E4" s="27" t="n">
        <v>0</v>
      </c>
      <c r="F4" s="27" t="n">
        <v>0</v>
      </c>
      <c r="G4" s="27" t="n">
        <v>0</v>
      </c>
      <c r="H4" s="27" t="n">
        <v>0</v>
      </c>
      <c r="I4" s="27" t="n">
        <v>0</v>
      </c>
      <c r="J4" s="27" t="n">
        <v>0</v>
      </c>
      <c r="K4" s="27" t="n">
        <v>0</v>
      </c>
      <c r="L4" s="27" t="n">
        <v>0</v>
      </c>
      <c r="M4" s="27" t="n">
        <v>0</v>
      </c>
      <c r="N4" s="27" t="n">
        <v>0</v>
      </c>
      <c r="O4" s="27" t="n">
        <v>0</v>
      </c>
      <c r="P4" s="27" t="n">
        <v>0</v>
      </c>
      <c r="Q4" s="27" t="n">
        <v>0</v>
      </c>
      <c r="R4" s="27" t="n">
        <v>0</v>
      </c>
      <c r="S4" s="27" t="n">
        <v>0</v>
      </c>
      <c r="T4" s="27" t="n">
        <v>0</v>
      </c>
      <c r="U4" s="27" t="n">
        <v>0</v>
      </c>
      <c r="V4" s="27" t="n">
        <v>0</v>
      </c>
      <c r="W4" s="27" t="n">
        <v>0</v>
      </c>
      <c r="X4" s="27" t="n">
        <v>0</v>
      </c>
      <c r="Y4" s="27" t="n">
        <v>0</v>
      </c>
      <c r="Z4" s="27" t="n">
        <v>0</v>
      </c>
      <c r="AA4" s="27" t="n">
        <v>0</v>
      </c>
      <c r="AB4" s="27" t="n">
        <v>0</v>
      </c>
      <c r="AC4" s="27" t="n">
        <v>0</v>
      </c>
      <c r="AD4" s="27" t="n">
        <v>0</v>
      </c>
      <c r="AE4" s="27" t="n">
        <v>0</v>
      </c>
      <c r="AF4" s="27" t="n">
        <v>0</v>
      </c>
      <c r="AG4" s="27" t="n">
        <v>0</v>
      </c>
      <c r="AH4" s="27" t="n">
        <v>0</v>
      </c>
      <c r="AI4" s="27" t="n">
        <v>0</v>
      </c>
      <c r="AJ4" s="27" t="n">
        <v>0</v>
      </c>
      <c r="AK4" s="27" t="n">
        <v>0</v>
      </c>
      <c r="AL4" s="27" t="n">
        <v>0</v>
      </c>
      <c r="AM4" s="27" t="n">
        <v>0</v>
      </c>
      <c r="AN4" s="27" t="n">
        <v>0</v>
      </c>
      <c r="AO4" s="27" t="n">
        <v>0</v>
      </c>
      <c r="AP4" s="27" t="n">
        <v>0</v>
      </c>
      <c r="AQ4" s="27" t="n">
        <v>0</v>
      </c>
      <c r="AR4" s="27" t="n">
        <v>0</v>
      </c>
      <c r="AS4" s="27" t="n">
        <v>0</v>
      </c>
      <c r="AT4" s="27" t="n">
        <v>0</v>
      </c>
      <c r="AU4" s="27" t="n">
        <v>0</v>
      </c>
      <c r="AV4" s="27" t="n">
        <v>0</v>
      </c>
      <c r="AW4" s="27" t="n">
        <v>0</v>
      </c>
      <c r="AX4" s="27" t="n">
        <v>0</v>
      </c>
      <c r="AY4" s="27" t="n">
        <v>0</v>
      </c>
      <c r="AZ4" s="27" t="n">
        <v>0</v>
      </c>
      <c r="BA4" s="27" t="n">
        <v>0</v>
      </c>
      <c r="BB4" s="27" t="n">
        <v>0</v>
      </c>
      <c r="BC4" s="27" t="n">
        <v>0</v>
      </c>
      <c r="BD4" s="27" t="n">
        <v>0</v>
      </c>
      <c r="BE4" s="27" t="n">
        <v>0</v>
      </c>
      <c r="BF4" s="27" t="n">
        <v>0</v>
      </c>
      <c r="BG4" s="27" t="n">
        <v>0</v>
      </c>
      <c r="BH4" s="27" t="n">
        <v>0</v>
      </c>
      <c r="BI4" s="27" t="n">
        <v>0</v>
      </c>
      <c r="BJ4" s="27" t="n">
        <v>0</v>
      </c>
      <c r="BK4" s="27" t="n">
        <v>0</v>
      </c>
      <c r="BL4" s="27" t="n">
        <v>0</v>
      </c>
      <c r="BM4" s="27" t="n">
        <v>0</v>
      </c>
      <c r="BN4" s="27" t="n">
        <v>0</v>
      </c>
      <c r="BO4" s="27" t="n">
        <v>0</v>
      </c>
      <c r="BP4" s="27" t="n">
        <v>0</v>
      </c>
      <c r="BQ4" s="27" t="n">
        <v>0</v>
      </c>
      <c r="BR4" s="27" t="n">
        <v>0</v>
      </c>
      <c r="BS4" s="27" t="n">
        <v>0</v>
      </c>
      <c r="BT4" s="27" t="n">
        <v>0</v>
      </c>
      <c r="BU4" s="27" t="n">
        <v>0</v>
      </c>
      <c r="BV4" s="27" t="n">
        <v>0</v>
      </c>
      <c r="BW4" s="27" t="n">
        <v>0</v>
      </c>
      <c r="BX4" s="27" t="n">
        <v>0</v>
      </c>
      <c r="BY4" s="27" t="n">
        <v>0</v>
      </c>
      <c r="BZ4" s="27" t="n">
        <v>0</v>
      </c>
      <c r="CA4" s="27" t="n">
        <v>0</v>
      </c>
      <c r="CB4" s="27" t="n">
        <v>0</v>
      </c>
      <c r="CC4" s="27" t="n">
        <v>0</v>
      </c>
      <c r="CD4" s="27" t="n">
        <v>0</v>
      </c>
      <c r="CE4" s="27" t="n">
        <v>0</v>
      </c>
      <c r="CF4" s="27" t="n">
        <v>0</v>
      </c>
      <c r="CG4" s="27" t="n">
        <v>0</v>
      </c>
      <c r="CH4" s="27" t="n">
        <v>0</v>
      </c>
      <c r="CI4" s="27" t="n">
        <v>0</v>
      </c>
      <c r="CJ4" s="27" t="n">
        <v>0</v>
      </c>
      <c r="CK4" s="27" t="n">
        <v>0</v>
      </c>
      <c r="CL4" s="27" t="n">
        <v>0</v>
      </c>
      <c r="CM4" s="27" t="n">
        <v>0</v>
      </c>
      <c r="CN4" s="27" t="n">
        <v>0</v>
      </c>
      <c r="CO4" s="27" t="n">
        <v>0</v>
      </c>
      <c r="CP4" s="27" t="n">
        <v>0</v>
      </c>
      <c r="CQ4" s="27" t="n">
        <v>0</v>
      </c>
      <c r="CR4" s="27" t="n">
        <v>0</v>
      </c>
      <c r="CS4" s="27" t="n">
        <v>0</v>
      </c>
      <c r="CT4" s="27" t="n">
        <v>0</v>
      </c>
      <c r="CU4" s="27" t="n">
        <v>0</v>
      </c>
      <c r="CV4" s="27" t="n">
        <v>0</v>
      </c>
      <c r="CW4" s="27" t="n">
        <v>0</v>
      </c>
      <c r="CX4" s="27" t="n">
        <v>0</v>
      </c>
      <c r="CY4" s="27" t="n">
        <v>0</v>
      </c>
      <c r="CZ4" s="27" t="n">
        <v>0</v>
      </c>
      <c r="DA4" s="27" t="n">
        <v>0</v>
      </c>
    </row>
    <row r="5">
      <c r="A5" t="inlineStr">
        <is>
          <t>TSP-069</t>
        </is>
      </c>
      <c r="B5" s="27" t="n">
        <v>0</v>
      </c>
      <c r="C5" s="27" t="n">
        <v>0</v>
      </c>
      <c r="D5" s="27" t="n">
        <v>0</v>
      </c>
      <c r="E5" s="27" t="n">
        <v>0</v>
      </c>
      <c r="F5" s="27" t="n">
        <v>0</v>
      </c>
      <c r="G5" s="27" t="n">
        <v>0</v>
      </c>
      <c r="H5" s="27" t="n">
        <v>0</v>
      </c>
      <c r="I5" s="27" t="n">
        <v>0</v>
      </c>
      <c r="J5" s="27" t="n">
        <v>0</v>
      </c>
      <c r="K5" s="27" t="n">
        <v>0</v>
      </c>
      <c r="L5" s="27" t="n">
        <v>0</v>
      </c>
      <c r="M5" s="27" t="n">
        <v>0</v>
      </c>
      <c r="N5" s="27" t="n">
        <v>0</v>
      </c>
      <c r="O5" s="27" t="n">
        <v>0</v>
      </c>
      <c r="P5" s="27" t="n">
        <v>0</v>
      </c>
      <c r="Q5" s="27" t="n">
        <v>0</v>
      </c>
      <c r="R5" s="27" t="n">
        <v>0</v>
      </c>
      <c r="S5" s="27" t="n">
        <v>0</v>
      </c>
      <c r="T5" s="27" t="n">
        <v>0</v>
      </c>
      <c r="U5" s="27" t="n">
        <v>0</v>
      </c>
      <c r="V5" s="27" t="n">
        <v>0</v>
      </c>
      <c r="W5" s="27" t="n">
        <v>0</v>
      </c>
      <c r="X5" s="27" t="n">
        <v>0</v>
      </c>
      <c r="Y5" s="27" t="n">
        <v>0</v>
      </c>
      <c r="Z5" s="27" t="n">
        <v>0</v>
      </c>
      <c r="AA5" s="27" t="n">
        <v>0</v>
      </c>
      <c r="AB5" s="27" t="n">
        <v>0</v>
      </c>
      <c r="AC5" s="27" t="n">
        <v>0</v>
      </c>
      <c r="AD5" s="27" t="n">
        <v>0</v>
      </c>
      <c r="AE5" s="27" t="n">
        <v>0</v>
      </c>
      <c r="AF5" s="27" t="n">
        <v>0</v>
      </c>
      <c r="AG5" s="27" t="n">
        <v>0</v>
      </c>
      <c r="AH5" s="27" t="n">
        <v>0</v>
      </c>
      <c r="AI5" s="27" t="n">
        <v>0</v>
      </c>
      <c r="AJ5" s="27" t="n">
        <v>0</v>
      </c>
      <c r="AK5" s="27" t="n">
        <v>0</v>
      </c>
      <c r="AL5" s="27" t="n">
        <v>0</v>
      </c>
      <c r="AM5" s="27" t="n">
        <v>0</v>
      </c>
      <c r="AN5" s="27" t="n">
        <v>0</v>
      </c>
      <c r="AO5" s="27" t="n">
        <v>0</v>
      </c>
      <c r="AP5" s="27" t="n">
        <v>0</v>
      </c>
      <c r="AQ5" s="27" t="n">
        <v>0</v>
      </c>
      <c r="AR5" s="27" t="n">
        <v>0</v>
      </c>
      <c r="AS5" s="27" t="n">
        <v>0</v>
      </c>
      <c r="AT5" s="27" t="n">
        <v>0</v>
      </c>
      <c r="AU5" s="27" t="n">
        <v>0</v>
      </c>
      <c r="AV5" s="27" t="n">
        <v>0</v>
      </c>
      <c r="AW5" s="27" t="n">
        <v>0</v>
      </c>
      <c r="AX5" s="27" t="n">
        <v>0</v>
      </c>
      <c r="AY5" s="27" t="n">
        <v>0</v>
      </c>
      <c r="AZ5" s="27" t="n">
        <v>0</v>
      </c>
      <c r="BA5" s="27" t="n">
        <v>0</v>
      </c>
      <c r="BB5" s="27" t="n">
        <v>0</v>
      </c>
      <c r="BC5" s="27" t="n">
        <v>0</v>
      </c>
      <c r="BD5" s="27" t="n">
        <v>0</v>
      </c>
      <c r="BE5" s="27" t="n">
        <v>0</v>
      </c>
      <c r="BF5" s="27" t="n">
        <v>0</v>
      </c>
      <c r="BG5" s="27" t="n">
        <v>0</v>
      </c>
      <c r="BH5" s="27" t="n">
        <v>0</v>
      </c>
      <c r="BI5" s="27" t="n">
        <v>0</v>
      </c>
      <c r="BJ5" s="27" t="n">
        <v>0</v>
      </c>
      <c r="BK5" s="27" t="n">
        <v>0</v>
      </c>
      <c r="BL5" s="27" t="n">
        <v>0</v>
      </c>
      <c r="BM5" s="27" t="n">
        <v>0</v>
      </c>
      <c r="BN5" s="27" t="n">
        <v>0</v>
      </c>
      <c r="BO5" s="27" t="n">
        <v>0</v>
      </c>
      <c r="BP5" s="27" t="n">
        <v>0</v>
      </c>
      <c r="BQ5" s="27" t="n">
        <v>0</v>
      </c>
      <c r="BR5" s="27" t="n">
        <v>0</v>
      </c>
      <c r="BS5" s="27" t="n">
        <v>0</v>
      </c>
      <c r="BT5" s="27" t="n">
        <v>0</v>
      </c>
      <c r="BU5" s="27" t="n">
        <v>0</v>
      </c>
      <c r="BV5" s="27" t="n">
        <v>0</v>
      </c>
      <c r="BW5" s="27" t="n">
        <v>0</v>
      </c>
      <c r="BX5" s="27" t="n">
        <v>0</v>
      </c>
      <c r="BY5" s="27" t="n">
        <v>0</v>
      </c>
      <c r="BZ5" s="27" t="n">
        <v>0</v>
      </c>
      <c r="CA5" s="27" t="n">
        <v>0</v>
      </c>
      <c r="CB5" s="27" t="n">
        <v>0</v>
      </c>
      <c r="CC5" s="27" t="n">
        <v>0</v>
      </c>
      <c r="CD5" s="27" t="n">
        <v>0</v>
      </c>
      <c r="CE5" s="27" t="n">
        <v>0</v>
      </c>
      <c r="CF5" s="27" t="n">
        <v>0</v>
      </c>
      <c r="CG5" s="27" t="n">
        <v>0</v>
      </c>
      <c r="CH5" s="27" t="n">
        <v>0</v>
      </c>
      <c r="CI5" s="27" t="n">
        <v>0</v>
      </c>
      <c r="CJ5" s="27" t="n">
        <v>0</v>
      </c>
      <c r="CK5" s="27" t="n">
        <v>0</v>
      </c>
      <c r="CL5" s="27" t="n">
        <v>0</v>
      </c>
      <c r="CM5" s="27" t="n">
        <v>0</v>
      </c>
      <c r="CN5" s="27" t="n">
        <v>0</v>
      </c>
      <c r="CO5" s="27" t="n">
        <v>0</v>
      </c>
      <c r="CP5" s="27" t="n">
        <v>0</v>
      </c>
      <c r="CQ5" s="27" t="n">
        <v>0</v>
      </c>
      <c r="CR5" s="27" t="n">
        <v>0</v>
      </c>
      <c r="CS5" s="27" t="n">
        <v>0</v>
      </c>
      <c r="CT5" s="27" t="n">
        <v>0</v>
      </c>
      <c r="CU5" s="27" t="n">
        <v>0</v>
      </c>
      <c r="CV5" s="27" t="n">
        <v>0</v>
      </c>
      <c r="CW5" s="27" t="n">
        <v>0</v>
      </c>
      <c r="CX5" s="27" t="n">
        <v>0</v>
      </c>
      <c r="CY5" s="27" t="n">
        <v>0</v>
      </c>
      <c r="CZ5" s="27" t="n">
        <v>0</v>
      </c>
      <c r="DA5" s="27" t="n">
        <v>0</v>
      </c>
    </row>
    <row r="6">
      <c r="A6" t="inlineStr">
        <is>
          <t>TSP-078</t>
        </is>
      </c>
      <c r="B6" s="27" t="n">
        <v>0</v>
      </c>
      <c r="C6" s="27" t="n">
        <v>0</v>
      </c>
      <c r="D6" s="27" t="n">
        <v>0</v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0</v>
      </c>
      <c r="M6" s="27" t="n">
        <v>0</v>
      </c>
      <c r="N6" s="27" t="n">
        <v>0</v>
      </c>
      <c r="O6" s="27" t="n">
        <v>0</v>
      </c>
      <c r="P6" s="27" t="n">
        <v>0</v>
      </c>
      <c r="Q6" s="27" t="n">
        <v>0</v>
      </c>
      <c r="R6" s="27" t="n">
        <v>0</v>
      </c>
      <c r="S6" s="27" t="n">
        <v>0</v>
      </c>
      <c r="T6" s="27" t="n">
        <v>0</v>
      </c>
      <c r="U6" s="27" t="n">
        <v>0</v>
      </c>
      <c r="V6" s="27" t="n">
        <v>0</v>
      </c>
      <c r="W6" s="27" t="n">
        <v>0</v>
      </c>
      <c r="X6" s="27" t="n">
        <v>0</v>
      </c>
      <c r="Y6" s="27" t="n">
        <v>0</v>
      </c>
      <c r="Z6" s="27" t="n">
        <v>0</v>
      </c>
      <c r="AA6" s="27" t="n">
        <v>0</v>
      </c>
      <c r="AB6" s="27" t="n">
        <v>0</v>
      </c>
      <c r="AC6" s="27" t="n">
        <v>0</v>
      </c>
      <c r="AD6" s="27" t="n">
        <v>0</v>
      </c>
      <c r="AE6" s="27" t="n">
        <v>0</v>
      </c>
      <c r="AF6" s="27" t="n">
        <v>0</v>
      </c>
      <c r="AG6" s="27" t="n">
        <v>0</v>
      </c>
      <c r="AH6" s="27" t="n">
        <v>0</v>
      </c>
      <c r="AI6" s="27" t="n">
        <v>0</v>
      </c>
      <c r="AJ6" s="27" t="n">
        <v>0</v>
      </c>
      <c r="AK6" s="27" t="n">
        <v>0</v>
      </c>
      <c r="AL6" s="27" t="n">
        <v>0</v>
      </c>
      <c r="AM6" s="27" t="n">
        <v>0</v>
      </c>
      <c r="AN6" s="27" t="n">
        <v>0</v>
      </c>
      <c r="AO6" s="27" t="n">
        <v>0</v>
      </c>
      <c r="AP6" s="27" t="n">
        <v>0</v>
      </c>
      <c r="AQ6" s="27" t="n">
        <v>0</v>
      </c>
      <c r="AR6" s="27" t="n">
        <v>0</v>
      </c>
      <c r="AS6" s="27" t="n">
        <v>0</v>
      </c>
      <c r="AT6" s="27" t="n">
        <v>0</v>
      </c>
      <c r="AU6" s="27" t="n">
        <v>0</v>
      </c>
      <c r="AV6" s="27" t="n">
        <v>0</v>
      </c>
      <c r="AW6" s="27" t="n">
        <v>0</v>
      </c>
      <c r="AX6" s="27" t="n">
        <v>0</v>
      </c>
      <c r="AY6" s="27" t="n">
        <v>0</v>
      </c>
      <c r="AZ6" s="27" t="n">
        <v>0</v>
      </c>
      <c r="BA6" s="27" t="n">
        <v>0</v>
      </c>
      <c r="BB6" s="27" t="n">
        <v>0</v>
      </c>
      <c r="BC6" s="27" t="n">
        <v>0</v>
      </c>
      <c r="BD6" s="27" t="n">
        <v>0</v>
      </c>
      <c r="BE6" s="27" t="n">
        <v>0</v>
      </c>
      <c r="BF6" s="27" t="n">
        <v>0</v>
      </c>
      <c r="BG6" s="27" t="n">
        <v>0</v>
      </c>
      <c r="BH6" s="27" t="n">
        <v>0</v>
      </c>
      <c r="BI6" s="27" t="n">
        <v>0</v>
      </c>
      <c r="BJ6" s="27" t="n">
        <v>0</v>
      </c>
      <c r="BK6" s="27" t="n">
        <v>0</v>
      </c>
      <c r="BL6" s="27" t="n">
        <v>0</v>
      </c>
      <c r="BM6" s="27" t="n">
        <v>0</v>
      </c>
      <c r="BN6" s="27" t="n">
        <v>0</v>
      </c>
      <c r="BO6" s="27" t="n">
        <v>0</v>
      </c>
      <c r="BP6" s="27" t="n">
        <v>0</v>
      </c>
      <c r="BQ6" s="27" t="n">
        <v>0</v>
      </c>
      <c r="BR6" s="27" t="n">
        <v>0</v>
      </c>
      <c r="BS6" s="27" t="n">
        <v>0</v>
      </c>
      <c r="BT6" s="27" t="n">
        <v>0</v>
      </c>
      <c r="BU6" s="27" t="n">
        <v>0</v>
      </c>
      <c r="BV6" s="27" t="n">
        <v>0</v>
      </c>
      <c r="BW6" s="27" t="n">
        <v>0</v>
      </c>
      <c r="BX6" s="27" t="n">
        <v>0</v>
      </c>
      <c r="BY6" s="27" t="n">
        <v>0</v>
      </c>
      <c r="BZ6" s="27" t="n">
        <v>0</v>
      </c>
      <c r="CA6" s="27" t="n">
        <v>0</v>
      </c>
      <c r="CB6" s="27" t="n">
        <v>0</v>
      </c>
      <c r="CC6" s="27" t="n">
        <v>0</v>
      </c>
      <c r="CD6" s="27" t="n">
        <v>0</v>
      </c>
      <c r="CE6" s="27" t="n">
        <v>0</v>
      </c>
      <c r="CF6" s="27" t="n">
        <v>0</v>
      </c>
      <c r="CG6" s="27" t="n">
        <v>0</v>
      </c>
      <c r="CH6" s="27" t="n">
        <v>0</v>
      </c>
      <c r="CI6" s="27" t="n">
        <v>0</v>
      </c>
      <c r="CJ6" s="27" t="n">
        <v>0</v>
      </c>
      <c r="CK6" s="27" t="n">
        <v>0</v>
      </c>
      <c r="CL6" s="27" t="n">
        <v>0</v>
      </c>
      <c r="CM6" s="27" t="n">
        <v>0</v>
      </c>
      <c r="CN6" s="27" t="n">
        <v>0</v>
      </c>
      <c r="CO6" s="27" t="n">
        <v>0</v>
      </c>
      <c r="CP6" s="27" t="n">
        <v>0</v>
      </c>
      <c r="CQ6" s="27" t="n">
        <v>0</v>
      </c>
      <c r="CR6" s="27" t="n">
        <v>0</v>
      </c>
      <c r="CS6" s="27" t="n">
        <v>0</v>
      </c>
      <c r="CT6" s="27" t="n">
        <v>0</v>
      </c>
      <c r="CU6" s="27" t="n">
        <v>0</v>
      </c>
      <c r="CV6" s="27" t="n">
        <v>0</v>
      </c>
      <c r="CW6" s="27" t="n">
        <v>0</v>
      </c>
      <c r="CX6" s="27" t="n">
        <v>0</v>
      </c>
      <c r="CY6" s="27" t="n">
        <v>0</v>
      </c>
      <c r="CZ6" s="27" t="n">
        <v>0</v>
      </c>
      <c r="DA6" s="27" t="n">
        <v>0</v>
      </c>
    </row>
    <row r="7">
      <c r="A7" t="inlineStr">
        <is>
          <t>TSP-080</t>
        </is>
      </c>
      <c r="B7" s="27" t="n">
        <v>0</v>
      </c>
      <c r="C7" s="27" t="n">
        <v>0</v>
      </c>
      <c r="D7" s="27" t="n">
        <v>0</v>
      </c>
      <c r="E7" s="27" t="n">
        <v>0</v>
      </c>
      <c r="F7" s="27" t="n">
        <v>0</v>
      </c>
      <c r="G7" s="27" t="n">
        <v>0</v>
      </c>
      <c r="H7" s="27" t="n">
        <v>0</v>
      </c>
      <c r="I7" s="27" t="n">
        <v>0</v>
      </c>
      <c r="J7" s="27" t="n">
        <v>0</v>
      </c>
      <c r="K7" s="27" t="n">
        <v>0</v>
      </c>
      <c r="L7" s="27" t="n">
        <v>0</v>
      </c>
      <c r="M7" s="27" t="n">
        <v>0</v>
      </c>
      <c r="N7" s="27" t="n">
        <v>0</v>
      </c>
      <c r="O7" s="27" t="n">
        <v>0</v>
      </c>
      <c r="P7" s="27" t="n">
        <v>0</v>
      </c>
      <c r="Q7" s="27" t="n">
        <v>0</v>
      </c>
      <c r="R7" s="27" t="n">
        <v>0</v>
      </c>
      <c r="S7" s="27" t="n">
        <v>0</v>
      </c>
      <c r="T7" s="27" t="n">
        <v>0</v>
      </c>
      <c r="U7" s="27" t="n">
        <v>0</v>
      </c>
      <c r="V7" s="27" t="n">
        <v>0</v>
      </c>
      <c r="W7" s="27" t="n">
        <v>0</v>
      </c>
      <c r="X7" s="27" t="n">
        <v>0</v>
      </c>
      <c r="Y7" s="27" t="n">
        <v>0</v>
      </c>
      <c r="Z7" s="27" t="n">
        <v>0</v>
      </c>
      <c r="AA7" s="27" t="n">
        <v>0</v>
      </c>
      <c r="AB7" s="27" t="n">
        <v>0</v>
      </c>
      <c r="AC7" s="27" t="n">
        <v>0</v>
      </c>
      <c r="AD7" s="27" t="n">
        <v>0</v>
      </c>
      <c r="AE7" s="27" t="n">
        <v>0</v>
      </c>
      <c r="AF7" s="27" t="n">
        <v>0</v>
      </c>
      <c r="AG7" s="27" t="n">
        <v>0</v>
      </c>
      <c r="AH7" s="27" t="n">
        <v>0</v>
      </c>
      <c r="AI7" s="27" t="n">
        <v>0</v>
      </c>
      <c r="AJ7" s="27" t="n">
        <v>0</v>
      </c>
      <c r="AK7" s="27" t="n">
        <v>0</v>
      </c>
      <c r="AL7" s="27" t="n">
        <v>0</v>
      </c>
      <c r="AM7" s="27" t="n">
        <v>0</v>
      </c>
      <c r="AN7" s="27" t="n">
        <v>0</v>
      </c>
      <c r="AO7" s="27" t="n">
        <v>0</v>
      </c>
      <c r="AP7" s="27" t="n">
        <v>0</v>
      </c>
      <c r="AQ7" s="27" t="n">
        <v>0</v>
      </c>
      <c r="AR7" s="27" t="n">
        <v>0</v>
      </c>
      <c r="AS7" s="27" t="n">
        <v>0</v>
      </c>
      <c r="AT7" s="27" t="n">
        <v>0</v>
      </c>
      <c r="AU7" s="27" t="n">
        <v>0</v>
      </c>
      <c r="AV7" s="27" t="n">
        <v>0</v>
      </c>
      <c r="AW7" s="27" t="n">
        <v>0</v>
      </c>
      <c r="AX7" s="27" t="n">
        <v>0</v>
      </c>
      <c r="AY7" s="27" t="n">
        <v>0</v>
      </c>
      <c r="AZ7" s="27" t="n">
        <v>0</v>
      </c>
      <c r="BA7" s="27" t="n">
        <v>0</v>
      </c>
      <c r="BB7" s="27" t="n">
        <v>0</v>
      </c>
      <c r="BC7" s="27" t="n">
        <v>0</v>
      </c>
      <c r="BD7" s="27" t="n">
        <v>0</v>
      </c>
      <c r="BE7" s="27" t="n">
        <v>0</v>
      </c>
      <c r="BF7" s="27" t="n">
        <v>0</v>
      </c>
      <c r="BG7" s="27" t="n">
        <v>0</v>
      </c>
      <c r="BH7" s="27" t="n">
        <v>0</v>
      </c>
      <c r="BI7" s="27" t="n">
        <v>0</v>
      </c>
      <c r="BJ7" s="27" t="n">
        <v>0</v>
      </c>
      <c r="BK7" s="27" t="n">
        <v>0</v>
      </c>
      <c r="BL7" s="27" t="n">
        <v>0</v>
      </c>
      <c r="BM7" s="27" t="n">
        <v>0</v>
      </c>
      <c r="BN7" s="27" t="n">
        <v>0</v>
      </c>
      <c r="BO7" s="27" t="n">
        <v>0</v>
      </c>
      <c r="BP7" s="27" t="n">
        <v>0</v>
      </c>
      <c r="BQ7" s="27" t="n">
        <v>0</v>
      </c>
      <c r="BR7" s="27" t="n">
        <v>0</v>
      </c>
      <c r="BS7" s="27" t="n">
        <v>0</v>
      </c>
      <c r="BT7" s="27" t="n">
        <v>0</v>
      </c>
      <c r="BU7" s="27" t="n">
        <v>0</v>
      </c>
      <c r="BV7" s="27" t="n">
        <v>0</v>
      </c>
      <c r="BW7" s="27" t="n">
        <v>0</v>
      </c>
      <c r="BX7" s="27" t="n">
        <v>0</v>
      </c>
      <c r="BY7" s="27" t="n">
        <v>0</v>
      </c>
      <c r="BZ7" s="27" t="n">
        <v>0</v>
      </c>
      <c r="CA7" s="27" t="n">
        <v>0</v>
      </c>
      <c r="CB7" s="27" t="n">
        <v>0</v>
      </c>
      <c r="CC7" s="27" t="n">
        <v>0</v>
      </c>
      <c r="CD7" s="27" t="n">
        <v>0</v>
      </c>
      <c r="CE7" s="27" t="n">
        <v>0</v>
      </c>
      <c r="CF7" s="27" t="n">
        <v>0</v>
      </c>
      <c r="CG7" s="27" t="n">
        <v>0</v>
      </c>
      <c r="CH7" s="27" t="n">
        <v>0</v>
      </c>
      <c r="CI7" s="27" t="n">
        <v>0</v>
      </c>
      <c r="CJ7" s="27" t="n">
        <v>0</v>
      </c>
      <c r="CK7" s="27" t="n">
        <v>0</v>
      </c>
      <c r="CL7" s="27" t="n">
        <v>0</v>
      </c>
      <c r="CM7" s="27" t="n">
        <v>0</v>
      </c>
      <c r="CN7" s="27" t="n">
        <v>0</v>
      </c>
      <c r="CO7" s="27" t="n">
        <v>0</v>
      </c>
      <c r="CP7" s="27" t="n">
        <v>0</v>
      </c>
      <c r="CQ7" s="27" t="n">
        <v>0</v>
      </c>
      <c r="CR7" s="27" t="n">
        <v>0</v>
      </c>
      <c r="CS7" s="27" t="n">
        <v>0</v>
      </c>
      <c r="CT7" s="27" t="n">
        <v>0</v>
      </c>
      <c r="CU7" s="27" t="n">
        <v>0</v>
      </c>
      <c r="CV7" s="27" t="n">
        <v>0</v>
      </c>
      <c r="CW7" s="27" t="n">
        <v>0</v>
      </c>
      <c r="CX7" s="27" t="n">
        <v>0</v>
      </c>
      <c r="CY7" s="27" t="n">
        <v>0</v>
      </c>
      <c r="CZ7" s="27" t="n">
        <v>0</v>
      </c>
      <c r="DA7" s="27" t="n">
        <v>0</v>
      </c>
    </row>
    <row r="8">
      <c r="A8" t="inlineStr">
        <is>
          <t>TSP-104</t>
        </is>
      </c>
      <c r="B8" s="27" t="n">
        <v>0</v>
      </c>
      <c r="C8" s="27" t="n">
        <v>0</v>
      </c>
      <c r="D8" s="27" t="n">
        <v>0</v>
      </c>
      <c r="E8" s="27" t="n">
        <v>0</v>
      </c>
      <c r="F8" s="27" t="n">
        <v>0</v>
      </c>
      <c r="G8" s="27" t="n">
        <v>0</v>
      </c>
      <c r="H8" s="27" t="n">
        <v>0</v>
      </c>
      <c r="I8" s="27" t="n">
        <v>0</v>
      </c>
      <c r="J8" s="27" t="n">
        <v>0</v>
      </c>
      <c r="K8" s="27" t="n">
        <v>0</v>
      </c>
      <c r="L8" s="27" t="n">
        <v>0</v>
      </c>
      <c r="M8" s="27" t="n">
        <v>0</v>
      </c>
      <c r="N8" s="27" t="n">
        <v>0</v>
      </c>
      <c r="O8" s="27" t="n">
        <v>0</v>
      </c>
      <c r="P8" s="27" t="n">
        <v>0</v>
      </c>
      <c r="Q8" s="27" t="n">
        <v>0</v>
      </c>
      <c r="R8" s="27" t="n">
        <v>0</v>
      </c>
      <c r="S8" s="27" t="n">
        <v>0</v>
      </c>
      <c r="T8" s="27" t="n">
        <v>0</v>
      </c>
      <c r="U8" s="27" t="n">
        <v>0</v>
      </c>
      <c r="V8" s="27" t="n">
        <v>0</v>
      </c>
      <c r="W8" s="27" t="n">
        <v>0</v>
      </c>
      <c r="X8" s="27" t="n">
        <v>0</v>
      </c>
      <c r="Y8" s="27" t="n">
        <v>0</v>
      </c>
      <c r="Z8" s="27" t="n">
        <v>0</v>
      </c>
      <c r="AA8" s="27" t="n">
        <v>0</v>
      </c>
      <c r="AB8" s="27" t="n">
        <v>0</v>
      </c>
      <c r="AC8" s="27" t="n">
        <v>0</v>
      </c>
      <c r="AD8" s="27" t="n">
        <v>0</v>
      </c>
      <c r="AE8" s="27" t="n">
        <v>0</v>
      </c>
      <c r="AF8" s="27" t="n">
        <v>0</v>
      </c>
      <c r="AG8" s="27" t="n">
        <v>0</v>
      </c>
      <c r="AH8" s="27" t="n">
        <v>0</v>
      </c>
      <c r="AI8" s="27" t="n">
        <v>0</v>
      </c>
      <c r="AJ8" s="27" t="n">
        <v>0</v>
      </c>
      <c r="AK8" s="27" t="n">
        <v>0</v>
      </c>
      <c r="AL8" s="27" t="n">
        <v>0</v>
      </c>
      <c r="AM8" s="27" t="n">
        <v>0</v>
      </c>
      <c r="AN8" s="27" t="n">
        <v>0</v>
      </c>
      <c r="AO8" s="27" t="n">
        <v>0</v>
      </c>
      <c r="AP8" s="27" t="n">
        <v>0</v>
      </c>
      <c r="AQ8" s="27" t="n">
        <v>0</v>
      </c>
      <c r="AR8" s="27" t="n">
        <v>0</v>
      </c>
      <c r="AS8" s="27" t="n">
        <v>0</v>
      </c>
      <c r="AT8" s="27" t="n">
        <v>0</v>
      </c>
      <c r="AU8" s="27" t="n">
        <v>0</v>
      </c>
      <c r="AV8" s="27" t="n">
        <v>0</v>
      </c>
      <c r="AW8" s="27" t="n">
        <v>0</v>
      </c>
      <c r="AX8" s="27" t="n">
        <v>0</v>
      </c>
      <c r="AY8" s="27" t="n">
        <v>0</v>
      </c>
      <c r="AZ8" s="27" t="n">
        <v>0</v>
      </c>
      <c r="BA8" s="27" t="n">
        <v>0</v>
      </c>
      <c r="BB8" s="27" t="n">
        <v>0</v>
      </c>
      <c r="BC8" s="27" t="n">
        <v>0</v>
      </c>
      <c r="BD8" s="27" t="n">
        <v>0</v>
      </c>
      <c r="BE8" s="27" t="n">
        <v>0</v>
      </c>
      <c r="BF8" s="27" t="n">
        <v>0</v>
      </c>
      <c r="BG8" s="27" t="n">
        <v>0</v>
      </c>
      <c r="BH8" s="27" t="n">
        <v>0</v>
      </c>
      <c r="BI8" s="27" t="n">
        <v>0</v>
      </c>
      <c r="BJ8" s="27" t="n">
        <v>0</v>
      </c>
      <c r="BK8" s="27" t="n">
        <v>0</v>
      </c>
      <c r="BL8" s="27" t="n">
        <v>0</v>
      </c>
      <c r="BM8" s="27" t="n">
        <v>0</v>
      </c>
      <c r="BN8" s="27" t="n">
        <v>0</v>
      </c>
      <c r="BO8" s="27" t="n">
        <v>0</v>
      </c>
      <c r="BP8" s="27" t="n">
        <v>0</v>
      </c>
      <c r="BQ8" s="27" t="n">
        <v>0</v>
      </c>
      <c r="BR8" s="27" t="n">
        <v>0</v>
      </c>
      <c r="BS8" s="27" t="n">
        <v>0</v>
      </c>
      <c r="BT8" s="27" t="n">
        <v>0</v>
      </c>
      <c r="BU8" s="27" t="n">
        <v>0</v>
      </c>
      <c r="BV8" s="27" t="n">
        <v>0</v>
      </c>
      <c r="BW8" s="27" t="n">
        <v>0</v>
      </c>
      <c r="BX8" s="27" t="n">
        <v>0</v>
      </c>
      <c r="BY8" s="27" t="n">
        <v>0</v>
      </c>
      <c r="BZ8" s="27" t="n">
        <v>0</v>
      </c>
      <c r="CA8" s="27" t="n">
        <v>0</v>
      </c>
      <c r="CB8" s="27" t="n">
        <v>0</v>
      </c>
      <c r="CC8" s="27" t="n">
        <v>0</v>
      </c>
      <c r="CD8" s="27" t="n">
        <v>0</v>
      </c>
      <c r="CE8" s="27" t="n">
        <v>0</v>
      </c>
      <c r="CF8" s="27" t="n">
        <v>0</v>
      </c>
      <c r="CG8" s="27" t="n">
        <v>0</v>
      </c>
      <c r="CH8" s="27" t="n">
        <v>0</v>
      </c>
      <c r="CI8" s="27" t="n">
        <v>0</v>
      </c>
      <c r="CJ8" s="27" t="n">
        <v>0</v>
      </c>
      <c r="CK8" s="27" t="n">
        <v>0</v>
      </c>
      <c r="CL8" s="27" t="n">
        <v>0</v>
      </c>
      <c r="CM8" s="27" t="n">
        <v>0</v>
      </c>
      <c r="CN8" s="27" t="n">
        <v>0</v>
      </c>
      <c r="CO8" s="27" t="n">
        <v>0</v>
      </c>
      <c r="CP8" s="27" t="n">
        <v>0</v>
      </c>
      <c r="CQ8" s="27" t="n">
        <v>0</v>
      </c>
      <c r="CR8" s="27" t="n">
        <v>0</v>
      </c>
      <c r="CS8" s="27" t="n">
        <v>0</v>
      </c>
      <c r="CT8" s="27" t="n">
        <v>0</v>
      </c>
      <c r="CU8" s="27" t="n">
        <v>0</v>
      </c>
      <c r="CV8" s="27" t="n">
        <v>0</v>
      </c>
      <c r="CW8" s="27" t="n">
        <v>0</v>
      </c>
      <c r="CX8" s="27" t="n">
        <v>0</v>
      </c>
      <c r="CY8" s="27" t="n">
        <v>0</v>
      </c>
      <c r="CZ8" s="27" t="n">
        <v>0</v>
      </c>
      <c r="DA8" s="27" t="n">
        <v>0</v>
      </c>
    </row>
    <row r="9">
      <c r="A9" t="inlineStr">
        <is>
          <t>TSP-105</t>
        </is>
      </c>
      <c r="B9" s="27" t="n">
        <v>0</v>
      </c>
      <c r="C9" s="27" t="n">
        <v>0</v>
      </c>
      <c r="D9" s="27" t="n">
        <v>0</v>
      </c>
      <c r="E9" s="27" t="n">
        <v>0</v>
      </c>
      <c r="F9" s="27" t="n">
        <v>0</v>
      </c>
      <c r="G9" s="27" t="n">
        <v>0</v>
      </c>
      <c r="H9" s="27" t="n">
        <v>0</v>
      </c>
      <c r="I9" s="27" t="n">
        <v>0</v>
      </c>
      <c r="J9" s="27" t="n">
        <v>0</v>
      </c>
      <c r="K9" s="27" t="n">
        <v>0</v>
      </c>
      <c r="L9" s="27" t="n">
        <v>0</v>
      </c>
      <c r="M9" s="27" t="n">
        <v>0</v>
      </c>
      <c r="N9" s="27" t="n">
        <v>0</v>
      </c>
      <c r="O9" s="27" t="n">
        <v>0</v>
      </c>
      <c r="P9" s="27" t="n">
        <v>0</v>
      </c>
      <c r="Q9" s="27" t="n">
        <v>0</v>
      </c>
      <c r="R9" s="27" t="n">
        <v>0</v>
      </c>
      <c r="S9" s="27" t="n">
        <v>0</v>
      </c>
      <c r="T9" s="27" t="n">
        <v>0</v>
      </c>
      <c r="U9" s="27" t="n">
        <v>0</v>
      </c>
      <c r="V9" s="27" t="n">
        <v>0</v>
      </c>
      <c r="W9" s="27" t="n">
        <v>0</v>
      </c>
      <c r="X9" s="27" t="n">
        <v>0</v>
      </c>
      <c r="Y9" s="27" t="n">
        <v>0</v>
      </c>
      <c r="Z9" s="27" t="n">
        <v>0</v>
      </c>
      <c r="AA9" s="27" t="n">
        <v>0</v>
      </c>
      <c r="AB9" s="27" t="n">
        <v>0</v>
      </c>
      <c r="AC9" s="27" t="n">
        <v>0</v>
      </c>
      <c r="AD9" s="27" t="n">
        <v>0</v>
      </c>
      <c r="AE9" s="27" t="n">
        <v>0</v>
      </c>
      <c r="AF9" s="27" t="n">
        <v>0</v>
      </c>
      <c r="AG9" s="27" t="n">
        <v>0</v>
      </c>
      <c r="AH9" s="27" t="n">
        <v>0</v>
      </c>
      <c r="AI9" s="27" t="n">
        <v>0</v>
      </c>
      <c r="AJ9" s="27" t="n">
        <v>0</v>
      </c>
      <c r="AK9" s="27" t="n">
        <v>0</v>
      </c>
      <c r="AL9" s="27" t="n">
        <v>0</v>
      </c>
      <c r="AM9" s="27" t="n">
        <v>0</v>
      </c>
      <c r="AN9" s="27" t="n">
        <v>0</v>
      </c>
      <c r="AO9" s="27" t="n">
        <v>0</v>
      </c>
      <c r="AP9" s="27" t="n">
        <v>0</v>
      </c>
      <c r="AQ9" s="27" t="n">
        <v>0</v>
      </c>
      <c r="AR9" s="27" t="n">
        <v>0</v>
      </c>
      <c r="AS9" s="27" t="n">
        <v>0</v>
      </c>
      <c r="AT9" s="27" t="n">
        <v>0</v>
      </c>
      <c r="AU9" s="27" t="n">
        <v>0</v>
      </c>
      <c r="AV9" s="27" t="n">
        <v>0</v>
      </c>
      <c r="AW9" s="27" t="n">
        <v>0</v>
      </c>
      <c r="AX9" s="27" t="n">
        <v>0</v>
      </c>
      <c r="AY9" s="27" t="n">
        <v>0</v>
      </c>
      <c r="AZ9" s="27" t="n">
        <v>0</v>
      </c>
      <c r="BA9" s="27" t="n">
        <v>0</v>
      </c>
      <c r="BB9" s="27" t="n">
        <v>0</v>
      </c>
      <c r="BC9" s="27" t="n">
        <v>0</v>
      </c>
      <c r="BD9" s="27" t="n">
        <v>0</v>
      </c>
      <c r="BE9" s="27" t="n">
        <v>0</v>
      </c>
      <c r="BF9" s="27" t="n">
        <v>0</v>
      </c>
      <c r="BG9" s="27" t="n">
        <v>0</v>
      </c>
      <c r="BH9" s="27" t="n">
        <v>0</v>
      </c>
      <c r="BI9" s="27" t="n">
        <v>0</v>
      </c>
      <c r="BJ9" s="27" t="n">
        <v>0</v>
      </c>
      <c r="BK9" s="27" t="n">
        <v>0</v>
      </c>
      <c r="BL9" s="27" t="n">
        <v>0</v>
      </c>
      <c r="BM9" s="27" t="n">
        <v>0</v>
      </c>
      <c r="BN9" s="27" t="n">
        <v>0</v>
      </c>
      <c r="BO9" s="27" t="n">
        <v>0</v>
      </c>
      <c r="BP9" s="27" t="n">
        <v>0</v>
      </c>
      <c r="BQ9" s="27" t="n">
        <v>0</v>
      </c>
      <c r="BR9" s="27" t="n">
        <v>0</v>
      </c>
      <c r="BS9" s="27" t="n">
        <v>0</v>
      </c>
      <c r="BT9" s="27" t="n">
        <v>0</v>
      </c>
      <c r="BU9" s="27" t="n">
        <v>0</v>
      </c>
      <c r="BV9" s="27" t="n">
        <v>0</v>
      </c>
      <c r="BW9" s="27" t="n">
        <v>0</v>
      </c>
      <c r="BX9" s="27" t="n">
        <v>0</v>
      </c>
      <c r="BY9" s="27" t="n">
        <v>0</v>
      </c>
      <c r="BZ9" s="27" t="n">
        <v>0</v>
      </c>
      <c r="CA9" s="27" t="n">
        <v>0</v>
      </c>
      <c r="CB9" s="27" t="n">
        <v>0</v>
      </c>
      <c r="CC9" s="27" t="n">
        <v>0</v>
      </c>
      <c r="CD9" s="27" t="n">
        <v>0</v>
      </c>
      <c r="CE9" s="27" t="n">
        <v>0</v>
      </c>
      <c r="CF9" s="27" t="n">
        <v>0</v>
      </c>
      <c r="CG9" s="27" t="n">
        <v>0</v>
      </c>
      <c r="CH9" s="27" t="n">
        <v>0</v>
      </c>
      <c r="CI9" s="27" t="n">
        <v>0</v>
      </c>
      <c r="CJ9" s="27" t="n">
        <v>0</v>
      </c>
      <c r="CK9" s="27" t="n">
        <v>0</v>
      </c>
      <c r="CL9" s="27" t="n">
        <v>0</v>
      </c>
      <c r="CM9" s="27" t="n">
        <v>0</v>
      </c>
      <c r="CN9" s="27" t="n">
        <v>0</v>
      </c>
      <c r="CO9" s="27" t="n">
        <v>0</v>
      </c>
      <c r="CP9" s="27" t="n">
        <v>0</v>
      </c>
      <c r="CQ9" s="27" t="n">
        <v>0</v>
      </c>
      <c r="CR9" s="27" t="n">
        <v>0</v>
      </c>
      <c r="CS9" s="27" t="n">
        <v>0</v>
      </c>
      <c r="CT9" s="27" t="n">
        <v>0</v>
      </c>
      <c r="CU9" s="27" t="n">
        <v>0</v>
      </c>
      <c r="CV9" s="27" t="n">
        <v>0</v>
      </c>
      <c r="CW9" s="27" t="n">
        <v>0</v>
      </c>
      <c r="CX9" s="27" t="n">
        <v>0</v>
      </c>
      <c r="CY9" s="27" t="n">
        <v>0</v>
      </c>
      <c r="CZ9" s="27" t="n">
        <v>0</v>
      </c>
      <c r="DA9" s="27" t="n">
        <v>0</v>
      </c>
    </row>
    <row r="10">
      <c r="A10" t="inlineStr">
        <is>
          <t>TSP-1388</t>
        </is>
      </c>
      <c r="B10" s="27" t="n">
        <v>0</v>
      </c>
      <c r="C10" s="27" t="n">
        <v>0</v>
      </c>
      <c r="D10" s="27" t="n">
        <v>0</v>
      </c>
      <c r="E10" s="27" t="n">
        <v>0</v>
      </c>
      <c r="F10" s="27" t="n">
        <v>0</v>
      </c>
      <c r="G10" s="27" t="n">
        <v>0</v>
      </c>
      <c r="H10" s="27" t="n">
        <v>0</v>
      </c>
      <c r="I10" s="27" t="n">
        <v>0</v>
      </c>
      <c r="J10" s="27" t="n">
        <v>0</v>
      </c>
      <c r="K10" s="27" t="n">
        <v>0</v>
      </c>
      <c r="L10" s="27" t="n">
        <v>0</v>
      </c>
      <c r="M10" s="27" t="n">
        <v>0</v>
      </c>
      <c r="N10" s="27" t="n">
        <v>0</v>
      </c>
      <c r="O10" s="27" t="n">
        <v>0</v>
      </c>
      <c r="P10" s="27" t="n">
        <v>0</v>
      </c>
      <c r="Q10" s="27" t="n">
        <v>0</v>
      </c>
      <c r="R10" s="27" t="n">
        <v>0</v>
      </c>
      <c r="S10" s="27" t="n">
        <v>0</v>
      </c>
      <c r="T10" s="27" t="n">
        <v>0</v>
      </c>
      <c r="U10" s="27" t="n">
        <v>0</v>
      </c>
      <c r="V10" s="27" t="n">
        <v>0</v>
      </c>
      <c r="W10" s="27" t="n">
        <v>0</v>
      </c>
      <c r="X10" s="27" t="n">
        <v>0</v>
      </c>
      <c r="Y10" s="27" t="n">
        <v>0</v>
      </c>
      <c r="Z10" s="27" t="n">
        <v>0</v>
      </c>
      <c r="AA10" s="27" t="n">
        <v>0</v>
      </c>
      <c r="AB10" s="27" t="n">
        <v>0</v>
      </c>
      <c r="AC10" s="27" t="n">
        <v>0</v>
      </c>
      <c r="AD10" s="27" t="n">
        <v>0</v>
      </c>
      <c r="AE10" s="27" t="n">
        <v>0</v>
      </c>
      <c r="AF10" s="27" t="n">
        <v>0</v>
      </c>
      <c r="AG10" s="27" t="n">
        <v>0</v>
      </c>
      <c r="AH10" s="27" t="n">
        <v>0</v>
      </c>
      <c r="AI10" s="27" t="n">
        <v>0</v>
      </c>
      <c r="AJ10" s="27" t="n">
        <v>0</v>
      </c>
      <c r="AK10" s="27" t="n">
        <v>0</v>
      </c>
      <c r="AL10" s="27" t="n">
        <v>0</v>
      </c>
      <c r="AM10" s="27" t="n">
        <v>0</v>
      </c>
      <c r="AN10" s="27" t="n">
        <v>0</v>
      </c>
      <c r="AO10" s="27" t="n">
        <v>0</v>
      </c>
      <c r="AP10" s="27" t="n">
        <v>0</v>
      </c>
      <c r="AQ10" s="27" t="n">
        <v>0</v>
      </c>
      <c r="AR10" s="27" t="n">
        <v>0</v>
      </c>
      <c r="AS10" s="27" t="n">
        <v>0</v>
      </c>
      <c r="AT10" s="27" t="n">
        <v>0</v>
      </c>
      <c r="AU10" s="27" t="n">
        <v>0</v>
      </c>
      <c r="AV10" s="27" t="n">
        <v>0</v>
      </c>
      <c r="AW10" s="27" t="n">
        <v>0</v>
      </c>
      <c r="AX10" s="27" t="n">
        <v>0</v>
      </c>
      <c r="AY10" s="27" t="n">
        <v>0</v>
      </c>
      <c r="AZ10" s="27" t="n">
        <v>0</v>
      </c>
      <c r="BA10" s="27" t="n">
        <v>0</v>
      </c>
      <c r="BB10" s="27" t="n">
        <v>0</v>
      </c>
      <c r="BC10" s="27" t="n">
        <v>0</v>
      </c>
      <c r="BD10" s="27" t="n">
        <v>0</v>
      </c>
      <c r="BE10" s="27" t="n">
        <v>0</v>
      </c>
      <c r="BF10" s="27" t="n">
        <v>0</v>
      </c>
      <c r="BG10" s="27" t="n">
        <v>0</v>
      </c>
      <c r="BH10" s="27" t="n">
        <v>0</v>
      </c>
      <c r="BI10" s="27" t="n">
        <v>0</v>
      </c>
      <c r="BJ10" s="27" t="n">
        <v>0</v>
      </c>
      <c r="BK10" s="27" t="n">
        <v>0</v>
      </c>
      <c r="BL10" s="27" t="n">
        <v>0</v>
      </c>
      <c r="BM10" s="27" t="n">
        <v>0</v>
      </c>
      <c r="BN10" s="27" t="n">
        <v>0</v>
      </c>
      <c r="BO10" s="27" t="n">
        <v>0</v>
      </c>
      <c r="BP10" s="27" t="n">
        <v>0</v>
      </c>
      <c r="BQ10" s="27" t="n">
        <v>0</v>
      </c>
      <c r="BR10" s="27" t="n">
        <v>0</v>
      </c>
      <c r="BS10" s="27" t="n">
        <v>0</v>
      </c>
      <c r="BT10" s="27" t="n">
        <v>0</v>
      </c>
      <c r="BU10" s="27" t="n">
        <v>0</v>
      </c>
      <c r="BV10" s="27" t="n">
        <v>0</v>
      </c>
      <c r="BW10" s="27" t="n">
        <v>0</v>
      </c>
      <c r="BX10" s="27" t="n">
        <v>0</v>
      </c>
      <c r="BY10" s="27" t="n">
        <v>0</v>
      </c>
      <c r="BZ10" s="27" t="n">
        <v>0</v>
      </c>
      <c r="CA10" s="27" t="n">
        <v>0</v>
      </c>
      <c r="CB10" s="27" t="n">
        <v>0</v>
      </c>
      <c r="CC10" s="27" t="n">
        <v>0</v>
      </c>
      <c r="CD10" s="27" t="n">
        <v>0</v>
      </c>
      <c r="CE10" s="27" t="n">
        <v>0</v>
      </c>
      <c r="CF10" s="27" t="n">
        <v>0</v>
      </c>
      <c r="CG10" s="27" t="n">
        <v>0</v>
      </c>
      <c r="CH10" s="27" t="n">
        <v>0</v>
      </c>
      <c r="CI10" s="27" t="n">
        <v>0</v>
      </c>
      <c r="CJ10" s="27" t="n">
        <v>0</v>
      </c>
      <c r="CK10" s="27" t="n">
        <v>0</v>
      </c>
      <c r="CL10" s="27" t="n">
        <v>0</v>
      </c>
      <c r="CM10" s="27" t="n">
        <v>0</v>
      </c>
      <c r="CN10" s="27" t="n">
        <v>0</v>
      </c>
      <c r="CO10" s="27" t="n">
        <v>0</v>
      </c>
      <c r="CP10" s="27" t="n">
        <v>0</v>
      </c>
      <c r="CQ10" s="27" t="n">
        <v>0</v>
      </c>
      <c r="CR10" s="27" t="n">
        <v>0</v>
      </c>
      <c r="CS10" s="27" t="n">
        <v>0</v>
      </c>
      <c r="CT10" s="27" t="n">
        <v>0</v>
      </c>
      <c r="CU10" s="27" t="n">
        <v>0</v>
      </c>
      <c r="CV10" s="27" t="n">
        <v>0</v>
      </c>
      <c r="CW10" s="27" t="n">
        <v>0</v>
      </c>
      <c r="CX10" s="27" t="n">
        <v>0</v>
      </c>
      <c r="CY10" s="27" t="n">
        <v>0</v>
      </c>
      <c r="CZ10" s="27" t="n">
        <v>0</v>
      </c>
      <c r="DA10" s="27" t="n">
        <v>0</v>
      </c>
    </row>
    <row r="11">
      <c r="A11" t="inlineStr">
        <is>
          <t>TSP-1444</t>
        </is>
      </c>
      <c r="B11" s="27" t="n">
        <v>0</v>
      </c>
      <c r="C11" s="27" t="n">
        <v>0</v>
      </c>
      <c r="D11" s="27" t="n">
        <v>0</v>
      </c>
      <c r="E11" s="27" t="n">
        <v>0</v>
      </c>
      <c r="F11" s="27" t="n">
        <v>0</v>
      </c>
      <c r="G11" s="27" t="n">
        <v>0</v>
      </c>
      <c r="H11" s="27" t="n">
        <v>0</v>
      </c>
      <c r="I11" s="27" t="n">
        <v>0</v>
      </c>
      <c r="J11" s="27" t="n">
        <v>0</v>
      </c>
      <c r="K11" s="27" t="n">
        <v>0</v>
      </c>
      <c r="L11" s="27" t="n">
        <v>0</v>
      </c>
      <c r="M11" s="27" t="n">
        <v>0</v>
      </c>
      <c r="N11" s="27" t="n">
        <v>0</v>
      </c>
      <c r="O11" s="27" t="n">
        <v>0</v>
      </c>
      <c r="P11" s="27" t="n">
        <v>0</v>
      </c>
      <c r="Q11" s="27" t="n">
        <v>0</v>
      </c>
      <c r="R11" s="27" t="n">
        <v>0</v>
      </c>
      <c r="S11" s="27" t="n">
        <v>0</v>
      </c>
      <c r="T11" s="27" t="n">
        <v>0</v>
      </c>
      <c r="U11" s="27" t="n">
        <v>0</v>
      </c>
      <c r="V11" s="27" t="n">
        <v>0</v>
      </c>
      <c r="W11" s="27" t="n">
        <v>0</v>
      </c>
      <c r="X11" s="27" t="n">
        <v>0</v>
      </c>
      <c r="Y11" s="27" t="n">
        <v>0</v>
      </c>
      <c r="Z11" s="27" t="n">
        <v>0</v>
      </c>
      <c r="AA11" s="27" t="n">
        <v>0</v>
      </c>
      <c r="AB11" s="27" t="n">
        <v>0</v>
      </c>
      <c r="AC11" s="27" t="n">
        <v>0</v>
      </c>
      <c r="AD11" s="27" t="n">
        <v>0</v>
      </c>
      <c r="AE11" s="27" t="n">
        <v>0</v>
      </c>
      <c r="AF11" s="27" t="n">
        <v>0</v>
      </c>
      <c r="AG11" s="27" t="n">
        <v>0</v>
      </c>
      <c r="AH11" s="27" t="n">
        <v>0</v>
      </c>
      <c r="AI11" s="27" t="n">
        <v>0</v>
      </c>
      <c r="AJ11" s="27" t="n">
        <v>0</v>
      </c>
      <c r="AK11" s="27" t="n">
        <v>0</v>
      </c>
      <c r="AL11" s="27" t="n">
        <v>0</v>
      </c>
      <c r="AM11" s="27" t="n">
        <v>0</v>
      </c>
      <c r="AN11" s="27" t="n">
        <v>0</v>
      </c>
      <c r="AO11" s="27" t="n">
        <v>0</v>
      </c>
      <c r="AP11" s="27" t="n">
        <v>0</v>
      </c>
      <c r="AQ11" s="27" t="n">
        <v>0</v>
      </c>
      <c r="AR11" s="27" t="n">
        <v>0</v>
      </c>
      <c r="AS11" s="27" t="n">
        <v>0</v>
      </c>
      <c r="AT11" s="27" t="n">
        <v>0</v>
      </c>
      <c r="AU11" s="27" t="n">
        <v>0</v>
      </c>
      <c r="AV11" s="27" t="n">
        <v>0</v>
      </c>
      <c r="AW11" s="27" t="n">
        <v>0</v>
      </c>
      <c r="AX11" s="27" t="n">
        <v>0</v>
      </c>
      <c r="AY11" s="27" t="n">
        <v>0</v>
      </c>
      <c r="AZ11" s="27" t="n">
        <v>0</v>
      </c>
      <c r="BA11" s="27" t="n">
        <v>0</v>
      </c>
      <c r="BB11" s="27" t="n">
        <v>0</v>
      </c>
      <c r="BC11" s="27" t="n">
        <v>0</v>
      </c>
      <c r="BD11" s="27" t="n">
        <v>0</v>
      </c>
      <c r="BE11" s="27" t="n">
        <v>0</v>
      </c>
      <c r="BF11" s="27" t="n">
        <v>0</v>
      </c>
      <c r="BG11" s="27" t="n">
        <v>0</v>
      </c>
      <c r="BH11" s="27" t="n">
        <v>0</v>
      </c>
      <c r="BI11" s="27" t="n">
        <v>0</v>
      </c>
      <c r="BJ11" s="27" t="n">
        <v>0</v>
      </c>
      <c r="BK11" s="27" t="n">
        <v>0</v>
      </c>
      <c r="BL11" s="27" t="n">
        <v>0</v>
      </c>
      <c r="BM11" s="27" t="n">
        <v>0</v>
      </c>
      <c r="BN11" s="27" t="n">
        <v>0</v>
      </c>
      <c r="BO11" s="27" t="n">
        <v>0</v>
      </c>
      <c r="BP11" s="27" t="n">
        <v>0</v>
      </c>
      <c r="BQ11" s="27" t="n">
        <v>0</v>
      </c>
      <c r="BR11" s="27" t="n">
        <v>0</v>
      </c>
      <c r="BS11" s="27" t="n">
        <v>0</v>
      </c>
      <c r="BT11" s="27" t="n">
        <v>0</v>
      </c>
      <c r="BU11" s="27" t="n">
        <v>0</v>
      </c>
      <c r="BV11" s="27" t="n">
        <v>0</v>
      </c>
      <c r="BW11" s="27" t="n">
        <v>0</v>
      </c>
      <c r="BX11" s="27" t="n">
        <v>0</v>
      </c>
      <c r="BY11" s="27" t="n">
        <v>0</v>
      </c>
      <c r="BZ11" s="27" t="n">
        <v>0</v>
      </c>
      <c r="CA11" s="27" t="n">
        <v>0</v>
      </c>
      <c r="CB11" s="27" t="n">
        <v>0</v>
      </c>
      <c r="CC11" s="27" t="n">
        <v>0</v>
      </c>
      <c r="CD11" s="27" t="n">
        <v>0</v>
      </c>
      <c r="CE11" s="27" t="n">
        <v>0</v>
      </c>
      <c r="CF11" s="27" t="n">
        <v>0</v>
      </c>
      <c r="CG11" s="27" t="n">
        <v>0</v>
      </c>
      <c r="CH11" s="27" t="n">
        <v>0</v>
      </c>
      <c r="CI11" s="27" t="n">
        <v>0</v>
      </c>
      <c r="CJ11" s="27" t="n">
        <v>0</v>
      </c>
      <c r="CK11" s="27" t="n">
        <v>0</v>
      </c>
      <c r="CL11" s="27" t="n">
        <v>0</v>
      </c>
      <c r="CM11" s="27" t="n">
        <v>0</v>
      </c>
      <c r="CN11" s="27" t="n">
        <v>0</v>
      </c>
      <c r="CO11" s="27" t="n">
        <v>0</v>
      </c>
      <c r="CP11" s="27" t="n">
        <v>0</v>
      </c>
      <c r="CQ11" s="27" t="n">
        <v>0</v>
      </c>
      <c r="CR11" s="27" t="n">
        <v>0</v>
      </c>
      <c r="CS11" s="27" t="n">
        <v>0</v>
      </c>
      <c r="CT11" s="27" t="n">
        <v>0</v>
      </c>
      <c r="CU11" s="27" t="n">
        <v>0</v>
      </c>
      <c r="CV11" s="27" t="n">
        <v>0</v>
      </c>
      <c r="CW11" s="27" t="n">
        <v>0</v>
      </c>
      <c r="CX11" s="27" t="n">
        <v>0</v>
      </c>
      <c r="CY11" s="27" t="n">
        <v>0</v>
      </c>
      <c r="CZ11" s="27" t="n">
        <v>0</v>
      </c>
      <c r="DA11" s="27" t="n">
        <v>0</v>
      </c>
    </row>
    <row r="12">
      <c r="A12" t="inlineStr">
        <is>
          <t>TSP-1445</t>
        </is>
      </c>
      <c r="B12" s="27" t="n">
        <v>0</v>
      </c>
      <c r="C12" s="27" t="n">
        <v>0</v>
      </c>
      <c r="D12" s="27" t="n">
        <v>0</v>
      </c>
      <c r="E12" s="27" t="n">
        <v>0</v>
      </c>
      <c r="F12" s="27" t="n">
        <v>0</v>
      </c>
      <c r="G12" s="27" t="n">
        <v>0</v>
      </c>
      <c r="H12" s="27" t="n">
        <v>0</v>
      </c>
      <c r="I12" s="27" t="n">
        <v>0</v>
      </c>
      <c r="J12" s="27" t="n">
        <v>0</v>
      </c>
      <c r="K12" s="27" t="n">
        <v>0</v>
      </c>
      <c r="L12" s="27" t="n">
        <v>0</v>
      </c>
      <c r="M12" s="27" t="n">
        <v>0</v>
      </c>
      <c r="N12" s="27" t="n">
        <v>0</v>
      </c>
      <c r="O12" s="27" t="n">
        <v>0</v>
      </c>
      <c r="P12" s="27" t="n">
        <v>0</v>
      </c>
      <c r="Q12" s="27" t="n">
        <v>0</v>
      </c>
      <c r="R12" s="27" t="n">
        <v>0</v>
      </c>
      <c r="S12" s="27" t="n">
        <v>0</v>
      </c>
      <c r="T12" s="27" t="n">
        <v>0</v>
      </c>
      <c r="U12" s="27" t="n">
        <v>0</v>
      </c>
      <c r="V12" s="27" t="n">
        <v>0</v>
      </c>
      <c r="W12" s="27" t="n">
        <v>0</v>
      </c>
      <c r="X12" s="27" t="n">
        <v>0</v>
      </c>
      <c r="Y12" s="27" t="n">
        <v>0</v>
      </c>
      <c r="Z12" s="27" t="n">
        <v>0</v>
      </c>
      <c r="AA12" s="27" t="n">
        <v>0</v>
      </c>
      <c r="AB12" s="27" t="n">
        <v>0</v>
      </c>
      <c r="AC12" s="27" t="n">
        <v>0</v>
      </c>
      <c r="AD12" s="27" t="n">
        <v>0</v>
      </c>
      <c r="AE12" s="27" t="n">
        <v>0</v>
      </c>
      <c r="AF12" s="27" t="n">
        <v>0</v>
      </c>
      <c r="AG12" s="27" t="n">
        <v>0</v>
      </c>
      <c r="AH12" s="27" t="n">
        <v>0</v>
      </c>
      <c r="AI12" s="27" t="n">
        <v>0</v>
      </c>
      <c r="AJ12" s="27" t="n">
        <v>0</v>
      </c>
      <c r="AK12" s="27" t="n">
        <v>0</v>
      </c>
      <c r="AL12" s="27" t="n">
        <v>0</v>
      </c>
      <c r="AM12" s="27" t="n">
        <v>0</v>
      </c>
      <c r="AN12" s="27" t="n">
        <v>0</v>
      </c>
      <c r="AO12" s="27" t="n">
        <v>0</v>
      </c>
      <c r="AP12" s="27" t="n">
        <v>0</v>
      </c>
      <c r="AQ12" s="27" t="n">
        <v>0</v>
      </c>
      <c r="AR12" s="27" t="n">
        <v>0</v>
      </c>
      <c r="AS12" s="27" t="n">
        <v>0</v>
      </c>
      <c r="AT12" s="27" t="n">
        <v>0</v>
      </c>
      <c r="AU12" s="27" t="n">
        <v>0</v>
      </c>
      <c r="AV12" s="27" t="n">
        <v>0</v>
      </c>
      <c r="AW12" s="27" t="n">
        <v>0</v>
      </c>
      <c r="AX12" s="27" t="n">
        <v>0</v>
      </c>
      <c r="AY12" s="27" t="n">
        <v>0</v>
      </c>
      <c r="AZ12" s="27" t="n">
        <v>0</v>
      </c>
      <c r="BA12" s="27" t="n">
        <v>0</v>
      </c>
      <c r="BB12" s="27" t="n">
        <v>0</v>
      </c>
      <c r="BC12" s="27" t="n">
        <v>0</v>
      </c>
      <c r="BD12" s="27" t="n">
        <v>0</v>
      </c>
      <c r="BE12" s="27" t="n">
        <v>0</v>
      </c>
      <c r="BF12" s="27" t="n">
        <v>0</v>
      </c>
      <c r="BG12" s="27" t="n">
        <v>0</v>
      </c>
      <c r="BH12" s="27" t="n">
        <v>0</v>
      </c>
      <c r="BI12" s="27" t="n">
        <v>0</v>
      </c>
      <c r="BJ12" s="27" t="n">
        <v>0</v>
      </c>
      <c r="BK12" s="27" t="n">
        <v>0</v>
      </c>
      <c r="BL12" s="27" t="n">
        <v>0</v>
      </c>
      <c r="BM12" s="27" t="n">
        <v>0</v>
      </c>
      <c r="BN12" s="27" t="n">
        <v>0</v>
      </c>
      <c r="BO12" s="27" t="n">
        <v>0</v>
      </c>
      <c r="BP12" s="27" t="n">
        <v>0</v>
      </c>
      <c r="BQ12" s="27" t="n">
        <v>0</v>
      </c>
      <c r="BR12" s="27" t="n">
        <v>0</v>
      </c>
      <c r="BS12" s="27" t="n">
        <v>0</v>
      </c>
      <c r="BT12" s="27" t="n">
        <v>0</v>
      </c>
      <c r="BU12" s="27" t="n">
        <v>0</v>
      </c>
      <c r="BV12" s="27" t="n">
        <v>0</v>
      </c>
      <c r="BW12" s="27" t="n">
        <v>0</v>
      </c>
      <c r="BX12" s="27" t="n">
        <v>0</v>
      </c>
      <c r="BY12" s="27" t="n">
        <v>0</v>
      </c>
      <c r="BZ12" s="27" t="n">
        <v>0</v>
      </c>
      <c r="CA12" s="27" t="n">
        <v>0</v>
      </c>
      <c r="CB12" s="27" t="n">
        <v>0</v>
      </c>
      <c r="CC12" s="27" t="n">
        <v>0</v>
      </c>
      <c r="CD12" s="27" t="n">
        <v>0</v>
      </c>
      <c r="CE12" s="27" t="n">
        <v>0</v>
      </c>
      <c r="CF12" s="27" t="n">
        <v>0</v>
      </c>
      <c r="CG12" s="27" t="n">
        <v>0</v>
      </c>
      <c r="CH12" s="27" t="n">
        <v>0</v>
      </c>
      <c r="CI12" s="27" t="n">
        <v>0</v>
      </c>
      <c r="CJ12" s="27" t="n">
        <v>0</v>
      </c>
      <c r="CK12" s="27" t="n">
        <v>0</v>
      </c>
      <c r="CL12" s="27" t="n">
        <v>0</v>
      </c>
      <c r="CM12" s="27" t="n">
        <v>0</v>
      </c>
      <c r="CN12" s="27" t="n">
        <v>0</v>
      </c>
      <c r="CO12" s="27" t="n">
        <v>0</v>
      </c>
      <c r="CP12" s="27" t="n">
        <v>0</v>
      </c>
      <c r="CQ12" s="27" t="n">
        <v>0</v>
      </c>
      <c r="CR12" s="27" t="n">
        <v>0</v>
      </c>
      <c r="CS12" s="27" t="n">
        <v>0</v>
      </c>
      <c r="CT12" s="27" t="n">
        <v>0</v>
      </c>
      <c r="CU12" s="27" t="n">
        <v>0</v>
      </c>
      <c r="CV12" s="27" t="n">
        <v>0</v>
      </c>
      <c r="CW12" s="27" t="n">
        <v>0</v>
      </c>
      <c r="CX12" s="27" t="n">
        <v>0</v>
      </c>
      <c r="CY12" s="27" t="n">
        <v>0</v>
      </c>
      <c r="CZ12" s="27" t="n">
        <v>0</v>
      </c>
      <c r="DA12" s="27" t="n">
        <v>0</v>
      </c>
    </row>
    <row r="13">
      <c r="A13" t="inlineStr">
        <is>
          <t>TSP-1446</t>
        </is>
      </c>
      <c r="B13" s="27" t="n">
        <v>0</v>
      </c>
      <c r="C13" s="27" t="n">
        <v>0</v>
      </c>
      <c r="D13" s="27" t="n">
        <v>0</v>
      </c>
      <c r="E13" s="27" t="n">
        <v>0</v>
      </c>
      <c r="F13" s="27" t="n">
        <v>0</v>
      </c>
      <c r="G13" s="27" t="n">
        <v>0</v>
      </c>
      <c r="H13" s="27" t="n">
        <v>0</v>
      </c>
      <c r="I13" s="27" t="n">
        <v>0</v>
      </c>
      <c r="J13" s="27" t="n">
        <v>0</v>
      </c>
      <c r="K13" s="27" t="n">
        <v>0</v>
      </c>
      <c r="L13" s="27" t="n">
        <v>0</v>
      </c>
      <c r="M13" s="27" t="n">
        <v>0</v>
      </c>
      <c r="N13" s="27" t="n">
        <v>0</v>
      </c>
      <c r="O13" s="27" t="n">
        <v>0</v>
      </c>
      <c r="P13" s="27" t="n">
        <v>0</v>
      </c>
      <c r="Q13" s="27" t="n">
        <v>0</v>
      </c>
      <c r="R13" s="27" t="n">
        <v>0</v>
      </c>
      <c r="S13" s="27" t="n">
        <v>0</v>
      </c>
      <c r="T13" s="27" t="n">
        <v>0</v>
      </c>
      <c r="U13" s="27" t="n">
        <v>0</v>
      </c>
      <c r="V13" s="27" t="n">
        <v>0</v>
      </c>
      <c r="W13" s="27" t="n">
        <v>0</v>
      </c>
      <c r="X13" s="27" t="n">
        <v>0</v>
      </c>
      <c r="Y13" s="27" t="n">
        <v>0</v>
      </c>
      <c r="Z13" s="27" t="n">
        <v>0</v>
      </c>
      <c r="AA13" s="27" t="n">
        <v>0</v>
      </c>
      <c r="AB13" s="27" t="n">
        <v>0</v>
      </c>
      <c r="AC13" s="27" t="n">
        <v>0</v>
      </c>
      <c r="AD13" s="27" t="n">
        <v>0</v>
      </c>
      <c r="AE13" s="27" t="n">
        <v>0</v>
      </c>
      <c r="AF13" s="27" t="n">
        <v>0</v>
      </c>
      <c r="AG13" s="27" t="n">
        <v>0</v>
      </c>
      <c r="AH13" s="27" t="n">
        <v>0</v>
      </c>
      <c r="AI13" s="27" t="n">
        <v>0</v>
      </c>
      <c r="AJ13" s="27" t="n">
        <v>0</v>
      </c>
      <c r="AK13" s="27" t="n">
        <v>0</v>
      </c>
      <c r="AL13" s="27" t="n">
        <v>0</v>
      </c>
      <c r="AM13" s="27" t="n">
        <v>0</v>
      </c>
      <c r="AN13" s="27" t="n">
        <v>0</v>
      </c>
      <c r="AO13" s="27" t="n">
        <v>0</v>
      </c>
      <c r="AP13" s="27" t="n">
        <v>0</v>
      </c>
      <c r="AQ13" s="27" t="n">
        <v>0</v>
      </c>
      <c r="AR13" s="27" t="n">
        <v>0</v>
      </c>
      <c r="AS13" s="27" t="n">
        <v>0</v>
      </c>
      <c r="AT13" s="27" t="n">
        <v>0</v>
      </c>
      <c r="AU13" s="27" t="n">
        <v>0</v>
      </c>
      <c r="AV13" s="27" t="n">
        <v>0</v>
      </c>
      <c r="AW13" s="27" t="n">
        <v>0</v>
      </c>
      <c r="AX13" s="27" t="n">
        <v>0</v>
      </c>
      <c r="AY13" s="27" t="n">
        <v>0</v>
      </c>
      <c r="AZ13" s="27" t="n">
        <v>0</v>
      </c>
      <c r="BA13" s="27" t="n">
        <v>0</v>
      </c>
      <c r="BB13" s="27" t="n">
        <v>0</v>
      </c>
      <c r="BC13" s="27" t="n">
        <v>0</v>
      </c>
      <c r="BD13" s="27" t="n">
        <v>0</v>
      </c>
      <c r="BE13" s="27" t="n">
        <v>0</v>
      </c>
      <c r="BF13" s="27" t="n">
        <v>0</v>
      </c>
      <c r="BG13" s="27" t="n">
        <v>0</v>
      </c>
      <c r="BH13" s="27" t="n">
        <v>0</v>
      </c>
      <c r="BI13" s="27" t="n">
        <v>0</v>
      </c>
      <c r="BJ13" s="27" t="n">
        <v>0</v>
      </c>
      <c r="BK13" s="27" t="n">
        <v>0</v>
      </c>
      <c r="BL13" s="27" t="n">
        <v>0</v>
      </c>
      <c r="BM13" s="27" t="n">
        <v>0</v>
      </c>
      <c r="BN13" s="27" t="n">
        <v>0</v>
      </c>
      <c r="BO13" s="27" t="n">
        <v>0</v>
      </c>
      <c r="BP13" s="27" t="n">
        <v>0</v>
      </c>
      <c r="BQ13" s="27" t="n">
        <v>0</v>
      </c>
      <c r="BR13" s="27" t="n">
        <v>0</v>
      </c>
      <c r="BS13" s="27" t="n">
        <v>0</v>
      </c>
      <c r="BT13" s="27" t="n">
        <v>0</v>
      </c>
      <c r="BU13" s="27" t="n">
        <v>0</v>
      </c>
      <c r="BV13" s="27" t="n">
        <v>0</v>
      </c>
      <c r="BW13" s="27" t="n">
        <v>0</v>
      </c>
      <c r="BX13" s="27" t="n">
        <v>0</v>
      </c>
      <c r="BY13" s="27" t="n">
        <v>0</v>
      </c>
      <c r="BZ13" s="27" t="n">
        <v>0</v>
      </c>
      <c r="CA13" s="27" t="n">
        <v>0</v>
      </c>
      <c r="CB13" s="27" t="n">
        <v>0</v>
      </c>
      <c r="CC13" s="27" t="n">
        <v>0</v>
      </c>
      <c r="CD13" s="27" t="n">
        <v>0</v>
      </c>
      <c r="CE13" s="27" t="n">
        <v>0</v>
      </c>
      <c r="CF13" s="27" t="n">
        <v>0</v>
      </c>
      <c r="CG13" s="27" t="n">
        <v>0</v>
      </c>
      <c r="CH13" s="27" t="n">
        <v>0</v>
      </c>
      <c r="CI13" s="27" t="n">
        <v>0</v>
      </c>
      <c r="CJ13" s="27" t="n">
        <v>0</v>
      </c>
      <c r="CK13" s="27" t="n">
        <v>0</v>
      </c>
      <c r="CL13" s="27" t="n">
        <v>0</v>
      </c>
      <c r="CM13" s="27" t="n">
        <v>0</v>
      </c>
      <c r="CN13" s="27" t="n">
        <v>0</v>
      </c>
      <c r="CO13" s="27" t="n">
        <v>0</v>
      </c>
      <c r="CP13" s="27" t="n">
        <v>0</v>
      </c>
      <c r="CQ13" s="27" t="n">
        <v>0</v>
      </c>
      <c r="CR13" s="27" t="n">
        <v>0</v>
      </c>
      <c r="CS13" s="27" t="n">
        <v>0</v>
      </c>
      <c r="CT13" s="27" t="n">
        <v>0</v>
      </c>
      <c r="CU13" s="27" t="n">
        <v>0</v>
      </c>
      <c r="CV13" s="27" t="n">
        <v>0</v>
      </c>
      <c r="CW13" s="27" t="n">
        <v>0</v>
      </c>
      <c r="CX13" s="27" t="n">
        <v>0</v>
      </c>
      <c r="CY13" s="27" t="n">
        <v>0</v>
      </c>
      <c r="CZ13" s="27" t="n">
        <v>0</v>
      </c>
      <c r="DA13" s="27" t="n">
        <v>0</v>
      </c>
    </row>
    <row r="14">
      <c r="A14" t="inlineStr">
        <is>
          <t>TSP-1448</t>
        </is>
      </c>
      <c r="B14" s="27" t="n">
        <v>0</v>
      </c>
      <c r="C14" s="27" t="n">
        <v>0</v>
      </c>
      <c r="D14" s="27" t="n">
        <v>0</v>
      </c>
      <c r="E14" s="27" t="n">
        <v>0</v>
      </c>
      <c r="F14" s="27" t="n">
        <v>0</v>
      </c>
      <c r="G14" s="27" t="n">
        <v>0</v>
      </c>
      <c r="H14" s="27" t="n">
        <v>0</v>
      </c>
      <c r="I14" s="27" t="n">
        <v>0</v>
      </c>
      <c r="J14" s="27" t="n">
        <v>0</v>
      </c>
      <c r="K14" s="27" t="n">
        <v>0</v>
      </c>
      <c r="L14" s="27" t="n">
        <v>0</v>
      </c>
      <c r="M14" s="27" t="n">
        <v>0</v>
      </c>
      <c r="N14" s="27" t="n">
        <v>0</v>
      </c>
      <c r="O14" s="27" t="n">
        <v>0</v>
      </c>
      <c r="P14" s="27" t="n">
        <v>0</v>
      </c>
      <c r="Q14" s="27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27" t="n">
        <v>0</v>
      </c>
      <c r="AB14" s="27" t="n">
        <v>0</v>
      </c>
      <c r="AC14" s="27" t="n">
        <v>0</v>
      </c>
      <c r="AD14" s="27" t="n">
        <v>0</v>
      </c>
      <c r="AE14" s="27" t="n">
        <v>0</v>
      </c>
      <c r="AF14" s="27" t="n">
        <v>0</v>
      </c>
      <c r="AG14" s="27" t="n">
        <v>0</v>
      </c>
      <c r="AH14" s="27" t="n">
        <v>0</v>
      </c>
      <c r="AI14" s="27" t="n">
        <v>0</v>
      </c>
      <c r="AJ14" s="27" t="n">
        <v>0</v>
      </c>
      <c r="AK14" s="27" t="n">
        <v>0</v>
      </c>
      <c r="AL14" s="27" t="n">
        <v>0</v>
      </c>
      <c r="AM14" s="27" t="n">
        <v>0</v>
      </c>
      <c r="AN14" s="27" t="n">
        <v>0</v>
      </c>
      <c r="AO14" s="27" t="n">
        <v>0</v>
      </c>
      <c r="AP14" s="27" t="n">
        <v>0</v>
      </c>
      <c r="AQ14" s="27" t="n">
        <v>0</v>
      </c>
      <c r="AR14" s="27" t="n">
        <v>0</v>
      </c>
      <c r="AS14" s="27" t="n">
        <v>0</v>
      </c>
      <c r="AT14" s="27" t="n">
        <v>0</v>
      </c>
      <c r="AU14" s="27" t="n">
        <v>0</v>
      </c>
      <c r="AV14" s="27" t="n">
        <v>0</v>
      </c>
      <c r="AW14" s="27" t="n">
        <v>0</v>
      </c>
      <c r="AX14" s="27" t="n">
        <v>0</v>
      </c>
      <c r="AY14" s="27" t="n">
        <v>0</v>
      </c>
      <c r="AZ14" s="27" t="n">
        <v>0</v>
      </c>
      <c r="BA14" s="27" t="n">
        <v>0</v>
      </c>
      <c r="BB14" s="27" t="n">
        <v>0</v>
      </c>
      <c r="BC14" s="27" t="n">
        <v>0</v>
      </c>
      <c r="BD14" s="27" t="n">
        <v>0</v>
      </c>
      <c r="BE14" s="27" t="n">
        <v>0</v>
      </c>
      <c r="BF14" s="27" t="n">
        <v>0</v>
      </c>
      <c r="BG14" s="27" t="n">
        <v>0</v>
      </c>
      <c r="BH14" s="27" t="n">
        <v>0</v>
      </c>
      <c r="BI14" s="27" t="n">
        <v>0</v>
      </c>
      <c r="BJ14" s="27" t="n">
        <v>0</v>
      </c>
      <c r="BK14" s="27" t="n">
        <v>0</v>
      </c>
      <c r="BL14" s="27" t="n">
        <v>0</v>
      </c>
      <c r="BM14" s="27" t="n">
        <v>0</v>
      </c>
      <c r="BN14" s="27" t="n">
        <v>0</v>
      </c>
      <c r="BO14" s="27" t="n">
        <v>0</v>
      </c>
      <c r="BP14" s="27" t="n">
        <v>0</v>
      </c>
      <c r="BQ14" s="27" t="n">
        <v>0</v>
      </c>
      <c r="BR14" s="27" t="n">
        <v>0</v>
      </c>
      <c r="BS14" s="27" t="n">
        <v>0</v>
      </c>
      <c r="BT14" s="27" t="n">
        <v>0</v>
      </c>
      <c r="BU14" s="27" t="n">
        <v>0</v>
      </c>
      <c r="BV14" s="27" t="n">
        <v>0</v>
      </c>
      <c r="BW14" s="27" t="n">
        <v>0</v>
      </c>
      <c r="BX14" s="27" t="n">
        <v>0</v>
      </c>
      <c r="BY14" s="27" t="n">
        <v>0</v>
      </c>
      <c r="BZ14" s="27" t="n">
        <v>0</v>
      </c>
      <c r="CA14" s="27" t="n">
        <v>0</v>
      </c>
      <c r="CB14" s="27" t="n">
        <v>0</v>
      </c>
      <c r="CC14" s="27" t="n">
        <v>0</v>
      </c>
      <c r="CD14" s="27" t="n">
        <v>0</v>
      </c>
      <c r="CE14" s="27" t="n">
        <v>0</v>
      </c>
      <c r="CF14" s="27" t="n">
        <v>0</v>
      </c>
      <c r="CG14" s="27" t="n">
        <v>0</v>
      </c>
      <c r="CH14" s="27" t="n">
        <v>0</v>
      </c>
      <c r="CI14" s="27" t="n">
        <v>0</v>
      </c>
      <c r="CJ14" s="27" t="n">
        <v>0</v>
      </c>
      <c r="CK14" s="27" t="n">
        <v>0</v>
      </c>
      <c r="CL14" s="27" t="n">
        <v>0</v>
      </c>
      <c r="CM14" s="27" t="n">
        <v>0</v>
      </c>
      <c r="CN14" s="27" t="n">
        <v>0</v>
      </c>
      <c r="CO14" s="27" t="n">
        <v>0</v>
      </c>
      <c r="CP14" s="27" t="n">
        <v>0</v>
      </c>
      <c r="CQ14" s="27" t="n">
        <v>0</v>
      </c>
      <c r="CR14" s="27" t="n">
        <v>0</v>
      </c>
      <c r="CS14" s="27" t="n">
        <v>0</v>
      </c>
      <c r="CT14" s="27" t="n">
        <v>0</v>
      </c>
      <c r="CU14" s="27" t="n">
        <v>0</v>
      </c>
      <c r="CV14" s="27" t="n">
        <v>0</v>
      </c>
      <c r="CW14" s="27" t="n">
        <v>0</v>
      </c>
      <c r="CX14" s="27" t="n">
        <v>0</v>
      </c>
      <c r="CY14" s="27" t="n">
        <v>0</v>
      </c>
      <c r="CZ14" s="27" t="n">
        <v>0</v>
      </c>
      <c r="DA14" s="27" t="n">
        <v>0</v>
      </c>
    </row>
    <row r="15">
      <c r="A15" t="inlineStr">
        <is>
          <t>TSP-1449</t>
        </is>
      </c>
      <c r="B15" s="27" t="n">
        <v>0</v>
      </c>
      <c r="C15" s="27" t="n">
        <v>0</v>
      </c>
      <c r="D15" s="27" t="n">
        <v>0</v>
      </c>
      <c r="E15" s="27" t="n">
        <v>0</v>
      </c>
      <c r="F15" s="27" t="n">
        <v>0</v>
      </c>
      <c r="G15" s="27" t="n">
        <v>0</v>
      </c>
      <c r="H15" s="27" t="n">
        <v>0</v>
      </c>
      <c r="I15" s="27" t="n">
        <v>0</v>
      </c>
      <c r="J15" s="27" t="n">
        <v>0</v>
      </c>
      <c r="K15" s="27" t="n">
        <v>0</v>
      </c>
      <c r="L15" s="27" t="n">
        <v>0</v>
      </c>
      <c r="M15" s="27" t="n">
        <v>0</v>
      </c>
      <c r="N15" s="27" t="n">
        <v>0</v>
      </c>
      <c r="O15" s="27" t="n">
        <v>0</v>
      </c>
      <c r="P15" s="27" t="n">
        <v>0</v>
      </c>
      <c r="Q15" s="27" t="n">
        <v>0</v>
      </c>
      <c r="R15" s="27" t="n">
        <v>0</v>
      </c>
      <c r="S15" s="27" t="n">
        <v>0</v>
      </c>
      <c r="T15" s="27" t="n">
        <v>0</v>
      </c>
      <c r="U15" s="27" t="n">
        <v>0</v>
      </c>
      <c r="V15" s="27" t="n">
        <v>0</v>
      </c>
      <c r="W15" s="27" t="n">
        <v>0</v>
      </c>
      <c r="X15" s="27" t="n">
        <v>0</v>
      </c>
      <c r="Y15" s="27" t="n">
        <v>0</v>
      </c>
      <c r="Z15" s="27" t="n">
        <v>0</v>
      </c>
      <c r="AA15" s="27" t="n">
        <v>0</v>
      </c>
      <c r="AB15" s="27" t="n">
        <v>0</v>
      </c>
      <c r="AC15" s="27" t="n">
        <v>0</v>
      </c>
      <c r="AD15" s="27" t="n">
        <v>0</v>
      </c>
      <c r="AE15" s="27" t="n">
        <v>0</v>
      </c>
      <c r="AF15" s="27" t="n">
        <v>0</v>
      </c>
      <c r="AG15" s="27" t="n">
        <v>0</v>
      </c>
      <c r="AH15" s="27" t="n">
        <v>0</v>
      </c>
      <c r="AI15" s="27" t="n">
        <v>0</v>
      </c>
      <c r="AJ15" s="27" t="n">
        <v>0</v>
      </c>
      <c r="AK15" s="27" t="n">
        <v>0</v>
      </c>
      <c r="AL15" s="27" t="n">
        <v>0</v>
      </c>
      <c r="AM15" s="27" t="n">
        <v>0</v>
      </c>
      <c r="AN15" s="27" t="n">
        <v>0</v>
      </c>
      <c r="AO15" s="27" t="n">
        <v>0</v>
      </c>
      <c r="AP15" s="27" t="n">
        <v>0</v>
      </c>
      <c r="AQ15" s="27" t="n">
        <v>0</v>
      </c>
      <c r="AR15" s="27" t="n">
        <v>0</v>
      </c>
      <c r="AS15" s="27" t="n">
        <v>0</v>
      </c>
      <c r="AT15" s="27" t="n">
        <v>0</v>
      </c>
      <c r="AU15" s="27" t="n">
        <v>0</v>
      </c>
      <c r="AV15" s="27" t="n">
        <v>0</v>
      </c>
      <c r="AW15" s="27" t="n">
        <v>0</v>
      </c>
      <c r="AX15" s="27" t="n">
        <v>0</v>
      </c>
      <c r="AY15" s="27" t="n">
        <v>0</v>
      </c>
      <c r="AZ15" s="27" t="n">
        <v>0</v>
      </c>
      <c r="BA15" s="27" t="n">
        <v>0</v>
      </c>
      <c r="BB15" s="27" t="n">
        <v>0</v>
      </c>
      <c r="BC15" s="27" t="n">
        <v>0</v>
      </c>
      <c r="BD15" s="27" t="n">
        <v>0</v>
      </c>
      <c r="BE15" s="27" t="n">
        <v>0</v>
      </c>
      <c r="BF15" s="27" t="n">
        <v>0</v>
      </c>
      <c r="BG15" s="27" t="n">
        <v>0</v>
      </c>
      <c r="BH15" s="27" t="n">
        <v>0</v>
      </c>
      <c r="BI15" s="27" t="n">
        <v>0</v>
      </c>
      <c r="BJ15" s="27" t="n">
        <v>0</v>
      </c>
      <c r="BK15" s="27" t="n">
        <v>0</v>
      </c>
      <c r="BL15" s="27" t="n">
        <v>0</v>
      </c>
      <c r="BM15" s="27" t="n">
        <v>0</v>
      </c>
      <c r="BN15" s="27" t="n">
        <v>0</v>
      </c>
      <c r="BO15" s="27" t="n">
        <v>0</v>
      </c>
      <c r="BP15" s="27" t="n">
        <v>0</v>
      </c>
      <c r="BQ15" s="27" t="n">
        <v>0</v>
      </c>
      <c r="BR15" s="27" t="n">
        <v>0</v>
      </c>
      <c r="BS15" s="27" t="n">
        <v>0</v>
      </c>
      <c r="BT15" s="27" t="n">
        <v>0</v>
      </c>
      <c r="BU15" s="27" t="n">
        <v>0</v>
      </c>
      <c r="BV15" s="27" t="n">
        <v>0</v>
      </c>
      <c r="BW15" s="27" t="n">
        <v>0</v>
      </c>
      <c r="BX15" s="27" t="n">
        <v>0</v>
      </c>
      <c r="BY15" s="27" t="n">
        <v>0</v>
      </c>
      <c r="BZ15" s="27" t="n">
        <v>0</v>
      </c>
      <c r="CA15" s="27" t="n">
        <v>0</v>
      </c>
      <c r="CB15" s="27" t="n">
        <v>0</v>
      </c>
      <c r="CC15" s="27" t="n">
        <v>0</v>
      </c>
      <c r="CD15" s="27" t="n">
        <v>0</v>
      </c>
      <c r="CE15" s="27" t="n">
        <v>0</v>
      </c>
      <c r="CF15" s="27" t="n">
        <v>0</v>
      </c>
      <c r="CG15" s="27" t="n">
        <v>0</v>
      </c>
      <c r="CH15" s="27" t="n">
        <v>0</v>
      </c>
      <c r="CI15" s="27" t="n">
        <v>0</v>
      </c>
      <c r="CJ15" s="27" t="n">
        <v>0</v>
      </c>
      <c r="CK15" s="27" t="n">
        <v>0</v>
      </c>
      <c r="CL15" s="27" t="n">
        <v>0</v>
      </c>
      <c r="CM15" s="27" t="n">
        <v>0</v>
      </c>
      <c r="CN15" s="27" t="n">
        <v>0</v>
      </c>
      <c r="CO15" s="27" t="n">
        <v>0</v>
      </c>
      <c r="CP15" s="27" t="n">
        <v>0</v>
      </c>
      <c r="CQ15" s="27" t="n">
        <v>0</v>
      </c>
      <c r="CR15" s="27" t="n">
        <v>0</v>
      </c>
      <c r="CS15" s="27" t="n">
        <v>0</v>
      </c>
      <c r="CT15" s="27" t="n">
        <v>0</v>
      </c>
      <c r="CU15" s="27" t="n">
        <v>0</v>
      </c>
      <c r="CV15" s="27" t="n">
        <v>0</v>
      </c>
      <c r="CW15" s="27" t="n">
        <v>0</v>
      </c>
      <c r="CX15" s="27" t="n">
        <v>0</v>
      </c>
      <c r="CY15" s="27" t="n">
        <v>0</v>
      </c>
      <c r="CZ15" s="27" t="n">
        <v>0</v>
      </c>
      <c r="DA15" s="27" t="n">
        <v>0</v>
      </c>
    </row>
    <row r="16">
      <c r="A16" t="inlineStr">
        <is>
          <t>TSP-199</t>
        </is>
      </c>
      <c r="B16" s="27" t="n">
        <v>0</v>
      </c>
      <c r="C16" s="27" t="n">
        <v>0</v>
      </c>
      <c r="D16" s="27" t="n">
        <v>0</v>
      </c>
      <c r="E16" s="27" t="n">
        <v>0</v>
      </c>
      <c r="F16" s="27" t="n">
        <v>0</v>
      </c>
      <c r="G16" s="27" t="n">
        <v>0</v>
      </c>
      <c r="H16" s="27" t="n">
        <v>0</v>
      </c>
      <c r="I16" s="27" t="n">
        <v>0</v>
      </c>
      <c r="J16" s="27" t="n">
        <v>0</v>
      </c>
      <c r="K16" s="27" t="n">
        <v>0</v>
      </c>
      <c r="L16" s="27" t="n">
        <v>0</v>
      </c>
      <c r="M16" s="27" t="n">
        <v>0</v>
      </c>
      <c r="N16" s="27" t="n">
        <v>0</v>
      </c>
      <c r="O16" s="27" t="n">
        <v>0</v>
      </c>
      <c r="P16" s="27" t="n">
        <v>0</v>
      </c>
      <c r="Q16" s="27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27" t="n">
        <v>0</v>
      </c>
      <c r="AB16" s="27" t="n">
        <v>0</v>
      </c>
      <c r="AC16" s="27" t="n">
        <v>0</v>
      </c>
      <c r="AD16" s="27" t="n">
        <v>0</v>
      </c>
      <c r="AE16" s="27" t="n">
        <v>0</v>
      </c>
      <c r="AF16" s="27" t="n">
        <v>0</v>
      </c>
      <c r="AG16" s="27" t="n">
        <v>0</v>
      </c>
      <c r="AH16" s="27" t="n">
        <v>0</v>
      </c>
      <c r="AI16" s="27" t="n">
        <v>0</v>
      </c>
      <c r="AJ16" s="27" t="n">
        <v>0</v>
      </c>
      <c r="AK16" s="27" t="n">
        <v>0</v>
      </c>
      <c r="AL16" s="27" t="n">
        <v>0</v>
      </c>
      <c r="AM16" s="27" t="n">
        <v>0</v>
      </c>
      <c r="AN16" s="27" t="n">
        <v>0</v>
      </c>
      <c r="AO16" s="27" t="n">
        <v>0</v>
      </c>
      <c r="AP16" s="27" t="n">
        <v>0</v>
      </c>
      <c r="AQ16" s="27" t="n">
        <v>0</v>
      </c>
      <c r="AR16" s="27" t="n">
        <v>0</v>
      </c>
      <c r="AS16" s="27" t="n">
        <v>0</v>
      </c>
      <c r="AT16" s="27" t="n">
        <v>0</v>
      </c>
      <c r="AU16" s="27" t="n">
        <v>0</v>
      </c>
      <c r="AV16" s="27" t="n">
        <v>0</v>
      </c>
      <c r="AW16" s="27" t="n">
        <v>0</v>
      </c>
      <c r="AX16" s="27" t="n">
        <v>0</v>
      </c>
      <c r="AY16" s="27" t="n">
        <v>0</v>
      </c>
      <c r="AZ16" s="27" t="n">
        <v>0</v>
      </c>
      <c r="BA16" s="27" t="n">
        <v>0</v>
      </c>
      <c r="BB16" s="27" t="n">
        <v>0</v>
      </c>
      <c r="BC16" s="27" t="n">
        <v>0</v>
      </c>
      <c r="BD16" s="27" t="n">
        <v>0</v>
      </c>
      <c r="BE16" s="27" t="n">
        <v>0</v>
      </c>
      <c r="BF16" s="27" t="n">
        <v>0</v>
      </c>
      <c r="BG16" s="27" t="n">
        <v>0</v>
      </c>
      <c r="BH16" s="27" t="n">
        <v>0</v>
      </c>
      <c r="BI16" s="27" t="n">
        <v>0</v>
      </c>
      <c r="BJ16" s="27" t="n">
        <v>0</v>
      </c>
      <c r="BK16" s="27" t="n">
        <v>0</v>
      </c>
      <c r="BL16" s="27" t="n">
        <v>0</v>
      </c>
      <c r="BM16" s="27" t="n">
        <v>0</v>
      </c>
      <c r="BN16" s="27" t="n">
        <v>0</v>
      </c>
      <c r="BO16" s="27" t="n">
        <v>0</v>
      </c>
      <c r="BP16" s="27" t="n">
        <v>0</v>
      </c>
      <c r="BQ16" s="27" t="n">
        <v>0</v>
      </c>
      <c r="BR16" s="27" t="n">
        <v>0</v>
      </c>
      <c r="BS16" s="27" t="n">
        <v>0</v>
      </c>
      <c r="BT16" s="27" t="n">
        <v>0</v>
      </c>
      <c r="BU16" s="27" t="n">
        <v>0</v>
      </c>
      <c r="BV16" s="27" t="n">
        <v>0</v>
      </c>
      <c r="BW16" s="27" t="n">
        <v>0</v>
      </c>
      <c r="BX16" s="27" t="n">
        <v>0</v>
      </c>
      <c r="BY16" s="27" t="n">
        <v>0</v>
      </c>
      <c r="BZ16" s="27" t="n">
        <v>0</v>
      </c>
      <c r="CA16" s="27" t="n">
        <v>0</v>
      </c>
      <c r="CB16" s="27" t="n">
        <v>0</v>
      </c>
      <c r="CC16" s="27" t="n">
        <v>0</v>
      </c>
      <c r="CD16" s="27" t="n">
        <v>0</v>
      </c>
      <c r="CE16" s="27" t="n">
        <v>0</v>
      </c>
      <c r="CF16" s="27" t="n">
        <v>0</v>
      </c>
      <c r="CG16" s="27" t="n">
        <v>0</v>
      </c>
      <c r="CH16" s="27" t="n">
        <v>0</v>
      </c>
      <c r="CI16" s="27" t="n">
        <v>0</v>
      </c>
      <c r="CJ16" s="27" t="n">
        <v>0</v>
      </c>
      <c r="CK16" s="27" t="n">
        <v>0</v>
      </c>
      <c r="CL16" s="27" t="n">
        <v>0</v>
      </c>
      <c r="CM16" s="27" t="n">
        <v>0</v>
      </c>
      <c r="CN16" s="27" t="n">
        <v>0</v>
      </c>
      <c r="CO16" s="27" t="n">
        <v>0</v>
      </c>
      <c r="CP16" s="27" t="n">
        <v>0</v>
      </c>
      <c r="CQ16" s="27" t="n">
        <v>0</v>
      </c>
      <c r="CR16" s="27" t="n">
        <v>0</v>
      </c>
      <c r="CS16" s="27" t="n">
        <v>0</v>
      </c>
      <c r="CT16" s="27" t="n">
        <v>0</v>
      </c>
      <c r="CU16" s="27" t="n">
        <v>0</v>
      </c>
      <c r="CV16" s="27" t="n">
        <v>0</v>
      </c>
      <c r="CW16" s="27" t="n">
        <v>0</v>
      </c>
      <c r="CX16" s="27" t="n">
        <v>0</v>
      </c>
      <c r="CY16" s="27" t="n">
        <v>0</v>
      </c>
      <c r="CZ16" s="27" t="n">
        <v>0</v>
      </c>
      <c r="DA16" s="27" t="n">
        <v>0</v>
      </c>
    </row>
    <row r="17">
      <c r="A17" t="inlineStr">
        <is>
          <t>TSP-205</t>
        </is>
      </c>
      <c r="B17" s="27" t="n">
        <v>0</v>
      </c>
      <c r="C17" s="27" t="n">
        <v>0</v>
      </c>
      <c r="D17" s="27" t="n">
        <v>0</v>
      </c>
      <c r="E17" s="27" t="n">
        <v>0</v>
      </c>
      <c r="F17" s="27" t="n">
        <v>0</v>
      </c>
      <c r="G17" s="27" t="n">
        <v>0</v>
      </c>
      <c r="H17" s="27" t="n">
        <v>0</v>
      </c>
      <c r="I17" s="27" t="n">
        <v>0</v>
      </c>
      <c r="J17" s="27" t="n">
        <v>0</v>
      </c>
      <c r="K17" s="27" t="n">
        <v>0</v>
      </c>
      <c r="L17" s="27" t="n">
        <v>0</v>
      </c>
      <c r="M17" s="27" t="n">
        <v>0</v>
      </c>
      <c r="N17" s="27" t="n">
        <v>0</v>
      </c>
      <c r="O17" s="27" t="n">
        <v>0</v>
      </c>
      <c r="P17" s="27" t="n">
        <v>0</v>
      </c>
      <c r="Q17" s="27" t="n">
        <v>0</v>
      </c>
      <c r="R17" s="27" t="n">
        <v>0</v>
      </c>
      <c r="S17" s="27" t="n">
        <v>0</v>
      </c>
      <c r="T17" s="27" t="n">
        <v>0</v>
      </c>
      <c r="U17" s="27" t="n">
        <v>0</v>
      </c>
      <c r="V17" s="27" t="n">
        <v>0</v>
      </c>
      <c r="W17" s="27" t="n">
        <v>0</v>
      </c>
      <c r="X17" s="27" t="n">
        <v>0</v>
      </c>
      <c r="Y17" s="27" t="n">
        <v>0</v>
      </c>
      <c r="Z17" s="27" t="n">
        <v>0</v>
      </c>
      <c r="AA17" s="27" t="n">
        <v>0</v>
      </c>
      <c r="AB17" s="27" t="n">
        <v>0</v>
      </c>
      <c r="AC17" s="27" t="n">
        <v>0</v>
      </c>
      <c r="AD17" s="27" t="n">
        <v>0</v>
      </c>
      <c r="AE17" s="27" t="n">
        <v>0</v>
      </c>
      <c r="AF17" s="27" t="n">
        <v>0</v>
      </c>
      <c r="AG17" s="27" t="n">
        <v>0</v>
      </c>
      <c r="AH17" s="27" t="n">
        <v>0</v>
      </c>
      <c r="AI17" s="27" t="n">
        <v>0</v>
      </c>
      <c r="AJ17" s="27" t="n">
        <v>0</v>
      </c>
      <c r="AK17" s="27" t="n">
        <v>0</v>
      </c>
      <c r="AL17" s="27" t="n">
        <v>0</v>
      </c>
      <c r="AM17" s="27" t="n">
        <v>0</v>
      </c>
      <c r="AN17" s="27" t="n">
        <v>0</v>
      </c>
      <c r="AO17" s="27" t="n">
        <v>0</v>
      </c>
      <c r="AP17" s="27" t="n">
        <v>0</v>
      </c>
      <c r="AQ17" s="27" t="n">
        <v>0</v>
      </c>
      <c r="AR17" s="27" t="n">
        <v>0</v>
      </c>
      <c r="AS17" s="27" t="n">
        <v>0</v>
      </c>
      <c r="AT17" s="27" t="n">
        <v>0</v>
      </c>
      <c r="AU17" s="27" t="n">
        <v>0</v>
      </c>
      <c r="AV17" s="27" t="n">
        <v>0</v>
      </c>
      <c r="AW17" s="27" t="n">
        <v>0</v>
      </c>
      <c r="AX17" s="27" t="n">
        <v>0</v>
      </c>
      <c r="AY17" s="27" t="n">
        <v>0</v>
      </c>
      <c r="AZ17" s="27" t="n">
        <v>0</v>
      </c>
      <c r="BA17" s="27" t="n">
        <v>0</v>
      </c>
      <c r="BB17" s="27" t="n">
        <v>0</v>
      </c>
      <c r="BC17" s="27" t="n">
        <v>0</v>
      </c>
      <c r="BD17" s="27" t="n">
        <v>0</v>
      </c>
      <c r="BE17" s="27" t="n">
        <v>0</v>
      </c>
      <c r="BF17" s="27" t="n">
        <v>0</v>
      </c>
      <c r="BG17" s="27" t="n">
        <v>0</v>
      </c>
      <c r="BH17" s="27" t="n">
        <v>0</v>
      </c>
      <c r="BI17" s="27" t="n">
        <v>0</v>
      </c>
      <c r="BJ17" s="27" t="n">
        <v>0</v>
      </c>
      <c r="BK17" s="27" t="n">
        <v>0</v>
      </c>
      <c r="BL17" s="27" t="n">
        <v>0</v>
      </c>
      <c r="BM17" s="27" t="n">
        <v>0</v>
      </c>
      <c r="BN17" s="27" t="n">
        <v>0</v>
      </c>
      <c r="BO17" s="27" t="n">
        <v>0</v>
      </c>
      <c r="BP17" s="27" t="n">
        <v>0</v>
      </c>
      <c r="BQ17" s="27" t="n">
        <v>0</v>
      </c>
      <c r="BR17" s="27" t="n">
        <v>0</v>
      </c>
      <c r="BS17" s="27" t="n">
        <v>0</v>
      </c>
      <c r="BT17" s="27" t="n">
        <v>0</v>
      </c>
      <c r="BU17" s="27" t="n">
        <v>0</v>
      </c>
      <c r="BV17" s="27" t="n">
        <v>0</v>
      </c>
      <c r="BW17" s="27" t="n">
        <v>0</v>
      </c>
      <c r="BX17" s="27" t="n">
        <v>0</v>
      </c>
      <c r="BY17" s="27" t="n">
        <v>0</v>
      </c>
      <c r="BZ17" s="27" t="n">
        <v>0</v>
      </c>
      <c r="CA17" s="27" t="n">
        <v>0</v>
      </c>
      <c r="CB17" s="27" t="n">
        <v>0</v>
      </c>
      <c r="CC17" s="27" t="n">
        <v>0</v>
      </c>
      <c r="CD17" s="27" t="n">
        <v>0</v>
      </c>
      <c r="CE17" s="27" t="n">
        <v>0</v>
      </c>
      <c r="CF17" s="27" t="n">
        <v>0</v>
      </c>
      <c r="CG17" s="27" t="n">
        <v>0</v>
      </c>
      <c r="CH17" s="27" t="n">
        <v>0</v>
      </c>
      <c r="CI17" s="27" t="n">
        <v>0</v>
      </c>
      <c r="CJ17" s="27" t="n">
        <v>0</v>
      </c>
      <c r="CK17" s="27" t="n">
        <v>0</v>
      </c>
      <c r="CL17" s="27" t="n">
        <v>0</v>
      </c>
      <c r="CM17" s="27" t="n">
        <v>0</v>
      </c>
      <c r="CN17" s="27" t="n">
        <v>0</v>
      </c>
      <c r="CO17" s="27" t="n">
        <v>0</v>
      </c>
      <c r="CP17" s="27" t="n">
        <v>0</v>
      </c>
      <c r="CQ17" s="27" t="n">
        <v>0</v>
      </c>
      <c r="CR17" s="27" t="n">
        <v>0</v>
      </c>
      <c r="CS17" s="27" t="n">
        <v>0</v>
      </c>
      <c r="CT17" s="27" t="n">
        <v>0</v>
      </c>
      <c r="CU17" s="27" t="n">
        <v>0</v>
      </c>
      <c r="CV17" s="27" t="n">
        <v>0</v>
      </c>
      <c r="CW17" s="27" t="n">
        <v>0</v>
      </c>
      <c r="CX17" s="27" t="n">
        <v>0</v>
      </c>
      <c r="CY17" s="27" t="n">
        <v>0</v>
      </c>
      <c r="CZ17" s="27" t="n">
        <v>0</v>
      </c>
      <c r="DA17" s="27" t="n">
        <v>0</v>
      </c>
    </row>
    <row r="18">
      <c r="A18" t="inlineStr">
        <is>
          <t>TSP-206</t>
        </is>
      </c>
      <c r="B18" s="27" t="n">
        <v>0</v>
      </c>
      <c r="C18" s="27" t="n">
        <v>0</v>
      </c>
      <c r="D18" s="27" t="n">
        <v>0</v>
      </c>
      <c r="E18" s="27" t="n">
        <v>0</v>
      </c>
      <c r="F18" s="27" t="n">
        <v>0</v>
      </c>
      <c r="G18" s="27" t="n">
        <v>0</v>
      </c>
      <c r="H18" s="27" t="n">
        <v>0</v>
      </c>
      <c r="I18" s="27" t="n">
        <v>0</v>
      </c>
      <c r="J18" s="27" t="n">
        <v>0</v>
      </c>
      <c r="K18" s="27" t="n">
        <v>0</v>
      </c>
      <c r="L18" s="27" t="n">
        <v>0</v>
      </c>
      <c r="M18" s="27" t="n">
        <v>0</v>
      </c>
      <c r="N18" s="27" t="n">
        <v>0</v>
      </c>
      <c r="O18" s="27" t="n">
        <v>0</v>
      </c>
      <c r="P18" s="27" t="n">
        <v>0</v>
      </c>
      <c r="Q18" s="27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27" t="n">
        <v>0</v>
      </c>
      <c r="AA18" s="27" t="n">
        <v>0</v>
      </c>
      <c r="AB18" s="27" t="n">
        <v>0</v>
      </c>
      <c r="AC18" s="27" t="n">
        <v>0</v>
      </c>
      <c r="AD18" s="27" t="n">
        <v>0</v>
      </c>
      <c r="AE18" s="27" t="n">
        <v>0</v>
      </c>
      <c r="AF18" s="27" t="n">
        <v>0</v>
      </c>
      <c r="AG18" s="27" t="n">
        <v>0</v>
      </c>
      <c r="AH18" s="27" t="n">
        <v>0</v>
      </c>
      <c r="AI18" s="27" t="n">
        <v>0</v>
      </c>
      <c r="AJ18" s="27" t="n">
        <v>0</v>
      </c>
      <c r="AK18" s="27" t="n">
        <v>0</v>
      </c>
      <c r="AL18" s="27" t="n">
        <v>0</v>
      </c>
      <c r="AM18" s="27" t="n">
        <v>0</v>
      </c>
      <c r="AN18" s="27" t="n">
        <v>0</v>
      </c>
      <c r="AO18" s="27" t="n">
        <v>0</v>
      </c>
      <c r="AP18" s="27" t="n">
        <v>0</v>
      </c>
      <c r="AQ18" s="27" t="n">
        <v>0</v>
      </c>
      <c r="AR18" s="27" t="n">
        <v>0</v>
      </c>
      <c r="AS18" s="27" t="n">
        <v>0</v>
      </c>
      <c r="AT18" s="27" t="n">
        <v>0</v>
      </c>
      <c r="AU18" s="27" t="n">
        <v>0</v>
      </c>
      <c r="AV18" s="27" t="n">
        <v>0</v>
      </c>
      <c r="AW18" s="27" t="n">
        <v>0</v>
      </c>
      <c r="AX18" s="27" t="n">
        <v>0</v>
      </c>
      <c r="AY18" s="27" t="n">
        <v>0</v>
      </c>
      <c r="AZ18" s="27" t="n">
        <v>0</v>
      </c>
      <c r="BA18" s="27" t="n">
        <v>0</v>
      </c>
      <c r="BB18" s="27" t="n">
        <v>0</v>
      </c>
      <c r="BC18" s="27" t="n">
        <v>0</v>
      </c>
      <c r="BD18" s="27" t="n">
        <v>0</v>
      </c>
      <c r="BE18" s="27" t="n">
        <v>0</v>
      </c>
      <c r="BF18" s="27" t="n">
        <v>0</v>
      </c>
      <c r="BG18" s="27" t="n">
        <v>0</v>
      </c>
      <c r="BH18" s="27" t="n">
        <v>0</v>
      </c>
      <c r="BI18" s="27" t="n">
        <v>0</v>
      </c>
      <c r="BJ18" s="27" t="n">
        <v>0</v>
      </c>
      <c r="BK18" s="27" t="n">
        <v>0</v>
      </c>
      <c r="BL18" s="27" t="n">
        <v>0</v>
      </c>
      <c r="BM18" s="27" t="n">
        <v>0</v>
      </c>
      <c r="BN18" s="27" t="n">
        <v>0</v>
      </c>
      <c r="BO18" s="27" t="n">
        <v>0</v>
      </c>
      <c r="BP18" s="27" t="n">
        <v>0</v>
      </c>
      <c r="BQ18" s="27" t="n">
        <v>0</v>
      </c>
      <c r="BR18" s="27" t="n">
        <v>0</v>
      </c>
      <c r="BS18" s="27" t="n">
        <v>0</v>
      </c>
      <c r="BT18" s="27" t="n">
        <v>0</v>
      </c>
      <c r="BU18" s="27" t="n">
        <v>0</v>
      </c>
      <c r="BV18" s="27" t="n">
        <v>0</v>
      </c>
      <c r="BW18" s="27" t="n">
        <v>0</v>
      </c>
      <c r="BX18" s="27" t="n">
        <v>0</v>
      </c>
      <c r="BY18" s="27" t="n">
        <v>0</v>
      </c>
      <c r="BZ18" s="27" t="n">
        <v>0</v>
      </c>
      <c r="CA18" s="27" t="n">
        <v>0</v>
      </c>
      <c r="CB18" s="27" t="n">
        <v>0</v>
      </c>
      <c r="CC18" s="27" t="n">
        <v>0</v>
      </c>
      <c r="CD18" s="27" t="n">
        <v>0</v>
      </c>
      <c r="CE18" s="27" t="n">
        <v>0</v>
      </c>
      <c r="CF18" s="27" t="n">
        <v>0</v>
      </c>
      <c r="CG18" s="27" t="n">
        <v>0</v>
      </c>
      <c r="CH18" s="27" t="n">
        <v>0</v>
      </c>
      <c r="CI18" s="27" t="n">
        <v>0</v>
      </c>
      <c r="CJ18" s="27" t="n">
        <v>0</v>
      </c>
      <c r="CK18" s="27" t="n">
        <v>0</v>
      </c>
      <c r="CL18" s="27" t="n">
        <v>0</v>
      </c>
      <c r="CM18" s="27" t="n">
        <v>0</v>
      </c>
      <c r="CN18" s="27" t="n">
        <v>0</v>
      </c>
      <c r="CO18" s="27" t="n">
        <v>0</v>
      </c>
      <c r="CP18" s="27" t="n">
        <v>0</v>
      </c>
      <c r="CQ18" s="27" t="n">
        <v>0</v>
      </c>
      <c r="CR18" s="27" t="n">
        <v>0</v>
      </c>
      <c r="CS18" s="27" t="n">
        <v>0</v>
      </c>
      <c r="CT18" s="27" t="n">
        <v>0</v>
      </c>
      <c r="CU18" s="27" t="n">
        <v>0</v>
      </c>
      <c r="CV18" s="27" t="n">
        <v>0</v>
      </c>
      <c r="CW18" s="27" t="n">
        <v>0</v>
      </c>
      <c r="CX18" s="27" t="n">
        <v>0</v>
      </c>
      <c r="CY18" s="27" t="n">
        <v>0</v>
      </c>
      <c r="CZ18" s="27" t="n">
        <v>0</v>
      </c>
      <c r="DA18" s="27" t="n">
        <v>0</v>
      </c>
    </row>
    <row r="19">
      <c r="A19" t="inlineStr">
        <is>
          <t>TSP-224</t>
        </is>
      </c>
      <c r="B19" s="27" t="n">
        <v>0</v>
      </c>
      <c r="C19" s="27" t="n">
        <v>0</v>
      </c>
      <c r="D19" s="27" t="n">
        <v>0</v>
      </c>
      <c r="E19" s="27" t="n">
        <v>0</v>
      </c>
      <c r="F19" s="27" t="n">
        <v>0</v>
      </c>
      <c r="G19" s="27" t="n">
        <v>0</v>
      </c>
      <c r="H19" s="27" t="n">
        <v>0</v>
      </c>
      <c r="I19" s="27" t="n">
        <v>0</v>
      </c>
      <c r="J19" s="27" t="n">
        <v>0</v>
      </c>
      <c r="K19" s="27" t="n">
        <v>0</v>
      </c>
      <c r="L19" s="27" t="n">
        <v>0</v>
      </c>
      <c r="M19" s="27" t="n">
        <v>0</v>
      </c>
      <c r="N19" s="27" t="n">
        <v>0</v>
      </c>
      <c r="O19" s="27" t="n">
        <v>0</v>
      </c>
      <c r="P19" s="27" t="n">
        <v>0</v>
      </c>
      <c r="Q19" s="27" t="n">
        <v>0</v>
      </c>
      <c r="R19" s="27" t="n">
        <v>0</v>
      </c>
      <c r="S19" s="27" t="n">
        <v>0</v>
      </c>
      <c r="T19" s="27" t="n">
        <v>0</v>
      </c>
      <c r="U19" s="27" t="n">
        <v>0</v>
      </c>
      <c r="V19" s="27" t="n">
        <v>0</v>
      </c>
      <c r="W19" s="27" t="n">
        <v>0</v>
      </c>
      <c r="X19" s="27" t="n">
        <v>0</v>
      </c>
      <c r="Y19" s="27" t="n">
        <v>0</v>
      </c>
      <c r="Z19" s="27" t="n">
        <v>0</v>
      </c>
      <c r="AA19" s="27" t="n">
        <v>0</v>
      </c>
      <c r="AB19" s="27" t="n">
        <v>0</v>
      </c>
      <c r="AC19" s="27" t="n">
        <v>0</v>
      </c>
      <c r="AD19" s="27" t="n">
        <v>0</v>
      </c>
      <c r="AE19" s="27" t="n">
        <v>0</v>
      </c>
      <c r="AF19" s="27" t="n">
        <v>0</v>
      </c>
      <c r="AG19" s="27" t="n">
        <v>0</v>
      </c>
      <c r="AH19" s="27" t="n">
        <v>0</v>
      </c>
      <c r="AI19" s="27" t="n">
        <v>0</v>
      </c>
      <c r="AJ19" s="27" t="n">
        <v>0</v>
      </c>
      <c r="AK19" s="27" t="n">
        <v>0</v>
      </c>
      <c r="AL19" s="27" t="n">
        <v>0</v>
      </c>
      <c r="AM19" s="27" t="n">
        <v>0</v>
      </c>
      <c r="AN19" s="27" t="n">
        <v>0</v>
      </c>
      <c r="AO19" s="27" t="n">
        <v>0</v>
      </c>
      <c r="AP19" s="27" t="n">
        <v>0</v>
      </c>
      <c r="AQ19" s="27" t="n">
        <v>0</v>
      </c>
      <c r="AR19" s="27" t="n">
        <v>0</v>
      </c>
      <c r="AS19" s="27" t="n">
        <v>0</v>
      </c>
      <c r="AT19" s="27" t="n">
        <v>0</v>
      </c>
      <c r="AU19" s="27" t="n">
        <v>0</v>
      </c>
      <c r="AV19" s="27" t="n">
        <v>0</v>
      </c>
      <c r="AW19" s="27" t="n">
        <v>0</v>
      </c>
      <c r="AX19" s="27" t="n">
        <v>0</v>
      </c>
      <c r="AY19" s="27" t="n">
        <v>0</v>
      </c>
      <c r="AZ19" s="27" t="n">
        <v>0</v>
      </c>
      <c r="BA19" s="27" t="n">
        <v>0</v>
      </c>
      <c r="BB19" s="27" t="n">
        <v>0</v>
      </c>
      <c r="BC19" s="27" t="n">
        <v>0</v>
      </c>
      <c r="BD19" s="27" t="n">
        <v>0</v>
      </c>
      <c r="BE19" s="27" t="n">
        <v>0</v>
      </c>
      <c r="BF19" s="27" t="n">
        <v>0</v>
      </c>
      <c r="BG19" s="27" t="n">
        <v>0</v>
      </c>
      <c r="BH19" s="27" t="n">
        <v>0</v>
      </c>
      <c r="BI19" s="27" t="n">
        <v>0</v>
      </c>
      <c r="BJ19" s="27" t="n">
        <v>0</v>
      </c>
      <c r="BK19" s="27" t="n">
        <v>0</v>
      </c>
      <c r="BL19" s="27" t="n">
        <v>0</v>
      </c>
      <c r="BM19" s="27" t="n">
        <v>0</v>
      </c>
      <c r="BN19" s="27" t="n">
        <v>0</v>
      </c>
      <c r="BO19" s="27" t="n">
        <v>0</v>
      </c>
      <c r="BP19" s="27" t="n">
        <v>0</v>
      </c>
      <c r="BQ19" s="27" t="n">
        <v>0</v>
      </c>
      <c r="BR19" s="27" t="n">
        <v>0</v>
      </c>
      <c r="BS19" s="27" t="n">
        <v>0</v>
      </c>
      <c r="BT19" s="27" t="n">
        <v>0</v>
      </c>
      <c r="BU19" s="27" t="n">
        <v>0</v>
      </c>
      <c r="BV19" s="27" t="n">
        <v>0</v>
      </c>
      <c r="BW19" s="27" t="n">
        <v>0</v>
      </c>
      <c r="BX19" s="27" t="n">
        <v>0</v>
      </c>
      <c r="BY19" s="27" t="n">
        <v>0</v>
      </c>
      <c r="BZ19" s="27" t="n">
        <v>0</v>
      </c>
      <c r="CA19" s="27" t="n">
        <v>0</v>
      </c>
      <c r="CB19" s="27" t="n">
        <v>0</v>
      </c>
      <c r="CC19" s="27" t="n">
        <v>0</v>
      </c>
      <c r="CD19" s="27" t="n">
        <v>0</v>
      </c>
      <c r="CE19" s="27" t="n">
        <v>0</v>
      </c>
      <c r="CF19" s="27" t="n">
        <v>0</v>
      </c>
      <c r="CG19" s="27" t="n">
        <v>0</v>
      </c>
      <c r="CH19" s="27" t="n">
        <v>0</v>
      </c>
      <c r="CI19" s="27" t="n">
        <v>0</v>
      </c>
      <c r="CJ19" s="27" t="n">
        <v>0</v>
      </c>
      <c r="CK19" s="27" t="n">
        <v>0</v>
      </c>
      <c r="CL19" s="27" t="n">
        <v>0</v>
      </c>
      <c r="CM19" s="27" t="n">
        <v>0</v>
      </c>
      <c r="CN19" s="27" t="n">
        <v>0</v>
      </c>
      <c r="CO19" s="27" t="n">
        <v>0</v>
      </c>
      <c r="CP19" s="27" t="n">
        <v>0</v>
      </c>
      <c r="CQ19" s="27" t="n">
        <v>0</v>
      </c>
      <c r="CR19" s="27" t="n">
        <v>0</v>
      </c>
      <c r="CS19" s="27" t="n">
        <v>0</v>
      </c>
      <c r="CT19" s="27" t="n">
        <v>0</v>
      </c>
      <c r="CU19" s="27" t="n">
        <v>0</v>
      </c>
      <c r="CV19" s="27" t="n">
        <v>0</v>
      </c>
      <c r="CW19" s="27" t="n">
        <v>0</v>
      </c>
      <c r="CX19" s="27" t="n">
        <v>0</v>
      </c>
      <c r="CY19" s="27" t="n">
        <v>0</v>
      </c>
      <c r="CZ19" s="27" t="n">
        <v>0</v>
      </c>
      <c r="DA19" s="27" t="n">
        <v>0</v>
      </c>
    </row>
    <row r="20">
      <c r="A20" t="inlineStr">
        <is>
          <t>TSP-225</t>
        </is>
      </c>
      <c r="B20" s="27" t="n">
        <v>0</v>
      </c>
      <c r="C20" s="27" t="n">
        <v>0</v>
      </c>
      <c r="D20" s="27" t="n">
        <v>0</v>
      </c>
      <c r="E20" s="27" t="n">
        <v>0</v>
      </c>
      <c r="F20" s="27" t="n">
        <v>0</v>
      </c>
      <c r="G20" s="27" t="n">
        <v>0</v>
      </c>
      <c r="H20" s="27" t="n">
        <v>0</v>
      </c>
      <c r="I20" s="27" t="n">
        <v>0</v>
      </c>
      <c r="J20" s="27" t="n">
        <v>0</v>
      </c>
      <c r="K20" s="27" t="n">
        <v>0</v>
      </c>
      <c r="L20" s="27" t="n">
        <v>0</v>
      </c>
      <c r="M20" s="27" t="n">
        <v>0</v>
      </c>
      <c r="N20" s="27" t="n">
        <v>0</v>
      </c>
      <c r="O20" s="27" t="n">
        <v>0</v>
      </c>
      <c r="P20" s="27" t="n">
        <v>0</v>
      </c>
      <c r="Q20" s="27" t="n">
        <v>0</v>
      </c>
      <c r="R20" s="27" t="n">
        <v>0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v>0</v>
      </c>
      <c r="X20" s="27" t="n">
        <v>0</v>
      </c>
      <c r="Y20" s="27" t="n">
        <v>0</v>
      </c>
      <c r="Z20" s="27" t="n">
        <v>0</v>
      </c>
      <c r="AA20" s="27" t="n">
        <v>0</v>
      </c>
      <c r="AB20" s="27" t="n">
        <v>0</v>
      </c>
      <c r="AC20" s="27" t="n">
        <v>0</v>
      </c>
      <c r="AD20" s="27" t="n">
        <v>0</v>
      </c>
      <c r="AE20" s="27" t="n">
        <v>0</v>
      </c>
      <c r="AF20" s="27" t="n">
        <v>0</v>
      </c>
      <c r="AG20" s="27" t="n">
        <v>0</v>
      </c>
      <c r="AH20" s="27" t="n">
        <v>0</v>
      </c>
      <c r="AI20" s="27" t="n">
        <v>0</v>
      </c>
      <c r="AJ20" s="27" t="n">
        <v>0</v>
      </c>
      <c r="AK20" s="27" t="n">
        <v>0</v>
      </c>
      <c r="AL20" s="27" t="n">
        <v>0</v>
      </c>
      <c r="AM20" s="27" t="n">
        <v>0</v>
      </c>
      <c r="AN20" s="27" t="n">
        <v>0</v>
      </c>
      <c r="AO20" s="27" t="n">
        <v>0</v>
      </c>
      <c r="AP20" s="27" t="n">
        <v>0</v>
      </c>
      <c r="AQ20" s="27" t="n">
        <v>0</v>
      </c>
      <c r="AR20" s="27" t="n">
        <v>0</v>
      </c>
      <c r="AS20" s="27" t="n">
        <v>0</v>
      </c>
      <c r="AT20" s="27" t="n">
        <v>0</v>
      </c>
      <c r="AU20" s="27" t="n">
        <v>0</v>
      </c>
      <c r="AV20" s="27" t="n">
        <v>0</v>
      </c>
      <c r="AW20" s="27" t="n">
        <v>0</v>
      </c>
      <c r="AX20" s="27" t="n">
        <v>0</v>
      </c>
      <c r="AY20" s="27" t="n">
        <v>0</v>
      </c>
      <c r="AZ20" s="27" t="n">
        <v>0</v>
      </c>
      <c r="BA20" s="27" t="n">
        <v>0</v>
      </c>
      <c r="BB20" s="27" t="n">
        <v>0</v>
      </c>
      <c r="BC20" s="27" t="n">
        <v>0</v>
      </c>
      <c r="BD20" s="27" t="n">
        <v>0</v>
      </c>
      <c r="BE20" s="27" t="n">
        <v>0</v>
      </c>
      <c r="BF20" s="27" t="n">
        <v>0</v>
      </c>
      <c r="BG20" s="27" t="n">
        <v>0</v>
      </c>
      <c r="BH20" s="27" t="n">
        <v>0</v>
      </c>
      <c r="BI20" s="27" t="n">
        <v>0</v>
      </c>
      <c r="BJ20" s="27" t="n">
        <v>0</v>
      </c>
      <c r="BK20" s="27" t="n">
        <v>0</v>
      </c>
      <c r="BL20" s="27" t="n">
        <v>0</v>
      </c>
      <c r="BM20" s="27" t="n">
        <v>0</v>
      </c>
      <c r="BN20" s="27" t="n">
        <v>0</v>
      </c>
      <c r="BO20" s="27" t="n">
        <v>0</v>
      </c>
      <c r="BP20" s="27" t="n">
        <v>0</v>
      </c>
      <c r="BQ20" s="27" t="n">
        <v>0</v>
      </c>
      <c r="BR20" s="27" t="n">
        <v>0</v>
      </c>
      <c r="BS20" s="27" t="n">
        <v>0</v>
      </c>
      <c r="BT20" s="27" t="n">
        <v>0</v>
      </c>
      <c r="BU20" s="27" t="n">
        <v>0</v>
      </c>
      <c r="BV20" s="27" t="n">
        <v>0</v>
      </c>
      <c r="BW20" s="27" t="n">
        <v>0</v>
      </c>
      <c r="BX20" s="27" t="n">
        <v>0</v>
      </c>
      <c r="BY20" s="27" t="n">
        <v>0</v>
      </c>
      <c r="BZ20" s="27" t="n">
        <v>0</v>
      </c>
      <c r="CA20" s="27" t="n">
        <v>0</v>
      </c>
      <c r="CB20" s="27" t="n">
        <v>0</v>
      </c>
      <c r="CC20" s="27" t="n">
        <v>0</v>
      </c>
      <c r="CD20" s="27" t="n">
        <v>0</v>
      </c>
      <c r="CE20" s="27" t="n">
        <v>0</v>
      </c>
      <c r="CF20" s="27" t="n">
        <v>0</v>
      </c>
      <c r="CG20" s="27" t="n">
        <v>0</v>
      </c>
      <c r="CH20" s="27" t="n">
        <v>0</v>
      </c>
      <c r="CI20" s="27" t="n">
        <v>0</v>
      </c>
      <c r="CJ20" s="27" t="n">
        <v>0</v>
      </c>
      <c r="CK20" s="27" t="n">
        <v>0</v>
      </c>
      <c r="CL20" s="27" t="n">
        <v>0</v>
      </c>
      <c r="CM20" s="27" t="n">
        <v>0</v>
      </c>
      <c r="CN20" s="27" t="n">
        <v>0</v>
      </c>
      <c r="CO20" s="27" t="n">
        <v>0</v>
      </c>
      <c r="CP20" s="27" t="n">
        <v>0</v>
      </c>
      <c r="CQ20" s="27" t="n">
        <v>0</v>
      </c>
      <c r="CR20" s="27" t="n">
        <v>0</v>
      </c>
      <c r="CS20" s="27" t="n">
        <v>0</v>
      </c>
      <c r="CT20" s="27" t="n">
        <v>0</v>
      </c>
      <c r="CU20" s="27" t="n">
        <v>0</v>
      </c>
      <c r="CV20" s="27" t="n">
        <v>0</v>
      </c>
      <c r="CW20" s="27" t="n">
        <v>0</v>
      </c>
      <c r="CX20" s="27" t="n">
        <v>0</v>
      </c>
      <c r="CY20" s="27" t="n">
        <v>0</v>
      </c>
      <c r="CZ20" s="27" t="n">
        <v>0</v>
      </c>
      <c r="DA20" s="27" t="n">
        <v>0</v>
      </c>
    </row>
    <row r="21">
      <c r="A21" t="inlineStr">
        <is>
          <t>TSP-360</t>
        </is>
      </c>
      <c r="B21" s="27" t="n">
        <v>0</v>
      </c>
      <c r="C21" s="27" t="n">
        <v>0</v>
      </c>
      <c r="D21" s="27" t="n">
        <v>0</v>
      </c>
      <c r="E21" s="27" t="n">
        <v>0</v>
      </c>
      <c r="F21" s="27" t="n">
        <v>0</v>
      </c>
      <c r="G21" s="27" t="n">
        <v>0</v>
      </c>
      <c r="H21" s="27" t="n">
        <v>0</v>
      </c>
      <c r="I21" s="27" t="n">
        <v>0</v>
      </c>
      <c r="J21" s="27" t="n">
        <v>0</v>
      </c>
      <c r="K21" s="27" t="n">
        <v>0</v>
      </c>
      <c r="L21" s="27" t="n">
        <v>0</v>
      </c>
      <c r="M21" s="27" t="n">
        <v>0</v>
      </c>
      <c r="N21" s="27" t="n">
        <v>0</v>
      </c>
      <c r="O21" s="27" t="n">
        <v>0</v>
      </c>
      <c r="P21" s="27" t="n">
        <v>0</v>
      </c>
      <c r="Q21" s="27" t="n">
        <v>0</v>
      </c>
      <c r="R21" s="27" t="n">
        <v>0</v>
      </c>
      <c r="S21" s="27" t="n">
        <v>0</v>
      </c>
      <c r="T21" s="27" t="n">
        <v>0</v>
      </c>
      <c r="U21" s="27" t="n">
        <v>0</v>
      </c>
      <c r="V21" s="27" t="n">
        <v>0</v>
      </c>
      <c r="W21" s="27" t="n">
        <v>0</v>
      </c>
      <c r="X21" s="27" t="n">
        <v>0</v>
      </c>
      <c r="Y21" s="27" t="n">
        <v>0</v>
      </c>
      <c r="Z21" s="27" t="n">
        <v>0</v>
      </c>
      <c r="AA21" s="27" t="n">
        <v>0</v>
      </c>
      <c r="AB21" s="27" t="n">
        <v>0</v>
      </c>
      <c r="AC21" s="27" t="n">
        <v>0</v>
      </c>
      <c r="AD21" s="27" t="n">
        <v>0</v>
      </c>
      <c r="AE21" s="27" t="n">
        <v>0</v>
      </c>
      <c r="AF21" s="27" t="n">
        <v>0</v>
      </c>
      <c r="AG21" s="27" t="n">
        <v>0</v>
      </c>
      <c r="AH21" s="27" t="n">
        <v>0</v>
      </c>
      <c r="AI21" s="27" t="n">
        <v>0</v>
      </c>
      <c r="AJ21" s="27" t="n">
        <v>0</v>
      </c>
      <c r="AK21" s="27" t="n">
        <v>0</v>
      </c>
      <c r="AL21" s="27" t="n">
        <v>0</v>
      </c>
      <c r="AM21" s="27" t="n">
        <v>0</v>
      </c>
      <c r="AN21" s="27" t="n">
        <v>0</v>
      </c>
      <c r="AO21" s="27" t="n">
        <v>0</v>
      </c>
      <c r="AP21" s="27" t="n">
        <v>0</v>
      </c>
      <c r="AQ21" s="27" t="n">
        <v>0</v>
      </c>
      <c r="AR21" s="27" t="n">
        <v>0</v>
      </c>
      <c r="AS21" s="27" t="n">
        <v>0</v>
      </c>
      <c r="AT21" s="27" t="n">
        <v>0</v>
      </c>
      <c r="AU21" s="27" t="n">
        <v>0</v>
      </c>
      <c r="AV21" s="27" t="n">
        <v>0</v>
      </c>
      <c r="AW21" s="27" t="n">
        <v>0</v>
      </c>
      <c r="AX21" s="27" t="n">
        <v>0</v>
      </c>
      <c r="AY21" s="27" t="n">
        <v>0</v>
      </c>
      <c r="AZ21" s="27" t="n">
        <v>0</v>
      </c>
      <c r="BA21" s="27" t="n">
        <v>0</v>
      </c>
      <c r="BB21" s="27" t="n">
        <v>0</v>
      </c>
      <c r="BC21" s="27" t="n">
        <v>0</v>
      </c>
      <c r="BD21" s="27" t="n">
        <v>0</v>
      </c>
      <c r="BE21" s="27" t="n">
        <v>0</v>
      </c>
      <c r="BF21" s="27" t="n">
        <v>0</v>
      </c>
      <c r="BG21" s="27" t="n">
        <v>0</v>
      </c>
      <c r="BH21" s="27" t="n">
        <v>0</v>
      </c>
      <c r="BI21" s="27" t="n">
        <v>0</v>
      </c>
      <c r="BJ21" s="27" t="n">
        <v>0</v>
      </c>
      <c r="BK21" s="27" t="n">
        <v>0</v>
      </c>
      <c r="BL21" s="27" t="n">
        <v>0</v>
      </c>
      <c r="BM21" s="27" t="n">
        <v>0</v>
      </c>
      <c r="BN21" s="27" t="n">
        <v>0</v>
      </c>
      <c r="BO21" s="27" t="n">
        <v>0</v>
      </c>
      <c r="BP21" s="27" t="n">
        <v>0</v>
      </c>
      <c r="BQ21" s="27" t="n">
        <v>0</v>
      </c>
      <c r="BR21" s="27" t="n">
        <v>0</v>
      </c>
      <c r="BS21" s="27" t="n">
        <v>0</v>
      </c>
      <c r="BT21" s="27" t="n">
        <v>0</v>
      </c>
      <c r="BU21" s="27" t="n">
        <v>0</v>
      </c>
      <c r="BV21" s="27" t="n">
        <v>0</v>
      </c>
      <c r="BW21" s="27" t="n">
        <v>0</v>
      </c>
      <c r="BX21" s="27" t="n">
        <v>0</v>
      </c>
      <c r="BY21" s="27" t="n">
        <v>0</v>
      </c>
      <c r="BZ21" s="27" t="n">
        <v>0</v>
      </c>
      <c r="CA21" s="27" t="n">
        <v>0</v>
      </c>
      <c r="CB21" s="27" t="n">
        <v>0</v>
      </c>
      <c r="CC21" s="27" t="n">
        <v>0</v>
      </c>
      <c r="CD21" s="27" t="n">
        <v>0</v>
      </c>
      <c r="CE21" s="27" t="n">
        <v>0</v>
      </c>
      <c r="CF21" s="27" t="n">
        <v>0</v>
      </c>
      <c r="CG21" s="27" t="n">
        <v>0</v>
      </c>
      <c r="CH21" s="27" t="n">
        <v>0</v>
      </c>
      <c r="CI21" s="27" t="n">
        <v>0</v>
      </c>
      <c r="CJ21" s="27" t="n">
        <v>0</v>
      </c>
      <c r="CK21" s="27" t="n">
        <v>0</v>
      </c>
      <c r="CL21" s="27" t="n">
        <v>0</v>
      </c>
      <c r="CM21" s="27" t="n">
        <v>0</v>
      </c>
      <c r="CN21" s="27" t="n">
        <v>0</v>
      </c>
      <c r="CO21" s="27" t="n">
        <v>0</v>
      </c>
      <c r="CP21" s="27" t="n">
        <v>0</v>
      </c>
      <c r="CQ21" s="27" t="n">
        <v>0</v>
      </c>
      <c r="CR21" s="27" t="n">
        <v>0</v>
      </c>
      <c r="CS21" s="27" t="n">
        <v>0</v>
      </c>
      <c r="CT21" s="27" t="n">
        <v>0</v>
      </c>
      <c r="CU21" s="27" t="n">
        <v>0</v>
      </c>
      <c r="CV21" s="27" t="n">
        <v>0</v>
      </c>
      <c r="CW21" s="27" t="n">
        <v>0</v>
      </c>
      <c r="CX21" s="27" t="n">
        <v>0</v>
      </c>
      <c r="CY21" s="27" t="n">
        <v>0</v>
      </c>
      <c r="CZ21" s="27" t="n">
        <v>0</v>
      </c>
      <c r="DA21" s="27" t="n">
        <v>0</v>
      </c>
    </row>
    <row r="22">
      <c r="A22" t="inlineStr">
        <is>
          <t>TSP-367</t>
        </is>
      </c>
      <c r="B22" s="27" t="n">
        <v>0</v>
      </c>
      <c r="C22" s="27" t="n">
        <v>0</v>
      </c>
      <c r="D22" s="27" t="n">
        <v>0</v>
      </c>
      <c r="E22" s="27" t="n">
        <v>0</v>
      </c>
      <c r="F22" s="27" t="n">
        <v>0</v>
      </c>
      <c r="G22" s="27" t="n">
        <v>0</v>
      </c>
      <c r="H22" s="27" t="n">
        <v>0</v>
      </c>
      <c r="I22" s="27" t="n">
        <v>0</v>
      </c>
      <c r="J22" s="27" t="n">
        <v>0</v>
      </c>
      <c r="K22" s="27" t="n">
        <v>0</v>
      </c>
      <c r="L22" s="27" t="n">
        <v>0</v>
      </c>
      <c r="M22" s="27" t="n">
        <v>0</v>
      </c>
      <c r="N22" s="27" t="n">
        <v>0</v>
      </c>
      <c r="O22" s="27" t="n">
        <v>0</v>
      </c>
      <c r="P22" s="27" t="n">
        <v>0</v>
      </c>
      <c r="Q22" s="27" t="n">
        <v>0</v>
      </c>
      <c r="R22" s="27" t="n">
        <v>0</v>
      </c>
      <c r="S22" s="27" t="n">
        <v>0</v>
      </c>
      <c r="T22" s="27" t="n">
        <v>0</v>
      </c>
      <c r="U22" s="27" t="n">
        <v>0</v>
      </c>
      <c r="V22" s="27" t="n">
        <v>0</v>
      </c>
      <c r="W22" s="27" t="n">
        <v>0</v>
      </c>
      <c r="X22" s="27" t="n">
        <v>0</v>
      </c>
      <c r="Y22" s="27" t="n">
        <v>0</v>
      </c>
      <c r="Z22" s="27" t="n">
        <v>0</v>
      </c>
      <c r="AA22" s="27" t="n">
        <v>0</v>
      </c>
      <c r="AB22" s="27" t="n">
        <v>0</v>
      </c>
      <c r="AC22" s="27" t="n">
        <v>0</v>
      </c>
      <c r="AD22" s="27" t="n">
        <v>0</v>
      </c>
      <c r="AE22" s="27" t="n">
        <v>0</v>
      </c>
      <c r="AF22" s="27" t="n">
        <v>0</v>
      </c>
      <c r="AG22" s="27" t="n">
        <v>0</v>
      </c>
      <c r="AH22" s="27" t="n">
        <v>0</v>
      </c>
      <c r="AI22" s="27" t="n">
        <v>0</v>
      </c>
      <c r="AJ22" s="27" t="n">
        <v>0</v>
      </c>
      <c r="AK22" s="27" t="n">
        <v>0</v>
      </c>
      <c r="AL22" s="27" t="n">
        <v>0</v>
      </c>
      <c r="AM22" s="27" t="n">
        <v>0</v>
      </c>
      <c r="AN22" s="27" t="n">
        <v>0</v>
      </c>
      <c r="AO22" s="27" t="n">
        <v>0</v>
      </c>
      <c r="AP22" s="27" t="n">
        <v>0</v>
      </c>
      <c r="AQ22" s="27" t="n">
        <v>0</v>
      </c>
      <c r="AR22" s="27" t="n">
        <v>0</v>
      </c>
      <c r="AS22" s="27" t="n">
        <v>0</v>
      </c>
      <c r="AT22" s="27" t="n">
        <v>0</v>
      </c>
      <c r="AU22" s="27" t="n">
        <v>0</v>
      </c>
      <c r="AV22" s="27" t="n">
        <v>0</v>
      </c>
      <c r="AW22" s="27" t="n">
        <v>0</v>
      </c>
      <c r="AX22" s="27" t="n">
        <v>0</v>
      </c>
      <c r="AY22" s="27" t="n">
        <v>0</v>
      </c>
      <c r="AZ22" s="27" t="n">
        <v>0</v>
      </c>
      <c r="BA22" s="27" t="n">
        <v>0</v>
      </c>
      <c r="BB22" s="27" t="n">
        <v>0</v>
      </c>
      <c r="BC22" s="27" t="n">
        <v>0</v>
      </c>
      <c r="BD22" s="27" t="n">
        <v>0</v>
      </c>
      <c r="BE22" s="27" t="n">
        <v>0</v>
      </c>
      <c r="BF22" s="27" t="n">
        <v>0</v>
      </c>
      <c r="BG22" s="27" t="n">
        <v>0</v>
      </c>
      <c r="BH22" s="27" t="n">
        <v>0</v>
      </c>
      <c r="BI22" s="27" t="n">
        <v>0</v>
      </c>
      <c r="BJ22" s="27" t="n">
        <v>0</v>
      </c>
      <c r="BK22" s="27" t="n">
        <v>0</v>
      </c>
      <c r="BL22" s="27" t="n">
        <v>0</v>
      </c>
      <c r="BM22" s="27" t="n">
        <v>0</v>
      </c>
      <c r="BN22" s="27" t="n">
        <v>0</v>
      </c>
      <c r="BO22" s="27" t="n">
        <v>0</v>
      </c>
      <c r="BP22" s="27" t="n">
        <v>0</v>
      </c>
      <c r="BQ22" s="27" t="n">
        <v>0</v>
      </c>
      <c r="BR22" s="27" t="n">
        <v>0</v>
      </c>
      <c r="BS22" s="27" t="n">
        <v>0</v>
      </c>
      <c r="BT22" s="27" t="n">
        <v>0</v>
      </c>
      <c r="BU22" s="27" t="n">
        <v>0</v>
      </c>
      <c r="BV22" s="27" t="n">
        <v>0</v>
      </c>
      <c r="BW22" s="27" t="n">
        <v>0</v>
      </c>
      <c r="BX22" s="27" t="n">
        <v>0</v>
      </c>
      <c r="BY22" s="27" t="n">
        <v>0</v>
      </c>
      <c r="BZ22" s="27" t="n">
        <v>0</v>
      </c>
      <c r="CA22" s="27" t="n">
        <v>0</v>
      </c>
      <c r="CB22" s="27" t="n">
        <v>0</v>
      </c>
      <c r="CC22" s="27" t="n">
        <v>0</v>
      </c>
      <c r="CD22" s="27" t="n">
        <v>0</v>
      </c>
      <c r="CE22" s="27" t="n">
        <v>0</v>
      </c>
      <c r="CF22" s="27" t="n">
        <v>0</v>
      </c>
      <c r="CG22" s="27" t="n">
        <v>0</v>
      </c>
      <c r="CH22" s="27" t="n">
        <v>0</v>
      </c>
      <c r="CI22" s="27" t="n">
        <v>0</v>
      </c>
      <c r="CJ22" s="27" t="n">
        <v>0</v>
      </c>
      <c r="CK22" s="27" t="n">
        <v>0</v>
      </c>
      <c r="CL22" s="27" t="n">
        <v>0</v>
      </c>
      <c r="CM22" s="27" t="n">
        <v>0</v>
      </c>
      <c r="CN22" s="27" t="n">
        <v>0</v>
      </c>
      <c r="CO22" s="27" t="n">
        <v>0</v>
      </c>
      <c r="CP22" s="27" t="n">
        <v>0</v>
      </c>
      <c r="CQ22" s="27" t="n">
        <v>0</v>
      </c>
      <c r="CR22" s="27" t="n">
        <v>0</v>
      </c>
      <c r="CS22" s="27" t="n">
        <v>0</v>
      </c>
      <c r="CT22" s="27" t="n">
        <v>0</v>
      </c>
      <c r="CU22" s="27" t="n">
        <v>0</v>
      </c>
      <c r="CV22" s="27" t="n">
        <v>0</v>
      </c>
      <c r="CW22" s="27" t="n">
        <v>0</v>
      </c>
      <c r="CX22" s="27" t="n">
        <v>0</v>
      </c>
      <c r="CY22" s="27" t="n">
        <v>0</v>
      </c>
      <c r="CZ22" s="27" t="n">
        <v>0</v>
      </c>
      <c r="DA22" s="27" t="n">
        <v>0</v>
      </c>
    </row>
    <row r="23">
      <c r="A23" t="inlineStr">
        <is>
          <t>TSP-369</t>
        </is>
      </c>
      <c r="B23" s="27" t="n">
        <v>0</v>
      </c>
      <c r="C23" s="27" t="n">
        <v>0</v>
      </c>
      <c r="D23" s="27" t="n">
        <v>0</v>
      </c>
      <c r="E23" s="27" t="n">
        <v>0</v>
      </c>
      <c r="F23" s="27" t="n">
        <v>0</v>
      </c>
      <c r="G23" s="27" t="n">
        <v>0</v>
      </c>
      <c r="H23" s="27" t="n">
        <v>0</v>
      </c>
      <c r="I23" s="27" t="n">
        <v>0</v>
      </c>
      <c r="J23" s="27" t="n">
        <v>0</v>
      </c>
      <c r="K23" s="27" t="n">
        <v>0</v>
      </c>
      <c r="L23" s="27" t="n">
        <v>0</v>
      </c>
      <c r="M23" s="27" t="n">
        <v>0</v>
      </c>
      <c r="N23" s="27" t="n">
        <v>0</v>
      </c>
      <c r="O23" s="27" t="n">
        <v>0</v>
      </c>
      <c r="P23" s="27" t="n">
        <v>0</v>
      </c>
      <c r="Q23" s="27" t="n">
        <v>0</v>
      </c>
      <c r="R23" s="27" t="n">
        <v>0</v>
      </c>
      <c r="S23" s="27" t="n">
        <v>0</v>
      </c>
      <c r="T23" s="27" t="n">
        <v>0</v>
      </c>
      <c r="U23" s="27" t="n">
        <v>0</v>
      </c>
      <c r="V23" s="27" t="n">
        <v>0</v>
      </c>
      <c r="W23" s="27" t="n">
        <v>0</v>
      </c>
      <c r="X23" s="27" t="n">
        <v>0</v>
      </c>
      <c r="Y23" s="27" t="n">
        <v>0</v>
      </c>
      <c r="Z23" s="27" t="n">
        <v>0</v>
      </c>
      <c r="AA23" s="27" t="n">
        <v>0</v>
      </c>
      <c r="AB23" s="27" t="n">
        <v>0</v>
      </c>
      <c r="AC23" s="27" t="n">
        <v>0</v>
      </c>
      <c r="AD23" s="27" t="n">
        <v>0</v>
      </c>
      <c r="AE23" s="27" t="n">
        <v>0</v>
      </c>
      <c r="AF23" s="27" t="n">
        <v>0</v>
      </c>
      <c r="AG23" s="27" t="n">
        <v>0</v>
      </c>
      <c r="AH23" s="27" t="n">
        <v>0</v>
      </c>
      <c r="AI23" s="27" t="n">
        <v>0</v>
      </c>
      <c r="AJ23" s="27" t="n">
        <v>0</v>
      </c>
      <c r="AK23" s="27" t="n">
        <v>0</v>
      </c>
      <c r="AL23" s="27" t="n">
        <v>0</v>
      </c>
      <c r="AM23" s="27" t="n">
        <v>0</v>
      </c>
      <c r="AN23" s="27" t="n">
        <v>0</v>
      </c>
      <c r="AO23" s="27" t="n">
        <v>0</v>
      </c>
      <c r="AP23" s="27" t="n">
        <v>0</v>
      </c>
      <c r="AQ23" s="27" t="n">
        <v>0</v>
      </c>
      <c r="AR23" s="27" t="n">
        <v>0</v>
      </c>
      <c r="AS23" s="27" t="n">
        <v>0</v>
      </c>
      <c r="AT23" s="27" t="n">
        <v>0</v>
      </c>
      <c r="AU23" s="27" t="n">
        <v>0</v>
      </c>
      <c r="AV23" s="27" t="n">
        <v>0</v>
      </c>
      <c r="AW23" s="27" t="n">
        <v>0</v>
      </c>
      <c r="AX23" s="27" t="n">
        <v>0</v>
      </c>
      <c r="AY23" s="27" t="n">
        <v>0</v>
      </c>
      <c r="AZ23" s="27" t="n">
        <v>0</v>
      </c>
      <c r="BA23" s="27" t="n">
        <v>0</v>
      </c>
      <c r="BB23" s="27" t="n">
        <v>0</v>
      </c>
      <c r="BC23" s="27" t="n">
        <v>0</v>
      </c>
      <c r="BD23" s="27" t="n">
        <v>0</v>
      </c>
      <c r="BE23" s="27" t="n">
        <v>0</v>
      </c>
      <c r="BF23" s="27" t="n">
        <v>0</v>
      </c>
      <c r="BG23" s="27" t="n">
        <v>0</v>
      </c>
      <c r="BH23" s="27" t="n">
        <v>0</v>
      </c>
      <c r="BI23" s="27" t="n">
        <v>0</v>
      </c>
      <c r="BJ23" s="27" t="n">
        <v>0</v>
      </c>
      <c r="BK23" s="27" t="n">
        <v>0</v>
      </c>
      <c r="BL23" s="27" t="n">
        <v>0</v>
      </c>
      <c r="BM23" s="27" t="n">
        <v>0</v>
      </c>
      <c r="BN23" s="27" t="n">
        <v>0</v>
      </c>
      <c r="BO23" s="27" t="n">
        <v>0</v>
      </c>
      <c r="BP23" s="27" t="n">
        <v>0</v>
      </c>
      <c r="BQ23" s="27" t="n">
        <v>0</v>
      </c>
      <c r="BR23" s="27" t="n">
        <v>0</v>
      </c>
      <c r="BS23" s="27" t="n">
        <v>0</v>
      </c>
      <c r="BT23" s="27" t="n">
        <v>0</v>
      </c>
      <c r="BU23" s="27" t="n">
        <v>0</v>
      </c>
      <c r="BV23" s="27" t="n">
        <v>0</v>
      </c>
      <c r="BW23" s="27" t="n">
        <v>0</v>
      </c>
      <c r="BX23" s="27" t="n">
        <v>0</v>
      </c>
      <c r="BY23" s="27" t="n">
        <v>0</v>
      </c>
      <c r="BZ23" s="27" t="n">
        <v>0</v>
      </c>
      <c r="CA23" s="27" t="n">
        <v>0</v>
      </c>
      <c r="CB23" s="27" t="n">
        <v>0</v>
      </c>
      <c r="CC23" s="27" t="n">
        <v>0</v>
      </c>
      <c r="CD23" s="27" t="n">
        <v>0</v>
      </c>
      <c r="CE23" s="27" t="n">
        <v>0</v>
      </c>
      <c r="CF23" s="27" t="n">
        <v>0</v>
      </c>
      <c r="CG23" s="27" t="n">
        <v>0</v>
      </c>
      <c r="CH23" s="27" t="n">
        <v>0</v>
      </c>
      <c r="CI23" s="27" t="n">
        <v>0</v>
      </c>
      <c r="CJ23" s="27" t="n">
        <v>0</v>
      </c>
      <c r="CK23" s="27" t="n">
        <v>0</v>
      </c>
      <c r="CL23" s="27" t="n">
        <v>0</v>
      </c>
      <c r="CM23" s="27" t="n">
        <v>0</v>
      </c>
      <c r="CN23" s="27" t="n">
        <v>0</v>
      </c>
      <c r="CO23" s="27" t="n">
        <v>0</v>
      </c>
      <c r="CP23" s="27" t="n">
        <v>0</v>
      </c>
      <c r="CQ23" s="27" t="n">
        <v>0</v>
      </c>
      <c r="CR23" s="27" t="n">
        <v>0</v>
      </c>
      <c r="CS23" s="27" t="n">
        <v>0</v>
      </c>
      <c r="CT23" s="27" t="n">
        <v>0</v>
      </c>
      <c r="CU23" s="27" t="n">
        <v>0</v>
      </c>
      <c r="CV23" s="27" t="n">
        <v>0</v>
      </c>
      <c r="CW23" s="27" t="n">
        <v>0</v>
      </c>
      <c r="CX23" s="27" t="n">
        <v>0</v>
      </c>
      <c r="CY23" s="27" t="n">
        <v>0</v>
      </c>
      <c r="CZ23" s="27" t="n">
        <v>0</v>
      </c>
      <c r="DA23" s="27" t="n">
        <v>0</v>
      </c>
    </row>
    <row r="24">
      <c r="A24" t="inlineStr">
        <is>
          <t>TSP-402</t>
        </is>
      </c>
      <c r="B24" s="27" t="n">
        <v>0</v>
      </c>
      <c r="C24" s="27" t="n">
        <v>0</v>
      </c>
      <c r="D24" s="27" t="n">
        <v>0</v>
      </c>
      <c r="E24" s="27" t="n">
        <v>0</v>
      </c>
      <c r="F24" s="27" t="n">
        <v>0</v>
      </c>
      <c r="G24" s="27" t="n">
        <v>0</v>
      </c>
      <c r="H24" s="27" t="n">
        <v>0</v>
      </c>
      <c r="I24" s="27" t="n">
        <v>0</v>
      </c>
      <c r="J24" s="27" t="n">
        <v>0</v>
      </c>
      <c r="K24" s="27" t="n">
        <v>0</v>
      </c>
      <c r="L24" s="27" t="n">
        <v>0</v>
      </c>
      <c r="M24" s="27" t="n">
        <v>0</v>
      </c>
      <c r="N24" s="27" t="n">
        <v>0</v>
      </c>
      <c r="O24" s="27" t="n">
        <v>0</v>
      </c>
      <c r="P24" s="27" t="n">
        <v>0</v>
      </c>
      <c r="Q24" s="27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27" t="n">
        <v>0</v>
      </c>
      <c r="AB24" s="27" t="n">
        <v>0</v>
      </c>
      <c r="AC24" s="27" t="n">
        <v>0</v>
      </c>
      <c r="AD24" s="27" t="n">
        <v>0</v>
      </c>
      <c r="AE24" s="27" t="n">
        <v>0</v>
      </c>
      <c r="AF24" s="27" t="n">
        <v>0</v>
      </c>
      <c r="AG24" s="27" t="n">
        <v>0</v>
      </c>
      <c r="AH24" s="27" t="n">
        <v>0</v>
      </c>
      <c r="AI24" s="27" t="n">
        <v>0</v>
      </c>
      <c r="AJ24" s="27" t="n">
        <v>0</v>
      </c>
      <c r="AK24" s="27" t="n">
        <v>0</v>
      </c>
      <c r="AL24" s="27" t="n">
        <v>0</v>
      </c>
      <c r="AM24" s="27" t="n">
        <v>0</v>
      </c>
      <c r="AN24" s="27" t="n">
        <v>0</v>
      </c>
      <c r="AO24" s="27" t="n">
        <v>0</v>
      </c>
      <c r="AP24" s="27" t="n">
        <v>0</v>
      </c>
      <c r="AQ24" s="27" t="n">
        <v>0</v>
      </c>
      <c r="AR24" s="27" t="n">
        <v>0</v>
      </c>
      <c r="AS24" s="27" t="n">
        <v>0</v>
      </c>
      <c r="AT24" s="27" t="n">
        <v>0</v>
      </c>
      <c r="AU24" s="27" t="n">
        <v>0</v>
      </c>
      <c r="AV24" s="27" t="n">
        <v>0</v>
      </c>
      <c r="AW24" s="27" t="n">
        <v>0</v>
      </c>
      <c r="AX24" s="27" t="n">
        <v>0</v>
      </c>
      <c r="AY24" s="27" t="n">
        <v>0</v>
      </c>
      <c r="AZ24" s="27" t="n">
        <v>0</v>
      </c>
      <c r="BA24" s="27" t="n">
        <v>0</v>
      </c>
      <c r="BB24" s="27" t="n">
        <v>0</v>
      </c>
      <c r="BC24" s="27" t="n">
        <v>0</v>
      </c>
      <c r="BD24" s="27" t="n">
        <v>0</v>
      </c>
      <c r="BE24" s="27" t="n">
        <v>0</v>
      </c>
      <c r="BF24" s="27" t="n">
        <v>0</v>
      </c>
      <c r="BG24" s="27" t="n">
        <v>0</v>
      </c>
      <c r="BH24" s="27" t="n">
        <v>0</v>
      </c>
      <c r="BI24" s="27" t="n">
        <v>0</v>
      </c>
      <c r="BJ24" s="27" t="n">
        <v>0</v>
      </c>
      <c r="BK24" s="27" t="n">
        <v>0</v>
      </c>
      <c r="BL24" s="27" t="n">
        <v>0</v>
      </c>
      <c r="BM24" s="27" t="n">
        <v>0</v>
      </c>
      <c r="BN24" s="27" t="n">
        <v>0</v>
      </c>
      <c r="BO24" s="27" t="n">
        <v>0</v>
      </c>
      <c r="BP24" s="27" t="n">
        <v>0</v>
      </c>
      <c r="BQ24" s="27" t="n">
        <v>0</v>
      </c>
      <c r="BR24" s="27" t="n">
        <v>0</v>
      </c>
      <c r="BS24" s="27" t="n">
        <v>0</v>
      </c>
      <c r="BT24" s="27" t="n">
        <v>0</v>
      </c>
      <c r="BU24" s="27" t="n">
        <v>0</v>
      </c>
      <c r="BV24" s="27" t="n">
        <v>0</v>
      </c>
      <c r="BW24" s="27" t="n">
        <v>0</v>
      </c>
      <c r="BX24" s="27" t="n">
        <v>0</v>
      </c>
      <c r="BY24" s="27" t="n">
        <v>0</v>
      </c>
      <c r="BZ24" s="27" t="n">
        <v>0</v>
      </c>
      <c r="CA24" s="27" t="n">
        <v>0</v>
      </c>
      <c r="CB24" s="27" t="n">
        <v>0</v>
      </c>
      <c r="CC24" s="27" t="n">
        <v>0</v>
      </c>
      <c r="CD24" s="27" t="n">
        <v>0</v>
      </c>
      <c r="CE24" s="27" t="n">
        <v>0</v>
      </c>
      <c r="CF24" s="27" t="n">
        <v>0</v>
      </c>
      <c r="CG24" s="27" t="n">
        <v>0</v>
      </c>
      <c r="CH24" s="27" t="n">
        <v>0</v>
      </c>
      <c r="CI24" s="27" t="n">
        <v>0</v>
      </c>
      <c r="CJ24" s="27" t="n">
        <v>0</v>
      </c>
      <c r="CK24" s="27" t="n">
        <v>0</v>
      </c>
      <c r="CL24" s="27" t="n">
        <v>0</v>
      </c>
      <c r="CM24" s="27" t="n">
        <v>0</v>
      </c>
      <c r="CN24" s="27" t="n">
        <v>0</v>
      </c>
      <c r="CO24" s="27" t="n">
        <v>0</v>
      </c>
      <c r="CP24" s="27" t="n">
        <v>0</v>
      </c>
      <c r="CQ24" s="27" t="n">
        <v>0</v>
      </c>
      <c r="CR24" s="27" t="n">
        <v>0</v>
      </c>
      <c r="CS24" s="27" t="n">
        <v>0</v>
      </c>
      <c r="CT24" s="27" t="n">
        <v>0</v>
      </c>
      <c r="CU24" s="27" t="n">
        <v>0</v>
      </c>
      <c r="CV24" s="27" t="n">
        <v>0</v>
      </c>
      <c r="CW24" s="27" t="n">
        <v>0</v>
      </c>
      <c r="CX24" s="27" t="n">
        <v>0</v>
      </c>
      <c r="CY24" s="27" t="n">
        <v>0</v>
      </c>
      <c r="CZ24" s="27" t="n">
        <v>0</v>
      </c>
      <c r="DA24" s="27" t="n">
        <v>0</v>
      </c>
    </row>
    <row r="25">
      <c r="A25" t="inlineStr">
        <is>
          <t>TSP-403</t>
        </is>
      </c>
      <c r="B25" s="27" t="n">
        <v>0</v>
      </c>
      <c r="C25" s="27" t="n">
        <v>0</v>
      </c>
      <c r="D25" s="27" t="n">
        <v>0</v>
      </c>
      <c r="E25" s="27" t="n">
        <v>0</v>
      </c>
      <c r="F25" s="27" t="n">
        <v>0</v>
      </c>
      <c r="G25" s="27" t="n">
        <v>0</v>
      </c>
      <c r="H25" s="27" t="n">
        <v>0</v>
      </c>
      <c r="I25" s="27" t="n">
        <v>0</v>
      </c>
      <c r="J25" s="27" t="n">
        <v>0</v>
      </c>
      <c r="K25" s="27" t="n">
        <v>0</v>
      </c>
      <c r="L25" s="27" t="n">
        <v>0</v>
      </c>
      <c r="M25" s="27" t="n">
        <v>0</v>
      </c>
      <c r="N25" s="27" t="n">
        <v>0</v>
      </c>
      <c r="O25" s="27" t="n">
        <v>0</v>
      </c>
      <c r="P25" s="27" t="n">
        <v>0</v>
      </c>
      <c r="Q25" s="27" t="n">
        <v>0</v>
      </c>
      <c r="R25" s="27" t="n">
        <v>0</v>
      </c>
      <c r="S25" s="27" t="n">
        <v>0</v>
      </c>
      <c r="T25" s="27" t="n">
        <v>0</v>
      </c>
      <c r="U25" s="27" t="n">
        <v>0</v>
      </c>
      <c r="V25" s="27" t="n">
        <v>0</v>
      </c>
      <c r="W25" s="27" t="n">
        <v>0</v>
      </c>
      <c r="X25" s="27" t="n">
        <v>0</v>
      </c>
      <c r="Y25" s="27" t="n">
        <v>0</v>
      </c>
      <c r="Z25" s="27" t="n">
        <v>0</v>
      </c>
      <c r="AA25" s="27" t="n">
        <v>0</v>
      </c>
      <c r="AB25" s="27" t="n">
        <v>0</v>
      </c>
      <c r="AC25" s="27" t="n">
        <v>0</v>
      </c>
      <c r="AD25" s="27" t="n">
        <v>0</v>
      </c>
      <c r="AE25" s="27" t="n">
        <v>0</v>
      </c>
      <c r="AF25" s="27" t="n">
        <v>0</v>
      </c>
      <c r="AG25" s="27" t="n">
        <v>0</v>
      </c>
      <c r="AH25" s="27" t="n">
        <v>0</v>
      </c>
      <c r="AI25" s="27" t="n">
        <v>0</v>
      </c>
      <c r="AJ25" s="27" t="n">
        <v>0</v>
      </c>
      <c r="AK25" s="27" t="n">
        <v>0</v>
      </c>
      <c r="AL25" s="27" t="n">
        <v>0</v>
      </c>
      <c r="AM25" s="27" t="n">
        <v>0</v>
      </c>
      <c r="AN25" s="27" t="n">
        <v>0</v>
      </c>
      <c r="AO25" s="27" t="n">
        <v>0</v>
      </c>
      <c r="AP25" s="27" t="n">
        <v>0</v>
      </c>
      <c r="AQ25" s="27" t="n">
        <v>0</v>
      </c>
      <c r="AR25" s="27" t="n">
        <v>0</v>
      </c>
      <c r="AS25" s="27" t="n">
        <v>0</v>
      </c>
      <c r="AT25" s="27" t="n">
        <v>0</v>
      </c>
      <c r="AU25" s="27" t="n">
        <v>0</v>
      </c>
      <c r="AV25" s="27" t="n">
        <v>0</v>
      </c>
      <c r="AW25" s="27" t="n">
        <v>0</v>
      </c>
      <c r="AX25" s="27" t="n">
        <v>0</v>
      </c>
      <c r="AY25" s="27" t="n">
        <v>0</v>
      </c>
      <c r="AZ25" s="27" t="n">
        <v>0</v>
      </c>
      <c r="BA25" s="27" t="n">
        <v>0</v>
      </c>
      <c r="BB25" s="27" t="n">
        <v>0</v>
      </c>
      <c r="BC25" s="27" t="n">
        <v>0</v>
      </c>
      <c r="BD25" s="27" t="n">
        <v>0</v>
      </c>
      <c r="BE25" s="27" t="n">
        <v>0</v>
      </c>
      <c r="BF25" s="27" t="n">
        <v>0</v>
      </c>
      <c r="BG25" s="27" t="n">
        <v>0</v>
      </c>
      <c r="BH25" s="27" t="n">
        <v>0</v>
      </c>
      <c r="BI25" s="27" t="n">
        <v>0</v>
      </c>
      <c r="BJ25" s="27" t="n">
        <v>0</v>
      </c>
      <c r="BK25" s="27" t="n">
        <v>0</v>
      </c>
      <c r="BL25" s="27" t="n">
        <v>0</v>
      </c>
      <c r="BM25" s="27" t="n">
        <v>0</v>
      </c>
      <c r="BN25" s="27" t="n">
        <v>0</v>
      </c>
      <c r="BO25" s="27" t="n">
        <v>0</v>
      </c>
      <c r="BP25" s="27" t="n">
        <v>0</v>
      </c>
      <c r="BQ25" s="27" t="n">
        <v>0</v>
      </c>
      <c r="BR25" s="27" t="n">
        <v>0</v>
      </c>
      <c r="BS25" s="27" t="n">
        <v>0</v>
      </c>
      <c r="BT25" s="27" t="n">
        <v>0</v>
      </c>
      <c r="BU25" s="27" t="n">
        <v>0</v>
      </c>
      <c r="BV25" s="27" t="n">
        <v>0</v>
      </c>
      <c r="BW25" s="27" t="n">
        <v>0</v>
      </c>
      <c r="BX25" s="27" t="n">
        <v>0</v>
      </c>
      <c r="BY25" s="27" t="n">
        <v>0</v>
      </c>
      <c r="BZ25" s="27" t="n">
        <v>0</v>
      </c>
      <c r="CA25" s="27" t="n">
        <v>0</v>
      </c>
      <c r="CB25" s="27" t="n">
        <v>0</v>
      </c>
      <c r="CC25" s="27" t="n">
        <v>0</v>
      </c>
      <c r="CD25" s="27" t="n">
        <v>0</v>
      </c>
      <c r="CE25" s="27" t="n">
        <v>0</v>
      </c>
      <c r="CF25" s="27" t="n">
        <v>0</v>
      </c>
      <c r="CG25" s="27" t="n">
        <v>0</v>
      </c>
      <c r="CH25" s="27" t="n">
        <v>0</v>
      </c>
      <c r="CI25" s="27" t="n">
        <v>0</v>
      </c>
      <c r="CJ25" s="27" t="n">
        <v>0</v>
      </c>
      <c r="CK25" s="27" t="n">
        <v>0</v>
      </c>
      <c r="CL25" s="27" t="n">
        <v>0</v>
      </c>
      <c r="CM25" s="27" t="n">
        <v>0</v>
      </c>
      <c r="CN25" s="27" t="n">
        <v>0</v>
      </c>
      <c r="CO25" s="27" t="n">
        <v>0</v>
      </c>
      <c r="CP25" s="27" t="n">
        <v>0</v>
      </c>
      <c r="CQ25" s="27" t="n">
        <v>0</v>
      </c>
      <c r="CR25" s="27" t="n">
        <v>0</v>
      </c>
      <c r="CS25" s="27" t="n">
        <v>0</v>
      </c>
      <c r="CT25" s="27" t="n">
        <v>0</v>
      </c>
      <c r="CU25" s="27" t="n">
        <v>0</v>
      </c>
      <c r="CV25" s="27" t="n">
        <v>0</v>
      </c>
      <c r="CW25" s="27" t="n">
        <v>0</v>
      </c>
      <c r="CX25" s="27" t="n">
        <v>0</v>
      </c>
      <c r="CY25" s="27" t="n">
        <v>0</v>
      </c>
      <c r="CZ25" s="27" t="n">
        <v>0</v>
      </c>
      <c r="DA25" s="27" t="n">
        <v>0</v>
      </c>
    </row>
    <row r="26">
      <c r="A26" t="inlineStr">
        <is>
          <t>TSP-404</t>
        </is>
      </c>
      <c r="B26" s="27" t="n">
        <v>0</v>
      </c>
      <c r="C26" s="27" t="n">
        <v>0</v>
      </c>
      <c r="D26" s="27" t="n">
        <v>0</v>
      </c>
      <c r="E26" s="27" t="n">
        <v>0</v>
      </c>
      <c r="F26" s="27" t="n">
        <v>0</v>
      </c>
      <c r="G26" s="27" t="n">
        <v>0</v>
      </c>
      <c r="H26" s="27" t="n">
        <v>0</v>
      </c>
      <c r="I26" s="27" t="n">
        <v>0</v>
      </c>
      <c r="J26" s="27" t="n">
        <v>0</v>
      </c>
      <c r="K26" s="27" t="n">
        <v>0</v>
      </c>
      <c r="L26" s="27" t="n">
        <v>0</v>
      </c>
      <c r="M26" s="27" t="n">
        <v>0</v>
      </c>
      <c r="N26" s="27" t="n">
        <v>0</v>
      </c>
      <c r="O26" s="27" t="n">
        <v>0</v>
      </c>
      <c r="P26" s="27" t="n">
        <v>0</v>
      </c>
      <c r="Q26" s="27" t="n">
        <v>0</v>
      </c>
      <c r="R26" s="27" t="n">
        <v>0</v>
      </c>
      <c r="S26" s="27" t="n">
        <v>0</v>
      </c>
      <c r="T26" s="27" t="n">
        <v>0</v>
      </c>
      <c r="U26" s="27" t="n">
        <v>0</v>
      </c>
      <c r="V26" s="27" t="n">
        <v>0</v>
      </c>
      <c r="W26" s="27" t="n">
        <v>0</v>
      </c>
      <c r="X26" s="27" t="n">
        <v>0</v>
      </c>
      <c r="Y26" s="27" t="n">
        <v>0</v>
      </c>
      <c r="Z26" s="27" t="n">
        <v>0</v>
      </c>
      <c r="AA26" s="27" t="n">
        <v>0</v>
      </c>
      <c r="AB26" s="27" t="n">
        <v>0</v>
      </c>
      <c r="AC26" s="27" t="n">
        <v>0</v>
      </c>
      <c r="AD26" s="27" t="n">
        <v>0</v>
      </c>
      <c r="AE26" s="27" t="n">
        <v>0</v>
      </c>
      <c r="AF26" s="27" t="n">
        <v>0</v>
      </c>
      <c r="AG26" s="27" t="n">
        <v>0</v>
      </c>
      <c r="AH26" s="27" t="n">
        <v>0</v>
      </c>
      <c r="AI26" s="27" t="n">
        <v>0</v>
      </c>
      <c r="AJ26" s="27" t="n">
        <v>0</v>
      </c>
      <c r="AK26" s="27" t="n">
        <v>0</v>
      </c>
      <c r="AL26" s="27" t="n">
        <v>0</v>
      </c>
      <c r="AM26" s="27" t="n">
        <v>0</v>
      </c>
      <c r="AN26" s="27" t="n">
        <v>0</v>
      </c>
      <c r="AO26" s="27" t="n">
        <v>0</v>
      </c>
      <c r="AP26" s="27" t="n">
        <v>0</v>
      </c>
      <c r="AQ26" s="27" t="n">
        <v>0</v>
      </c>
      <c r="AR26" s="27" t="n">
        <v>0</v>
      </c>
      <c r="AS26" s="27" t="n">
        <v>0</v>
      </c>
      <c r="AT26" s="27" t="n">
        <v>0</v>
      </c>
      <c r="AU26" s="27" t="n">
        <v>0</v>
      </c>
      <c r="AV26" s="27" t="n">
        <v>0</v>
      </c>
      <c r="AW26" s="27" t="n">
        <v>0</v>
      </c>
      <c r="AX26" s="27" t="n">
        <v>0</v>
      </c>
      <c r="AY26" s="27" t="n">
        <v>0</v>
      </c>
      <c r="AZ26" s="27" t="n">
        <v>0</v>
      </c>
      <c r="BA26" s="27" t="n">
        <v>0</v>
      </c>
      <c r="BB26" s="27" t="n">
        <v>0</v>
      </c>
      <c r="BC26" s="27" t="n">
        <v>0</v>
      </c>
      <c r="BD26" s="27" t="n">
        <v>0</v>
      </c>
      <c r="BE26" s="27" t="n">
        <v>0</v>
      </c>
      <c r="BF26" s="27" t="n">
        <v>0</v>
      </c>
      <c r="BG26" s="27" t="n">
        <v>0</v>
      </c>
      <c r="BH26" s="27" t="n">
        <v>0</v>
      </c>
      <c r="BI26" s="27" t="n">
        <v>0</v>
      </c>
      <c r="BJ26" s="27" t="n">
        <v>0</v>
      </c>
      <c r="BK26" s="27" t="n">
        <v>0</v>
      </c>
      <c r="BL26" s="27" t="n">
        <v>0</v>
      </c>
      <c r="BM26" s="27" t="n">
        <v>0</v>
      </c>
      <c r="BN26" s="27" t="n">
        <v>0</v>
      </c>
      <c r="BO26" s="27" t="n">
        <v>0</v>
      </c>
      <c r="BP26" s="27" t="n">
        <v>0</v>
      </c>
      <c r="BQ26" s="27" t="n">
        <v>0</v>
      </c>
      <c r="BR26" s="27" t="n">
        <v>0</v>
      </c>
      <c r="BS26" s="27" t="n">
        <v>0</v>
      </c>
      <c r="BT26" s="27" t="n">
        <v>0</v>
      </c>
      <c r="BU26" s="27" t="n">
        <v>0</v>
      </c>
      <c r="BV26" s="27" t="n">
        <v>0</v>
      </c>
      <c r="BW26" s="27" t="n">
        <v>0</v>
      </c>
      <c r="BX26" s="27" t="n">
        <v>0</v>
      </c>
      <c r="BY26" s="27" t="n">
        <v>0</v>
      </c>
      <c r="BZ26" s="27" t="n">
        <v>0</v>
      </c>
      <c r="CA26" s="27" t="n">
        <v>0</v>
      </c>
      <c r="CB26" s="27" t="n">
        <v>0</v>
      </c>
      <c r="CC26" s="27" t="n">
        <v>0</v>
      </c>
      <c r="CD26" s="27" t="n">
        <v>0</v>
      </c>
      <c r="CE26" s="27" t="n">
        <v>0</v>
      </c>
      <c r="CF26" s="27" t="n">
        <v>0</v>
      </c>
      <c r="CG26" s="27" t="n">
        <v>0</v>
      </c>
      <c r="CH26" s="27" t="n">
        <v>0</v>
      </c>
      <c r="CI26" s="27" t="n">
        <v>0</v>
      </c>
      <c r="CJ26" s="27" t="n">
        <v>0</v>
      </c>
      <c r="CK26" s="27" t="n">
        <v>0</v>
      </c>
      <c r="CL26" s="27" t="n">
        <v>0</v>
      </c>
      <c r="CM26" s="27" t="n">
        <v>0</v>
      </c>
      <c r="CN26" s="27" t="n">
        <v>0</v>
      </c>
      <c r="CO26" s="27" t="n">
        <v>0</v>
      </c>
      <c r="CP26" s="27" t="n">
        <v>0</v>
      </c>
      <c r="CQ26" s="27" t="n">
        <v>0</v>
      </c>
      <c r="CR26" s="27" t="n">
        <v>0</v>
      </c>
      <c r="CS26" s="27" t="n">
        <v>0</v>
      </c>
      <c r="CT26" s="27" t="n">
        <v>0</v>
      </c>
      <c r="CU26" s="27" t="n">
        <v>0</v>
      </c>
      <c r="CV26" s="27" t="n">
        <v>0</v>
      </c>
      <c r="CW26" s="27" t="n">
        <v>0</v>
      </c>
      <c r="CX26" s="27" t="n">
        <v>0</v>
      </c>
      <c r="CY26" s="27" t="n">
        <v>0</v>
      </c>
      <c r="CZ26" s="27" t="n">
        <v>0</v>
      </c>
      <c r="DA26" s="27" t="n">
        <v>0</v>
      </c>
    </row>
    <row r="27">
      <c r="A27" t="inlineStr">
        <is>
          <t>TSP-405</t>
        </is>
      </c>
      <c r="B27" s="27" t="n">
        <v>0</v>
      </c>
      <c r="C27" s="27" t="n">
        <v>0</v>
      </c>
      <c r="D27" s="27" t="n">
        <v>0</v>
      </c>
      <c r="E27" s="27" t="n">
        <v>0</v>
      </c>
      <c r="F27" s="27" t="n">
        <v>0</v>
      </c>
      <c r="G27" s="27" t="n">
        <v>0</v>
      </c>
      <c r="H27" s="27" t="n">
        <v>0</v>
      </c>
      <c r="I27" s="27" t="n">
        <v>0</v>
      </c>
      <c r="J27" s="27" t="n">
        <v>0</v>
      </c>
      <c r="K27" s="27" t="n">
        <v>0</v>
      </c>
      <c r="L27" s="27" t="n">
        <v>0</v>
      </c>
      <c r="M27" s="27" t="n">
        <v>0</v>
      </c>
      <c r="N27" s="27" t="n">
        <v>0</v>
      </c>
      <c r="O27" s="27" t="n">
        <v>0</v>
      </c>
      <c r="P27" s="27" t="n">
        <v>0</v>
      </c>
      <c r="Q27" s="27" t="n">
        <v>0</v>
      </c>
      <c r="R27" s="27" t="n">
        <v>0</v>
      </c>
      <c r="S27" s="27" t="n">
        <v>0</v>
      </c>
      <c r="T27" s="27" t="n">
        <v>0</v>
      </c>
      <c r="U27" s="27" t="n">
        <v>0</v>
      </c>
      <c r="V27" s="27" t="n">
        <v>0</v>
      </c>
      <c r="W27" s="27" t="n">
        <v>0</v>
      </c>
      <c r="X27" s="27" t="n">
        <v>0</v>
      </c>
      <c r="Y27" s="27" t="n">
        <v>0</v>
      </c>
      <c r="Z27" s="27" t="n">
        <v>0</v>
      </c>
      <c r="AA27" s="27" t="n">
        <v>0</v>
      </c>
      <c r="AB27" s="27" t="n">
        <v>0</v>
      </c>
      <c r="AC27" s="27" t="n">
        <v>0</v>
      </c>
      <c r="AD27" s="27" t="n">
        <v>0</v>
      </c>
      <c r="AE27" s="27" t="n">
        <v>0</v>
      </c>
      <c r="AF27" s="27" t="n">
        <v>0</v>
      </c>
      <c r="AG27" s="27" t="n">
        <v>0</v>
      </c>
      <c r="AH27" s="27" t="n">
        <v>0</v>
      </c>
      <c r="AI27" s="27" t="n">
        <v>0</v>
      </c>
      <c r="AJ27" s="27" t="n">
        <v>0</v>
      </c>
      <c r="AK27" s="27" t="n">
        <v>0</v>
      </c>
      <c r="AL27" s="27" t="n">
        <v>0</v>
      </c>
      <c r="AM27" s="27" t="n">
        <v>0</v>
      </c>
      <c r="AN27" s="27" t="n">
        <v>0</v>
      </c>
      <c r="AO27" s="27" t="n">
        <v>0</v>
      </c>
      <c r="AP27" s="27" t="n">
        <v>0</v>
      </c>
      <c r="AQ27" s="27" t="n">
        <v>0</v>
      </c>
      <c r="AR27" s="27" t="n">
        <v>0</v>
      </c>
      <c r="AS27" s="27" t="n">
        <v>0</v>
      </c>
      <c r="AT27" s="27" t="n">
        <v>0</v>
      </c>
      <c r="AU27" s="27" t="n">
        <v>0</v>
      </c>
      <c r="AV27" s="27" t="n">
        <v>0</v>
      </c>
      <c r="AW27" s="27" t="n">
        <v>0</v>
      </c>
      <c r="AX27" s="27" t="n">
        <v>0</v>
      </c>
      <c r="AY27" s="27" t="n">
        <v>0</v>
      </c>
      <c r="AZ27" s="27" t="n">
        <v>0</v>
      </c>
      <c r="BA27" s="27" t="n">
        <v>0</v>
      </c>
      <c r="BB27" s="27" t="n">
        <v>0</v>
      </c>
      <c r="BC27" s="27" t="n">
        <v>0</v>
      </c>
      <c r="BD27" s="27" t="n">
        <v>0</v>
      </c>
      <c r="BE27" s="27" t="n">
        <v>0</v>
      </c>
      <c r="BF27" s="27" t="n">
        <v>0</v>
      </c>
      <c r="BG27" s="27" t="n">
        <v>0</v>
      </c>
      <c r="BH27" s="27" t="n">
        <v>0</v>
      </c>
      <c r="BI27" s="27" t="n">
        <v>0</v>
      </c>
      <c r="BJ27" s="27" t="n">
        <v>0</v>
      </c>
      <c r="BK27" s="27" t="n">
        <v>0</v>
      </c>
      <c r="BL27" s="27" t="n">
        <v>0</v>
      </c>
      <c r="BM27" s="27" t="n">
        <v>0</v>
      </c>
      <c r="BN27" s="27" t="n">
        <v>0</v>
      </c>
      <c r="BO27" s="27" t="n">
        <v>0</v>
      </c>
      <c r="BP27" s="27" t="n">
        <v>0</v>
      </c>
      <c r="BQ27" s="27" t="n">
        <v>0</v>
      </c>
      <c r="BR27" s="27" t="n">
        <v>0</v>
      </c>
      <c r="BS27" s="27" t="n">
        <v>0</v>
      </c>
      <c r="BT27" s="27" t="n">
        <v>0</v>
      </c>
      <c r="BU27" s="27" t="n">
        <v>0</v>
      </c>
      <c r="BV27" s="27" t="n">
        <v>0</v>
      </c>
      <c r="BW27" s="27" t="n">
        <v>0</v>
      </c>
      <c r="BX27" s="27" t="n">
        <v>0</v>
      </c>
      <c r="BY27" s="27" t="n">
        <v>0</v>
      </c>
      <c r="BZ27" s="27" t="n">
        <v>0</v>
      </c>
      <c r="CA27" s="27" t="n">
        <v>0</v>
      </c>
      <c r="CB27" s="27" t="n">
        <v>0</v>
      </c>
      <c r="CC27" s="27" t="n">
        <v>0</v>
      </c>
      <c r="CD27" s="27" t="n">
        <v>0</v>
      </c>
      <c r="CE27" s="27" t="n">
        <v>0</v>
      </c>
      <c r="CF27" s="27" t="n">
        <v>0</v>
      </c>
      <c r="CG27" s="27" t="n">
        <v>0</v>
      </c>
      <c r="CH27" s="27" t="n">
        <v>0</v>
      </c>
      <c r="CI27" s="27" t="n">
        <v>0</v>
      </c>
      <c r="CJ27" s="27" t="n">
        <v>0</v>
      </c>
      <c r="CK27" s="27" t="n">
        <v>0</v>
      </c>
      <c r="CL27" s="27" t="n">
        <v>0</v>
      </c>
      <c r="CM27" s="27" t="n">
        <v>0</v>
      </c>
      <c r="CN27" s="27" t="n">
        <v>0</v>
      </c>
      <c r="CO27" s="27" t="n">
        <v>0</v>
      </c>
      <c r="CP27" s="27" t="n">
        <v>0</v>
      </c>
      <c r="CQ27" s="27" t="n">
        <v>0</v>
      </c>
      <c r="CR27" s="27" t="n">
        <v>0</v>
      </c>
      <c r="CS27" s="27" t="n">
        <v>0</v>
      </c>
      <c r="CT27" s="27" t="n">
        <v>0</v>
      </c>
      <c r="CU27" s="27" t="n">
        <v>0</v>
      </c>
      <c r="CV27" s="27" t="n">
        <v>0</v>
      </c>
      <c r="CW27" s="27" t="n">
        <v>0</v>
      </c>
      <c r="CX27" s="27" t="n">
        <v>0</v>
      </c>
      <c r="CY27" s="27" t="n">
        <v>0</v>
      </c>
      <c r="CZ27" s="27" t="n">
        <v>0</v>
      </c>
      <c r="DA27" s="27" t="n">
        <v>0</v>
      </c>
    </row>
    <row r="28">
      <c r="A28" t="inlineStr">
        <is>
          <t>TSP-544</t>
        </is>
      </c>
      <c r="B28" s="27" t="n">
        <v>0</v>
      </c>
      <c r="C28" s="27" t="n">
        <v>0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0</v>
      </c>
      <c r="I28" s="27" t="n">
        <v>0</v>
      </c>
      <c r="J28" s="27" t="n">
        <v>0</v>
      </c>
      <c r="K28" s="27" t="n">
        <v>0</v>
      </c>
      <c r="L28" s="27" t="n">
        <v>0</v>
      </c>
      <c r="M28" s="27" t="n">
        <v>0</v>
      </c>
      <c r="N28" s="27" t="n">
        <v>0</v>
      </c>
      <c r="O28" s="27" t="n">
        <v>0</v>
      </c>
      <c r="P28" s="27" t="n">
        <v>0</v>
      </c>
      <c r="Q28" s="27" t="n">
        <v>0</v>
      </c>
      <c r="R28" s="27" t="n">
        <v>0</v>
      </c>
      <c r="S28" s="27" t="n">
        <v>0</v>
      </c>
      <c r="T28" s="27" t="n">
        <v>0</v>
      </c>
      <c r="U28" s="27" t="n">
        <v>0</v>
      </c>
      <c r="V28" s="27" t="n">
        <v>0</v>
      </c>
      <c r="W28" s="27" t="n">
        <v>0</v>
      </c>
      <c r="X28" s="27" t="n">
        <v>0</v>
      </c>
      <c r="Y28" s="27" t="n">
        <v>0</v>
      </c>
      <c r="Z28" s="27" t="n">
        <v>0</v>
      </c>
      <c r="AA28" s="27" t="n">
        <v>0</v>
      </c>
      <c r="AB28" s="27" t="n">
        <v>0</v>
      </c>
      <c r="AC28" s="27" t="n">
        <v>0</v>
      </c>
      <c r="AD28" s="27" t="n">
        <v>0</v>
      </c>
      <c r="AE28" s="27" t="n">
        <v>0</v>
      </c>
      <c r="AF28" s="27" t="n">
        <v>0</v>
      </c>
      <c r="AG28" s="27" t="n">
        <v>0</v>
      </c>
      <c r="AH28" s="27" t="n">
        <v>0</v>
      </c>
      <c r="AI28" s="27" t="n">
        <v>0</v>
      </c>
      <c r="AJ28" s="27" t="n">
        <v>0</v>
      </c>
      <c r="AK28" s="27" t="n">
        <v>0</v>
      </c>
      <c r="AL28" s="27" t="n">
        <v>0</v>
      </c>
      <c r="AM28" s="27" t="n">
        <v>0</v>
      </c>
      <c r="AN28" s="27" t="n">
        <v>0</v>
      </c>
      <c r="AO28" s="27" t="n">
        <v>0</v>
      </c>
      <c r="AP28" s="27" t="n">
        <v>0</v>
      </c>
      <c r="AQ28" s="27" t="n">
        <v>0</v>
      </c>
      <c r="AR28" s="27" t="n">
        <v>0</v>
      </c>
      <c r="AS28" s="27" t="n">
        <v>0</v>
      </c>
      <c r="AT28" s="27" t="n">
        <v>0</v>
      </c>
      <c r="AU28" s="27" t="n">
        <v>0</v>
      </c>
      <c r="AV28" s="27" t="n">
        <v>0</v>
      </c>
      <c r="AW28" s="27" t="n">
        <v>0</v>
      </c>
      <c r="AX28" s="27" t="n">
        <v>0</v>
      </c>
      <c r="AY28" s="27" t="n">
        <v>0</v>
      </c>
      <c r="AZ28" s="27" t="n">
        <v>0</v>
      </c>
      <c r="BA28" s="27" t="n">
        <v>0</v>
      </c>
      <c r="BB28" s="27" t="n">
        <v>0</v>
      </c>
      <c r="BC28" s="27" t="n">
        <v>0</v>
      </c>
      <c r="BD28" s="27" t="n">
        <v>0</v>
      </c>
      <c r="BE28" s="27" t="n">
        <v>0</v>
      </c>
      <c r="BF28" s="27" t="n">
        <v>0</v>
      </c>
      <c r="BG28" s="27" t="n">
        <v>0</v>
      </c>
      <c r="BH28" s="27" t="n">
        <v>0</v>
      </c>
      <c r="BI28" s="27" t="n">
        <v>0</v>
      </c>
      <c r="BJ28" s="27" t="n">
        <v>0</v>
      </c>
      <c r="BK28" s="27" t="n">
        <v>0</v>
      </c>
      <c r="BL28" s="27" t="n">
        <v>0</v>
      </c>
      <c r="BM28" s="27" t="n">
        <v>0</v>
      </c>
      <c r="BN28" s="27" t="n">
        <v>0</v>
      </c>
      <c r="BO28" s="27" t="n">
        <v>0</v>
      </c>
      <c r="BP28" s="27" t="n">
        <v>0</v>
      </c>
      <c r="BQ28" s="27" t="n">
        <v>0</v>
      </c>
      <c r="BR28" s="27" t="n">
        <v>0</v>
      </c>
      <c r="BS28" s="27" t="n">
        <v>0</v>
      </c>
      <c r="BT28" s="27" t="n">
        <v>0</v>
      </c>
      <c r="BU28" s="27" t="n">
        <v>0</v>
      </c>
      <c r="BV28" s="27" t="n">
        <v>0</v>
      </c>
      <c r="BW28" s="27" t="n">
        <v>0</v>
      </c>
      <c r="BX28" s="27" t="n">
        <v>0</v>
      </c>
      <c r="BY28" s="27" t="n">
        <v>0</v>
      </c>
      <c r="BZ28" s="27" t="n">
        <v>0</v>
      </c>
      <c r="CA28" s="27" t="n">
        <v>0</v>
      </c>
      <c r="CB28" s="27" t="n">
        <v>0</v>
      </c>
      <c r="CC28" s="27" t="n">
        <v>0</v>
      </c>
      <c r="CD28" s="27" t="n">
        <v>0</v>
      </c>
      <c r="CE28" s="27" t="n">
        <v>0</v>
      </c>
      <c r="CF28" s="27" t="n">
        <v>0</v>
      </c>
      <c r="CG28" s="27" t="n">
        <v>0</v>
      </c>
      <c r="CH28" s="27" t="n">
        <v>0</v>
      </c>
      <c r="CI28" s="27" t="n">
        <v>0</v>
      </c>
      <c r="CJ28" s="27" t="n">
        <v>0</v>
      </c>
      <c r="CK28" s="27" t="n">
        <v>0</v>
      </c>
      <c r="CL28" s="27" t="n">
        <v>0</v>
      </c>
      <c r="CM28" s="27" t="n">
        <v>0</v>
      </c>
      <c r="CN28" s="27" t="n">
        <v>0</v>
      </c>
      <c r="CO28" s="27" t="n">
        <v>0</v>
      </c>
      <c r="CP28" s="27" t="n">
        <v>0</v>
      </c>
      <c r="CQ28" s="27" t="n">
        <v>0</v>
      </c>
      <c r="CR28" s="27" t="n">
        <v>0</v>
      </c>
      <c r="CS28" s="27" t="n">
        <v>0</v>
      </c>
      <c r="CT28" s="27" t="n">
        <v>0</v>
      </c>
      <c r="CU28" s="27" t="n">
        <v>0</v>
      </c>
      <c r="CV28" s="27" t="n">
        <v>0</v>
      </c>
      <c r="CW28" s="27" t="n">
        <v>0</v>
      </c>
      <c r="CX28" s="27" t="n">
        <v>0</v>
      </c>
      <c r="CY28" s="27" t="n">
        <v>0</v>
      </c>
      <c r="CZ28" s="27" t="n">
        <v>0</v>
      </c>
      <c r="DA28" s="27" t="n">
        <v>0</v>
      </c>
    </row>
    <row r="29">
      <c r="A29" t="inlineStr">
        <is>
          <t>TSP-558</t>
        </is>
      </c>
      <c r="B29" s="27" t="n">
        <v>0</v>
      </c>
      <c r="C29" s="27" t="n">
        <v>0</v>
      </c>
      <c r="D29" s="27" t="n">
        <v>0</v>
      </c>
      <c r="E29" s="27" t="n">
        <v>0</v>
      </c>
      <c r="F29" s="27" t="n">
        <v>0</v>
      </c>
      <c r="G29" s="27" t="n">
        <v>0</v>
      </c>
      <c r="H29" s="27" t="n">
        <v>0</v>
      </c>
      <c r="I29" s="27" t="n">
        <v>0</v>
      </c>
      <c r="J29" s="27" t="n">
        <v>0</v>
      </c>
      <c r="K29" s="27" t="n">
        <v>0</v>
      </c>
      <c r="L29" s="27" t="n">
        <v>0</v>
      </c>
      <c r="M29" s="27" t="n">
        <v>0</v>
      </c>
      <c r="N29" s="27" t="n">
        <v>0</v>
      </c>
      <c r="O29" s="27" t="n">
        <v>0</v>
      </c>
      <c r="P29" s="27" t="n">
        <v>0</v>
      </c>
      <c r="Q29" s="27" t="n">
        <v>0</v>
      </c>
      <c r="R29" s="27" t="n">
        <v>0</v>
      </c>
      <c r="S29" s="27" t="n">
        <v>0</v>
      </c>
      <c r="T29" s="27" t="n">
        <v>0</v>
      </c>
      <c r="U29" s="27" t="n">
        <v>0</v>
      </c>
      <c r="V29" s="27" t="n">
        <v>0</v>
      </c>
      <c r="W29" s="27" t="n">
        <v>0</v>
      </c>
      <c r="X29" s="27" t="n">
        <v>0</v>
      </c>
      <c r="Y29" s="27" t="n">
        <v>0</v>
      </c>
      <c r="Z29" s="27" t="n">
        <v>0</v>
      </c>
      <c r="AA29" s="27" t="n">
        <v>0</v>
      </c>
      <c r="AB29" s="27" t="n">
        <v>0</v>
      </c>
      <c r="AC29" s="27" t="n">
        <v>0</v>
      </c>
      <c r="AD29" s="27" t="n">
        <v>0</v>
      </c>
      <c r="AE29" s="27" t="n">
        <v>0</v>
      </c>
      <c r="AF29" s="27" t="n">
        <v>0</v>
      </c>
      <c r="AG29" s="27" t="n">
        <v>0</v>
      </c>
      <c r="AH29" s="27" t="n">
        <v>0</v>
      </c>
      <c r="AI29" s="27" t="n">
        <v>0</v>
      </c>
      <c r="AJ29" s="27" t="n">
        <v>0</v>
      </c>
      <c r="AK29" s="27" t="n">
        <v>0</v>
      </c>
      <c r="AL29" s="27" t="n">
        <v>0</v>
      </c>
      <c r="AM29" s="27" t="n">
        <v>0</v>
      </c>
      <c r="AN29" s="27" t="n">
        <v>0</v>
      </c>
      <c r="AO29" s="27" t="n">
        <v>0</v>
      </c>
      <c r="AP29" s="27" t="n">
        <v>0</v>
      </c>
      <c r="AQ29" s="27" t="n">
        <v>0</v>
      </c>
      <c r="AR29" s="27" t="n">
        <v>0</v>
      </c>
      <c r="AS29" s="27" t="n">
        <v>0</v>
      </c>
      <c r="AT29" s="27" t="n">
        <v>0</v>
      </c>
      <c r="AU29" s="27" t="n">
        <v>0</v>
      </c>
      <c r="AV29" s="27" t="n">
        <v>0</v>
      </c>
      <c r="AW29" s="27" t="n">
        <v>0</v>
      </c>
      <c r="AX29" s="27" t="n">
        <v>0</v>
      </c>
      <c r="AY29" s="27" t="n">
        <v>0</v>
      </c>
      <c r="AZ29" s="27" t="n">
        <v>0</v>
      </c>
      <c r="BA29" s="27" t="n">
        <v>0</v>
      </c>
      <c r="BB29" s="27" t="n">
        <v>0</v>
      </c>
      <c r="BC29" s="27" t="n">
        <v>0</v>
      </c>
      <c r="BD29" s="27" t="n">
        <v>0</v>
      </c>
      <c r="BE29" s="27" t="n">
        <v>0</v>
      </c>
      <c r="BF29" s="27" t="n">
        <v>0</v>
      </c>
      <c r="BG29" s="27" t="n">
        <v>0</v>
      </c>
      <c r="BH29" s="27" t="n">
        <v>0</v>
      </c>
      <c r="BI29" s="27" t="n">
        <v>0</v>
      </c>
      <c r="BJ29" s="27" t="n">
        <v>0</v>
      </c>
      <c r="BK29" s="27" t="n">
        <v>0</v>
      </c>
      <c r="BL29" s="27" t="n">
        <v>0</v>
      </c>
      <c r="BM29" s="27" t="n">
        <v>0</v>
      </c>
      <c r="BN29" s="27" t="n">
        <v>0</v>
      </c>
      <c r="BO29" s="27" t="n">
        <v>0</v>
      </c>
      <c r="BP29" s="27" t="n">
        <v>0</v>
      </c>
      <c r="BQ29" s="27" t="n">
        <v>0</v>
      </c>
      <c r="BR29" s="27" t="n">
        <v>0</v>
      </c>
      <c r="BS29" s="27" t="n">
        <v>0</v>
      </c>
      <c r="BT29" s="27" t="n">
        <v>0</v>
      </c>
      <c r="BU29" s="27" t="n">
        <v>0</v>
      </c>
      <c r="BV29" s="27" t="n">
        <v>0</v>
      </c>
      <c r="BW29" s="27" t="n">
        <v>0</v>
      </c>
      <c r="BX29" s="27" t="n">
        <v>0</v>
      </c>
      <c r="BY29" s="27" t="n">
        <v>0</v>
      </c>
      <c r="BZ29" s="27" t="n">
        <v>0</v>
      </c>
      <c r="CA29" s="27" t="n">
        <v>0</v>
      </c>
      <c r="CB29" s="27" t="n">
        <v>0</v>
      </c>
      <c r="CC29" s="27" t="n">
        <v>0</v>
      </c>
      <c r="CD29" s="27" t="n">
        <v>0</v>
      </c>
      <c r="CE29" s="27" t="n">
        <v>0</v>
      </c>
      <c r="CF29" s="27" t="n">
        <v>0</v>
      </c>
      <c r="CG29" s="27" t="n">
        <v>0</v>
      </c>
      <c r="CH29" s="27" t="n">
        <v>0</v>
      </c>
      <c r="CI29" s="27" t="n">
        <v>0</v>
      </c>
      <c r="CJ29" s="27" t="n">
        <v>0</v>
      </c>
      <c r="CK29" s="27" t="n">
        <v>0</v>
      </c>
      <c r="CL29" s="27" t="n">
        <v>0</v>
      </c>
      <c r="CM29" s="27" t="n">
        <v>0</v>
      </c>
      <c r="CN29" s="27" t="n">
        <v>0</v>
      </c>
      <c r="CO29" s="27" t="n">
        <v>0</v>
      </c>
      <c r="CP29" s="27" t="n">
        <v>0</v>
      </c>
      <c r="CQ29" s="27" t="n">
        <v>0</v>
      </c>
      <c r="CR29" s="27" t="n">
        <v>0</v>
      </c>
      <c r="CS29" s="27" t="n">
        <v>0</v>
      </c>
      <c r="CT29" s="27" t="n">
        <v>0</v>
      </c>
      <c r="CU29" s="27" t="n">
        <v>0</v>
      </c>
      <c r="CV29" s="27" t="n">
        <v>0</v>
      </c>
      <c r="CW29" s="27" t="n">
        <v>0</v>
      </c>
      <c r="CX29" s="27" t="n">
        <v>0</v>
      </c>
      <c r="CY29" s="27" t="n">
        <v>0</v>
      </c>
      <c r="CZ29" s="27" t="n">
        <v>0</v>
      </c>
      <c r="DA29" s="27" t="n">
        <v>0</v>
      </c>
    </row>
    <row r="30">
      <c r="A30" t="inlineStr">
        <is>
          <t>TSP-618</t>
        </is>
      </c>
      <c r="B30" s="27" t="n">
        <v>0</v>
      </c>
      <c r="C30" s="27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0</v>
      </c>
      <c r="I30" s="27" t="n">
        <v>0</v>
      </c>
      <c r="J30" s="27" t="n">
        <v>0</v>
      </c>
      <c r="K30" s="27" t="n">
        <v>0</v>
      </c>
      <c r="L30" s="27" t="n">
        <v>0</v>
      </c>
      <c r="M30" s="27" t="n">
        <v>0</v>
      </c>
      <c r="N30" s="27" t="n">
        <v>0</v>
      </c>
      <c r="O30" s="27" t="n">
        <v>0</v>
      </c>
      <c r="P30" s="27" t="n">
        <v>0</v>
      </c>
      <c r="Q30" s="27" t="n">
        <v>0</v>
      </c>
      <c r="R30" s="27" t="n">
        <v>0</v>
      </c>
      <c r="S30" s="27" t="n">
        <v>0</v>
      </c>
      <c r="T30" s="27" t="n">
        <v>0</v>
      </c>
      <c r="U30" s="27" t="n">
        <v>0</v>
      </c>
      <c r="V30" s="27" t="n">
        <v>0</v>
      </c>
      <c r="W30" s="27" t="n">
        <v>0</v>
      </c>
      <c r="X30" s="27" t="n">
        <v>0</v>
      </c>
      <c r="Y30" s="27" t="n">
        <v>0</v>
      </c>
      <c r="Z30" s="27" t="n">
        <v>0</v>
      </c>
      <c r="AA30" s="27" t="n">
        <v>0</v>
      </c>
      <c r="AB30" s="27" t="n">
        <v>0</v>
      </c>
      <c r="AC30" s="27" t="n">
        <v>0</v>
      </c>
      <c r="AD30" s="27" t="n">
        <v>0</v>
      </c>
      <c r="AE30" s="27" t="n">
        <v>0</v>
      </c>
      <c r="AF30" s="27" t="n">
        <v>0</v>
      </c>
      <c r="AG30" s="27" t="n">
        <v>0</v>
      </c>
      <c r="AH30" s="27" t="n">
        <v>0</v>
      </c>
      <c r="AI30" s="27" t="n">
        <v>0</v>
      </c>
      <c r="AJ30" s="27" t="n">
        <v>0</v>
      </c>
      <c r="AK30" s="27" t="n">
        <v>0</v>
      </c>
      <c r="AL30" s="27" t="n">
        <v>0</v>
      </c>
      <c r="AM30" s="27" t="n">
        <v>0</v>
      </c>
      <c r="AN30" s="27" t="n">
        <v>0</v>
      </c>
      <c r="AO30" s="27" t="n">
        <v>0</v>
      </c>
      <c r="AP30" s="27" t="n">
        <v>0</v>
      </c>
      <c r="AQ30" s="27" t="n">
        <v>0</v>
      </c>
      <c r="AR30" s="27" t="n">
        <v>0</v>
      </c>
      <c r="AS30" s="27" t="n">
        <v>0</v>
      </c>
      <c r="AT30" s="27" t="n">
        <v>0</v>
      </c>
      <c r="AU30" s="27" t="n">
        <v>0</v>
      </c>
      <c r="AV30" s="27" t="n">
        <v>0</v>
      </c>
      <c r="AW30" s="27" t="n">
        <v>0</v>
      </c>
      <c r="AX30" s="27" t="n">
        <v>0</v>
      </c>
      <c r="AY30" s="27" t="n">
        <v>0</v>
      </c>
      <c r="AZ30" s="27" t="n">
        <v>0</v>
      </c>
      <c r="BA30" s="27" t="n">
        <v>0</v>
      </c>
      <c r="BB30" s="27" t="n">
        <v>0</v>
      </c>
      <c r="BC30" s="27" t="n">
        <v>0</v>
      </c>
      <c r="BD30" s="27" t="n">
        <v>0</v>
      </c>
      <c r="BE30" s="27" t="n">
        <v>0</v>
      </c>
      <c r="BF30" s="27" t="n">
        <v>0</v>
      </c>
      <c r="BG30" s="27" t="n">
        <v>0</v>
      </c>
      <c r="BH30" s="27" t="n">
        <v>0</v>
      </c>
      <c r="BI30" s="27" t="n">
        <v>0</v>
      </c>
      <c r="BJ30" s="27" t="n">
        <v>0</v>
      </c>
      <c r="BK30" s="27" t="n">
        <v>0</v>
      </c>
      <c r="BL30" s="27" t="n">
        <v>0</v>
      </c>
      <c r="BM30" s="27" t="n">
        <v>0</v>
      </c>
      <c r="BN30" s="27" t="n">
        <v>0</v>
      </c>
      <c r="BO30" s="27" t="n">
        <v>0</v>
      </c>
      <c r="BP30" s="27" t="n">
        <v>0</v>
      </c>
      <c r="BQ30" s="27" t="n">
        <v>0</v>
      </c>
      <c r="BR30" s="27" t="n">
        <v>0</v>
      </c>
      <c r="BS30" s="27" t="n">
        <v>0</v>
      </c>
      <c r="BT30" s="27" t="n">
        <v>0</v>
      </c>
      <c r="BU30" s="27" t="n">
        <v>0</v>
      </c>
      <c r="BV30" s="27" t="n">
        <v>0</v>
      </c>
      <c r="BW30" s="27" t="n">
        <v>0</v>
      </c>
      <c r="BX30" s="27" t="n">
        <v>0</v>
      </c>
      <c r="BY30" s="27" t="n">
        <v>0</v>
      </c>
      <c r="BZ30" s="27" t="n">
        <v>0</v>
      </c>
      <c r="CA30" s="27" t="n">
        <v>0</v>
      </c>
      <c r="CB30" s="27" t="n">
        <v>0</v>
      </c>
      <c r="CC30" s="27" t="n">
        <v>0</v>
      </c>
      <c r="CD30" s="27" t="n">
        <v>0</v>
      </c>
      <c r="CE30" s="27" t="n">
        <v>0</v>
      </c>
      <c r="CF30" s="27" t="n">
        <v>0</v>
      </c>
      <c r="CG30" s="27" t="n">
        <v>0</v>
      </c>
      <c r="CH30" s="27" t="n">
        <v>0</v>
      </c>
      <c r="CI30" s="27" t="n">
        <v>0</v>
      </c>
      <c r="CJ30" s="27" t="n">
        <v>0</v>
      </c>
      <c r="CK30" s="27" t="n">
        <v>0</v>
      </c>
      <c r="CL30" s="27" t="n">
        <v>0</v>
      </c>
      <c r="CM30" s="27" t="n">
        <v>0</v>
      </c>
      <c r="CN30" s="27" t="n">
        <v>0</v>
      </c>
      <c r="CO30" s="27" t="n">
        <v>0</v>
      </c>
      <c r="CP30" s="27" t="n">
        <v>0</v>
      </c>
      <c r="CQ30" s="27" t="n">
        <v>0</v>
      </c>
      <c r="CR30" s="27" t="n">
        <v>0</v>
      </c>
      <c r="CS30" s="27" t="n">
        <v>0</v>
      </c>
      <c r="CT30" s="27" t="n">
        <v>0</v>
      </c>
      <c r="CU30" s="27" t="n">
        <v>0</v>
      </c>
      <c r="CV30" s="27" t="n">
        <v>0</v>
      </c>
      <c r="CW30" s="27" t="n">
        <v>0</v>
      </c>
      <c r="CX30" s="27" t="n">
        <v>0</v>
      </c>
      <c r="CY30" s="27" t="n">
        <v>0</v>
      </c>
      <c r="CZ30" s="27" t="n">
        <v>0</v>
      </c>
      <c r="DA30" s="27" t="n">
        <v>0</v>
      </c>
    </row>
    <row r="31">
      <c r="A31" t="inlineStr">
        <is>
          <t>TSP-620</t>
        </is>
      </c>
      <c r="B31" s="27" t="n">
        <v>0</v>
      </c>
      <c r="C31" s="27" t="n">
        <v>0</v>
      </c>
      <c r="D31" s="27" t="n">
        <v>0</v>
      </c>
      <c r="E31" s="27" t="n">
        <v>0</v>
      </c>
      <c r="F31" s="27" t="n">
        <v>0</v>
      </c>
      <c r="G31" s="27" t="n">
        <v>0</v>
      </c>
      <c r="H31" s="27" t="n">
        <v>0</v>
      </c>
      <c r="I31" s="27" t="n">
        <v>0</v>
      </c>
      <c r="J31" s="27" t="n">
        <v>0</v>
      </c>
      <c r="K31" s="27" t="n">
        <v>0</v>
      </c>
      <c r="L31" s="27" t="n">
        <v>0</v>
      </c>
      <c r="M31" s="27" t="n">
        <v>0</v>
      </c>
      <c r="N31" s="27" t="n">
        <v>0</v>
      </c>
      <c r="O31" s="27" t="n">
        <v>0</v>
      </c>
      <c r="P31" s="27" t="n">
        <v>0</v>
      </c>
      <c r="Q31" s="27" t="n">
        <v>0</v>
      </c>
      <c r="R31" s="27" t="n">
        <v>0</v>
      </c>
      <c r="S31" s="27" t="n">
        <v>0</v>
      </c>
      <c r="T31" s="27" t="n">
        <v>0</v>
      </c>
      <c r="U31" s="27" t="n">
        <v>0</v>
      </c>
      <c r="V31" s="27" t="n">
        <v>0</v>
      </c>
      <c r="W31" s="27" t="n">
        <v>0</v>
      </c>
      <c r="X31" s="27" t="n">
        <v>0</v>
      </c>
      <c r="Y31" s="27" t="n">
        <v>0</v>
      </c>
      <c r="Z31" s="27" t="n">
        <v>0</v>
      </c>
      <c r="AA31" s="27" t="n">
        <v>0</v>
      </c>
      <c r="AB31" s="27" t="n">
        <v>0</v>
      </c>
      <c r="AC31" s="27" t="n">
        <v>0</v>
      </c>
      <c r="AD31" s="27" t="n">
        <v>0</v>
      </c>
      <c r="AE31" s="27" t="n">
        <v>0</v>
      </c>
      <c r="AF31" s="27" t="n">
        <v>0</v>
      </c>
      <c r="AG31" s="27" t="n">
        <v>0</v>
      </c>
      <c r="AH31" s="27" t="n">
        <v>0</v>
      </c>
      <c r="AI31" s="27" t="n">
        <v>0</v>
      </c>
      <c r="AJ31" s="27" t="n">
        <v>0</v>
      </c>
      <c r="AK31" s="27" t="n">
        <v>0</v>
      </c>
      <c r="AL31" s="27" t="n">
        <v>0</v>
      </c>
      <c r="AM31" s="27" t="n">
        <v>0</v>
      </c>
      <c r="AN31" s="27" t="n">
        <v>0</v>
      </c>
      <c r="AO31" s="27" t="n">
        <v>0</v>
      </c>
      <c r="AP31" s="27" t="n">
        <v>0</v>
      </c>
      <c r="AQ31" s="27" t="n">
        <v>0</v>
      </c>
      <c r="AR31" s="27" t="n">
        <v>0</v>
      </c>
      <c r="AS31" s="27" t="n">
        <v>0</v>
      </c>
      <c r="AT31" s="27" t="n">
        <v>0</v>
      </c>
      <c r="AU31" s="27" t="n">
        <v>0</v>
      </c>
      <c r="AV31" s="27" t="n">
        <v>0</v>
      </c>
      <c r="AW31" s="27" t="n">
        <v>0</v>
      </c>
      <c r="AX31" s="27" t="n">
        <v>0</v>
      </c>
      <c r="AY31" s="27" t="n">
        <v>0</v>
      </c>
      <c r="AZ31" s="27" t="n">
        <v>0</v>
      </c>
      <c r="BA31" s="27" t="n">
        <v>0</v>
      </c>
      <c r="BB31" s="27" t="n">
        <v>0</v>
      </c>
      <c r="BC31" s="27" t="n">
        <v>0</v>
      </c>
      <c r="BD31" s="27" t="n">
        <v>0</v>
      </c>
      <c r="BE31" s="27" t="n">
        <v>0</v>
      </c>
      <c r="BF31" s="27" t="n">
        <v>0</v>
      </c>
      <c r="BG31" s="27" t="n">
        <v>0</v>
      </c>
      <c r="BH31" s="27" t="n">
        <v>0</v>
      </c>
      <c r="BI31" s="27" t="n">
        <v>0</v>
      </c>
      <c r="BJ31" s="27" t="n">
        <v>0</v>
      </c>
      <c r="BK31" s="27" t="n">
        <v>0</v>
      </c>
      <c r="BL31" s="27" t="n">
        <v>0</v>
      </c>
      <c r="BM31" s="27" t="n">
        <v>0</v>
      </c>
      <c r="BN31" s="27" t="n">
        <v>0</v>
      </c>
      <c r="BO31" s="27" t="n">
        <v>0</v>
      </c>
      <c r="BP31" s="27" t="n">
        <v>0</v>
      </c>
      <c r="BQ31" s="27" t="n">
        <v>0</v>
      </c>
      <c r="BR31" s="27" t="n">
        <v>0</v>
      </c>
      <c r="BS31" s="27" t="n">
        <v>0</v>
      </c>
      <c r="BT31" s="27" t="n">
        <v>0</v>
      </c>
      <c r="BU31" s="27" t="n">
        <v>0</v>
      </c>
      <c r="BV31" s="27" t="n">
        <v>0</v>
      </c>
      <c r="BW31" s="27" t="n">
        <v>0</v>
      </c>
      <c r="BX31" s="27" t="n">
        <v>0</v>
      </c>
      <c r="BY31" s="27" t="n">
        <v>0</v>
      </c>
      <c r="BZ31" s="27" t="n">
        <v>0</v>
      </c>
      <c r="CA31" s="27" t="n">
        <v>0</v>
      </c>
      <c r="CB31" s="27" t="n">
        <v>0</v>
      </c>
      <c r="CC31" s="27" t="n">
        <v>0</v>
      </c>
      <c r="CD31" s="27" t="n">
        <v>0</v>
      </c>
      <c r="CE31" s="27" t="n">
        <v>0</v>
      </c>
      <c r="CF31" s="27" t="n">
        <v>0</v>
      </c>
      <c r="CG31" s="27" t="n">
        <v>0</v>
      </c>
      <c r="CH31" s="27" t="n">
        <v>0</v>
      </c>
      <c r="CI31" s="27" t="n">
        <v>0</v>
      </c>
      <c r="CJ31" s="27" t="n">
        <v>0</v>
      </c>
      <c r="CK31" s="27" t="n">
        <v>0</v>
      </c>
      <c r="CL31" s="27" t="n">
        <v>0</v>
      </c>
      <c r="CM31" s="27" t="n">
        <v>0</v>
      </c>
      <c r="CN31" s="27" t="n">
        <v>0</v>
      </c>
      <c r="CO31" s="27" t="n">
        <v>0</v>
      </c>
      <c r="CP31" s="27" t="n">
        <v>0</v>
      </c>
      <c r="CQ31" s="27" t="n">
        <v>0</v>
      </c>
      <c r="CR31" s="27" t="n">
        <v>0</v>
      </c>
      <c r="CS31" s="27" t="n">
        <v>0</v>
      </c>
      <c r="CT31" s="27" t="n">
        <v>0</v>
      </c>
      <c r="CU31" s="27" t="n">
        <v>0</v>
      </c>
      <c r="CV31" s="27" t="n">
        <v>0</v>
      </c>
      <c r="CW31" s="27" t="n">
        <v>0</v>
      </c>
      <c r="CX31" s="27" t="n">
        <v>0</v>
      </c>
      <c r="CY31" s="27" t="n">
        <v>0</v>
      </c>
      <c r="CZ31" s="27" t="n">
        <v>0</v>
      </c>
      <c r="DA31" s="27" t="n">
        <v>0</v>
      </c>
    </row>
    <row r="32">
      <c r="A32" t="inlineStr">
        <is>
          <t>TSP-623</t>
        </is>
      </c>
      <c r="B32" s="27" t="n">
        <v>0</v>
      </c>
      <c r="C32" s="27" t="n">
        <v>0</v>
      </c>
      <c r="D32" s="27" t="n">
        <v>0</v>
      </c>
      <c r="E32" s="27" t="n">
        <v>0</v>
      </c>
      <c r="F32" s="27" t="n">
        <v>0</v>
      </c>
      <c r="G32" s="27" t="n">
        <v>0</v>
      </c>
      <c r="H32" s="27" t="n">
        <v>0</v>
      </c>
      <c r="I32" s="27" t="n">
        <v>0</v>
      </c>
      <c r="J32" s="27" t="n">
        <v>0</v>
      </c>
      <c r="K32" s="27" t="n">
        <v>0</v>
      </c>
      <c r="L32" s="27" t="n">
        <v>0</v>
      </c>
      <c r="M32" s="27" t="n">
        <v>0</v>
      </c>
      <c r="N32" s="27" t="n">
        <v>0</v>
      </c>
      <c r="O32" s="27" t="n">
        <v>0</v>
      </c>
      <c r="P32" s="27" t="n">
        <v>0</v>
      </c>
      <c r="Q32" s="27" t="n">
        <v>0</v>
      </c>
      <c r="R32" s="27" t="n">
        <v>0</v>
      </c>
      <c r="S32" s="27" t="n">
        <v>0</v>
      </c>
      <c r="T32" s="27" t="n">
        <v>0</v>
      </c>
      <c r="U32" s="27" t="n">
        <v>0</v>
      </c>
      <c r="V32" s="27" t="n">
        <v>0</v>
      </c>
      <c r="W32" s="27" t="n">
        <v>0</v>
      </c>
      <c r="X32" s="27" t="n">
        <v>0</v>
      </c>
      <c r="Y32" s="27" t="n">
        <v>0</v>
      </c>
      <c r="Z32" s="27" t="n">
        <v>0</v>
      </c>
      <c r="AA32" s="27" t="n">
        <v>0</v>
      </c>
      <c r="AB32" s="27" t="n">
        <v>0</v>
      </c>
      <c r="AC32" s="27" t="n">
        <v>0</v>
      </c>
      <c r="AD32" s="27" t="n">
        <v>0</v>
      </c>
      <c r="AE32" s="27" t="n">
        <v>0</v>
      </c>
      <c r="AF32" s="27" t="n">
        <v>0</v>
      </c>
      <c r="AG32" s="27" t="n">
        <v>0</v>
      </c>
      <c r="AH32" s="27" t="n">
        <v>0</v>
      </c>
      <c r="AI32" s="27" t="n">
        <v>0</v>
      </c>
      <c r="AJ32" s="27" t="n">
        <v>0</v>
      </c>
      <c r="AK32" s="27" t="n">
        <v>0</v>
      </c>
      <c r="AL32" s="27" t="n">
        <v>0</v>
      </c>
      <c r="AM32" s="27" t="n">
        <v>0</v>
      </c>
      <c r="AN32" s="27" t="n">
        <v>0</v>
      </c>
      <c r="AO32" s="27" t="n">
        <v>0</v>
      </c>
      <c r="AP32" s="27" t="n">
        <v>0</v>
      </c>
      <c r="AQ32" s="27" t="n">
        <v>0</v>
      </c>
      <c r="AR32" s="27" t="n">
        <v>0</v>
      </c>
      <c r="AS32" s="27" t="n">
        <v>0</v>
      </c>
      <c r="AT32" s="27" t="n">
        <v>0</v>
      </c>
      <c r="AU32" s="27" t="n">
        <v>0</v>
      </c>
      <c r="AV32" s="27" t="n">
        <v>0</v>
      </c>
      <c r="AW32" s="27" t="n">
        <v>0</v>
      </c>
      <c r="AX32" s="27" t="n">
        <v>0</v>
      </c>
      <c r="AY32" s="27" t="n">
        <v>0</v>
      </c>
      <c r="AZ32" s="27" t="n">
        <v>0</v>
      </c>
      <c r="BA32" s="27" t="n">
        <v>0</v>
      </c>
      <c r="BB32" s="27" t="n">
        <v>0</v>
      </c>
      <c r="BC32" s="27" t="n">
        <v>0</v>
      </c>
      <c r="BD32" s="27" t="n">
        <v>0</v>
      </c>
      <c r="BE32" s="27" t="n">
        <v>0</v>
      </c>
      <c r="BF32" s="27" t="n">
        <v>0</v>
      </c>
      <c r="BG32" s="27" t="n">
        <v>0</v>
      </c>
      <c r="BH32" s="27" t="n">
        <v>0</v>
      </c>
      <c r="BI32" s="27" t="n">
        <v>0</v>
      </c>
      <c r="BJ32" s="27" t="n">
        <v>0</v>
      </c>
      <c r="BK32" s="27" t="n">
        <v>0</v>
      </c>
      <c r="BL32" s="27" t="n">
        <v>0</v>
      </c>
      <c r="BM32" s="27" t="n">
        <v>0</v>
      </c>
      <c r="BN32" s="27" t="n">
        <v>0</v>
      </c>
      <c r="BO32" s="27" t="n">
        <v>0</v>
      </c>
      <c r="BP32" s="27" t="n">
        <v>0</v>
      </c>
      <c r="BQ32" s="27" t="n">
        <v>0</v>
      </c>
      <c r="BR32" s="27" t="n">
        <v>0</v>
      </c>
      <c r="BS32" s="27" t="n">
        <v>0</v>
      </c>
      <c r="BT32" s="27" t="n">
        <v>0</v>
      </c>
      <c r="BU32" s="27" t="n">
        <v>0</v>
      </c>
      <c r="BV32" s="27" t="n">
        <v>0</v>
      </c>
      <c r="BW32" s="27" t="n">
        <v>0</v>
      </c>
      <c r="BX32" s="27" t="n">
        <v>0</v>
      </c>
      <c r="BY32" s="27" t="n">
        <v>0</v>
      </c>
      <c r="BZ32" s="27" t="n">
        <v>0</v>
      </c>
      <c r="CA32" s="27" t="n">
        <v>0</v>
      </c>
      <c r="CB32" s="27" t="n">
        <v>0</v>
      </c>
      <c r="CC32" s="27" t="n">
        <v>0</v>
      </c>
      <c r="CD32" s="27" t="n">
        <v>0</v>
      </c>
      <c r="CE32" s="27" t="n">
        <v>0</v>
      </c>
      <c r="CF32" s="27" t="n">
        <v>0</v>
      </c>
      <c r="CG32" s="27" t="n">
        <v>0</v>
      </c>
      <c r="CH32" s="27" t="n">
        <v>0</v>
      </c>
      <c r="CI32" s="27" t="n">
        <v>0</v>
      </c>
      <c r="CJ32" s="27" t="n">
        <v>0</v>
      </c>
      <c r="CK32" s="27" t="n">
        <v>0</v>
      </c>
      <c r="CL32" s="27" t="n">
        <v>0</v>
      </c>
      <c r="CM32" s="27" t="n">
        <v>0</v>
      </c>
      <c r="CN32" s="27" t="n">
        <v>0</v>
      </c>
      <c r="CO32" s="27" t="n">
        <v>0</v>
      </c>
      <c r="CP32" s="27" t="n">
        <v>0</v>
      </c>
      <c r="CQ32" s="27" t="n">
        <v>0</v>
      </c>
      <c r="CR32" s="27" t="n">
        <v>0</v>
      </c>
      <c r="CS32" s="27" t="n">
        <v>0</v>
      </c>
      <c r="CT32" s="27" t="n">
        <v>0</v>
      </c>
      <c r="CU32" s="27" t="n">
        <v>0</v>
      </c>
      <c r="CV32" s="27" t="n">
        <v>0</v>
      </c>
      <c r="CW32" s="27" t="n">
        <v>0</v>
      </c>
      <c r="CX32" s="27" t="n">
        <v>0</v>
      </c>
      <c r="CY32" s="27" t="n">
        <v>0</v>
      </c>
      <c r="CZ32" s="27" t="n">
        <v>0</v>
      </c>
      <c r="DA32" s="27" t="n">
        <v>0</v>
      </c>
    </row>
    <row r="33">
      <c r="A33" t="inlineStr">
        <is>
          <t>TSP-655</t>
        </is>
      </c>
      <c r="B33" s="27" t="n">
        <v>0</v>
      </c>
      <c r="C33" s="27" t="n">
        <v>0</v>
      </c>
      <c r="D33" s="27" t="n">
        <v>0</v>
      </c>
      <c r="E33" s="27" t="n">
        <v>0</v>
      </c>
      <c r="F33" s="27" t="n">
        <v>0</v>
      </c>
      <c r="G33" s="27" t="n">
        <v>0</v>
      </c>
      <c r="H33" s="27" t="n">
        <v>0</v>
      </c>
      <c r="I33" s="27" t="n">
        <v>0</v>
      </c>
      <c r="J33" s="27" t="n">
        <v>0</v>
      </c>
      <c r="K33" s="27" t="n">
        <v>0</v>
      </c>
      <c r="L33" s="27" t="n">
        <v>0</v>
      </c>
      <c r="M33" s="27" t="n">
        <v>0</v>
      </c>
      <c r="N33" s="27" t="n">
        <v>0</v>
      </c>
      <c r="O33" s="27" t="n">
        <v>0</v>
      </c>
      <c r="P33" s="27" t="n">
        <v>0</v>
      </c>
      <c r="Q33" s="27" t="n">
        <v>0</v>
      </c>
      <c r="R33" s="27" t="n">
        <v>0</v>
      </c>
      <c r="S33" s="27" t="n">
        <v>0</v>
      </c>
      <c r="T33" s="27" t="n">
        <v>0</v>
      </c>
      <c r="U33" s="27" t="n">
        <v>0</v>
      </c>
      <c r="V33" s="27" t="n">
        <v>0</v>
      </c>
      <c r="W33" s="27" t="n">
        <v>0</v>
      </c>
      <c r="X33" s="27" t="n">
        <v>0</v>
      </c>
      <c r="Y33" s="27" t="n">
        <v>0</v>
      </c>
      <c r="Z33" s="27" t="n">
        <v>0</v>
      </c>
      <c r="AA33" s="27" t="n">
        <v>0</v>
      </c>
      <c r="AB33" s="27" t="n">
        <v>0</v>
      </c>
      <c r="AC33" s="27" t="n">
        <v>0</v>
      </c>
      <c r="AD33" s="27" t="n">
        <v>0</v>
      </c>
      <c r="AE33" s="27" t="n">
        <v>0</v>
      </c>
      <c r="AF33" s="27" t="n">
        <v>0</v>
      </c>
      <c r="AG33" s="27" t="n">
        <v>0</v>
      </c>
      <c r="AH33" s="27" t="n">
        <v>0</v>
      </c>
      <c r="AI33" s="27" t="n">
        <v>0</v>
      </c>
      <c r="AJ33" s="27" t="n">
        <v>0</v>
      </c>
      <c r="AK33" s="27" t="n">
        <v>0</v>
      </c>
      <c r="AL33" s="27" t="n">
        <v>0</v>
      </c>
      <c r="AM33" s="27" t="n">
        <v>0</v>
      </c>
      <c r="AN33" s="27" t="n">
        <v>0</v>
      </c>
      <c r="AO33" s="27" t="n">
        <v>0</v>
      </c>
      <c r="AP33" s="27" t="n">
        <v>0</v>
      </c>
      <c r="AQ33" s="27" t="n">
        <v>0</v>
      </c>
      <c r="AR33" s="27" t="n">
        <v>0</v>
      </c>
      <c r="AS33" s="27" t="n">
        <v>0</v>
      </c>
      <c r="AT33" s="27" t="n">
        <v>0</v>
      </c>
      <c r="AU33" s="27" t="n">
        <v>0</v>
      </c>
      <c r="AV33" s="27" t="n">
        <v>0</v>
      </c>
      <c r="AW33" s="27" t="n">
        <v>0</v>
      </c>
      <c r="AX33" s="27" t="n">
        <v>0</v>
      </c>
      <c r="AY33" s="27" t="n">
        <v>0</v>
      </c>
      <c r="AZ33" s="27" t="n">
        <v>0</v>
      </c>
      <c r="BA33" s="27" t="n">
        <v>0</v>
      </c>
      <c r="BB33" s="27" t="n">
        <v>0</v>
      </c>
      <c r="BC33" s="27" t="n">
        <v>0</v>
      </c>
      <c r="BD33" s="27" t="n">
        <v>0</v>
      </c>
      <c r="BE33" s="27" t="n">
        <v>0</v>
      </c>
      <c r="BF33" s="27" t="n">
        <v>0</v>
      </c>
      <c r="BG33" s="27" t="n">
        <v>0</v>
      </c>
      <c r="BH33" s="27" t="n">
        <v>0</v>
      </c>
      <c r="BI33" s="27" t="n">
        <v>0</v>
      </c>
      <c r="BJ33" s="27" t="n">
        <v>0</v>
      </c>
      <c r="BK33" s="27" t="n">
        <v>0</v>
      </c>
      <c r="BL33" s="27" t="n">
        <v>0</v>
      </c>
      <c r="BM33" s="27" t="n">
        <v>0</v>
      </c>
      <c r="BN33" s="27" t="n">
        <v>0</v>
      </c>
      <c r="BO33" s="27" t="n">
        <v>0</v>
      </c>
      <c r="BP33" s="27" t="n">
        <v>0</v>
      </c>
      <c r="BQ33" s="27" t="n">
        <v>0</v>
      </c>
      <c r="BR33" s="27" t="n">
        <v>0</v>
      </c>
      <c r="BS33" s="27" t="n">
        <v>0</v>
      </c>
      <c r="BT33" s="27" t="n">
        <v>0</v>
      </c>
      <c r="BU33" s="27" t="n">
        <v>0</v>
      </c>
      <c r="BV33" s="27" t="n">
        <v>0</v>
      </c>
      <c r="BW33" s="27" t="n">
        <v>0</v>
      </c>
      <c r="BX33" s="27" t="n">
        <v>0</v>
      </c>
      <c r="BY33" s="27" t="n">
        <v>0</v>
      </c>
      <c r="BZ33" s="27" t="n">
        <v>0</v>
      </c>
      <c r="CA33" s="27" t="n">
        <v>0</v>
      </c>
      <c r="CB33" s="27" t="n">
        <v>0</v>
      </c>
      <c r="CC33" s="27" t="n">
        <v>0</v>
      </c>
      <c r="CD33" s="27" t="n">
        <v>0</v>
      </c>
      <c r="CE33" s="27" t="n">
        <v>0</v>
      </c>
      <c r="CF33" s="27" t="n">
        <v>0</v>
      </c>
      <c r="CG33" s="27" t="n">
        <v>0</v>
      </c>
      <c r="CH33" s="27" t="n">
        <v>0</v>
      </c>
      <c r="CI33" s="27" t="n">
        <v>0</v>
      </c>
      <c r="CJ33" s="27" t="n">
        <v>0</v>
      </c>
      <c r="CK33" s="27" t="n">
        <v>0</v>
      </c>
      <c r="CL33" s="27" t="n">
        <v>0</v>
      </c>
      <c r="CM33" s="27" t="n">
        <v>0</v>
      </c>
      <c r="CN33" s="27" t="n">
        <v>0</v>
      </c>
      <c r="CO33" s="27" t="n">
        <v>0</v>
      </c>
      <c r="CP33" s="27" t="n">
        <v>0</v>
      </c>
      <c r="CQ33" s="27" t="n">
        <v>0</v>
      </c>
      <c r="CR33" s="27" t="n">
        <v>0</v>
      </c>
      <c r="CS33" s="27" t="n">
        <v>0</v>
      </c>
      <c r="CT33" s="27" t="n">
        <v>0</v>
      </c>
      <c r="CU33" s="27" t="n">
        <v>0</v>
      </c>
      <c r="CV33" s="27" t="n">
        <v>0</v>
      </c>
      <c r="CW33" s="27" t="n">
        <v>0</v>
      </c>
      <c r="CX33" s="27" t="n">
        <v>0</v>
      </c>
      <c r="CY33" s="27" t="n">
        <v>0</v>
      </c>
      <c r="CZ33" s="27" t="n">
        <v>0</v>
      </c>
      <c r="DA33" s="27" t="n">
        <v>0</v>
      </c>
    </row>
    <row r="34">
      <c r="A34" t="inlineStr">
        <is>
          <t>TSP-656</t>
        </is>
      </c>
      <c r="B34" s="27" t="n">
        <v>0</v>
      </c>
      <c r="C34" s="27" t="n">
        <v>0</v>
      </c>
      <c r="D34" s="27" t="n">
        <v>0</v>
      </c>
      <c r="E34" s="27" t="n">
        <v>0</v>
      </c>
      <c r="F34" s="27" t="n">
        <v>0</v>
      </c>
      <c r="G34" s="27" t="n">
        <v>0</v>
      </c>
      <c r="H34" s="27" t="n">
        <v>0</v>
      </c>
      <c r="I34" s="27" t="n">
        <v>0</v>
      </c>
      <c r="J34" s="27" t="n">
        <v>0</v>
      </c>
      <c r="K34" s="27" t="n">
        <v>0</v>
      </c>
      <c r="L34" s="27" t="n">
        <v>0</v>
      </c>
      <c r="M34" s="27" t="n">
        <v>0</v>
      </c>
      <c r="N34" s="27" t="n">
        <v>0</v>
      </c>
      <c r="O34" s="27" t="n">
        <v>0</v>
      </c>
      <c r="P34" s="27" t="n">
        <v>0</v>
      </c>
      <c r="Q34" s="27" t="n">
        <v>0</v>
      </c>
      <c r="R34" s="27" t="n">
        <v>0</v>
      </c>
      <c r="S34" s="27" t="n">
        <v>0</v>
      </c>
      <c r="T34" s="27" t="n">
        <v>0</v>
      </c>
      <c r="U34" s="27" t="n">
        <v>0</v>
      </c>
      <c r="V34" s="27" t="n">
        <v>0</v>
      </c>
      <c r="W34" s="27" t="n">
        <v>0</v>
      </c>
      <c r="X34" s="27" t="n">
        <v>0</v>
      </c>
      <c r="Y34" s="27" t="n">
        <v>0</v>
      </c>
      <c r="Z34" s="27" t="n">
        <v>0</v>
      </c>
      <c r="AA34" s="27" t="n">
        <v>0</v>
      </c>
      <c r="AB34" s="27" t="n">
        <v>0</v>
      </c>
      <c r="AC34" s="27" t="n">
        <v>0</v>
      </c>
      <c r="AD34" s="27" t="n">
        <v>0</v>
      </c>
      <c r="AE34" s="27" t="n">
        <v>0</v>
      </c>
      <c r="AF34" s="27" t="n">
        <v>0</v>
      </c>
      <c r="AG34" s="27" t="n">
        <v>0</v>
      </c>
      <c r="AH34" s="27" t="n">
        <v>0</v>
      </c>
      <c r="AI34" s="27" t="n">
        <v>0</v>
      </c>
      <c r="AJ34" s="27" t="n">
        <v>0</v>
      </c>
      <c r="AK34" s="27" t="n">
        <v>0</v>
      </c>
      <c r="AL34" s="27" t="n">
        <v>0</v>
      </c>
      <c r="AM34" s="27" t="n">
        <v>0</v>
      </c>
      <c r="AN34" s="27" t="n">
        <v>0</v>
      </c>
      <c r="AO34" s="27" t="n">
        <v>0</v>
      </c>
      <c r="AP34" s="27" t="n">
        <v>0</v>
      </c>
      <c r="AQ34" s="27" t="n">
        <v>0</v>
      </c>
      <c r="AR34" s="27" t="n">
        <v>0</v>
      </c>
      <c r="AS34" s="27" t="n">
        <v>0</v>
      </c>
      <c r="AT34" s="27" t="n">
        <v>0</v>
      </c>
      <c r="AU34" s="27" t="n">
        <v>0</v>
      </c>
      <c r="AV34" s="27" t="n">
        <v>0</v>
      </c>
      <c r="AW34" s="27" t="n">
        <v>0</v>
      </c>
      <c r="AX34" s="27" t="n">
        <v>0</v>
      </c>
      <c r="AY34" s="27" t="n">
        <v>0</v>
      </c>
      <c r="AZ34" s="27" t="n">
        <v>0</v>
      </c>
      <c r="BA34" s="27" t="n">
        <v>0</v>
      </c>
      <c r="BB34" s="27" t="n">
        <v>0</v>
      </c>
      <c r="BC34" s="27" t="n">
        <v>0</v>
      </c>
      <c r="BD34" s="27" t="n">
        <v>0</v>
      </c>
      <c r="BE34" s="27" t="n">
        <v>0</v>
      </c>
      <c r="BF34" s="27" t="n">
        <v>0</v>
      </c>
      <c r="BG34" s="27" t="n">
        <v>0</v>
      </c>
      <c r="BH34" s="27" t="n">
        <v>0</v>
      </c>
      <c r="BI34" s="27" t="n">
        <v>0</v>
      </c>
      <c r="BJ34" s="27" t="n">
        <v>0</v>
      </c>
      <c r="BK34" s="27" t="n">
        <v>0</v>
      </c>
      <c r="BL34" s="27" t="n">
        <v>0</v>
      </c>
      <c r="BM34" s="27" t="n">
        <v>0</v>
      </c>
      <c r="BN34" s="27" t="n">
        <v>0</v>
      </c>
      <c r="BO34" s="27" t="n">
        <v>0</v>
      </c>
      <c r="BP34" s="27" t="n">
        <v>0</v>
      </c>
      <c r="BQ34" s="27" t="n">
        <v>0</v>
      </c>
      <c r="BR34" s="27" t="n">
        <v>0</v>
      </c>
      <c r="BS34" s="27" t="n">
        <v>0</v>
      </c>
      <c r="BT34" s="27" t="n">
        <v>0</v>
      </c>
      <c r="BU34" s="27" t="n">
        <v>0</v>
      </c>
      <c r="BV34" s="27" t="n">
        <v>0</v>
      </c>
      <c r="BW34" s="27" t="n">
        <v>0</v>
      </c>
      <c r="BX34" s="27" t="n">
        <v>0</v>
      </c>
      <c r="BY34" s="27" t="n">
        <v>0</v>
      </c>
      <c r="BZ34" s="27" t="n">
        <v>0</v>
      </c>
      <c r="CA34" s="27" t="n">
        <v>0</v>
      </c>
      <c r="CB34" s="27" t="n">
        <v>0</v>
      </c>
      <c r="CC34" s="27" t="n">
        <v>0</v>
      </c>
      <c r="CD34" s="27" t="n">
        <v>0</v>
      </c>
      <c r="CE34" s="27" t="n">
        <v>0</v>
      </c>
      <c r="CF34" s="27" t="n">
        <v>0</v>
      </c>
      <c r="CG34" s="27" t="n">
        <v>0</v>
      </c>
      <c r="CH34" s="27" t="n">
        <v>0</v>
      </c>
      <c r="CI34" s="27" t="n">
        <v>0</v>
      </c>
      <c r="CJ34" s="27" t="n">
        <v>0</v>
      </c>
      <c r="CK34" s="27" t="n">
        <v>0</v>
      </c>
      <c r="CL34" s="27" t="n">
        <v>0</v>
      </c>
      <c r="CM34" s="27" t="n">
        <v>0</v>
      </c>
      <c r="CN34" s="27" t="n">
        <v>0</v>
      </c>
      <c r="CO34" s="27" t="n">
        <v>0</v>
      </c>
      <c r="CP34" s="27" t="n">
        <v>0</v>
      </c>
      <c r="CQ34" s="27" t="n">
        <v>0</v>
      </c>
      <c r="CR34" s="27" t="n">
        <v>0</v>
      </c>
      <c r="CS34" s="27" t="n">
        <v>0</v>
      </c>
      <c r="CT34" s="27" t="n">
        <v>0</v>
      </c>
      <c r="CU34" s="27" t="n">
        <v>0</v>
      </c>
      <c r="CV34" s="27" t="n">
        <v>0</v>
      </c>
      <c r="CW34" s="27" t="n">
        <v>0</v>
      </c>
      <c r="CX34" s="27" t="n">
        <v>0</v>
      </c>
      <c r="CY34" s="27" t="n">
        <v>0</v>
      </c>
      <c r="CZ34" s="27" t="n">
        <v>0</v>
      </c>
      <c r="DA34" s="27" t="n">
        <v>0</v>
      </c>
    </row>
    <row r="35">
      <c r="A35" t="inlineStr">
        <is>
          <t>TSP-668</t>
        </is>
      </c>
      <c r="B35" s="27" t="n">
        <v>0</v>
      </c>
      <c r="C35" s="27" t="n">
        <v>0</v>
      </c>
      <c r="D35" s="27" t="n">
        <v>0</v>
      </c>
      <c r="E35" s="27" t="n">
        <v>0</v>
      </c>
      <c r="F35" s="27" t="n">
        <v>0</v>
      </c>
      <c r="G35" s="27" t="n">
        <v>0</v>
      </c>
      <c r="H35" s="27" t="n">
        <v>0</v>
      </c>
      <c r="I35" s="27" t="n">
        <v>0</v>
      </c>
      <c r="J35" s="27" t="n">
        <v>0</v>
      </c>
      <c r="K35" s="27" t="n">
        <v>0</v>
      </c>
      <c r="L35" s="27" t="n">
        <v>0</v>
      </c>
      <c r="M35" s="27" t="n">
        <v>0</v>
      </c>
      <c r="N35" s="27" t="n">
        <v>0</v>
      </c>
      <c r="O35" s="27" t="n">
        <v>0</v>
      </c>
      <c r="P35" s="27" t="n">
        <v>0</v>
      </c>
      <c r="Q35" s="27" t="n">
        <v>0</v>
      </c>
      <c r="R35" s="27" t="n">
        <v>0</v>
      </c>
      <c r="S35" s="27" t="n">
        <v>0</v>
      </c>
      <c r="T35" s="27" t="n">
        <v>0</v>
      </c>
      <c r="U35" s="27" t="n">
        <v>0</v>
      </c>
      <c r="V35" s="27" t="n">
        <v>0</v>
      </c>
      <c r="W35" s="27" t="n">
        <v>0</v>
      </c>
      <c r="X35" s="27" t="n">
        <v>0</v>
      </c>
      <c r="Y35" s="27" t="n">
        <v>0</v>
      </c>
      <c r="Z35" s="27" t="n">
        <v>0</v>
      </c>
      <c r="AA35" s="27" t="n">
        <v>0</v>
      </c>
      <c r="AB35" s="27" t="n">
        <v>0</v>
      </c>
      <c r="AC35" s="27" t="n">
        <v>0</v>
      </c>
      <c r="AD35" s="27" t="n">
        <v>0</v>
      </c>
      <c r="AE35" s="27" t="n">
        <v>0</v>
      </c>
      <c r="AF35" s="27" t="n">
        <v>0</v>
      </c>
      <c r="AG35" s="27" t="n">
        <v>0</v>
      </c>
      <c r="AH35" s="27" t="n">
        <v>0</v>
      </c>
      <c r="AI35" s="27" t="n">
        <v>0</v>
      </c>
      <c r="AJ35" s="27" t="n">
        <v>0</v>
      </c>
      <c r="AK35" s="27" t="n">
        <v>0</v>
      </c>
      <c r="AL35" s="27" t="n">
        <v>0</v>
      </c>
      <c r="AM35" s="27" t="n">
        <v>0</v>
      </c>
      <c r="AN35" s="27" t="n">
        <v>0</v>
      </c>
      <c r="AO35" s="27" t="n">
        <v>0</v>
      </c>
      <c r="AP35" s="27" t="n">
        <v>0</v>
      </c>
      <c r="AQ35" s="27" t="n">
        <v>0</v>
      </c>
      <c r="AR35" s="27" t="n">
        <v>0</v>
      </c>
      <c r="AS35" s="27" t="n">
        <v>0</v>
      </c>
      <c r="AT35" s="27" t="n">
        <v>0</v>
      </c>
      <c r="AU35" s="27" t="n">
        <v>0</v>
      </c>
      <c r="AV35" s="27" t="n">
        <v>0</v>
      </c>
      <c r="AW35" s="27" t="n">
        <v>0</v>
      </c>
      <c r="AX35" s="27" t="n">
        <v>0</v>
      </c>
      <c r="AY35" s="27" t="n">
        <v>0</v>
      </c>
      <c r="AZ35" s="27" t="n">
        <v>0</v>
      </c>
      <c r="BA35" s="27" t="n">
        <v>0</v>
      </c>
      <c r="BB35" s="27" t="n">
        <v>0</v>
      </c>
      <c r="BC35" s="27" t="n">
        <v>0</v>
      </c>
      <c r="BD35" s="27" t="n">
        <v>0</v>
      </c>
      <c r="BE35" s="27" t="n">
        <v>0</v>
      </c>
      <c r="BF35" s="27" t="n">
        <v>0</v>
      </c>
      <c r="BG35" s="27" t="n">
        <v>0</v>
      </c>
      <c r="BH35" s="27" t="n">
        <v>0</v>
      </c>
      <c r="BI35" s="27" t="n">
        <v>0</v>
      </c>
      <c r="BJ35" s="27" t="n">
        <v>0</v>
      </c>
      <c r="BK35" s="27" t="n">
        <v>0</v>
      </c>
      <c r="BL35" s="27" t="n">
        <v>0</v>
      </c>
      <c r="BM35" s="27" t="n">
        <v>0</v>
      </c>
      <c r="BN35" s="27" t="n">
        <v>0</v>
      </c>
      <c r="BO35" s="27" t="n">
        <v>0</v>
      </c>
      <c r="BP35" s="27" t="n">
        <v>0</v>
      </c>
      <c r="BQ35" s="27" t="n">
        <v>0</v>
      </c>
      <c r="BR35" s="27" t="n">
        <v>0</v>
      </c>
      <c r="BS35" s="27" t="n">
        <v>0</v>
      </c>
      <c r="BT35" s="27" t="n">
        <v>0</v>
      </c>
      <c r="BU35" s="27" t="n">
        <v>0</v>
      </c>
      <c r="BV35" s="27" t="n">
        <v>0</v>
      </c>
      <c r="BW35" s="27" t="n">
        <v>0</v>
      </c>
      <c r="BX35" s="27" t="n">
        <v>0</v>
      </c>
      <c r="BY35" s="27" t="n">
        <v>0</v>
      </c>
      <c r="BZ35" s="27" t="n">
        <v>0</v>
      </c>
      <c r="CA35" s="27" t="n">
        <v>0</v>
      </c>
      <c r="CB35" s="27" t="n">
        <v>0</v>
      </c>
      <c r="CC35" s="27" t="n">
        <v>0</v>
      </c>
      <c r="CD35" s="27" t="n">
        <v>0</v>
      </c>
      <c r="CE35" s="27" t="n">
        <v>0</v>
      </c>
      <c r="CF35" s="27" t="n">
        <v>0</v>
      </c>
      <c r="CG35" s="27" t="n">
        <v>0</v>
      </c>
      <c r="CH35" s="27" t="n">
        <v>0</v>
      </c>
      <c r="CI35" s="27" t="n">
        <v>0</v>
      </c>
      <c r="CJ35" s="27" t="n">
        <v>0</v>
      </c>
      <c r="CK35" s="27" t="n">
        <v>0</v>
      </c>
      <c r="CL35" s="27" t="n">
        <v>0</v>
      </c>
      <c r="CM35" s="27" t="n">
        <v>0</v>
      </c>
      <c r="CN35" s="27" t="n">
        <v>0</v>
      </c>
      <c r="CO35" s="27" t="n">
        <v>0</v>
      </c>
      <c r="CP35" s="27" t="n">
        <v>0</v>
      </c>
      <c r="CQ35" s="27" t="n">
        <v>0</v>
      </c>
      <c r="CR35" s="27" t="n">
        <v>0</v>
      </c>
      <c r="CS35" s="27" t="n">
        <v>0</v>
      </c>
      <c r="CT35" s="27" t="n">
        <v>0</v>
      </c>
      <c r="CU35" s="27" t="n">
        <v>0</v>
      </c>
      <c r="CV35" s="27" t="n">
        <v>0</v>
      </c>
      <c r="CW35" s="27" t="n">
        <v>0</v>
      </c>
      <c r="CX35" s="27" t="n">
        <v>0</v>
      </c>
      <c r="CY35" s="27" t="n">
        <v>0</v>
      </c>
      <c r="CZ35" s="27" t="n">
        <v>0</v>
      </c>
      <c r="DA35" s="27" t="n">
        <v>0</v>
      </c>
    </row>
    <row r="36">
      <c r="A36" t="inlineStr">
        <is>
          <t>TSP-669</t>
        </is>
      </c>
      <c r="B36" s="27" t="n">
        <v>0</v>
      </c>
      <c r="C36" s="27" t="n">
        <v>0</v>
      </c>
      <c r="D36" s="27" t="n">
        <v>0</v>
      </c>
      <c r="E36" s="27" t="n">
        <v>0</v>
      </c>
      <c r="F36" s="27" t="n">
        <v>0</v>
      </c>
      <c r="G36" s="27" t="n">
        <v>0</v>
      </c>
      <c r="H36" s="27" t="n">
        <v>0</v>
      </c>
      <c r="I36" s="27" t="n">
        <v>0</v>
      </c>
      <c r="J36" s="27" t="n">
        <v>0</v>
      </c>
      <c r="K36" s="27" t="n">
        <v>0</v>
      </c>
      <c r="L36" s="27" t="n">
        <v>0</v>
      </c>
      <c r="M36" s="27" t="n">
        <v>0</v>
      </c>
      <c r="N36" s="27" t="n">
        <v>0</v>
      </c>
      <c r="O36" s="27" t="n">
        <v>0</v>
      </c>
      <c r="P36" s="27" t="n">
        <v>0</v>
      </c>
      <c r="Q36" s="27" t="n">
        <v>0</v>
      </c>
      <c r="R36" s="27" t="n">
        <v>0</v>
      </c>
      <c r="S36" s="27" t="n">
        <v>0</v>
      </c>
      <c r="T36" s="27" t="n">
        <v>0</v>
      </c>
      <c r="U36" s="27" t="n">
        <v>0</v>
      </c>
      <c r="V36" s="27" t="n">
        <v>0</v>
      </c>
      <c r="W36" s="27" t="n">
        <v>0</v>
      </c>
      <c r="X36" s="27" t="n">
        <v>0</v>
      </c>
      <c r="Y36" s="27" t="n">
        <v>0</v>
      </c>
      <c r="Z36" s="27" t="n">
        <v>0</v>
      </c>
      <c r="AA36" s="27" t="n">
        <v>0</v>
      </c>
      <c r="AB36" s="27" t="n">
        <v>0</v>
      </c>
      <c r="AC36" s="27" t="n">
        <v>0</v>
      </c>
      <c r="AD36" s="27" t="n">
        <v>0</v>
      </c>
      <c r="AE36" s="27" t="n">
        <v>0</v>
      </c>
      <c r="AF36" s="27" t="n">
        <v>0</v>
      </c>
      <c r="AG36" s="27" t="n">
        <v>0</v>
      </c>
      <c r="AH36" s="27" t="n">
        <v>0</v>
      </c>
      <c r="AI36" s="27" t="n">
        <v>0</v>
      </c>
      <c r="AJ36" s="27" t="n">
        <v>0</v>
      </c>
      <c r="AK36" s="27" t="n">
        <v>0</v>
      </c>
      <c r="AL36" s="27" t="n">
        <v>0</v>
      </c>
      <c r="AM36" s="27" t="n">
        <v>0</v>
      </c>
      <c r="AN36" s="27" t="n">
        <v>0</v>
      </c>
      <c r="AO36" s="27" t="n">
        <v>0</v>
      </c>
      <c r="AP36" s="27" t="n">
        <v>0</v>
      </c>
      <c r="AQ36" s="27" t="n">
        <v>0</v>
      </c>
      <c r="AR36" s="27" t="n">
        <v>0</v>
      </c>
      <c r="AS36" s="27" t="n">
        <v>0</v>
      </c>
      <c r="AT36" s="27" t="n">
        <v>0</v>
      </c>
      <c r="AU36" s="27" t="n">
        <v>0</v>
      </c>
      <c r="AV36" s="27" t="n">
        <v>0</v>
      </c>
      <c r="AW36" s="27" t="n">
        <v>0</v>
      </c>
      <c r="AX36" s="27" t="n">
        <v>0</v>
      </c>
      <c r="AY36" s="27" t="n">
        <v>0</v>
      </c>
      <c r="AZ36" s="27" t="n">
        <v>0</v>
      </c>
      <c r="BA36" s="27" t="n">
        <v>0</v>
      </c>
      <c r="BB36" s="27" t="n">
        <v>0</v>
      </c>
      <c r="BC36" s="27" t="n">
        <v>0</v>
      </c>
      <c r="BD36" s="27" t="n">
        <v>0</v>
      </c>
      <c r="BE36" s="27" t="n">
        <v>0</v>
      </c>
      <c r="BF36" s="27" t="n">
        <v>0</v>
      </c>
      <c r="BG36" s="27" t="n">
        <v>0</v>
      </c>
      <c r="BH36" s="27" t="n">
        <v>0</v>
      </c>
      <c r="BI36" s="27" t="n">
        <v>0</v>
      </c>
      <c r="BJ36" s="27" t="n">
        <v>0</v>
      </c>
      <c r="BK36" s="27" t="n">
        <v>0</v>
      </c>
      <c r="BL36" s="27" t="n">
        <v>0</v>
      </c>
      <c r="BM36" s="27" t="n">
        <v>0</v>
      </c>
      <c r="BN36" s="27" t="n">
        <v>0</v>
      </c>
      <c r="BO36" s="27" t="n">
        <v>0</v>
      </c>
      <c r="BP36" s="27" t="n">
        <v>0</v>
      </c>
      <c r="BQ36" s="27" t="n">
        <v>0</v>
      </c>
      <c r="BR36" s="27" t="n">
        <v>0</v>
      </c>
      <c r="BS36" s="27" t="n">
        <v>0</v>
      </c>
      <c r="BT36" s="27" t="n">
        <v>0</v>
      </c>
      <c r="BU36" s="27" t="n">
        <v>0</v>
      </c>
      <c r="BV36" s="27" t="n">
        <v>0</v>
      </c>
      <c r="BW36" s="27" t="n">
        <v>0</v>
      </c>
      <c r="BX36" s="27" t="n">
        <v>0</v>
      </c>
      <c r="BY36" s="27" t="n">
        <v>0</v>
      </c>
      <c r="BZ36" s="27" t="n">
        <v>0</v>
      </c>
      <c r="CA36" s="27" t="n">
        <v>0</v>
      </c>
      <c r="CB36" s="27" t="n">
        <v>0</v>
      </c>
      <c r="CC36" s="27" t="n">
        <v>0</v>
      </c>
      <c r="CD36" s="27" t="n">
        <v>0</v>
      </c>
      <c r="CE36" s="27" t="n">
        <v>0</v>
      </c>
      <c r="CF36" s="27" t="n">
        <v>0</v>
      </c>
      <c r="CG36" s="27" t="n">
        <v>0</v>
      </c>
      <c r="CH36" s="27" t="n">
        <v>0</v>
      </c>
      <c r="CI36" s="27" t="n">
        <v>0</v>
      </c>
      <c r="CJ36" s="27" t="n">
        <v>0</v>
      </c>
      <c r="CK36" s="27" t="n">
        <v>0</v>
      </c>
      <c r="CL36" s="27" t="n">
        <v>0</v>
      </c>
      <c r="CM36" s="27" t="n">
        <v>0</v>
      </c>
      <c r="CN36" s="27" t="n">
        <v>0</v>
      </c>
      <c r="CO36" s="27" t="n">
        <v>0</v>
      </c>
      <c r="CP36" s="27" t="n">
        <v>0</v>
      </c>
      <c r="CQ36" s="27" t="n">
        <v>0</v>
      </c>
      <c r="CR36" s="27" t="n">
        <v>0</v>
      </c>
      <c r="CS36" s="27" t="n">
        <v>0</v>
      </c>
      <c r="CT36" s="27" t="n">
        <v>0</v>
      </c>
      <c r="CU36" s="27" t="n">
        <v>0</v>
      </c>
      <c r="CV36" s="27" t="n">
        <v>0</v>
      </c>
      <c r="CW36" s="27" t="n">
        <v>0</v>
      </c>
      <c r="CX36" s="27" t="n">
        <v>0</v>
      </c>
      <c r="CY36" s="27" t="n">
        <v>0</v>
      </c>
      <c r="CZ36" s="27" t="n">
        <v>0</v>
      </c>
      <c r="DA36" s="27" t="n">
        <v>0</v>
      </c>
    </row>
    <row r="37">
      <c r="A37" t="inlineStr">
        <is>
          <t>TSP-670</t>
        </is>
      </c>
      <c r="B37" s="27" t="n">
        <v>0</v>
      </c>
      <c r="C37" s="27" t="n">
        <v>0</v>
      </c>
      <c r="D37" s="27" t="n">
        <v>0</v>
      </c>
      <c r="E37" s="27" t="n">
        <v>0</v>
      </c>
      <c r="F37" s="27" t="n">
        <v>0</v>
      </c>
      <c r="G37" s="27" t="n">
        <v>0</v>
      </c>
      <c r="H37" s="27" t="n">
        <v>0</v>
      </c>
      <c r="I37" s="27" t="n">
        <v>0</v>
      </c>
      <c r="J37" s="27" t="n">
        <v>0</v>
      </c>
      <c r="K37" s="27" t="n">
        <v>0</v>
      </c>
      <c r="L37" s="27" t="n">
        <v>0</v>
      </c>
      <c r="M37" s="27" t="n">
        <v>0</v>
      </c>
      <c r="N37" s="27" t="n">
        <v>0</v>
      </c>
      <c r="O37" s="27" t="n">
        <v>0</v>
      </c>
      <c r="P37" s="27" t="n">
        <v>0</v>
      </c>
      <c r="Q37" s="27" t="n">
        <v>0</v>
      </c>
      <c r="R37" s="27" t="n">
        <v>0</v>
      </c>
      <c r="S37" s="27" t="n">
        <v>0</v>
      </c>
      <c r="T37" s="27" t="n">
        <v>0</v>
      </c>
      <c r="U37" s="27" t="n">
        <v>0</v>
      </c>
      <c r="V37" s="27" t="n">
        <v>0</v>
      </c>
      <c r="W37" s="27" t="n">
        <v>0</v>
      </c>
      <c r="X37" s="27" t="n">
        <v>0</v>
      </c>
      <c r="Y37" s="27" t="n">
        <v>0</v>
      </c>
      <c r="Z37" s="27" t="n">
        <v>0</v>
      </c>
      <c r="AA37" s="27" t="n">
        <v>0</v>
      </c>
      <c r="AB37" s="27" t="n">
        <v>0</v>
      </c>
      <c r="AC37" s="27" t="n">
        <v>0</v>
      </c>
      <c r="AD37" s="27" t="n">
        <v>0</v>
      </c>
      <c r="AE37" s="27" t="n">
        <v>0</v>
      </c>
      <c r="AF37" s="27" t="n">
        <v>0</v>
      </c>
      <c r="AG37" s="27" t="n">
        <v>0</v>
      </c>
      <c r="AH37" s="27" t="n">
        <v>0</v>
      </c>
      <c r="AI37" s="27" t="n">
        <v>0</v>
      </c>
      <c r="AJ37" s="27" t="n">
        <v>0</v>
      </c>
      <c r="AK37" s="27" t="n">
        <v>0</v>
      </c>
      <c r="AL37" s="27" t="n">
        <v>0</v>
      </c>
      <c r="AM37" s="27" t="n">
        <v>0</v>
      </c>
      <c r="AN37" s="27" t="n">
        <v>0</v>
      </c>
      <c r="AO37" s="27" t="n">
        <v>0</v>
      </c>
      <c r="AP37" s="27" t="n">
        <v>0</v>
      </c>
      <c r="AQ37" s="27" t="n">
        <v>0</v>
      </c>
      <c r="AR37" s="27" t="n">
        <v>0</v>
      </c>
      <c r="AS37" s="27" t="n">
        <v>0</v>
      </c>
      <c r="AT37" s="27" t="n">
        <v>0</v>
      </c>
      <c r="AU37" s="27" t="n">
        <v>0</v>
      </c>
      <c r="AV37" s="27" t="n">
        <v>0</v>
      </c>
      <c r="AW37" s="27" t="n">
        <v>0</v>
      </c>
      <c r="AX37" s="27" t="n">
        <v>0</v>
      </c>
      <c r="AY37" s="27" t="n">
        <v>0</v>
      </c>
      <c r="AZ37" s="27" t="n">
        <v>0</v>
      </c>
      <c r="BA37" s="27" t="n">
        <v>0</v>
      </c>
      <c r="BB37" s="27" t="n">
        <v>0</v>
      </c>
      <c r="BC37" s="27" t="n">
        <v>0</v>
      </c>
      <c r="BD37" s="27" t="n">
        <v>0</v>
      </c>
      <c r="BE37" s="27" t="n">
        <v>0</v>
      </c>
      <c r="BF37" s="27" t="n">
        <v>0</v>
      </c>
      <c r="BG37" s="27" t="n">
        <v>0</v>
      </c>
      <c r="BH37" s="27" t="n">
        <v>0</v>
      </c>
      <c r="BI37" s="27" t="n">
        <v>0</v>
      </c>
      <c r="BJ37" s="27" t="n">
        <v>0</v>
      </c>
      <c r="BK37" s="27" t="n">
        <v>0</v>
      </c>
      <c r="BL37" s="27" t="n">
        <v>0</v>
      </c>
      <c r="BM37" s="27" t="n">
        <v>0</v>
      </c>
      <c r="BN37" s="27" t="n">
        <v>0</v>
      </c>
      <c r="BO37" s="27" t="n">
        <v>0</v>
      </c>
      <c r="BP37" s="27" t="n">
        <v>0</v>
      </c>
      <c r="BQ37" s="27" t="n">
        <v>0</v>
      </c>
      <c r="BR37" s="27" t="n">
        <v>0</v>
      </c>
      <c r="BS37" s="27" t="n">
        <v>0</v>
      </c>
      <c r="BT37" s="27" t="n">
        <v>0</v>
      </c>
      <c r="BU37" s="27" t="n">
        <v>0</v>
      </c>
      <c r="BV37" s="27" t="n">
        <v>0</v>
      </c>
      <c r="BW37" s="27" t="n">
        <v>0</v>
      </c>
      <c r="BX37" s="27" t="n">
        <v>0</v>
      </c>
      <c r="BY37" s="27" t="n">
        <v>0</v>
      </c>
      <c r="BZ37" s="27" t="n">
        <v>0</v>
      </c>
      <c r="CA37" s="27" t="n">
        <v>0</v>
      </c>
      <c r="CB37" s="27" t="n">
        <v>0</v>
      </c>
      <c r="CC37" s="27" t="n">
        <v>0</v>
      </c>
      <c r="CD37" s="27" t="n">
        <v>0</v>
      </c>
      <c r="CE37" s="27" t="n">
        <v>0</v>
      </c>
      <c r="CF37" s="27" t="n">
        <v>0</v>
      </c>
      <c r="CG37" s="27" t="n">
        <v>0</v>
      </c>
      <c r="CH37" s="27" t="n">
        <v>0</v>
      </c>
      <c r="CI37" s="27" t="n">
        <v>0</v>
      </c>
      <c r="CJ37" s="27" t="n">
        <v>0</v>
      </c>
      <c r="CK37" s="27" t="n">
        <v>0</v>
      </c>
      <c r="CL37" s="27" t="n">
        <v>0</v>
      </c>
      <c r="CM37" s="27" t="n">
        <v>0</v>
      </c>
      <c r="CN37" s="27" t="n">
        <v>0</v>
      </c>
      <c r="CO37" s="27" t="n">
        <v>0</v>
      </c>
      <c r="CP37" s="27" t="n">
        <v>0</v>
      </c>
      <c r="CQ37" s="27" t="n">
        <v>0</v>
      </c>
      <c r="CR37" s="27" t="n">
        <v>0</v>
      </c>
      <c r="CS37" s="27" t="n">
        <v>0</v>
      </c>
      <c r="CT37" s="27" t="n">
        <v>0</v>
      </c>
      <c r="CU37" s="27" t="n">
        <v>0</v>
      </c>
      <c r="CV37" s="27" t="n">
        <v>0</v>
      </c>
      <c r="CW37" s="27" t="n">
        <v>0</v>
      </c>
      <c r="CX37" s="27" t="n">
        <v>0</v>
      </c>
      <c r="CY37" s="27" t="n">
        <v>0</v>
      </c>
      <c r="CZ37" s="27" t="n">
        <v>0</v>
      </c>
      <c r="DA37" s="27" t="n">
        <v>0</v>
      </c>
    </row>
    <row r="38">
      <c r="A38" t="inlineStr">
        <is>
          <t>TSP-710</t>
        </is>
      </c>
      <c r="B38" s="27" t="n">
        <v>0</v>
      </c>
      <c r="C38" s="27" t="n">
        <v>0</v>
      </c>
      <c r="D38" s="27" t="n">
        <v>0</v>
      </c>
      <c r="E38" s="27" t="n">
        <v>0</v>
      </c>
      <c r="F38" s="27" t="n">
        <v>0</v>
      </c>
      <c r="G38" s="27" t="n">
        <v>0</v>
      </c>
      <c r="H38" s="27" t="n">
        <v>0</v>
      </c>
      <c r="I38" s="27" t="n">
        <v>0</v>
      </c>
      <c r="J38" s="27" t="n">
        <v>0</v>
      </c>
      <c r="K38" s="27" t="n">
        <v>0</v>
      </c>
      <c r="L38" s="27" t="n">
        <v>0</v>
      </c>
      <c r="M38" s="27" t="n">
        <v>0</v>
      </c>
      <c r="N38" s="27" t="n">
        <v>0</v>
      </c>
      <c r="O38" s="27" t="n">
        <v>0</v>
      </c>
      <c r="P38" s="27" t="n">
        <v>0</v>
      </c>
      <c r="Q38" s="27" t="n">
        <v>0</v>
      </c>
      <c r="R38" s="27" t="n">
        <v>0</v>
      </c>
      <c r="S38" s="27" t="n">
        <v>0</v>
      </c>
      <c r="T38" s="27" t="n">
        <v>0</v>
      </c>
      <c r="U38" s="27" t="n">
        <v>0</v>
      </c>
      <c r="V38" s="27" t="n">
        <v>0</v>
      </c>
      <c r="W38" s="27" t="n">
        <v>0</v>
      </c>
      <c r="X38" s="27" t="n">
        <v>0</v>
      </c>
      <c r="Y38" s="27" t="n">
        <v>0</v>
      </c>
      <c r="Z38" s="27" t="n">
        <v>0</v>
      </c>
      <c r="AA38" s="27" t="n">
        <v>0</v>
      </c>
      <c r="AB38" s="27" t="n">
        <v>0</v>
      </c>
      <c r="AC38" s="27" t="n">
        <v>0</v>
      </c>
      <c r="AD38" s="27" t="n">
        <v>0</v>
      </c>
      <c r="AE38" s="27" t="n">
        <v>0</v>
      </c>
      <c r="AF38" s="27" t="n">
        <v>0</v>
      </c>
      <c r="AG38" s="27" t="n">
        <v>0</v>
      </c>
      <c r="AH38" s="27" t="n">
        <v>0</v>
      </c>
      <c r="AI38" s="27" t="n">
        <v>0</v>
      </c>
      <c r="AJ38" s="27" t="n">
        <v>0</v>
      </c>
      <c r="AK38" s="27" t="n">
        <v>0</v>
      </c>
      <c r="AL38" s="27" t="n">
        <v>0</v>
      </c>
      <c r="AM38" s="27" t="n">
        <v>0</v>
      </c>
      <c r="AN38" s="27" t="n">
        <v>0</v>
      </c>
      <c r="AO38" s="27" t="n">
        <v>0</v>
      </c>
      <c r="AP38" s="27" t="n">
        <v>0</v>
      </c>
      <c r="AQ38" s="27" t="n">
        <v>0</v>
      </c>
      <c r="AR38" s="27" t="n">
        <v>0</v>
      </c>
      <c r="AS38" s="27" t="n">
        <v>0</v>
      </c>
      <c r="AT38" s="27" t="n">
        <v>0</v>
      </c>
      <c r="AU38" s="27" t="n">
        <v>0</v>
      </c>
      <c r="AV38" s="27" t="n">
        <v>0</v>
      </c>
      <c r="AW38" s="27" t="n">
        <v>0</v>
      </c>
      <c r="AX38" s="27" t="n">
        <v>0</v>
      </c>
      <c r="AY38" s="27" t="n">
        <v>0</v>
      </c>
      <c r="AZ38" s="27" t="n">
        <v>0</v>
      </c>
      <c r="BA38" s="27" t="n">
        <v>0</v>
      </c>
      <c r="BB38" s="27" t="n">
        <v>0</v>
      </c>
      <c r="BC38" s="27" t="n">
        <v>0</v>
      </c>
      <c r="BD38" s="27" t="n">
        <v>0</v>
      </c>
      <c r="BE38" s="27" t="n">
        <v>0</v>
      </c>
      <c r="BF38" s="27" t="n">
        <v>0</v>
      </c>
      <c r="BG38" s="27" t="n">
        <v>0</v>
      </c>
      <c r="BH38" s="27" t="n">
        <v>0</v>
      </c>
      <c r="BI38" s="27" t="n">
        <v>0</v>
      </c>
      <c r="BJ38" s="27" t="n">
        <v>0</v>
      </c>
      <c r="BK38" s="27" t="n">
        <v>0</v>
      </c>
      <c r="BL38" s="27" t="n">
        <v>0</v>
      </c>
      <c r="BM38" s="27" t="n">
        <v>0</v>
      </c>
      <c r="BN38" s="27" t="n">
        <v>0</v>
      </c>
      <c r="BO38" s="27" t="n">
        <v>0</v>
      </c>
      <c r="BP38" s="27" t="n">
        <v>0</v>
      </c>
      <c r="BQ38" s="27" t="n">
        <v>0</v>
      </c>
      <c r="BR38" s="27" t="n">
        <v>0</v>
      </c>
      <c r="BS38" s="27" t="n">
        <v>0</v>
      </c>
      <c r="BT38" s="27" t="n">
        <v>0</v>
      </c>
      <c r="BU38" s="27" t="n">
        <v>0</v>
      </c>
      <c r="BV38" s="27" t="n">
        <v>0</v>
      </c>
      <c r="BW38" s="27" t="n">
        <v>0</v>
      </c>
      <c r="BX38" s="27" t="n">
        <v>0</v>
      </c>
      <c r="BY38" s="27" t="n">
        <v>0</v>
      </c>
      <c r="BZ38" s="27" t="n">
        <v>0</v>
      </c>
      <c r="CA38" s="27" t="n">
        <v>0</v>
      </c>
      <c r="CB38" s="27" t="n">
        <v>0</v>
      </c>
      <c r="CC38" s="27" t="n">
        <v>0</v>
      </c>
      <c r="CD38" s="27" t="n">
        <v>0</v>
      </c>
      <c r="CE38" s="27" t="n">
        <v>0</v>
      </c>
      <c r="CF38" s="27" t="n">
        <v>0</v>
      </c>
      <c r="CG38" s="27" t="n">
        <v>0</v>
      </c>
      <c r="CH38" s="27" t="n">
        <v>0</v>
      </c>
      <c r="CI38" s="27" t="n">
        <v>0</v>
      </c>
      <c r="CJ38" s="27" t="n">
        <v>0</v>
      </c>
      <c r="CK38" s="27" t="n">
        <v>0</v>
      </c>
      <c r="CL38" s="27" t="n">
        <v>0</v>
      </c>
      <c r="CM38" s="27" t="n">
        <v>0</v>
      </c>
      <c r="CN38" s="27" t="n">
        <v>0</v>
      </c>
      <c r="CO38" s="27" t="n">
        <v>0</v>
      </c>
      <c r="CP38" s="27" t="n">
        <v>0</v>
      </c>
      <c r="CQ38" s="27" t="n">
        <v>0</v>
      </c>
      <c r="CR38" s="27" t="n">
        <v>0</v>
      </c>
      <c r="CS38" s="27" t="n">
        <v>0</v>
      </c>
      <c r="CT38" s="27" t="n">
        <v>0</v>
      </c>
      <c r="CU38" s="27" t="n">
        <v>0</v>
      </c>
      <c r="CV38" s="27" t="n">
        <v>0</v>
      </c>
      <c r="CW38" s="27" t="n">
        <v>0</v>
      </c>
      <c r="CX38" s="27" t="n">
        <v>0</v>
      </c>
      <c r="CY38" s="27" t="n">
        <v>0</v>
      </c>
      <c r="CZ38" s="27" t="n">
        <v>0</v>
      </c>
      <c r="DA38" s="27" t="n">
        <v>0</v>
      </c>
    </row>
    <row r="39">
      <c r="A39" t="inlineStr">
        <is>
          <t>TSP-828</t>
        </is>
      </c>
      <c r="B39" s="27" t="n">
        <v>0</v>
      </c>
      <c r="C39" s="27" t="n">
        <v>0</v>
      </c>
      <c r="D39" s="27" t="n">
        <v>0</v>
      </c>
      <c r="E39" s="27" t="n">
        <v>0</v>
      </c>
      <c r="F39" s="27" t="n">
        <v>0</v>
      </c>
      <c r="G39" s="27" t="n">
        <v>0</v>
      </c>
      <c r="H39" s="27" t="n">
        <v>0</v>
      </c>
      <c r="I39" s="27" t="n">
        <v>0</v>
      </c>
      <c r="J39" s="27" t="n">
        <v>0</v>
      </c>
      <c r="K39" s="27" t="n">
        <v>0</v>
      </c>
      <c r="L39" s="27" t="n">
        <v>0</v>
      </c>
      <c r="M39" s="27" t="n">
        <v>0</v>
      </c>
      <c r="N39" s="27" t="n">
        <v>0</v>
      </c>
      <c r="O39" s="27" t="n">
        <v>0</v>
      </c>
      <c r="P39" s="27" t="n">
        <v>0</v>
      </c>
      <c r="Q39" s="27" t="n">
        <v>0</v>
      </c>
      <c r="R39" s="27" t="n">
        <v>0</v>
      </c>
      <c r="S39" s="27" t="n">
        <v>0</v>
      </c>
      <c r="T39" s="27" t="n">
        <v>0</v>
      </c>
      <c r="U39" s="27" t="n">
        <v>0</v>
      </c>
      <c r="V39" s="27" t="n">
        <v>0</v>
      </c>
      <c r="W39" s="27" t="n">
        <v>0</v>
      </c>
      <c r="X39" s="27" t="n">
        <v>0</v>
      </c>
      <c r="Y39" s="27" t="n">
        <v>0</v>
      </c>
      <c r="Z39" s="27" t="n">
        <v>0</v>
      </c>
      <c r="AA39" s="27" t="n">
        <v>0</v>
      </c>
      <c r="AB39" s="27" t="n">
        <v>0</v>
      </c>
      <c r="AC39" s="27" t="n">
        <v>0</v>
      </c>
      <c r="AD39" s="27" t="n">
        <v>0</v>
      </c>
      <c r="AE39" s="27" t="n">
        <v>0</v>
      </c>
      <c r="AF39" s="27" t="n">
        <v>0</v>
      </c>
      <c r="AG39" s="27" t="n">
        <v>0</v>
      </c>
      <c r="AH39" s="27" t="n">
        <v>0</v>
      </c>
      <c r="AI39" s="27" t="n">
        <v>0</v>
      </c>
      <c r="AJ39" s="27" t="n">
        <v>0</v>
      </c>
      <c r="AK39" s="27" t="n">
        <v>0</v>
      </c>
      <c r="AL39" s="27" t="n">
        <v>0</v>
      </c>
      <c r="AM39" s="27" t="n">
        <v>0</v>
      </c>
      <c r="AN39" s="27" t="n">
        <v>0</v>
      </c>
      <c r="AO39" s="27" t="n">
        <v>0</v>
      </c>
      <c r="AP39" s="27" t="n">
        <v>0</v>
      </c>
      <c r="AQ39" s="27" t="n">
        <v>0</v>
      </c>
      <c r="AR39" s="27" t="n">
        <v>0</v>
      </c>
      <c r="AS39" s="27" t="n">
        <v>0</v>
      </c>
      <c r="AT39" s="27" t="n">
        <v>0</v>
      </c>
      <c r="AU39" s="27" t="n">
        <v>0</v>
      </c>
      <c r="AV39" s="27" t="n">
        <v>0</v>
      </c>
      <c r="AW39" s="27" t="n">
        <v>0</v>
      </c>
      <c r="AX39" s="27" t="n">
        <v>0</v>
      </c>
      <c r="AY39" s="27" t="n">
        <v>0</v>
      </c>
      <c r="AZ39" s="27" t="n">
        <v>0</v>
      </c>
      <c r="BA39" s="27" t="n">
        <v>0</v>
      </c>
      <c r="BB39" s="27" t="n">
        <v>0</v>
      </c>
      <c r="BC39" s="27" t="n">
        <v>0</v>
      </c>
      <c r="BD39" s="27" t="n">
        <v>0</v>
      </c>
      <c r="BE39" s="27" t="n">
        <v>0</v>
      </c>
      <c r="BF39" s="27" t="n">
        <v>0</v>
      </c>
      <c r="BG39" s="27" t="n">
        <v>0</v>
      </c>
      <c r="BH39" s="27" t="n">
        <v>0</v>
      </c>
      <c r="BI39" s="27" t="n">
        <v>0</v>
      </c>
      <c r="BJ39" s="27" t="n">
        <v>0</v>
      </c>
      <c r="BK39" s="27" t="n">
        <v>0</v>
      </c>
      <c r="BL39" s="27" t="n">
        <v>0</v>
      </c>
      <c r="BM39" s="27" t="n">
        <v>0</v>
      </c>
      <c r="BN39" s="27" t="n">
        <v>0</v>
      </c>
      <c r="BO39" s="27" t="n">
        <v>0</v>
      </c>
      <c r="BP39" s="27" t="n">
        <v>0</v>
      </c>
      <c r="BQ39" s="27" t="n">
        <v>0</v>
      </c>
      <c r="BR39" s="27" t="n">
        <v>0</v>
      </c>
      <c r="BS39" s="27" t="n">
        <v>0</v>
      </c>
      <c r="BT39" s="27" t="n">
        <v>0</v>
      </c>
      <c r="BU39" s="27" t="n">
        <v>0</v>
      </c>
      <c r="BV39" s="27" t="n">
        <v>0</v>
      </c>
      <c r="BW39" s="27" t="n">
        <v>0</v>
      </c>
      <c r="BX39" s="27" t="n">
        <v>0</v>
      </c>
      <c r="BY39" s="27" t="n">
        <v>0</v>
      </c>
      <c r="BZ39" s="27" t="n">
        <v>0</v>
      </c>
      <c r="CA39" s="27" t="n">
        <v>0</v>
      </c>
      <c r="CB39" s="27" t="n">
        <v>0</v>
      </c>
      <c r="CC39" s="27" t="n">
        <v>0</v>
      </c>
      <c r="CD39" s="27" t="n">
        <v>0</v>
      </c>
      <c r="CE39" s="27" t="n">
        <v>0</v>
      </c>
      <c r="CF39" s="27" t="n">
        <v>0</v>
      </c>
      <c r="CG39" s="27" t="n">
        <v>0</v>
      </c>
      <c r="CH39" s="27" t="n">
        <v>0</v>
      </c>
      <c r="CI39" s="27" t="n">
        <v>0</v>
      </c>
      <c r="CJ39" s="27" t="n">
        <v>0</v>
      </c>
      <c r="CK39" s="27" t="n">
        <v>0</v>
      </c>
      <c r="CL39" s="27" t="n">
        <v>0</v>
      </c>
      <c r="CM39" s="27" t="n">
        <v>0</v>
      </c>
      <c r="CN39" s="27" t="n">
        <v>0</v>
      </c>
      <c r="CO39" s="27" t="n">
        <v>0</v>
      </c>
      <c r="CP39" s="27" t="n">
        <v>0</v>
      </c>
      <c r="CQ39" s="27" t="n">
        <v>0</v>
      </c>
      <c r="CR39" s="27" t="n">
        <v>0</v>
      </c>
      <c r="CS39" s="27" t="n">
        <v>0</v>
      </c>
      <c r="CT39" s="27" t="n">
        <v>0</v>
      </c>
      <c r="CU39" s="27" t="n">
        <v>0</v>
      </c>
      <c r="CV39" s="27" t="n">
        <v>0</v>
      </c>
      <c r="CW39" s="27" t="n">
        <v>0</v>
      </c>
      <c r="CX39" s="27" t="n">
        <v>0</v>
      </c>
      <c r="CY39" s="27" t="n">
        <v>0</v>
      </c>
      <c r="CZ39" s="27" t="n">
        <v>0</v>
      </c>
      <c r="DA39" s="27" t="n">
        <v>0</v>
      </c>
    </row>
    <row r="40">
      <c r="A40" t="inlineStr">
        <is>
          <t>TSP-903</t>
        </is>
      </c>
      <c r="B40" s="27" t="n">
        <v>0</v>
      </c>
      <c r="C40" s="27" t="n">
        <v>0</v>
      </c>
      <c r="D40" s="27" t="n">
        <v>0</v>
      </c>
      <c r="E40" s="27" t="n">
        <v>0</v>
      </c>
      <c r="F40" s="27" t="n">
        <v>0</v>
      </c>
      <c r="G40" s="27" t="n">
        <v>0</v>
      </c>
      <c r="H40" s="27" t="n">
        <v>0</v>
      </c>
      <c r="I40" s="27" t="n">
        <v>0</v>
      </c>
      <c r="J40" s="27" t="n">
        <v>0</v>
      </c>
      <c r="K40" s="27" t="n">
        <v>0</v>
      </c>
      <c r="L40" s="27" t="n">
        <v>0</v>
      </c>
      <c r="M40" s="27" t="n">
        <v>0</v>
      </c>
      <c r="N40" s="27" t="n">
        <v>0</v>
      </c>
      <c r="O40" s="27" t="n">
        <v>0</v>
      </c>
      <c r="P40" s="27" t="n">
        <v>0</v>
      </c>
      <c r="Q40" s="27" t="n">
        <v>0</v>
      </c>
      <c r="R40" s="27" t="n">
        <v>0</v>
      </c>
      <c r="S40" s="27" t="n">
        <v>0</v>
      </c>
      <c r="T40" s="27" t="n">
        <v>0</v>
      </c>
      <c r="U40" s="27" t="n">
        <v>0</v>
      </c>
      <c r="V40" s="27" t="n">
        <v>0</v>
      </c>
      <c r="W40" s="27" t="n">
        <v>0</v>
      </c>
      <c r="X40" s="27" t="n">
        <v>0</v>
      </c>
      <c r="Y40" s="27" t="n">
        <v>0</v>
      </c>
      <c r="Z40" s="27" t="n">
        <v>0</v>
      </c>
      <c r="AA40" s="27" t="n">
        <v>0</v>
      </c>
      <c r="AB40" s="27" t="n">
        <v>0</v>
      </c>
      <c r="AC40" s="27" t="n">
        <v>0</v>
      </c>
      <c r="AD40" s="27" t="n">
        <v>0</v>
      </c>
      <c r="AE40" s="27" t="n">
        <v>0</v>
      </c>
      <c r="AF40" s="27" t="n">
        <v>0</v>
      </c>
      <c r="AG40" s="27" t="n">
        <v>0</v>
      </c>
      <c r="AH40" s="27" t="n">
        <v>0</v>
      </c>
      <c r="AI40" s="27" t="n">
        <v>0</v>
      </c>
      <c r="AJ40" s="27" t="n">
        <v>0</v>
      </c>
      <c r="AK40" s="27" t="n">
        <v>0</v>
      </c>
      <c r="AL40" s="27" t="n">
        <v>0</v>
      </c>
      <c r="AM40" s="27" t="n">
        <v>0</v>
      </c>
      <c r="AN40" s="27" t="n">
        <v>0</v>
      </c>
      <c r="AO40" s="27" t="n">
        <v>0</v>
      </c>
      <c r="AP40" s="27" t="n">
        <v>0</v>
      </c>
      <c r="AQ40" s="27" t="n">
        <v>0</v>
      </c>
      <c r="AR40" s="27" t="n">
        <v>0</v>
      </c>
      <c r="AS40" s="27" t="n">
        <v>0</v>
      </c>
      <c r="AT40" s="27" t="n">
        <v>0</v>
      </c>
      <c r="AU40" s="27" t="n">
        <v>0</v>
      </c>
      <c r="AV40" s="27" t="n">
        <v>0</v>
      </c>
      <c r="AW40" s="27" t="n">
        <v>0</v>
      </c>
      <c r="AX40" s="27" t="n">
        <v>0</v>
      </c>
      <c r="AY40" s="27" t="n">
        <v>0</v>
      </c>
      <c r="AZ40" s="27" t="n">
        <v>0</v>
      </c>
      <c r="BA40" s="27" t="n">
        <v>0</v>
      </c>
      <c r="BB40" s="27" t="n">
        <v>0</v>
      </c>
      <c r="BC40" s="27" t="n">
        <v>0</v>
      </c>
      <c r="BD40" s="27" t="n">
        <v>0</v>
      </c>
      <c r="BE40" s="27" t="n">
        <v>0</v>
      </c>
      <c r="BF40" s="27" t="n">
        <v>0</v>
      </c>
      <c r="BG40" s="27" t="n">
        <v>0</v>
      </c>
      <c r="BH40" s="27" t="n">
        <v>0</v>
      </c>
      <c r="BI40" s="27" t="n">
        <v>0</v>
      </c>
      <c r="BJ40" s="27" t="n">
        <v>0</v>
      </c>
      <c r="BK40" s="27" t="n">
        <v>0</v>
      </c>
      <c r="BL40" s="27" t="n">
        <v>0</v>
      </c>
      <c r="BM40" s="27" t="n">
        <v>0</v>
      </c>
      <c r="BN40" s="27" t="n">
        <v>0</v>
      </c>
      <c r="BO40" s="27" t="n">
        <v>0</v>
      </c>
      <c r="BP40" s="27" t="n">
        <v>0</v>
      </c>
      <c r="BQ40" s="27" t="n">
        <v>0</v>
      </c>
      <c r="BR40" s="27" t="n">
        <v>0</v>
      </c>
      <c r="BS40" s="27" t="n">
        <v>0</v>
      </c>
      <c r="BT40" s="27" t="n">
        <v>0</v>
      </c>
      <c r="BU40" s="27" t="n">
        <v>0</v>
      </c>
      <c r="BV40" s="27" t="n">
        <v>0</v>
      </c>
      <c r="BW40" s="27" t="n">
        <v>0</v>
      </c>
      <c r="BX40" s="27" t="n">
        <v>0</v>
      </c>
      <c r="BY40" s="27" t="n">
        <v>0</v>
      </c>
      <c r="BZ40" s="27" t="n">
        <v>0</v>
      </c>
      <c r="CA40" s="27" t="n">
        <v>0</v>
      </c>
      <c r="CB40" s="27" t="n">
        <v>0</v>
      </c>
      <c r="CC40" s="27" t="n">
        <v>0</v>
      </c>
      <c r="CD40" s="27" t="n">
        <v>0</v>
      </c>
      <c r="CE40" s="27" t="n">
        <v>0</v>
      </c>
      <c r="CF40" s="27" t="n">
        <v>0</v>
      </c>
      <c r="CG40" s="27" t="n">
        <v>0</v>
      </c>
      <c r="CH40" s="27" t="n">
        <v>0</v>
      </c>
      <c r="CI40" s="27" t="n">
        <v>0</v>
      </c>
      <c r="CJ40" s="27" t="n">
        <v>0</v>
      </c>
      <c r="CK40" s="27" t="n">
        <v>0</v>
      </c>
      <c r="CL40" s="27" t="n">
        <v>0</v>
      </c>
      <c r="CM40" s="27" t="n">
        <v>0</v>
      </c>
      <c r="CN40" s="27" t="n">
        <v>0</v>
      </c>
      <c r="CO40" s="27" t="n">
        <v>0</v>
      </c>
      <c r="CP40" s="27" t="n">
        <v>0</v>
      </c>
      <c r="CQ40" s="27" t="n">
        <v>0</v>
      </c>
      <c r="CR40" s="27" t="n">
        <v>0</v>
      </c>
      <c r="CS40" s="27" t="n">
        <v>0</v>
      </c>
      <c r="CT40" s="27" t="n">
        <v>0</v>
      </c>
      <c r="CU40" s="27" t="n">
        <v>0</v>
      </c>
      <c r="CV40" s="27" t="n">
        <v>0</v>
      </c>
      <c r="CW40" s="27" t="n">
        <v>0</v>
      </c>
      <c r="CX40" s="27" t="n">
        <v>0</v>
      </c>
      <c r="CY40" s="27" t="n">
        <v>0</v>
      </c>
      <c r="CZ40" s="27" t="n">
        <v>0</v>
      </c>
      <c r="DA40" s="27" t="n">
        <v>0</v>
      </c>
    </row>
    <row r="41">
      <c r="A41" t="inlineStr">
        <is>
          <t>TSP-924</t>
        </is>
      </c>
      <c r="B41" s="27" t="n">
        <v>0</v>
      </c>
      <c r="C41" s="27" t="n">
        <v>0</v>
      </c>
      <c r="D41" s="27" t="n">
        <v>0</v>
      </c>
      <c r="E41" s="27" t="n">
        <v>0</v>
      </c>
      <c r="F41" s="27" t="n">
        <v>0</v>
      </c>
      <c r="G41" s="27" t="n">
        <v>0</v>
      </c>
      <c r="H41" s="27" t="n">
        <v>0</v>
      </c>
      <c r="I41" s="27" t="n">
        <v>0</v>
      </c>
      <c r="J41" s="27" t="n">
        <v>0</v>
      </c>
      <c r="K41" s="27" t="n">
        <v>0</v>
      </c>
      <c r="L41" s="27" t="n">
        <v>0</v>
      </c>
      <c r="M41" s="27" t="n">
        <v>0</v>
      </c>
      <c r="N41" s="27" t="n">
        <v>0</v>
      </c>
      <c r="O41" s="27" t="n">
        <v>0</v>
      </c>
      <c r="P41" s="27" t="n">
        <v>0</v>
      </c>
      <c r="Q41" s="27" t="n">
        <v>0</v>
      </c>
      <c r="R41" s="27" t="n">
        <v>0</v>
      </c>
      <c r="S41" s="27" t="n">
        <v>0</v>
      </c>
      <c r="T41" s="27" t="n">
        <v>0</v>
      </c>
      <c r="U41" s="27" t="n">
        <v>0</v>
      </c>
      <c r="V41" s="27" t="n">
        <v>0</v>
      </c>
      <c r="W41" s="27" t="n">
        <v>0</v>
      </c>
      <c r="X41" s="27" t="n">
        <v>0</v>
      </c>
      <c r="Y41" s="27" t="n">
        <v>0</v>
      </c>
      <c r="Z41" s="27" t="n">
        <v>0</v>
      </c>
      <c r="AA41" s="27" t="n">
        <v>0</v>
      </c>
      <c r="AB41" s="27" t="n">
        <v>0</v>
      </c>
      <c r="AC41" s="27" t="n">
        <v>0</v>
      </c>
      <c r="AD41" s="27" t="n">
        <v>0</v>
      </c>
      <c r="AE41" s="27" t="n">
        <v>0</v>
      </c>
      <c r="AF41" s="27" t="n">
        <v>0</v>
      </c>
      <c r="AG41" s="27" t="n">
        <v>0</v>
      </c>
      <c r="AH41" s="27" t="n">
        <v>0</v>
      </c>
      <c r="AI41" s="27" t="n">
        <v>0</v>
      </c>
      <c r="AJ41" s="27" t="n">
        <v>0</v>
      </c>
      <c r="AK41" s="27" t="n">
        <v>0</v>
      </c>
      <c r="AL41" s="27" t="n">
        <v>0</v>
      </c>
      <c r="AM41" s="27" t="n">
        <v>0</v>
      </c>
      <c r="AN41" s="27" t="n">
        <v>0</v>
      </c>
      <c r="AO41" s="27" t="n">
        <v>0</v>
      </c>
      <c r="AP41" s="27" t="n">
        <v>0</v>
      </c>
      <c r="AQ41" s="27" t="n">
        <v>0</v>
      </c>
      <c r="AR41" s="27" t="n">
        <v>0</v>
      </c>
      <c r="AS41" s="27" t="n">
        <v>0</v>
      </c>
      <c r="AT41" s="27" t="n">
        <v>0</v>
      </c>
      <c r="AU41" s="27" t="n">
        <v>0</v>
      </c>
      <c r="AV41" s="27" t="n">
        <v>0</v>
      </c>
      <c r="AW41" s="27" t="n">
        <v>0</v>
      </c>
      <c r="AX41" s="27" t="n">
        <v>0</v>
      </c>
      <c r="AY41" s="27" t="n">
        <v>0</v>
      </c>
      <c r="AZ41" s="27" t="n">
        <v>0</v>
      </c>
      <c r="BA41" s="27" t="n">
        <v>0</v>
      </c>
      <c r="BB41" s="27" t="n">
        <v>0</v>
      </c>
      <c r="BC41" s="27" t="n">
        <v>0</v>
      </c>
      <c r="BD41" s="27" t="n">
        <v>0</v>
      </c>
      <c r="BE41" s="27" t="n">
        <v>0</v>
      </c>
      <c r="BF41" s="27" t="n">
        <v>0</v>
      </c>
      <c r="BG41" s="27" t="n">
        <v>0</v>
      </c>
      <c r="BH41" s="27" t="n">
        <v>0</v>
      </c>
      <c r="BI41" s="27" t="n">
        <v>0</v>
      </c>
      <c r="BJ41" s="27" t="n">
        <v>0</v>
      </c>
      <c r="BK41" s="27" t="n">
        <v>0</v>
      </c>
      <c r="BL41" s="27" t="n">
        <v>0</v>
      </c>
      <c r="BM41" s="27" t="n">
        <v>0</v>
      </c>
      <c r="BN41" s="27" t="n">
        <v>0</v>
      </c>
      <c r="BO41" s="27" t="n">
        <v>0</v>
      </c>
      <c r="BP41" s="27" t="n">
        <v>0</v>
      </c>
      <c r="BQ41" s="27" t="n">
        <v>0</v>
      </c>
      <c r="BR41" s="27" t="n">
        <v>0</v>
      </c>
      <c r="BS41" s="27" t="n">
        <v>0</v>
      </c>
      <c r="BT41" s="27" t="n">
        <v>0</v>
      </c>
      <c r="BU41" s="27" t="n">
        <v>0</v>
      </c>
      <c r="BV41" s="27" t="n">
        <v>0</v>
      </c>
      <c r="BW41" s="27" t="n">
        <v>0</v>
      </c>
      <c r="BX41" s="27" t="n">
        <v>0</v>
      </c>
      <c r="BY41" s="27" t="n">
        <v>0</v>
      </c>
      <c r="BZ41" s="27" t="n">
        <v>0</v>
      </c>
      <c r="CA41" s="27" t="n">
        <v>0</v>
      </c>
      <c r="CB41" s="27" t="n">
        <v>0</v>
      </c>
      <c r="CC41" s="27" t="n">
        <v>0</v>
      </c>
      <c r="CD41" s="27" t="n">
        <v>0</v>
      </c>
      <c r="CE41" s="27" t="n">
        <v>0</v>
      </c>
      <c r="CF41" s="27" t="n">
        <v>0</v>
      </c>
      <c r="CG41" s="27" t="n">
        <v>0</v>
      </c>
      <c r="CH41" s="27" t="n">
        <v>0</v>
      </c>
      <c r="CI41" s="27" t="n">
        <v>0</v>
      </c>
      <c r="CJ41" s="27" t="n">
        <v>0</v>
      </c>
      <c r="CK41" s="27" t="n">
        <v>0</v>
      </c>
      <c r="CL41" s="27" t="n">
        <v>0</v>
      </c>
      <c r="CM41" s="27" t="n">
        <v>0</v>
      </c>
      <c r="CN41" s="27" t="n">
        <v>0</v>
      </c>
      <c r="CO41" s="27" t="n">
        <v>0</v>
      </c>
      <c r="CP41" s="27" t="n">
        <v>0</v>
      </c>
      <c r="CQ41" s="27" t="n">
        <v>0</v>
      </c>
      <c r="CR41" s="27" t="n">
        <v>0</v>
      </c>
      <c r="CS41" s="27" t="n">
        <v>0</v>
      </c>
      <c r="CT41" s="27" t="n">
        <v>0</v>
      </c>
      <c r="CU41" s="27" t="n">
        <v>0</v>
      </c>
      <c r="CV41" s="27" t="n">
        <v>0</v>
      </c>
      <c r="CW41" s="27" t="n">
        <v>0</v>
      </c>
      <c r="CX41" s="27" t="n">
        <v>0</v>
      </c>
      <c r="CY41" s="27" t="n">
        <v>0</v>
      </c>
      <c r="CZ41" s="27" t="n">
        <v>0</v>
      </c>
      <c r="DA41" s="27" t="n">
        <v>0</v>
      </c>
    </row>
    <row r="42">
      <c r="A42" t="inlineStr">
        <is>
          <t>TSP-925</t>
        </is>
      </c>
      <c r="B42" s="27" t="n">
        <v>0</v>
      </c>
      <c r="C42" s="27" t="n">
        <v>0</v>
      </c>
      <c r="D42" s="27" t="n">
        <v>0</v>
      </c>
      <c r="E42" s="27" t="n">
        <v>0</v>
      </c>
      <c r="F42" s="27" t="n">
        <v>0</v>
      </c>
      <c r="G42" s="27" t="n">
        <v>0</v>
      </c>
      <c r="H42" s="27" t="n">
        <v>0</v>
      </c>
      <c r="I42" s="27" t="n">
        <v>0</v>
      </c>
      <c r="J42" s="27" t="n">
        <v>0</v>
      </c>
      <c r="K42" s="27" t="n">
        <v>0</v>
      </c>
      <c r="L42" s="27" t="n">
        <v>0</v>
      </c>
      <c r="M42" s="27" t="n">
        <v>0</v>
      </c>
      <c r="N42" s="27" t="n">
        <v>0</v>
      </c>
      <c r="O42" s="27" t="n">
        <v>0</v>
      </c>
      <c r="P42" s="27" t="n">
        <v>0</v>
      </c>
      <c r="Q42" s="27" t="n">
        <v>0</v>
      </c>
      <c r="R42" s="27" t="n">
        <v>0</v>
      </c>
      <c r="S42" s="27" t="n">
        <v>0</v>
      </c>
      <c r="T42" s="27" t="n">
        <v>0</v>
      </c>
      <c r="U42" s="27" t="n">
        <v>0</v>
      </c>
      <c r="V42" s="27" t="n">
        <v>0</v>
      </c>
      <c r="W42" s="27" t="n">
        <v>0</v>
      </c>
      <c r="X42" s="27" t="n">
        <v>0</v>
      </c>
      <c r="Y42" s="27" t="n">
        <v>0</v>
      </c>
      <c r="Z42" s="27" t="n">
        <v>0</v>
      </c>
      <c r="AA42" s="27" t="n">
        <v>0</v>
      </c>
      <c r="AB42" s="27" t="n">
        <v>0</v>
      </c>
      <c r="AC42" s="27" t="n">
        <v>0</v>
      </c>
      <c r="AD42" s="27" t="n">
        <v>0</v>
      </c>
      <c r="AE42" s="27" t="n">
        <v>0</v>
      </c>
      <c r="AF42" s="27" t="n">
        <v>0</v>
      </c>
      <c r="AG42" s="27" t="n">
        <v>0</v>
      </c>
      <c r="AH42" s="27" t="n">
        <v>0</v>
      </c>
      <c r="AI42" s="27" t="n">
        <v>0</v>
      </c>
      <c r="AJ42" s="27" t="n">
        <v>0</v>
      </c>
      <c r="AK42" s="27" t="n">
        <v>0</v>
      </c>
      <c r="AL42" s="27" t="n">
        <v>0</v>
      </c>
      <c r="AM42" s="27" t="n">
        <v>0</v>
      </c>
      <c r="AN42" s="27" t="n">
        <v>0</v>
      </c>
      <c r="AO42" s="27" t="n">
        <v>0</v>
      </c>
      <c r="AP42" s="27" t="n">
        <v>0</v>
      </c>
      <c r="AQ42" s="27" t="n">
        <v>0</v>
      </c>
      <c r="AR42" s="27" t="n">
        <v>0</v>
      </c>
      <c r="AS42" s="27" t="n">
        <v>0</v>
      </c>
      <c r="AT42" s="27" t="n">
        <v>0</v>
      </c>
      <c r="AU42" s="27" t="n">
        <v>0</v>
      </c>
      <c r="AV42" s="27" t="n">
        <v>0</v>
      </c>
      <c r="AW42" s="27" t="n">
        <v>0</v>
      </c>
      <c r="AX42" s="27" t="n">
        <v>0</v>
      </c>
      <c r="AY42" s="27" t="n">
        <v>0</v>
      </c>
      <c r="AZ42" s="27" t="n">
        <v>0</v>
      </c>
      <c r="BA42" s="27" t="n">
        <v>0</v>
      </c>
      <c r="BB42" s="27" t="n">
        <v>0</v>
      </c>
      <c r="BC42" s="27" t="n">
        <v>0</v>
      </c>
      <c r="BD42" s="27" t="n">
        <v>0</v>
      </c>
      <c r="BE42" s="27" t="n">
        <v>0</v>
      </c>
      <c r="BF42" s="27" t="n">
        <v>0</v>
      </c>
      <c r="BG42" s="27" t="n">
        <v>0</v>
      </c>
      <c r="BH42" s="27" t="n">
        <v>0</v>
      </c>
      <c r="BI42" s="27" t="n">
        <v>0</v>
      </c>
      <c r="BJ42" s="27" t="n">
        <v>0</v>
      </c>
      <c r="BK42" s="27" t="n">
        <v>0</v>
      </c>
      <c r="BL42" s="27" t="n">
        <v>0</v>
      </c>
      <c r="BM42" s="27" t="n">
        <v>0</v>
      </c>
      <c r="BN42" s="27" t="n">
        <v>0</v>
      </c>
      <c r="BO42" s="27" t="n">
        <v>0</v>
      </c>
      <c r="BP42" s="27" t="n">
        <v>0</v>
      </c>
      <c r="BQ42" s="27" t="n">
        <v>0</v>
      </c>
      <c r="BR42" s="27" t="n">
        <v>0</v>
      </c>
      <c r="BS42" s="27" t="n">
        <v>0</v>
      </c>
      <c r="BT42" s="27" t="n">
        <v>0</v>
      </c>
      <c r="BU42" s="27" t="n">
        <v>0</v>
      </c>
      <c r="BV42" s="27" t="n">
        <v>0</v>
      </c>
      <c r="BW42" s="27" t="n">
        <v>0</v>
      </c>
      <c r="BX42" s="27" t="n">
        <v>0</v>
      </c>
      <c r="BY42" s="27" t="n">
        <v>0</v>
      </c>
      <c r="BZ42" s="27" t="n">
        <v>0</v>
      </c>
      <c r="CA42" s="27" t="n">
        <v>0</v>
      </c>
      <c r="CB42" s="27" t="n">
        <v>0</v>
      </c>
      <c r="CC42" s="27" t="n">
        <v>0</v>
      </c>
      <c r="CD42" s="27" t="n">
        <v>0</v>
      </c>
      <c r="CE42" s="27" t="n">
        <v>0</v>
      </c>
      <c r="CF42" s="27" t="n">
        <v>0</v>
      </c>
      <c r="CG42" s="27" t="n">
        <v>0</v>
      </c>
      <c r="CH42" s="27" t="n">
        <v>0</v>
      </c>
      <c r="CI42" s="27" t="n">
        <v>0</v>
      </c>
      <c r="CJ42" s="27" t="n">
        <v>0</v>
      </c>
      <c r="CK42" s="27" t="n">
        <v>0</v>
      </c>
      <c r="CL42" s="27" t="n">
        <v>0</v>
      </c>
      <c r="CM42" s="27" t="n">
        <v>0</v>
      </c>
      <c r="CN42" s="27" t="n">
        <v>0</v>
      </c>
      <c r="CO42" s="27" t="n">
        <v>0</v>
      </c>
      <c r="CP42" s="27" t="n">
        <v>0</v>
      </c>
      <c r="CQ42" s="27" t="n">
        <v>0</v>
      </c>
      <c r="CR42" s="27" t="n">
        <v>0</v>
      </c>
      <c r="CS42" s="27" t="n">
        <v>0</v>
      </c>
      <c r="CT42" s="27" t="n">
        <v>0</v>
      </c>
      <c r="CU42" s="27" t="n">
        <v>0</v>
      </c>
      <c r="CV42" s="27" t="n">
        <v>0</v>
      </c>
      <c r="CW42" s="27" t="n">
        <v>0</v>
      </c>
      <c r="CX42" s="27" t="n">
        <v>0</v>
      </c>
      <c r="CY42" s="27" t="n">
        <v>0</v>
      </c>
      <c r="CZ42" s="27" t="n">
        <v>0</v>
      </c>
      <c r="DA42" s="27" t="n">
        <v>0</v>
      </c>
    </row>
    <row r="43">
      <c r="A43" t="inlineStr">
        <is>
          <t>TSP-927</t>
        </is>
      </c>
      <c r="B43" s="27" t="n">
        <v>0</v>
      </c>
      <c r="C43" s="27" t="n">
        <v>0</v>
      </c>
      <c r="D43" s="27" t="n">
        <v>0</v>
      </c>
      <c r="E43" s="27" t="n">
        <v>0</v>
      </c>
      <c r="F43" s="27" t="n">
        <v>0</v>
      </c>
      <c r="G43" s="27" t="n">
        <v>0</v>
      </c>
      <c r="H43" s="27" t="n">
        <v>0</v>
      </c>
      <c r="I43" s="27" t="n">
        <v>0</v>
      </c>
      <c r="J43" s="27" t="n">
        <v>0</v>
      </c>
      <c r="K43" s="27" t="n">
        <v>0</v>
      </c>
      <c r="L43" s="27" t="n">
        <v>0</v>
      </c>
      <c r="M43" s="27" t="n">
        <v>0</v>
      </c>
      <c r="N43" s="27" t="n">
        <v>0</v>
      </c>
      <c r="O43" s="27" t="n">
        <v>0</v>
      </c>
      <c r="P43" s="27" t="n">
        <v>0</v>
      </c>
      <c r="Q43" s="27" t="n">
        <v>0</v>
      </c>
      <c r="R43" s="27" t="n">
        <v>0</v>
      </c>
      <c r="S43" s="27" t="n">
        <v>0</v>
      </c>
      <c r="T43" s="27" t="n">
        <v>0</v>
      </c>
      <c r="U43" s="27" t="n">
        <v>0</v>
      </c>
      <c r="V43" s="27" t="n">
        <v>0</v>
      </c>
      <c r="W43" s="27" t="n">
        <v>0</v>
      </c>
      <c r="X43" s="27" t="n">
        <v>0</v>
      </c>
      <c r="Y43" s="27" t="n">
        <v>0</v>
      </c>
      <c r="Z43" s="27" t="n">
        <v>0</v>
      </c>
      <c r="AA43" s="27" t="n">
        <v>0</v>
      </c>
      <c r="AB43" s="27" t="n">
        <v>0</v>
      </c>
      <c r="AC43" s="27" t="n">
        <v>0</v>
      </c>
      <c r="AD43" s="27" t="n">
        <v>0</v>
      </c>
      <c r="AE43" s="27" t="n">
        <v>0</v>
      </c>
      <c r="AF43" s="27" t="n">
        <v>0</v>
      </c>
      <c r="AG43" s="27" t="n">
        <v>0</v>
      </c>
      <c r="AH43" s="27" t="n">
        <v>0</v>
      </c>
      <c r="AI43" s="27" t="n">
        <v>0</v>
      </c>
      <c r="AJ43" s="27" t="n">
        <v>0</v>
      </c>
      <c r="AK43" s="27" t="n">
        <v>0</v>
      </c>
      <c r="AL43" s="27" t="n">
        <v>0</v>
      </c>
      <c r="AM43" s="27" t="n">
        <v>0</v>
      </c>
      <c r="AN43" s="27" t="n">
        <v>0</v>
      </c>
      <c r="AO43" s="27" t="n">
        <v>0</v>
      </c>
      <c r="AP43" s="27" t="n">
        <v>0</v>
      </c>
      <c r="AQ43" s="27" t="n">
        <v>0</v>
      </c>
      <c r="AR43" s="27" t="n">
        <v>0</v>
      </c>
      <c r="AS43" s="27" t="n">
        <v>0</v>
      </c>
      <c r="AT43" s="27" t="n">
        <v>0</v>
      </c>
      <c r="AU43" s="27" t="n">
        <v>0</v>
      </c>
      <c r="AV43" s="27" t="n">
        <v>0</v>
      </c>
      <c r="AW43" s="27" t="n">
        <v>0</v>
      </c>
      <c r="AX43" s="27" t="n">
        <v>0</v>
      </c>
      <c r="AY43" s="27" t="n">
        <v>0</v>
      </c>
      <c r="AZ43" s="27" t="n">
        <v>0</v>
      </c>
      <c r="BA43" s="27" t="n">
        <v>0</v>
      </c>
      <c r="BB43" s="27" t="n">
        <v>0</v>
      </c>
      <c r="BC43" s="27" t="n">
        <v>0</v>
      </c>
      <c r="BD43" s="27" t="n">
        <v>0</v>
      </c>
      <c r="BE43" s="27" t="n">
        <v>0</v>
      </c>
      <c r="BF43" s="27" t="n">
        <v>0</v>
      </c>
      <c r="BG43" s="27" t="n">
        <v>0</v>
      </c>
      <c r="BH43" s="27" t="n">
        <v>0</v>
      </c>
      <c r="BI43" s="27" t="n">
        <v>0</v>
      </c>
      <c r="BJ43" s="27" t="n">
        <v>0</v>
      </c>
      <c r="BK43" s="27" t="n">
        <v>0</v>
      </c>
      <c r="BL43" s="27" t="n">
        <v>0</v>
      </c>
      <c r="BM43" s="27" t="n">
        <v>0</v>
      </c>
      <c r="BN43" s="27" t="n">
        <v>0</v>
      </c>
      <c r="BO43" s="27" t="n">
        <v>0</v>
      </c>
      <c r="BP43" s="27" t="n">
        <v>0</v>
      </c>
      <c r="BQ43" s="27" t="n">
        <v>0</v>
      </c>
      <c r="BR43" s="27" t="n">
        <v>0</v>
      </c>
      <c r="BS43" s="27" t="n">
        <v>0</v>
      </c>
      <c r="BT43" s="27" t="n">
        <v>0</v>
      </c>
      <c r="BU43" s="27" t="n">
        <v>0</v>
      </c>
      <c r="BV43" s="27" t="n">
        <v>0</v>
      </c>
      <c r="BW43" s="27" t="n">
        <v>0</v>
      </c>
      <c r="BX43" s="27" t="n">
        <v>0</v>
      </c>
      <c r="BY43" s="27" t="n">
        <v>0</v>
      </c>
      <c r="BZ43" s="27" t="n">
        <v>0</v>
      </c>
      <c r="CA43" s="27" t="n">
        <v>0</v>
      </c>
      <c r="CB43" s="27" t="n">
        <v>0</v>
      </c>
      <c r="CC43" s="27" t="n">
        <v>0</v>
      </c>
      <c r="CD43" s="27" t="n">
        <v>0</v>
      </c>
      <c r="CE43" s="27" t="n">
        <v>0</v>
      </c>
      <c r="CF43" s="27" t="n">
        <v>0</v>
      </c>
      <c r="CG43" s="27" t="n">
        <v>0</v>
      </c>
      <c r="CH43" s="27" t="n">
        <v>0</v>
      </c>
      <c r="CI43" s="27" t="n">
        <v>0</v>
      </c>
      <c r="CJ43" s="27" t="n">
        <v>0</v>
      </c>
      <c r="CK43" s="27" t="n">
        <v>0</v>
      </c>
      <c r="CL43" s="27" t="n">
        <v>0</v>
      </c>
      <c r="CM43" s="27" t="n">
        <v>0</v>
      </c>
      <c r="CN43" s="27" t="n">
        <v>0</v>
      </c>
      <c r="CO43" s="27" t="n">
        <v>0</v>
      </c>
      <c r="CP43" s="27" t="n">
        <v>0</v>
      </c>
      <c r="CQ43" s="27" t="n">
        <v>0</v>
      </c>
      <c r="CR43" s="27" t="n">
        <v>0</v>
      </c>
      <c r="CS43" s="27" t="n">
        <v>0</v>
      </c>
      <c r="CT43" s="27" t="n">
        <v>0</v>
      </c>
      <c r="CU43" s="27" t="n">
        <v>0</v>
      </c>
      <c r="CV43" s="27" t="n">
        <v>0</v>
      </c>
      <c r="CW43" s="27" t="n">
        <v>0</v>
      </c>
      <c r="CX43" s="27" t="n">
        <v>0</v>
      </c>
      <c r="CY43" s="27" t="n">
        <v>0</v>
      </c>
      <c r="CZ43" s="27" t="n">
        <v>0</v>
      </c>
      <c r="DA43" s="27" t="n">
        <v>0</v>
      </c>
    </row>
    <row r="44">
      <c r="A44" t="inlineStr">
        <is>
          <t>TSP-928</t>
        </is>
      </c>
      <c r="B44" s="27" t="n">
        <v>0</v>
      </c>
      <c r="C44" s="27" t="n">
        <v>0</v>
      </c>
      <c r="D44" s="27" t="n">
        <v>0</v>
      </c>
      <c r="E44" s="27" t="n">
        <v>0</v>
      </c>
      <c r="F44" s="27" t="n">
        <v>0</v>
      </c>
      <c r="G44" s="27" t="n">
        <v>0</v>
      </c>
      <c r="H44" s="27" t="n">
        <v>0</v>
      </c>
      <c r="I44" s="27" t="n">
        <v>0</v>
      </c>
      <c r="J44" s="27" t="n">
        <v>0</v>
      </c>
      <c r="K44" s="27" t="n">
        <v>0</v>
      </c>
      <c r="L44" s="27" t="n">
        <v>0</v>
      </c>
      <c r="M44" s="27" t="n">
        <v>0</v>
      </c>
      <c r="N44" s="27" t="n">
        <v>0</v>
      </c>
      <c r="O44" s="27" t="n">
        <v>0</v>
      </c>
      <c r="P44" s="27" t="n">
        <v>0</v>
      </c>
      <c r="Q44" s="27" t="n">
        <v>0</v>
      </c>
      <c r="R44" s="27" t="n">
        <v>0</v>
      </c>
      <c r="S44" s="27" t="n">
        <v>0</v>
      </c>
      <c r="T44" s="27" t="n">
        <v>0</v>
      </c>
      <c r="U44" s="27" t="n">
        <v>0</v>
      </c>
      <c r="V44" s="27" t="n">
        <v>0</v>
      </c>
      <c r="W44" s="27" t="n">
        <v>0</v>
      </c>
      <c r="X44" s="27" t="n">
        <v>0</v>
      </c>
      <c r="Y44" s="27" t="n">
        <v>0</v>
      </c>
      <c r="Z44" s="27" t="n">
        <v>0</v>
      </c>
      <c r="AA44" s="27" t="n">
        <v>0</v>
      </c>
      <c r="AB44" s="27" t="n">
        <v>0</v>
      </c>
      <c r="AC44" s="27" t="n">
        <v>0</v>
      </c>
      <c r="AD44" s="27" t="n">
        <v>0</v>
      </c>
      <c r="AE44" s="27" t="n">
        <v>0</v>
      </c>
      <c r="AF44" s="27" t="n">
        <v>0</v>
      </c>
      <c r="AG44" s="27" t="n">
        <v>0</v>
      </c>
      <c r="AH44" s="27" t="n">
        <v>0</v>
      </c>
      <c r="AI44" s="27" t="n">
        <v>0</v>
      </c>
      <c r="AJ44" s="27" t="n">
        <v>0</v>
      </c>
      <c r="AK44" s="27" t="n">
        <v>0</v>
      </c>
      <c r="AL44" s="27" t="n">
        <v>0</v>
      </c>
      <c r="AM44" s="27" t="n">
        <v>0</v>
      </c>
      <c r="AN44" s="27" t="n">
        <v>0</v>
      </c>
      <c r="AO44" s="27" t="n">
        <v>0</v>
      </c>
      <c r="AP44" s="27" t="n">
        <v>0</v>
      </c>
      <c r="AQ44" s="27" t="n">
        <v>0</v>
      </c>
      <c r="AR44" s="27" t="n">
        <v>0</v>
      </c>
      <c r="AS44" s="27" t="n">
        <v>0</v>
      </c>
      <c r="AT44" s="27" t="n">
        <v>0</v>
      </c>
      <c r="AU44" s="27" t="n">
        <v>0</v>
      </c>
      <c r="AV44" s="27" t="n">
        <v>0</v>
      </c>
      <c r="AW44" s="27" t="n">
        <v>0</v>
      </c>
      <c r="AX44" s="27" t="n">
        <v>0</v>
      </c>
      <c r="AY44" s="27" t="n">
        <v>0</v>
      </c>
      <c r="AZ44" s="27" t="n">
        <v>0</v>
      </c>
      <c r="BA44" s="27" t="n">
        <v>0</v>
      </c>
      <c r="BB44" s="27" t="n">
        <v>0</v>
      </c>
      <c r="BC44" s="27" t="n">
        <v>0</v>
      </c>
      <c r="BD44" s="27" t="n">
        <v>0</v>
      </c>
      <c r="BE44" s="27" t="n">
        <v>0</v>
      </c>
      <c r="BF44" s="27" t="n">
        <v>0</v>
      </c>
      <c r="BG44" s="27" t="n">
        <v>0</v>
      </c>
      <c r="BH44" s="27" t="n">
        <v>0</v>
      </c>
      <c r="BI44" s="27" t="n">
        <v>0</v>
      </c>
      <c r="BJ44" s="27" t="n">
        <v>0</v>
      </c>
      <c r="BK44" s="27" t="n">
        <v>0</v>
      </c>
      <c r="BL44" s="27" t="n">
        <v>0</v>
      </c>
      <c r="BM44" s="27" t="n">
        <v>0</v>
      </c>
      <c r="BN44" s="27" t="n">
        <v>0</v>
      </c>
      <c r="BO44" s="27" t="n">
        <v>0</v>
      </c>
      <c r="BP44" s="27" t="n">
        <v>0</v>
      </c>
      <c r="BQ44" s="27" t="n">
        <v>0</v>
      </c>
      <c r="BR44" s="27" t="n">
        <v>0</v>
      </c>
      <c r="BS44" s="27" t="n">
        <v>0</v>
      </c>
      <c r="BT44" s="27" t="n">
        <v>0</v>
      </c>
      <c r="BU44" s="27" t="n">
        <v>0</v>
      </c>
      <c r="BV44" s="27" t="n">
        <v>0</v>
      </c>
      <c r="BW44" s="27" t="n">
        <v>0</v>
      </c>
      <c r="BX44" s="27" t="n">
        <v>0</v>
      </c>
      <c r="BY44" s="27" t="n">
        <v>0</v>
      </c>
      <c r="BZ44" s="27" t="n">
        <v>0</v>
      </c>
      <c r="CA44" s="27" t="n">
        <v>0</v>
      </c>
      <c r="CB44" s="27" t="n">
        <v>0</v>
      </c>
      <c r="CC44" s="27" t="n">
        <v>0</v>
      </c>
      <c r="CD44" s="27" t="n">
        <v>0</v>
      </c>
      <c r="CE44" s="27" t="n">
        <v>0</v>
      </c>
      <c r="CF44" s="27" t="n">
        <v>0</v>
      </c>
      <c r="CG44" s="27" t="n">
        <v>0</v>
      </c>
      <c r="CH44" s="27" t="n">
        <v>0</v>
      </c>
      <c r="CI44" s="27" t="n">
        <v>0</v>
      </c>
      <c r="CJ44" s="27" t="n">
        <v>0</v>
      </c>
      <c r="CK44" s="27" t="n">
        <v>0</v>
      </c>
      <c r="CL44" s="27" t="n">
        <v>0</v>
      </c>
      <c r="CM44" s="27" t="n">
        <v>0</v>
      </c>
      <c r="CN44" s="27" t="n">
        <v>0</v>
      </c>
      <c r="CO44" s="27" t="n">
        <v>0</v>
      </c>
      <c r="CP44" s="27" t="n">
        <v>0</v>
      </c>
      <c r="CQ44" s="27" t="n">
        <v>0</v>
      </c>
      <c r="CR44" s="27" t="n">
        <v>0</v>
      </c>
      <c r="CS44" s="27" t="n">
        <v>0</v>
      </c>
      <c r="CT44" s="27" t="n">
        <v>0</v>
      </c>
      <c r="CU44" s="27" t="n">
        <v>0</v>
      </c>
      <c r="CV44" s="27" t="n">
        <v>0</v>
      </c>
      <c r="CW44" s="27" t="n">
        <v>0</v>
      </c>
      <c r="CX44" s="27" t="n">
        <v>0</v>
      </c>
      <c r="CY44" s="27" t="n">
        <v>0</v>
      </c>
      <c r="CZ44" s="27" t="n">
        <v>0</v>
      </c>
      <c r="DA44" s="27" t="n">
        <v>0</v>
      </c>
    </row>
    <row r="45">
      <c r="A45" t="inlineStr">
        <is>
          <t>TSP-929</t>
        </is>
      </c>
      <c r="B45" s="27" t="n">
        <v>0</v>
      </c>
      <c r="C45" s="27" t="n">
        <v>0</v>
      </c>
      <c r="D45" s="27" t="n">
        <v>0</v>
      </c>
      <c r="E45" s="27" t="n">
        <v>0</v>
      </c>
      <c r="F45" s="27" t="n">
        <v>0</v>
      </c>
      <c r="G45" s="27" t="n">
        <v>0</v>
      </c>
      <c r="H45" s="27" t="n">
        <v>0</v>
      </c>
      <c r="I45" s="27" t="n">
        <v>0</v>
      </c>
      <c r="J45" s="27" t="n">
        <v>0</v>
      </c>
      <c r="K45" s="27" t="n">
        <v>0</v>
      </c>
      <c r="L45" s="27" t="n">
        <v>0</v>
      </c>
      <c r="M45" s="27" t="n">
        <v>0</v>
      </c>
      <c r="N45" s="27" t="n">
        <v>0</v>
      </c>
      <c r="O45" s="27" t="n">
        <v>0</v>
      </c>
      <c r="P45" s="27" t="n">
        <v>0</v>
      </c>
      <c r="Q45" s="27" t="n">
        <v>0</v>
      </c>
      <c r="R45" s="27" t="n">
        <v>0</v>
      </c>
      <c r="S45" s="27" t="n">
        <v>0</v>
      </c>
      <c r="T45" s="27" t="n">
        <v>0</v>
      </c>
      <c r="U45" s="27" t="n">
        <v>0</v>
      </c>
      <c r="V45" s="27" t="n">
        <v>0</v>
      </c>
      <c r="W45" s="27" t="n">
        <v>0</v>
      </c>
      <c r="X45" s="27" t="n">
        <v>0</v>
      </c>
      <c r="Y45" s="27" t="n">
        <v>0</v>
      </c>
      <c r="Z45" s="27" t="n">
        <v>0</v>
      </c>
      <c r="AA45" s="27" t="n">
        <v>0</v>
      </c>
      <c r="AB45" s="27" t="n">
        <v>0</v>
      </c>
      <c r="AC45" s="27" t="n">
        <v>0</v>
      </c>
      <c r="AD45" s="27" t="n">
        <v>0</v>
      </c>
      <c r="AE45" s="27" t="n">
        <v>0</v>
      </c>
      <c r="AF45" s="27" t="n">
        <v>0</v>
      </c>
      <c r="AG45" s="27" t="n">
        <v>0</v>
      </c>
      <c r="AH45" s="27" t="n">
        <v>0</v>
      </c>
      <c r="AI45" s="27" t="n">
        <v>0</v>
      </c>
      <c r="AJ45" s="27" t="n">
        <v>0</v>
      </c>
      <c r="AK45" s="27" t="n">
        <v>0</v>
      </c>
      <c r="AL45" s="27" t="n">
        <v>0</v>
      </c>
      <c r="AM45" s="27" t="n">
        <v>0</v>
      </c>
      <c r="AN45" s="27" t="n">
        <v>0</v>
      </c>
      <c r="AO45" s="27" t="n">
        <v>0</v>
      </c>
      <c r="AP45" s="27" t="n">
        <v>0</v>
      </c>
      <c r="AQ45" s="27" t="n">
        <v>0</v>
      </c>
      <c r="AR45" s="27" t="n">
        <v>0</v>
      </c>
      <c r="AS45" s="27" t="n">
        <v>0</v>
      </c>
      <c r="AT45" s="27" t="n">
        <v>0</v>
      </c>
      <c r="AU45" s="27" t="n">
        <v>0</v>
      </c>
      <c r="AV45" s="27" t="n">
        <v>0</v>
      </c>
      <c r="AW45" s="27" t="n">
        <v>0</v>
      </c>
      <c r="AX45" s="27" t="n">
        <v>0</v>
      </c>
      <c r="AY45" s="27" t="n">
        <v>0</v>
      </c>
      <c r="AZ45" s="27" t="n">
        <v>0</v>
      </c>
      <c r="BA45" s="27" t="n">
        <v>0</v>
      </c>
      <c r="BB45" s="27" t="n">
        <v>0</v>
      </c>
      <c r="BC45" s="27" t="n">
        <v>0</v>
      </c>
      <c r="BD45" s="27" t="n">
        <v>0</v>
      </c>
      <c r="BE45" s="27" t="n">
        <v>0</v>
      </c>
      <c r="BF45" s="27" t="n">
        <v>0</v>
      </c>
      <c r="BG45" s="27" t="n">
        <v>0</v>
      </c>
      <c r="BH45" s="27" t="n">
        <v>0</v>
      </c>
      <c r="BI45" s="27" t="n">
        <v>0</v>
      </c>
      <c r="BJ45" s="27" t="n">
        <v>0</v>
      </c>
      <c r="BK45" s="27" t="n">
        <v>0</v>
      </c>
      <c r="BL45" s="27" t="n">
        <v>0</v>
      </c>
      <c r="BM45" s="27" t="n">
        <v>0</v>
      </c>
      <c r="BN45" s="27" t="n">
        <v>0</v>
      </c>
      <c r="BO45" s="27" t="n">
        <v>0</v>
      </c>
      <c r="BP45" s="27" t="n">
        <v>0</v>
      </c>
      <c r="BQ45" s="27" t="n">
        <v>0</v>
      </c>
      <c r="BR45" s="27" t="n">
        <v>0</v>
      </c>
      <c r="BS45" s="27" t="n">
        <v>0</v>
      </c>
      <c r="BT45" s="27" t="n">
        <v>0</v>
      </c>
      <c r="BU45" s="27" t="n">
        <v>0</v>
      </c>
      <c r="BV45" s="27" t="n">
        <v>0</v>
      </c>
      <c r="BW45" s="27" t="n">
        <v>0</v>
      </c>
      <c r="BX45" s="27" t="n">
        <v>0</v>
      </c>
      <c r="BY45" s="27" t="n">
        <v>0</v>
      </c>
      <c r="BZ45" s="27" t="n">
        <v>0</v>
      </c>
      <c r="CA45" s="27" t="n">
        <v>0</v>
      </c>
      <c r="CB45" s="27" t="n">
        <v>0</v>
      </c>
      <c r="CC45" s="27" t="n">
        <v>0</v>
      </c>
      <c r="CD45" s="27" t="n">
        <v>0</v>
      </c>
      <c r="CE45" s="27" t="n">
        <v>0</v>
      </c>
      <c r="CF45" s="27" t="n">
        <v>0</v>
      </c>
      <c r="CG45" s="27" t="n">
        <v>0</v>
      </c>
      <c r="CH45" s="27" t="n">
        <v>0</v>
      </c>
      <c r="CI45" s="27" t="n">
        <v>0</v>
      </c>
      <c r="CJ45" s="27" t="n">
        <v>0</v>
      </c>
      <c r="CK45" s="27" t="n">
        <v>0</v>
      </c>
      <c r="CL45" s="27" t="n">
        <v>0</v>
      </c>
      <c r="CM45" s="27" t="n">
        <v>0</v>
      </c>
      <c r="CN45" s="27" t="n">
        <v>0</v>
      </c>
      <c r="CO45" s="27" t="n">
        <v>0</v>
      </c>
      <c r="CP45" s="27" t="n">
        <v>0</v>
      </c>
      <c r="CQ45" s="27" t="n">
        <v>0</v>
      </c>
      <c r="CR45" s="27" t="n">
        <v>0</v>
      </c>
      <c r="CS45" s="27" t="n">
        <v>0</v>
      </c>
      <c r="CT45" s="27" t="n">
        <v>0</v>
      </c>
      <c r="CU45" s="27" t="n">
        <v>0</v>
      </c>
      <c r="CV45" s="27" t="n">
        <v>0</v>
      </c>
      <c r="CW45" s="27" t="n">
        <v>0</v>
      </c>
      <c r="CX45" s="27" t="n">
        <v>0</v>
      </c>
      <c r="CY45" s="27" t="n">
        <v>0</v>
      </c>
      <c r="CZ45" s="27" t="n">
        <v>0</v>
      </c>
      <c r="DA45" s="27" t="n">
        <v>0</v>
      </c>
    </row>
    <row r="46">
      <c r="A46" t="inlineStr">
        <is>
          <t>TSP-930</t>
        </is>
      </c>
      <c r="B46" s="27" t="n">
        <v>0</v>
      </c>
      <c r="C46" s="27" t="n">
        <v>0</v>
      </c>
      <c r="D46" s="27" t="n">
        <v>0</v>
      </c>
      <c r="E46" s="27" t="n">
        <v>0</v>
      </c>
      <c r="F46" s="27" t="n">
        <v>0</v>
      </c>
      <c r="G46" s="27" t="n">
        <v>0</v>
      </c>
      <c r="H46" s="27" t="n">
        <v>0</v>
      </c>
      <c r="I46" s="27" t="n">
        <v>0</v>
      </c>
      <c r="J46" s="27" t="n">
        <v>0</v>
      </c>
      <c r="K46" s="27" t="n">
        <v>0</v>
      </c>
      <c r="L46" s="27" t="n">
        <v>0</v>
      </c>
      <c r="M46" s="27" t="n">
        <v>0</v>
      </c>
      <c r="N46" s="27" t="n">
        <v>0</v>
      </c>
      <c r="O46" s="27" t="n">
        <v>0</v>
      </c>
      <c r="P46" s="27" t="n">
        <v>0</v>
      </c>
      <c r="Q46" s="27" t="n">
        <v>0</v>
      </c>
      <c r="R46" s="27" t="n">
        <v>0</v>
      </c>
      <c r="S46" s="27" t="n">
        <v>0</v>
      </c>
      <c r="T46" s="27" t="n">
        <v>0</v>
      </c>
      <c r="U46" s="27" t="n">
        <v>0</v>
      </c>
      <c r="V46" s="27" t="n">
        <v>0</v>
      </c>
      <c r="W46" s="27" t="n">
        <v>0</v>
      </c>
      <c r="X46" s="27" t="n">
        <v>0</v>
      </c>
      <c r="Y46" s="27" t="n">
        <v>0</v>
      </c>
      <c r="Z46" s="27" t="n">
        <v>0</v>
      </c>
      <c r="AA46" s="27" t="n">
        <v>0</v>
      </c>
      <c r="AB46" s="27" t="n">
        <v>0</v>
      </c>
      <c r="AC46" s="27" t="n">
        <v>0</v>
      </c>
      <c r="AD46" s="27" t="n">
        <v>0</v>
      </c>
      <c r="AE46" s="27" t="n">
        <v>0</v>
      </c>
      <c r="AF46" s="27" t="n">
        <v>0</v>
      </c>
      <c r="AG46" s="27" t="n">
        <v>0</v>
      </c>
      <c r="AH46" s="27" t="n">
        <v>0</v>
      </c>
      <c r="AI46" s="27" t="n">
        <v>0</v>
      </c>
      <c r="AJ46" s="27" t="n">
        <v>0</v>
      </c>
      <c r="AK46" s="27" t="n">
        <v>0</v>
      </c>
      <c r="AL46" s="27" t="n">
        <v>0</v>
      </c>
      <c r="AM46" s="27" t="n">
        <v>0</v>
      </c>
      <c r="AN46" s="27" t="n">
        <v>0</v>
      </c>
      <c r="AO46" s="27" t="n">
        <v>0</v>
      </c>
      <c r="AP46" s="27" t="n">
        <v>0</v>
      </c>
      <c r="AQ46" s="27" t="n">
        <v>0</v>
      </c>
      <c r="AR46" s="27" t="n">
        <v>0</v>
      </c>
      <c r="AS46" s="27" t="n">
        <v>0</v>
      </c>
      <c r="AT46" s="27" t="n">
        <v>0</v>
      </c>
      <c r="AU46" s="27" t="n">
        <v>0</v>
      </c>
      <c r="AV46" s="27" t="n">
        <v>0</v>
      </c>
      <c r="AW46" s="27" t="n">
        <v>0</v>
      </c>
      <c r="AX46" s="27" t="n">
        <v>0</v>
      </c>
      <c r="AY46" s="27" t="n">
        <v>0</v>
      </c>
      <c r="AZ46" s="27" t="n">
        <v>0</v>
      </c>
      <c r="BA46" s="27" t="n">
        <v>0</v>
      </c>
      <c r="BB46" s="27" t="n">
        <v>0</v>
      </c>
      <c r="BC46" s="27" t="n">
        <v>0</v>
      </c>
      <c r="BD46" s="27" t="n">
        <v>0</v>
      </c>
      <c r="BE46" s="27" t="n">
        <v>0</v>
      </c>
      <c r="BF46" s="27" t="n">
        <v>0</v>
      </c>
      <c r="BG46" s="27" t="n">
        <v>0</v>
      </c>
      <c r="BH46" s="27" t="n">
        <v>0</v>
      </c>
      <c r="BI46" s="27" t="n">
        <v>0</v>
      </c>
      <c r="BJ46" s="27" t="n">
        <v>0</v>
      </c>
      <c r="BK46" s="27" t="n">
        <v>0</v>
      </c>
      <c r="BL46" s="27" t="n">
        <v>0</v>
      </c>
      <c r="BM46" s="27" t="n">
        <v>0</v>
      </c>
      <c r="BN46" s="27" t="n">
        <v>0</v>
      </c>
      <c r="BO46" s="27" t="n">
        <v>0</v>
      </c>
      <c r="BP46" s="27" t="n">
        <v>0</v>
      </c>
      <c r="BQ46" s="27" t="n">
        <v>0</v>
      </c>
      <c r="BR46" s="27" t="n">
        <v>0</v>
      </c>
      <c r="BS46" s="27" t="n">
        <v>0</v>
      </c>
      <c r="BT46" s="27" t="n">
        <v>0</v>
      </c>
      <c r="BU46" s="27" t="n">
        <v>0</v>
      </c>
      <c r="BV46" s="27" t="n">
        <v>0</v>
      </c>
      <c r="BW46" s="27" t="n">
        <v>0</v>
      </c>
      <c r="BX46" s="27" t="n">
        <v>0</v>
      </c>
      <c r="BY46" s="27" t="n">
        <v>0</v>
      </c>
      <c r="BZ46" s="27" t="n">
        <v>0</v>
      </c>
      <c r="CA46" s="27" t="n">
        <v>0</v>
      </c>
      <c r="CB46" s="27" t="n">
        <v>0</v>
      </c>
      <c r="CC46" s="27" t="n">
        <v>0</v>
      </c>
      <c r="CD46" s="27" t="n">
        <v>0</v>
      </c>
      <c r="CE46" s="27" t="n">
        <v>0</v>
      </c>
      <c r="CF46" s="27" t="n">
        <v>0</v>
      </c>
      <c r="CG46" s="27" t="n">
        <v>0</v>
      </c>
      <c r="CH46" s="27" t="n">
        <v>0</v>
      </c>
      <c r="CI46" s="27" t="n">
        <v>0</v>
      </c>
      <c r="CJ46" s="27" t="n">
        <v>0</v>
      </c>
      <c r="CK46" s="27" t="n">
        <v>0</v>
      </c>
      <c r="CL46" s="27" t="n">
        <v>0</v>
      </c>
      <c r="CM46" s="27" t="n">
        <v>0</v>
      </c>
      <c r="CN46" s="27" t="n">
        <v>0</v>
      </c>
      <c r="CO46" s="27" t="n">
        <v>0</v>
      </c>
      <c r="CP46" s="27" t="n">
        <v>0</v>
      </c>
      <c r="CQ46" s="27" t="n">
        <v>0</v>
      </c>
      <c r="CR46" s="27" t="n">
        <v>0</v>
      </c>
      <c r="CS46" s="27" t="n">
        <v>0</v>
      </c>
      <c r="CT46" s="27" t="n">
        <v>0</v>
      </c>
      <c r="CU46" s="27" t="n">
        <v>0</v>
      </c>
      <c r="CV46" s="27" t="n">
        <v>0</v>
      </c>
      <c r="CW46" s="27" t="n">
        <v>0</v>
      </c>
      <c r="CX46" s="27" t="n">
        <v>0</v>
      </c>
      <c r="CY46" s="27" t="n">
        <v>0</v>
      </c>
      <c r="CZ46" s="27" t="n">
        <v>0</v>
      </c>
      <c r="DA46" s="27" t="n">
        <v>0</v>
      </c>
    </row>
    <row r="47">
      <c r="A47" t="inlineStr">
        <is>
          <t>TSP-934</t>
        </is>
      </c>
      <c r="B47" s="27" t="n">
        <v>0</v>
      </c>
      <c r="C47" s="27" t="n">
        <v>0</v>
      </c>
      <c r="D47" s="27" t="n">
        <v>0</v>
      </c>
      <c r="E47" s="27" t="n">
        <v>0</v>
      </c>
      <c r="F47" s="27" t="n">
        <v>0</v>
      </c>
      <c r="G47" s="27" t="n">
        <v>0</v>
      </c>
      <c r="H47" s="27" t="n">
        <v>0</v>
      </c>
      <c r="I47" s="27" t="n">
        <v>0</v>
      </c>
      <c r="J47" s="27" t="n">
        <v>0</v>
      </c>
      <c r="K47" s="27" t="n">
        <v>0</v>
      </c>
      <c r="L47" s="27" t="n">
        <v>0</v>
      </c>
      <c r="M47" s="27" t="n">
        <v>0</v>
      </c>
      <c r="N47" s="27" t="n">
        <v>0</v>
      </c>
      <c r="O47" s="27" t="n">
        <v>0</v>
      </c>
      <c r="P47" s="27" t="n">
        <v>0</v>
      </c>
      <c r="Q47" s="27" t="n">
        <v>0</v>
      </c>
      <c r="R47" s="27" t="n">
        <v>0</v>
      </c>
      <c r="S47" s="27" t="n">
        <v>0</v>
      </c>
      <c r="T47" s="27" t="n">
        <v>0</v>
      </c>
      <c r="U47" s="27" t="n">
        <v>0</v>
      </c>
      <c r="V47" s="27" t="n">
        <v>0</v>
      </c>
      <c r="W47" s="27" t="n">
        <v>0</v>
      </c>
      <c r="X47" s="27" t="n">
        <v>0</v>
      </c>
      <c r="Y47" s="27" t="n">
        <v>0</v>
      </c>
      <c r="Z47" s="27" t="n">
        <v>0</v>
      </c>
      <c r="AA47" s="27" t="n">
        <v>0</v>
      </c>
      <c r="AB47" s="27" t="n">
        <v>0</v>
      </c>
      <c r="AC47" s="27" t="n">
        <v>0</v>
      </c>
      <c r="AD47" s="27" t="n">
        <v>0</v>
      </c>
      <c r="AE47" s="27" t="n">
        <v>0</v>
      </c>
      <c r="AF47" s="27" t="n">
        <v>0</v>
      </c>
      <c r="AG47" s="27" t="n">
        <v>0</v>
      </c>
      <c r="AH47" s="27" t="n">
        <v>0</v>
      </c>
      <c r="AI47" s="27" t="n">
        <v>0</v>
      </c>
      <c r="AJ47" s="27" t="n">
        <v>0</v>
      </c>
      <c r="AK47" s="27" t="n">
        <v>0</v>
      </c>
      <c r="AL47" s="27" t="n">
        <v>0</v>
      </c>
      <c r="AM47" s="27" t="n">
        <v>0</v>
      </c>
      <c r="AN47" s="27" t="n">
        <v>0</v>
      </c>
      <c r="AO47" s="27" t="n">
        <v>0</v>
      </c>
      <c r="AP47" s="27" t="n">
        <v>0</v>
      </c>
      <c r="AQ47" s="27" t="n">
        <v>0</v>
      </c>
      <c r="AR47" s="27" t="n">
        <v>0</v>
      </c>
      <c r="AS47" s="27" t="n">
        <v>0</v>
      </c>
      <c r="AT47" s="27" t="n">
        <v>0</v>
      </c>
      <c r="AU47" s="27" t="n">
        <v>0</v>
      </c>
      <c r="AV47" s="27" t="n">
        <v>0</v>
      </c>
      <c r="AW47" s="27" t="n">
        <v>0</v>
      </c>
      <c r="AX47" s="27" t="n">
        <v>0</v>
      </c>
      <c r="AY47" s="27" t="n">
        <v>0</v>
      </c>
      <c r="AZ47" s="27" t="n">
        <v>0</v>
      </c>
      <c r="BA47" s="27" t="n">
        <v>0</v>
      </c>
      <c r="BB47" s="27" t="n">
        <v>0</v>
      </c>
      <c r="BC47" s="27" t="n">
        <v>0</v>
      </c>
      <c r="BD47" s="27" t="n">
        <v>0</v>
      </c>
      <c r="BE47" s="27" t="n">
        <v>0</v>
      </c>
      <c r="BF47" s="27" t="n">
        <v>0</v>
      </c>
      <c r="BG47" s="27" t="n">
        <v>0</v>
      </c>
      <c r="BH47" s="27" t="n">
        <v>0</v>
      </c>
      <c r="BI47" s="27" t="n">
        <v>0</v>
      </c>
      <c r="BJ47" s="27" t="n">
        <v>0</v>
      </c>
      <c r="BK47" s="27" t="n">
        <v>0</v>
      </c>
      <c r="BL47" s="27" t="n">
        <v>0</v>
      </c>
      <c r="BM47" s="27" t="n">
        <v>0</v>
      </c>
      <c r="BN47" s="27" t="n">
        <v>0</v>
      </c>
      <c r="BO47" s="27" t="n">
        <v>0</v>
      </c>
      <c r="BP47" s="27" t="n">
        <v>0</v>
      </c>
      <c r="BQ47" s="27" t="n">
        <v>0</v>
      </c>
      <c r="BR47" s="27" t="n">
        <v>0</v>
      </c>
      <c r="BS47" s="27" t="n">
        <v>0</v>
      </c>
      <c r="BT47" s="27" t="n">
        <v>0</v>
      </c>
      <c r="BU47" s="27" t="n">
        <v>0</v>
      </c>
      <c r="BV47" s="27" t="n">
        <v>0</v>
      </c>
      <c r="BW47" s="27" t="n">
        <v>0</v>
      </c>
      <c r="BX47" s="27" t="n">
        <v>0</v>
      </c>
      <c r="BY47" s="27" t="n">
        <v>0</v>
      </c>
      <c r="BZ47" s="27" t="n">
        <v>0</v>
      </c>
      <c r="CA47" s="27" t="n">
        <v>0</v>
      </c>
      <c r="CB47" s="27" t="n">
        <v>0</v>
      </c>
      <c r="CC47" s="27" t="n">
        <v>0</v>
      </c>
      <c r="CD47" s="27" t="n">
        <v>0</v>
      </c>
      <c r="CE47" s="27" t="n">
        <v>0</v>
      </c>
      <c r="CF47" s="27" t="n">
        <v>0</v>
      </c>
      <c r="CG47" s="27" t="n">
        <v>0</v>
      </c>
      <c r="CH47" s="27" t="n">
        <v>0</v>
      </c>
      <c r="CI47" s="27" t="n">
        <v>0</v>
      </c>
      <c r="CJ47" s="27" t="n">
        <v>0</v>
      </c>
      <c r="CK47" s="27" t="n">
        <v>0</v>
      </c>
      <c r="CL47" s="27" t="n">
        <v>0</v>
      </c>
      <c r="CM47" s="27" t="n">
        <v>0</v>
      </c>
      <c r="CN47" s="27" t="n">
        <v>0</v>
      </c>
      <c r="CO47" s="27" t="n">
        <v>0</v>
      </c>
      <c r="CP47" s="27" t="n">
        <v>0</v>
      </c>
      <c r="CQ47" s="27" t="n">
        <v>0</v>
      </c>
      <c r="CR47" s="27" t="n">
        <v>0</v>
      </c>
      <c r="CS47" s="27" t="n">
        <v>0</v>
      </c>
      <c r="CT47" s="27" t="n">
        <v>0</v>
      </c>
      <c r="CU47" s="27" t="n">
        <v>0</v>
      </c>
      <c r="CV47" s="27" t="n">
        <v>0</v>
      </c>
      <c r="CW47" s="27" t="n">
        <v>0</v>
      </c>
      <c r="CX47" s="27" t="n">
        <v>0</v>
      </c>
      <c r="CY47" s="27" t="n">
        <v>0</v>
      </c>
      <c r="CZ47" s="27" t="n">
        <v>0</v>
      </c>
      <c r="DA47" s="27" t="n">
        <v>0</v>
      </c>
    </row>
    <row r="48">
      <c r="A48" t="inlineStr">
        <is>
          <t>TSP-935</t>
        </is>
      </c>
      <c r="B48" s="27" t="n">
        <v>0</v>
      </c>
      <c r="C48" s="27" t="n">
        <v>0</v>
      </c>
      <c r="D48" s="27" t="n">
        <v>0</v>
      </c>
      <c r="E48" s="27" t="n">
        <v>0</v>
      </c>
      <c r="F48" s="27" t="n">
        <v>0</v>
      </c>
      <c r="G48" s="27" t="n">
        <v>0</v>
      </c>
      <c r="H48" s="27" t="n">
        <v>0</v>
      </c>
      <c r="I48" s="27" t="n">
        <v>0</v>
      </c>
      <c r="J48" s="27" t="n">
        <v>0</v>
      </c>
      <c r="K48" s="27" t="n">
        <v>0</v>
      </c>
      <c r="L48" s="27" t="n">
        <v>0</v>
      </c>
      <c r="M48" s="27" t="n">
        <v>0</v>
      </c>
      <c r="N48" s="27" t="n">
        <v>0</v>
      </c>
      <c r="O48" s="27" t="n">
        <v>0</v>
      </c>
      <c r="P48" s="27" t="n">
        <v>0</v>
      </c>
      <c r="Q48" s="27" t="n">
        <v>0</v>
      </c>
      <c r="R48" s="27" t="n">
        <v>0</v>
      </c>
      <c r="S48" s="27" t="n">
        <v>0</v>
      </c>
      <c r="T48" s="27" t="n">
        <v>0</v>
      </c>
      <c r="U48" s="27" t="n">
        <v>0</v>
      </c>
      <c r="V48" s="27" t="n">
        <v>0</v>
      </c>
      <c r="W48" s="27" t="n">
        <v>0</v>
      </c>
      <c r="X48" s="27" t="n">
        <v>0</v>
      </c>
      <c r="Y48" s="27" t="n">
        <v>0</v>
      </c>
      <c r="Z48" s="27" t="n">
        <v>0</v>
      </c>
      <c r="AA48" s="27" t="n">
        <v>0</v>
      </c>
      <c r="AB48" s="27" t="n">
        <v>0</v>
      </c>
      <c r="AC48" s="27" t="n">
        <v>0</v>
      </c>
      <c r="AD48" s="27" t="n">
        <v>0</v>
      </c>
      <c r="AE48" s="27" t="n">
        <v>0</v>
      </c>
      <c r="AF48" s="27" t="n">
        <v>0</v>
      </c>
      <c r="AG48" s="27" t="n">
        <v>0</v>
      </c>
      <c r="AH48" s="27" t="n">
        <v>0</v>
      </c>
      <c r="AI48" s="27" t="n">
        <v>0</v>
      </c>
      <c r="AJ48" s="27" t="n">
        <v>0</v>
      </c>
      <c r="AK48" s="27" t="n">
        <v>0</v>
      </c>
      <c r="AL48" s="27" t="n">
        <v>0</v>
      </c>
      <c r="AM48" s="27" t="n">
        <v>0</v>
      </c>
      <c r="AN48" s="27" t="n">
        <v>0</v>
      </c>
      <c r="AO48" s="27" t="n">
        <v>0</v>
      </c>
      <c r="AP48" s="27" t="n">
        <v>0</v>
      </c>
      <c r="AQ48" s="27" t="n">
        <v>0</v>
      </c>
      <c r="AR48" s="27" t="n">
        <v>0</v>
      </c>
      <c r="AS48" s="27" t="n">
        <v>0</v>
      </c>
      <c r="AT48" s="27" t="n">
        <v>0</v>
      </c>
      <c r="AU48" s="27" t="n">
        <v>0</v>
      </c>
      <c r="AV48" s="27" t="n">
        <v>0</v>
      </c>
      <c r="AW48" s="27" t="n">
        <v>0</v>
      </c>
      <c r="AX48" s="27" t="n">
        <v>0</v>
      </c>
      <c r="AY48" s="27" t="n">
        <v>0</v>
      </c>
      <c r="AZ48" s="27" t="n">
        <v>0</v>
      </c>
      <c r="BA48" s="27" t="n">
        <v>0</v>
      </c>
      <c r="BB48" s="27" t="n">
        <v>0</v>
      </c>
      <c r="BC48" s="27" t="n">
        <v>0</v>
      </c>
      <c r="BD48" s="27" t="n">
        <v>0</v>
      </c>
      <c r="BE48" s="27" t="n">
        <v>0</v>
      </c>
      <c r="BF48" s="27" t="n">
        <v>0</v>
      </c>
      <c r="BG48" s="27" t="n">
        <v>0</v>
      </c>
      <c r="BH48" s="27" t="n">
        <v>0</v>
      </c>
      <c r="BI48" s="27" t="n">
        <v>0</v>
      </c>
      <c r="BJ48" s="27" t="n">
        <v>0</v>
      </c>
      <c r="BK48" s="27" t="n">
        <v>0</v>
      </c>
      <c r="BL48" s="27" t="n">
        <v>0</v>
      </c>
      <c r="BM48" s="27" t="n">
        <v>0</v>
      </c>
      <c r="BN48" s="27" t="n">
        <v>0</v>
      </c>
      <c r="BO48" s="27" t="n">
        <v>0</v>
      </c>
      <c r="BP48" s="27" t="n">
        <v>0</v>
      </c>
      <c r="BQ48" s="27" t="n">
        <v>0</v>
      </c>
      <c r="BR48" s="27" t="n">
        <v>0</v>
      </c>
      <c r="BS48" s="27" t="n">
        <v>0</v>
      </c>
      <c r="BT48" s="27" t="n">
        <v>0</v>
      </c>
      <c r="BU48" s="27" t="n">
        <v>0</v>
      </c>
      <c r="BV48" s="27" t="n">
        <v>0</v>
      </c>
      <c r="BW48" s="27" t="n">
        <v>0</v>
      </c>
      <c r="BX48" s="27" t="n">
        <v>0</v>
      </c>
      <c r="BY48" s="27" t="n">
        <v>0</v>
      </c>
      <c r="BZ48" s="27" t="n">
        <v>0</v>
      </c>
      <c r="CA48" s="27" t="n">
        <v>0</v>
      </c>
      <c r="CB48" s="27" t="n">
        <v>0</v>
      </c>
      <c r="CC48" s="27" t="n">
        <v>0</v>
      </c>
      <c r="CD48" s="27" t="n">
        <v>0</v>
      </c>
      <c r="CE48" s="27" t="n">
        <v>0</v>
      </c>
      <c r="CF48" s="27" t="n">
        <v>0</v>
      </c>
      <c r="CG48" s="27" t="n">
        <v>0</v>
      </c>
      <c r="CH48" s="27" t="n">
        <v>0</v>
      </c>
      <c r="CI48" s="27" t="n">
        <v>0</v>
      </c>
      <c r="CJ48" s="27" t="n">
        <v>0</v>
      </c>
      <c r="CK48" s="27" t="n">
        <v>0</v>
      </c>
      <c r="CL48" s="27" t="n">
        <v>0</v>
      </c>
      <c r="CM48" s="27" t="n">
        <v>0</v>
      </c>
      <c r="CN48" s="27" t="n">
        <v>0</v>
      </c>
      <c r="CO48" s="27" t="n">
        <v>0</v>
      </c>
      <c r="CP48" s="27" t="n">
        <v>0</v>
      </c>
      <c r="CQ48" s="27" t="n">
        <v>0</v>
      </c>
      <c r="CR48" s="27" t="n">
        <v>0</v>
      </c>
      <c r="CS48" s="27" t="n">
        <v>0</v>
      </c>
      <c r="CT48" s="27" t="n">
        <v>0</v>
      </c>
      <c r="CU48" s="27" t="n">
        <v>0</v>
      </c>
      <c r="CV48" s="27" t="n">
        <v>0</v>
      </c>
      <c r="CW48" s="27" t="n">
        <v>0</v>
      </c>
      <c r="CX48" s="27" t="n">
        <v>0</v>
      </c>
      <c r="CY48" s="27" t="n">
        <v>0</v>
      </c>
      <c r="CZ48" s="27" t="n">
        <v>0</v>
      </c>
      <c r="DA48" s="27" t="n">
        <v>0</v>
      </c>
    </row>
    <row r="49">
      <c r="A49" t="inlineStr">
        <is>
          <t>TSP-936</t>
        </is>
      </c>
      <c r="B49" s="27" t="n">
        <v>0</v>
      </c>
      <c r="C49" s="27" t="n">
        <v>0</v>
      </c>
      <c r="D49" s="27" t="n">
        <v>0</v>
      </c>
      <c r="E49" s="27" t="n">
        <v>0</v>
      </c>
      <c r="F49" s="27" t="n">
        <v>0</v>
      </c>
      <c r="G49" s="27" t="n">
        <v>0</v>
      </c>
      <c r="H49" s="27" t="n">
        <v>0</v>
      </c>
      <c r="I49" s="27" t="n">
        <v>0</v>
      </c>
      <c r="J49" s="27" t="n">
        <v>0</v>
      </c>
      <c r="K49" s="27" t="n">
        <v>0</v>
      </c>
      <c r="L49" s="27" t="n">
        <v>0</v>
      </c>
      <c r="M49" s="27" t="n">
        <v>0</v>
      </c>
      <c r="N49" s="27" t="n">
        <v>0</v>
      </c>
      <c r="O49" s="27" t="n">
        <v>0</v>
      </c>
      <c r="P49" s="27" t="n">
        <v>0</v>
      </c>
      <c r="Q49" s="27" t="n">
        <v>0</v>
      </c>
      <c r="R49" s="27" t="n">
        <v>0</v>
      </c>
      <c r="S49" s="27" t="n">
        <v>0</v>
      </c>
      <c r="T49" s="27" t="n">
        <v>0</v>
      </c>
      <c r="U49" s="27" t="n">
        <v>0</v>
      </c>
      <c r="V49" s="27" t="n">
        <v>0</v>
      </c>
      <c r="W49" s="27" t="n">
        <v>0</v>
      </c>
      <c r="X49" s="27" t="n">
        <v>0</v>
      </c>
      <c r="Y49" s="27" t="n">
        <v>0</v>
      </c>
      <c r="Z49" s="27" t="n">
        <v>0</v>
      </c>
      <c r="AA49" s="27" t="n">
        <v>0</v>
      </c>
      <c r="AB49" s="27" t="n">
        <v>0</v>
      </c>
      <c r="AC49" s="27" t="n">
        <v>0</v>
      </c>
      <c r="AD49" s="27" t="n">
        <v>0</v>
      </c>
      <c r="AE49" s="27" t="n">
        <v>0</v>
      </c>
      <c r="AF49" s="27" t="n">
        <v>0</v>
      </c>
      <c r="AG49" s="27" t="n">
        <v>0</v>
      </c>
      <c r="AH49" s="27" t="n">
        <v>0</v>
      </c>
      <c r="AI49" s="27" t="n">
        <v>0</v>
      </c>
      <c r="AJ49" s="27" t="n">
        <v>0</v>
      </c>
      <c r="AK49" s="27" t="n">
        <v>0</v>
      </c>
      <c r="AL49" s="27" t="n">
        <v>0</v>
      </c>
      <c r="AM49" s="27" t="n">
        <v>0</v>
      </c>
      <c r="AN49" s="27" t="n">
        <v>0</v>
      </c>
      <c r="AO49" s="27" t="n">
        <v>0</v>
      </c>
      <c r="AP49" s="27" t="n">
        <v>0</v>
      </c>
      <c r="AQ49" s="27" t="n">
        <v>0</v>
      </c>
      <c r="AR49" s="27" t="n">
        <v>0</v>
      </c>
      <c r="AS49" s="27" t="n">
        <v>0</v>
      </c>
      <c r="AT49" s="27" t="n">
        <v>0</v>
      </c>
      <c r="AU49" s="27" t="n">
        <v>0</v>
      </c>
      <c r="AV49" s="27" t="n">
        <v>0</v>
      </c>
      <c r="AW49" s="27" t="n">
        <v>0</v>
      </c>
      <c r="AX49" s="27" t="n">
        <v>0</v>
      </c>
      <c r="AY49" s="27" t="n">
        <v>0</v>
      </c>
      <c r="AZ49" s="27" t="n">
        <v>0</v>
      </c>
      <c r="BA49" s="27" t="n">
        <v>0</v>
      </c>
      <c r="BB49" s="27" t="n">
        <v>0</v>
      </c>
      <c r="BC49" s="27" t="n">
        <v>0</v>
      </c>
      <c r="BD49" s="27" t="n">
        <v>0</v>
      </c>
      <c r="BE49" s="27" t="n">
        <v>0</v>
      </c>
      <c r="BF49" s="27" t="n">
        <v>0</v>
      </c>
      <c r="BG49" s="27" t="n">
        <v>0</v>
      </c>
      <c r="BH49" s="27" t="n">
        <v>0</v>
      </c>
      <c r="BI49" s="27" t="n">
        <v>0</v>
      </c>
      <c r="BJ49" s="27" t="n">
        <v>0</v>
      </c>
      <c r="BK49" s="27" t="n">
        <v>0</v>
      </c>
      <c r="BL49" s="27" t="n">
        <v>0</v>
      </c>
      <c r="BM49" s="27" t="n">
        <v>0</v>
      </c>
      <c r="BN49" s="27" t="n">
        <v>0</v>
      </c>
      <c r="BO49" s="27" t="n">
        <v>0</v>
      </c>
      <c r="BP49" s="27" t="n">
        <v>0</v>
      </c>
      <c r="BQ49" s="27" t="n">
        <v>0</v>
      </c>
      <c r="BR49" s="27" t="n">
        <v>0</v>
      </c>
      <c r="BS49" s="27" t="n">
        <v>0</v>
      </c>
      <c r="BT49" s="27" t="n">
        <v>0</v>
      </c>
      <c r="BU49" s="27" t="n">
        <v>0</v>
      </c>
      <c r="BV49" s="27" t="n">
        <v>0</v>
      </c>
      <c r="BW49" s="27" t="n">
        <v>0</v>
      </c>
      <c r="BX49" s="27" t="n">
        <v>0</v>
      </c>
      <c r="BY49" s="27" t="n">
        <v>0</v>
      </c>
      <c r="BZ49" s="27" t="n">
        <v>0</v>
      </c>
      <c r="CA49" s="27" t="n">
        <v>0</v>
      </c>
      <c r="CB49" s="27" t="n">
        <v>0</v>
      </c>
      <c r="CC49" s="27" t="n">
        <v>0</v>
      </c>
      <c r="CD49" s="27" t="n">
        <v>0</v>
      </c>
      <c r="CE49" s="27" t="n">
        <v>0</v>
      </c>
      <c r="CF49" s="27" t="n">
        <v>0</v>
      </c>
      <c r="CG49" s="27" t="n">
        <v>0</v>
      </c>
      <c r="CH49" s="27" t="n">
        <v>0</v>
      </c>
      <c r="CI49" s="27" t="n">
        <v>0</v>
      </c>
      <c r="CJ49" s="27" t="n">
        <v>0</v>
      </c>
      <c r="CK49" s="27" t="n">
        <v>0</v>
      </c>
      <c r="CL49" s="27" t="n">
        <v>0</v>
      </c>
      <c r="CM49" s="27" t="n">
        <v>0</v>
      </c>
      <c r="CN49" s="27" t="n">
        <v>0</v>
      </c>
      <c r="CO49" s="27" t="n">
        <v>0</v>
      </c>
      <c r="CP49" s="27" t="n">
        <v>0</v>
      </c>
      <c r="CQ49" s="27" t="n">
        <v>0</v>
      </c>
      <c r="CR49" s="27" t="n">
        <v>0</v>
      </c>
      <c r="CS49" s="27" t="n">
        <v>0</v>
      </c>
      <c r="CT49" s="27" t="n">
        <v>0</v>
      </c>
      <c r="CU49" s="27" t="n">
        <v>0</v>
      </c>
      <c r="CV49" s="27" t="n">
        <v>0</v>
      </c>
      <c r="CW49" s="27" t="n">
        <v>0</v>
      </c>
      <c r="CX49" s="27" t="n">
        <v>0</v>
      </c>
      <c r="CY49" s="27" t="n">
        <v>0</v>
      </c>
      <c r="CZ49" s="27" t="n">
        <v>0</v>
      </c>
      <c r="DA49" s="27" t="n">
        <v>0</v>
      </c>
    </row>
    <row r="50">
      <c r="A50" t="inlineStr">
        <is>
          <t>TSP-937</t>
        </is>
      </c>
      <c r="B50" s="27" t="n">
        <v>0</v>
      </c>
      <c r="C50" s="27" t="n">
        <v>0</v>
      </c>
      <c r="D50" s="27" t="n">
        <v>0</v>
      </c>
      <c r="E50" s="27" t="n">
        <v>0</v>
      </c>
      <c r="F50" s="27" t="n">
        <v>0</v>
      </c>
      <c r="G50" s="27" t="n">
        <v>0</v>
      </c>
      <c r="H50" s="27" t="n">
        <v>0</v>
      </c>
      <c r="I50" s="27" t="n">
        <v>0</v>
      </c>
      <c r="J50" s="27" t="n">
        <v>0</v>
      </c>
      <c r="K50" s="27" t="n">
        <v>0</v>
      </c>
      <c r="L50" s="27" t="n">
        <v>0</v>
      </c>
      <c r="M50" s="27" t="n">
        <v>0</v>
      </c>
      <c r="N50" s="27" t="n">
        <v>0</v>
      </c>
      <c r="O50" s="27" t="n">
        <v>0</v>
      </c>
      <c r="P50" s="27" t="n">
        <v>0</v>
      </c>
      <c r="Q50" s="27" t="n">
        <v>0</v>
      </c>
      <c r="R50" s="27" t="n">
        <v>0</v>
      </c>
      <c r="S50" s="27" t="n">
        <v>0</v>
      </c>
      <c r="T50" s="27" t="n">
        <v>0</v>
      </c>
      <c r="U50" s="27" t="n">
        <v>0</v>
      </c>
      <c r="V50" s="27" t="n">
        <v>0</v>
      </c>
      <c r="W50" s="27" t="n">
        <v>0</v>
      </c>
      <c r="X50" s="27" t="n">
        <v>0</v>
      </c>
      <c r="Y50" s="27" t="n">
        <v>0</v>
      </c>
      <c r="Z50" s="27" t="n">
        <v>0</v>
      </c>
      <c r="AA50" s="27" t="n">
        <v>0</v>
      </c>
      <c r="AB50" s="27" t="n">
        <v>0</v>
      </c>
      <c r="AC50" s="27" t="n">
        <v>0</v>
      </c>
      <c r="AD50" s="27" t="n">
        <v>0</v>
      </c>
      <c r="AE50" s="27" t="n">
        <v>0</v>
      </c>
      <c r="AF50" s="27" t="n">
        <v>0</v>
      </c>
      <c r="AG50" s="27" t="n">
        <v>0</v>
      </c>
      <c r="AH50" s="27" t="n">
        <v>0</v>
      </c>
      <c r="AI50" s="27" t="n">
        <v>0</v>
      </c>
      <c r="AJ50" s="27" t="n">
        <v>0</v>
      </c>
      <c r="AK50" s="27" t="n">
        <v>0</v>
      </c>
      <c r="AL50" s="27" t="n">
        <v>0</v>
      </c>
      <c r="AM50" s="27" t="n">
        <v>0</v>
      </c>
      <c r="AN50" s="27" t="n">
        <v>0</v>
      </c>
      <c r="AO50" s="27" t="n">
        <v>0</v>
      </c>
      <c r="AP50" s="27" t="n">
        <v>0</v>
      </c>
      <c r="AQ50" s="27" t="n">
        <v>0</v>
      </c>
      <c r="AR50" s="27" t="n">
        <v>0</v>
      </c>
      <c r="AS50" s="27" t="n">
        <v>0</v>
      </c>
      <c r="AT50" s="27" t="n">
        <v>0</v>
      </c>
      <c r="AU50" s="27" t="n">
        <v>0</v>
      </c>
      <c r="AV50" s="27" t="n">
        <v>0</v>
      </c>
      <c r="AW50" s="27" t="n">
        <v>0</v>
      </c>
      <c r="AX50" s="27" t="n">
        <v>0</v>
      </c>
      <c r="AY50" s="27" t="n">
        <v>0</v>
      </c>
      <c r="AZ50" s="27" t="n">
        <v>0</v>
      </c>
      <c r="BA50" s="27" t="n">
        <v>0</v>
      </c>
      <c r="BB50" s="27" t="n">
        <v>0</v>
      </c>
      <c r="BC50" s="27" t="n">
        <v>0</v>
      </c>
      <c r="BD50" s="27" t="n">
        <v>0</v>
      </c>
      <c r="BE50" s="27" t="n">
        <v>0</v>
      </c>
      <c r="BF50" s="27" t="n">
        <v>0</v>
      </c>
      <c r="BG50" s="27" t="n">
        <v>0</v>
      </c>
      <c r="BH50" s="27" t="n">
        <v>0</v>
      </c>
      <c r="BI50" s="27" t="n">
        <v>0</v>
      </c>
      <c r="BJ50" s="27" t="n">
        <v>0</v>
      </c>
      <c r="BK50" s="27" t="n">
        <v>0</v>
      </c>
      <c r="BL50" s="27" t="n">
        <v>0</v>
      </c>
      <c r="BM50" s="27" t="n">
        <v>0</v>
      </c>
      <c r="BN50" s="27" t="n">
        <v>0</v>
      </c>
      <c r="BO50" s="27" t="n">
        <v>0</v>
      </c>
      <c r="BP50" s="27" t="n">
        <v>0</v>
      </c>
      <c r="BQ50" s="27" t="n">
        <v>0</v>
      </c>
      <c r="BR50" s="27" t="n">
        <v>0</v>
      </c>
      <c r="BS50" s="27" t="n">
        <v>0</v>
      </c>
      <c r="BT50" s="27" t="n">
        <v>0</v>
      </c>
      <c r="BU50" s="27" t="n">
        <v>0</v>
      </c>
      <c r="BV50" s="27" t="n">
        <v>0</v>
      </c>
      <c r="BW50" s="27" t="n">
        <v>0</v>
      </c>
      <c r="BX50" s="27" t="n">
        <v>0</v>
      </c>
      <c r="BY50" s="27" t="n">
        <v>0</v>
      </c>
      <c r="BZ50" s="27" t="n">
        <v>0</v>
      </c>
      <c r="CA50" s="27" t="n">
        <v>0</v>
      </c>
      <c r="CB50" s="27" t="n">
        <v>0</v>
      </c>
      <c r="CC50" s="27" t="n">
        <v>0</v>
      </c>
      <c r="CD50" s="27" t="n">
        <v>0</v>
      </c>
      <c r="CE50" s="27" t="n">
        <v>0</v>
      </c>
      <c r="CF50" s="27" t="n">
        <v>0</v>
      </c>
      <c r="CG50" s="27" t="n">
        <v>0</v>
      </c>
      <c r="CH50" s="27" t="n">
        <v>0</v>
      </c>
      <c r="CI50" s="27" t="n">
        <v>0</v>
      </c>
      <c r="CJ50" s="27" t="n">
        <v>0</v>
      </c>
      <c r="CK50" s="27" t="n">
        <v>0</v>
      </c>
      <c r="CL50" s="27" t="n">
        <v>0</v>
      </c>
      <c r="CM50" s="27" t="n">
        <v>0</v>
      </c>
      <c r="CN50" s="27" t="n">
        <v>0</v>
      </c>
      <c r="CO50" s="27" t="n">
        <v>0</v>
      </c>
      <c r="CP50" s="27" t="n">
        <v>0</v>
      </c>
      <c r="CQ50" s="27" t="n">
        <v>0</v>
      </c>
      <c r="CR50" s="27" t="n">
        <v>0</v>
      </c>
      <c r="CS50" s="27" t="n">
        <v>0</v>
      </c>
      <c r="CT50" s="27" t="n">
        <v>0</v>
      </c>
      <c r="CU50" s="27" t="n">
        <v>0</v>
      </c>
      <c r="CV50" s="27" t="n">
        <v>0</v>
      </c>
      <c r="CW50" s="27" t="n">
        <v>0</v>
      </c>
      <c r="CX50" s="27" t="n">
        <v>0</v>
      </c>
      <c r="CY50" s="27" t="n">
        <v>0</v>
      </c>
      <c r="CZ50" s="27" t="n">
        <v>0</v>
      </c>
      <c r="DA50" s="27" t="n">
        <v>0</v>
      </c>
    </row>
    <row r="51">
      <c r="A51" t="inlineStr">
        <is>
          <t>TSP-959</t>
        </is>
      </c>
      <c r="B51" s="27" t="n">
        <v>0</v>
      </c>
      <c r="C51" s="27" t="n">
        <v>0</v>
      </c>
      <c r="D51" s="27" t="n">
        <v>0</v>
      </c>
      <c r="E51" s="27" t="n">
        <v>0</v>
      </c>
      <c r="F51" s="27" t="n">
        <v>0</v>
      </c>
      <c r="G51" s="27" t="n">
        <v>0</v>
      </c>
      <c r="H51" s="27" t="n">
        <v>0</v>
      </c>
      <c r="I51" s="27" t="n">
        <v>0</v>
      </c>
      <c r="J51" s="27" t="n">
        <v>0</v>
      </c>
      <c r="K51" s="27" t="n">
        <v>0</v>
      </c>
      <c r="L51" s="27" t="n">
        <v>0</v>
      </c>
      <c r="M51" s="27" t="n">
        <v>0</v>
      </c>
      <c r="N51" s="27" t="n">
        <v>0</v>
      </c>
      <c r="O51" s="27" t="n">
        <v>0</v>
      </c>
      <c r="P51" s="27" t="n">
        <v>0</v>
      </c>
      <c r="Q51" s="27" t="n">
        <v>0</v>
      </c>
      <c r="R51" s="27" t="n">
        <v>0</v>
      </c>
      <c r="S51" s="27" t="n">
        <v>0</v>
      </c>
      <c r="T51" s="27" t="n">
        <v>0</v>
      </c>
      <c r="U51" s="27" t="n">
        <v>0</v>
      </c>
      <c r="V51" s="27" t="n">
        <v>0</v>
      </c>
      <c r="W51" s="27" t="n">
        <v>0</v>
      </c>
      <c r="X51" s="27" t="n">
        <v>0</v>
      </c>
      <c r="Y51" s="27" t="n">
        <v>0</v>
      </c>
      <c r="Z51" s="27" t="n">
        <v>0</v>
      </c>
      <c r="AA51" s="27" t="n">
        <v>0</v>
      </c>
      <c r="AB51" s="27" t="n">
        <v>0</v>
      </c>
      <c r="AC51" s="27" t="n">
        <v>0</v>
      </c>
      <c r="AD51" s="27" t="n">
        <v>0</v>
      </c>
      <c r="AE51" s="27" t="n">
        <v>0</v>
      </c>
      <c r="AF51" s="27" t="n">
        <v>0</v>
      </c>
      <c r="AG51" s="27" t="n">
        <v>0</v>
      </c>
      <c r="AH51" s="27" t="n">
        <v>0</v>
      </c>
      <c r="AI51" s="27" t="n">
        <v>0</v>
      </c>
      <c r="AJ51" s="27" t="n">
        <v>0</v>
      </c>
      <c r="AK51" s="27" t="n">
        <v>0</v>
      </c>
      <c r="AL51" s="27" t="n">
        <v>0</v>
      </c>
      <c r="AM51" s="27" t="n">
        <v>0</v>
      </c>
      <c r="AN51" s="27" t="n">
        <v>0</v>
      </c>
      <c r="AO51" s="27" t="n">
        <v>0</v>
      </c>
      <c r="AP51" s="27" t="n">
        <v>0</v>
      </c>
      <c r="AQ51" s="27" t="n">
        <v>0</v>
      </c>
      <c r="AR51" s="27" t="n">
        <v>0</v>
      </c>
      <c r="AS51" s="27" t="n">
        <v>0</v>
      </c>
      <c r="AT51" s="27" t="n">
        <v>0</v>
      </c>
      <c r="AU51" s="27" t="n">
        <v>0</v>
      </c>
      <c r="AV51" s="27" t="n">
        <v>0</v>
      </c>
      <c r="AW51" s="27" t="n">
        <v>0</v>
      </c>
      <c r="AX51" s="27" t="n">
        <v>0</v>
      </c>
      <c r="AY51" s="27" t="n">
        <v>0</v>
      </c>
      <c r="AZ51" s="27" t="n">
        <v>0</v>
      </c>
      <c r="BA51" s="27" t="n">
        <v>0</v>
      </c>
      <c r="BB51" s="27" t="n">
        <v>0</v>
      </c>
      <c r="BC51" s="27" t="n">
        <v>0</v>
      </c>
      <c r="BD51" s="27" t="n">
        <v>0</v>
      </c>
      <c r="BE51" s="27" t="n">
        <v>0</v>
      </c>
      <c r="BF51" s="27" t="n">
        <v>0</v>
      </c>
      <c r="BG51" s="27" t="n">
        <v>0</v>
      </c>
      <c r="BH51" s="27" t="n">
        <v>0</v>
      </c>
      <c r="BI51" s="27" t="n">
        <v>0</v>
      </c>
      <c r="BJ51" s="27" t="n">
        <v>0</v>
      </c>
      <c r="BK51" s="27" t="n">
        <v>0</v>
      </c>
      <c r="BL51" s="27" t="n">
        <v>0</v>
      </c>
      <c r="BM51" s="27" t="n">
        <v>0</v>
      </c>
      <c r="BN51" s="27" t="n">
        <v>0</v>
      </c>
      <c r="BO51" s="27" t="n">
        <v>0</v>
      </c>
      <c r="BP51" s="27" t="n">
        <v>0</v>
      </c>
      <c r="BQ51" s="27" t="n">
        <v>0</v>
      </c>
      <c r="BR51" s="27" t="n">
        <v>0</v>
      </c>
      <c r="BS51" s="27" t="n">
        <v>0</v>
      </c>
      <c r="BT51" s="27" t="n">
        <v>0</v>
      </c>
      <c r="BU51" s="27" t="n">
        <v>0</v>
      </c>
      <c r="BV51" s="27" t="n">
        <v>0</v>
      </c>
      <c r="BW51" s="27" t="n">
        <v>0</v>
      </c>
      <c r="BX51" s="27" t="n">
        <v>0</v>
      </c>
      <c r="BY51" s="27" t="n">
        <v>0</v>
      </c>
      <c r="BZ51" s="27" t="n">
        <v>0</v>
      </c>
      <c r="CA51" s="27" t="n">
        <v>0</v>
      </c>
      <c r="CB51" s="27" t="n">
        <v>0</v>
      </c>
      <c r="CC51" s="27" t="n">
        <v>0</v>
      </c>
      <c r="CD51" s="27" t="n">
        <v>0</v>
      </c>
      <c r="CE51" s="27" t="n">
        <v>0</v>
      </c>
      <c r="CF51" s="27" t="n">
        <v>0</v>
      </c>
      <c r="CG51" s="27" t="n">
        <v>0</v>
      </c>
      <c r="CH51" s="27" t="n">
        <v>0</v>
      </c>
      <c r="CI51" s="27" t="n">
        <v>0</v>
      </c>
      <c r="CJ51" s="27" t="n">
        <v>0</v>
      </c>
      <c r="CK51" s="27" t="n">
        <v>0</v>
      </c>
      <c r="CL51" s="27" t="n">
        <v>0</v>
      </c>
      <c r="CM51" s="27" t="n">
        <v>0</v>
      </c>
      <c r="CN51" s="27" t="n">
        <v>0</v>
      </c>
      <c r="CO51" s="27" t="n">
        <v>0</v>
      </c>
      <c r="CP51" s="27" t="n">
        <v>0</v>
      </c>
      <c r="CQ51" s="27" t="n">
        <v>0</v>
      </c>
      <c r="CR51" s="27" t="n">
        <v>0</v>
      </c>
      <c r="CS51" s="27" t="n">
        <v>0</v>
      </c>
      <c r="CT51" s="27" t="n">
        <v>0</v>
      </c>
      <c r="CU51" s="27" t="n">
        <v>0</v>
      </c>
      <c r="CV51" s="27" t="n">
        <v>0</v>
      </c>
      <c r="CW51" s="27" t="n">
        <v>0</v>
      </c>
      <c r="CX51" s="27" t="n">
        <v>0</v>
      </c>
      <c r="CY51" s="27" t="n">
        <v>0</v>
      </c>
      <c r="CZ51" s="27" t="n">
        <v>0</v>
      </c>
      <c r="DA51" s="27" t="n">
        <v>0</v>
      </c>
    </row>
    <row r="52">
      <c r="A52" t="inlineStr">
        <is>
          <t>TSP-966</t>
        </is>
      </c>
      <c r="B52" s="27" t="n">
        <v>0</v>
      </c>
      <c r="C52" s="27" t="n">
        <v>0</v>
      </c>
      <c r="D52" s="27" t="n">
        <v>0</v>
      </c>
      <c r="E52" s="27" t="n">
        <v>0</v>
      </c>
      <c r="F52" s="27" t="n">
        <v>0</v>
      </c>
      <c r="G52" s="27" t="n">
        <v>0</v>
      </c>
      <c r="H52" s="27" t="n">
        <v>0</v>
      </c>
      <c r="I52" s="27" t="n">
        <v>0</v>
      </c>
      <c r="J52" s="27" t="n">
        <v>0</v>
      </c>
      <c r="K52" s="27" t="n">
        <v>0</v>
      </c>
      <c r="L52" s="27" t="n">
        <v>0</v>
      </c>
      <c r="M52" s="27" t="n">
        <v>0</v>
      </c>
      <c r="N52" s="27" t="n">
        <v>0</v>
      </c>
      <c r="O52" s="27" t="n">
        <v>0</v>
      </c>
      <c r="P52" s="27" t="n">
        <v>0</v>
      </c>
      <c r="Q52" s="27" t="n">
        <v>0</v>
      </c>
      <c r="R52" s="27" t="n">
        <v>0</v>
      </c>
      <c r="S52" s="27" t="n">
        <v>0</v>
      </c>
      <c r="T52" s="27" t="n">
        <v>0</v>
      </c>
      <c r="U52" s="27" t="n">
        <v>0</v>
      </c>
      <c r="V52" s="27" t="n">
        <v>0</v>
      </c>
      <c r="W52" s="27" t="n">
        <v>0</v>
      </c>
      <c r="X52" s="27" t="n">
        <v>0</v>
      </c>
      <c r="Y52" s="27" t="n">
        <v>0</v>
      </c>
      <c r="Z52" s="27" t="n">
        <v>0</v>
      </c>
      <c r="AA52" s="27" t="n">
        <v>0</v>
      </c>
      <c r="AB52" s="27" t="n">
        <v>0</v>
      </c>
      <c r="AC52" s="27" t="n">
        <v>0</v>
      </c>
      <c r="AD52" s="27" t="n">
        <v>0</v>
      </c>
      <c r="AE52" s="27" t="n">
        <v>0</v>
      </c>
      <c r="AF52" s="27" t="n">
        <v>0</v>
      </c>
      <c r="AG52" s="27" t="n">
        <v>0</v>
      </c>
      <c r="AH52" s="27" t="n">
        <v>0</v>
      </c>
      <c r="AI52" s="27" t="n">
        <v>0</v>
      </c>
      <c r="AJ52" s="27" t="n">
        <v>0</v>
      </c>
      <c r="AK52" s="27" t="n">
        <v>0</v>
      </c>
      <c r="AL52" s="27" t="n">
        <v>0</v>
      </c>
      <c r="AM52" s="27" t="n">
        <v>0</v>
      </c>
      <c r="AN52" s="27" t="n">
        <v>0</v>
      </c>
      <c r="AO52" s="27" t="n">
        <v>0</v>
      </c>
      <c r="AP52" s="27" t="n">
        <v>0</v>
      </c>
      <c r="AQ52" s="27" t="n">
        <v>0</v>
      </c>
      <c r="AR52" s="27" t="n">
        <v>0</v>
      </c>
      <c r="AS52" s="27" t="n">
        <v>0</v>
      </c>
      <c r="AT52" s="27" t="n">
        <v>0</v>
      </c>
      <c r="AU52" s="27" t="n">
        <v>0</v>
      </c>
      <c r="AV52" s="27" t="n">
        <v>0</v>
      </c>
      <c r="AW52" s="27" t="n">
        <v>0</v>
      </c>
      <c r="AX52" s="27" t="n">
        <v>0</v>
      </c>
      <c r="AY52" s="27" t="n">
        <v>0</v>
      </c>
      <c r="AZ52" s="27" t="n">
        <v>0</v>
      </c>
      <c r="BA52" s="27" t="n">
        <v>0</v>
      </c>
      <c r="BB52" s="27" t="n">
        <v>0</v>
      </c>
      <c r="BC52" s="27" t="n">
        <v>0</v>
      </c>
      <c r="BD52" s="27" t="n">
        <v>0</v>
      </c>
      <c r="BE52" s="27" t="n">
        <v>0</v>
      </c>
      <c r="BF52" s="27" t="n">
        <v>0</v>
      </c>
      <c r="BG52" s="27" t="n">
        <v>0</v>
      </c>
      <c r="BH52" s="27" t="n">
        <v>0</v>
      </c>
      <c r="BI52" s="27" t="n">
        <v>0</v>
      </c>
      <c r="BJ52" s="27" t="n">
        <v>0</v>
      </c>
      <c r="BK52" s="27" t="n">
        <v>0</v>
      </c>
      <c r="BL52" s="27" t="n">
        <v>0</v>
      </c>
      <c r="BM52" s="27" t="n">
        <v>0</v>
      </c>
      <c r="BN52" s="27" t="n">
        <v>0</v>
      </c>
      <c r="BO52" s="27" t="n">
        <v>0</v>
      </c>
      <c r="BP52" s="27" t="n">
        <v>0</v>
      </c>
      <c r="BQ52" s="27" t="n">
        <v>0</v>
      </c>
      <c r="BR52" s="27" t="n">
        <v>0</v>
      </c>
      <c r="BS52" s="27" t="n">
        <v>0</v>
      </c>
      <c r="BT52" s="27" t="n">
        <v>0</v>
      </c>
      <c r="BU52" s="27" t="n">
        <v>0</v>
      </c>
      <c r="BV52" s="27" t="n">
        <v>0</v>
      </c>
      <c r="BW52" s="27" t="n">
        <v>0</v>
      </c>
      <c r="BX52" s="27" t="n">
        <v>0</v>
      </c>
      <c r="BY52" s="27" t="n">
        <v>0</v>
      </c>
      <c r="BZ52" s="27" t="n">
        <v>0</v>
      </c>
      <c r="CA52" s="27" t="n">
        <v>0</v>
      </c>
      <c r="CB52" s="27" t="n">
        <v>0</v>
      </c>
      <c r="CC52" s="27" t="n">
        <v>0</v>
      </c>
      <c r="CD52" s="27" t="n">
        <v>0</v>
      </c>
      <c r="CE52" s="27" t="n">
        <v>0</v>
      </c>
      <c r="CF52" s="27" t="n">
        <v>0</v>
      </c>
      <c r="CG52" s="27" t="n">
        <v>0</v>
      </c>
      <c r="CH52" s="27" t="n">
        <v>0</v>
      </c>
      <c r="CI52" s="27" t="n">
        <v>0</v>
      </c>
      <c r="CJ52" s="27" t="n">
        <v>0</v>
      </c>
      <c r="CK52" s="27" t="n">
        <v>0</v>
      </c>
      <c r="CL52" s="27" t="n">
        <v>0</v>
      </c>
      <c r="CM52" s="27" t="n">
        <v>0</v>
      </c>
      <c r="CN52" s="27" t="n">
        <v>0</v>
      </c>
      <c r="CO52" s="27" t="n">
        <v>0</v>
      </c>
      <c r="CP52" s="27" t="n">
        <v>0</v>
      </c>
      <c r="CQ52" s="27" t="n">
        <v>0</v>
      </c>
      <c r="CR52" s="27" t="n">
        <v>0</v>
      </c>
      <c r="CS52" s="27" t="n">
        <v>0</v>
      </c>
      <c r="CT52" s="27" t="n">
        <v>0</v>
      </c>
      <c r="CU52" s="27" t="n">
        <v>0</v>
      </c>
      <c r="CV52" s="27" t="n">
        <v>0</v>
      </c>
      <c r="CW52" s="27" t="n">
        <v>0</v>
      </c>
      <c r="CX52" s="27" t="n">
        <v>0</v>
      </c>
      <c r="CY52" s="27" t="n">
        <v>0</v>
      </c>
      <c r="CZ52" s="27" t="n">
        <v>0</v>
      </c>
      <c r="DA52" s="27" t="n">
        <v>0</v>
      </c>
    </row>
    <row r="53">
      <c r="A53" t="inlineStr">
        <is>
          <t>TSZ-616</t>
        </is>
      </c>
      <c r="B53">
        <f>SUMPRODUCT((M_BOM[Part Name]=$A53)*M_BOM[RM_Qty_Per_Batch]*IFERROR(INDEX(PP_Grid[#Data],M_BOM[PPGridRow],2),0))/40.0</f>
        <v/>
      </c>
      <c r="C53">
        <f>SUMPRODUCT((M_BOM[Part Name]=$A53)*M_BOM[RM_Qty_Per_Batch]*IFERROR(INDEX(PP_Grid[#Data],M_BOM[PPGridRow],3),0))/40.0</f>
        <v/>
      </c>
      <c r="D53">
        <f>SUMPRODUCT((M_BOM[Part Name]=$A53)*M_BOM[RM_Qty_Per_Batch]*IFERROR(INDEX(PP_Grid[#Data],M_BOM[PPGridRow],4),0))/40.0</f>
        <v/>
      </c>
      <c r="E53">
        <f>SUMPRODUCT((M_BOM[Part Name]=$A53)*M_BOM[RM_Qty_Per_Batch]*IFERROR(INDEX(PP_Grid[#Data],M_BOM[PPGridRow],5),0))/40.0</f>
        <v/>
      </c>
      <c r="F53">
        <f>SUMPRODUCT((M_BOM[Part Name]=$A53)*M_BOM[RM_Qty_Per_Batch]*IFERROR(INDEX(PP_Grid[#Data],M_BOM[PPGridRow],6),0))/40.0</f>
        <v/>
      </c>
      <c r="G53">
        <f>SUMPRODUCT((M_BOM[Part Name]=$A53)*M_BOM[RM_Qty_Per_Batch]*IFERROR(INDEX(PP_Grid[#Data],M_BOM[PPGridRow],7),0))/40.0</f>
        <v/>
      </c>
      <c r="H53">
        <f>SUMPRODUCT((M_BOM[Part Name]=$A53)*M_BOM[RM_Qty_Per_Batch]*IFERROR(INDEX(PP_Grid[#Data],M_BOM[PPGridRow],8),0))/40.0</f>
        <v/>
      </c>
      <c r="I53">
        <f>SUMPRODUCT((M_BOM[Part Name]=$A53)*M_BOM[RM_Qty_Per_Batch]*IFERROR(INDEX(PP_Grid[#Data],M_BOM[PPGridRow],9),0))/40.0</f>
        <v/>
      </c>
      <c r="J53">
        <f>SUMPRODUCT((M_BOM[Part Name]=$A53)*M_BOM[RM_Qty_Per_Batch]*IFERROR(INDEX(PP_Grid[#Data],M_BOM[PPGridRow],10),0))/40.0</f>
        <v/>
      </c>
      <c r="K53">
        <f>SUMPRODUCT((M_BOM[Part Name]=$A53)*M_BOM[RM_Qty_Per_Batch]*IFERROR(INDEX(PP_Grid[#Data],M_BOM[PPGridRow],11),0))/40.0</f>
        <v/>
      </c>
      <c r="L53">
        <f>SUMPRODUCT((M_BOM[Part Name]=$A53)*M_BOM[RM_Qty_Per_Batch]*IFERROR(INDEX(PP_Grid[#Data],M_BOM[PPGridRow],12),0))/40.0</f>
        <v/>
      </c>
      <c r="M53">
        <f>SUMPRODUCT((M_BOM[Part Name]=$A53)*M_BOM[RM_Qty_Per_Batch]*IFERROR(INDEX(PP_Grid[#Data],M_BOM[PPGridRow],13),0))/40.0</f>
        <v/>
      </c>
      <c r="N53">
        <f>SUMPRODUCT((M_BOM[Part Name]=$A53)*M_BOM[RM_Qty_Per_Batch]*IFERROR(INDEX(PP_Grid[#Data],M_BOM[PPGridRow],14),0))/40.0</f>
        <v/>
      </c>
      <c r="O53">
        <f>SUMPRODUCT((M_BOM[Part Name]=$A53)*M_BOM[RM_Qty_Per_Batch]*IFERROR(INDEX(PP_Grid[#Data],M_BOM[PPGridRow],15),0))/40.0</f>
        <v/>
      </c>
      <c r="P53">
        <f>SUMPRODUCT((M_BOM[Part Name]=$A53)*M_BOM[RM_Qty_Per_Batch]*IFERROR(INDEX(PP_Grid[#Data],M_BOM[PPGridRow],16),0))/40.0</f>
        <v/>
      </c>
      <c r="Q53">
        <f>SUMPRODUCT((M_BOM[Part Name]=$A53)*M_BOM[RM_Qty_Per_Batch]*IFERROR(INDEX(PP_Grid[#Data],M_BOM[PPGridRow],17),0))/40.0</f>
        <v/>
      </c>
      <c r="R53">
        <f>SUMPRODUCT((M_BOM[Part Name]=$A53)*M_BOM[RM_Qty_Per_Batch]*IFERROR(INDEX(PP_Grid[#Data],M_BOM[PPGridRow],18),0))/40.0</f>
        <v/>
      </c>
      <c r="S53">
        <f>SUMPRODUCT((M_BOM[Part Name]=$A53)*M_BOM[RM_Qty_Per_Batch]*IFERROR(INDEX(PP_Grid[#Data],M_BOM[PPGridRow],19),0))/40.0</f>
        <v/>
      </c>
      <c r="T53">
        <f>SUMPRODUCT((M_BOM[Part Name]=$A53)*M_BOM[RM_Qty_Per_Batch]*IFERROR(INDEX(PP_Grid[#Data],M_BOM[PPGridRow],20),0))/40.0</f>
        <v/>
      </c>
      <c r="U53">
        <f>SUMPRODUCT((M_BOM[Part Name]=$A53)*M_BOM[RM_Qty_Per_Batch]*IFERROR(INDEX(PP_Grid[#Data],M_BOM[PPGridRow],21),0))/40.0</f>
        <v/>
      </c>
      <c r="V53">
        <f>SUMPRODUCT((M_BOM[Part Name]=$A53)*M_BOM[RM_Qty_Per_Batch]*IFERROR(INDEX(PP_Grid[#Data],M_BOM[PPGridRow],22),0))/40.0</f>
        <v/>
      </c>
      <c r="W53">
        <f>SUMPRODUCT((M_BOM[Part Name]=$A53)*M_BOM[RM_Qty_Per_Batch]*IFERROR(INDEX(PP_Grid[#Data],M_BOM[PPGridRow],23),0))/40.0</f>
        <v/>
      </c>
      <c r="X53">
        <f>SUMPRODUCT((M_BOM[Part Name]=$A53)*M_BOM[RM_Qty_Per_Batch]*IFERROR(INDEX(PP_Grid[#Data],M_BOM[PPGridRow],24),0))/40.0</f>
        <v/>
      </c>
      <c r="Y53">
        <f>SUMPRODUCT((M_BOM[Part Name]=$A53)*M_BOM[RM_Qty_Per_Batch]*IFERROR(INDEX(PP_Grid[#Data],M_BOM[PPGridRow],25),0))/40.0</f>
        <v/>
      </c>
      <c r="Z53">
        <f>SUMPRODUCT((M_BOM[Part Name]=$A53)*M_BOM[RM_Qty_Per_Batch]*IFERROR(INDEX(PP_Grid[#Data],M_BOM[PPGridRow],26),0))/40.0</f>
        <v/>
      </c>
      <c r="AA53">
        <f>SUMPRODUCT((M_BOM[Part Name]=$A53)*M_BOM[RM_Qty_Per_Batch]*IFERROR(INDEX(PP_Grid[#Data],M_BOM[PPGridRow],27),0))/40.0</f>
        <v/>
      </c>
      <c r="AB53">
        <f>SUMPRODUCT((M_BOM[Part Name]=$A53)*M_BOM[RM_Qty_Per_Batch]*IFERROR(INDEX(PP_Grid[#Data],M_BOM[PPGridRow],28),0))/40.0</f>
        <v/>
      </c>
      <c r="AC53">
        <f>SUMPRODUCT((M_BOM[Part Name]=$A53)*M_BOM[RM_Qty_Per_Batch]*IFERROR(INDEX(PP_Grid[#Data],M_BOM[PPGridRow],29),0))/40.0</f>
        <v/>
      </c>
      <c r="AD53">
        <f>SUMPRODUCT((M_BOM[Part Name]=$A53)*M_BOM[RM_Qty_Per_Batch]*IFERROR(INDEX(PP_Grid[#Data],M_BOM[PPGridRow],30),0))/40.0</f>
        <v/>
      </c>
      <c r="AE53">
        <f>SUMPRODUCT((M_BOM[Part Name]=$A53)*M_BOM[RM_Qty_Per_Batch]*IFERROR(INDEX(PP_Grid[#Data],M_BOM[PPGridRow],31),0))/40.0</f>
        <v/>
      </c>
      <c r="AF53">
        <f>SUMPRODUCT((M_BOM[Part Name]=$A53)*M_BOM[RM_Qty_Per_Batch]*IFERROR(INDEX(PP_Grid[#Data],M_BOM[PPGridRow],32),0))/40.0</f>
        <v/>
      </c>
      <c r="AG53">
        <f>SUMPRODUCT((M_BOM[Part Name]=$A53)*M_BOM[RM_Qty_Per_Batch]*IFERROR(INDEX(PP_Grid[#Data],M_BOM[PPGridRow],33),0))/40.0</f>
        <v/>
      </c>
      <c r="AH53">
        <f>SUMPRODUCT((M_BOM[Part Name]=$A53)*M_BOM[RM_Qty_Per_Batch]*IFERROR(INDEX(PP_Grid[#Data],M_BOM[PPGridRow],34),0))/40.0</f>
        <v/>
      </c>
      <c r="AI53">
        <f>SUMPRODUCT((M_BOM[Part Name]=$A53)*M_BOM[RM_Qty_Per_Batch]*IFERROR(INDEX(PP_Grid[#Data],M_BOM[PPGridRow],35),0))/40.0</f>
        <v/>
      </c>
      <c r="AJ53">
        <f>SUMPRODUCT((M_BOM[Part Name]=$A53)*M_BOM[RM_Qty_Per_Batch]*IFERROR(INDEX(PP_Grid[#Data],M_BOM[PPGridRow],36),0))/40.0</f>
        <v/>
      </c>
      <c r="AK53">
        <f>SUMPRODUCT((M_BOM[Part Name]=$A53)*M_BOM[RM_Qty_Per_Batch]*IFERROR(INDEX(PP_Grid[#Data],M_BOM[PPGridRow],37),0))/40.0</f>
        <v/>
      </c>
      <c r="AL53">
        <f>SUMPRODUCT((M_BOM[Part Name]=$A53)*M_BOM[RM_Qty_Per_Batch]*IFERROR(INDEX(PP_Grid[#Data],M_BOM[PPGridRow],38),0))/40.0</f>
        <v/>
      </c>
      <c r="AM53">
        <f>SUMPRODUCT((M_BOM[Part Name]=$A53)*M_BOM[RM_Qty_Per_Batch]*IFERROR(INDEX(PP_Grid[#Data],M_BOM[PPGridRow],39),0))/40.0</f>
        <v/>
      </c>
      <c r="AN53">
        <f>SUMPRODUCT((M_BOM[Part Name]=$A53)*M_BOM[RM_Qty_Per_Batch]*IFERROR(INDEX(PP_Grid[#Data],M_BOM[PPGridRow],40),0))/40.0</f>
        <v/>
      </c>
      <c r="AO53">
        <f>SUMPRODUCT((M_BOM[Part Name]=$A53)*M_BOM[RM_Qty_Per_Batch]*IFERROR(INDEX(PP_Grid[#Data],M_BOM[PPGridRow],41),0))/40.0</f>
        <v/>
      </c>
      <c r="AP53">
        <f>SUMPRODUCT((M_BOM[Part Name]=$A53)*M_BOM[RM_Qty_Per_Batch]*IFERROR(INDEX(PP_Grid[#Data],M_BOM[PPGridRow],42),0))/40.0</f>
        <v/>
      </c>
      <c r="AQ53">
        <f>SUMPRODUCT((M_BOM[Part Name]=$A53)*M_BOM[RM_Qty_Per_Batch]*IFERROR(INDEX(PP_Grid[#Data],M_BOM[PPGridRow],43),0))/40.0</f>
        <v/>
      </c>
      <c r="AR53">
        <f>SUMPRODUCT((M_BOM[Part Name]=$A53)*M_BOM[RM_Qty_Per_Batch]*IFERROR(INDEX(PP_Grid[#Data],M_BOM[PPGridRow],44),0))/40.0</f>
        <v/>
      </c>
      <c r="AS53">
        <f>SUMPRODUCT((M_BOM[Part Name]=$A53)*M_BOM[RM_Qty_Per_Batch]*IFERROR(INDEX(PP_Grid[#Data],M_BOM[PPGridRow],45),0))/40.0</f>
        <v/>
      </c>
      <c r="AT53">
        <f>SUMPRODUCT((M_BOM[Part Name]=$A53)*M_BOM[RM_Qty_Per_Batch]*IFERROR(INDEX(PP_Grid[#Data],M_BOM[PPGridRow],46),0))/40.0</f>
        <v/>
      </c>
      <c r="AU53">
        <f>SUMPRODUCT((M_BOM[Part Name]=$A53)*M_BOM[RM_Qty_Per_Batch]*IFERROR(INDEX(PP_Grid[#Data],M_BOM[PPGridRow],47),0))/40.0</f>
        <v/>
      </c>
      <c r="AV53">
        <f>SUMPRODUCT((M_BOM[Part Name]=$A53)*M_BOM[RM_Qty_Per_Batch]*IFERROR(INDEX(PP_Grid[#Data],M_BOM[PPGridRow],48),0))/40.0</f>
        <v/>
      </c>
      <c r="AW53">
        <f>SUMPRODUCT((M_BOM[Part Name]=$A53)*M_BOM[RM_Qty_Per_Batch]*IFERROR(INDEX(PP_Grid[#Data],M_BOM[PPGridRow],49),0))/40.0</f>
        <v/>
      </c>
      <c r="AX53">
        <f>SUMPRODUCT((M_BOM[Part Name]=$A53)*M_BOM[RM_Qty_Per_Batch]*IFERROR(INDEX(PP_Grid[#Data],M_BOM[PPGridRow],50),0))/40.0</f>
        <v/>
      </c>
      <c r="AY53">
        <f>SUMPRODUCT((M_BOM[Part Name]=$A53)*M_BOM[RM_Qty_Per_Batch]*IFERROR(INDEX(PP_Grid[#Data],M_BOM[PPGridRow],51),0))/40.0</f>
        <v/>
      </c>
      <c r="AZ53">
        <f>SUMPRODUCT((M_BOM[Part Name]=$A53)*M_BOM[RM_Qty_Per_Batch]*IFERROR(INDEX(PP_Grid[#Data],M_BOM[PPGridRow],52),0))/40.0</f>
        <v/>
      </c>
      <c r="BA53">
        <f>SUMPRODUCT((M_BOM[Part Name]=$A53)*M_BOM[RM_Qty_Per_Batch]*IFERROR(INDEX(PP_Grid[#Data],M_BOM[PPGridRow],53),0))/40.0</f>
        <v/>
      </c>
      <c r="BB53">
        <f>SUMPRODUCT((M_BOM[Part Name]=$A53)*M_BOM[RM_Qty_Per_Batch]*IFERROR(INDEX(PP_Grid[#Data],M_BOM[PPGridRow],54),0))/40.0</f>
        <v/>
      </c>
      <c r="BC53">
        <f>SUMPRODUCT((M_BOM[Part Name]=$A53)*M_BOM[RM_Qty_Per_Batch]*IFERROR(INDEX(PP_Grid[#Data],M_BOM[PPGridRow],55),0))/40.0</f>
        <v/>
      </c>
      <c r="BD53">
        <f>SUMPRODUCT((M_BOM[Part Name]=$A53)*M_BOM[RM_Qty_Per_Batch]*IFERROR(INDEX(PP_Grid[#Data],M_BOM[PPGridRow],56),0))/40.0</f>
        <v/>
      </c>
      <c r="BE53">
        <f>SUMPRODUCT((M_BOM[Part Name]=$A53)*M_BOM[RM_Qty_Per_Batch]*IFERROR(INDEX(PP_Grid[#Data],M_BOM[PPGridRow],57),0))/40.0</f>
        <v/>
      </c>
      <c r="BF53">
        <f>SUMPRODUCT((M_BOM[Part Name]=$A53)*M_BOM[RM_Qty_Per_Batch]*IFERROR(INDEX(PP_Grid[#Data],M_BOM[PPGridRow],58),0))/40.0</f>
        <v/>
      </c>
      <c r="BG53">
        <f>SUMPRODUCT((M_BOM[Part Name]=$A53)*M_BOM[RM_Qty_Per_Batch]*IFERROR(INDEX(PP_Grid[#Data],M_BOM[PPGridRow],59),0))/40.0</f>
        <v/>
      </c>
      <c r="BH53">
        <f>SUMPRODUCT((M_BOM[Part Name]=$A53)*M_BOM[RM_Qty_Per_Batch]*IFERROR(INDEX(PP_Grid[#Data],M_BOM[PPGridRow],60),0))/40.0</f>
        <v/>
      </c>
      <c r="BI53">
        <f>SUMPRODUCT((M_BOM[Part Name]=$A53)*M_BOM[RM_Qty_Per_Batch]*IFERROR(INDEX(PP_Grid[#Data],M_BOM[PPGridRow],61),0))/40.0</f>
        <v/>
      </c>
      <c r="BJ53">
        <f>SUMPRODUCT((M_BOM[Part Name]=$A53)*M_BOM[RM_Qty_Per_Batch]*IFERROR(INDEX(PP_Grid[#Data],M_BOM[PPGridRow],62),0))/40.0</f>
        <v/>
      </c>
      <c r="BK53">
        <f>SUMPRODUCT((M_BOM[Part Name]=$A53)*M_BOM[RM_Qty_Per_Batch]*IFERROR(INDEX(PP_Grid[#Data],M_BOM[PPGridRow],63),0))/40.0</f>
        <v/>
      </c>
      <c r="BL53">
        <f>SUMPRODUCT((M_BOM[Part Name]=$A53)*M_BOM[RM_Qty_Per_Batch]*IFERROR(INDEX(PP_Grid[#Data],M_BOM[PPGridRow],64),0))/40.0</f>
        <v/>
      </c>
      <c r="BM53">
        <f>SUMPRODUCT((M_BOM[Part Name]=$A53)*M_BOM[RM_Qty_Per_Batch]*IFERROR(INDEX(PP_Grid[#Data],M_BOM[PPGridRow],65),0))/40.0</f>
        <v/>
      </c>
      <c r="BN53">
        <f>SUMPRODUCT((M_BOM[Part Name]=$A53)*M_BOM[RM_Qty_Per_Batch]*IFERROR(INDEX(PP_Grid[#Data],M_BOM[PPGridRow],66),0))/40.0</f>
        <v/>
      </c>
      <c r="BO53">
        <f>SUMPRODUCT((M_BOM[Part Name]=$A53)*M_BOM[RM_Qty_Per_Batch]*IFERROR(INDEX(PP_Grid[#Data],M_BOM[PPGridRow],67),0))/40.0</f>
        <v/>
      </c>
      <c r="BP53">
        <f>SUMPRODUCT((M_BOM[Part Name]=$A53)*M_BOM[RM_Qty_Per_Batch]*IFERROR(INDEX(PP_Grid[#Data],M_BOM[PPGridRow],68),0))/40.0</f>
        <v/>
      </c>
      <c r="BQ53">
        <f>SUMPRODUCT((M_BOM[Part Name]=$A53)*M_BOM[RM_Qty_Per_Batch]*IFERROR(INDEX(PP_Grid[#Data],M_BOM[PPGridRow],69),0))/40.0</f>
        <v/>
      </c>
      <c r="BR53">
        <f>SUMPRODUCT((M_BOM[Part Name]=$A53)*M_BOM[RM_Qty_Per_Batch]*IFERROR(INDEX(PP_Grid[#Data],M_BOM[PPGridRow],70),0))/40.0</f>
        <v/>
      </c>
      <c r="BS53">
        <f>SUMPRODUCT((M_BOM[Part Name]=$A53)*M_BOM[RM_Qty_Per_Batch]*IFERROR(INDEX(PP_Grid[#Data],M_BOM[PPGridRow],71),0))/40.0</f>
        <v/>
      </c>
      <c r="BT53">
        <f>SUMPRODUCT((M_BOM[Part Name]=$A53)*M_BOM[RM_Qty_Per_Batch]*IFERROR(INDEX(PP_Grid[#Data],M_BOM[PPGridRow],72),0))/40.0</f>
        <v/>
      </c>
      <c r="BU53">
        <f>SUMPRODUCT((M_BOM[Part Name]=$A53)*M_BOM[RM_Qty_Per_Batch]*IFERROR(INDEX(PP_Grid[#Data],M_BOM[PPGridRow],73),0))/40.0</f>
        <v/>
      </c>
      <c r="BV53">
        <f>SUMPRODUCT((M_BOM[Part Name]=$A53)*M_BOM[RM_Qty_Per_Batch]*IFERROR(INDEX(PP_Grid[#Data],M_BOM[PPGridRow],74),0))/40.0</f>
        <v/>
      </c>
      <c r="BW53">
        <f>SUMPRODUCT((M_BOM[Part Name]=$A53)*M_BOM[RM_Qty_Per_Batch]*IFERROR(INDEX(PP_Grid[#Data],M_BOM[PPGridRow],75),0))/40.0</f>
        <v/>
      </c>
      <c r="BX53">
        <f>SUMPRODUCT((M_BOM[Part Name]=$A53)*M_BOM[RM_Qty_Per_Batch]*IFERROR(INDEX(PP_Grid[#Data],M_BOM[PPGridRow],76),0))/40.0</f>
        <v/>
      </c>
      <c r="BY53">
        <f>SUMPRODUCT((M_BOM[Part Name]=$A53)*M_BOM[RM_Qty_Per_Batch]*IFERROR(INDEX(PP_Grid[#Data],M_BOM[PPGridRow],77),0))/40.0</f>
        <v/>
      </c>
      <c r="BZ53">
        <f>SUMPRODUCT((M_BOM[Part Name]=$A53)*M_BOM[RM_Qty_Per_Batch]*IFERROR(INDEX(PP_Grid[#Data],M_BOM[PPGridRow],78),0))/40.0</f>
        <v/>
      </c>
      <c r="CA53">
        <f>SUMPRODUCT((M_BOM[Part Name]=$A53)*M_BOM[RM_Qty_Per_Batch]*IFERROR(INDEX(PP_Grid[#Data],M_BOM[PPGridRow],79),0))/40.0</f>
        <v/>
      </c>
      <c r="CB53">
        <f>SUMPRODUCT((M_BOM[Part Name]=$A53)*M_BOM[RM_Qty_Per_Batch]*IFERROR(INDEX(PP_Grid[#Data],M_BOM[PPGridRow],80),0))/40.0</f>
        <v/>
      </c>
      <c r="CC53">
        <f>SUMPRODUCT((M_BOM[Part Name]=$A53)*M_BOM[RM_Qty_Per_Batch]*IFERROR(INDEX(PP_Grid[#Data],M_BOM[PPGridRow],81),0))/40.0</f>
        <v/>
      </c>
      <c r="CD53">
        <f>SUMPRODUCT((M_BOM[Part Name]=$A53)*M_BOM[RM_Qty_Per_Batch]*IFERROR(INDEX(PP_Grid[#Data],M_BOM[PPGridRow],82),0))/40.0</f>
        <v/>
      </c>
      <c r="CE53">
        <f>SUMPRODUCT((M_BOM[Part Name]=$A53)*M_BOM[RM_Qty_Per_Batch]*IFERROR(INDEX(PP_Grid[#Data],M_BOM[PPGridRow],83),0))/40.0</f>
        <v/>
      </c>
      <c r="CF53">
        <f>SUMPRODUCT((M_BOM[Part Name]=$A53)*M_BOM[RM_Qty_Per_Batch]*IFERROR(INDEX(PP_Grid[#Data],M_BOM[PPGridRow],84),0))/40.0</f>
        <v/>
      </c>
      <c r="CG53">
        <f>SUMPRODUCT((M_BOM[Part Name]=$A53)*M_BOM[RM_Qty_Per_Batch]*IFERROR(INDEX(PP_Grid[#Data],M_BOM[PPGridRow],85),0))/40.0</f>
        <v/>
      </c>
      <c r="CH53">
        <f>SUMPRODUCT((M_BOM[Part Name]=$A53)*M_BOM[RM_Qty_Per_Batch]*IFERROR(INDEX(PP_Grid[#Data],M_BOM[PPGridRow],86),0))/40.0</f>
        <v/>
      </c>
      <c r="CI53">
        <f>SUMPRODUCT((M_BOM[Part Name]=$A53)*M_BOM[RM_Qty_Per_Batch]*IFERROR(INDEX(PP_Grid[#Data],M_BOM[PPGridRow],87),0))/40.0</f>
        <v/>
      </c>
      <c r="CJ53">
        <f>SUMPRODUCT((M_BOM[Part Name]=$A53)*M_BOM[RM_Qty_Per_Batch]*IFERROR(INDEX(PP_Grid[#Data],M_BOM[PPGridRow],88),0))/40.0</f>
        <v/>
      </c>
      <c r="CK53">
        <f>SUMPRODUCT((M_BOM[Part Name]=$A53)*M_BOM[RM_Qty_Per_Batch]*IFERROR(INDEX(PP_Grid[#Data],M_BOM[PPGridRow],89),0))/40.0</f>
        <v/>
      </c>
      <c r="CL53">
        <f>SUMPRODUCT((M_BOM[Part Name]=$A53)*M_BOM[RM_Qty_Per_Batch]*IFERROR(INDEX(PP_Grid[#Data],M_BOM[PPGridRow],90),0))/40.0</f>
        <v/>
      </c>
      <c r="CM53">
        <f>SUMPRODUCT((M_BOM[Part Name]=$A53)*M_BOM[RM_Qty_Per_Batch]*IFERROR(INDEX(PP_Grid[#Data],M_BOM[PPGridRow],91),0))/40.0</f>
        <v/>
      </c>
      <c r="CN53">
        <f>SUMPRODUCT((M_BOM[Part Name]=$A53)*M_BOM[RM_Qty_Per_Batch]*IFERROR(INDEX(PP_Grid[#Data],M_BOM[PPGridRow],92),0))/40.0</f>
        <v/>
      </c>
      <c r="CO53">
        <f>SUMPRODUCT((M_BOM[Part Name]=$A53)*M_BOM[RM_Qty_Per_Batch]*IFERROR(INDEX(PP_Grid[#Data],M_BOM[PPGridRow],93),0))/40.0</f>
        <v/>
      </c>
      <c r="CP53">
        <f>SUMPRODUCT((M_BOM[Part Name]=$A53)*M_BOM[RM_Qty_Per_Batch]*IFERROR(INDEX(PP_Grid[#Data],M_BOM[PPGridRow],94),0))/40.0</f>
        <v/>
      </c>
      <c r="CQ53">
        <f>SUMPRODUCT((M_BOM[Part Name]=$A53)*M_BOM[RM_Qty_Per_Batch]*IFERROR(INDEX(PP_Grid[#Data],M_BOM[PPGridRow],95),0))/40.0</f>
        <v/>
      </c>
      <c r="CR53">
        <f>SUMPRODUCT((M_BOM[Part Name]=$A53)*M_BOM[RM_Qty_Per_Batch]*IFERROR(INDEX(PP_Grid[#Data],M_BOM[PPGridRow],96),0))/40.0</f>
        <v/>
      </c>
      <c r="CS53">
        <f>SUMPRODUCT((M_BOM[Part Name]=$A53)*M_BOM[RM_Qty_Per_Batch]*IFERROR(INDEX(PP_Grid[#Data],M_BOM[PPGridRow],97),0))/40.0</f>
        <v/>
      </c>
      <c r="CT53">
        <f>SUMPRODUCT((M_BOM[Part Name]=$A53)*M_BOM[RM_Qty_Per_Batch]*IFERROR(INDEX(PP_Grid[#Data],M_BOM[PPGridRow],98),0))/40.0</f>
        <v/>
      </c>
      <c r="CU53">
        <f>SUMPRODUCT((M_BOM[Part Name]=$A53)*M_BOM[RM_Qty_Per_Batch]*IFERROR(INDEX(PP_Grid[#Data],M_BOM[PPGridRow],99),0))/40.0</f>
        <v/>
      </c>
      <c r="CV53">
        <f>SUMPRODUCT((M_BOM[Part Name]=$A53)*M_BOM[RM_Qty_Per_Batch]*IFERROR(INDEX(PP_Grid[#Data],M_BOM[PPGridRow],100),0))/40.0</f>
        <v/>
      </c>
      <c r="CW53">
        <f>SUMPRODUCT((M_BOM[Part Name]=$A53)*M_BOM[RM_Qty_Per_Batch]*IFERROR(INDEX(PP_Grid[#Data],M_BOM[PPGridRow],101),0))/40.0</f>
        <v/>
      </c>
      <c r="CX53">
        <f>SUMPRODUCT((M_BOM[Part Name]=$A53)*M_BOM[RM_Qty_Per_Batch]*IFERROR(INDEX(PP_Grid[#Data],M_BOM[PPGridRow],102),0))/40.0</f>
        <v/>
      </c>
      <c r="CY53">
        <f>SUMPRODUCT((M_BOM[Part Name]=$A53)*M_BOM[RM_Qty_Per_Batch]*IFERROR(INDEX(PP_Grid[#Data],M_BOM[PPGridRow],103),0))/40.0</f>
        <v/>
      </c>
      <c r="CZ53">
        <f>SUMPRODUCT((M_BOM[Part Name]=$A53)*M_BOM[RM_Qty_Per_Batch]*IFERROR(INDEX(PP_Grid[#Data],M_BOM[PPGridRow],104),0))/40.0</f>
        <v/>
      </c>
      <c r="DA53">
        <f>SUMPRODUCT((M_BOM[Part Name]=$A53)*M_BOM[RM_Qty_Per_Batch]*IFERROR(INDEX(PP_Grid[#Data],M_BOM[PPGridRow],105),0))/40.0</f>
        <v/>
      </c>
    </row>
    <row r="54">
      <c r="A54" t="inlineStr">
        <is>
          <t>TSZ-938</t>
        </is>
      </c>
      <c r="B54">
        <f>SUMPRODUCT((M_BOM[Part Name]=$A54)*M_BOM[RM_Qty_Per_Batch]*IFERROR(INDEX(PP_Grid[#Data],M_BOM[PPGridRow],2),0))/65.0</f>
        <v/>
      </c>
      <c r="C54">
        <f>SUMPRODUCT((M_BOM[Part Name]=$A54)*M_BOM[RM_Qty_Per_Batch]*IFERROR(INDEX(PP_Grid[#Data],M_BOM[PPGridRow],3),0))/65.0</f>
        <v/>
      </c>
      <c r="D54">
        <f>SUMPRODUCT((M_BOM[Part Name]=$A54)*M_BOM[RM_Qty_Per_Batch]*IFERROR(INDEX(PP_Grid[#Data],M_BOM[PPGridRow],4),0))/65.0</f>
        <v/>
      </c>
      <c r="E54">
        <f>SUMPRODUCT((M_BOM[Part Name]=$A54)*M_BOM[RM_Qty_Per_Batch]*IFERROR(INDEX(PP_Grid[#Data],M_BOM[PPGridRow],5),0))/65.0</f>
        <v/>
      </c>
      <c r="F54">
        <f>SUMPRODUCT((M_BOM[Part Name]=$A54)*M_BOM[RM_Qty_Per_Batch]*IFERROR(INDEX(PP_Grid[#Data],M_BOM[PPGridRow],6),0))/65.0</f>
        <v/>
      </c>
      <c r="G54">
        <f>SUMPRODUCT((M_BOM[Part Name]=$A54)*M_BOM[RM_Qty_Per_Batch]*IFERROR(INDEX(PP_Grid[#Data],M_BOM[PPGridRow],7),0))/65.0</f>
        <v/>
      </c>
      <c r="H54">
        <f>SUMPRODUCT((M_BOM[Part Name]=$A54)*M_BOM[RM_Qty_Per_Batch]*IFERROR(INDEX(PP_Grid[#Data],M_BOM[PPGridRow],8),0))/65.0</f>
        <v/>
      </c>
      <c r="I54">
        <f>SUMPRODUCT((M_BOM[Part Name]=$A54)*M_BOM[RM_Qty_Per_Batch]*IFERROR(INDEX(PP_Grid[#Data],M_BOM[PPGridRow],9),0))/65.0</f>
        <v/>
      </c>
      <c r="J54">
        <f>SUMPRODUCT((M_BOM[Part Name]=$A54)*M_BOM[RM_Qty_Per_Batch]*IFERROR(INDEX(PP_Grid[#Data],M_BOM[PPGridRow],10),0))/65.0</f>
        <v/>
      </c>
      <c r="K54">
        <f>SUMPRODUCT((M_BOM[Part Name]=$A54)*M_BOM[RM_Qty_Per_Batch]*IFERROR(INDEX(PP_Grid[#Data],M_BOM[PPGridRow],11),0))/65.0</f>
        <v/>
      </c>
      <c r="L54">
        <f>SUMPRODUCT((M_BOM[Part Name]=$A54)*M_BOM[RM_Qty_Per_Batch]*IFERROR(INDEX(PP_Grid[#Data],M_BOM[PPGridRow],12),0))/65.0</f>
        <v/>
      </c>
      <c r="M54">
        <f>SUMPRODUCT((M_BOM[Part Name]=$A54)*M_BOM[RM_Qty_Per_Batch]*IFERROR(INDEX(PP_Grid[#Data],M_BOM[PPGridRow],13),0))/65.0</f>
        <v/>
      </c>
      <c r="N54">
        <f>SUMPRODUCT((M_BOM[Part Name]=$A54)*M_BOM[RM_Qty_Per_Batch]*IFERROR(INDEX(PP_Grid[#Data],M_BOM[PPGridRow],14),0))/65.0</f>
        <v/>
      </c>
      <c r="O54">
        <f>SUMPRODUCT((M_BOM[Part Name]=$A54)*M_BOM[RM_Qty_Per_Batch]*IFERROR(INDEX(PP_Grid[#Data],M_BOM[PPGridRow],15),0))/65.0</f>
        <v/>
      </c>
      <c r="P54">
        <f>SUMPRODUCT((M_BOM[Part Name]=$A54)*M_BOM[RM_Qty_Per_Batch]*IFERROR(INDEX(PP_Grid[#Data],M_BOM[PPGridRow],16),0))/65.0</f>
        <v/>
      </c>
      <c r="Q54">
        <f>SUMPRODUCT((M_BOM[Part Name]=$A54)*M_BOM[RM_Qty_Per_Batch]*IFERROR(INDEX(PP_Grid[#Data],M_BOM[PPGridRow],17),0))/65.0</f>
        <v/>
      </c>
      <c r="R54">
        <f>SUMPRODUCT((M_BOM[Part Name]=$A54)*M_BOM[RM_Qty_Per_Batch]*IFERROR(INDEX(PP_Grid[#Data],M_BOM[PPGridRow],18),0))/65.0</f>
        <v/>
      </c>
      <c r="S54">
        <f>SUMPRODUCT((M_BOM[Part Name]=$A54)*M_BOM[RM_Qty_Per_Batch]*IFERROR(INDEX(PP_Grid[#Data],M_BOM[PPGridRow],19),0))/65.0</f>
        <v/>
      </c>
      <c r="T54">
        <f>SUMPRODUCT((M_BOM[Part Name]=$A54)*M_BOM[RM_Qty_Per_Batch]*IFERROR(INDEX(PP_Grid[#Data],M_BOM[PPGridRow],20),0))/65.0</f>
        <v/>
      </c>
      <c r="U54">
        <f>SUMPRODUCT((M_BOM[Part Name]=$A54)*M_BOM[RM_Qty_Per_Batch]*IFERROR(INDEX(PP_Grid[#Data],M_BOM[PPGridRow],21),0))/65.0</f>
        <v/>
      </c>
      <c r="V54">
        <f>SUMPRODUCT((M_BOM[Part Name]=$A54)*M_BOM[RM_Qty_Per_Batch]*IFERROR(INDEX(PP_Grid[#Data],M_BOM[PPGridRow],22),0))/65.0</f>
        <v/>
      </c>
      <c r="W54">
        <f>SUMPRODUCT((M_BOM[Part Name]=$A54)*M_BOM[RM_Qty_Per_Batch]*IFERROR(INDEX(PP_Grid[#Data],M_BOM[PPGridRow],23),0))/65.0</f>
        <v/>
      </c>
      <c r="X54">
        <f>SUMPRODUCT((M_BOM[Part Name]=$A54)*M_BOM[RM_Qty_Per_Batch]*IFERROR(INDEX(PP_Grid[#Data],M_BOM[PPGridRow],24),0))/65.0</f>
        <v/>
      </c>
      <c r="Y54">
        <f>SUMPRODUCT((M_BOM[Part Name]=$A54)*M_BOM[RM_Qty_Per_Batch]*IFERROR(INDEX(PP_Grid[#Data],M_BOM[PPGridRow],25),0))/65.0</f>
        <v/>
      </c>
      <c r="Z54">
        <f>SUMPRODUCT((M_BOM[Part Name]=$A54)*M_BOM[RM_Qty_Per_Batch]*IFERROR(INDEX(PP_Grid[#Data],M_BOM[PPGridRow],26),0))/65.0</f>
        <v/>
      </c>
      <c r="AA54">
        <f>SUMPRODUCT((M_BOM[Part Name]=$A54)*M_BOM[RM_Qty_Per_Batch]*IFERROR(INDEX(PP_Grid[#Data],M_BOM[PPGridRow],27),0))/65.0</f>
        <v/>
      </c>
      <c r="AB54">
        <f>SUMPRODUCT((M_BOM[Part Name]=$A54)*M_BOM[RM_Qty_Per_Batch]*IFERROR(INDEX(PP_Grid[#Data],M_BOM[PPGridRow],28),0))/65.0</f>
        <v/>
      </c>
      <c r="AC54">
        <f>SUMPRODUCT((M_BOM[Part Name]=$A54)*M_BOM[RM_Qty_Per_Batch]*IFERROR(INDEX(PP_Grid[#Data],M_BOM[PPGridRow],29),0))/65.0</f>
        <v/>
      </c>
      <c r="AD54">
        <f>SUMPRODUCT((M_BOM[Part Name]=$A54)*M_BOM[RM_Qty_Per_Batch]*IFERROR(INDEX(PP_Grid[#Data],M_BOM[PPGridRow],30),0))/65.0</f>
        <v/>
      </c>
      <c r="AE54">
        <f>SUMPRODUCT((M_BOM[Part Name]=$A54)*M_BOM[RM_Qty_Per_Batch]*IFERROR(INDEX(PP_Grid[#Data],M_BOM[PPGridRow],31),0))/65.0</f>
        <v/>
      </c>
      <c r="AF54">
        <f>SUMPRODUCT((M_BOM[Part Name]=$A54)*M_BOM[RM_Qty_Per_Batch]*IFERROR(INDEX(PP_Grid[#Data],M_BOM[PPGridRow],32),0))/65.0</f>
        <v/>
      </c>
      <c r="AG54">
        <f>SUMPRODUCT((M_BOM[Part Name]=$A54)*M_BOM[RM_Qty_Per_Batch]*IFERROR(INDEX(PP_Grid[#Data],M_BOM[PPGridRow],33),0))/65.0</f>
        <v/>
      </c>
      <c r="AH54">
        <f>SUMPRODUCT((M_BOM[Part Name]=$A54)*M_BOM[RM_Qty_Per_Batch]*IFERROR(INDEX(PP_Grid[#Data],M_BOM[PPGridRow],34),0))/65.0</f>
        <v/>
      </c>
      <c r="AI54">
        <f>SUMPRODUCT((M_BOM[Part Name]=$A54)*M_BOM[RM_Qty_Per_Batch]*IFERROR(INDEX(PP_Grid[#Data],M_BOM[PPGridRow],35),0))/65.0</f>
        <v/>
      </c>
      <c r="AJ54">
        <f>SUMPRODUCT((M_BOM[Part Name]=$A54)*M_BOM[RM_Qty_Per_Batch]*IFERROR(INDEX(PP_Grid[#Data],M_BOM[PPGridRow],36),0))/65.0</f>
        <v/>
      </c>
      <c r="AK54">
        <f>SUMPRODUCT((M_BOM[Part Name]=$A54)*M_BOM[RM_Qty_Per_Batch]*IFERROR(INDEX(PP_Grid[#Data],M_BOM[PPGridRow],37),0))/65.0</f>
        <v/>
      </c>
      <c r="AL54">
        <f>SUMPRODUCT((M_BOM[Part Name]=$A54)*M_BOM[RM_Qty_Per_Batch]*IFERROR(INDEX(PP_Grid[#Data],M_BOM[PPGridRow],38),0))/65.0</f>
        <v/>
      </c>
      <c r="AM54">
        <f>SUMPRODUCT((M_BOM[Part Name]=$A54)*M_BOM[RM_Qty_Per_Batch]*IFERROR(INDEX(PP_Grid[#Data],M_BOM[PPGridRow],39),0))/65.0</f>
        <v/>
      </c>
      <c r="AN54">
        <f>SUMPRODUCT((M_BOM[Part Name]=$A54)*M_BOM[RM_Qty_Per_Batch]*IFERROR(INDEX(PP_Grid[#Data],M_BOM[PPGridRow],40),0))/65.0</f>
        <v/>
      </c>
      <c r="AO54">
        <f>SUMPRODUCT((M_BOM[Part Name]=$A54)*M_BOM[RM_Qty_Per_Batch]*IFERROR(INDEX(PP_Grid[#Data],M_BOM[PPGridRow],41),0))/65.0</f>
        <v/>
      </c>
      <c r="AP54">
        <f>SUMPRODUCT((M_BOM[Part Name]=$A54)*M_BOM[RM_Qty_Per_Batch]*IFERROR(INDEX(PP_Grid[#Data],M_BOM[PPGridRow],42),0))/65.0</f>
        <v/>
      </c>
      <c r="AQ54">
        <f>SUMPRODUCT((M_BOM[Part Name]=$A54)*M_BOM[RM_Qty_Per_Batch]*IFERROR(INDEX(PP_Grid[#Data],M_BOM[PPGridRow],43),0))/65.0</f>
        <v/>
      </c>
      <c r="AR54">
        <f>SUMPRODUCT((M_BOM[Part Name]=$A54)*M_BOM[RM_Qty_Per_Batch]*IFERROR(INDEX(PP_Grid[#Data],M_BOM[PPGridRow],44),0))/65.0</f>
        <v/>
      </c>
      <c r="AS54">
        <f>SUMPRODUCT((M_BOM[Part Name]=$A54)*M_BOM[RM_Qty_Per_Batch]*IFERROR(INDEX(PP_Grid[#Data],M_BOM[PPGridRow],45),0))/65.0</f>
        <v/>
      </c>
      <c r="AT54">
        <f>SUMPRODUCT((M_BOM[Part Name]=$A54)*M_BOM[RM_Qty_Per_Batch]*IFERROR(INDEX(PP_Grid[#Data],M_BOM[PPGridRow],46),0))/65.0</f>
        <v/>
      </c>
      <c r="AU54">
        <f>SUMPRODUCT((M_BOM[Part Name]=$A54)*M_BOM[RM_Qty_Per_Batch]*IFERROR(INDEX(PP_Grid[#Data],M_BOM[PPGridRow],47),0))/65.0</f>
        <v/>
      </c>
      <c r="AV54">
        <f>SUMPRODUCT((M_BOM[Part Name]=$A54)*M_BOM[RM_Qty_Per_Batch]*IFERROR(INDEX(PP_Grid[#Data],M_BOM[PPGridRow],48),0))/65.0</f>
        <v/>
      </c>
      <c r="AW54">
        <f>SUMPRODUCT((M_BOM[Part Name]=$A54)*M_BOM[RM_Qty_Per_Batch]*IFERROR(INDEX(PP_Grid[#Data],M_BOM[PPGridRow],49),0))/65.0</f>
        <v/>
      </c>
      <c r="AX54">
        <f>SUMPRODUCT((M_BOM[Part Name]=$A54)*M_BOM[RM_Qty_Per_Batch]*IFERROR(INDEX(PP_Grid[#Data],M_BOM[PPGridRow],50),0))/65.0</f>
        <v/>
      </c>
      <c r="AY54">
        <f>SUMPRODUCT((M_BOM[Part Name]=$A54)*M_BOM[RM_Qty_Per_Batch]*IFERROR(INDEX(PP_Grid[#Data],M_BOM[PPGridRow],51),0))/65.0</f>
        <v/>
      </c>
      <c r="AZ54">
        <f>SUMPRODUCT((M_BOM[Part Name]=$A54)*M_BOM[RM_Qty_Per_Batch]*IFERROR(INDEX(PP_Grid[#Data],M_BOM[PPGridRow],52),0))/65.0</f>
        <v/>
      </c>
      <c r="BA54">
        <f>SUMPRODUCT((M_BOM[Part Name]=$A54)*M_BOM[RM_Qty_Per_Batch]*IFERROR(INDEX(PP_Grid[#Data],M_BOM[PPGridRow],53),0))/65.0</f>
        <v/>
      </c>
      <c r="BB54">
        <f>SUMPRODUCT((M_BOM[Part Name]=$A54)*M_BOM[RM_Qty_Per_Batch]*IFERROR(INDEX(PP_Grid[#Data],M_BOM[PPGridRow],54),0))/65.0</f>
        <v/>
      </c>
      <c r="BC54">
        <f>SUMPRODUCT((M_BOM[Part Name]=$A54)*M_BOM[RM_Qty_Per_Batch]*IFERROR(INDEX(PP_Grid[#Data],M_BOM[PPGridRow],55),0))/65.0</f>
        <v/>
      </c>
      <c r="BD54">
        <f>SUMPRODUCT((M_BOM[Part Name]=$A54)*M_BOM[RM_Qty_Per_Batch]*IFERROR(INDEX(PP_Grid[#Data],M_BOM[PPGridRow],56),0))/65.0</f>
        <v/>
      </c>
      <c r="BE54">
        <f>SUMPRODUCT((M_BOM[Part Name]=$A54)*M_BOM[RM_Qty_Per_Batch]*IFERROR(INDEX(PP_Grid[#Data],M_BOM[PPGridRow],57),0))/65.0</f>
        <v/>
      </c>
      <c r="BF54">
        <f>SUMPRODUCT((M_BOM[Part Name]=$A54)*M_BOM[RM_Qty_Per_Batch]*IFERROR(INDEX(PP_Grid[#Data],M_BOM[PPGridRow],58),0))/65.0</f>
        <v/>
      </c>
      <c r="BG54">
        <f>SUMPRODUCT((M_BOM[Part Name]=$A54)*M_BOM[RM_Qty_Per_Batch]*IFERROR(INDEX(PP_Grid[#Data],M_BOM[PPGridRow],59),0))/65.0</f>
        <v/>
      </c>
      <c r="BH54">
        <f>SUMPRODUCT((M_BOM[Part Name]=$A54)*M_BOM[RM_Qty_Per_Batch]*IFERROR(INDEX(PP_Grid[#Data],M_BOM[PPGridRow],60),0))/65.0</f>
        <v/>
      </c>
      <c r="BI54">
        <f>SUMPRODUCT((M_BOM[Part Name]=$A54)*M_BOM[RM_Qty_Per_Batch]*IFERROR(INDEX(PP_Grid[#Data],M_BOM[PPGridRow],61),0))/65.0</f>
        <v/>
      </c>
      <c r="BJ54">
        <f>SUMPRODUCT((M_BOM[Part Name]=$A54)*M_BOM[RM_Qty_Per_Batch]*IFERROR(INDEX(PP_Grid[#Data],M_BOM[PPGridRow],62),0))/65.0</f>
        <v/>
      </c>
      <c r="BK54">
        <f>SUMPRODUCT((M_BOM[Part Name]=$A54)*M_BOM[RM_Qty_Per_Batch]*IFERROR(INDEX(PP_Grid[#Data],M_BOM[PPGridRow],63),0))/65.0</f>
        <v/>
      </c>
      <c r="BL54">
        <f>SUMPRODUCT((M_BOM[Part Name]=$A54)*M_BOM[RM_Qty_Per_Batch]*IFERROR(INDEX(PP_Grid[#Data],M_BOM[PPGridRow],64),0))/65.0</f>
        <v/>
      </c>
      <c r="BM54">
        <f>SUMPRODUCT((M_BOM[Part Name]=$A54)*M_BOM[RM_Qty_Per_Batch]*IFERROR(INDEX(PP_Grid[#Data],M_BOM[PPGridRow],65),0))/65.0</f>
        <v/>
      </c>
      <c r="BN54">
        <f>SUMPRODUCT((M_BOM[Part Name]=$A54)*M_BOM[RM_Qty_Per_Batch]*IFERROR(INDEX(PP_Grid[#Data],M_BOM[PPGridRow],66),0))/65.0</f>
        <v/>
      </c>
      <c r="BO54">
        <f>SUMPRODUCT((M_BOM[Part Name]=$A54)*M_BOM[RM_Qty_Per_Batch]*IFERROR(INDEX(PP_Grid[#Data],M_BOM[PPGridRow],67),0))/65.0</f>
        <v/>
      </c>
      <c r="BP54">
        <f>SUMPRODUCT((M_BOM[Part Name]=$A54)*M_BOM[RM_Qty_Per_Batch]*IFERROR(INDEX(PP_Grid[#Data],M_BOM[PPGridRow],68),0))/65.0</f>
        <v/>
      </c>
      <c r="BQ54">
        <f>SUMPRODUCT((M_BOM[Part Name]=$A54)*M_BOM[RM_Qty_Per_Batch]*IFERROR(INDEX(PP_Grid[#Data],M_BOM[PPGridRow],69),0))/65.0</f>
        <v/>
      </c>
      <c r="BR54">
        <f>SUMPRODUCT((M_BOM[Part Name]=$A54)*M_BOM[RM_Qty_Per_Batch]*IFERROR(INDEX(PP_Grid[#Data],M_BOM[PPGridRow],70),0))/65.0</f>
        <v/>
      </c>
      <c r="BS54">
        <f>SUMPRODUCT((M_BOM[Part Name]=$A54)*M_BOM[RM_Qty_Per_Batch]*IFERROR(INDEX(PP_Grid[#Data],M_BOM[PPGridRow],71),0))/65.0</f>
        <v/>
      </c>
      <c r="BT54">
        <f>SUMPRODUCT((M_BOM[Part Name]=$A54)*M_BOM[RM_Qty_Per_Batch]*IFERROR(INDEX(PP_Grid[#Data],M_BOM[PPGridRow],72),0))/65.0</f>
        <v/>
      </c>
      <c r="BU54">
        <f>SUMPRODUCT((M_BOM[Part Name]=$A54)*M_BOM[RM_Qty_Per_Batch]*IFERROR(INDEX(PP_Grid[#Data],M_BOM[PPGridRow],73),0))/65.0</f>
        <v/>
      </c>
      <c r="BV54">
        <f>SUMPRODUCT((M_BOM[Part Name]=$A54)*M_BOM[RM_Qty_Per_Batch]*IFERROR(INDEX(PP_Grid[#Data],M_BOM[PPGridRow],74),0))/65.0</f>
        <v/>
      </c>
      <c r="BW54">
        <f>SUMPRODUCT((M_BOM[Part Name]=$A54)*M_BOM[RM_Qty_Per_Batch]*IFERROR(INDEX(PP_Grid[#Data],M_BOM[PPGridRow],75),0))/65.0</f>
        <v/>
      </c>
      <c r="BX54">
        <f>SUMPRODUCT((M_BOM[Part Name]=$A54)*M_BOM[RM_Qty_Per_Batch]*IFERROR(INDEX(PP_Grid[#Data],M_BOM[PPGridRow],76),0))/65.0</f>
        <v/>
      </c>
      <c r="BY54">
        <f>SUMPRODUCT((M_BOM[Part Name]=$A54)*M_BOM[RM_Qty_Per_Batch]*IFERROR(INDEX(PP_Grid[#Data],M_BOM[PPGridRow],77),0))/65.0</f>
        <v/>
      </c>
      <c r="BZ54">
        <f>SUMPRODUCT((M_BOM[Part Name]=$A54)*M_BOM[RM_Qty_Per_Batch]*IFERROR(INDEX(PP_Grid[#Data],M_BOM[PPGridRow],78),0))/65.0</f>
        <v/>
      </c>
      <c r="CA54">
        <f>SUMPRODUCT((M_BOM[Part Name]=$A54)*M_BOM[RM_Qty_Per_Batch]*IFERROR(INDEX(PP_Grid[#Data],M_BOM[PPGridRow],79),0))/65.0</f>
        <v/>
      </c>
      <c r="CB54">
        <f>SUMPRODUCT((M_BOM[Part Name]=$A54)*M_BOM[RM_Qty_Per_Batch]*IFERROR(INDEX(PP_Grid[#Data],M_BOM[PPGridRow],80),0))/65.0</f>
        <v/>
      </c>
      <c r="CC54">
        <f>SUMPRODUCT((M_BOM[Part Name]=$A54)*M_BOM[RM_Qty_Per_Batch]*IFERROR(INDEX(PP_Grid[#Data],M_BOM[PPGridRow],81),0))/65.0</f>
        <v/>
      </c>
      <c r="CD54">
        <f>SUMPRODUCT((M_BOM[Part Name]=$A54)*M_BOM[RM_Qty_Per_Batch]*IFERROR(INDEX(PP_Grid[#Data],M_BOM[PPGridRow],82),0))/65.0</f>
        <v/>
      </c>
      <c r="CE54">
        <f>SUMPRODUCT((M_BOM[Part Name]=$A54)*M_BOM[RM_Qty_Per_Batch]*IFERROR(INDEX(PP_Grid[#Data],M_BOM[PPGridRow],83),0))/65.0</f>
        <v/>
      </c>
      <c r="CF54">
        <f>SUMPRODUCT((M_BOM[Part Name]=$A54)*M_BOM[RM_Qty_Per_Batch]*IFERROR(INDEX(PP_Grid[#Data],M_BOM[PPGridRow],84),0))/65.0</f>
        <v/>
      </c>
      <c r="CG54">
        <f>SUMPRODUCT((M_BOM[Part Name]=$A54)*M_BOM[RM_Qty_Per_Batch]*IFERROR(INDEX(PP_Grid[#Data],M_BOM[PPGridRow],85),0))/65.0</f>
        <v/>
      </c>
      <c r="CH54">
        <f>SUMPRODUCT((M_BOM[Part Name]=$A54)*M_BOM[RM_Qty_Per_Batch]*IFERROR(INDEX(PP_Grid[#Data],M_BOM[PPGridRow],86),0))/65.0</f>
        <v/>
      </c>
      <c r="CI54">
        <f>SUMPRODUCT((M_BOM[Part Name]=$A54)*M_BOM[RM_Qty_Per_Batch]*IFERROR(INDEX(PP_Grid[#Data],M_BOM[PPGridRow],87),0))/65.0</f>
        <v/>
      </c>
      <c r="CJ54">
        <f>SUMPRODUCT((M_BOM[Part Name]=$A54)*M_BOM[RM_Qty_Per_Batch]*IFERROR(INDEX(PP_Grid[#Data],M_BOM[PPGridRow],88),0))/65.0</f>
        <v/>
      </c>
      <c r="CK54">
        <f>SUMPRODUCT((M_BOM[Part Name]=$A54)*M_BOM[RM_Qty_Per_Batch]*IFERROR(INDEX(PP_Grid[#Data],M_BOM[PPGridRow],89),0))/65.0</f>
        <v/>
      </c>
      <c r="CL54">
        <f>SUMPRODUCT((M_BOM[Part Name]=$A54)*M_BOM[RM_Qty_Per_Batch]*IFERROR(INDEX(PP_Grid[#Data],M_BOM[PPGridRow],90),0))/65.0</f>
        <v/>
      </c>
      <c r="CM54">
        <f>SUMPRODUCT((M_BOM[Part Name]=$A54)*M_BOM[RM_Qty_Per_Batch]*IFERROR(INDEX(PP_Grid[#Data],M_BOM[PPGridRow],91),0))/65.0</f>
        <v/>
      </c>
      <c r="CN54">
        <f>SUMPRODUCT((M_BOM[Part Name]=$A54)*M_BOM[RM_Qty_Per_Batch]*IFERROR(INDEX(PP_Grid[#Data],M_BOM[PPGridRow],92),0))/65.0</f>
        <v/>
      </c>
      <c r="CO54">
        <f>SUMPRODUCT((M_BOM[Part Name]=$A54)*M_BOM[RM_Qty_Per_Batch]*IFERROR(INDEX(PP_Grid[#Data],M_BOM[PPGridRow],93),0))/65.0</f>
        <v/>
      </c>
      <c r="CP54">
        <f>SUMPRODUCT((M_BOM[Part Name]=$A54)*M_BOM[RM_Qty_Per_Batch]*IFERROR(INDEX(PP_Grid[#Data],M_BOM[PPGridRow],94),0))/65.0</f>
        <v/>
      </c>
      <c r="CQ54">
        <f>SUMPRODUCT((M_BOM[Part Name]=$A54)*M_BOM[RM_Qty_Per_Batch]*IFERROR(INDEX(PP_Grid[#Data],M_BOM[PPGridRow],95),0))/65.0</f>
        <v/>
      </c>
      <c r="CR54">
        <f>SUMPRODUCT((M_BOM[Part Name]=$A54)*M_BOM[RM_Qty_Per_Batch]*IFERROR(INDEX(PP_Grid[#Data],M_BOM[PPGridRow],96),0))/65.0</f>
        <v/>
      </c>
      <c r="CS54">
        <f>SUMPRODUCT((M_BOM[Part Name]=$A54)*M_BOM[RM_Qty_Per_Batch]*IFERROR(INDEX(PP_Grid[#Data],M_BOM[PPGridRow],97),0))/65.0</f>
        <v/>
      </c>
      <c r="CT54">
        <f>SUMPRODUCT((M_BOM[Part Name]=$A54)*M_BOM[RM_Qty_Per_Batch]*IFERROR(INDEX(PP_Grid[#Data],M_BOM[PPGridRow],98),0))/65.0</f>
        <v/>
      </c>
      <c r="CU54">
        <f>SUMPRODUCT((M_BOM[Part Name]=$A54)*M_BOM[RM_Qty_Per_Batch]*IFERROR(INDEX(PP_Grid[#Data],M_BOM[PPGridRow],99),0))/65.0</f>
        <v/>
      </c>
      <c r="CV54">
        <f>SUMPRODUCT((M_BOM[Part Name]=$A54)*M_BOM[RM_Qty_Per_Batch]*IFERROR(INDEX(PP_Grid[#Data],M_BOM[PPGridRow],100),0))/65.0</f>
        <v/>
      </c>
      <c r="CW54">
        <f>SUMPRODUCT((M_BOM[Part Name]=$A54)*M_BOM[RM_Qty_Per_Batch]*IFERROR(INDEX(PP_Grid[#Data],M_BOM[PPGridRow],101),0))/65.0</f>
        <v/>
      </c>
      <c r="CX54">
        <f>SUMPRODUCT((M_BOM[Part Name]=$A54)*M_BOM[RM_Qty_Per_Batch]*IFERROR(INDEX(PP_Grid[#Data],M_BOM[PPGridRow],102),0))/65.0</f>
        <v/>
      </c>
      <c r="CY54">
        <f>SUMPRODUCT((M_BOM[Part Name]=$A54)*M_BOM[RM_Qty_Per_Batch]*IFERROR(INDEX(PP_Grid[#Data],M_BOM[PPGridRow],103),0))/65.0</f>
        <v/>
      </c>
      <c r="CZ54">
        <f>SUMPRODUCT((M_BOM[Part Name]=$A54)*M_BOM[RM_Qty_Per_Batch]*IFERROR(INDEX(PP_Grid[#Data],M_BOM[PPGridRow],104),0))/65.0</f>
        <v/>
      </c>
      <c r="DA54">
        <f>SUMPRODUCT((M_BOM[Part Name]=$A54)*M_BOM[RM_Qty_Per_Batch]*IFERROR(INDEX(PP_Grid[#Data],M_BOM[PPGridRow],105),0))/65.0</f>
        <v/>
      </c>
    </row>
    <row r="55">
      <c r="A55" t="inlineStr">
        <is>
          <t>TVS-267</t>
        </is>
      </c>
      <c r="B55" s="27" t="n">
        <v>0</v>
      </c>
      <c r="C55" s="27" t="n">
        <v>0</v>
      </c>
      <c r="D55" s="27" t="n">
        <v>0</v>
      </c>
      <c r="E55" s="27" t="n">
        <v>0</v>
      </c>
      <c r="F55" s="27" t="n">
        <v>0</v>
      </c>
      <c r="G55" s="27" t="n">
        <v>0</v>
      </c>
      <c r="H55" s="27" t="n">
        <v>0</v>
      </c>
      <c r="I55" s="27" t="n">
        <v>0</v>
      </c>
      <c r="J55" s="27" t="n">
        <v>0</v>
      </c>
      <c r="K55" s="27" t="n">
        <v>0</v>
      </c>
      <c r="L55" s="27" t="n">
        <v>0</v>
      </c>
      <c r="M55" s="27" t="n">
        <v>0</v>
      </c>
      <c r="N55" s="27" t="n">
        <v>0</v>
      </c>
      <c r="O55" s="27" t="n">
        <v>0</v>
      </c>
      <c r="P55" s="27" t="n">
        <v>0</v>
      </c>
      <c r="Q55" s="27" t="n">
        <v>0</v>
      </c>
      <c r="R55" s="27" t="n">
        <v>0</v>
      </c>
      <c r="S55" s="27" t="n">
        <v>0</v>
      </c>
      <c r="T55" s="27" t="n">
        <v>0</v>
      </c>
      <c r="U55" s="27" t="n">
        <v>0</v>
      </c>
      <c r="V55" s="27" t="n">
        <v>0</v>
      </c>
      <c r="W55" s="27" t="n">
        <v>0</v>
      </c>
      <c r="X55" s="27" t="n">
        <v>0</v>
      </c>
      <c r="Y55" s="27" t="n">
        <v>0</v>
      </c>
      <c r="Z55" s="27" t="n">
        <v>0</v>
      </c>
      <c r="AA55" s="27" t="n">
        <v>0</v>
      </c>
      <c r="AB55" s="27" t="n">
        <v>0</v>
      </c>
      <c r="AC55" s="27" t="n">
        <v>0</v>
      </c>
      <c r="AD55" s="27" t="n">
        <v>0</v>
      </c>
      <c r="AE55" s="27" t="n">
        <v>0</v>
      </c>
      <c r="AF55" s="27" t="n">
        <v>0</v>
      </c>
      <c r="AG55" s="27" t="n">
        <v>0</v>
      </c>
      <c r="AH55" s="27" t="n">
        <v>0</v>
      </c>
      <c r="AI55" s="27" t="n">
        <v>0</v>
      </c>
      <c r="AJ55" s="27" t="n">
        <v>0</v>
      </c>
      <c r="AK55" s="27" t="n">
        <v>0</v>
      </c>
      <c r="AL55" s="27" t="n">
        <v>0</v>
      </c>
      <c r="AM55" s="27" t="n">
        <v>0</v>
      </c>
      <c r="AN55" s="27" t="n">
        <v>0</v>
      </c>
      <c r="AO55" s="27" t="n">
        <v>0</v>
      </c>
      <c r="AP55" s="27" t="n">
        <v>0</v>
      </c>
      <c r="AQ55" s="27" t="n">
        <v>0</v>
      </c>
      <c r="AR55" s="27" t="n">
        <v>0</v>
      </c>
      <c r="AS55" s="27" t="n">
        <v>0</v>
      </c>
      <c r="AT55" s="27" t="n">
        <v>0</v>
      </c>
      <c r="AU55" s="27" t="n">
        <v>0</v>
      </c>
      <c r="AV55" s="27" t="n">
        <v>0</v>
      </c>
      <c r="AW55" s="27" t="n">
        <v>0</v>
      </c>
      <c r="AX55" s="27" t="n">
        <v>0</v>
      </c>
      <c r="AY55" s="27" t="n">
        <v>0</v>
      </c>
      <c r="AZ55" s="27" t="n">
        <v>0</v>
      </c>
      <c r="BA55" s="27" t="n">
        <v>0</v>
      </c>
      <c r="BB55" s="27" t="n">
        <v>0</v>
      </c>
      <c r="BC55" s="27" t="n">
        <v>0</v>
      </c>
      <c r="BD55" s="27" t="n">
        <v>0</v>
      </c>
      <c r="BE55" s="27" t="n">
        <v>0</v>
      </c>
      <c r="BF55" s="27" t="n">
        <v>0</v>
      </c>
      <c r="BG55" s="27" t="n">
        <v>0</v>
      </c>
      <c r="BH55" s="27" t="n">
        <v>0</v>
      </c>
      <c r="BI55" s="27" t="n">
        <v>0</v>
      </c>
      <c r="BJ55" s="27" t="n">
        <v>0</v>
      </c>
      <c r="BK55" s="27" t="n">
        <v>0</v>
      </c>
      <c r="BL55" s="27" t="n">
        <v>0</v>
      </c>
      <c r="BM55" s="27" t="n">
        <v>0</v>
      </c>
      <c r="BN55" s="27" t="n">
        <v>0</v>
      </c>
      <c r="BO55" s="27" t="n">
        <v>0</v>
      </c>
      <c r="BP55" s="27" t="n">
        <v>0</v>
      </c>
      <c r="BQ55" s="27" t="n">
        <v>0</v>
      </c>
      <c r="BR55" s="27" t="n">
        <v>0</v>
      </c>
      <c r="BS55" s="27" t="n">
        <v>0</v>
      </c>
      <c r="BT55" s="27" t="n">
        <v>0</v>
      </c>
      <c r="BU55" s="27" t="n">
        <v>0</v>
      </c>
      <c r="BV55" s="27" t="n">
        <v>0</v>
      </c>
      <c r="BW55" s="27" t="n">
        <v>0</v>
      </c>
      <c r="BX55" s="27" t="n">
        <v>0</v>
      </c>
      <c r="BY55" s="27" t="n">
        <v>0</v>
      </c>
      <c r="BZ55" s="27" t="n">
        <v>0</v>
      </c>
      <c r="CA55" s="27" t="n">
        <v>0</v>
      </c>
      <c r="CB55" s="27" t="n">
        <v>0</v>
      </c>
      <c r="CC55" s="27" t="n">
        <v>0</v>
      </c>
      <c r="CD55" s="27" t="n">
        <v>0</v>
      </c>
      <c r="CE55" s="27" t="n">
        <v>0</v>
      </c>
      <c r="CF55" s="27" t="n">
        <v>0</v>
      </c>
      <c r="CG55" s="27" t="n">
        <v>0</v>
      </c>
      <c r="CH55" s="27" t="n">
        <v>0</v>
      </c>
      <c r="CI55" s="27" t="n">
        <v>0</v>
      </c>
      <c r="CJ55" s="27" t="n">
        <v>0</v>
      </c>
      <c r="CK55" s="27" t="n">
        <v>0</v>
      </c>
      <c r="CL55" s="27" t="n">
        <v>0</v>
      </c>
      <c r="CM55" s="27" t="n">
        <v>0</v>
      </c>
      <c r="CN55" s="27" t="n">
        <v>0</v>
      </c>
      <c r="CO55" s="27" t="n">
        <v>0</v>
      </c>
      <c r="CP55" s="27" t="n">
        <v>0</v>
      </c>
      <c r="CQ55" s="27" t="n">
        <v>0</v>
      </c>
      <c r="CR55" s="27" t="n">
        <v>0</v>
      </c>
      <c r="CS55" s="27" t="n">
        <v>0</v>
      </c>
      <c r="CT55" s="27" t="n">
        <v>0</v>
      </c>
      <c r="CU55" s="27" t="n">
        <v>0</v>
      </c>
      <c r="CV55" s="27" t="n">
        <v>0</v>
      </c>
      <c r="CW55" s="27" t="n">
        <v>0</v>
      </c>
      <c r="CX55" s="27" t="n">
        <v>0</v>
      </c>
      <c r="CY55" s="27" t="n">
        <v>0</v>
      </c>
      <c r="CZ55" s="27" t="n">
        <v>0</v>
      </c>
      <c r="DA55" s="27" t="n">
        <v>0</v>
      </c>
    </row>
    <row r="56">
      <c r="A56" t="inlineStr">
        <is>
          <t>TVS-500</t>
        </is>
      </c>
      <c r="B56" s="27" t="n">
        <v>0</v>
      </c>
      <c r="C56" s="27" t="n">
        <v>0</v>
      </c>
      <c r="D56" s="27" t="n">
        <v>0</v>
      </c>
      <c r="E56" s="27" t="n">
        <v>0</v>
      </c>
      <c r="F56" s="27" t="n">
        <v>0</v>
      </c>
      <c r="G56" s="27" t="n">
        <v>0</v>
      </c>
      <c r="H56" s="27" t="n">
        <v>0</v>
      </c>
      <c r="I56" s="27" t="n">
        <v>0</v>
      </c>
      <c r="J56" s="27" t="n">
        <v>0</v>
      </c>
      <c r="K56" s="27" t="n">
        <v>0</v>
      </c>
      <c r="L56" s="27" t="n">
        <v>0</v>
      </c>
      <c r="M56" s="27" t="n">
        <v>0</v>
      </c>
      <c r="N56" s="27" t="n">
        <v>0</v>
      </c>
      <c r="O56" s="27" t="n">
        <v>0</v>
      </c>
      <c r="P56" s="27" t="n">
        <v>0</v>
      </c>
      <c r="Q56" s="27" t="n">
        <v>0</v>
      </c>
      <c r="R56" s="27" t="n">
        <v>0</v>
      </c>
      <c r="S56" s="27" t="n">
        <v>0</v>
      </c>
      <c r="T56" s="27" t="n">
        <v>0</v>
      </c>
      <c r="U56" s="27" t="n">
        <v>0</v>
      </c>
      <c r="V56" s="27" t="n">
        <v>0</v>
      </c>
      <c r="W56" s="27" t="n">
        <v>0</v>
      </c>
      <c r="X56" s="27" t="n">
        <v>0</v>
      </c>
      <c r="Y56" s="27" t="n">
        <v>0</v>
      </c>
      <c r="Z56" s="27" t="n">
        <v>0</v>
      </c>
      <c r="AA56" s="27" t="n">
        <v>0</v>
      </c>
      <c r="AB56" s="27" t="n">
        <v>0</v>
      </c>
      <c r="AC56" s="27" t="n">
        <v>0</v>
      </c>
      <c r="AD56" s="27" t="n">
        <v>0</v>
      </c>
      <c r="AE56" s="27" t="n">
        <v>0</v>
      </c>
      <c r="AF56" s="27" t="n">
        <v>0</v>
      </c>
      <c r="AG56" s="27" t="n">
        <v>0</v>
      </c>
      <c r="AH56" s="27" t="n">
        <v>0</v>
      </c>
      <c r="AI56" s="27" t="n">
        <v>0</v>
      </c>
      <c r="AJ56" s="27" t="n">
        <v>0</v>
      </c>
      <c r="AK56" s="27" t="n">
        <v>0</v>
      </c>
      <c r="AL56" s="27" t="n">
        <v>0</v>
      </c>
      <c r="AM56" s="27" t="n">
        <v>0</v>
      </c>
      <c r="AN56" s="27" t="n">
        <v>0</v>
      </c>
      <c r="AO56" s="27" t="n">
        <v>0</v>
      </c>
      <c r="AP56" s="27" t="n">
        <v>0</v>
      </c>
      <c r="AQ56" s="27" t="n">
        <v>0</v>
      </c>
      <c r="AR56" s="27" t="n">
        <v>0</v>
      </c>
      <c r="AS56" s="27" t="n">
        <v>0</v>
      </c>
      <c r="AT56" s="27" t="n">
        <v>0</v>
      </c>
      <c r="AU56" s="27" t="n">
        <v>0</v>
      </c>
      <c r="AV56" s="27" t="n">
        <v>0</v>
      </c>
      <c r="AW56" s="27" t="n">
        <v>0</v>
      </c>
      <c r="AX56" s="27" t="n">
        <v>0</v>
      </c>
      <c r="AY56" s="27" t="n">
        <v>0</v>
      </c>
      <c r="AZ56" s="27" t="n">
        <v>0</v>
      </c>
      <c r="BA56" s="27" t="n">
        <v>0</v>
      </c>
      <c r="BB56" s="27" t="n">
        <v>0</v>
      </c>
      <c r="BC56" s="27" t="n">
        <v>0</v>
      </c>
      <c r="BD56" s="27" t="n">
        <v>0</v>
      </c>
      <c r="BE56" s="27" t="n">
        <v>0</v>
      </c>
      <c r="BF56" s="27" t="n">
        <v>0</v>
      </c>
      <c r="BG56" s="27" t="n">
        <v>0</v>
      </c>
      <c r="BH56" s="27" t="n">
        <v>0</v>
      </c>
      <c r="BI56" s="27" t="n">
        <v>0</v>
      </c>
      <c r="BJ56" s="27" t="n">
        <v>0</v>
      </c>
      <c r="BK56" s="27" t="n">
        <v>0</v>
      </c>
      <c r="BL56" s="27" t="n">
        <v>0</v>
      </c>
      <c r="BM56" s="27" t="n">
        <v>0</v>
      </c>
      <c r="BN56" s="27" t="n">
        <v>0</v>
      </c>
      <c r="BO56" s="27" t="n">
        <v>0</v>
      </c>
      <c r="BP56" s="27" t="n">
        <v>0</v>
      </c>
      <c r="BQ56" s="27" t="n">
        <v>0</v>
      </c>
      <c r="BR56" s="27" t="n">
        <v>0</v>
      </c>
      <c r="BS56" s="27" t="n">
        <v>0</v>
      </c>
      <c r="BT56" s="27" t="n">
        <v>0</v>
      </c>
      <c r="BU56" s="27" t="n">
        <v>0</v>
      </c>
      <c r="BV56" s="27" t="n">
        <v>0</v>
      </c>
      <c r="BW56" s="27" t="n">
        <v>0</v>
      </c>
      <c r="BX56" s="27" t="n">
        <v>0</v>
      </c>
      <c r="BY56" s="27" t="n">
        <v>0</v>
      </c>
      <c r="BZ56" s="27" t="n">
        <v>0</v>
      </c>
      <c r="CA56" s="27" t="n">
        <v>0</v>
      </c>
      <c r="CB56" s="27" t="n">
        <v>0</v>
      </c>
      <c r="CC56" s="27" t="n">
        <v>0</v>
      </c>
      <c r="CD56" s="27" t="n">
        <v>0</v>
      </c>
      <c r="CE56" s="27" t="n">
        <v>0</v>
      </c>
      <c r="CF56" s="27" t="n">
        <v>0</v>
      </c>
      <c r="CG56" s="27" t="n">
        <v>0</v>
      </c>
      <c r="CH56" s="27" t="n">
        <v>0</v>
      </c>
      <c r="CI56" s="27" t="n">
        <v>0</v>
      </c>
      <c r="CJ56" s="27" t="n">
        <v>0</v>
      </c>
      <c r="CK56" s="27" t="n">
        <v>0</v>
      </c>
      <c r="CL56" s="27" t="n">
        <v>0</v>
      </c>
      <c r="CM56" s="27" t="n">
        <v>0</v>
      </c>
      <c r="CN56" s="27" t="n">
        <v>0</v>
      </c>
      <c r="CO56" s="27" t="n">
        <v>0</v>
      </c>
      <c r="CP56" s="27" t="n">
        <v>0</v>
      </c>
      <c r="CQ56" s="27" t="n">
        <v>0</v>
      </c>
      <c r="CR56" s="27" t="n">
        <v>0</v>
      </c>
      <c r="CS56" s="27" t="n">
        <v>0</v>
      </c>
      <c r="CT56" s="27" t="n">
        <v>0</v>
      </c>
      <c r="CU56" s="27" t="n">
        <v>0</v>
      </c>
      <c r="CV56" s="27" t="n">
        <v>0</v>
      </c>
      <c r="CW56" s="27" t="n">
        <v>0</v>
      </c>
      <c r="CX56" s="27" t="n">
        <v>0</v>
      </c>
      <c r="CY56" s="27" t="n">
        <v>0</v>
      </c>
      <c r="CZ56" s="27" t="n">
        <v>0</v>
      </c>
      <c r="DA56" s="27" t="n">
        <v>0</v>
      </c>
    </row>
    <row r="57">
      <c r="A57" t="inlineStr">
        <is>
          <t>TVS-664</t>
        </is>
      </c>
      <c r="B57" s="27" t="n">
        <v>0</v>
      </c>
      <c r="C57" s="27" t="n">
        <v>0</v>
      </c>
      <c r="D57" s="27" t="n">
        <v>0</v>
      </c>
      <c r="E57" s="27" t="n">
        <v>0</v>
      </c>
      <c r="F57" s="27" t="n">
        <v>0</v>
      </c>
      <c r="G57" s="27" t="n">
        <v>0</v>
      </c>
      <c r="H57" s="27" t="n">
        <v>0</v>
      </c>
      <c r="I57" s="27" t="n">
        <v>0</v>
      </c>
      <c r="J57" s="27" t="n">
        <v>0</v>
      </c>
      <c r="K57" s="27" t="n">
        <v>0</v>
      </c>
      <c r="L57" s="27" t="n">
        <v>0</v>
      </c>
      <c r="M57" s="27" t="n">
        <v>0</v>
      </c>
      <c r="N57" s="27" t="n">
        <v>0</v>
      </c>
      <c r="O57" s="27" t="n">
        <v>0</v>
      </c>
      <c r="P57" s="27" t="n">
        <v>0</v>
      </c>
      <c r="Q57" s="27" t="n">
        <v>0</v>
      </c>
      <c r="R57" s="27" t="n">
        <v>0</v>
      </c>
      <c r="S57" s="27" t="n">
        <v>0</v>
      </c>
      <c r="T57" s="27" t="n">
        <v>0</v>
      </c>
      <c r="U57" s="27" t="n">
        <v>0</v>
      </c>
      <c r="V57" s="27" t="n">
        <v>0</v>
      </c>
      <c r="W57" s="27" t="n">
        <v>0</v>
      </c>
      <c r="X57" s="27" t="n">
        <v>0</v>
      </c>
      <c r="Y57" s="27" t="n">
        <v>0</v>
      </c>
      <c r="Z57" s="27" t="n">
        <v>0</v>
      </c>
      <c r="AA57" s="27" t="n">
        <v>0</v>
      </c>
      <c r="AB57" s="27" t="n">
        <v>0</v>
      </c>
      <c r="AC57" s="27" t="n">
        <v>0</v>
      </c>
      <c r="AD57" s="27" t="n">
        <v>0</v>
      </c>
      <c r="AE57" s="27" t="n">
        <v>0</v>
      </c>
      <c r="AF57" s="27" t="n">
        <v>0</v>
      </c>
      <c r="AG57" s="27" t="n">
        <v>0</v>
      </c>
      <c r="AH57" s="27" t="n">
        <v>0</v>
      </c>
      <c r="AI57" s="27" t="n">
        <v>0</v>
      </c>
      <c r="AJ57" s="27" t="n">
        <v>0</v>
      </c>
      <c r="AK57" s="27" t="n">
        <v>0</v>
      </c>
      <c r="AL57" s="27" t="n">
        <v>0</v>
      </c>
      <c r="AM57" s="27" t="n">
        <v>0</v>
      </c>
      <c r="AN57" s="27" t="n">
        <v>0</v>
      </c>
      <c r="AO57" s="27" t="n">
        <v>0</v>
      </c>
      <c r="AP57" s="27" t="n">
        <v>0</v>
      </c>
      <c r="AQ57" s="27" t="n">
        <v>0</v>
      </c>
      <c r="AR57" s="27" t="n">
        <v>0</v>
      </c>
      <c r="AS57" s="27" t="n">
        <v>0</v>
      </c>
      <c r="AT57" s="27" t="n">
        <v>0</v>
      </c>
      <c r="AU57" s="27" t="n">
        <v>0</v>
      </c>
      <c r="AV57" s="27" t="n">
        <v>0</v>
      </c>
      <c r="AW57" s="27" t="n">
        <v>0</v>
      </c>
      <c r="AX57" s="27" t="n">
        <v>0</v>
      </c>
      <c r="AY57" s="27" t="n">
        <v>0</v>
      </c>
      <c r="AZ57" s="27" t="n">
        <v>0</v>
      </c>
      <c r="BA57" s="27" t="n">
        <v>0</v>
      </c>
      <c r="BB57" s="27" t="n">
        <v>0</v>
      </c>
      <c r="BC57" s="27" t="n">
        <v>0</v>
      </c>
      <c r="BD57" s="27" t="n">
        <v>0</v>
      </c>
      <c r="BE57" s="27" t="n">
        <v>0</v>
      </c>
      <c r="BF57" s="27" t="n">
        <v>0</v>
      </c>
      <c r="BG57" s="27" t="n">
        <v>0</v>
      </c>
      <c r="BH57" s="27" t="n">
        <v>0</v>
      </c>
      <c r="BI57" s="27" t="n">
        <v>0</v>
      </c>
      <c r="BJ57" s="27" t="n">
        <v>0</v>
      </c>
      <c r="BK57" s="27" t="n">
        <v>0</v>
      </c>
      <c r="BL57" s="27" t="n">
        <v>0</v>
      </c>
      <c r="BM57" s="27" t="n">
        <v>0</v>
      </c>
      <c r="BN57" s="27" t="n">
        <v>0</v>
      </c>
      <c r="BO57" s="27" t="n">
        <v>0</v>
      </c>
      <c r="BP57" s="27" t="n">
        <v>0</v>
      </c>
      <c r="BQ57" s="27" t="n">
        <v>0</v>
      </c>
      <c r="BR57" s="27" t="n">
        <v>0</v>
      </c>
      <c r="BS57" s="27" t="n">
        <v>0</v>
      </c>
      <c r="BT57" s="27" t="n">
        <v>0</v>
      </c>
      <c r="BU57" s="27" t="n">
        <v>0</v>
      </c>
      <c r="BV57" s="27" t="n">
        <v>0</v>
      </c>
      <c r="BW57" s="27" t="n">
        <v>0</v>
      </c>
      <c r="BX57" s="27" t="n">
        <v>0</v>
      </c>
      <c r="BY57" s="27" t="n">
        <v>0</v>
      </c>
      <c r="BZ57" s="27" t="n">
        <v>0</v>
      </c>
      <c r="CA57" s="27" t="n">
        <v>0</v>
      </c>
      <c r="CB57" s="27" t="n">
        <v>0</v>
      </c>
      <c r="CC57" s="27" t="n">
        <v>0</v>
      </c>
      <c r="CD57" s="27" t="n">
        <v>0</v>
      </c>
      <c r="CE57" s="27" t="n">
        <v>0</v>
      </c>
      <c r="CF57" s="27" t="n">
        <v>0</v>
      </c>
      <c r="CG57" s="27" t="n">
        <v>0</v>
      </c>
      <c r="CH57" s="27" t="n">
        <v>0</v>
      </c>
      <c r="CI57" s="27" t="n">
        <v>0</v>
      </c>
      <c r="CJ57" s="27" t="n">
        <v>0</v>
      </c>
      <c r="CK57" s="27" t="n">
        <v>0</v>
      </c>
      <c r="CL57" s="27" t="n">
        <v>0</v>
      </c>
      <c r="CM57" s="27" t="n">
        <v>0</v>
      </c>
      <c r="CN57" s="27" t="n">
        <v>0</v>
      </c>
      <c r="CO57" s="27" t="n">
        <v>0</v>
      </c>
      <c r="CP57" s="27" t="n">
        <v>0</v>
      </c>
      <c r="CQ57" s="27" t="n">
        <v>0</v>
      </c>
      <c r="CR57" s="27" t="n">
        <v>0</v>
      </c>
      <c r="CS57" s="27" t="n">
        <v>0</v>
      </c>
      <c r="CT57" s="27" t="n">
        <v>0</v>
      </c>
      <c r="CU57" s="27" t="n">
        <v>0</v>
      </c>
      <c r="CV57" s="27" t="n">
        <v>0</v>
      </c>
      <c r="CW57" s="27" t="n">
        <v>0</v>
      </c>
      <c r="CX57" s="27" t="n">
        <v>0</v>
      </c>
      <c r="CY57" s="27" t="n">
        <v>0</v>
      </c>
      <c r="CZ57" s="27" t="n">
        <v>0</v>
      </c>
      <c r="DA57" s="27" t="n">
        <v>0</v>
      </c>
    </row>
    <row r="58">
      <c r="A58" t="inlineStr">
        <is>
          <t>TVS-833</t>
        </is>
      </c>
      <c r="B58" s="27" t="n">
        <v>0</v>
      </c>
      <c r="C58" s="27" t="n">
        <v>0</v>
      </c>
      <c r="D58" s="27" t="n">
        <v>0</v>
      </c>
      <c r="E58" s="27" t="n">
        <v>0</v>
      </c>
      <c r="F58" s="27" t="n">
        <v>0</v>
      </c>
      <c r="G58" s="27" t="n">
        <v>0</v>
      </c>
      <c r="H58" s="27" t="n">
        <v>0</v>
      </c>
      <c r="I58" s="27" t="n">
        <v>0</v>
      </c>
      <c r="J58" s="27" t="n">
        <v>0</v>
      </c>
      <c r="K58" s="27" t="n">
        <v>0</v>
      </c>
      <c r="L58" s="27" t="n">
        <v>0</v>
      </c>
      <c r="M58" s="27" t="n">
        <v>0</v>
      </c>
      <c r="N58" s="27" t="n">
        <v>0</v>
      </c>
      <c r="O58" s="27" t="n">
        <v>0</v>
      </c>
      <c r="P58" s="27" t="n">
        <v>0</v>
      </c>
      <c r="Q58" s="27" t="n">
        <v>0</v>
      </c>
      <c r="R58" s="27" t="n">
        <v>0</v>
      </c>
      <c r="S58" s="27" t="n">
        <v>0</v>
      </c>
      <c r="T58" s="27" t="n">
        <v>0</v>
      </c>
      <c r="U58" s="27" t="n">
        <v>0</v>
      </c>
      <c r="V58" s="27" t="n">
        <v>0</v>
      </c>
      <c r="W58" s="27" t="n">
        <v>0</v>
      </c>
      <c r="X58" s="27" t="n">
        <v>0</v>
      </c>
      <c r="Y58" s="27" t="n">
        <v>0</v>
      </c>
      <c r="Z58" s="27" t="n">
        <v>0</v>
      </c>
      <c r="AA58" s="27" t="n">
        <v>0</v>
      </c>
      <c r="AB58" s="27" t="n">
        <v>0</v>
      </c>
      <c r="AC58" s="27" t="n">
        <v>0</v>
      </c>
      <c r="AD58" s="27" t="n">
        <v>0</v>
      </c>
      <c r="AE58" s="27" t="n">
        <v>0</v>
      </c>
      <c r="AF58" s="27" t="n">
        <v>0</v>
      </c>
      <c r="AG58" s="27" t="n">
        <v>0</v>
      </c>
      <c r="AH58" s="27" t="n">
        <v>0</v>
      </c>
      <c r="AI58" s="27" t="n">
        <v>0</v>
      </c>
      <c r="AJ58" s="27" t="n">
        <v>0</v>
      </c>
      <c r="AK58" s="27" t="n">
        <v>0</v>
      </c>
      <c r="AL58" s="27" t="n">
        <v>0</v>
      </c>
      <c r="AM58" s="27" t="n">
        <v>0</v>
      </c>
      <c r="AN58" s="27" t="n">
        <v>0</v>
      </c>
      <c r="AO58" s="27" t="n">
        <v>0</v>
      </c>
      <c r="AP58" s="27" t="n">
        <v>0</v>
      </c>
      <c r="AQ58" s="27" t="n">
        <v>0</v>
      </c>
      <c r="AR58" s="27" t="n">
        <v>0</v>
      </c>
      <c r="AS58" s="27" t="n">
        <v>0</v>
      </c>
      <c r="AT58" s="27" t="n">
        <v>0</v>
      </c>
      <c r="AU58" s="27" t="n">
        <v>0</v>
      </c>
      <c r="AV58" s="27" t="n">
        <v>0</v>
      </c>
      <c r="AW58" s="27" t="n">
        <v>0</v>
      </c>
      <c r="AX58" s="27" t="n">
        <v>0</v>
      </c>
      <c r="AY58" s="27" t="n">
        <v>0</v>
      </c>
      <c r="AZ58" s="27" t="n">
        <v>0</v>
      </c>
      <c r="BA58" s="27" t="n">
        <v>0</v>
      </c>
      <c r="BB58" s="27" t="n">
        <v>0</v>
      </c>
      <c r="BC58" s="27" t="n">
        <v>0</v>
      </c>
      <c r="BD58" s="27" t="n">
        <v>0</v>
      </c>
      <c r="BE58" s="27" t="n">
        <v>0</v>
      </c>
      <c r="BF58" s="27" t="n">
        <v>0</v>
      </c>
      <c r="BG58" s="27" t="n">
        <v>0</v>
      </c>
      <c r="BH58" s="27" t="n">
        <v>0</v>
      </c>
      <c r="BI58" s="27" t="n">
        <v>0</v>
      </c>
      <c r="BJ58" s="27" t="n">
        <v>0</v>
      </c>
      <c r="BK58" s="27" t="n">
        <v>0</v>
      </c>
      <c r="BL58" s="27" t="n">
        <v>0</v>
      </c>
      <c r="BM58" s="27" t="n">
        <v>0</v>
      </c>
      <c r="BN58" s="27" t="n">
        <v>0</v>
      </c>
      <c r="BO58" s="27" t="n">
        <v>0</v>
      </c>
      <c r="BP58" s="27" t="n">
        <v>0</v>
      </c>
      <c r="BQ58" s="27" t="n">
        <v>0</v>
      </c>
      <c r="BR58" s="27" t="n">
        <v>0</v>
      </c>
      <c r="BS58" s="27" t="n">
        <v>0</v>
      </c>
      <c r="BT58" s="27" t="n">
        <v>0</v>
      </c>
      <c r="BU58" s="27" t="n">
        <v>0</v>
      </c>
      <c r="BV58" s="27" t="n">
        <v>0</v>
      </c>
      <c r="BW58" s="27" t="n">
        <v>0</v>
      </c>
      <c r="BX58" s="27" t="n">
        <v>0</v>
      </c>
      <c r="BY58" s="27" t="n">
        <v>0</v>
      </c>
      <c r="BZ58" s="27" t="n">
        <v>0</v>
      </c>
      <c r="CA58" s="27" t="n">
        <v>0</v>
      </c>
      <c r="CB58" s="27" t="n">
        <v>0</v>
      </c>
      <c r="CC58" s="27" t="n">
        <v>0</v>
      </c>
      <c r="CD58" s="27" t="n">
        <v>0</v>
      </c>
      <c r="CE58" s="27" t="n">
        <v>0</v>
      </c>
      <c r="CF58" s="27" t="n">
        <v>0</v>
      </c>
      <c r="CG58" s="27" t="n">
        <v>0</v>
      </c>
      <c r="CH58" s="27" t="n">
        <v>0</v>
      </c>
      <c r="CI58" s="27" t="n">
        <v>0</v>
      </c>
      <c r="CJ58" s="27" t="n">
        <v>0</v>
      </c>
      <c r="CK58" s="27" t="n">
        <v>0</v>
      </c>
      <c r="CL58" s="27" t="n">
        <v>0</v>
      </c>
      <c r="CM58" s="27" t="n">
        <v>0</v>
      </c>
      <c r="CN58" s="27" t="n">
        <v>0</v>
      </c>
      <c r="CO58" s="27" t="n">
        <v>0</v>
      </c>
      <c r="CP58" s="27" t="n">
        <v>0</v>
      </c>
      <c r="CQ58" s="27" t="n">
        <v>0</v>
      </c>
      <c r="CR58" s="27" t="n">
        <v>0</v>
      </c>
      <c r="CS58" s="27" t="n">
        <v>0</v>
      </c>
      <c r="CT58" s="27" t="n">
        <v>0</v>
      </c>
      <c r="CU58" s="27" t="n">
        <v>0</v>
      </c>
      <c r="CV58" s="27" t="n">
        <v>0</v>
      </c>
      <c r="CW58" s="27" t="n">
        <v>0</v>
      </c>
      <c r="CX58" s="27" t="n">
        <v>0</v>
      </c>
      <c r="CY58" s="27" t="n">
        <v>0</v>
      </c>
      <c r="CZ58" s="27" t="n">
        <v>0</v>
      </c>
      <c r="DA58" s="27" t="n">
        <v>0</v>
      </c>
    </row>
    <row r="59">
      <c r="A59" t="inlineStr">
        <is>
          <t>VSP-600</t>
        </is>
      </c>
      <c r="B59" s="27" t="n">
        <v>0</v>
      </c>
      <c r="C59" s="27" t="n">
        <v>0</v>
      </c>
      <c r="D59" s="27" t="n">
        <v>0</v>
      </c>
      <c r="E59" s="27" t="n">
        <v>0</v>
      </c>
      <c r="F59" s="27" t="n">
        <v>0</v>
      </c>
      <c r="G59" s="27" t="n">
        <v>0</v>
      </c>
      <c r="H59" s="27" t="n">
        <v>0</v>
      </c>
      <c r="I59" s="27" t="n">
        <v>0</v>
      </c>
      <c r="J59" s="27" t="n">
        <v>0</v>
      </c>
      <c r="K59" s="27" t="n">
        <v>0</v>
      </c>
      <c r="L59" s="27" t="n">
        <v>0</v>
      </c>
      <c r="M59" s="27" t="n">
        <v>0</v>
      </c>
      <c r="N59" s="27" t="n">
        <v>0</v>
      </c>
      <c r="O59" s="27" t="n">
        <v>0</v>
      </c>
      <c r="P59" s="27" t="n">
        <v>0</v>
      </c>
      <c r="Q59" s="27" t="n">
        <v>0</v>
      </c>
      <c r="R59" s="27" t="n">
        <v>0</v>
      </c>
      <c r="S59" s="27" t="n">
        <v>0</v>
      </c>
      <c r="T59" s="27" t="n">
        <v>0</v>
      </c>
      <c r="U59" s="27" t="n">
        <v>0</v>
      </c>
      <c r="V59" s="27" t="n">
        <v>0</v>
      </c>
      <c r="W59" s="27" t="n">
        <v>0</v>
      </c>
      <c r="X59" s="27" t="n">
        <v>0</v>
      </c>
      <c r="Y59" s="27" t="n">
        <v>0</v>
      </c>
      <c r="Z59" s="27" t="n">
        <v>0</v>
      </c>
      <c r="AA59" s="27" t="n">
        <v>0</v>
      </c>
      <c r="AB59" s="27" t="n">
        <v>0</v>
      </c>
      <c r="AC59" s="27" t="n">
        <v>0</v>
      </c>
      <c r="AD59" s="27" t="n">
        <v>0</v>
      </c>
      <c r="AE59" s="27" t="n">
        <v>0</v>
      </c>
      <c r="AF59" s="27" t="n">
        <v>0</v>
      </c>
      <c r="AG59" s="27" t="n">
        <v>0</v>
      </c>
      <c r="AH59" s="27" t="n">
        <v>0</v>
      </c>
      <c r="AI59" s="27" t="n">
        <v>0</v>
      </c>
      <c r="AJ59" s="27" t="n">
        <v>0</v>
      </c>
      <c r="AK59" s="27" t="n">
        <v>0</v>
      </c>
      <c r="AL59" s="27" t="n">
        <v>0</v>
      </c>
      <c r="AM59" s="27" t="n">
        <v>0</v>
      </c>
      <c r="AN59" s="27" t="n">
        <v>0</v>
      </c>
      <c r="AO59" s="27" t="n">
        <v>0</v>
      </c>
      <c r="AP59" s="27" t="n">
        <v>0</v>
      </c>
      <c r="AQ59" s="27" t="n">
        <v>0</v>
      </c>
      <c r="AR59" s="27" t="n">
        <v>0</v>
      </c>
      <c r="AS59" s="27" t="n">
        <v>0</v>
      </c>
      <c r="AT59" s="27" t="n">
        <v>0</v>
      </c>
      <c r="AU59" s="27" t="n">
        <v>0</v>
      </c>
      <c r="AV59" s="27" t="n">
        <v>0</v>
      </c>
      <c r="AW59" s="27" t="n">
        <v>0</v>
      </c>
      <c r="AX59" s="27" t="n">
        <v>0</v>
      </c>
      <c r="AY59" s="27" t="n">
        <v>0</v>
      </c>
      <c r="AZ59" s="27" t="n">
        <v>0</v>
      </c>
      <c r="BA59" s="27" t="n">
        <v>0</v>
      </c>
      <c r="BB59" s="27" t="n">
        <v>0</v>
      </c>
      <c r="BC59" s="27" t="n">
        <v>0</v>
      </c>
      <c r="BD59" s="27" t="n">
        <v>0</v>
      </c>
      <c r="BE59" s="27" t="n">
        <v>0</v>
      </c>
      <c r="BF59" s="27" t="n">
        <v>0</v>
      </c>
      <c r="BG59" s="27" t="n">
        <v>0</v>
      </c>
      <c r="BH59" s="27" t="n">
        <v>0</v>
      </c>
      <c r="BI59" s="27" t="n">
        <v>0</v>
      </c>
      <c r="BJ59" s="27" t="n">
        <v>0</v>
      </c>
      <c r="BK59" s="27" t="n">
        <v>0</v>
      </c>
      <c r="BL59" s="27" t="n">
        <v>0</v>
      </c>
      <c r="BM59" s="27" t="n">
        <v>0</v>
      </c>
      <c r="BN59" s="27" t="n">
        <v>0</v>
      </c>
      <c r="BO59" s="27" t="n">
        <v>0</v>
      </c>
      <c r="BP59" s="27" t="n">
        <v>0</v>
      </c>
      <c r="BQ59" s="27" t="n">
        <v>0</v>
      </c>
      <c r="BR59" s="27" t="n">
        <v>0</v>
      </c>
      <c r="BS59" s="27" t="n">
        <v>0</v>
      </c>
      <c r="BT59" s="27" t="n">
        <v>0</v>
      </c>
      <c r="BU59" s="27" t="n">
        <v>0</v>
      </c>
      <c r="BV59" s="27" t="n">
        <v>0</v>
      </c>
      <c r="BW59" s="27" t="n">
        <v>0</v>
      </c>
      <c r="BX59" s="27" t="n">
        <v>0</v>
      </c>
      <c r="BY59" s="27" t="n">
        <v>0</v>
      </c>
      <c r="BZ59" s="27" t="n">
        <v>0</v>
      </c>
      <c r="CA59" s="27" t="n">
        <v>0</v>
      </c>
      <c r="CB59" s="27" t="n">
        <v>0</v>
      </c>
      <c r="CC59" s="27" t="n">
        <v>0</v>
      </c>
      <c r="CD59" s="27" t="n">
        <v>0</v>
      </c>
      <c r="CE59" s="27" t="n">
        <v>0</v>
      </c>
      <c r="CF59" s="27" t="n">
        <v>0</v>
      </c>
      <c r="CG59" s="27" t="n">
        <v>0</v>
      </c>
      <c r="CH59" s="27" t="n">
        <v>0</v>
      </c>
      <c r="CI59" s="27" t="n">
        <v>0</v>
      </c>
      <c r="CJ59" s="27" t="n">
        <v>0</v>
      </c>
      <c r="CK59" s="27" t="n">
        <v>0</v>
      </c>
      <c r="CL59" s="27" t="n">
        <v>0</v>
      </c>
      <c r="CM59" s="27" t="n">
        <v>0</v>
      </c>
      <c r="CN59" s="27" t="n">
        <v>0</v>
      </c>
      <c r="CO59" s="27" t="n">
        <v>0</v>
      </c>
      <c r="CP59" s="27" t="n">
        <v>0</v>
      </c>
      <c r="CQ59" s="27" t="n">
        <v>0</v>
      </c>
      <c r="CR59" s="27" t="n">
        <v>0</v>
      </c>
      <c r="CS59" s="27" t="n">
        <v>0</v>
      </c>
      <c r="CT59" s="27" t="n">
        <v>0</v>
      </c>
      <c r="CU59" s="27" t="n">
        <v>0</v>
      </c>
      <c r="CV59" s="27" t="n">
        <v>0</v>
      </c>
      <c r="CW59" s="27" t="n">
        <v>0</v>
      </c>
      <c r="CX59" s="27" t="n">
        <v>0</v>
      </c>
      <c r="CY59" s="27" t="n">
        <v>0</v>
      </c>
      <c r="CZ59" s="27" t="n">
        <v>0</v>
      </c>
      <c r="DA59" s="27" t="n">
        <v>0</v>
      </c>
    </row>
    <row r="60">
      <c r="A60" t="inlineStr">
        <is>
          <t>VSP-601</t>
        </is>
      </c>
      <c r="B60" s="27" t="n">
        <v>0</v>
      </c>
      <c r="C60" s="27" t="n">
        <v>0</v>
      </c>
      <c r="D60" s="27" t="n">
        <v>0</v>
      </c>
      <c r="E60" s="27" t="n">
        <v>0</v>
      </c>
      <c r="F60" s="27" t="n">
        <v>0</v>
      </c>
      <c r="G60" s="27" t="n">
        <v>0</v>
      </c>
      <c r="H60" s="27" t="n">
        <v>0</v>
      </c>
      <c r="I60" s="27" t="n">
        <v>0</v>
      </c>
      <c r="J60" s="27" t="n">
        <v>0</v>
      </c>
      <c r="K60" s="27" t="n">
        <v>0</v>
      </c>
      <c r="L60" s="27" t="n">
        <v>0</v>
      </c>
      <c r="M60" s="27" t="n">
        <v>0</v>
      </c>
      <c r="N60" s="27" t="n">
        <v>0</v>
      </c>
      <c r="O60" s="27" t="n">
        <v>0</v>
      </c>
      <c r="P60" s="27" t="n">
        <v>0</v>
      </c>
      <c r="Q60" s="27" t="n">
        <v>0</v>
      </c>
      <c r="R60" s="27" t="n">
        <v>0</v>
      </c>
      <c r="S60" s="27" t="n">
        <v>0</v>
      </c>
      <c r="T60" s="27" t="n">
        <v>0</v>
      </c>
      <c r="U60" s="27" t="n">
        <v>0</v>
      </c>
      <c r="V60" s="27" t="n">
        <v>0</v>
      </c>
      <c r="W60" s="27" t="n">
        <v>0</v>
      </c>
      <c r="X60" s="27" t="n">
        <v>0</v>
      </c>
      <c r="Y60" s="27" t="n">
        <v>0</v>
      </c>
      <c r="Z60" s="27" t="n">
        <v>0</v>
      </c>
      <c r="AA60" s="27" t="n">
        <v>0</v>
      </c>
      <c r="AB60" s="27" t="n">
        <v>0</v>
      </c>
      <c r="AC60" s="27" t="n">
        <v>0</v>
      </c>
      <c r="AD60" s="27" t="n">
        <v>0</v>
      </c>
      <c r="AE60" s="27" t="n">
        <v>0</v>
      </c>
      <c r="AF60" s="27" t="n">
        <v>0</v>
      </c>
      <c r="AG60" s="27" t="n">
        <v>0</v>
      </c>
      <c r="AH60" s="27" t="n">
        <v>0</v>
      </c>
      <c r="AI60" s="27" t="n">
        <v>0</v>
      </c>
      <c r="AJ60" s="27" t="n">
        <v>0</v>
      </c>
      <c r="AK60" s="27" t="n">
        <v>0</v>
      </c>
      <c r="AL60" s="27" t="n">
        <v>0</v>
      </c>
      <c r="AM60" s="27" t="n">
        <v>0</v>
      </c>
      <c r="AN60" s="27" t="n">
        <v>0</v>
      </c>
      <c r="AO60" s="27" t="n">
        <v>0</v>
      </c>
      <c r="AP60" s="27" t="n">
        <v>0</v>
      </c>
      <c r="AQ60" s="27" t="n">
        <v>0</v>
      </c>
      <c r="AR60" s="27" t="n">
        <v>0</v>
      </c>
      <c r="AS60" s="27" t="n">
        <v>0</v>
      </c>
      <c r="AT60" s="27" t="n">
        <v>0</v>
      </c>
      <c r="AU60" s="27" t="n">
        <v>0</v>
      </c>
      <c r="AV60" s="27" t="n">
        <v>0</v>
      </c>
      <c r="AW60" s="27" t="n">
        <v>0</v>
      </c>
      <c r="AX60" s="27" t="n">
        <v>0</v>
      </c>
      <c r="AY60" s="27" t="n">
        <v>0</v>
      </c>
      <c r="AZ60" s="27" t="n">
        <v>0</v>
      </c>
      <c r="BA60" s="27" t="n">
        <v>0</v>
      </c>
      <c r="BB60" s="27" t="n">
        <v>0</v>
      </c>
      <c r="BC60" s="27" t="n">
        <v>0</v>
      </c>
      <c r="BD60" s="27" t="n">
        <v>0</v>
      </c>
      <c r="BE60" s="27" t="n">
        <v>0</v>
      </c>
      <c r="BF60" s="27" t="n">
        <v>0</v>
      </c>
      <c r="BG60" s="27" t="n">
        <v>0</v>
      </c>
      <c r="BH60" s="27" t="n">
        <v>0</v>
      </c>
      <c r="BI60" s="27" t="n">
        <v>0</v>
      </c>
      <c r="BJ60" s="27" t="n">
        <v>0</v>
      </c>
      <c r="BK60" s="27" t="n">
        <v>0</v>
      </c>
      <c r="BL60" s="27" t="n">
        <v>0</v>
      </c>
      <c r="BM60" s="27" t="n">
        <v>0</v>
      </c>
      <c r="BN60" s="27" t="n">
        <v>0</v>
      </c>
      <c r="BO60" s="27" t="n">
        <v>0</v>
      </c>
      <c r="BP60" s="27" t="n">
        <v>0</v>
      </c>
      <c r="BQ60" s="27" t="n">
        <v>0</v>
      </c>
      <c r="BR60" s="27" t="n">
        <v>0</v>
      </c>
      <c r="BS60" s="27" t="n">
        <v>0</v>
      </c>
      <c r="BT60" s="27" t="n">
        <v>0</v>
      </c>
      <c r="BU60" s="27" t="n">
        <v>0</v>
      </c>
      <c r="BV60" s="27" t="n">
        <v>0</v>
      </c>
      <c r="BW60" s="27" t="n">
        <v>0</v>
      </c>
      <c r="BX60" s="27" t="n">
        <v>0</v>
      </c>
      <c r="BY60" s="27" t="n">
        <v>0</v>
      </c>
      <c r="BZ60" s="27" t="n">
        <v>0</v>
      </c>
      <c r="CA60" s="27" t="n">
        <v>0</v>
      </c>
      <c r="CB60" s="27" t="n">
        <v>0</v>
      </c>
      <c r="CC60" s="27" t="n">
        <v>0</v>
      </c>
      <c r="CD60" s="27" t="n">
        <v>0</v>
      </c>
      <c r="CE60" s="27" t="n">
        <v>0</v>
      </c>
      <c r="CF60" s="27" t="n">
        <v>0</v>
      </c>
      <c r="CG60" s="27" t="n">
        <v>0</v>
      </c>
      <c r="CH60" s="27" t="n">
        <v>0</v>
      </c>
      <c r="CI60" s="27" t="n">
        <v>0</v>
      </c>
      <c r="CJ60" s="27" t="n">
        <v>0</v>
      </c>
      <c r="CK60" s="27" t="n">
        <v>0</v>
      </c>
      <c r="CL60" s="27" t="n">
        <v>0</v>
      </c>
      <c r="CM60" s="27" t="n">
        <v>0</v>
      </c>
      <c r="CN60" s="27" t="n">
        <v>0</v>
      </c>
      <c r="CO60" s="27" t="n">
        <v>0</v>
      </c>
      <c r="CP60" s="27" t="n">
        <v>0</v>
      </c>
      <c r="CQ60" s="27" t="n">
        <v>0</v>
      </c>
      <c r="CR60" s="27" t="n">
        <v>0</v>
      </c>
      <c r="CS60" s="27" t="n">
        <v>0</v>
      </c>
      <c r="CT60" s="27" t="n">
        <v>0</v>
      </c>
      <c r="CU60" s="27" t="n">
        <v>0</v>
      </c>
      <c r="CV60" s="27" t="n">
        <v>0</v>
      </c>
      <c r="CW60" s="27" t="n">
        <v>0</v>
      </c>
      <c r="CX60" s="27" t="n">
        <v>0</v>
      </c>
      <c r="CY60" s="27" t="n">
        <v>0</v>
      </c>
      <c r="CZ60" s="27" t="n">
        <v>0</v>
      </c>
      <c r="DA60" s="27" t="n">
        <v>0</v>
      </c>
    </row>
    <row r="61">
      <c r="A61" t="inlineStr">
        <is>
          <t>VSP-602</t>
        </is>
      </c>
      <c r="B61" s="27" t="n">
        <v>0</v>
      </c>
      <c r="C61" s="27" t="n">
        <v>0</v>
      </c>
      <c r="D61" s="27" t="n">
        <v>0</v>
      </c>
      <c r="E61" s="27" t="n">
        <v>0</v>
      </c>
      <c r="F61" s="27" t="n">
        <v>0</v>
      </c>
      <c r="G61" s="27" t="n">
        <v>0</v>
      </c>
      <c r="H61" s="27" t="n">
        <v>0</v>
      </c>
      <c r="I61" s="27" t="n">
        <v>0</v>
      </c>
      <c r="J61" s="27" t="n">
        <v>0</v>
      </c>
      <c r="K61" s="27" t="n">
        <v>0</v>
      </c>
      <c r="L61" s="27" t="n">
        <v>0</v>
      </c>
      <c r="M61" s="27" t="n">
        <v>0</v>
      </c>
      <c r="N61" s="27" t="n">
        <v>0</v>
      </c>
      <c r="O61" s="27" t="n">
        <v>0</v>
      </c>
      <c r="P61" s="27" t="n">
        <v>0</v>
      </c>
      <c r="Q61" s="27" t="n">
        <v>0</v>
      </c>
      <c r="R61" s="27" t="n">
        <v>0</v>
      </c>
      <c r="S61" s="27" t="n">
        <v>0</v>
      </c>
      <c r="T61" s="27" t="n">
        <v>0</v>
      </c>
      <c r="U61" s="27" t="n">
        <v>0</v>
      </c>
      <c r="V61" s="27" t="n">
        <v>0</v>
      </c>
      <c r="W61" s="27" t="n">
        <v>0</v>
      </c>
      <c r="X61" s="27" t="n">
        <v>0</v>
      </c>
      <c r="Y61" s="27" t="n">
        <v>0</v>
      </c>
      <c r="Z61" s="27" t="n">
        <v>0</v>
      </c>
      <c r="AA61" s="27" t="n">
        <v>0</v>
      </c>
      <c r="AB61" s="27" t="n">
        <v>0</v>
      </c>
      <c r="AC61" s="27" t="n">
        <v>0</v>
      </c>
      <c r="AD61" s="27" t="n">
        <v>0</v>
      </c>
      <c r="AE61" s="27" t="n">
        <v>0</v>
      </c>
      <c r="AF61" s="27" t="n">
        <v>0</v>
      </c>
      <c r="AG61" s="27" t="n">
        <v>0</v>
      </c>
      <c r="AH61" s="27" t="n">
        <v>0</v>
      </c>
      <c r="AI61" s="27" t="n">
        <v>0</v>
      </c>
      <c r="AJ61" s="27" t="n">
        <v>0</v>
      </c>
      <c r="AK61" s="27" t="n">
        <v>0</v>
      </c>
      <c r="AL61" s="27" t="n">
        <v>0</v>
      </c>
      <c r="AM61" s="27" t="n">
        <v>0</v>
      </c>
      <c r="AN61" s="27" t="n">
        <v>0</v>
      </c>
      <c r="AO61" s="27" t="n">
        <v>0</v>
      </c>
      <c r="AP61" s="27" t="n">
        <v>0</v>
      </c>
      <c r="AQ61" s="27" t="n">
        <v>0</v>
      </c>
      <c r="AR61" s="27" t="n">
        <v>0</v>
      </c>
      <c r="AS61" s="27" t="n">
        <v>0</v>
      </c>
      <c r="AT61" s="27" t="n">
        <v>0</v>
      </c>
      <c r="AU61" s="27" t="n">
        <v>0</v>
      </c>
      <c r="AV61" s="27" t="n">
        <v>0</v>
      </c>
      <c r="AW61" s="27" t="n">
        <v>0</v>
      </c>
      <c r="AX61" s="27" t="n">
        <v>0</v>
      </c>
      <c r="AY61" s="27" t="n">
        <v>0</v>
      </c>
      <c r="AZ61" s="27" t="n">
        <v>0</v>
      </c>
      <c r="BA61" s="27" t="n">
        <v>0</v>
      </c>
      <c r="BB61" s="27" t="n">
        <v>0</v>
      </c>
      <c r="BC61" s="27" t="n">
        <v>0</v>
      </c>
      <c r="BD61" s="27" t="n">
        <v>0</v>
      </c>
      <c r="BE61" s="27" t="n">
        <v>0</v>
      </c>
      <c r="BF61" s="27" t="n">
        <v>0</v>
      </c>
      <c r="BG61" s="27" t="n">
        <v>0</v>
      </c>
      <c r="BH61" s="27" t="n">
        <v>0</v>
      </c>
      <c r="BI61" s="27" t="n">
        <v>0</v>
      </c>
      <c r="BJ61" s="27" t="n">
        <v>0</v>
      </c>
      <c r="BK61" s="27" t="n">
        <v>0</v>
      </c>
      <c r="BL61" s="27" t="n">
        <v>0</v>
      </c>
      <c r="BM61" s="27" t="n">
        <v>0</v>
      </c>
      <c r="BN61" s="27" t="n">
        <v>0</v>
      </c>
      <c r="BO61" s="27" t="n">
        <v>0</v>
      </c>
      <c r="BP61" s="27" t="n">
        <v>0</v>
      </c>
      <c r="BQ61" s="27" t="n">
        <v>0</v>
      </c>
      <c r="BR61" s="27" t="n">
        <v>0</v>
      </c>
      <c r="BS61" s="27" t="n">
        <v>0</v>
      </c>
      <c r="BT61" s="27" t="n">
        <v>0</v>
      </c>
      <c r="BU61" s="27" t="n">
        <v>0</v>
      </c>
      <c r="BV61" s="27" t="n">
        <v>0</v>
      </c>
      <c r="BW61" s="27" t="n">
        <v>0</v>
      </c>
      <c r="BX61" s="27" t="n">
        <v>0</v>
      </c>
      <c r="BY61" s="27" t="n">
        <v>0</v>
      </c>
      <c r="BZ61" s="27" t="n">
        <v>0</v>
      </c>
      <c r="CA61" s="27" t="n">
        <v>0</v>
      </c>
      <c r="CB61" s="27" t="n">
        <v>0</v>
      </c>
      <c r="CC61" s="27" t="n">
        <v>0</v>
      </c>
      <c r="CD61" s="27" t="n">
        <v>0</v>
      </c>
      <c r="CE61" s="27" t="n">
        <v>0</v>
      </c>
      <c r="CF61" s="27" t="n">
        <v>0</v>
      </c>
      <c r="CG61" s="27" t="n">
        <v>0</v>
      </c>
      <c r="CH61" s="27" t="n">
        <v>0</v>
      </c>
      <c r="CI61" s="27" t="n">
        <v>0</v>
      </c>
      <c r="CJ61" s="27" t="n">
        <v>0</v>
      </c>
      <c r="CK61" s="27" t="n">
        <v>0</v>
      </c>
      <c r="CL61" s="27" t="n">
        <v>0</v>
      </c>
      <c r="CM61" s="27" t="n">
        <v>0</v>
      </c>
      <c r="CN61" s="27" t="n">
        <v>0</v>
      </c>
      <c r="CO61" s="27" t="n">
        <v>0</v>
      </c>
      <c r="CP61" s="27" t="n">
        <v>0</v>
      </c>
      <c r="CQ61" s="27" t="n">
        <v>0</v>
      </c>
      <c r="CR61" s="27" t="n">
        <v>0</v>
      </c>
      <c r="CS61" s="27" t="n">
        <v>0</v>
      </c>
      <c r="CT61" s="27" t="n">
        <v>0</v>
      </c>
      <c r="CU61" s="27" t="n">
        <v>0</v>
      </c>
      <c r="CV61" s="27" t="n">
        <v>0</v>
      </c>
      <c r="CW61" s="27" t="n">
        <v>0</v>
      </c>
      <c r="CX61" s="27" t="n">
        <v>0</v>
      </c>
      <c r="CY61" s="27" t="n">
        <v>0</v>
      </c>
      <c r="CZ61" s="27" t="n">
        <v>0</v>
      </c>
      <c r="DA61" s="27" t="n">
        <v>0</v>
      </c>
    </row>
    <row r="62">
      <c r="A62" t="inlineStr">
        <is>
          <t>VSP-820</t>
        </is>
      </c>
      <c r="B62" s="27" t="n">
        <v>0</v>
      </c>
      <c r="C62" s="27" t="n">
        <v>0</v>
      </c>
      <c r="D62" s="27" t="n">
        <v>0</v>
      </c>
      <c r="E62" s="27" t="n">
        <v>0</v>
      </c>
      <c r="F62" s="27" t="n">
        <v>0</v>
      </c>
      <c r="G62" s="27" t="n">
        <v>0</v>
      </c>
      <c r="H62" s="27" t="n">
        <v>0</v>
      </c>
      <c r="I62" s="27" t="n">
        <v>0</v>
      </c>
      <c r="J62" s="27" t="n">
        <v>0</v>
      </c>
      <c r="K62" s="27" t="n">
        <v>0</v>
      </c>
      <c r="L62" s="27" t="n">
        <v>0</v>
      </c>
      <c r="M62" s="27" t="n">
        <v>0</v>
      </c>
      <c r="N62" s="27" t="n">
        <v>0</v>
      </c>
      <c r="O62" s="27" t="n">
        <v>0</v>
      </c>
      <c r="P62" s="27" t="n">
        <v>0</v>
      </c>
      <c r="Q62" s="27" t="n">
        <v>0</v>
      </c>
      <c r="R62" s="27" t="n">
        <v>0</v>
      </c>
      <c r="S62" s="27" t="n">
        <v>0</v>
      </c>
      <c r="T62" s="27" t="n">
        <v>0</v>
      </c>
      <c r="U62" s="27" t="n">
        <v>0</v>
      </c>
      <c r="V62" s="27" t="n">
        <v>0</v>
      </c>
      <c r="W62" s="27" t="n">
        <v>0</v>
      </c>
      <c r="X62" s="27" t="n">
        <v>0</v>
      </c>
      <c r="Y62" s="27" t="n">
        <v>0</v>
      </c>
      <c r="Z62" s="27" t="n">
        <v>0</v>
      </c>
      <c r="AA62" s="27" t="n">
        <v>0</v>
      </c>
      <c r="AB62" s="27" t="n">
        <v>0</v>
      </c>
      <c r="AC62" s="27" t="n">
        <v>0</v>
      </c>
      <c r="AD62" s="27" t="n">
        <v>0</v>
      </c>
      <c r="AE62" s="27" t="n">
        <v>0</v>
      </c>
      <c r="AF62" s="27" t="n">
        <v>0</v>
      </c>
      <c r="AG62" s="27" t="n">
        <v>0</v>
      </c>
      <c r="AH62" s="27" t="n">
        <v>0</v>
      </c>
      <c r="AI62" s="27" t="n">
        <v>0</v>
      </c>
      <c r="AJ62" s="27" t="n">
        <v>0</v>
      </c>
      <c r="AK62" s="27" t="n">
        <v>0</v>
      </c>
      <c r="AL62" s="27" t="n">
        <v>0</v>
      </c>
      <c r="AM62" s="27" t="n">
        <v>0</v>
      </c>
      <c r="AN62" s="27" t="n">
        <v>0</v>
      </c>
      <c r="AO62" s="27" t="n">
        <v>0</v>
      </c>
      <c r="AP62" s="27" t="n">
        <v>0</v>
      </c>
      <c r="AQ62" s="27" t="n">
        <v>0</v>
      </c>
      <c r="AR62" s="27" t="n">
        <v>0</v>
      </c>
      <c r="AS62" s="27" t="n">
        <v>0</v>
      </c>
      <c r="AT62" s="27" t="n">
        <v>0</v>
      </c>
      <c r="AU62" s="27" t="n">
        <v>0</v>
      </c>
      <c r="AV62" s="27" t="n">
        <v>0</v>
      </c>
      <c r="AW62" s="27" t="n">
        <v>0</v>
      </c>
      <c r="AX62" s="27" t="n">
        <v>0</v>
      </c>
      <c r="AY62" s="27" t="n">
        <v>0</v>
      </c>
      <c r="AZ62" s="27" t="n">
        <v>0</v>
      </c>
      <c r="BA62" s="27" t="n">
        <v>0</v>
      </c>
      <c r="BB62" s="27" t="n">
        <v>0</v>
      </c>
      <c r="BC62" s="27" t="n">
        <v>0</v>
      </c>
      <c r="BD62" s="27" t="n">
        <v>0</v>
      </c>
      <c r="BE62" s="27" t="n">
        <v>0</v>
      </c>
      <c r="BF62" s="27" t="n">
        <v>0</v>
      </c>
      <c r="BG62" s="27" t="n">
        <v>0</v>
      </c>
      <c r="BH62" s="27" t="n">
        <v>0</v>
      </c>
      <c r="BI62" s="27" t="n">
        <v>0</v>
      </c>
      <c r="BJ62" s="27" t="n">
        <v>0</v>
      </c>
      <c r="BK62" s="27" t="n">
        <v>0</v>
      </c>
      <c r="BL62" s="27" t="n">
        <v>0</v>
      </c>
      <c r="BM62" s="27" t="n">
        <v>0</v>
      </c>
      <c r="BN62" s="27" t="n">
        <v>0</v>
      </c>
      <c r="BO62" s="27" t="n">
        <v>0</v>
      </c>
      <c r="BP62" s="27" t="n">
        <v>0</v>
      </c>
      <c r="BQ62" s="27" t="n">
        <v>0</v>
      </c>
      <c r="BR62" s="27" t="n">
        <v>0</v>
      </c>
      <c r="BS62" s="27" t="n">
        <v>0</v>
      </c>
      <c r="BT62" s="27" t="n">
        <v>0</v>
      </c>
      <c r="BU62" s="27" t="n">
        <v>0</v>
      </c>
      <c r="BV62" s="27" t="n">
        <v>0</v>
      </c>
      <c r="BW62" s="27" t="n">
        <v>0</v>
      </c>
      <c r="BX62" s="27" t="n">
        <v>0</v>
      </c>
      <c r="BY62" s="27" t="n">
        <v>0</v>
      </c>
      <c r="BZ62" s="27" t="n">
        <v>0</v>
      </c>
      <c r="CA62" s="27" t="n">
        <v>0</v>
      </c>
      <c r="CB62" s="27" t="n">
        <v>0</v>
      </c>
      <c r="CC62" s="27" t="n">
        <v>0</v>
      </c>
      <c r="CD62" s="27" t="n">
        <v>0</v>
      </c>
      <c r="CE62" s="27" t="n">
        <v>0</v>
      </c>
      <c r="CF62" s="27" t="n">
        <v>0</v>
      </c>
      <c r="CG62" s="27" t="n">
        <v>0</v>
      </c>
      <c r="CH62" s="27" t="n">
        <v>0</v>
      </c>
      <c r="CI62" s="27" t="n">
        <v>0</v>
      </c>
      <c r="CJ62" s="27" t="n">
        <v>0</v>
      </c>
      <c r="CK62" s="27" t="n">
        <v>0</v>
      </c>
      <c r="CL62" s="27" t="n">
        <v>0</v>
      </c>
      <c r="CM62" s="27" t="n">
        <v>0</v>
      </c>
      <c r="CN62" s="27" t="n">
        <v>0</v>
      </c>
      <c r="CO62" s="27" t="n">
        <v>0</v>
      </c>
      <c r="CP62" s="27" t="n">
        <v>0</v>
      </c>
      <c r="CQ62" s="27" t="n">
        <v>0</v>
      </c>
      <c r="CR62" s="27" t="n">
        <v>0</v>
      </c>
      <c r="CS62" s="27" t="n">
        <v>0</v>
      </c>
      <c r="CT62" s="27" t="n">
        <v>0</v>
      </c>
      <c r="CU62" s="27" t="n">
        <v>0</v>
      </c>
      <c r="CV62" s="27" t="n">
        <v>0</v>
      </c>
      <c r="CW62" s="27" t="n">
        <v>0</v>
      </c>
      <c r="CX62" s="27" t="n">
        <v>0</v>
      </c>
      <c r="CY62" s="27" t="n">
        <v>0</v>
      </c>
      <c r="CZ62" s="27" t="n">
        <v>0</v>
      </c>
      <c r="DA62" s="27" t="n">
        <v>0</v>
      </c>
    </row>
    <row r="63">
      <c r="A63" t="inlineStr">
        <is>
          <t>VSP-822</t>
        </is>
      </c>
      <c r="B63" s="27" t="n">
        <v>0</v>
      </c>
      <c r="C63" s="27" t="n">
        <v>0</v>
      </c>
      <c r="D63" s="27" t="n">
        <v>0</v>
      </c>
      <c r="E63" s="27" t="n">
        <v>0</v>
      </c>
      <c r="F63" s="27" t="n">
        <v>0</v>
      </c>
      <c r="G63" s="27" t="n">
        <v>0</v>
      </c>
      <c r="H63" s="27" t="n">
        <v>0</v>
      </c>
      <c r="I63" s="27" t="n">
        <v>0</v>
      </c>
      <c r="J63" s="27" t="n">
        <v>0</v>
      </c>
      <c r="K63" s="27" t="n">
        <v>0</v>
      </c>
      <c r="L63" s="27" t="n">
        <v>0</v>
      </c>
      <c r="M63" s="27" t="n">
        <v>0</v>
      </c>
      <c r="N63" s="27" t="n">
        <v>0</v>
      </c>
      <c r="O63" s="27" t="n">
        <v>0</v>
      </c>
      <c r="P63" s="27" t="n">
        <v>0</v>
      </c>
      <c r="Q63" s="27" t="n">
        <v>0</v>
      </c>
      <c r="R63" s="27" t="n">
        <v>0</v>
      </c>
      <c r="S63" s="27" t="n">
        <v>0</v>
      </c>
      <c r="T63" s="27" t="n">
        <v>0</v>
      </c>
      <c r="U63" s="27" t="n">
        <v>0</v>
      </c>
      <c r="V63" s="27" t="n">
        <v>0</v>
      </c>
      <c r="W63" s="27" t="n">
        <v>0</v>
      </c>
      <c r="X63" s="27" t="n">
        <v>0</v>
      </c>
      <c r="Y63" s="27" t="n">
        <v>0</v>
      </c>
      <c r="Z63" s="27" t="n">
        <v>0</v>
      </c>
      <c r="AA63" s="27" t="n">
        <v>0</v>
      </c>
      <c r="AB63" s="27" t="n">
        <v>0</v>
      </c>
      <c r="AC63" s="27" t="n">
        <v>0</v>
      </c>
      <c r="AD63" s="27" t="n">
        <v>0</v>
      </c>
      <c r="AE63" s="27" t="n">
        <v>0</v>
      </c>
      <c r="AF63" s="27" t="n">
        <v>0</v>
      </c>
      <c r="AG63" s="27" t="n">
        <v>0</v>
      </c>
      <c r="AH63" s="27" t="n">
        <v>0</v>
      </c>
      <c r="AI63" s="27" t="n">
        <v>0</v>
      </c>
      <c r="AJ63" s="27" t="n">
        <v>0</v>
      </c>
      <c r="AK63" s="27" t="n">
        <v>0</v>
      </c>
      <c r="AL63" s="27" t="n">
        <v>0</v>
      </c>
      <c r="AM63" s="27" t="n">
        <v>0</v>
      </c>
      <c r="AN63" s="27" t="n">
        <v>0</v>
      </c>
      <c r="AO63" s="27" t="n">
        <v>0</v>
      </c>
      <c r="AP63" s="27" t="n">
        <v>0</v>
      </c>
      <c r="AQ63" s="27" t="n">
        <v>0</v>
      </c>
      <c r="AR63" s="27" t="n">
        <v>0</v>
      </c>
      <c r="AS63" s="27" t="n">
        <v>0</v>
      </c>
      <c r="AT63" s="27" t="n">
        <v>0</v>
      </c>
      <c r="AU63" s="27" t="n">
        <v>0</v>
      </c>
      <c r="AV63" s="27" t="n">
        <v>0</v>
      </c>
      <c r="AW63" s="27" t="n">
        <v>0</v>
      </c>
      <c r="AX63" s="27" t="n">
        <v>0</v>
      </c>
      <c r="AY63" s="27" t="n">
        <v>0</v>
      </c>
      <c r="AZ63" s="27" t="n">
        <v>0</v>
      </c>
      <c r="BA63" s="27" t="n">
        <v>0</v>
      </c>
      <c r="BB63" s="27" t="n">
        <v>0</v>
      </c>
      <c r="BC63" s="27" t="n">
        <v>0</v>
      </c>
      <c r="BD63" s="27" t="n">
        <v>0</v>
      </c>
      <c r="BE63" s="27" t="n">
        <v>0</v>
      </c>
      <c r="BF63" s="27" t="n">
        <v>0</v>
      </c>
      <c r="BG63" s="27" t="n">
        <v>0</v>
      </c>
      <c r="BH63" s="27" t="n">
        <v>0</v>
      </c>
      <c r="BI63" s="27" t="n">
        <v>0</v>
      </c>
      <c r="BJ63" s="27" t="n">
        <v>0</v>
      </c>
      <c r="BK63" s="27" t="n">
        <v>0</v>
      </c>
      <c r="BL63" s="27" t="n">
        <v>0</v>
      </c>
      <c r="BM63" s="27" t="n">
        <v>0</v>
      </c>
      <c r="BN63" s="27" t="n">
        <v>0</v>
      </c>
      <c r="BO63" s="27" t="n">
        <v>0</v>
      </c>
      <c r="BP63" s="27" t="n">
        <v>0</v>
      </c>
      <c r="BQ63" s="27" t="n">
        <v>0</v>
      </c>
      <c r="BR63" s="27" t="n">
        <v>0</v>
      </c>
      <c r="BS63" s="27" t="n">
        <v>0</v>
      </c>
      <c r="BT63" s="27" t="n">
        <v>0</v>
      </c>
      <c r="BU63" s="27" t="n">
        <v>0</v>
      </c>
      <c r="BV63" s="27" t="n">
        <v>0</v>
      </c>
      <c r="BW63" s="27" t="n">
        <v>0</v>
      </c>
      <c r="BX63" s="27" t="n">
        <v>0</v>
      </c>
      <c r="BY63" s="27" t="n">
        <v>0</v>
      </c>
      <c r="BZ63" s="27" t="n">
        <v>0</v>
      </c>
      <c r="CA63" s="27" t="n">
        <v>0</v>
      </c>
      <c r="CB63" s="27" t="n">
        <v>0</v>
      </c>
      <c r="CC63" s="27" t="n">
        <v>0</v>
      </c>
      <c r="CD63" s="27" t="n">
        <v>0</v>
      </c>
      <c r="CE63" s="27" t="n">
        <v>0</v>
      </c>
      <c r="CF63" s="27" t="n">
        <v>0</v>
      </c>
      <c r="CG63" s="27" t="n">
        <v>0</v>
      </c>
      <c r="CH63" s="27" t="n">
        <v>0</v>
      </c>
      <c r="CI63" s="27" t="n">
        <v>0</v>
      </c>
      <c r="CJ63" s="27" t="n">
        <v>0</v>
      </c>
      <c r="CK63" s="27" t="n">
        <v>0</v>
      </c>
      <c r="CL63" s="27" t="n">
        <v>0</v>
      </c>
      <c r="CM63" s="27" t="n">
        <v>0</v>
      </c>
      <c r="CN63" s="27" t="n">
        <v>0</v>
      </c>
      <c r="CO63" s="27" t="n">
        <v>0</v>
      </c>
      <c r="CP63" s="27" t="n">
        <v>0</v>
      </c>
      <c r="CQ63" s="27" t="n">
        <v>0</v>
      </c>
      <c r="CR63" s="27" t="n">
        <v>0</v>
      </c>
      <c r="CS63" s="27" t="n">
        <v>0</v>
      </c>
      <c r="CT63" s="27" t="n">
        <v>0</v>
      </c>
      <c r="CU63" s="27" t="n">
        <v>0</v>
      </c>
      <c r="CV63" s="27" t="n">
        <v>0</v>
      </c>
      <c r="CW63" s="27" t="n">
        <v>0</v>
      </c>
      <c r="CX63" s="27" t="n">
        <v>0</v>
      </c>
      <c r="CY63" s="27" t="n">
        <v>0</v>
      </c>
      <c r="CZ63" s="27" t="n">
        <v>0</v>
      </c>
      <c r="DA63" s="27" t="n">
        <v>0</v>
      </c>
    </row>
    <row r="64">
      <c r="A64" t="inlineStr">
        <is>
          <t>VSP-910</t>
        </is>
      </c>
      <c r="B64" s="27" t="n">
        <v>0</v>
      </c>
      <c r="C64" s="27" t="n">
        <v>0</v>
      </c>
      <c r="D64" s="27" t="n">
        <v>0</v>
      </c>
      <c r="E64" s="27" t="n">
        <v>0</v>
      </c>
      <c r="F64" s="27" t="n">
        <v>0</v>
      </c>
      <c r="G64" s="27" t="n">
        <v>0</v>
      </c>
      <c r="H64" s="27" t="n">
        <v>0</v>
      </c>
      <c r="I64" s="27" t="n">
        <v>0</v>
      </c>
      <c r="J64" s="27" t="n">
        <v>0</v>
      </c>
      <c r="K64" s="27" t="n">
        <v>0</v>
      </c>
      <c r="L64" s="27" t="n">
        <v>0</v>
      </c>
      <c r="M64" s="27" t="n">
        <v>0</v>
      </c>
      <c r="N64" s="27" t="n">
        <v>0</v>
      </c>
      <c r="O64" s="27" t="n">
        <v>0</v>
      </c>
      <c r="P64" s="27" t="n">
        <v>0</v>
      </c>
      <c r="Q64" s="27" t="n">
        <v>0</v>
      </c>
      <c r="R64" s="27" t="n">
        <v>0</v>
      </c>
      <c r="S64" s="27" t="n">
        <v>0</v>
      </c>
      <c r="T64" s="27" t="n">
        <v>0</v>
      </c>
      <c r="U64" s="27" t="n">
        <v>0</v>
      </c>
      <c r="V64" s="27" t="n">
        <v>0</v>
      </c>
      <c r="W64" s="27" t="n">
        <v>0</v>
      </c>
      <c r="X64" s="27" t="n">
        <v>0</v>
      </c>
      <c r="Y64" s="27" t="n">
        <v>0</v>
      </c>
      <c r="Z64" s="27" t="n">
        <v>0</v>
      </c>
      <c r="AA64" s="27" t="n">
        <v>0</v>
      </c>
      <c r="AB64" s="27" t="n">
        <v>0</v>
      </c>
      <c r="AC64" s="27" t="n">
        <v>0</v>
      </c>
      <c r="AD64" s="27" t="n">
        <v>0</v>
      </c>
      <c r="AE64" s="27" t="n">
        <v>0</v>
      </c>
      <c r="AF64" s="27" t="n">
        <v>0</v>
      </c>
      <c r="AG64" s="27" t="n">
        <v>0</v>
      </c>
      <c r="AH64" s="27" t="n">
        <v>0</v>
      </c>
      <c r="AI64" s="27" t="n">
        <v>0</v>
      </c>
      <c r="AJ64" s="27" t="n">
        <v>0</v>
      </c>
      <c r="AK64" s="27" t="n">
        <v>0</v>
      </c>
      <c r="AL64" s="27" t="n">
        <v>0</v>
      </c>
      <c r="AM64" s="27" t="n">
        <v>0</v>
      </c>
      <c r="AN64" s="27" t="n">
        <v>0</v>
      </c>
      <c r="AO64" s="27" t="n">
        <v>0</v>
      </c>
      <c r="AP64" s="27" t="n">
        <v>0</v>
      </c>
      <c r="AQ64" s="27" t="n">
        <v>0</v>
      </c>
      <c r="AR64" s="27" t="n">
        <v>0</v>
      </c>
      <c r="AS64" s="27" t="n">
        <v>0</v>
      </c>
      <c r="AT64" s="27" t="n">
        <v>0</v>
      </c>
      <c r="AU64" s="27" t="n">
        <v>0</v>
      </c>
      <c r="AV64" s="27" t="n">
        <v>0</v>
      </c>
      <c r="AW64" s="27" t="n">
        <v>0</v>
      </c>
      <c r="AX64" s="27" t="n">
        <v>0</v>
      </c>
      <c r="AY64" s="27" t="n">
        <v>0</v>
      </c>
      <c r="AZ64" s="27" t="n">
        <v>0</v>
      </c>
      <c r="BA64" s="27" t="n">
        <v>0</v>
      </c>
      <c r="BB64" s="27" t="n">
        <v>0</v>
      </c>
      <c r="BC64" s="27" t="n">
        <v>0</v>
      </c>
      <c r="BD64" s="27" t="n">
        <v>0</v>
      </c>
      <c r="BE64" s="27" t="n">
        <v>0</v>
      </c>
      <c r="BF64" s="27" t="n">
        <v>0</v>
      </c>
      <c r="BG64" s="27" t="n">
        <v>0</v>
      </c>
      <c r="BH64" s="27" t="n">
        <v>0</v>
      </c>
      <c r="BI64" s="27" t="n">
        <v>0</v>
      </c>
      <c r="BJ64" s="27" t="n">
        <v>0</v>
      </c>
      <c r="BK64" s="27" t="n">
        <v>0</v>
      </c>
      <c r="BL64" s="27" t="n">
        <v>0</v>
      </c>
      <c r="BM64" s="27" t="n">
        <v>0</v>
      </c>
      <c r="BN64" s="27" t="n">
        <v>0</v>
      </c>
      <c r="BO64" s="27" t="n">
        <v>0</v>
      </c>
      <c r="BP64" s="27" t="n">
        <v>0</v>
      </c>
      <c r="BQ64" s="27" t="n">
        <v>0</v>
      </c>
      <c r="BR64" s="27" t="n">
        <v>0</v>
      </c>
      <c r="BS64" s="27" t="n">
        <v>0</v>
      </c>
      <c r="BT64" s="27" t="n">
        <v>0</v>
      </c>
      <c r="BU64" s="27" t="n">
        <v>0</v>
      </c>
      <c r="BV64" s="27" t="n">
        <v>0</v>
      </c>
      <c r="BW64" s="27" t="n">
        <v>0</v>
      </c>
      <c r="BX64" s="27" t="n">
        <v>0</v>
      </c>
      <c r="BY64" s="27" t="n">
        <v>0</v>
      </c>
      <c r="BZ64" s="27" t="n">
        <v>0</v>
      </c>
      <c r="CA64" s="27" t="n">
        <v>0</v>
      </c>
      <c r="CB64" s="27" t="n">
        <v>0</v>
      </c>
      <c r="CC64" s="27" t="n">
        <v>0</v>
      </c>
      <c r="CD64" s="27" t="n">
        <v>0</v>
      </c>
      <c r="CE64" s="27" t="n">
        <v>0</v>
      </c>
      <c r="CF64" s="27" t="n">
        <v>0</v>
      </c>
      <c r="CG64" s="27" t="n">
        <v>0</v>
      </c>
      <c r="CH64" s="27" t="n">
        <v>0</v>
      </c>
      <c r="CI64" s="27" t="n">
        <v>0</v>
      </c>
      <c r="CJ64" s="27" t="n">
        <v>0</v>
      </c>
      <c r="CK64" s="27" t="n">
        <v>0</v>
      </c>
      <c r="CL64" s="27" t="n">
        <v>0</v>
      </c>
      <c r="CM64" s="27" t="n">
        <v>0</v>
      </c>
      <c r="CN64" s="27" t="n">
        <v>0</v>
      </c>
      <c r="CO64" s="27" t="n">
        <v>0</v>
      </c>
      <c r="CP64" s="27" t="n">
        <v>0</v>
      </c>
      <c r="CQ64" s="27" t="n">
        <v>0</v>
      </c>
      <c r="CR64" s="27" t="n">
        <v>0</v>
      </c>
      <c r="CS64" s="27" t="n">
        <v>0</v>
      </c>
      <c r="CT64" s="27" t="n">
        <v>0</v>
      </c>
      <c r="CU64" s="27" t="n">
        <v>0</v>
      </c>
      <c r="CV64" s="27" t="n">
        <v>0</v>
      </c>
      <c r="CW64" s="27" t="n">
        <v>0</v>
      </c>
      <c r="CX64" s="27" t="n">
        <v>0</v>
      </c>
      <c r="CY64" s="27" t="n">
        <v>0</v>
      </c>
      <c r="CZ64" s="27" t="n">
        <v>0</v>
      </c>
      <c r="DA64" s="27" t="n">
        <v>0</v>
      </c>
    </row>
    <row r="65">
      <c r="A65" t="inlineStr">
        <is>
          <t>VSP-989</t>
        </is>
      </c>
      <c r="B65" s="27" t="n">
        <v>0</v>
      </c>
      <c r="C65" s="27" t="n">
        <v>0</v>
      </c>
      <c r="D65" s="27" t="n">
        <v>0</v>
      </c>
      <c r="E65" s="27" t="n">
        <v>0</v>
      </c>
      <c r="F65" s="27" t="n">
        <v>0</v>
      </c>
      <c r="G65" s="27" t="n">
        <v>0</v>
      </c>
      <c r="H65" s="27" t="n">
        <v>0</v>
      </c>
      <c r="I65" s="27" t="n">
        <v>0</v>
      </c>
      <c r="J65" s="27" t="n">
        <v>0</v>
      </c>
      <c r="K65" s="27" t="n">
        <v>0</v>
      </c>
      <c r="L65" s="27" t="n">
        <v>0</v>
      </c>
      <c r="M65" s="27" t="n">
        <v>0</v>
      </c>
      <c r="N65" s="27" t="n">
        <v>0</v>
      </c>
      <c r="O65" s="27" t="n">
        <v>0</v>
      </c>
      <c r="P65" s="27" t="n">
        <v>0</v>
      </c>
      <c r="Q65" s="27" t="n">
        <v>0</v>
      </c>
      <c r="R65" s="27" t="n">
        <v>0</v>
      </c>
      <c r="S65" s="27" t="n">
        <v>0</v>
      </c>
      <c r="T65" s="27" t="n">
        <v>0</v>
      </c>
      <c r="U65" s="27" t="n">
        <v>0</v>
      </c>
      <c r="V65" s="27" t="n">
        <v>0</v>
      </c>
      <c r="W65" s="27" t="n">
        <v>0</v>
      </c>
      <c r="X65" s="27" t="n">
        <v>0</v>
      </c>
      <c r="Y65" s="27" t="n">
        <v>0</v>
      </c>
      <c r="Z65" s="27" t="n">
        <v>0</v>
      </c>
      <c r="AA65" s="27" t="n">
        <v>0</v>
      </c>
      <c r="AB65" s="27" t="n">
        <v>0</v>
      </c>
      <c r="AC65" s="27" t="n">
        <v>0</v>
      </c>
      <c r="AD65" s="27" t="n">
        <v>0</v>
      </c>
      <c r="AE65" s="27" t="n">
        <v>0</v>
      </c>
      <c r="AF65" s="27" t="n">
        <v>0</v>
      </c>
      <c r="AG65" s="27" t="n">
        <v>0</v>
      </c>
      <c r="AH65" s="27" t="n">
        <v>0</v>
      </c>
      <c r="AI65" s="27" t="n">
        <v>0</v>
      </c>
      <c r="AJ65" s="27" t="n">
        <v>0</v>
      </c>
      <c r="AK65" s="27" t="n">
        <v>0</v>
      </c>
      <c r="AL65" s="27" t="n">
        <v>0</v>
      </c>
      <c r="AM65" s="27" t="n">
        <v>0</v>
      </c>
      <c r="AN65" s="27" t="n">
        <v>0</v>
      </c>
      <c r="AO65" s="27" t="n">
        <v>0</v>
      </c>
      <c r="AP65" s="27" t="n">
        <v>0</v>
      </c>
      <c r="AQ65" s="27" t="n">
        <v>0</v>
      </c>
      <c r="AR65" s="27" t="n">
        <v>0</v>
      </c>
      <c r="AS65" s="27" t="n">
        <v>0</v>
      </c>
      <c r="AT65" s="27" t="n">
        <v>0</v>
      </c>
      <c r="AU65" s="27" t="n">
        <v>0</v>
      </c>
      <c r="AV65" s="27" t="n">
        <v>0</v>
      </c>
      <c r="AW65" s="27" t="n">
        <v>0</v>
      </c>
      <c r="AX65" s="27" t="n">
        <v>0</v>
      </c>
      <c r="AY65" s="27" t="n">
        <v>0</v>
      </c>
      <c r="AZ65" s="27" t="n">
        <v>0</v>
      </c>
      <c r="BA65" s="27" t="n">
        <v>0</v>
      </c>
      <c r="BB65" s="27" t="n">
        <v>0</v>
      </c>
      <c r="BC65" s="27" t="n">
        <v>0</v>
      </c>
      <c r="BD65" s="27" t="n">
        <v>0</v>
      </c>
      <c r="BE65" s="27" t="n">
        <v>0</v>
      </c>
      <c r="BF65" s="27" t="n">
        <v>0</v>
      </c>
      <c r="BG65" s="27" t="n">
        <v>0</v>
      </c>
      <c r="BH65" s="27" t="n">
        <v>0</v>
      </c>
      <c r="BI65" s="27" t="n">
        <v>0</v>
      </c>
      <c r="BJ65" s="27" t="n">
        <v>0</v>
      </c>
      <c r="BK65" s="27" t="n">
        <v>0</v>
      </c>
      <c r="BL65" s="27" t="n">
        <v>0</v>
      </c>
      <c r="BM65" s="27" t="n">
        <v>0</v>
      </c>
      <c r="BN65" s="27" t="n">
        <v>0</v>
      </c>
      <c r="BO65" s="27" t="n">
        <v>0</v>
      </c>
      <c r="BP65" s="27" t="n">
        <v>0</v>
      </c>
      <c r="BQ65" s="27" t="n">
        <v>0</v>
      </c>
      <c r="BR65" s="27" t="n">
        <v>0</v>
      </c>
      <c r="BS65" s="27" t="n">
        <v>0</v>
      </c>
      <c r="BT65" s="27" t="n">
        <v>0</v>
      </c>
      <c r="BU65" s="27" t="n">
        <v>0</v>
      </c>
      <c r="BV65" s="27" t="n">
        <v>0</v>
      </c>
      <c r="BW65" s="27" t="n">
        <v>0</v>
      </c>
      <c r="BX65" s="27" t="n">
        <v>0</v>
      </c>
      <c r="BY65" s="27" t="n">
        <v>0</v>
      </c>
      <c r="BZ65" s="27" t="n">
        <v>0</v>
      </c>
      <c r="CA65" s="27" t="n">
        <v>0</v>
      </c>
      <c r="CB65" s="27" t="n">
        <v>0</v>
      </c>
      <c r="CC65" s="27" t="n">
        <v>0</v>
      </c>
      <c r="CD65" s="27" t="n">
        <v>0</v>
      </c>
      <c r="CE65" s="27" t="n">
        <v>0</v>
      </c>
      <c r="CF65" s="27" t="n">
        <v>0</v>
      </c>
      <c r="CG65" s="27" t="n">
        <v>0</v>
      </c>
      <c r="CH65" s="27" t="n">
        <v>0</v>
      </c>
      <c r="CI65" s="27" t="n">
        <v>0</v>
      </c>
      <c r="CJ65" s="27" t="n">
        <v>0</v>
      </c>
      <c r="CK65" s="27" t="n">
        <v>0</v>
      </c>
      <c r="CL65" s="27" t="n">
        <v>0</v>
      </c>
      <c r="CM65" s="27" t="n">
        <v>0</v>
      </c>
      <c r="CN65" s="27" t="n">
        <v>0</v>
      </c>
      <c r="CO65" s="27" t="n">
        <v>0</v>
      </c>
      <c r="CP65" s="27" t="n">
        <v>0</v>
      </c>
      <c r="CQ65" s="27" t="n">
        <v>0</v>
      </c>
      <c r="CR65" s="27" t="n">
        <v>0</v>
      </c>
      <c r="CS65" s="27" t="n">
        <v>0</v>
      </c>
      <c r="CT65" s="27" t="n">
        <v>0</v>
      </c>
      <c r="CU65" s="27" t="n">
        <v>0</v>
      </c>
      <c r="CV65" s="27" t="n">
        <v>0</v>
      </c>
      <c r="CW65" s="27" t="n">
        <v>0</v>
      </c>
      <c r="CX65" s="27" t="n">
        <v>0</v>
      </c>
      <c r="CY65" s="27" t="n">
        <v>0</v>
      </c>
      <c r="CZ65" s="27" t="n">
        <v>0</v>
      </c>
      <c r="DA65" s="27" t="n">
        <v>0</v>
      </c>
    </row>
    <row r="66">
      <c r="A66" t="inlineStr">
        <is>
          <t>VSP-990</t>
        </is>
      </c>
      <c r="B66" s="27" t="n">
        <v>0</v>
      </c>
      <c r="C66" s="27" t="n">
        <v>0</v>
      </c>
      <c r="D66" s="27" t="n">
        <v>0</v>
      </c>
      <c r="E66" s="27" t="n">
        <v>0</v>
      </c>
      <c r="F66" s="27" t="n">
        <v>0</v>
      </c>
      <c r="G66" s="27" t="n">
        <v>0</v>
      </c>
      <c r="H66" s="27" t="n">
        <v>0</v>
      </c>
      <c r="I66" s="27" t="n">
        <v>0</v>
      </c>
      <c r="J66" s="27" t="n">
        <v>0</v>
      </c>
      <c r="K66" s="27" t="n">
        <v>0</v>
      </c>
      <c r="L66" s="27" t="n">
        <v>0</v>
      </c>
      <c r="M66" s="27" t="n">
        <v>0</v>
      </c>
      <c r="N66" s="27" t="n">
        <v>0</v>
      </c>
      <c r="O66" s="27" t="n">
        <v>0</v>
      </c>
      <c r="P66" s="27" t="n">
        <v>0</v>
      </c>
      <c r="Q66" s="27" t="n">
        <v>0</v>
      </c>
      <c r="R66" s="27" t="n">
        <v>0</v>
      </c>
      <c r="S66" s="27" t="n">
        <v>0</v>
      </c>
      <c r="T66" s="27" t="n">
        <v>0</v>
      </c>
      <c r="U66" s="27" t="n">
        <v>0</v>
      </c>
      <c r="V66" s="27" t="n">
        <v>0</v>
      </c>
      <c r="W66" s="27" t="n">
        <v>0</v>
      </c>
      <c r="X66" s="27" t="n">
        <v>0</v>
      </c>
      <c r="Y66" s="27" t="n">
        <v>0</v>
      </c>
      <c r="Z66" s="27" t="n">
        <v>0</v>
      </c>
      <c r="AA66" s="27" t="n">
        <v>0</v>
      </c>
      <c r="AB66" s="27" t="n">
        <v>0</v>
      </c>
      <c r="AC66" s="27" t="n">
        <v>0</v>
      </c>
      <c r="AD66" s="27" t="n">
        <v>0</v>
      </c>
      <c r="AE66" s="27" t="n">
        <v>0</v>
      </c>
      <c r="AF66" s="27" t="n">
        <v>0</v>
      </c>
      <c r="AG66" s="27" t="n">
        <v>0</v>
      </c>
      <c r="AH66" s="27" t="n">
        <v>0</v>
      </c>
      <c r="AI66" s="27" t="n">
        <v>0</v>
      </c>
      <c r="AJ66" s="27" t="n">
        <v>0</v>
      </c>
      <c r="AK66" s="27" t="n">
        <v>0</v>
      </c>
      <c r="AL66" s="27" t="n">
        <v>0</v>
      </c>
      <c r="AM66" s="27" t="n">
        <v>0</v>
      </c>
      <c r="AN66" s="27" t="n">
        <v>0</v>
      </c>
      <c r="AO66" s="27" t="n">
        <v>0</v>
      </c>
      <c r="AP66" s="27" t="n">
        <v>0</v>
      </c>
      <c r="AQ66" s="27" t="n">
        <v>0</v>
      </c>
      <c r="AR66" s="27" t="n">
        <v>0</v>
      </c>
      <c r="AS66" s="27" t="n">
        <v>0</v>
      </c>
      <c r="AT66" s="27" t="n">
        <v>0</v>
      </c>
      <c r="AU66" s="27" t="n">
        <v>0</v>
      </c>
      <c r="AV66" s="27" t="n">
        <v>0</v>
      </c>
      <c r="AW66" s="27" t="n">
        <v>0</v>
      </c>
      <c r="AX66" s="27" t="n">
        <v>0</v>
      </c>
      <c r="AY66" s="27" t="n">
        <v>0</v>
      </c>
      <c r="AZ66" s="27" t="n">
        <v>0</v>
      </c>
      <c r="BA66" s="27" t="n">
        <v>0</v>
      </c>
      <c r="BB66" s="27" t="n">
        <v>0</v>
      </c>
      <c r="BC66" s="27" t="n">
        <v>0</v>
      </c>
      <c r="BD66" s="27" t="n">
        <v>0</v>
      </c>
      <c r="BE66" s="27" t="n">
        <v>0</v>
      </c>
      <c r="BF66" s="27" t="n">
        <v>0</v>
      </c>
      <c r="BG66" s="27" t="n">
        <v>0</v>
      </c>
      <c r="BH66" s="27" t="n">
        <v>0</v>
      </c>
      <c r="BI66" s="27" t="n">
        <v>0</v>
      </c>
      <c r="BJ66" s="27" t="n">
        <v>0</v>
      </c>
      <c r="BK66" s="27" t="n">
        <v>0</v>
      </c>
      <c r="BL66" s="27" t="n">
        <v>0</v>
      </c>
      <c r="BM66" s="27" t="n">
        <v>0</v>
      </c>
      <c r="BN66" s="27" t="n">
        <v>0</v>
      </c>
      <c r="BO66" s="27" t="n">
        <v>0</v>
      </c>
      <c r="BP66" s="27" t="n">
        <v>0</v>
      </c>
      <c r="BQ66" s="27" t="n">
        <v>0</v>
      </c>
      <c r="BR66" s="27" t="n">
        <v>0</v>
      </c>
      <c r="BS66" s="27" t="n">
        <v>0</v>
      </c>
      <c r="BT66" s="27" t="n">
        <v>0</v>
      </c>
      <c r="BU66" s="27" t="n">
        <v>0</v>
      </c>
      <c r="BV66" s="27" t="n">
        <v>0</v>
      </c>
      <c r="BW66" s="27" t="n">
        <v>0</v>
      </c>
      <c r="BX66" s="27" t="n">
        <v>0</v>
      </c>
      <c r="BY66" s="27" t="n">
        <v>0</v>
      </c>
      <c r="BZ66" s="27" t="n">
        <v>0</v>
      </c>
      <c r="CA66" s="27" t="n">
        <v>0</v>
      </c>
      <c r="CB66" s="27" t="n">
        <v>0</v>
      </c>
      <c r="CC66" s="27" t="n">
        <v>0</v>
      </c>
      <c r="CD66" s="27" t="n">
        <v>0</v>
      </c>
      <c r="CE66" s="27" t="n">
        <v>0</v>
      </c>
      <c r="CF66" s="27" t="n">
        <v>0</v>
      </c>
      <c r="CG66" s="27" t="n">
        <v>0</v>
      </c>
      <c r="CH66" s="27" t="n">
        <v>0</v>
      </c>
      <c r="CI66" s="27" t="n">
        <v>0</v>
      </c>
      <c r="CJ66" s="27" t="n">
        <v>0</v>
      </c>
      <c r="CK66" s="27" t="n">
        <v>0</v>
      </c>
      <c r="CL66" s="27" t="n">
        <v>0</v>
      </c>
      <c r="CM66" s="27" t="n">
        <v>0</v>
      </c>
      <c r="CN66" s="27" t="n">
        <v>0</v>
      </c>
      <c r="CO66" s="27" t="n">
        <v>0</v>
      </c>
      <c r="CP66" s="27" t="n">
        <v>0</v>
      </c>
      <c r="CQ66" s="27" t="n">
        <v>0</v>
      </c>
      <c r="CR66" s="27" t="n">
        <v>0</v>
      </c>
      <c r="CS66" s="27" t="n">
        <v>0</v>
      </c>
      <c r="CT66" s="27" t="n">
        <v>0</v>
      </c>
      <c r="CU66" s="27" t="n">
        <v>0</v>
      </c>
      <c r="CV66" s="27" t="n">
        <v>0</v>
      </c>
      <c r="CW66" s="27" t="n">
        <v>0</v>
      </c>
      <c r="CX66" s="27" t="n">
        <v>0</v>
      </c>
      <c r="CY66" s="27" t="n">
        <v>0</v>
      </c>
      <c r="CZ66" s="27" t="n">
        <v>0</v>
      </c>
      <c r="DA66" s="27" t="n">
        <v>0</v>
      </c>
    </row>
    <row r="67">
      <c r="A67" t="inlineStr">
        <is>
          <t>TPP-103</t>
        </is>
      </c>
      <c r="B67">
        <f>SUMPRODUCT((M_BOM[Part Name]=$A67)*M_BOM[RM_Qty_Per_Batch]*IFERROR(INDEX(PP_Grid[#Data],M_BOM[PPGridRow],2),0))/69.45</f>
        <v/>
      </c>
      <c r="C67">
        <f>SUMPRODUCT((M_BOM[Part Name]=$A67)*M_BOM[RM_Qty_Per_Batch]*IFERROR(INDEX(PP_Grid[#Data],M_BOM[PPGridRow],3),0))/69.45</f>
        <v/>
      </c>
      <c r="D67">
        <f>SUMPRODUCT((M_BOM[Part Name]=$A67)*M_BOM[RM_Qty_Per_Batch]*IFERROR(INDEX(PP_Grid[#Data],M_BOM[PPGridRow],4),0))/69.45</f>
        <v/>
      </c>
      <c r="E67">
        <f>SUMPRODUCT((M_BOM[Part Name]=$A67)*M_BOM[RM_Qty_Per_Batch]*IFERROR(INDEX(PP_Grid[#Data],M_BOM[PPGridRow],5),0))/69.45</f>
        <v/>
      </c>
      <c r="F67">
        <f>SUMPRODUCT((M_BOM[Part Name]=$A67)*M_BOM[RM_Qty_Per_Batch]*IFERROR(INDEX(PP_Grid[#Data],M_BOM[PPGridRow],6),0))/69.45</f>
        <v/>
      </c>
      <c r="G67">
        <f>SUMPRODUCT((M_BOM[Part Name]=$A67)*M_BOM[RM_Qty_Per_Batch]*IFERROR(INDEX(PP_Grid[#Data],M_BOM[PPGridRow],7),0))/69.45</f>
        <v/>
      </c>
      <c r="H67">
        <f>SUMPRODUCT((M_BOM[Part Name]=$A67)*M_BOM[RM_Qty_Per_Batch]*IFERROR(INDEX(PP_Grid[#Data],M_BOM[PPGridRow],8),0))/69.45</f>
        <v/>
      </c>
      <c r="I67">
        <f>SUMPRODUCT((M_BOM[Part Name]=$A67)*M_BOM[RM_Qty_Per_Batch]*IFERROR(INDEX(PP_Grid[#Data],M_BOM[PPGridRow],9),0))/69.45</f>
        <v/>
      </c>
      <c r="J67">
        <f>SUMPRODUCT((M_BOM[Part Name]=$A67)*M_BOM[RM_Qty_Per_Batch]*IFERROR(INDEX(PP_Grid[#Data],M_BOM[PPGridRow],10),0))/69.45</f>
        <v/>
      </c>
      <c r="K67">
        <f>SUMPRODUCT((M_BOM[Part Name]=$A67)*M_BOM[RM_Qty_Per_Batch]*IFERROR(INDEX(PP_Grid[#Data],M_BOM[PPGridRow],11),0))/69.45</f>
        <v/>
      </c>
      <c r="L67">
        <f>SUMPRODUCT((M_BOM[Part Name]=$A67)*M_BOM[RM_Qty_Per_Batch]*IFERROR(INDEX(PP_Grid[#Data],M_BOM[PPGridRow],12),0))/69.45</f>
        <v/>
      </c>
      <c r="M67">
        <f>SUMPRODUCT((M_BOM[Part Name]=$A67)*M_BOM[RM_Qty_Per_Batch]*IFERROR(INDEX(PP_Grid[#Data],M_BOM[PPGridRow],13),0))/69.45</f>
        <v/>
      </c>
      <c r="N67">
        <f>SUMPRODUCT((M_BOM[Part Name]=$A67)*M_BOM[RM_Qty_Per_Batch]*IFERROR(INDEX(PP_Grid[#Data],M_BOM[PPGridRow],14),0))/69.45</f>
        <v/>
      </c>
      <c r="O67">
        <f>SUMPRODUCT((M_BOM[Part Name]=$A67)*M_BOM[RM_Qty_Per_Batch]*IFERROR(INDEX(PP_Grid[#Data],M_BOM[PPGridRow],15),0))/69.45</f>
        <v/>
      </c>
      <c r="P67">
        <f>SUMPRODUCT((M_BOM[Part Name]=$A67)*M_BOM[RM_Qty_Per_Batch]*IFERROR(INDEX(PP_Grid[#Data],M_BOM[PPGridRow],16),0))/69.45</f>
        <v/>
      </c>
      <c r="Q67">
        <f>SUMPRODUCT((M_BOM[Part Name]=$A67)*M_BOM[RM_Qty_Per_Batch]*IFERROR(INDEX(PP_Grid[#Data],M_BOM[PPGridRow],17),0))/69.45</f>
        <v/>
      </c>
      <c r="R67">
        <f>SUMPRODUCT((M_BOM[Part Name]=$A67)*M_BOM[RM_Qty_Per_Batch]*IFERROR(INDEX(PP_Grid[#Data],M_BOM[PPGridRow],18),0))/69.45</f>
        <v/>
      </c>
      <c r="S67">
        <f>SUMPRODUCT((M_BOM[Part Name]=$A67)*M_BOM[RM_Qty_Per_Batch]*IFERROR(INDEX(PP_Grid[#Data],M_BOM[PPGridRow],19),0))/69.45</f>
        <v/>
      </c>
      <c r="T67">
        <f>SUMPRODUCT((M_BOM[Part Name]=$A67)*M_BOM[RM_Qty_Per_Batch]*IFERROR(INDEX(PP_Grid[#Data],M_BOM[PPGridRow],20),0))/69.45</f>
        <v/>
      </c>
      <c r="U67">
        <f>SUMPRODUCT((M_BOM[Part Name]=$A67)*M_BOM[RM_Qty_Per_Batch]*IFERROR(INDEX(PP_Grid[#Data],M_BOM[PPGridRow],21),0))/69.45</f>
        <v/>
      </c>
      <c r="V67">
        <f>SUMPRODUCT((M_BOM[Part Name]=$A67)*M_BOM[RM_Qty_Per_Batch]*IFERROR(INDEX(PP_Grid[#Data],M_BOM[PPGridRow],22),0))/69.45</f>
        <v/>
      </c>
      <c r="W67">
        <f>SUMPRODUCT((M_BOM[Part Name]=$A67)*M_BOM[RM_Qty_Per_Batch]*IFERROR(INDEX(PP_Grid[#Data],M_BOM[PPGridRow],23),0))/69.45</f>
        <v/>
      </c>
      <c r="X67">
        <f>SUMPRODUCT((M_BOM[Part Name]=$A67)*M_BOM[RM_Qty_Per_Batch]*IFERROR(INDEX(PP_Grid[#Data],M_BOM[PPGridRow],24),0))/69.45</f>
        <v/>
      </c>
      <c r="Y67">
        <f>SUMPRODUCT((M_BOM[Part Name]=$A67)*M_BOM[RM_Qty_Per_Batch]*IFERROR(INDEX(PP_Grid[#Data],M_BOM[PPGridRow],25),0))/69.45</f>
        <v/>
      </c>
      <c r="Z67">
        <f>SUMPRODUCT((M_BOM[Part Name]=$A67)*M_BOM[RM_Qty_Per_Batch]*IFERROR(INDEX(PP_Grid[#Data],M_BOM[PPGridRow],26),0))/69.45</f>
        <v/>
      </c>
      <c r="AA67">
        <f>SUMPRODUCT((M_BOM[Part Name]=$A67)*M_BOM[RM_Qty_Per_Batch]*IFERROR(INDEX(PP_Grid[#Data],M_BOM[PPGridRow],27),0))/69.45</f>
        <v/>
      </c>
      <c r="AB67">
        <f>SUMPRODUCT((M_BOM[Part Name]=$A67)*M_BOM[RM_Qty_Per_Batch]*IFERROR(INDEX(PP_Grid[#Data],M_BOM[PPGridRow],28),0))/69.45</f>
        <v/>
      </c>
      <c r="AC67">
        <f>SUMPRODUCT((M_BOM[Part Name]=$A67)*M_BOM[RM_Qty_Per_Batch]*IFERROR(INDEX(PP_Grid[#Data],M_BOM[PPGridRow],29),0))/69.45</f>
        <v/>
      </c>
      <c r="AD67">
        <f>SUMPRODUCT((M_BOM[Part Name]=$A67)*M_BOM[RM_Qty_Per_Batch]*IFERROR(INDEX(PP_Grid[#Data],M_BOM[PPGridRow],30),0))/69.45</f>
        <v/>
      </c>
      <c r="AE67">
        <f>SUMPRODUCT((M_BOM[Part Name]=$A67)*M_BOM[RM_Qty_Per_Batch]*IFERROR(INDEX(PP_Grid[#Data],M_BOM[PPGridRow],31),0))/69.45</f>
        <v/>
      </c>
      <c r="AF67">
        <f>SUMPRODUCT((M_BOM[Part Name]=$A67)*M_BOM[RM_Qty_Per_Batch]*IFERROR(INDEX(PP_Grid[#Data],M_BOM[PPGridRow],32),0))/69.45</f>
        <v/>
      </c>
      <c r="AG67">
        <f>SUMPRODUCT((M_BOM[Part Name]=$A67)*M_BOM[RM_Qty_Per_Batch]*IFERROR(INDEX(PP_Grid[#Data],M_BOM[PPGridRow],33),0))/69.45</f>
        <v/>
      </c>
      <c r="AH67">
        <f>SUMPRODUCT((M_BOM[Part Name]=$A67)*M_BOM[RM_Qty_Per_Batch]*IFERROR(INDEX(PP_Grid[#Data],M_BOM[PPGridRow],34),0))/69.45</f>
        <v/>
      </c>
      <c r="AI67">
        <f>SUMPRODUCT((M_BOM[Part Name]=$A67)*M_BOM[RM_Qty_Per_Batch]*IFERROR(INDEX(PP_Grid[#Data],M_BOM[PPGridRow],35),0))/69.45</f>
        <v/>
      </c>
      <c r="AJ67">
        <f>SUMPRODUCT((M_BOM[Part Name]=$A67)*M_BOM[RM_Qty_Per_Batch]*IFERROR(INDEX(PP_Grid[#Data],M_BOM[PPGridRow],36),0))/69.45</f>
        <v/>
      </c>
      <c r="AK67">
        <f>SUMPRODUCT((M_BOM[Part Name]=$A67)*M_BOM[RM_Qty_Per_Batch]*IFERROR(INDEX(PP_Grid[#Data],M_BOM[PPGridRow],37),0))/69.45</f>
        <v/>
      </c>
      <c r="AL67">
        <f>SUMPRODUCT((M_BOM[Part Name]=$A67)*M_BOM[RM_Qty_Per_Batch]*IFERROR(INDEX(PP_Grid[#Data],M_BOM[PPGridRow],38),0))/69.45</f>
        <v/>
      </c>
      <c r="AM67">
        <f>SUMPRODUCT((M_BOM[Part Name]=$A67)*M_BOM[RM_Qty_Per_Batch]*IFERROR(INDEX(PP_Grid[#Data],M_BOM[PPGridRow],39),0))/69.45</f>
        <v/>
      </c>
      <c r="AN67">
        <f>SUMPRODUCT((M_BOM[Part Name]=$A67)*M_BOM[RM_Qty_Per_Batch]*IFERROR(INDEX(PP_Grid[#Data],M_BOM[PPGridRow],40),0))/69.45</f>
        <v/>
      </c>
      <c r="AO67">
        <f>SUMPRODUCT((M_BOM[Part Name]=$A67)*M_BOM[RM_Qty_Per_Batch]*IFERROR(INDEX(PP_Grid[#Data],M_BOM[PPGridRow],41),0))/69.45</f>
        <v/>
      </c>
      <c r="AP67">
        <f>SUMPRODUCT((M_BOM[Part Name]=$A67)*M_BOM[RM_Qty_Per_Batch]*IFERROR(INDEX(PP_Grid[#Data],M_BOM[PPGridRow],42),0))/69.45</f>
        <v/>
      </c>
      <c r="AQ67">
        <f>SUMPRODUCT((M_BOM[Part Name]=$A67)*M_BOM[RM_Qty_Per_Batch]*IFERROR(INDEX(PP_Grid[#Data],M_BOM[PPGridRow],43),0))/69.45</f>
        <v/>
      </c>
      <c r="AR67">
        <f>SUMPRODUCT((M_BOM[Part Name]=$A67)*M_BOM[RM_Qty_Per_Batch]*IFERROR(INDEX(PP_Grid[#Data],M_BOM[PPGridRow],44),0))/69.45</f>
        <v/>
      </c>
      <c r="AS67">
        <f>SUMPRODUCT((M_BOM[Part Name]=$A67)*M_BOM[RM_Qty_Per_Batch]*IFERROR(INDEX(PP_Grid[#Data],M_BOM[PPGridRow],45),0))/69.45</f>
        <v/>
      </c>
      <c r="AT67">
        <f>SUMPRODUCT((M_BOM[Part Name]=$A67)*M_BOM[RM_Qty_Per_Batch]*IFERROR(INDEX(PP_Grid[#Data],M_BOM[PPGridRow],46),0))/69.45</f>
        <v/>
      </c>
      <c r="AU67">
        <f>SUMPRODUCT((M_BOM[Part Name]=$A67)*M_BOM[RM_Qty_Per_Batch]*IFERROR(INDEX(PP_Grid[#Data],M_BOM[PPGridRow],47),0))/69.45</f>
        <v/>
      </c>
      <c r="AV67">
        <f>SUMPRODUCT((M_BOM[Part Name]=$A67)*M_BOM[RM_Qty_Per_Batch]*IFERROR(INDEX(PP_Grid[#Data],M_BOM[PPGridRow],48),0))/69.45</f>
        <v/>
      </c>
      <c r="AW67">
        <f>SUMPRODUCT((M_BOM[Part Name]=$A67)*M_BOM[RM_Qty_Per_Batch]*IFERROR(INDEX(PP_Grid[#Data],M_BOM[PPGridRow],49),0))/69.45</f>
        <v/>
      </c>
      <c r="AX67">
        <f>SUMPRODUCT((M_BOM[Part Name]=$A67)*M_BOM[RM_Qty_Per_Batch]*IFERROR(INDEX(PP_Grid[#Data],M_BOM[PPGridRow],50),0))/69.45</f>
        <v/>
      </c>
      <c r="AY67">
        <f>SUMPRODUCT((M_BOM[Part Name]=$A67)*M_BOM[RM_Qty_Per_Batch]*IFERROR(INDEX(PP_Grid[#Data],M_BOM[PPGridRow],51),0))/69.45</f>
        <v/>
      </c>
      <c r="AZ67">
        <f>SUMPRODUCT((M_BOM[Part Name]=$A67)*M_BOM[RM_Qty_Per_Batch]*IFERROR(INDEX(PP_Grid[#Data],M_BOM[PPGridRow],52),0))/69.45</f>
        <v/>
      </c>
      <c r="BA67">
        <f>SUMPRODUCT((M_BOM[Part Name]=$A67)*M_BOM[RM_Qty_Per_Batch]*IFERROR(INDEX(PP_Grid[#Data],M_BOM[PPGridRow],53),0))/69.45</f>
        <v/>
      </c>
      <c r="BB67">
        <f>SUMPRODUCT((M_BOM[Part Name]=$A67)*M_BOM[RM_Qty_Per_Batch]*IFERROR(INDEX(PP_Grid[#Data],M_BOM[PPGridRow],54),0))/69.45</f>
        <v/>
      </c>
      <c r="BC67">
        <f>SUMPRODUCT((M_BOM[Part Name]=$A67)*M_BOM[RM_Qty_Per_Batch]*IFERROR(INDEX(PP_Grid[#Data],M_BOM[PPGridRow],55),0))/69.45</f>
        <v/>
      </c>
      <c r="BD67">
        <f>SUMPRODUCT((M_BOM[Part Name]=$A67)*M_BOM[RM_Qty_Per_Batch]*IFERROR(INDEX(PP_Grid[#Data],M_BOM[PPGridRow],56),0))/69.45</f>
        <v/>
      </c>
      <c r="BE67">
        <f>SUMPRODUCT((M_BOM[Part Name]=$A67)*M_BOM[RM_Qty_Per_Batch]*IFERROR(INDEX(PP_Grid[#Data],M_BOM[PPGridRow],57),0))/69.45</f>
        <v/>
      </c>
      <c r="BF67">
        <f>SUMPRODUCT((M_BOM[Part Name]=$A67)*M_BOM[RM_Qty_Per_Batch]*IFERROR(INDEX(PP_Grid[#Data],M_BOM[PPGridRow],58),0))/69.45</f>
        <v/>
      </c>
      <c r="BG67">
        <f>SUMPRODUCT((M_BOM[Part Name]=$A67)*M_BOM[RM_Qty_Per_Batch]*IFERROR(INDEX(PP_Grid[#Data],M_BOM[PPGridRow],59),0))/69.45</f>
        <v/>
      </c>
      <c r="BH67">
        <f>SUMPRODUCT((M_BOM[Part Name]=$A67)*M_BOM[RM_Qty_Per_Batch]*IFERROR(INDEX(PP_Grid[#Data],M_BOM[PPGridRow],60),0))/69.45</f>
        <v/>
      </c>
      <c r="BI67">
        <f>SUMPRODUCT((M_BOM[Part Name]=$A67)*M_BOM[RM_Qty_Per_Batch]*IFERROR(INDEX(PP_Grid[#Data],M_BOM[PPGridRow],61),0))/69.45</f>
        <v/>
      </c>
      <c r="BJ67">
        <f>SUMPRODUCT((M_BOM[Part Name]=$A67)*M_BOM[RM_Qty_Per_Batch]*IFERROR(INDEX(PP_Grid[#Data],M_BOM[PPGridRow],62),0))/69.45</f>
        <v/>
      </c>
      <c r="BK67">
        <f>SUMPRODUCT((M_BOM[Part Name]=$A67)*M_BOM[RM_Qty_Per_Batch]*IFERROR(INDEX(PP_Grid[#Data],M_BOM[PPGridRow],63),0))/69.45</f>
        <v/>
      </c>
      <c r="BL67">
        <f>SUMPRODUCT((M_BOM[Part Name]=$A67)*M_BOM[RM_Qty_Per_Batch]*IFERROR(INDEX(PP_Grid[#Data],M_BOM[PPGridRow],64),0))/69.45</f>
        <v/>
      </c>
      <c r="BM67">
        <f>SUMPRODUCT((M_BOM[Part Name]=$A67)*M_BOM[RM_Qty_Per_Batch]*IFERROR(INDEX(PP_Grid[#Data],M_BOM[PPGridRow],65),0))/69.45</f>
        <v/>
      </c>
      <c r="BN67">
        <f>SUMPRODUCT((M_BOM[Part Name]=$A67)*M_BOM[RM_Qty_Per_Batch]*IFERROR(INDEX(PP_Grid[#Data],M_BOM[PPGridRow],66),0))/69.45</f>
        <v/>
      </c>
      <c r="BO67">
        <f>SUMPRODUCT((M_BOM[Part Name]=$A67)*M_BOM[RM_Qty_Per_Batch]*IFERROR(INDEX(PP_Grid[#Data],M_BOM[PPGridRow],67),0))/69.45</f>
        <v/>
      </c>
      <c r="BP67">
        <f>SUMPRODUCT((M_BOM[Part Name]=$A67)*M_BOM[RM_Qty_Per_Batch]*IFERROR(INDEX(PP_Grid[#Data],M_BOM[PPGridRow],68),0))/69.45</f>
        <v/>
      </c>
      <c r="BQ67">
        <f>SUMPRODUCT((M_BOM[Part Name]=$A67)*M_BOM[RM_Qty_Per_Batch]*IFERROR(INDEX(PP_Grid[#Data],M_BOM[PPGridRow],69),0))/69.45</f>
        <v/>
      </c>
      <c r="BR67">
        <f>SUMPRODUCT((M_BOM[Part Name]=$A67)*M_BOM[RM_Qty_Per_Batch]*IFERROR(INDEX(PP_Grid[#Data],M_BOM[PPGridRow],70),0))/69.45</f>
        <v/>
      </c>
      <c r="BS67">
        <f>SUMPRODUCT((M_BOM[Part Name]=$A67)*M_BOM[RM_Qty_Per_Batch]*IFERROR(INDEX(PP_Grid[#Data],M_BOM[PPGridRow],71),0))/69.45</f>
        <v/>
      </c>
      <c r="BT67">
        <f>SUMPRODUCT((M_BOM[Part Name]=$A67)*M_BOM[RM_Qty_Per_Batch]*IFERROR(INDEX(PP_Grid[#Data],M_BOM[PPGridRow],72),0))/69.45</f>
        <v/>
      </c>
      <c r="BU67">
        <f>SUMPRODUCT((M_BOM[Part Name]=$A67)*M_BOM[RM_Qty_Per_Batch]*IFERROR(INDEX(PP_Grid[#Data],M_BOM[PPGridRow],73),0))/69.45</f>
        <v/>
      </c>
      <c r="BV67">
        <f>SUMPRODUCT((M_BOM[Part Name]=$A67)*M_BOM[RM_Qty_Per_Batch]*IFERROR(INDEX(PP_Grid[#Data],M_BOM[PPGridRow],74),0))/69.45</f>
        <v/>
      </c>
      <c r="BW67">
        <f>SUMPRODUCT((M_BOM[Part Name]=$A67)*M_BOM[RM_Qty_Per_Batch]*IFERROR(INDEX(PP_Grid[#Data],M_BOM[PPGridRow],75),0))/69.45</f>
        <v/>
      </c>
      <c r="BX67">
        <f>SUMPRODUCT((M_BOM[Part Name]=$A67)*M_BOM[RM_Qty_Per_Batch]*IFERROR(INDEX(PP_Grid[#Data],M_BOM[PPGridRow],76),0))/69.45</f>
        <v/>
      </c>
      <c r="BY67">
        <f>SUMPRODUCT((M_BOM[Part Name]=$A67)*M_BOM[RM_Qty_Per_Batch]*IFERROR(INDEX(PP_Grid[#Data],M_BOM[PPGridRow],77),0))/69.45</f>
        <v/>
      </c>
      <c r="BZ67">
        <f>SUMPRODUCT((M_BOM[Part Name]=$A67)*M_BOM[RM_Qty_Per_Batch]*IFERROR(INDEX(PP_Grid[#Data],M_BOM[PPGridRow],78),0))/69.45</f>
        <v/>
      </c>
      <c r="CA67">
        <f>SUMPRODUCT((M_BOM[Part Name]=$A67)*M_BOM[RM_Qty_Per_Batch]*IFERROR(INDEX(PP_Grid[#Data],M_BOM[PPGridRow],79),0))/69.45</f>
        <v/>
      </c>
      <c r="CB67">
        <f>SUMPRODUCT((M_BOM[Part Name]=$A67)*M_BOM[RM_Qty_Per_Batch]*IFERROR(INDEX(PP_Grid[#Data],M_BOM[PPGridRow],80),0))/69.45</f>
        <v/>
      </c>
      <c r="CC67">
        <f>SUMPRODUCT((M_BOM[Part Name]=$A67)*M_BOM[RM_Qty_Per_Batch]*IFERROR(INDEX(PP_Grid[#Data],M_BOM[PPGridRow],81),0))/69.45</f>
        <v/>
      </c>
      <c r="CD67">
        <f>SUMPRODUCT((M_BOM[Part Name]=$A67)*M_BOM[RM_Qty_Per_Batch]*IFERROR(INDEX(PP_Grid[#Data],M_BOM[PPGridRow],82),0))/69.45</f>
        <v/>
      </c>
      <c r="CE67">
        <f>SUMPRODUCT((M_BOM[Part Name]=$A67)*M_BOM[RM_Qty_Per_Batch]*IFERROR(INDEX(PP_Grid[#Data],M_BOM[PPGridRow],83),0))/69.45</f>
        <v/>
      </c>
      <c r="CF67">
        <f>SUMPRODUCT((M_BOM[Part Name]=$A67)*M_BOM[RM_Qty_Per_Batch]*IFERROR(INDEX(PP_Grid[#Data],M_BOM[PPGridRow],84),0))/69.45</f>
        <v/>
      </c>
      <c r="CG67">
        <f>SUMPRODUCT((M_BOM[Part Name]=$A67)*M_BOM[RM_Qty_Per_Batch]*IFERROR(INDEX(PP_Grid[#Data],M_BOM[PPGridRow],85),0))/69.45</f>
        <v/>
      </c>
      <c r="CH67">
        <f>SUMPRODUCT((M_BOM[Part Name]=$A67)*M_BOM[RM_Qty_Per_Batch]*IFERROR(INDEX(PP_Grid[#Data],M_BOM[PPGridRow],86),0))/69.45</f>
        <v/>
      </c>
      <c r="CI67">
        <f>SUMPRODUCT((M_BOM[Part Name]=$A67)*M_BOM[RM_Qty_Per_Batch]*IFERROR(INDEX(PP_Grid[#Data],M_BOM[PPGridRow],87),0))/69.45</f>
        <v/>
      </c>
      <c r="CJ67">
        <f>SUMPRODUCT((M_BOM[Part Name]=$A67)*M_BOM[RM_Qty_Per_Batch]*IFERROR(INDEX(PP_Grid[#Data],M_BOM[PPGridRow],88),0))/69.45</f>
        <v/>
      </c>
      <c r="CK67">
        <f>SUMPRODUCT((M_BOM[Part Name]=$A67)*M_BOM[RM_Qty_Per_Batch]*IFERROR(INDEX(PP_Grid[#Data],M_BOM[PPGridRow],89),0))/69.45</f>
        <v/>
      </c>
      <c r="CL67">
        <f>SUMPRODUCT((M_BOM[Part Name]=$A67)*M_BOM[RM_Qty_Per_Batch]*IFERROR(INDEX(PP_Grid[#Data],M_BOM[PPGridRow],90),0))/69.45</f>
        <v/>
      </c>
      <c r="CM67">
        <f>SUMPRODUCT((M_BOM[Part Name]=$A67)*M_BOM[RM_Qty_Per_Batch]*IFERROR(INDEX(PP_Grid[#Data],M_BOM[PPGridRow],91),0))/69.45</f>
        <v/>
      </c>
      <c r="CN67">
        <f>SUMPRODUCT((M_BOM[Part Name]=$A67)*M_BOM[RM_Qty_Per_Batch]*IFERROR(INDEX(PP_Grid[#Data],M_BOM[PPGridRow],92),0))/69.45</f>
        <v/>
      </c>
      <c r="CO67">
        <f>SUMPRODUCT((M_BOM[Part Name]=$A67)*M_BOM[RM_Qty_Per_Batch]*IFERROR(INDEX(PP_Grid[#Data],M_BOM[PPGridRow],93),0))/69.45</f>
        <v/>
      </c>
      <c r="CP67">
        <f>SUMPRODUCT((M_BOM[Part Name]=$A67)*M_BOM[RM_Qty_Per_Batch]*IFERROR(INDEX(PP_Grid[#Data],M_BOM[PPGridRow],94),0))/69.45</f>
        <v/>
      </c>
      <c r="CQ67">
        <f>SUMPRODUCT((M_BOM[Part Name]=$A67)*M_BOM[RM_Qty_Per_Batch]*IFERROR(INDEX(PP_Grid[#Data],M_BOM[PPGridRow],95),0))/69.45</f>
        <v/>
      </c>
      <c r="CR67">
        <f>SUMPRODUCT((M_BOM[Part Name]=$A67)*M_BOM[RM_Qty_Per_Batch]*IFERROR(INDEX(PP_Grid[#Data],M_BOM[PPGridRow],96),0))/69.45</f>
        <v/>
      </c>
      <c r="CS67">
        <f>SUMPRODUCT((M_BOM[Part Name]=$A67)*M_BOM[RM_Qty_Per_Batch]*IFERROR(INDEX(PP_Grid[#Data],M_BOM[PPGridRow],97),0))/69.45</f>
        <v/>
      </c>
      <c r="CT67">
        <f>SUMPRODUCT((M_BOM[Part Name]=$A67)*M_BOM[RM_Qty_Per_Batch]*IFERROR(INDEX(PP_Grid[#Data],M_BOM[PPGridRow],98),0))/69.45</f>
        <v/>
      </c>
      <c r="CU67">
        <f>SUMPRODUCT((M_BOM[Part Name]=$A67)*M_BOM[RM_Qty_Per_Batch]*IFERROR(INDEX(PP_Grid[#Data],M_BOM[PPGridRow],99),0))/69.45</f>
        <v/>
      </c>
      <c r="CV67">
        <f>SUMPRODUCT((M_BOM[Part Name]=$A67)*M_BOM[RM_Qty_Per_Batch]*IFERROR(INDEX(PP_Grid[#Data],M_BOM[PPGridRow],100),0))/69.45</f>
        <v/>
      </c>
      <c r="CW67">
        <f>SUMPRODUCT((M_BOM[Part Name]=$A67)*M_BOM[RM_Qty_Per_Batch]*IFERROR(INDEX(PP_Grid[#Data],M_BOM[PPGridRow],101),0))/69.45</f>
        <v/>
      </c>
      <c r="CX67">
        <f>SUMPRODUCT((M_BOM[Part Name]=$A67)*M_BOM[RM_Qty_Per_Batch]*IFERROR(INDEX(PP_Grid[#Data],M_BOM[PPGridRow],102),0))/69.45</f>
        <v/>
      </c>
      <c r="CY67">
        <f>SUMPRODUCT((M_BOM[Part Name]=$A67)*M_BOM[RM_Qty_Per_Batch]*IFERROR(INDEX(PP_Grid[#Data],M_BOM[PPGridRow],103),0))/69.45</f>
        <v/>
      </c>
      <c r="CZ67">
        <f>SUMPRODUCT((M_BOM[Part Name]=$A67)*M_BOM[RM_Qty_Per_Batch]*IFERROR(INDEX(PP_Grid[#Data],M_BOM[PPGridRow],104),0))/69.45</f>
        <v/>
      </c>
      <c r="DA67">
        <f>SUMPRODUCT((M_BOM[Part Name]=$A67)*M_BOM[RM_Qty_Per_Batch]*IFERROR(INDEX(PP_Grid[#Data],M_BOM[PPGridRow],105),0))/69.45</f>
        <v/>
      </c>
    </row>
    <row r="68">
      <c r="A68" t="inlineStr">
        <is>
          <t>TPP-1367</t>
        </is>
      </c>
      <c r="B68">
        <f>SUMPRODUCT((M_BOM[Part Name]=$A68)*M_BOM[RM_Qty_Per_Batch]*IFERROR(INDEX(PP_Grid[#Data],M_BOM[PPGridRow],2),0))/26.54</f>
        <v/>
      </c>
      <c r="C68">
        <f>SUMPRODUCT((M_BOM[Part Name]=$A68)*M_BOM[RM_Qty_Per_Batch]*IFERROR(INDEX(PP_Grid[#Data],M_BOM[PPGridRow],3),0))/26.54</f>
        <v/>
      </c>
      <c r="D68">
        <f>SUMPRODUCT((M_BOM[Part Name]=$A68)*M_BOM[RM_Qty_Per_Batch]*IFERROR(INDEX(PP_Grid[#Data],M_BOM[PPGridRow],4),0))/26.54</f>
        <v/>
      </c>
      <c r="E68">
        <f>SUMPRODUCT((M_BOM[Part Name]=$A68)*M_BOM[RM_Qty_Per_Batch]*IFERROR(INDEX(PP_Grid[#Data],M_BOM[PPGridRow],5),0))/26.54</f>
        <v/>
      </c>
      <c r="F68">
        <f>SUMPRODUCT((M_BOM[Part Name]=$A68)*M_BOM[RM_Qty_Per_Batch]*IFERROR(INDEX(PP_Grid[#Data],M_BOM[PPGridRow],6),0))/26.54</f>
        <v/>
      </c>
      <c r="G68">
        <f>SUMPRODUCT((M_BOM[Part Name]=$A68)*M_BOM[RM_Qty_Per_Batch]*IFERROR(INDEX(PP_Grid[#Data],M_BOM[PPGridRow],7),0))/26.54</f>
        <v/>
      </c>
      <c r="H68">
        <f>SUMPRODUCT((M_BOM[Part Name]=$A68)*M_BOM[RM_Qty_Per_Batch]*IFERROR(INDEX(PP_Grid[#Data],M_BOM[PPGridRow],8),0))/26.54</f>
        <v/>
      </c>
      <c r="I68">
        <f>SUMPRODUCT((M_BOM[Part Name]=$A68)*M_BOM[RM_Qty_Per_Batch]*IFERROR(INDEX(PP_Grid[#Data],M_BOM[PPGridRow],9),0))/26.54</f>
        <v/>
      </c>
      <c r="J68">
        <f>SUMPRODUCT((M_BOM[Part Name]=$A68)*M_BOM[RM_Qty_Per_Batch]*IFERROR(INDEX(PP_Grid[#Data],M_BOM[PPGridRow],10),0))/26.54</f>
        <v/>
      </c>
      <c r="K68">
        <f>SUMPRODUCT((M_BOM[Part Name]=$A68)*M_BOM[RM_Qty_Per_Batch]*IFERROR(INDEX(PP_Grid[#Data],M_BOM[PPGridRow],11),0))/26.54</f>
        <v/>
      </c>
      <c r="L68">
        <f>SUMPRODUCT((M_BOM[Part Name]=$A68)*M_BOM[RM_Qty_Per_Batch]*IFERROR(INDEX(PP_Grid[#Data],M_BOM[PPGridRow],12),0))/26.54</f>
        <v/>
      </c>
      <c r="M68">
        <f>SUMPRODUCT((M_BOM[Part Name]=$A68)*M_BOM[RM_Qty_Per_Batch]*IFERROR(INDEX(PP_Grid[#Data],M_BOM[PPGridRow],13),0))/26.54</f>
        <v/>
      </c>
      <c r="N68">
        <f>SUMPRODUCT((M_BOM[Part Name]=$A68)*M_BOM[RM_Qty_Per_Batch]*IFERROR(INDEX(PP_Grid[#Data],M_BOM[PPGridRow],14),0))/26.54</f>
        <v/>
      </c>
      <c r="O68">
        <f>SUMPRODUCT((M_BOM[Part Name]=$A68)*M_BOM[RM_Qty_Per_Batch]*IFERROR(INDEX(PP_Grid[#Data],M_BOM[PPGridRow],15),0))/26.54</f>
        <v/>
      </c>
      <c r="P68">
        <f>SUMPRODUCT((M_BOM[Part Name]=$A68)*M_BOM[RM_Qty_Per_Batch]*IFERROR(INDEX(PP_Grid[#Data],M_BOM[PPGridRow],16),0))/26.54</f>
        <v/>
      </c>
      <c r="Q68">
        <f>SUMPRODUCT((M_BOM[Part Name]=$A68)*M_BOM[RM_Qty_Per_Batch]*IFERROR(INDEX(PP_Grid[#Data],M_BOM[PPGridRow],17),0))/26.54</f>
        <v/>
      </c>
      <c r="R68">
        <f>SUMPRODUCT((M_BOM[Part Name]=$A68)*M_BOM[RM_Qty_Per_Batch]*IFERROR(INDEX(PP_Grid[#Data],M_BOM[PPGridRow],18),0))/26.54</f>
        <v/>
      </c>
      <c r="S68">
        <f>SUMPRODUCT((M_BOM[Part Name]=$A68)*M_BOM[RM_Qty_Per_Batch]*IFERROR(INDEX(PP_Grid[#Data],M_BOM[PPGridRow],19),0))/26.54</f>
        <v/>
      </c>
      <c r="T68">
        <f>SUMPRODUCT((M_BOM[Part Name]=$A68)*M_BOM[RM_Qty_Per_Batch]*IFERROR(INDEX(PP_Grid[#Data],M_BOM[PPGridRow],20),0))/26.54</f>
        <v/>
      </c>
      <c r="U68">
        <f>SUMPRODUCT((M_BOM[Part Name]=$A68)*M_BOM[RM_Qty_Per_Batch]*IFERROR(INDEX(PP_Grid[#Data],M_BOM[PPGridRow],21),0))/26.54</f>
        <v/>
      </c>
      <c r="V68">
        <f>SUMPRODUCT((M_BOM[Part Name]=$A68)*M_BOM[RM_Qty_Per_Batch]*IFERROR(INDEX(PP_Grid[#Data],M_BOM[PPGridRow],22),0))/26.54</f>
        <v/>
      </c>
      <c r="W68">
        <f>SUMPRODUCT((M_BOM[Part Name]=$A68)*M_BOM[RM_Qty_Per_Batch]*IFERROR(INDEX(PP_Grid[#Data],M_BOM[PPGridRow],23),0))/26.54</f>
        <v/>
      </c>
      <c r="X68">
        <f>SUMPRODUCT((M_BOM[Part Name]=$A68)*M_BOM[RM_Qty_Per_Batch]*IFERROR(INDEX(PP_Grid[#Data],M_BOM[PPGridRow],24),0))/26.54</f>
        <v/>
      </c>
      <c r="Y68">
        <f>SUMPRODUCT((M_BOM[Part Name]=$A68)*M_BOM[RM_Qty_Per_Batch]*IFERROR(INDEX(PP_Grid[#Data],M_BOM[PPGridRow],25),0))/26.54</f>
        <v/>
      </c>
      <c r="Z68">
        <f>SUMPRODUCT((M_BOM[Part Name]=$A68)*M_BOM[RM_Qty_Per_Batch]*IFERROR(INDEX(PP_Grid[#Data],M_BOM[PPGridRow],26),0))/26.54</f>
        <v/>
      </c>
      <c r="AA68">
        <f>SUMPRODUCT((M_BOM[Part Name]=$A68)*M_BOM[RM_Qty_Per_Batch]*IFERROR(INDEX(PP_Grid[#Data],M_BOM[PPGridRow],27),0))/26.54</f>
        <v/>
      </c>
      <c r="AB68">
        <f>SUMPRODUCT((M_BOM[Part Name]=$A68)*M_BOM[RM_Qty_Per_Batch]*IFERROR(INDEX(PP_Grid[#Data],M_BOM[PPGridRow],28),0))/26.54</f>
        <v/>
      </c>
      <c r="AC68">
        <f>SUMPRODUCT((M_BOM[Part Name]=$A68)*M_BOM[RM_Qty_Per_Batch]*IFERROR(INDEX(PP_Grid[#Data],M_BOM[PPGridRow],29),0))/26.54</f>
        <v/>
      </c>
      <c r="AD68">
        <f>SUMPRODUCT((M_BOM[Part Name]=$A68)*M_BOM[RM_Qty_Per_Batch]*IFERROR(INDEX(PP_Grid[#Data],M_BOM[PPGridRow],30),0))/26.54</f>
        <v/>
      </c>
      <c r="AE68">
        <f>SUMPRODUCT((M_BOM[Part Name]=$A68)*M_BOM[RM_Qty_Per_Batch]*IFERROR(INDEX(PP_Grid[#Data],M_BOM[PPGridRow],31),0))/26.54</f>
        <v/>
      </c>
      <c r="AF68">
        <f>SUMPRODUCT((M_BOM[Part Name]=$A68)*M_BOM[RM_Qty_Per_Batch]*IFERROR(INDEX(PP_Grid[#Data],M_BOM[PPGridRow],32),0))/26.54</f>
        <v/>
      </c>
      <c r="AG68">
        <f>SUMPRODUCT((M_BOM[Part Name]=$A68)*M_BOM[RM_Qty_Per_Batch]*IFERROR(INDEX(PP_Grid[#Data],M_BOM[PPGridRow],33),0))/26.54</f>
        <v/>
      </c>
      <c r="AH68">
        <f>SUMPRODUCT((M_BOM[Part Name]=$A68)*M_BOM[RM_Qty_Per_Batch]*IFERROR(INDEX(PP_Grid[#Data],M_BOM[PPGridRow],34),0))/26.54</f>
        <v/>
      </c>
      <c r="AI68">
        <f>SUMPRODUCT((M_BOM[Part Name]=$A68)*M_BOM[RM_Qty_Per_Batch]*IFERROR(INDEX(PP_Grid[#Data],M_BOM[PPGridRow],35),0))/26.54</f>
        <v/>
      </c>
      <c r="AJ68">
        <f>SUMPRODUCT((M_BOM[Part Name]=$A68)*M_BOM[RM_Qty_Per_Batch]*IFERROR(INDEX(PP_Grid[#Data],M_BOM[PPGridRow],36),0))/26.54</f>
        <v/>
      </c>
      <c r="AK68">
        <f>SUMPRODUCT((M_BOM[Part Name]=$A68)*M_BOM[RM_Qty_Per_Batch]*IFERROR(INDEX(PP_Grid[#Data],M_BOM[PPGridRow],37),0))/26.54</f>
        <v/>
      </c>
      <c r="AL68">
        <f>SUMPRODUCT((M_BOM[Part Name]=$A68)*M_BOM[RM_Qty_Per_Batch]*IFERROR(INDEX(PP_Grid[#Data],M_BOM[PPGridRow],38),0))/26.54</f>
        <v/>
      </c>
      <c r="AM68">
        <f>SUMPRODUCT((M_BOM[Part Name]=$A68)*M_BOM[RM_Qty_Per_Batch]*IFERROR(INDEX(PP_Grid[#Data],M_BOM[PPGridRow],39),0))/26.54</f>
        <v/>
      </c>
      <c r="AN68">
        <f>SUMPRODUCT((M_BOM[Part Name]=$A68)*M_BOM[RM_Qty_Per_Batch]*IFERROR(INDEX(PP_Grid[#Data],M_BOM[PPGridRow],40),0))/26.54</f>
        <v/>
      </c>
      <c r="AO68">
        <f>SUMPRODUCT((M_BOM[Part Name]=$A68)*M_BOM[RM_Qty_Per_Batch]*IFERROR(INDEX(PP_Grid[#Data],M_BOM[PPGridRow],41),0))/26.54</f>
        <v/>
      </c>
      <c r="AP68">
        <f>SUMPRODUCT((M_BOM[Part Name]=$A68)*M_BOM[RM_Qty_Per_Batch]*IFERROR(INDEX(PP_Grid[#Data],M_BOM[PPGridRow],42),0))/26.54</f>
        <v/>
      </c>
      <c r="AQ68">
        <f>SUMPRODUCT((M_BOM[Part Name]=$A68)*M_BOM[RM_Qty_Per_Batch]*IFERROR(INDEX(PP_Grid[#Data],M_BOM[PPGridRow],43),0))/26.54</f>
        <v/>
      </c>
      <c r="AR68">
        <f>SUMPRODUCT((M_BOM[Part Name]=$A68)*M_BOM[RM_Qty_Per_Batch]*IFERROR(INDEX(PP_Grid[#Data],M_BOM[PPGridRow],44),0))/26.54</f>
        <v/>
      </c>
      <c r="AS68">
        <f>SUMPRODUCT((M_BOM[Part Name]=$A68)*M_BOM[RM_Qty_Per_Batch]*IFERROR(INDEX(PP_Grid[#Data],M_BOM[PPGridRow],45),0))/26.54</f>
        <v/>
      </c>
      <c r="AT68">
        <f>SUMPRODUCT((M_BOM[Part Name]=$A68)*M_BOM[RM_Qty_Per_Batch]*IFERROR(INDEX(PP_Grid[#Data],M_BOM[PPGridRow],46),0))/26.54</f>
        <v/>
      </c>
      <c r="AU68">
        <f>SUMPRODUCT((M_BOM[Part Name]=$A68)*M_BOM[RM_Qty_Per_Batch]*IFERROR(INDEX(PP_Grid[#Data],M_BOM[PPGridRow],47),0))/26.54</f>
        <v/>
      </c>
      <c r="AV68">
        <f>SUMPRODUCT((M_BOM[Part Name]=$A68)*M_BOM[RM_Qty_Per_Batch]*IFERROR(INDEX(PP_Grid[#Data],M_BOM[PPGridRow],48),0))/26.54</f>
        <v/>
      </c>
      <c r="AW68">
        <f>SUMPRODUCT((M_BOM[Part Name]=$A68)*M_BOM[RM_Qty_Per_Batch]*IFERROR(INDEX(PP_Grid[#Data],M_BOM[PPGridRow],49),0))/26.54</f>
        <v/>
      </c>
      <c r="AX68">
        <f>SUMPRODUCT((M_BOM[Part Name]=$A68)*M_BOM[RM_Qty_Per_Batch]*IFERROR(INDEX(PP_Grid[#Data],M_BOM[PPGridRow],50),0))/26.54</f>
        <v/>
      </c>
      <c r="AY68">
        <f>SUMPRODUCT((M_BOM[Part Name]=$A68)*M_BOM[RM_Qty_Per_Batch]*IFERROR(INDEX(PP_Grid[#Data],M_BOM[PPGridRow],51),0))/26.54</f>
        <v/>
      </c>
      <c r="AZ68">
        <f>SUMPRODUCT((M_BOM[Part Name]=$A68)*M_BOM[RM_Qty_Per_Batch]*IFERROR(INDEX(PP_Grid[#Data],M_BOM[PPGridRow],52),0))/26.54</f>
        <v/>
      </c>
      <c r="BA68">
        <f>SUMPRODUCT((M_BOM[Part Name]=$A68)*M_BOM[RM_Qty_Per_Batch]*IFERROR(INDEX(PP_Grid[#Data],M_BOM[PPGridRow],53),0))/26.54</f>
        <v/>
      </c>
      <c r="BB68">
        <f>SUMPRODUCT((M_BOM[Part Name]=$A68)*M_BOM[RM_Qty_Per_Batch]*IFERROR(INDEX(PP_Grid[#Data],M_BOM[PPGridRow],54),0))/26.54</f>
        <v/>
      </c>
      <c r="BC68">
        <f>SUMPRODUCT((M_BOM[Part Name]=$A68)*M_BOM[RM_Qty_Per_Batch]*IFERROR(INDEX(PP_Grid[#Data],M_BOM[PPGridRow],55),0))/26.54</f>
        <v/>
      </c>
      <c r="BD68">
        <f>SUMPRODUCT((M_BOM[Part Name]=$A68)*M_BOM[RM_Qty_Per_Batch]*IFERROR(INDEX(PP_Grid[#Data],M_BOM[PPGridRow],56),0))/26.54</f>
        <v/>
      </c>
      <c r="BE68">
        <f>SUMPRODUCT((M_BOM[Part Name]=$A68)*M_BOM[RM_Qty_Per_Batch]*IFERROR(INDEX(PP_Grid[#Data],M_BOM[PPGridRow],57),0))/26.54</f>
        <v/>
      </c>
      <c r="BF68">
        <f>SUMPRODUCT((M_BOM[Part Name]=$A68)*M_BOM[RM_Qty_Per_Batch]*IFERROR(INDEX(PP_Grid[#Data],M_BOM[PPGridRow],58),0))/26.54</f>
        <v/>
      </c>
      <c r="BG68">
        <f>SUMPRODUCT((M_BOM[Part Name]=$A68)*M_BOM[RM_Qty_Per_Batch]*IFERROR(INDEX(PP_Grid[#Data],M_BOM[PPGridRow],59),0))/26.54</f>
        <v/>
      </c>
      <c r="BH68">
        <f>SUMPRODUCT((M_BOM[Part Name]=$A68)*M_BOM[RM_Qty_Per_Batch]*IFERROR(INDEX(PP_Grid[#Data],M_BOM[PPGridRow],60),0))/26.54</f>
        <v/>
      </c>
      <c r="BI68">
        <f>SUMPRODUCT((M_BOM[Part Name]=$A68)*M_BOM[RM_Qty_Per_Batch]*IFERROR(INDEX(PP_Grid[#Data],M_BOM[PPGridRow],61),0))/26.54</f>
        <v/>
      </c>
      <c r="BJ68">
        <f>SUMPRODUCT((M_BOM[Part Name]=$A68)*M_BOM[RM_Qty_Per_Batch]*IFERROR(INDEX(PP_Grid[#Data],M_BOM[PPGridRow],62),0))/26.54</f>
        <v/>
      </c>
      <c r="BK68">
        <f>SUMPRODUCT((M_BOM[Part Name]=$A68)*M_BOM[RM_Qty_Per_Batch]*IFERROR(INDEX(PP_Grid[#Data],M_BOM[PPGridRow],63),0))/26.54</f>
        <v/>
      </c>
      <c r="BL68">
        <f>SUMPRODUCT((M_BOM[Part Name]=$A68)*M_BOM[RM_Qty_Per_Batch]*IFERROR(INDEX(PP_Grid[#Data],M_BOM[PPGridRow],64),0))/26.54</f>
        <v/>
      </c>
      <c r="BM68">
        <f>SUMPRODUCT((M_BOM[Part Name]=$A68)*M_BOM[RM_Qty_Per_Batch]*IFERROR(INDEX(PP_Grid[#Data],M_BOM[PPGridRow],65),0))/26.54</f>
        <v/>
      </c>
      <c r="BN68">
        <f>SUMPRODUCT((M_BOM[Part Name]=$A68)*M_BOM[RM_Qty_Per_Batch]*IFERROR(INDEX(PP_Grid[#Data],M_BOM[PPGridRow],66),0))/26.54</f>
        <v/>
      </c>
      <c r="BO68">
        <f>SUMPRODUCT((M_BOM[Part Name]=$A68)*M_BOM[RM_Qty_Per_Batch]*IFERROR(INDEX(PP_Grid[#Data],M_BOM[PPGridRow],67),0))/26.54</f>
        <v/>
      </c>
      <c r="BP68">
        <f>SUMPRODUCT((M_BOM[Part Name]=$A68)*M_BOM[RM_Qty_Per_Batch]*IFERROR(INDEX(PP_Grid[#Data],M_BOM[PPGridRow],68),0))/26.54</f>
        <v/>
      </c>
      <c r="BQ68">
        <f>SUMPRODUCT((M_BOM[Part Name]=$A68)*M_BOM[RM_Qty_Per_Batch]*IFERROR(INDEX(PP_Grid[#Data],M_BOM[PPGridRow],69),0))/26.54</f>
        <v/>
      </c>
      <c r="BR68">
        <f>SUMPRODUCT((M_BOM[Part Name]=$A68)*M_BOM[RM_Qty_Per_Batch]*IFERROR(INDEX(PP_Grid[#Data],M_BOM[PPGridRow],70),0))/26.54</f>
        <v/>
      </c>
      <c r="BS68">
        <f>SUMPRODUCT((M_BOM[Part Name]=$A68)*M_BOM[RM_Qty_Per_Batch]*IFERROR(INDEX(PP_Grid[#Data],M_BOM[PPGridRow],71),0))/26.54</f>
        <v/>
      </c>
      <c r="BT68">
        <f>SUMPRODUCT((M_BOM[Part Name]=$A68)*M_BOM[RM_Qty_Per_Batch]*IFERROR(INDEX(PP_Grid[#Data],M_BOM[PPGridRow],72),0))/26.54</f>
        <v/>
      </c>
      <c r="BU68">
        <f>SUMPRODUCT((M_BOM[Part Name]=$A68)*M_BOM[RM_Qty_Per_Batch]*IFERROR(INDEX(PP_Grid[#Data],M_BOM[PPGridRow],73),0))/26.54</f>
        <v/>
      </c>
      <c r="BV68">
        <f>SUMPRODUCT((M_BOM[Part Name]=$A68)*M_BOM[RM_Qty_Per_Batch]*IFERROR(INDEX(PP_Grid[#Data],M_BOM[PPGridRow],74),0))/26.54</f>
        <v/>
      </c>
      <c r="BW68">
        <f>SUMPRODUCT((M_BOM[Part Name]=$A68)*M_BOM[RM_Qty_Per_Batch]*IFERROR(INDEX(PP_Grid[#Data],M_BOM[PPGridRow],75),0))/26.54</f>
        <v/>
      </c>
      <c r="BX68">
        <f>SUMPRODUCT((M_BOM[Part Name]=$A68)*M_BOM[RM_Qty_Per_Batch]*IFERROR(INDEX(PP_Grid[#Data],M_BOM[PPGridRow],76),0))/26.54</f>
        <v/>
      </c>
      <c r="BY68">
        <f>SUMPRODUCT((M_BOM[Part Name]=$A68)*M_BOM[RM_Qty_Per_Batch]*IFERROR(INDEX(PP_Grid[#Data],M_BOM[PPGridRow],77),0))/26.54</f>
        <v/>
      </c>
      <c r="BZ68">
        <f>SUMPRODUCT((M_BOM[Part Name]=$A68)*M_BOM[RM_Qty_Per_Batch]*IFERROR(INDEX(PP_Grid[#Data],M_BOM[PPGridRow],78),0))/26.54</f>
        <v/>
      </c>
      <c r="CA68">
        <f>SUMPRODUCT((M_BOM[Part Name]=$A68)*M_BOM[RM_Qty_Per_Batch]*IFERROR(INDEX(PP_Grid[#Data],M_BOM[PPGridRow],79),0))/26.54</f>
        <v/>
      </c>
      <c r="CB68">
        <f>SUMPRODUCT((M_BOM[Part Name]=$A68)*M_BOM[RM_Qty_Per_Batch]*IFERROR(INDEX(PP_Grid[#Data],M_BOM[PPGridRow],80),0))/26.54</f>
        <v/>
      </c>
      <c r="CC68">
        <f>SUMPRODUCT((M_BOM[Part Name]=$A68)*M_BOM[RM_Qty_Per_Batch]*IFERROR(INDEX(PP_Grid[#Data],M_BOM[PPGridRow],81),0))/26.54</f>
        <v/>
      </c>
      <c r="CD68">
        <f>SUMPRODUCT((M_BOM[Part Name]=$A68)*M_BOM[RM_Qty_Per_Batch]*IFERROR(INDEX(PP_Grid[#Data],M_BOM[PPGridRow],82),0))/26.54</f>
        <v/>
      </c>
      <c r="CE68">
        <f>SUMPRODUCT((M_BOM[Part Name]=$A68)*M_BOM[RM_Qty_Per_Batch]*IFERROR(INDEX(PP_Grid[#Data],M_BOM[PPGridRow],83),0))/26.54</f>
        <v/>
      </c>
      <c r="CF68">
        <f>SUMPRODUCT((M_BOM[Part Name]=$A68)*M_BOM[RM_Qty_Per_Batch]*IFERROR(INDEX(PP_Grid[#Data],M_BOM[PPGridRow],84),0))/26.54</f>
        <v/>
      </c>
      <c r="CG68">
        <f>SUMPRODUCT((M_BOM[Part Name]=$A68)*M_BOM[RM_Qty_Per_Batch]*IFERROR(INDEX(PP_Grid[#Data],M_BOM[PPGridRow],85),0))/26.54</f>
        <v/>
      </c>
      <c r="CH68">
        <f>SUMPRODUCT((M_BOM[Part Name]=$A68)*M_BOM[RM_Qty_Per_Batch]*IFERROR(INDEX(PP_Grid[#Data],M_BOM[PPGridRow],86),0))/26.54</f>
        <v/>
      </c>
      <c r="CI68">
        <f>SUMPRODUCT((M_BOM[Part Name]=$A68)*M_BOM[RM_Qty_Per_Batch]*IFERROR(INDEX(PP_Grid[#Data],M_BOM[PPGridRow],87),0))/26.54</f>
        <v/>
      </c>
      <c r="CJ68">
        <f>SUMPRODUCT((M_BOM[Part Name]=$A68)*M_BOM[RM_Qty_Per_Batch]*IFERROR(INDEX(PP_Grid[#Data],M_BOM[PPGridRow],88),0))/26.54</f>
        <v/>
      </c>
      <c r="CK68">
        <f>SUMPRODUCT((M_BOM[Part Name]=$A68)*M_BOM[RM_Qty_Per_Batch]*IFERROR(INDEX(PP_Grid[#Data],M_BOM[PPGridRow],89),0))/26.54</f>
        <v/>
      </c>
      <c r="CL68">
        <f>SUMPRODUCT((M_BOM[Part Name]=$A68)*M_BOM[RM_Qty_Per_Batch]*IFERROR(INDEX(PP_Grid[#Data],M_BOM[PPGridRow],90),0))/26.54</f>
        <v/>
      </c>
      <c r="CM68">
        <f>SUMPRODUCT((M_BOM[Part Name]=$A68)*M_BOM[RM_Qty_Per_Batch]*IFERROR(INDEX(PP_Grid[#Data],M_BOM[PPGridRow],91),0))/26.54</f>
        <v/>
      </c>
      <c r="CN68">
        <f>SUMPRODUCT((M_BOM[Part Name]=$A68)*M_BOM[RM_Qty_Per_Batch]*IFERROR(INDEX(PP_Grid[#Data],M_BOM[PPGridRow],92),0))/26.54</f>
        <v/>
      </c>
      <c r="CO68">
        <f>SUMPRODUCT((M_BOM[Part Name]=$A68)*M_BOM[RM_Qty_Per_Batch]*IFERROR(INDEX(PP_Grid[#Data],M_BOM[PPGridRow],93),0))/26.54</f>
        <v/>
      </c>
      <c r="CP68">
        <f>SUMPRODUCT((M_BOM[Part Name]=$A68)*M_BOM[RM_Qty_Per_Batch]*IFERROR(INDEX(PP_Grid[#Data],M_BOM[PPGridRow],94),0))/26.54</f>
        <v/>
      </c>
      <c r="CQ68">
        <f>SUMPRODUCT((M_BOM[Part Name]=$A68)*M_BOM[RM_Qty_Per_Batch]*IFERROR(INDEX(PP_Grid[#Data],M_BOM[PPGridRow],95),0))/26.54</f>
        <v/>
      </c>
      <c r="CR68">
        <f>SUMPRODUCT((M_BOM[Part Name]=$A68)*M_BOM[RM_Qty_Per_Batch]*IFERROR(INDEX(PP_Grid[#Data],M_BOM[PPGridRow],96),0))/26.54</f>
        <v/>
      </c>
      <c r="CS68">
        <f>SUMPRODUCT((M_BOM[Part Name]=$A68)*M_BOM[RM_Qty_Per_Batch]*IFERROR(INDEX(PP_Grid[#Data],M_BOM[PPGridRow],97),0))/26.54</f>
        <v/>
      </c>
      <c r="CT68">
        <f>SUMPRODUCT((M_BOM[Part Name]=$A68)*M_BOM[RM_Qty_Per_Batch]*IFERROR(INDEX(PP_Grid[#Data],M_BOM[PPGridRow],98),0))/26.54</f>
        <v/>
      </c>
      <c r="CU68">
        <f>SUMPRODUCT((M_BOM[Part Name]=$A68)*M_BOM[RM_Qty_Per_Batch]*IFERROR(INDEX(PP_Grid[#Data],M_BOM[PPGridRow],99),0))/26.54</f>
        <v/>
      </c>
      <c r="CV68">
        <f>SUMPRODUCT((M_BOM[Part Name]=$A68)*M_BOM[RM_Qty_Per_Batch]*IFERROR(INDEX(PP_Grid[#Data],M_BOM[PPGridRow],100),0))/26.54</f>
        <v/>
      </c>
      <c r="CW68">
        <f>SUMPRODUCT((M_BOM[Part Name]=$A68)*M_BOM[RM_Qty_Per_Batch]*IFERROR(INDEX(PP_Grid[#Data],M_BOM[PPGridRow],101),0))/26.54</f>
        <v/>
      </c>
      <c r="CX68">
        <f>SUMPRODUCT((M_BOM[Part Name]=$A68)*M_BOM[RM_Qty_Per_Batch]*IFERROR(INDEX(PP_Grid[#Data],M_BOM[PPGridRow],102),0))/26.54</f>
        <v/>
      </c>
      <c r="CY68">
        <f>SUMPRODUCT((M_BOM[Part Name]=$A68)*M_BOM[RM_Qty_Per_Batch]*IFERROR(INDEX(PP_Grid[#Data],M_BOM[PPGridRow],103),0))/26.54</f>
        <v/>
      </c>
      <c r="CZ68">
        <f>SUMPRODUCT((M_BOM[Part Name]=$A68)*M_BOM[RM_Qty_Per_Batch]*IFERROR(INDEX(PP_Grid[#Data],M_BOM[PPGridRow],104),0))/26.54</f>
        <v/>
      </c>
      <c r="DA68">
        <f>SUMPRODUCT((M_BOM[Part Name]=$A68)*M_BOM[RM_Qty_Per_Batch]*IFERROR(INDEX(PP_Grid[#Data],M_BOM[PPGridRow],105),0))/26.54</f>
        <v/>
      </c>
    </row>
    <row r="69">
      <c r="A69" t="inlineStr">
        <is>
          <t>TPP-1368</t>
        </is>
      </c>
      <c r="B69">
        <f>SUMPRODUCT((M_BOM[Part Name]=$A69)*M_BOM[RM_Qty_Per_Batch]*IFERROR(INDEX(PP_Grid[#Data],M_BOM[PPGridRow],2),0))/27.79</f>
        <v/>
      </c>
      <c r="C69">
        <f>SUMPRODUCT((M_BOM[Part Name]=$A69)*M_BOM[RM_Qty_Per_Batch]*IFERROR(INDEX(PP_Grid[#Data],M_BOM[PPGridRow],3),0))/27.79</f>
        <v/>
      </c>
      <c r="D69">
        <f>SUMPRODUCT((M_BOM[Part Name]=$A69)*M_BOM[RM_Qty_Per_Batch]*IFERROR(INDEX(PP_Grid[#Data],M_BOM[PPGridRow],4),0))/27.79</f>
        <v/>
      </c>
      <c r="E69">
        <f>SUMPRODUCT((M_BOM[Part Name]=$A69)*M_BOM[RM_Qty_Per_Batch]*IFERROR(INDEX(PP_Grid[#Data],M_BOM[PPGridRow],5),0))/27.79</f>
        <v/>
      </c>
      <c r="F69">
        <f>SUMPRODUCT((M_BOM[Part Name]=$A69)*M_BOM[RM_Qty_Per_Batch]*IFERROR(INDEX(PP_Grid[#Data],M_BOM[PPGridRow],6),0))/27.79</f>
        <v/>
      </c>
      <c r="G69">
        <f>SUMPRODUCT((M_BOM[Part Name]=$A69)*M_BOM[RM_Qty_Per_Batch]*IFERROR(INDEX(PP_Grid[#Data],M_BOM[PPGridRow],7),0))/27.79</f>
        <v/>
      </c>
      <c r="H69">
        <f>SUMPRODUCT((M_BOM[Part Name]=$A69)*M_BOM[RM_Qty_Per_Batch]*IFERROR(INDEX(PP_Grid[#Data],M_BOM[PPGridRow],8),0))/27.79</f>
        <v/>
      </c>
      <c r="I69">
        <f>SUMPRODUCT((M_BOM[Part Name]=$A69)*M_BOM[RM_Qty_Per_Batch]*IFERROR(INDEX(PP_Grid[#Data],M_BOM[PPGridRow],9),0))/27.79</f>
        <v/>
      </c>
      <c r="J69">
        <f>SUMPRODUCT((M_BOM[Part Name]=$A69)*M_BOM[RM_Qty_Per_Batch]*IFERROR(INDEX(PP_Grid[#Data],M_BOM[PPGridRow],10),0))/27.79</f>
        <v/>
      </c>
      <c r="K69">
        <f>SUMPRODUCT((M_BOM[Part Name]=$A69)*M_BOM[RM_Qty_Per_Batch]*IFERROR(INDEX(PP_Grid[#Data],M_BOM[PPGridRow],11),0))/27.79</f>
        <v/>
      </c>
      <c r="L69">
        <f>SUMPRODUCT((M_BOM[Part Name]=$A69)*M_BOM[RM_Qty_Per_Batch]*IFERROR(INDEX(PP_Grid[#Data],M_BOM[PPGridRow],12),0))/27.79</f>
        <v/>
      </c>
      <c r="M69">
        <f>SUMPRODUCT((M_BOM[Part Name]=$A69)*M_BOM[RM_Qty_Per_Batch]*IFERROR(INDEX(PP_Grid[#Data],M_BOM[PPGridRow],13),0))/27.79</f>
        <v/>
      </c>
      <c r="N69">
        <f>SUMPRODUCT((M_BOM[Part Name]=$A69)*M_BOM[RM_Qty_Per_Batch]*IFERROR(INDEX(PP_Grid[#Data],M_BOM[PPGridRow],14),0))/27.79</f>
        <v/>
      </c>
      <c r="O69">
        <f>SUMPRODUCT((M_BOM[Part Name]=$A69)*M_BOM[RM_Qty_Per_Batch]*IFERROR(INDEX(PP_Grid[#Data],M_BOM[PPGridRow],15),0))/27.79</f>
        <v/>
      </c>
      <c r="P69">
        <f>SUMPRODUCT((M_BOM[Part Name]=$A69)*M_BOM[RM_Qty_Per_Batch]*IFERROR(INDEX(PP_Grid[#Data],M_BOM[PPGridRow],16),0))/27.79</f>
        <v/>
      </c>
      <c r="Q69">
        <f>SUMPRODUCT((M_BOM[Part Name]=$A69)*M_BOM[RM_Qty_Per_Batch]*IFERROR(INDEX(PP_Grid[#Data],M_BOM[PPGridRow],17),0))/27.79</f>
        <v/>
      </c>
      <c r="R69">
        <f>SUMPRODUCT((M_BOM[Part Name]=$A69)*M_BOM[RM_Qty_Per_Batch]*IFERROR(INDEX(PP_Grid[#Data],M_BOM[PPGridRow],18),0))/27.79</f>
        <v/>
      </c>
      <c r="S69">
        <f>SUMPRODUCT((M_BOM[Part Name]=$A69)*M_BOM[RM_Qty_Per_Batch]*IFERROR(INDEX(PP_Grid[#Data],M_BOM[PPGridRow],19),0))/27.79</f>
        <v/>
      </c>
      <c r="T69">
        <f>SUMPRODUCT((M_BOM[Part Name]=$A69)*M_BOM[RM_Qty_Per_Batch]*IFERROR(INDEX(PP_Grid[#Data],M_BOM[PPGridRow],20),0))/27.79</f>
        <v/>
      </c>
      <c r="U69">
        <f>SUMPRODUCT((M_BOM[Part Name]=$A69)*M_BOM[RM_Qty_Per_Batch]*IFERROR(INDEX(PP_Grid[#Data],M_BOM[PPGridRow],21),0))/27.79</f>
        <v/>
      </c>
      <c r="V69">
        <f>SUMPRODUCT((M_BOM[Part Name]=$A69)*M_BOM[RM_Qty_Per_Batch]*IFERROR(INDEX(PP_Grid[#Data],M_BOM[PPGridRow],22),0))/27.79</f>
        <v/>
      </c>
      <c r="W69">
        <f>SUMPRODUCT((M_BOM[Part Name]=$A69)*M_BOM[RM_Qty_Per_Batch]*IFERROR(INDEX(PP_Grid[#Data],M_BOM[PPGridRow],23),0))/27.79</f>
        <v/>
      </c>
      <c r="X69">
        <f>SUMPRODUCT((M_BOM[Part Name]=$A69)*M_BOM[RM_Qty_Per_Batch]*IFERROR(INDEX(PP_Grid[#Data],M_BOM[PPGridRow],24),0))/27.79</f>
        <v/>
      </c>
      <c r="Y69">
        <f>SUMPRODUCT((M_BOM[Part Name]=$A69)*M_BOM[RM_Qty_Per_Batch]*IFERROR(INDEX(PP_Grid[#Data],M_BOM[PPGridRow],25),0))/27.79</f>
        <v/>
      </c>
      <c r="Z69">
        <f>SUMPRODUCT((M_BOM[Part Name]=$A69)*M_BOM[RM_Qty_Per_Batch]*IFERROR(INDEX(PP_Grid[#Data],M_BOM[PPGridRow],26),0))/27.79</f>
        <v/>
      </c>
      <c r="AA69">
        <f>SUMPRODUCT((M_BOM[Part Name]=$A69)*M_BOM[RM_Qty_Per_Batch]*IFERROR(INDEX(PP_Grid[#Data],M_BOM[PPGridRow],27),0))/27.79</f>
        <v/>
      </c>
      <c r="AB69">
        <f>SUMPRODUCT((M_BOM[Part Name]=$A69)*M_BOM[RM_Qty_Per_Batch]*IFERROR(INDEX(PP_Grid[#Data],M_BOM[PPGridRow],28),0))/27.79</f>
        <v/>
      </c>
      <c r="AC69">
        <f>SUMPRODUCT((M_BOM[Part Name]=$A69)*M_BOM[RM_Qty_Per_Batch]*IFERROR(INDEX(PP_Grid[#Data],M_BOM[PPGridRow],29),0))/27.79</f>
        <v/>
      </c>
      <c r="AD69">
        <f>SUMPRODUCT((M_BOM[Part Name]=$A69)*M_BOM[RM_Qty_Per_Batch]*IFERROR(INDEX(PP_Grid[#Data],M_BOM[PPGridRow],30),0))/27.79</f>
        <v/>
      </c>
      <c r="AE69">
        <f>SUMPRODUCT((M_BOM[Part Name]=$A69)*M_BOM[RM_Qty_Per_Batch]*IFERROR(INDEX(PP_Grid[#Data],M_BOM[PPGridRow],31),0))/27.79</f>
        <v/>
      </c>
      <c r="AF69">
        <f>SUMPRODUCT((M_BOM[Part Name]=$A69)*M_BOM[RM_Qty_Per_Batch]*IFERROR(INDEX(PP_Grid[#Data],M_BOM[PPGridRow],32),0))/27.79</f>
        <v/>
      </c>
      <c r="AG69">
        <f>SUMPRODUCT((M_BOM[Part Name]=$A69)*M_BOM[RM_Qty_Per_Batch]*IFERROR(INDEX(PP_Grid[#Data],M_BOM[PPGridRow],33),0))/27.79</f>
        <v/>
      </c>
      <c r="AH69">
        <f>SUMPRODUCT((M_BOM[Part Name]=$A69)*M_BOM[RM_Qty_Per_Batch]*IFERROR(INDEX(PP_Grid[#Data],M_BOM[PPGridRow],34),0))/27.79</f>
        <v/>
      </c>
      <c r="AI69">
        <f>SUMPRODUCT((M_BOM[Part Name]=$A69)*M_BOM[RM_Qty_Per_Batch]*IFERROR(INDEX(PP_Grid[#Data],M_BOM[PPGridRow],35),0))/27.79</f>
        <v/>
      </c>
      <c r="AJ69">
        <f>SUMPRODUCT((M_BOM[Part Name]=$A69)*M_BOM[RM_Qty_Per_Batch]*IFERROR(INDEX(PP_Grid[#Data],M_BOM[PPGridRow],36),0))/27.79</f>
        <v/>
      </c>
      <c r="AK69">
        <f>SUMPRODUCT((M_BOM[Part Name]=$A69)*M_BOM[RM_Qty_Per_Batch]*IFERROR(INDEX(PP_Grid[#Data],M_BOM[PPGridRow],37),0))/27.79</f>
        <v/>
      </c>
      <c r="AL69">
        <f>SUMPRODUCT((M_BOM[Part Name]=$A69)*M_BOM[RM_Qty_Per_Batch]*IFERROR(INDEX(PP_Grid[#Data],M_BOM[PPGridRow],38),0))/27.79</f>
        <v/>
      </c>
      <c r="AM69">
        <f>SUMPRODUCT((M_BOM[Part Name]=$A69)*M_BOM[RM_Qty_Per_Batch]*IFERROR(INDEX(PP_Grid[#Data],M_BOM[PPGridRow],39),0))/27.79</f>
        <v/>
      </c>
      <c r="AN69">
        <f>SUMPRODUCT((M_BOM[Part Name]=$A69)*M_BOM[RM_Qty_Per_Batch]*IFERROR(INDEX(PP_Grid[#Data],M_BOM[PPGridRow],40),0))/27.79</f>
        <v/>
      </c>
      <c r="AO69">
        <f>SUMPRODUCT((M_BOM[Part Name]=$A69)*M_BOM[RM_Qty_Per_Batch]*IFERROR(INDEX(PP_Grid[#Data],M_BOM[PPGridRow],41),0))/27.79</f>
        <v/>
      </c>
      <c r="AP69">
        <f>SUMPRODUCT((M_BOM[Part Name]=$A69)*M_BOM[RM_Qty_Per_Batch]*IFERROR(INDEX(PP_Grid[#Data],M_BOM[PPGridRow],42),0))/27.79</f>
        <v/>
      </c>
      <c r="AQ69">
        <f>SUMPRODUCT((M_BOM[Part Name]=$A69)*M_BOM[RM_Qty_Per_Batch]*IFERROR(INDEX(PP_Grid[#Data],M_BOM[PPGridRow],43),0))/27.79</f>
        <v/>
      </c>
      <c r="AR69">
        <f>SUMPRODUCT((M_BOM[Part Name]=$A69)*M_BOM[RM_Qty_Per_Batch]*IFERROR(INDEX(PP_Grid[#Data],M_BOM[PPGridRow],44),0))/27.79</f>
        <v/>
      </c>
      <c r="AS69">
        <f>SUMPRODUCT((M_BOM[Part Name]=$A69)*M_BOM[RM_Qty_Per_Batch]*IFERROR(INDEX(PP_Grid[#Data],M_BOM[PPGridRow],45),0))/27.79</f>
        <v/>
      </c>
      <c r="AT69">
        <f>SUMPRODUCT((M_BOM[Part Name]=$A69)*M_BOM[RM_Qty_Per_Batch]*IFERROR(INDEX(PP_Grid[#Data],M_BOM[PPGridRow],46),0))/27.79</f>
        <v/>
      </c>
      <c r="AU69">
        <f>SUMPRODUCT((M_BOM[Part Name]=$A69)*M_BOM[RM_Qty_Per_Batch]*IFERROR(INDEX(PP_Grid[#Data],M_BOM[PPGridRow],47),0))/27.79</f>
        <v/>
      </c>
      <c r="AV69">
        <f>SUMPRODUCT((M_BOM[Part Name]=$A69)*M_BOM[RM_Qty_Per_Batch]*IFERROR(INDEX(PP_Grid[#Data],M_BOM[PPGridRow],48),0))/27.79</f>
        <v/>
      </c>
      <c r="AW69">
        <f>SUMPRODUCT((M_BOM[Part Name]=$A69)*M_BOM[RM_Qty_Per_Batch]*IFERROR(INDEX(PP_Grid[#Data],M_BOM[PPGridRow],49),0))/27.79</f>
        <v/>
      </c>
      <c r="AX69">
        <f>SUMPRODUCT((M_BOM[Part Name]=$A69)*M_BOM[RM_Qty_Per_Batch]*IFERROR(INDEX(PP_Grid[#Data],M_BOM[PPGridRow],50),0))/27.79</f>
        <v/>
      </c>
      <c r="AY69">
        <f>SUMPRODUCT((M_BOM[Part Name]=$A69)*M_BOM[RM_Qty_Per_Batch]*IFERROR(INDEX(PP_Grid[#Data],M_BOM[PPGridRow],51),0))/27.79</f>
        <v/>
      </c>
      <c r="AZ69">
        <f>SUMPRODUCT((M_BOM[Part Name]=$A69)*M_BOM[RM_Qty_Per_Batch]*IFERROR(INDEX(PP_Grid[#Data],M_BOM[PPGridRow],52),0))/27.79</f>
        <v/>
      </c>
      <c r="BA69">
        <f>SUMPRODUCT((M_BOM[Part Name]=$A69)*M_BOM[RM_Qty_Per_Batch]*IFERROR(INDEX(PP_Grid[#Data],M_BOM[PPGridRow],53),0))/27.79</f>
        <v/>
      </c>
      <c r="BB69">
        <f>SUMPRODUCT((M_BOM[Part Name]=$A69)*M_BOM[RM_Qty_Per_Batch]*IFERROR(INDEX(PP_Grid[#Data],M_BOM[PPGridRow],54),0))/27.79</f>
        <v/>
      </c>
      <c r="BC69">
        <f>SUMPRODUCT((M_BOM[Part Name]=$A69)*M_BOM[RM_Qty_Per_Batch]*IFERROR(INDEX(PP_Grid[#Data],M_BOM[PPGridRow],55),0))/27.79</f>
        <v/>
      </c>
      <c r="BD69">
        <f>SUMPRODUCT((M_BOM[Part Name]=$A69)*M_BOM[RM_Qty_Per_Batch]*IFERROR(INDEX(PP_Grid[#Data],M_BOM[PPGridRow],56),0))/27.79</f>
        <v/>
      </c>
      <c r="BE69">
        <f>SUMPRODUCT((M_BOM[Part Name]=$A69)*M_BOM[RM_Qty_Per_Batch]*IFERROR(INDEX(PP_Grid[#Data],M_BOM[PPGridRow],57),0))/27.79</f>
        <v/>
      </c>
      <c r="BF69">
        <f>SUMPRODUCT((M_BOM[Part Name]=$A69)*M_BOM[RM_Qty_Per_Batch]*IFERROR(INDEX(PP_Grid[#Data],M_BOM[PPGridRow],58),0))/27.79</f>
        <v/>
      </c>
      <c r="BG69">
        <f>SUMPRODUCT((M_BOM[Part Name]=$A69)*M_BOM[RM_Qty_Per_Batch]*IFERROR(INDEX(PP_Grid[#Data],M_BOM[PPGridRow],59),0))/27.79</f>
        <v/>
      </c>
      <c r="BH69">
        <f>SUMPRODUCT((M_BOM[Part Name]=$A69)*M_BOM[RM_Qty_Per_Batch]*IFERROR(INDEX(PP_Grid[#Data],M_BOM[PPGridRow],60),0))/27.79</f>
        <v/>
      </c>
      <c r="BI69">
        <f>SUMPRODUCT((M_BOM[Part Name]=$A69)*M_BOM[RM_Qty_Per_Batch]*IFERROR(INDEX(PP_Grid[#Data],M_BOM[PPGridRow],61),0))/27.79</f>
        <v/>
      </c>
      <c r="BJ69">
        <f>SUMPRODUCT((M_BOM[Part Name]=$A69)*M_BOM[RM_Qty_Per_Batch]*IFERROR(INDEX(PP_Grid[#Data],M_BOM[PPGridRow],62),0))/27.79</f>
        <v/>
      </c>
      <c r="BK69">
        <f>SUMPRODUCT((M_BOM[Part Name]=$A69)*M_BOM[RM_Qty_Per_Batch]*IFERROR(INDEX(PP_Grid[#Data],M_BOM[PPGridRow],63),0))/27.79</f>
        <v/>
      </c>
      <c r="BL69">
        <f>SUMPRODUCT((M_BOM[Part Name]=$A69)*M_BOM[RM_Qty_Per_Batch]*IFERROR(INDEX(PP_Grid[#Data],M_BOM[PPGridRow],64),0))/27.79</f>
        <v/>
      </c>
      <c r="BM69">
        <f>SUMPRODUCT((M_BOM[Part Name]=$A69)*M_BOM[RM_Qty_Per_Batch]*IFERROR(INDEX(PP_Grid[#Data],M_BOM[PPGridRow],65),0))/27.79</f>
        <v/>
      </c>
      <c r="BN69">
        <f>SUMPRODUCT((M_BOM[Part Name]=$A69)*M_BOM[RM_Qty_Per_Batch]*IFERROR(INDEX(PP_Grid[#Data],M_BOM[PPGridRow],66),0))/27.79</f>
        <v/>
      </c>
      <c r="BO69">
        <f>SUMPRODUCT((M_BOM[Part Name]=$A69)*M_BOM[RM_Qty_Per_Batch]*IFERROR(INDEX(PP_Grid[#Data],M_BOM[PPGridRow],67),0))/27.79</f>
        <v/>
      </c>
      <c r="BP69">
        <f>SUMPRODUCT((M_BOM[Part Name]=$A69)*M_BOM[RM_Qty_Per_Batch]*IFERROR(INDEX(PP_Grid[#Data],M_BOM[PPGridRow],68),0))/27.79</f>
        <v/>
      </c>
      <c r="BQ69">
        <f>SUMPRODUCT((M_BOM[Part Name]=$A69)*M_BOM[RM_Qty_Per_Batch]*IFERROR(INDEX(PP_Grid[#Data],M_BOM[PPGridRow],69),0))/27.79</f>
        <v/>
      </c>
      <c r="BR69">
        <f>SUMPRODUCT((M_BOM[Part Name]=$A69)*M_BOM[RM_Qty_Per_Batch]*IFERROR(INDEX(PP_Grid[#Data],M_BOM[PPGridRow],70),0))/27.79</f>
        <v/>
      </c>
      <c r="BS69">
        <f>SUMPRODUCT((M_BOM[Part Name]=$A69)*M_BOM[RM_Qty_Per_Batch]*IFERROR(INDEX(PP_Grid[#Data],M_BOM[PPGridRow],71),0))/27.79</f>
        <v/>
      </c>
      <c r="BT69">
        <f>SUMPRODUCT((M_BOM[Part Name]=$A69)*M_BOM[RM_Qty_Per_Batch]*IFERROR(INDEX(PP_Grid[#Data],M_BOM[PPGridRow],72),0))/27.79</f>
        <v/>
      </c>
      <c r="BU69">
        <f>SUMPRODUCT((M_BOM[Part Name]=$A69)*M_BOM[RM_Qty_Per_Batch]*IFERROR(INDEX(PP_Grid[#Data],M_BOM[PPGridRow],73),0))/27.79</f>
        <v/>
      </c>
      <c r="BV69">
        <f>SUMPRODUCT((M_BOM[Part Name]=$A69)*M_BOM[RM_Qty_Per_Batch]*IFERROR(INDEX(PP_Grid[#Data],M_BOM[PPGridRow],74),0))/27.79</f>
        <v/>
      </c>
      <c r="BW69">
        <f>SUMPRODUCT((M_BOM[Part Name]=$A69)*M_BOM[RM_Qty_Per_Batch]*IFERROR(INDEX(PP_Grid[#Data],M_BOM[PPGridRow],75),0))/27.79</f>
        <v/>
      </c>
      <c r="BX69">
        <f>SUMPRODUCT((M_BOM[Part Name]=$A69)*M_BOM[RM_Qty_Per_Batch]*IFERROR(INDEX(PP_Grid[#Data],M_BOM[PPGridRow],76),0))/27.79</f>
        <v/>
      </c>
      <c r="BY69">
        <f>SUMPRODUCT((M_BOM[Part Name]=$A69)*M_BOM[RM_Qty_Per_Batch]*IFERROR(INDEX(PP_Grid[#Data],M_BOM[PPGridRow],77),0))/27.79</f>
        <v/>
      </c>
      <c r="BZ69">
        <f>SUMPRODUCT((M_BOM[Part Name]=$A69)*M_BOM[RM_Qty_Per_Batch]*IFERROR(INDEX(PP_Grid[#Data],M_BOM[PPGridRow],78),0))/27.79</f>
        <v/>
      </c>
      <c r="CA69">
        <f>SUMPRODUCT((M_BOM[Part Name]=$A69)*M_BOM[RM_Qty_Per_Batch]*IFERROR(INDEX(PP_Grid[#Data],M_BOM[PPGridRow],79),0))/27.79</f>
        <v/>
      </c>
      <c r="CB69">
        <f>SUMPRODUCT((M_BOM[Part Name]=$A69)*M_BOM[RM_Qty_Per_Batch]*IFERROR(INDEX(PP_Grid[#Data],M_BOM[PPGridRow],80),0))/27.79</f>
        <v/>
      </c>
      <c r="CC69">
        <f>SUMPRODUCT((M_BOM[Part Name]=$A69)*M_BOM[RM_Qty_Per_Batch]*IFERROR(INDEX(PP_Grid[#Data],M_BOM[PPGridRow],81),0))/27.79</f>
        <v/>
      </c>
      <c r="CD69">
        <f>SUMPRODUCT((M_BOM[Part Name]=$A69)*M_BOM[RM_Qty_Per_Batch]*IFERROR(INDEX(PP_Grid[#Data],M_BOM[PPGridRow],82),0))/27.79</f>
        <v/>
      </c>
      <c r="CE69">
        <f>SUMPRODUCT((M_BOM[Part Name]=$A69)*M_BOM[RM_Qty_Per_Batch]*IFERROR(INDEX(PP_Grid[#Data],M_BOM[PPGridRow],83),0))/27.79</f>
        <v/>
      </c>
      <c r="CF69">
        <f>SUMPRODUCT((M_BOM[Part Name]=$A69)*M_BOM[RM_Qty_Per_Batch]*IFERROR(INDEX(PP_Grid[#Data],M_BOM[PPGridRow],84),0))/27.79</f>
        <v/>
      </c>
      <c r="CG69">
        <f>SUMPRODUCT((M_BOM[Part Name]=$A69)*M_BOM[RM_Qty_Per_Batch]*IFERROR(INDEX(PP_Grid[#Data],M_BOM[PPGridRow],85),0))/27.79</f>
        <v/>
      </c>
      <c r="CH69">
        <f>SUMPRODUCT((M_BOM[Part Name]=$A69)*M_BOM[RM_Qty_Per_Batch]*IFERROR(INDEX(PP_Grid[#Data],M_BOM[PPGridRow],86),0))/27.79</f>
        <v/>
      </c>
      <c r="CI69">
        <f>SUMPRODUCT((M_BOM[Part Name]=$A69)*M_BOM[RM_Qty_Per_Batch]*IFERROR(INDEX(PP_Grid[#Data],M_BOM[PPGridRow],87),0))/27.79</f>
        <v/>
      </c>
      <c r="CJ69">
        <f>SUMPRODUCT((M_BOM[Part Name]=$A69)*M_BOM[RM_Qty_Per_Batch]*IFERROR(INDEX(PP_Grid[#Data],M_BOM[PPGridRow],88),0))/27.79</f>
        <v/>
      </c>
      <c r="CK69">
        <f>SUMPRODUCT((M_BOM[Part Name]=$A69)*M_BOM[RM_Qty_Per_Batch]*IFERROR(INDEX(PP_Grid[#Data],M_BOM[PPGridRow],89),0))/27.79</f>
        <v/>
      </c>
      <c r="CL69">
        <f>SUMPRODUCT((M_BOM[Part Name]=$A69)*M_BOM[RM_Qty_Per_Batch]*IFERROR(INDEX(PP_Grid[#Data],M_BOM[PPGridRow],90),0))/27.79</f>
        <v/>
      </c>
      <c r="CM69">
        <f>SUMPRODUCT((M_BOM[Part Name]=$A69)*M_BOM[RM_Qty_Per_Batch]*IFERROR(INDEX(PP_Grid[#Data],M_BOM[PPGridRow],91),0))/27.79</f>
        <v/>
      </c>
      <c r="CN69">
        <f>SUMPRODUCT((M_BOM[Part Name]=$A69)*M_BOM[RM_Qty_Per_Batch]*IFERROR(INDEX(PP_Grid[#Data],M_BOM[PPGridRow],92),0))/27.79</f>
        <v/>
      </c>
      <c r="CO69">
        <f>SUMPRODUCT((M_BOM[Part Name]=$A69)*M_BOM[RM_Qty_Per_Batch]*IFERROR(INDEX(PP_Grid[#Data],M_BOM[PPGridRow],93),0))/27.79</f>
        <v/>
      </c>
      <c r="CP69">
        <f>SUMPRODUCT((M_BOM[Part Name]=$A69)*M_BOM[RM_Qty_Per_Batch]*IFERROR(INDEX(PP_Grid[#Data],M_BOM[PPGridRow],94),0))/27.79</f>
        <v/>
      </c>
      <c r="CQ69">
        <f>SUMPRODUCT((M_BOM[Part Name]=$A69)*M_BOM[RM_Qty_Per_Batch]*IFERROR(INDEX(PP_Grid[#Data],M_BOM[PPGridRow],95),0))/27.79</f>
        <v/>
      </c>
      <c r="CR69">
        <f>SUMPRODUCT((M_BOM[Part Name]=$A69)*M_BOM[RM_Qty_Per_Batch]*IFERROR(INDEX(PP_Grid[#Data],M_BOM[PPGridRow],96),0))/27.79</f>
        <v/>
      </c>
      <c r="CS69">
        <f>SUMPRODUCT((M_BOM[Part Name]=$A69)*M_BOM[RM_Qty_Per_Batch]*IFERROR(INDEX(PP_Grid[#Data],M_BOM[PPGridRow],97),0))/27.79</f>
        <v/>
      </c>
      <c r="CT69">
        <f>SUMPRODUCT((M_BOM[Part Name]=$A69)*M_BOM[RM_Qty_Per_Batch]*IFERROR(INDEX(PP_Grid[#Data],M_BOM[PPGridRow],98),0))/27.79</f>
        <v/>
      </c>
      <c r="CU69">
        <f>SUMPRODUCT((M_BOM[Part Name]=$A69)*M_BOM[RM_Qty_Per_Batch]*IFERROR(INDEX(PP_Grid[#Data],M_BOM[PPGridRow],99),0))/27.79</f>
        <v/>
      </c>
      <c r="CV69">
        <f>SUMPRODUCT((M_BOM[Part Name]=$A69)*M_BOM[RM_Qty_Per_Batch]*IFERROR(INDEX(PP_Grid[#Data],M_BOM[PPGridRow],100),0))/27.79</f>
        <v/>
      </c>
      <c r="CW69">
        <f>SUMPRODUCT((M_BOM[Part Name]=$A69)*M_BOM[RM_Qty_Per_Batch]*IFERROR(INDEX(PP_Grid[#Data],M_BOM[PPGridRow],101),0))/27.79</f>
        <v/>
      </c>
      <c r="CX69">
        <f>SUMPRODUCT((M_BOM[Part Name]=$A69)*M_BOM[RM_Qty_Per_Batch]*IFERROR(INDEX(PP_Grid[#Data],M_BOM[PPGridRow],102),0))/27.79</f>
        <v/>
      </c>
      <c r="CY69">
        <f>SUMPRODUCT((M_BOM[Part Name]=$A69)*M_BOM[RM_Qty_Per_Batch]*IFERROR(INDEX(PP_Grid[#Data],M_BOM[PPGridRow],103),0))/27.79</f>
        <v/>
      </c>
      <c r="CZ69">
        <f>SUMPRODUCT((M_BOM[Part Name]=$A69)*M_BOM[RM_Qty_Per_Batch]*IFERROR(INDEX(PP_Grid[#Data],M_BOM[PPGridRow],104),0))/27.79</f>
        <v/>
      </c>
      <c r="DA69">
        <f>SUMPRODUCT((M_BOM[Part Name]=$A69)*M_BOM[RM_Qty_Per_Batch]*IFERROR(INDEX(PP_Grid[#Data],M_BOM[PPGridRow],105),0))/27.79</f>
        <v/>
      </c>
    </row>
    <row r="70">
      <c r="A70" t="inlineStr">
        <is>
          <t>TPP-1369</t>
        </is>
      </c>
      <c r="B70">
        <f>SUMPRODUCT((M_BOM[Part Name]=$A70)*M_BOM[RM_Qty_Per_Batch]*IFERROR(INDEX(PP_Grid[#Data],M_BOM[PPGridRow],2),0))/30.72</f>
        <v/>
      </c>
      <c r="C70">
        <f>SUMPRODUCT((M_BOM[Part Name]=$A70)*M_BOM[RM_Qty_Per_Batch]*IFERROR(INDEX(PP_Grid[#Data],M_BOM[PPGridRow],3),0))/30.72</f>
        <v/>
      </c>
      <c r="D70">
        <f>SUMPRODUCT((M_BOM[Part Name]=$A70)*M_BOM[RM_Qty_Per_Batch]*IFERROR(INDEX(PP_Grid[#Data],M_BOM[PPGridRow],4),0))/30.72</f>
        <v/>
      </c>
      <c r="E70">
        <f>SUMPRODUCT((M_BOM[Part Name]=$A70)*M_BOM[RM_Qty_Per_Batch]*IFERROR(INDEX(PP_Grid[#Data],M_BOM[PPGridRow],5),0))/30.72</f>
        <v/>
      </c>
      <c r="F70">
        <f>SUMPRODUCT((M_BOM[Part Name]=$A70)*M_BOM[RM_Qty_Per_Batch]*IFERROR(INDEX(PP_Grid[#Data],M_BOM[PPGridRow],6),0))/30.72</f>
        <v/>
      </c>
      <c r="G70">
        <f>SUMPRODUCT((M_BOM[Part Name]=$A70)*M_BOM[RM_Qty_Per_Batch]*IFERROR(INDEX(PP_Grid[#Data],M_BOM[PPGridRow],7),0))/30.72</f>
        <v/>
      </c>
      <c r="H70">
        <f>SUMPRODUCT((M_BOM[Part Name]=$A70)*M_BOM[RM_Qty_Per_Batch]*IFERROR(INDEX(PP_Grid[#Data],M_BOM[PPGridRow],8),0))/30.72</f>
        <v/>
      </c>
      <c r="I70">
        <f>SUMPRODUCT((M_BOM[Part Name]=$A70)*M_BOM[RM_Qty_Per_Batch]*IFERROR(INDEX(PP_Grid[#Data],M_BOM[PPGridRow],9),0))/30.72</f>
        <v/>
      </c>
      <c r="J70">
        <f>SUMPRODUCT((M_BOM[Part Name]=$A70)*M_BOM[RM_Qty_Per_Batch]*IFERROR(INDEX(PP_Grid[#Data],M_BOM[PPGridRow],10),0))/30.72</f>
        <v/>
      </c>
      <c r="K70">
        <f>SUMPRODUCT((M_BOM[Part Name]=$A70)*M_BOM[RM_Qty_Per_Batch]*IFERROR(INDEX(PP_Grid[#Data],M_BOM[PPGridRow],11),0))/30.72</f>
        <v/>
      </c>
      <c r="L70">
        <f>SUMPRODUCT((M_BOM[Part Name]=$A70)*M_BOM[RM_Qty_Per_Batch]*IFERROR(INDEX(PP_Grid[#Data],M_BOM[PPGridRow],12),0))/30.72</f>
        <v/>
      </c>
      <c r="M70">
        <f>SUMPRODUCT((M_BOM[Part Name]=$A70)*M_BOM[RM_Qty_Per_Batch]*IFERROR(INDEX(PP_Grid[#Data],M_BOM[PPGridRow],13),0))/30.72</f>
        <v/>
      </c>
      <c r="N70">
        <f>SUMPRODUCT((M_BOM[Part Name]=$A70)*M_BOM[RM_Qty_Per_Batch]*IFERROR(INDEX(PP_Grid[#Data],M_BOM[PPGridRow],14),0))/30.72</f>
        <v/>
      </c>
      <c r="O70">
        <f>SUMPRODUCT((M_BOM[Part Name]=$A70)*M_BOM[RM_Qty_Per_Batch]*IFERROR(INDEX(PP_Grid[#Data],M_BOM[PPGridRow],15),0))/30.72</f>
        <v/>
      </c>
      <c r="P70">
        <f>SUMPRODUCT((M_BOM[Part Name]=$A70)*M_BOM[RM_Qty_Per_Batch]*IFERROR(INDEX(PP_Grid[#Data],M_BOM[PPGridRow],16),0))/30.72</f>
        <v/>
      </c>
      <c r="Q70">
        <f>SUMPRODUCT((M_BOM[Part Name]=$A70)*M_BOM[RM_Qty_Per_Batch]*IFERROR(INDEX(PP_Grid[#Data],M_BOM[PPGridRow],17),0))/30.72</f>
        <v/>
      </c>
      <c r="R70">
        <f>SUMPRODUCT((M_BOM[Part Name]=$A70)*M_BOM[RM_Qty_Per_Batch]*IFERROR(INDEX(PP_Grid[#Data],M_BOM[PPGridRow],18),0))/30.72</f>
        <v/>
      </c>
      <c r="S70">
        <f>SUMPRODUCT((M_BOM[Part Name]=$A70)*M_BOM[RM_Qty_Per_Batch]*IFERROR(INDEX(PP_Grid[#Data],M_BOM[PPGridRow],19),0))/30.72</f>
        <v/>
      </c>
      <c r="T70">
        <f>SUMPRODUCT((M_BOM[Part Name]=$A70)*M_BOM[RM_Qty_Per_Batch]*IFERROR(INDEX(PP_Grid[#Data],M_BOM[PPGridRow],20),0))/30.72</f>
        <v/>
      </c>
      <c r="U70">
        <f>SUMPRODUCT((M_BOM[Part Name]=$A70)*M_BOM[RM_Qty_Per_Batch]*IFERROR(INDEX(PP_Grid[#Data],M_BOM[PPGridRow],21),0))/30.72</f>
        <v/>
      </c>
      <c r="V70">
        <f>SUMPRODUCT((M_BOM[Part Name]=$A70)*M_BOM[RM_Qty_Per_Batch]*IFERROR(INDEX(PP_Grid[#Data],M_BOM[PPGridRow],22),0))/30.72</f>
        <v/>
      </c>
      <c r="W70">
        <f>SUMPRODUCT((M_BOM[Part Name]=$A70)*M_BOM[RM_Qty_Per_Batch]*IFERROR(INDEX(PP_Grid[#Data],M_BOM[PPGridRow],23),0))/30.72</f>
        <v/>
      </c>
      <c r="X70">
        <f>SUMPRODUCT((M_BOM[Part Name]=$A70)*M_BOM[RM_Qty_Per_Batch]*IFERROR(INDEX(PP_Grid[#Data],M_BOM[PPGridRow],24),0))/30.72</f>
        <v/>
      </c>
      <c r="Y70">
        <f>SUMPRODUCT((M_BOM[Part Name]=$A70)*M_BOM[RM_Qty_Per_Batch]*IFERROR(INDEX(PP_Grid[#Data],M_BOM[PPGridRow],25),0))/30.72</f>
        <v/>
      </c>
      <c r="Z70">
        <f>SUMPRODUCT((M_BOM[Part Name]=$A70)*M_BOM[RM_Qty_Per_Batch]*IFERROR(INDEX(PP_Grid[#Data],M_BOM[PPGridRow],26),0))/30.72</f>
        <v/>
      </c>
      <c r="AA70">
        <f>SUMPRODUCT((M_BOM[Part Name]=$A70)*M_BOM[RM_Qty_Per_Batch]*IFERROR(INDEX(PP_Grid[#Data],M_BOM[PPGridRow],27),0))/30.72</f>
        <v/>
      </c>
      <c r="AB70">
        <f>SUMPRODUCT((M_BOM[Part Name]=$A70)*M_BOM[RM_Qty_Per_Batch]*IFERROR(INDEX(PP_Grid[#Data],M_BOM[PPGridRow],28),0))/30.72</f>
        <v/>
      </c>
      <c r="AC70">
        <f>SUMPRODUCT((M_BOM[Part Name]=$A70)*M_BOM[RM_Qty_Per_Batch]*IFERROR(INDEX(PP_Grid[#Data],M_BOM[PPGridRow],29),0))/30.72</f>
        <v/>
      </c>
      <c r="AD70">
        <f>SUMPRODUCT((M_BOM[Part Name]=$A70)*M_BOM[RM_Qty_Per_Batch]*IFERROR(INDEX(PP_Grid[#Data],M_BOM[PPGridRow],30),0))/30.72</f>
        <v/>
      </c>
      <c r="AE70">
        <f>SUMPRODUCT((M_BOM[Part Name]=$A70)*M_BOM[RM_Qty_Per_Batch]*IFERROR(INDEX(PP_Grid[#Data],M_BOM[PPGridRow],31),0))/30.72</f>
        <v/>
      </c>
      <c r="AF70">
        <f>SUMPRODUCT((M_BOM[Part Name]=$A70)*M_BOM[RM_Qty_Per_Batch]*IFERROR(INDEX(PP_Grid[#Data],M_BOM[PPGridRow],32),0))/30.72</f>
        <v/>
      </c>
      <c r="AG70">
        <f>SUMPRODUCT((M_BOM[Part Name]=$A70)*M_BOM[RM_Qty_Per_Batch]*IFERROR(INDEX(PP_Grid[#Data],M_BOM[PPGridRow],33),0))/30.72</f>
        <v/>
      </c>
      <c r="AH70">
        <f>SUMPRODUCT((M_BOM[Part Name]=$A70)*M_BOM[RM_Qty_Per_Batch]*IFERROR(INDEX(PP_Grid[#Data],M_BOM[PPGridRow],34),0))/30.72</f>
        <v/>
      </c>
      <c r="AI70">
        <f>SUMPRODUCT((M_BOM[Part Name]=$A70)*M_BOM[RM_Qty_Per_Batch]*IFERROR(INDEX(PP_Grid[#Data],M_BOM[PPGridRow],35),0))/30.72</f>
        <v/>
      </c>
      <c r="AJ70">
        <f>SUMPRODUCT((M_BOM[Part Name]=$A70)*M_BOM[RM_Qty_Per_Batch]*IFERROR(INDEX(PP_Grid[#Data],M_BOM[PPGridRow],36),0))/30.72</f>
        <v/>
      </c>
      <c r="AK70">
        <f>SUMPRODUCT((M_BOM[Part Name]=$A70)*M_BOM[RM_Qty_Per_Batch]*IFERROR(INDEX(PP_Grid[#Data],M_BOM[PPGridRow],37),0))/30.72</f>
        <v/>
      </c>
      <c r="AL70">
        <f>SUMPRODUCT((M_BOM[Part Name]=$A70)*M_BOM[RM_Qty_Per_Batch]*IFERROR(INDEX(PP_Grid[#Data],M_BOM[PPGridRow],38),0))/30.72</f>
        <v/>
      </c>
      <c r="AM70">
        <f>SUMPRODUCT((M_BOM[Part Name]=$A70)*M_BOM[RM_Qty_Per_Batch]*IFERROR(INDEX(PP_Grid[#Data],M_BOM[PPGridRow],39),0))/30.72</f>
        <v/>
      </c>
      <c r="AN70">
        <f>SUMPRODUCT((M_BOM[Part Name]=$A70)*M_BOM[RM_Qty_Per_Batch]*IFERROR(INDEX(PP_Grid[#Data],M_BOM[PPGridRow],40),0))/30.72</f>
        <v/>
      </c>
      <c r="AO70">
        <f>SUMPRODUCT((M_BOM[Part Name]=$A70)*M_BOM[RM_Qty_Per_Batch]*IFERROR(INDEX(PP_Grid[#Data],M_BOM[PPGridRow],41),0))/30.72</f>
        <v/>
      </c>
      <c r="AP70">
        <f>SUMPRODUCT((M_BOM[Part Name]=$A70)*M_BOM[RM_Qty_Per_Batch]*IFERROR(INDEX(PP_Grid[#Data],M_BOM[PPGridRow],42),0))/30.72</f>
        <v/>
      </c>
      <c r="AQ70">
        <f>SUMPRODUCT((M_BOM[Part Name]=$A70)*M_BOM[RM_Qty_Per_Batch]*IFERROR(INDEX(PP_Grid[#Data],M_BOM[PPGridRow],43),0))/30.72</f>
        <v/>
      </c>
      <c r="AR70">
        <f>SUMPRODUCT((M_BOM[Part Name]=$A70)*M_BOM[RM_Qty_Per_Batch]*IFERROR(INDEX(PP_Grid[#Data],M_BOM[PPGridRow],44),0))/30.72</f>
        <v/>
      </c>
      <c r="AS70">
        <f>SUMPRODUCT((M_BOM[Part Name]=$A70)*M_BOM[RM_Qty_Per_Batch]*IFERROR(INDEX(PP_Grid[#Data],M_BOM[PPGridRow],45),0))/30.72</f>
        <v/>
      </c>
      <c r="AT70">
        <f>SUMPRODUCT((M_BOM[Part Name]=$A70)*M_BOM[RM_Qty_Per_Batch]*IFERROR(INDEX(PP_Grid[#Data],M_BOM[PPGridRow],46),0))/30.72</f>
        <v/>
      </c>
      <c r="AU70">
        <f>SUMPRODUCT((M_BOM[Part Name]=$A70)*M_BOM[RM_Qty_Per_Batch]*IFERROR(INDEX(PP_Grid[#Data],M_BOM[PPGridRow],47),0))/30.72</f>
        <v/>
      </c>
      <c r="AV70">
        <f>SUMPRODUCT((M_BOM[Part Name]=$A70)*M_BOM[RM_Qty_Per_Batch]*IFERROR(INDEX(PP_Grid[#Data],M_BOM[PPGridRow],48),0))/30.72</f>
        <v/>
      </c>
      <c r="AW70">
        <f>SUMPRODUCT((M_BOM[Part Name]=$A70)*M_BOM[RM_Qty_Per_Batch]*IFERROR(INDEX(PP_Grid[#Data],M_BOM[PPGridRow],49),0))/30.72</f>
        <v/>
      </c>
      <c r="AX70">
        <f>SUMPRODUCT((M_BOM[Part Name]=$A70)*M_BOM[RM_Qty_Per_Batch]*IFERROR(INDEX(PP_Grid[#Data],M_BOM[PPGridRow],50),0))/30.72</f>
        <v/>
      </c>
      <c r="AY70">
        <f>SUMPRODUCT((M_BOM[Part Name]=$A70)*M_BOM[RM_Qty_Per_Batch]*IFERROR(INDEX(PP_Grid[#Data],M_BOM[PPGridRow],51),0))/30.72</f>
        <v/>
      </c>
      <c r="AZ70">
        <f>SUMPRODUCT((M_BOM[Part Name]=$A70)*M_BOM[RM_Qty_Per_Batch]*IFERROR(INDEX(PP_Grid[#Data],M_BOM[PPGridRow],52),0))/30.72</f>
        <v/>
      </c>
      <c r="BA70">
        <f>SUMPRODUCT((M_BOM[Part Name]=$A70)*M_BOM[RM_Qty_Per_Batch]*IFERROR(INDEX(PP_Grid[#Data],M_BOM[PPGridRow],53),0))/30.72</f>
        <v/>
      </c>
      <c r="BB70">
        <f>SUMPRODUCT((M_BOM[Part Name]=$A70)*M_BOM[RM_Qty_Per_Batch]*IFERROR(INDEX(PP_Grid[#Data],M_BOM[PPGridRow],54),0))/30.72</f>
        <v/>
      </c>
      <c r="BC70">
        <f>SUMPRODUCT((M_BOM[Part Name]=$A70)*M_BOM[RM_Qty_Per_Batch]*IFERROR(INDEX(PP_Grid[#Data],M_BOM[PPGridRow],55),0))/30.72</f>
        <v/>
      </c>
      <c r="BD70">
        <f>SUMPRODUCT((M_BOM[Part Name]=$A70)*M_BOM[RM_Qty_Per_Batch]*IFERROR(INDEX(PP_Grid[#Data],M_BOM[PPGridRow],56),0))/30.72</f>
        <v/>
      </c>
      <c r="BE70">
        <f>SUMPRODUCT((M_BOM[Part Name]=$A70)*M_BOM[RM_Qty_Per_Batch]*IFERROR(INDEX(PP_Grid[#Data],M_BOM[PPGridRow],57),0))/30.72</f>
        <v/>
      </c>
      <c r="BF70">
        <f>SUMPRODUCT((M_BOM[Part Name]=$A70)*M_BOM[RM_Qty_Per_Batch]*IFERROR(INDEX(PP_Grid[#Data],M_BOM[PPGridRow],58),0))/30.72</f>
        <v/>
      </c>
      <c r="BG70">
        <f>SUMPRODUCT((M_BOM[Part Name]=$A70)*M_BOM[RM_Qty_Per_Batch]*IFERROR(INDEX(PP_Grid[#Data],M_BOM[PPGridRow],59),0))/30.72</f>
        <v/>
      </c>
      <c r="BH70">
        <f>SUMPRODUCT((M_BOM[Part Name]=$A70)*M_BOM[RM_Qty_Per_Batch]*IFERROR(INDEX(PP_Grid[#Data],M_BOM[PPGridRow],60),0))/30.72</f>
        <v/>
      </c>
      <c r="BI70">
        <f>SUMPRODUCT((M_BOM[Part Name]=$A70)*M_BOM[RM_Qty_Per_Batch]*IFERROR(INDEX(PP_Grid[#Data],M_BOM[PPGridRow],61),0))/30.72</f>
        <v/>
      </c>
      <c r="BJ70">
        <f>SUMPRODUCT((M_BOM[Part Name]=$A70)*M_BOM[RM_Qty_Per_Batch]*IFERROR(INDEX(PP_Grid[#Data],M_BOM[PPGridRow],62),0))/30.72</f>
        <v/>
      </c>
      <c r="BK70">
        <f>SUMPRODUCT((M_BOM[Part Name]=$A70)*M_BOM[RM_Qty_Per_Batch]*IFERROR(INDEX(PP_Grid[#Data],M_BOM[PPGridRow],63),0))/30.72</f>
        <v/>
      </c>
      <c r="BL70">
        <f>SUMPRODUCT((M_BOM[Part Name]=$A70)*M_BOM[RM_Qty_Per_Batch]*IFERROR(INDEX(PP_Grid[#Data],M_BOM[PPGridRow],64),0))/30.72</f>
        <v/>
      </c>
      <c r="BM70">
        <f>SUMPRODUCT((M_BOM[Part Name]=$A70)*M_BOM[RM_Qty_Per_Batch]*IFERROR(INDEX(PP_Grid[#Data],M_BOM[PPGridRow],65),0))/30.72</f>
        <v/>
      </c>
      <c r="BN70">
        <f>SUMPRODUCT((M_BOM[Part Name]=$A70)*M_BOM[RM_Qty_Per_Batch]*IFERROR(INDEX(PP_Grid[#Data],M_BOM[PPGridRow],66),0))/30.72</f>
        <v/>
      </c>
      <c r="BO70">
        <f>SUMPRODUCT((M_BOM[Part Name]=$A70)*M_BOM[RM_Qty_Per_Batch]*IFERROR(INDEX(PP_Grid[#Data],M_BOM[PPGridRow],67),0))/30.72</f>
        <v/>
      </c>
      <c r="BP70">
        <f>SUMPRODUCT((M_BOM[Part Name]=$A70)*M_BOM[RM_Qty_Per_Batch]*IFERROR(INDEX(PP_Grid[#Data],M_BOM[PPGridRow],68),0))/30.72</f>
        <v/>
      </c>
      <c r="BQ70">
        <f>SUMPRODUCT((M_BOM[Part Name]=$A70)*M_BOM[RM_Qty_Per_Batch]*IFERROR(INDEX(PP_Grid[#Data],M_BOM[PPGridRow],69),0))/30.72</f>
        <v/>
      </c>
      <c r="BR70">
        <f>SUMPRODUCT((M_BOM[Part Name]=$A70)*M_BOM[RM_Qty_Per_Batch]*IFERROR(INDEX(PP_Grid[#Data],M_BOM[PPGridRow],70),0))/30.72</f>
        <v/>
      </c>
      <c r="BS70">
        <f>SUMPRODUCT((M_BOM[Part Name]=$A70)*M_BOM[RM_Qty_Per_Batch]*IFERROR(INDEX(PP_Grid[#Data],M_BOM[PPGridRow],71),0))/30.72</f>
        <v/>
      </c>
      <c r="BT70">
        <f>SUMPRODUCT((M_BOM[Part Name]=$A70)*M_BOM[RM_Qty_Per_Batch]*IFERROR(INDEX(PP_Grid[#Data],M_BOM[PPGridRow],72),0))/30.72</f>
        <v/>
      </c>
      <c r="BU70">
        <f>SUMPRODUCT((M_BOM[Part Name]=$A70)*M_BOM[RM_Qty_Per_Batch]*IFERROR(INDEX(PP_Grid[#Data],M_BOM[PPGridRow],73),0))/30.72</f>
        <v/>
      </c>
      <c r="BV70">
        <f>SUMPRODUCT((M_BOM[Part Name]=$A70)*M_BOM[RM_Qty_Per_Batch]*IFERROR(INDEX(PP_Grid[#Data],M_BOM[PPGridRow],74),0))/30.72</f>
        <v/>
      </c>
      <c r="BW70">
        <f>SUMPRODUCT((M_BOM[Part Name]=$A70)*M_BOM[RM_Qty_Per_Batch]*IFERROR(INDEX(PP_Grid[#Data],M_BOM[PPGridRow],75),0))/30.72</f>
        <v/>
      </c>
      <c r="BX70">
        <f>SUMPRODUCT((M_BOM[Part Name]=$A70)*M_BOM[RM_Qty_Per_Batch]*IFERROR(INDEX(PP_Grid[#Data],M_BOM[PPGridRow],76),0))/30.72</f>
        <v/>
      </c>
      <c r="BY70">
        <f>SUMPRODUCT((M_BOM[Part Name]=$A70)*M_BOM[RM_Qty_Per_Batch]*IFERROR(INDEX(PP_Grid[#Data],M_BOM[PPGridRow],77),0))/30.72</f>
        <v/>
      </c>
      <c r="BZ70">
        <f>SUMPRODUCT((M_BOM[Part Name]=$A70)*M_BOM[RM_Qty_Per_Batch]*IFERROR(INDEX(PP_Grid[#Data],M_BOM[PPGridRow],78),0))/30.72</f>
        <v/>
      </c>
      <c r="CA70">
        <f>SUMPRODUCT((M_BOM[Part Name]=$A70)*M_BOM[RM_Qty_Per_Batch]*IFERROR(INDEX(PP_Grid[#Data],M_BOM[PPGridRow],79),0))/30.72</f>
        <v/>
      </c>
      <c r="CB70">
        <f>SUMPRODUCT((M_BOM[Part Name]=$A70)*M_BOM[RM_Qty_Per_Batch]*IFERROR(INDEX(PP_Grid[#Data],M_BOM[PPGridRow],80),0))/30.72</f>
        <v/>
      </c>
      <c r="CC70">
        <f>SUMPRODUCT((M_BOM[Part Name]=$A70)*M_BOM[RM_Qty_Per_Batch]*IFERROR(INDEX(PP_Grid[#Data],M_BOM[PPGridRow],81),0))/30.72</f>
        <v/>
      </c>
      <c r="CD70">
        <f>SUMPRODUCT((M_BOM[Part Name]=$A70)*M_BOM[RM_Qty_Per_Batch]*IFERROR(INDEX(PP_Grid[#Data],M_BOM[PPGridRow],82),0))/30.72</f>
        <v/>
      </c>
      <c r="CE70">
        <f>SUMPRODUCT((M_BOM[Part Name]=$A70)*M_BOM[RM_Qty_Per_Batch]*IFERROR(INDEX(PP_Grid[#Data],M_BOM[PPGridRow],83),0))/30.72</f>
        <v/>
      </c>
      <c r="CF70">
        <f>SUMPRODUCT((M_BOM[Part Name]=$A70)*M_BOM[RM_Qty_Per_Batch]*IFERROR(INDEX(PP_Grid[#Data],M_BOM[PPGridRow],84),0))/30.72</f>
        <v/>
      </c>
      <c r="CG70">
        <f>SUMPRODUCT((M_BOM[Part Name]=$A70)*M_BOM[RM_Qty_Per_Batch]*IFERROR(INDEX(PP_Grid[#Data],M_BOM[PPGridRow],85),0))/30.72</f>
        <v/>
      </c>
      <c r="CH70">
        <f>SUMPRODUCT((M_BOM[Part Name]=$A70)*M_BOM[RM_Qty_Per_Batch]*IFERROR(INDEX(PP_Grid[#Data],M_BOM[PPGridRow],86),0))/30.72</f>
        <v/>
      </c>
      <c r="CI70">
        <f>SUMPRODUCT((M_BOM[Part Name]=$A70)*M_BOM[RM_Qty_Per_Batch]*IFERROR(INDEX(PP_Grid[#Data],M_BOM[PPGridRow],87),0))/30.72</f>
        <v/>
      </c>
      <c r="CJ70">
        <f>SUMPRODUCT((M_BOM[Part Name]=$A70)*M_BOM[RM_Qty_Per_Batch]*IFERROR(INDEX(PP_Grid[#Data],M_BOM[PPGridRow],88),0))/30.72</f>
        <v/>
      </c>
      <c r="CK70">
        <f>SUMPRODUCT((M_BOM[Part Name]=$A70)*M_BOM[RM_Qty_Per_Batch]*IFERROR(INDEX(PP_Grid[#Data],M_BOM[PPGridRow],89),0))/30.72</f>
        <v/>
      </c>
      <c r="CL70">
        <f>SUMPRODUCT((M_BOM[Part Name]=$A70)*M_BOM[RM_Qty_Per_Batch]*IFERROR(INDEX(PP_Grid[#Data],M_BOM[PPGridRow],90),0))/30.72</f>
        <v/>
      </c>
      <c r="CM70">
        <f>SUMPRODUCT((M_BOM[Part Name]=$A70)*M_BOM[RM_Qty_Per_Batch]*IFERROR(INDEX(PP_Grid[#Data],M_BOM[PPGridRow],91),0))/30.72</f>
        <v/>
      </c>
      <c r="CN70">
        <f>SUMPRODUCT((M_BOM[Part Name]=$A70)*M_BOM[RM_Qty_Per_Batch]*IFERROR(INDEX(PP_Grid[#Data],M_BOM[PPGridRow],92),0))/30.72</f>
        <v/>
      </c>
      <c r="CO70">
        <f>SUMPRODUCT((M_BOM[Part Name]=$A70)*M_BOM[RM_Qty_Per_Batch]*IFERROR(INDEX(PP_Grid[#Data],M_BOM[PPGridRow],93),0))/30.72</f>
        <v/>
      </c>
      <c r="CP70">
        <f>SUMPRODUCT((M_BOM[Part Name]=$A70)*M_BOM[RM_Qty_Per_Batch]*IFERROR(INDEX(PP_Grid[#Data],M_BOM[PPGridRow],94),0))/30.72</f>
        <v/>
      </c>
      <c r="CQ70">
        <f>SUMPRODUCT((M_BOM[Part Name]=$A70)*M_BOM[RM_Qty_Per_Batch]*IFERROR(INDEX(PP_Grid[#Data],M_BOM[PPGridRow],95),0))/30.72</f>
        <v/>
      </c>
      <c r="CR70">
        <f>SUMPRODUCT((M_BOM[Part Name]=$A70)*M_BOM[RM_Qty_Per_Batch]*IFERROR(INDEX(PP_Grid[#Data],M_BOM[PPGridRow],96),0))/30.72</f>
        <v/>
      </c>
      <c r="CS70">
        <f>SUMPRODUCT((M_BOM[Part Name]=$A70)*M_BOM[RM_Qty_Per_Batch]*IFERROR(INDEX(PP_Grid[#Data],M_BOM[PPGridRow],97),0))/30.72</f>
        <v/>
      </c>
      <c r="CT70">
        <f>SUMPRODUCT((M_BOM[Part Name]=$A70)*M_BOM[RM_Qty_Per_Batch]*IFERROR(INDEX(PP_Grid[#Data],M_BOM[PPGridRow],98),0))/30.72</f>
        <v/>
      </c>
      <c r="CU70">
        <f>SUMPRODUCT((M_BOM[Part Name]=$A70)*M_BOM[RM_Qty_Per_Batch]*IFERROR(INDEX(PP_Grid[#Data],M_BOM[PPGridRow],99),0))/30.72</f>
        <v/>
      </c>
      <c r="CV70">
        <f>SUMPRODUCT((M_BOM[Part Name]=$A70)*M_BOM[RM_Qty_Per_Batch]*IFERROR(INDEX(PP_Grid[#Data],M_BOM[PPGridRow],100),0))/30.72</f>
        <v/>
      </c>
      <c r="CW70">
        <f>SUMPRODUCT((M_BOM[Part Name]=$A70)*M_BOM[RM_Qty_Per_Batch]*IFERROR(INDEX(PP_Grid[#Data],M_BOM[PPGridRow],101),0))/30.72</f>
        <v/>
      </c>
      <c r="CX70">
        <f>SUMPRODUCT((M_BOM[Part Name]=$A70)*M_BOM[RM_Qty_Per_Batch]*IFERROR(INDEX(PP_Grid[#Data],M_BOM[PPGridRow],102),0))/30.72</f>
        <v/>
      </c>
      <c r="CY70">
        <f>SUMPRODUCT((M_BOM[Part Name]=$A70)*M_BOM[RM_Qty_Per_Batch]*IFERROR(INDEX(PP_Grid[#Data],M_BOM[PPGridRow],103),0))/30.72</f>
        <v/>
      </c>
      <c r="CZ70">
        <f>SUMPRODUCT((M_BOM[Part Name]=$A70)*M_BOM[RM_Qty_Per_Batch]*IFERROR(INDEX(PP_Grid[#Data],M_BOM[PPGridRow],104),0))/30.72</f>
        <v/>
      </c>
      <c r="DA70">
        <f>SUMPRODUCT((M_BOM[Part Name]=$A70)*M_BOM[RM_Qty_Per_Batch]*IFERROR(INDEX(PP_Grid[#Data],M_BOM[PPGridRow],105),0))/30.72</f>
        <v/>
      </c>
    </row>
    <row r="71">
      <c r="A71" t="inlineStr">
        <is>
          <t>TPP-1378</t>
        </is>
      </c>
      <c r="B71">
        <f>SUMPRODUCT((M_BOM[Part Name]=$A71)*M_BOM[RM_Qty_Per_Batch]*IFERROR(INDEX(PP_Grid[#Data],M_BOM[PPGridRow],2),0))/19.22</f>
        <v/>
      </c>
      <c r="C71">
        <f>SUMPRODUCT((M_BOM[Part Name]=$A71)*M_BOM[RM_Qty_Per_Batch]*IFERROR(INDEX(PP_Grid[#Data],M_BOM[PPGridRow],3),0))/19.22</f>
        <v/>
      </c>
      <c r="D71">
        <f>SUMPRODUCT((M_BOM[Part Name]=$A71)*M_BOM[RM_Qty_Per_Batch]*IFERROR(INDEX(PP_Grid[#Data],M_BOM[PPGridRow],4),0))/19.22</f>
        <v/>
      </c>
      <c r="E71">
        <f>SUMPRODUCT((M_BOM[Part Name]=$A71)*M_BOM[RM_Qty_Per_Batch]*IFERROR(INDEX(PP_Grid[#Data],M_BOM[PPGridRow],5),0))/19.22</f>
        <v/>
      </c>
      <c r="F71">
        <f>SUMPRODUCT((M_BOM[Part Name]=$A71)*M_BOM[RM_Qty_Per_Batch]*IFERROR(INDEX(PP_Grid[#Data],M_BOM[PPGridRow],6),0))/19.22</f>
        <v/>
      </c>
      <c r="G71">
        <f>SUMPRODUCT((M_BOM[Part Name]=$A71)*M_BOM[RM_Qty_Per_Batch]*IFERROR(INDEX(PP_Grid[#Data],M_BOM[PPGridRow],7),0))/19.22</f>
        <v/>
      </c>
      <c r="H71">
        <f>SUMPRODUCT((M_BOM[Part Name]=$A71)*M_BOM[RM_Qty_Per_Batch]*IFERROR(INDEX(PP_Grid[#Data],M_BOM[PPGridRow],8),0))/19.22</f>
        <v/>
      </c>
      <c r="I71">
        <f>SUMPRODUCT((M_BOM[Part Name]=$A71)*M_BOM[RM_Qty_Per_Batch]*IFERROR(INDEX(PP_Grid[#Data],M_BOM[PPGridRow],9),0))/19.22</f>
        <v/>
      </c>
      <c r="J71">
        <f>SUMPRODUCT((M_BOM[Part Name]=$A71)*M_BOM[RM_Qty_Per_Batch]*IFERROR(INDEX(PP_Grid[#Data],M_BOM[PPGridRow],10),0))/19.22</f>
        <v/>
      </c>
      <c r="K71">
        <f>SUMPRODUCT((M_BOM[Part Name]=$A71)*M_BOM[RM_Qty_Per_Batch]*IFERROR(INDEX(PP_Grid[#Data],M_BOM[PPGridRow],11),0))/19.22</f>
        <v/>
      </c>
      <c r="L71">
        <f>SUMPRODUCT((M_BOM[Part Name]=$A71)*M_BOM[RM_Qty_Per_Batch]*IFERROR(INDEX(PP_Grid[#Data],M_BOM[PPGridRow],12),0))/19.22</f>
        <v/>
      </c>
      <c r="M71">
        <f>SUMPRODUCT((M_BOM[Part Name]=$A71)*M_BOM[RM_Qty_Per_Batch]*IFERROR(INDEX(PP_Grid[#Data],M_BOM[PPGridRow],13),0))/19.22</f>
        <v/>
      </c>
      <c r="N71">
        <f>SUMPRODUCT((M_BOM[Part Name]=$A71)*M_BOM[RM_Qty_Per_Batch]*IFERROR(INDEX(PP_Grid[#Data],M_BOM[PPGridRow],14),0))/19.22</f>
        <v/>
      </c>
      <c r="O71">
        <f>SUMPRODUCT((M_BOM[Part Name]=$A71)*M_BOM[RM_Qty_Per_Batch]*IFERROR(INDEX(PP_Grid[#Data],M_BOM[PPGridRow],15),0))/19.22</f>
        <v/>
      </c>
      <c r="P71">
        <f>SUMPRODUCT((M_BOM[Part Name]=$A71)*M_BOM[RM_Qty_Per_Batch]*IFERROR(INDEX(PP_Grid[#Data],M_BOM[PPGridRow],16),0))/19.22</f>
        <v/>
      </c>
      <c r="Q71">
        <f>SUMPRODUCT((M_BOM[Part Name]=$A71)*M_BOM[RM_Qty_Per_Batch]*IFERROR(INDEX(PP_Grid[#Data],M_BOM[PPGridRow],17),0))/19.22</f>
        <v/>
      </c>
      <c r="R71">
        <f>SUMPRODUCT((M_BOM[Part Name]=$A71)*M_BOM[RM_Qty_Per_Batch]*IFERROR(INDEX(PP_Grid[#Data],M_BOM[PPGridRow],18),0))/19.22</f>
        <v/>
      </c>
      <c r="S71">
        <f>SUMPRODUCT((M_BOM[Part Name]=$A71)*M_BOM[RM_Qty_Per_Batch]*IFERROR(INDEX(PP_Grid[#Data],M_BOM[PPGridRow],19),0))/19.22</f>
        <v/>
      </c>
      <c r="T71">
        <f>SUMPRODUCT((M_BOM[Part Name]=$A71)*M_BOM[RM_Qty_Per_Batch]*IFERROR(INDEX(PP_Grid[#Data],M_BOM[PPGridRow],20),0))/19.22</f>
        <v/>
      </c>
      <c r="U71">
        <f>SUMPRODUCT((M_BOM[Part Name]=$A71)*M_BOM[RM_Qty_Per_Batch]*IFERROR(INDEX(PP_Grid[#Data],M_BOM[PPGridRow],21),0))/19.22</f>
        <v/>
      </c>
      <c r="V71">
        <f>SUMPRODUCT((M_BOM[Part Name]=$A71)*M_BOM[RM_Qty_Per_Batch]*IFERROR(INDEX(PP_Grid[#Data],M_BOM[PPGridRow],22),0))/19.22</f>
        <v/>
      </c>
      <c r="W71">
        <f>SUMPRODUCT((M_BOM[Part Name]=$A71)*M_BOM[RM_Qty_Per_Batch]*IFERROR(INDEX(PP_Grid[#Data],M_BOM[PPGridRow],23),0))/19.22</f>
        <v/>
      </c>
      <c r="X71">
        <f>SUMPRODUCT((M_BOM[Part Name]=$A71)*M_BOM[RM_Qty_Per_Batch]*IFERROR(INDEX(PP_Grid[#Data],M_BOM[PPGridRow],24),0))/19.22</f>
        <v/>
      </c>
      <c r="Y71">
        <f>SUMPRODUCT((M_BOM[Part Name]=$A71)*M_BOM[RM_Qty_Per_Batch]*IFERROR(INDEX(PP_Grid[#Data],M_BOM[PPGridRow],25),0))/19.22</f>
        <v/>
      </c>
      <c r="Z71">
        <f>SUMPRODUCT((M_BOM[Part Name]=$A71)*M_BOM[RM_Qty_Per_Batch]*IFERROR(INDEX(PP_Grid[#Data],M_BOM[PPGridRow],26),0))/19.22</f>
        <v/>
      </c>
      <c r="AA71">
        <f>SUMPRODUCT((M_BOM[Part Name]=$A71)*M_BOM[RM_Qty_Per_Batch]*IFERROR(INDEX(PP_Grid[#Data],M_BOM[PPGridRow],27),0))/19.22</f>
        <v/>
      </c>
      <c r="AB71">
        <f>SUMPRODUCT((M_BOM[Part Name]=$A71)*M_BOM[RM_Qty_Per_Batch]*IFERROR(INDEX(PP_Grid[#Data],M_BOM[PPGridRow],28),0))/19.22</f>
        <v/>
      </c>
      <c r="AC71">
        <f>SUMPRODUCT((M_BOM[Part Name]=$A71)*M_BOM[RM_Qty_Per_Batch]*IFERROR(INDEX(PP_Grid[#Data],M_BOM[PPGridRow],29),0))/19.22</f>
        <v/>
      </c>
      <c r="AD71">
        <f>SUMPRODUCT((M_BOM[Part Name]=$A71)*M_BOM[RM_Qty_Per_Batch]*IFERROR(INDEX(PP_Grid[#Data],M_BOM[PPGridRow],30),0))/19.22</f>
        <v/>
      </c>
      <c r="AE71">
        <f>SUMPRODUCT((M_BOM[Part Name]=$A71)*M_BOM[RM_Qty_Per_Batch]*IFERROR(INDEX(PP_Grid[#Data],M_BOM[PPGridRow],31),0))/19.22</f>
        <v/>
      </c>
      <c r="AF71">
        <f>SUMPRODUCT((M_BOM[Part Name]=$A71)*M_BOM[RM_Qty_Per_Batch]*IFERROR(INDEX(PP_Grid[#Data],M_BOM[PPGridRow],32),0))/19.22</f>
        <v/>
      </c>
      <c r="AG71">
        <f>SUMPRODUCT((M_BOM[Part Name]=$A71)*M_BOM[RM_Qty_Per_Batch]*IFERROR(INDEX(PP_Grid[#Data],M_BOM[PPGridRow],33),0))/19.22</f>
        <v/>
      </c>
      <c r="AH71">
        <f>SUMPRODUCT((M_BOM[Part Name]=$A71)*M_BOM[RM_Qty_Per_Batch]*IFERROR(INDEX(PP_Grid[#Data],M_BOM[PPGridRow],34),0))/19.22</f>
        <v/>
      </c>
      <c r="AI71">
        <f>SUMPRODUCT((M_BOM[Part Name]=$A71)*M_BOM[RM_Qty_Per_Batch]*IFERROR(INDEX(PP_Grid[#Data],M_BOM[PPGridRow],35),0))/19.22</f>
        <v/>
      </c>
      <c r="AJ71">
        <f>SUMPRODUCT((M_BOM[Part Name]=$A71)*M_BOM[RM_Qty_Per_Batch]*IFERROR(INDEX(PP_Grid[#Data],M_BOM[PPGridRow],36),0))/19.22</f>
        <v/>
      </c>
      <c r="AK71">
        <f>SUMPRODUCT((M_BOM[Part Name]=$A71)*M_BOM[RM_Qty_Per_Batch]*IFERROR(INDEX(PP_Grid[#Data],M_BOM[PPGridRow],37),0))/19.22</f>
        <v/>
      </c>
      <c r="AL71">
        <f>SUMPRODUCT((M_BOM[Part Name]=$A71)*M_BOM[RM_Qty_Per_Batch]*IFERROR(INDEX(PP_Grid[#Data],M_BOM[PPGridRow],38),0))/19.22</f>
        <v/>
      </c>
      <c r="AM71">
        <f>SUMPRODUCT((M_BOM[Part Name]=$A71)*M_BOM[RM_Qty_Per_Batch]*IFERROR(INDEX(PP_Grid[#Data],M_BOM[PPGridRow],39),0))/19.22</f>
        <v/>
      </c>
      <c r="AN71">
        <f>SUMPRODUCT((M_BOM[Part Name]=$A71)*M_BOM[RM_Qty_Per_Batch]*IFERROR(INDEX(PP_Grid[#Data],M_BOM[PPGridRow],40),0))/19.22</f>
        <v/>
      </c>
      <c r="AO71">
        <f>SUMPRODUCT((M_BOM[Part Name]=$A71)*M_BOM[RM_Qty_Per_Batch]*IFERROR(INDEX(PP_Grid[#Data],M_BOM[PPGridRow],41),0))/19.22</f>
        <v/>
      </c>
      <c r="AP71">
        <f>SUMPRODUCT((M_BOM[Part Name]=$A71)*M_BOM[RM_Qty_Per_Batch]*IFERROR(INDEX(PP_Grid[#Data],M_BOM[PPGridRow],42),0))/19.22</f>
        <v/>
      </c>
      <c r="AQ71">
        <f>SUMPRODUCT((M_BOM[Part Name]=$A71)*M_BOM[RM_Qty_Per_Batch]*IFERROR(INDEX(PP_Grid[#Data],M_BOM[PPGridRow],43),0))/19.22</f>
        <v/>
      </c>
      <c r="AR71">
        <f>SUMPRODUCT((M_BOM[Part Name]=$A71)*M_BOM[RM_Qty_Per_Batch]*IFERROR(INDEX(PP_Grid[#Data],M_BOM[PPGridRow],44),0))/19.22</f>
        <v/>
      </c>
      <c r="AS71">
        <f>SUMPRODUCT((M_BOM[Part Name]=$A71)*M_BOM[RM_Qty_Per_Batch]*IFERROR(INDEX(PP_Grid[#Data],M_BOM[PPGridRow],45),0))/19.22</f>
        <v/>
      </c>
      <c r="AT71">
        <f>SUMPRODUCT((M_BOM[Part Name]=$A71)*M_BOM[RM_Qty_Per_Batch]*IFERROR(INDEX(PP_Grid[#Data],M_BOM[PPGridRow],46),0))/19.22</f>
        <v/>
      </c>
      <c r="AU71">
        <f>SUMPRODUCT((M_BOM[Part Name]=$A71)*M_BOM[RM_Qty_Per_Batch]*IFERROR(INDEX(PP_Grid[#Data],M_BOM[PPGridRow],47),0))/19.22</f>
        <v/>
      </c>
      <c r="AV71">
        <f>SUMPRODUCT((M_BOM[Part Name]=$A71)*M_BOM[RM_Qty_Per_Batch]*IFERROR(INDEX(PP_Grid[#Data],M_BOM[PPGridRow],48),0))/19.22</f>
        <v/>
      </c>
      <c r="AW71">
        <f>SUMPRODUCT((M_BOM[Part Name]=$A71)*M_BOM[RM_Qty_Per_Batch]*IFERROR(INDEX(PP_Grid[#Data],M_BOM[PPGridRow],49),0))/19.22</f>
        <v/>
      </c>
      <c r="AX71">
        <f>SUMPRODUCT((M_BOM[Part Name]=$A71)*M_BOM[RM_Qty_Per_Batch]*IFERROR(INDEX(PP_Grid[#Data],M_BOM[PPGridRow],50),0))/19.22</f>
        <v/>
      </c>
      <c r="AY71">
        <f>SUMPRODUCT((M_BOM[Part Name]=$A71)*M_BOM[RM_Qty_Per_Batch]*IFERROR(INDEX(PP_Grid[#Data],M_BOM[PPGridRow],51),0))/19.22</f>
        <v/>
      </c>
      <c r="AZ71">
        <f>SUMPRODUCT((M_BOM[Part Name]=$A71)*M_BOM[RM_Qty_Per_Batch]*IFERROR(INDEX(PP_Grid[#Data],M_BOM[PPGridRow],52),0))/19.22</f>
        <v/>
      </c>
      <c r="BA71">
        <f>SUMPRODUCT((M_BOM[Part Name]=$A71)*M_BOM[RM_Qty_Per_Batch]*IFERROR(INDEX(PP_Grid[#Data],M_BOM[PPGridRow],53),0))/19.22</f>
        <v/>
      </c>
      <c r="BB71">
        <f>SUMPRODUCT((M_BOM[Part Name]=$A71)*M_BOM[RM_Qty_Per_Batch]*IFERROR(INDEX(PP_Grid[#Data],M_BOM[PPGridRow],54),0))/19.22</f>
        <v/>
      </c>
      <c r="BC71">
        <f>SUMPRODUCT((M_BOM[Part Name]=$A71)*M_BOM[RM_Qty_Per_Batch]*IFERROR(INDEX(PP_Grid[#Data],M_BOM[PPGridRow],55),0))/19.22</f>
        <v/>
      </c>
      <c r="BD71">
        <f>SUMPRODUCT((M_BOM[Part Name]=$A71)*M_BOM[RM_Qty_Per_Batch]*IFERROR(INDEX(PP_Grid[#Data],M_BOM[PPGridRow],56),0))/19.22</f>
        <v/>
      </c>
      <c r="BE71">
        <f>SUMPRODUCT((M_BOM[Part Name]=$A71)*M_BOM[RM_Qty_Per_Batch]*IFERROR(INDEX(PP_Grid[#Data],M_BOM[PPGridRow],57),0))/19.22</f>
        <v/>
      </c>
      <c r="BF71">
        <f>SUMPRODUCT((M_BOM[Part Name]=$A71)*M_BOM[RM_Qty_Per_Batch]*IFERROR(INDEX(PP_Grid[#Data],M_BOM[PPGridRow],58),0))/19.22</f>
        <v/>
      </c>
      <c r="BG71">
        <f>SUMPRODUCT((M_BOM[Part Name]=$A71)*M_BOM[RM_Qty_Per_Batch]*IFERROR(INDEX(PP_Grid[#Data],M_BOM[PPGridRow],59),0))/19.22</f>
        <v/>
      </c>
      <c r="BH71">
        <f>SUMPRODUCT((M_BOM[Part Name]=$A71)*M_BOM[RM_Qty_Per_Batch]*IFERROR(INDEX(PP_Grid[#Data],M_BOM[PPGridRow],60),0))/19.22</f>
        <v/>
      </c>
      <c r="BI71">
        <f>SUMPRODUCT((M_BOM[Part Name]=$A71)*M_BOM[RM_Qty_Per_Batch]*IFERROR(INDEX(PP_Grid[#Data],M_BOM[PPGridRow],61),0))/19.22</f>
        <v/>
      </c>
      <c r="BJ71">
        <f>SUMPRODUCT((M_BOM[Part Name]=$A71)*M_BOM[RM_Qty_Per_Batch]*IFERROR(INDEX(PP_Grid[#Data],M_BOM[PPGridRow],62),0))/19.22</f>
        <v/>
      </c>
      <c r="BK71">
        <f>SUMPRODUCT((M_BOM[Part Name]=$A71)*M_BOM[RM_Qty_Per_Batch]*IFERROR(INDEX(PP_Grid[#Data],M_BOM[PPGridRow],63),0))/19.22</f>
        <v/>
      </c>
      <c r="BL71">
        <f>SUMPRODUCT((M_BOM[Part Name]=$A71)*M_BOM[RM_Qty_Per_Batch]*IFERROR(INDEX(PP_Grid[#Data],M_BOM[PPGridRow],64),0))/19.22</f>
        <v/>
      </c>
      <c r="BM71">
        <f>SUMPRODUCT((M_BOM[Part Name]=$A71)*M_BOM[RM_Qty_Per_Batch]*IFERROR(INDEX(PP_Grid[#Data],M_BOM[PPGridRow],65),0))/19.22</f>
        <v/>
      </c>
      <c r="BN71">
        <f>SUMPRODUCT((M_BOM[Part Name]=$A71)*M_BOM[RM_Qty_Per_Batch]*IFERROR(INDEX(PP_Grid[#Data],M_BOM[PPGridRow],66),0))/19.22</f>
        <v/>
      </c>
      <c r="BO71">
        <f>SUMPRODUCT((M_BOM[Part Name]=$A71)*M_BOM[RM_Qty_Per_Batch]*IFERROR(INDEX(PP_Grid[#Data],M_BOM[PPGridRow],67),0))/19.22</f>
        <v/>
      </c>
      <c r="BP71">
        <f>SUMPRODUCT((M_BOM[Part Name]=$A71)*M_BOM[RM_Qty_Per_Batch]*IFERROR(INDEX(PP_Grid[#Data],M_BOM[PPGridRow],68),0))/19.22</f>
        <v/>
      </c>
      <c r="BQ71">
        <f>SUMPRODUCT((M_BOM[Part Name]=$A71)*M_BOM[RM_Qty_Per_Batch]*IFERROR(INDEX(PP_Grid[#Data],M_BOM[PPGridRow],69),0))/19.22</f>
        <v/>
      </c>
      <c r="BR71">
        <f>SUMPRODUCT((M_BOM[Part Name]=$A71)*M_BOM[RM_Qty_Per_Batch]*IFERROR(INDEX(PP_Grid[#Data],M_BOM[PPGridRow],70),0))/19.22</f>
        <v/>
      </c>
      <c r="BS71">
        <f>SUMPRODUCT((M_BOM[Part Name]=$A71)*M_BOM[RM_Qty_Per_Batch]*IFERROR(INDEX(PP_Grid[#Data],M_BOM[PPGridRow],71),0))/19.22</f>
        <v/>
      </c>
      <c r="BT71">
        <f>SUMPRODUCT((M_BOM[Part Name]=$A71)*M_BOM[RM_Qty_Per_Batch]*IFERROR(INDEX(PP_Grid[#Data],M_BOM[PPGridRow],72),0))/19.22</f>
        <v/>
      </c>
      <c r="BU71">
        <f>SUMPRODUCT((M_BOM[Part Name]=$A71)*M_BOM[RM_Qty_Per_Batch]*IFERROR(INDEX(PP_Grid[#Data],M_BOM[PPGridRow],73),0))/19.22</f>
        <v/>
      </c>
      <c r="BV71">
        <f>SUMPRODUCT((M_BOM[Part Name]=$A71)*M_BOM[RM_Qty_Per_Batch]*IFERROR(INDEX(PP_Grid[#Data],M_BOM[PPGridRow],74),0))/19.22</f>
        <v/>
      </c>
      <c r="BW71">
        <f>SUMPRODUCT((M_BOM[Part Name]=$A71)*M_BOM[RM_Qty_Per_Batch]*IFERROR(INDEX(PP_Grid[#Data],M_BOM[PPGridRow],75),0))/19.22</f>
        <v/>
      </c>
      <c r="BX71">
        <f>SUMPRODUCT((M_BOM[Part Name]=$A71)*M_BOM[RM_Qty_Per_Batch]*IFERROR(INDEX(PP_Grid[#Data],M_BOM[PPGridRow],76),0))/19.22</f>
        <v/>
      </c>
      <c r="BY71">
        <f>SUMPRODUCT((M_BOM[Part Name]=$A71)*M_BOM[RM_Qty_Per_Batch]*IFERROR(INDEX(PP_Grid[#Data],M_BOM[PPGridRow],77),0))/19.22</f>
        <v/>
      </c>
      <c r="BZ71">
        <f>SUMPRODUCT((M_BOM[Part Name]=$A71)*M_BOM[RM_Qty_Per_Batch]*IFERROR(INDEX(PP_Grid[#Data],M_BOM[PPGridRow],78),0))/19.22</f>
        <v/>
      </c>
      <c r="CA71">
        <f>SUMPRODUCT((M_BOM[Part Name]=$A71)*M_BOM[RM_Qty_Per_Batch]*IFERROR(INDEX(PP_Grid[#Data],M_BOM[PPGridRow],79),0))/19.22</f>
        <v/>
      </c>
      <c r="CB71">
        <f>SUMPRODUCT((M_BOM[Part Name]=$A71)*M_BOM[RM_Qty_Per_Batch]*IFERROR(INDEX(PP_Grid[#Data],M_BOM[PPGridRow],80),0))/19.22</f>
        <v/>
      </c>
      <c r="CC71">
        <f>SUMPRODUCT((M_BOM[Part Name]=$A71)*M_BOM[RM_Qty_Per_Batch]*IFERROR(INDEX(PP_Grid[#Data],M_BOM[PPGridRow],81),0))/19.22</f>
        <v/>
      </c>
      <c r="CD71">
        <f>SUMPRODUCT((M_BOM[Part Name]=$A71)*M_BOM[RM_Qty_Per_Batch]*IFERROR(INDEX(PP_Grid[#Data],M_BOM[PPGridRow],82),0))/19.22</f>
        <v/>
      </c>
      <c r="CE71">
        <f>SUMPRODUCT((M_BOM[Part Name]=$A71)*M_BOM[RM_Qty_Per_Batch]*IFERROR(INDEX(PP_Grid[#Data],M_BOM[PPGridRow],83),0))/19.22</f>
        <v/>
      </c>
      <c r="CF71">
        <f>SUMPRODUCT((M_BOM[Part Name]=$A71)*M_BOM[RM_Qty_Per_Batch]*IFERROR(INDEX(PP_Grid[#Data],M_BOM[PPGridRow],84),0))/19.22</f>
        <v/>
      </c>
      <c r="CG71">
        <f>SUMPRODUCT((M_BOM[Part Name]=$A71)*M_BOM[RM_Qty_Per_Batch]*IFERROR(INDEX(PP_Grid[#Data],M_BOM[PPGridRow],85),0))/19.22</f>
        <v/>
      </c>
      <c r="CH71">
        <f>SUMPRODUCT((M_BOM[Part Name]=$A71)*M_BOM[RM_Qty_Per_Batch]*IFERROR(INDEX(PP_Grid[#Data],M_BOM[PPGridRow],86),0))/19.22</f>
        <v/>
      </c>
      <c r="CI71">
        <f>SUMPRODUCT((M_BOM[Part Name]=$A71)*M_BOM[RM_Qty_Per_Batch]*IFERROR(INDEX(PP_Grid[#Data],M_BOM[PPGridRow],87),0))/19.22</f>
        <v/>
      </c>
      <c r="CJ71">
        <f>SUMPRODUCT((M_BOM[Part Name]=$A71)*M_BOM[RM_Qty_Per_Batch]*IFERROR(INDEX(PP_Grid[#Data],M_BOM[PPGridRow],88),0))/19.22</f>
        <v/>
      </c>
      <c r="CK71">
        <f>SUMPRODUCT((M_BOM[Part Name]=$A71)*M_BOM[RM_Qty_Per_Batch]*IFERROR(INDEX(PP_Grid[#Data],M_BOM[PPGridRow],89),0))/19.22</f>
        <v/>
      </c>
      <c r="CL71">
        <f>SUMPRODUCT((M_BOM[Part Name]=$A71)*M_BOM[RM_Qty_Per_Batch]*IFERROR(INDEX(PP_Grid[#Data],M_BOM[PPGridRow],90),0))/19.22</f>
        <v/>
      </c>
      <c r="CM71">
        <f>SUMPRODUCT((M_BOM[Part Name]=$A71)*M_BOM[RM_Qty_Per_Batch]*IFERROR(INDEX(PP_Grid[#Data],M_BOM[PPGridRow],91),0))/19.22</f>
        <v/>
      </c>
      <c r="CN71">
        <f>SUMPRODUCT((M_BOM[Part Name]=$A71)*M_BOM[RM_Qty_Per_Batch]*IFERROR(INDEX(PP_Grid[#Data],M_BOM[PPGridRow],92),0))/19.22</f>
        <v/>
      </c>
      <c r="CO71">
        <f>SUMPRODUCT((M_BOM[Part Name]=$A71)*M_BOM[RM_Qty_Per_Batch]*IFERROR(INDEX(PP_Grid[#Data],M_BOM[PPGridRow],93),0))/19.22</f>
        <v/>
      </c>
      <c r="CP71">
        <f>SUMPRODUCT((M_BOM[Part Name]=$A71)*M_BOM[RM_Qty_Per_Batch]*IFERROR(INDEX(PP_Grid[#Data],M_BOM[PPGridRow],94),0))/19.22</f>
        <v/>
      </c>
      <c r="CQ71">
        <f>SUMPRODUCT((M_BOM[Part Name]=$A71)*M_BOM[RM_Qty_Per_Batch]*IFERROR(INDEX(PP_Grid[#Data],M_BOM[PPGridRow],95),0))/19.22</f>
        <v/>
      </c>
      <c r="CR71">
        <f>SUMPRODUCT((M_BOM[Part Name]=$A71)*M_BOM[RM_Qty_Per_Batch]*IFERROR(INDEX(PP_Grid[#Data],M_BOM[PPGridRow],96),0))/19.22</f>
        <v/>
      </c>
      <c r="CS71">
        <f>SUMPRODUCT((M_BOM[Part Name]=$A71)*M_BOM[RM_Qty_Per_Batch]*IFERROR(INDEX(PP_Grid[#Data],M_BOM[PPGridRow],97),0))/19.22</f>
        <v/>
      </c>
      <c r="CT71">
        <f>SUMPRODUCT((M_BOM[Part Name]=$A71)*M_BOM[RM_Qty_Per_Batch]*IFERROR(INDEX(PP_Grid[#Data],M_BOM[PPGridRow],98),0))/19.22</f>
        <v/>
      </c>
      <c r="CU71">
        <f>SUMPRODUCT((M_BOM[Part Name]=$A71)*M_BOM[RM_Qty_Per_Batch]*IFERROR(INDEX(PP_Grid[#Data],M_BOM[PPGridRow],99),0))/19.22</f>
        <v/>
      </c>
      <c r="CV71">
        <f>SUMPRODUCT((M_BOM[Part Name]=$A71)*M_BOM[RM_Qty_Per_Batch]*IFERROR(INDEX(PP_Grid[#Data],M_BOM[PPGridRow],100),0))/19.22</f>
        <v/>
      </c>
      <c r="CW71">
        <f>SUMPRODUCT((M_BOM[Part Name]=$A71)*M_BOM[RM_Qty_Per_Batch]*IFERROR(INDEX(PP_Grid[#Data],M_BOM[PPGridRow],101),0))/19.22</f>
        <v/>
      </c>
      <c r="CX71">
        <f>SUMPRODUCT((M_BOM[Part Name]=$A71)*M_BOM[RM_Qty_Per_Batch]*IFERROR(INDEX(PP_Grid[#Data],M_BOM[PPGridRow],102),0))/19.22</f>
        <v/>
      </c>
      <c r="CY71">
        <f>SUMPRODUCT((M_BOM[Part Name]=$A71)*M_BOM[RM_Qty_Per_Batch]*IFERROR(INDEX(PP_Grid[#Data],M_BOM[PPGridRow],103),0))/19.22</f>
        <v/>
      </c>
      <c r="CZ71">
        <f>SUMPRODUCT((M_BOM[Part Name]=$A71)*M_BOM[RM_Qty_Per_Batch]*IFERROR(INDEX(PP_Grid[#Data],M_BOM[PPGridRow],104),0))/19.22</f>
        <v/>
      </c>
      <c r="DA71">
        <f>SUMPRODUCT((M_BOM[Part Name]=$A71)*M_BOM[RM_Qty_Per_Batch]*IFERROR(INDEX(PP_Grid[#Data],M_BOM[PPGridRow],105),0))/19.22</f>
        <v/>
      </c>
    </row>
    <row r="72">
      <c r="A72" t="inlineStr">
        <is>
          <t>TPP-1379</t>
        </is>
      </c>
      <c r="B72">
        <f>SUMPRODUCT((M_BOM[Part Name]=$A72)*M_BOM[RM_Qty_Per_Batch]*IFERROR(INDEX(PP_Grid[#Data],M_BOM[PPGridRow],2),0))/19.63</f>
        <v/>
      </c>
      <c r="C72">
        <f>SUMPRODUCT((M_BOM[Part Name]=$A72)*M_BOM[RM_Qty_Per_Batch]*IFERROR(INDEX(PP_Grid[#Data],M_BOM[PPGridRow],3),0))/19.63</f>
        <v/>
      </c>
      <c r="D72">
        <f>SUMPRODUCT((M_BOM[Part Name]=$A72)*M_BOM[RM_Qty_Per_Batch]*IFERROR(INDEX(PP_Grid[#Data],M_BOM[PPGridRow],4),0))/19.63</f>
        <v/>
      </c>
      <c r="E72">
        <f>SUMPRODUCT((M_BOM[Part Name]=$A72)*M_BOM[RM_Qty_Per_Batch]*IFERROR(INDEX(PP_Grid[#Data],M_BOM[PPGridRow],5),0))/19.63</f>
        <v/>
      </c>
      <c r="F72">
        <f>SUMPRODUCT((M_BOM[Part Name]=$A72)*M_BOM[RM_Qty_Per_Batch]*IFERROR(INDEX(PP_Grid[#Data],M_BOM[PPGridRow],6),0))/19.63</f>
        <v/>
      </c>
      <c r="G72">
        <f>SUMPRODUCT((M_BOM[Part Name]=$A72)*M_BOM[RM_Qty_Per_Batch]*IFERROR(INDEX(PP_Grid[#Data],M_BOM[PPGridRow],7),0))/19.63</f>
        <v/>
      </c>
      <c r="H72">
        <f>SUMPRODUCT((M_BOM[Part Name]=$A72)*M_BOM[RM_Qty_Per_Batch]*IFERROR(INDEX(PP_Grid[#Data],M_BOM[PPGridRow],8),0))/19.63</f>
        <v/>
      </c>
      <c r="I72">
        <f>SUMPRODUCT((M_BOM[Part Name]=$A72)*M_BOM[RM_Qty_Per_Batch]*IFERROR(INDEX(PP_Grid[#Data],M_BOM[PPGridRow],9),0))/19.63</f>
        <v/>
      </c>
      <c r="J72">
        <f>SUMPRODUCT((M_BOM[Part Name]=$A72)*M_BOM[RM_Qty_Per_Batch]*IFERROR(INDEX(PP_Grid[#Data],M_BOM[PPGridRow],10),0))/19.63</f>
        <v/>
      </c>
      <c r="K72">
        <f>SUMPRODUCT((M_BOM[Part Name]=$A72)*M_BOM[RM_Qty_Per_Batch]*IFERROR(INDEX(PP_Grid[#Data],M_BOM[PPGridRow],11),0))/19.63</f>
        <v/>
      </c>
      <c r="L72">
        <f>SUMPRODUCT((M_BOM[Part Name]=$A72)*M_BOM[RM_Qty_Per_Batch]*IFERROR(INDEX(PP_Grid[#Data],M_BOM[PPGridRow],12),0))/19.63</f>
        <v/>
      </c>
      <c r="M72">
        <f>SUMPRODUCT((M_BOM[Part Name]=$A72)*M_BOM[RM_Qty_Per_Batch]*IFERROR(INDEX(PP_Grid[#Data],M_BOM[PPGridRow],13),0))/19.63</f>
        <v/>
      </c>
      <c r="N72">
        <f>SUMPRODUCT((M_BOM[Part Name]=$A72)*M_BOM[RM_Qty_Per_Batch]*IFERROR(INDEX(PP_Grid[#Data],M_BOM[PPGridRow],14),0))/19.63</f>
        <v/>
      </c>
      <c r="O72">
        <f>SUMPRODUCT((M_BOM[Part Name]=$A72)*M_BOM[RM_Qty_Per_Batch]*IFERROR(INDEX(PP_Grid[#Data],M_BOM[PPGridRow],15),0))/19.63</f>
        <v/>
      </c>
      <c r="P72">
        <f>SUMPRODUCT((M_BOM[Part Name]=$A72)*M_BOM[RM_Qty_Per_Batch]*IFERROR(INDEX(PP_Grid[#Data],M_BOM[PPGridRow],16),0))/19.63</f>
        <v/>
      </c>
      <c r="Q72">
        <f>SUMPRODUCT((M_BOM[Part Name]=$A72)*M_BOM[RM_Qty_Per_Batch]*IFERROR(INDEX(PP_Grid[#Data],M_BOM[PPGridRow],17),0))/19.63</f>
        <v/>
      </c>
      <c r="R72">
        <f>SUMPRODUCT((M_BOM[Part Name]=$A72)*M_BOM[RM_Qty_Per_Batch]*IFERROR(INDEX(PP_Grid[#Data],M_BOM[PPGridRow],18),0))/19.63</f>
        <v/>
      </c>
      <c r="S72">
        <f>SUMPRODUCT((M_BOM[Part Name]=$A72)*M_BOM[RM_Qty_Per_Batch]*IFERROR(INDEX(PP_Grid[#Data],M_BOM[PPGridRow],19),0))/19.63</f>
        <v/>
      </c>
      <c r="T72">
        <f>SUMPRODUCT((M_BOM[Part Name]=$A72)*M_BOM[RM_Qty_Per_Batch]*IFERROR(INDEX(PP_Grid[#Data],M_BOM[PPGridRow],20),0))/19.63</f>
        <v/>
      </c>
      <c r="U72">
        <f>SUMPRODUCT((M_BOM[Part Name]=$A72)*M_BOM[RM_Qty_Per_Batch]*IFERROR(INDEX(PP_Grid[#Data],M_BOM[PPGridRow],21),0))/19.63</f>
        <v/>
      </c>
      <c r="V72">
        <f>SUMPRODUCT((M_BOM[Part Name]=$A72)*M_BOM[RM_Qty_Per_Batch]*IFERROR(INDEX(PP_Grid[#Data],M_BOM[PPGridRow],22),0))/19.63</f>
        <v/>
      </c>
      <c r="W72">
        <f>SUMPRODUCT((M_BOM[Part Name]=$A72)*M_BOM[RM_Qty_Per_Batch]*IFERROR(INDEX(PP_Grid[#Data],M_BOM[PPGridRow],23),0))/19.63</f>
        <v/>
      </c>
      <c r="X72">
        <f>SUMPRODUCT((M_BOM[Part Name]=$A72)*M_BOM[RM_Qty_Per_Batch]*IFERROR(INDEX(PP_Grid[#Data],M_BOM[PPGridRow],24),0))/19.63</f>
        <v/>
      </c>
      <c r="Y72">
        <f>SUMPRODUCT((M_BOM[Part Name]=$A72)*M_BOM[RM_Qty_Per_Batch]*IFERROR(INDEX(PP_Grid[#Data],M_BOM[PPGridRow],25),0))/19.63</f>
        <v/>
      </c>
      <c r="Z72">
        <f>SUMPRODUCT((M_BOM[Part Name]=$A72)*M_BOM[RM_Qty_Per_Batch]*IFERROR(INDEX(PP_Grid[#Data],M_BOM[PPGridRow],26),0))/19.63</f>
        <v/>
      </c>
      <c r="AA72">
        <f>SUMPRODUCT((M_BOM[Part Name]=$A72)*M_BOM[RM_Qty_Per_Batch]*IFERROR(INDEX(PP_Grid[#Data],M_BOM[PPGridRow],27),0))/19.63</f>
        <v/>
      </c>
      <c r="AB72">
        <f>SUMPRODUCT((M_BOM[Part Name]=$A72)*M_BOM[RM_Qty_Per_Batch]*IFERROR(INDEX(PP_Grid[#Data],M_BOM[PPGridRow],28),0))/19.63</f>
        <v/>
      </c>
      <c r="AC72">
        <f>SUMPRODUCT((M_BOM[Part Name]=$A72)*M_BOM[RM_Qty_Per_Batch]*IFERROR(INDEX(PP_Grid[#Data],M_BOM[PPGridRow],29),0))/19.63</f>
        <v/>
      </c>
      <c r="AD72">
        <f>SUMPRODUCT((M_BOM[Part Name]=$A72)*M_BOM[RM_Qty_Per_Batch]*IFERROR(INDEX(PP_Grid[#Data],M_BOM[PPGridRow],30),0))/19.63</f>
        <v/>
      </c>
      <c r="AE72">
        <f>SUMPRODUCT((M_BOM[Part Name]=$A72)*M_BOM[RM_Qty_Per_Batch]*IFERROR(INDEX(PP_Grid[#Data],M_BOM[PPGridRow],31),0))/19.63</f>
        <v/>
      </c>
      <c r="AF72">
        <f>SUMPRODUCT((M_BOM[Part Name]=$A72)*M_BOM[RM_Qty_Per_Batch]*IFERROR(INDEX(PP_Grid[#Data],M_BOM[PPGridRow],32),0))/19.63</f>
        <v/>
      </c>
      <c r="AG72">
        <f>SUMPRODUCT((M_BOM[Part Name]=$A72)*M_BOM[RM_Qty_Per_Batch]*IFERROR(INDEX(PP_Grid[#Data],M_BOM[PPGridRow],33),0))/19.63</f>
        <v/>
      </c>
      <c r="AH72">
        <f>SUMPRODUCT((M_BOM[Part Name]=$A72)*M_BOM[RM_Qty_Per_Batch]*IFERROR(INDEX(PP_Grid[#Data],M_BOM[PPGridRow],34),0))/19.63</f>
        <v/>
      </c>
      <c r="AI72">
        <f>SUMPRODUCT((M_BOM[Part Name]=$A72)*M_BOM[RM_Qty_Per_Batch]*IFERROR(INDEX(PP_Grid[#Data],M_BOM[PPGridRow],35),0))/19.63</f>
        <v/>
      </c>
      <c r="AJ72">
        <f>SUMPRODUCT((M_BOM[Part Name]=$A72)*M_BOM[RM_Qty_Per_Batch]*IFERROR(INDEX(PP_Grid[#Data],M_BOM[PPGridRow],36),0))/19.63</f>
        <v/>
      </c>
      <c r="AK72">
        <f>SUMPRODUCT((M_BOM[Part Name]=$A72)*M_BOM[RM_Qty_Per_Batch]*IFERROR(INDEX(PP_Grid[#Data],M_BOM[PPGridRow],37),0))/19.63</f>
        <v/>
      </c>
      <c r="AL72">
        <f>SUMPRODUCT((M_BOM[Part Name]=$A72)*M_BOM[RM_Qty_Per_Batch]*IFERROR(INDEX(PP_Grid[#Data],M_BOM[PPGridRow],38),0))/19.63</f>
        <v/>
      </c>
      <c r="AM72">
        <f>SUMPRODUCT((M_BOM[Part Name]=$A72)*M_BOM[RM_Qty_Per_Batch]*IFERROR(INDEX(PP_Grid[#Data],M_BOM[PPGridRow],39),0))/19.63</f>
        <v/>
      </c>
      <c r="AN72">
        <f>SUMPRODUCT((M_BOM[Part Name]=$A72)*M_BOM[RM_Qty_Per_Batch]*IFERROR(INDEX(PP_Grid[#Data],M_BOM[PPGridRow],40),0))/19.63</f>
        <v/>
      </c>
      <c r="AO72">
        <f>SUMPRODUCT((M_BOM[Part Name]=$A72)*M_BOM[RM_Qty_Per_Batch]*IFERROR(INDEX(PP_Grid[#Data],M_BOM[PPGridRow],41),0))/19.63</f>
        <v/>
      </c>
      <c r="AP72">
        <f>SUMPRODUCT((M_BOM[Part Name]=$A72)*M_BOM[RM_Qty_Per_Batch]*IFERROR(INDEX(PP_Grid[#Data],M_BOM[PPGridRow],42),0))/19.63</f>
        <v/>
      </c>
      <c r="AQ72">
        <f>SUMPRODUCT((M_BOM[Part Name]=$A72)*M_BOM[RM_Qty_Per_Batch]*IFERROR(INDEX(PP_Grid[#Data],M_BOM[PPGridRow],43),0))/19.63</f>
        <v/>
      </c>
      <c r="AR72">
        <f>SUMPRODUCT((M_BOM[Part Name]=$A72)*M_BOM[RM_Qty_Per_Batch]*IFERROR(INDEX(PP_Grid[#Data],M_BOM[PPGridRow],44),0))/19.63</f>
        <v/>
      </c>
      <c r="AS72">
        <f>SUMPRODUCT((M_BOM[Part Name]=$A72)*M_BOM[RM_Qty_Per_Batch]*IFERROR(INDEX(PP_Grid[#Data],M_BOM[PPGridRow],45),0))/19.63</f>
        <v/>
      </c>
      <c r="AT72">
        <f>SUMPRODUCT((M_BOM[Part Name]=$A72)*M_BOM[RM_Qty_Per_Batch]*IFERROR(INDEX(PP_Grid[#Data],M_BOM[PPGridRow],46),0))/19.63</f>
        <v/>
      </c>
      <c r="AU72">
        <f>SUMPRODUCT((M_BOM[Part Name]=$A72)*M_BOM[RM_Qty_Per_Batch]*IFERROR(INDEX(PP_Grid[#Data],M_BOM[PPGridRow],47),0))/19.63</f>
        <v/>
      </c>
      <c r="AV72">
        <f>SUMPRODUCT((M_BOM[Part Name]=$A72)*M_BOM[RM_Qty_Per_Batch]*IFERROR(INDEX(PP_Grid[#Data],M_BOM[PPGridRow],48),0))/19.63</f>
        <v/>
      </c>
      <c r="AW72">
        <f>SUMPRODUCT((M_BOM[Part Name]=$A72)*M_BOM[RM_Qty_Per_Batch]*IFERROR(INDEX(PP_Grid[#Data],M_BOM[PPGridRow],49),0))/19.63</f>
        <v/>
      </c>
      <c r="AX72">
        <f>SUMPRODUCT((M_BOM[Part Name]=$A72)*M_BOM[RM_Qty_Per_Batch]*IFERROR(INDEX(PP_Grid[#Data],M_BOM[PPGridRow],50),0))/19.63</f>
        <v/>
      </c>
      <c r="AY72">
        <f>SUMPRODUCT((M_BOM[Part Name]=$A72)*M_BOM[RM_Qty_Per_Batch]*IFERROR(INDEX(PP_Grid[#Data],M_BOM[PPGridRow],51),0))/19.63</f>
        <v/>
      </c>
      <c r="AZ72">
        <f>SUMPRODUCT((M_BOM[Part Name]=$A72)*M_BOM[RM_Qty_Per_Batch]*IFERROR(INDEX(PP_Grid[#Data],M_BOM[PPGridRow],52),0))/19.63</f>
        <v/>
      </c>
      <c r="BA72">
        <f>SUMPRODUCT((M_BOM[Part Name]=$A72)*M_BOM[RM_Qty_Per_Batch]*IFERROR(INDEX(PP_Grid[#Data],M_BOM[PPGridRow],53),0))/19.63</f>
        <v/>
      </c>
      <c r="BB72">
        <f>SUMPRODUCT((M_BOM[Part Name]=$A72)*M_BOM[RM_Qty_Per_Batch]*IFERROR(INDEX(PP_Grid[#Data],M_BOM[PPGridRow],54),0))/19.63</f>
        <v/>
      </c>
      <c r="BC72">
        <f>SUMPRODUCT((M_BOM[Part Name]=$A72)*M_BOM[RM_Qty_Per_Batch]*IFERROR(INDEX(PP_Grid[#Data],M_BOM[PPGridRow],55),0))/19.63</f>
        <v/>
      </c>
      <c r="BD72">
        <f>SUMPRODUCT((M_BOM[Part Name]=$A72)*M_BOM[RM_Qty_Per_Batch]*IFERROR(INDEX(PP_Grid[#Data],M_BOM[PPGridRow],56),0))/19.63</f>
        <v/>
      </c>
      <c r="BE72">
        <f>SUMPRODUCT((M_BOM[Part Name]=$A72)*M_BOM[RM_Qty_Per_Batch]*IFERROR(INDEX(PP_Grid[#Data],M_BOM[PPGridRow],57),0))/19.63</f>
        <v/>
      </c>
      <c r="BF72">
        <f>SUMPRODUCT((M_BOM[Part Name]=$A72)*M_BOM[RM_Qty_Per_Batch]*IFERROR(INDEX(PP_Grid[#Data],M_BOM[PPGridRow],58),0))/19.63</f>
        <v/>
      </c>
      <c r="BG72">
        <f>SUMPRODUCT((M_BOM[Part Name]=$A72)*M_BOM[RM_Qty_Per_Batch]*IFERROR(INDEX(PP_Grid[#Data],M_BOM[PPGridRow],59),0))/19.63</f>
        <v/>
      </c>
      <c r="BH72">
        <f>SUMPRODUCT((M_BOM[Part Name]=$A72)*M_BOM[RM_Qty_Per_Batch]*IFERROR(INDEX(PP_Grid[#Data],M_BOM[PPGridRow],60),0))/19.63</f>
        <v/>
      </c>
      <c r="BI72">
        <f>SUMPRODUCT((M_BOM[Part Name]=$A72)*M_BOM[RM_Qty_Per_Batch]*IFERROR(INDEX(PP_Grid[#Data],M_BOM[PPGridRow],61),0))/19.63</f>
        <v/>
      </c>
      <c r="BJ72">
        <f>SUMPRODUCT((M_BOM[Part Name]=$A72)*M_BOM[RM_Qty_Per_Batch]*IFERROR(INDEX(PP_Grid[#Data],M_BOM[PPGridRow],62),0))/19.63</f>
        <v/>
      </c>
      <c r="BK72">
        <f>SUMPRODUCT((M_BOM[Part Name]=$A72)*M_BOM[RM_Qty_Per_Batch]*IFERROR(INDEX(PP_Grid[#Data],M_BOM[PPGridRow],63),0))/19.63</f>
        <v/>
      </c>
      <c r="BL72">
        <f>SUMPRODUCT((M_BOM[Part Name]=$A72)*M_BOM[RM_Qty_Per_Batch]*IFERROR(INDEX(PP_Grid[#Data],M_BOM[PPGridRow],64),0))/19.63</f>
        <v/>
      </c>
      <c r="BM72">
        <f>SUMPRODUCT((M_BOM[Part Name]=$A72)*M_BOM[RM_Qty_Per_Batch]*IFERROR(INDEX(PP_Grid[#Data],M_BOM[PPGridRow],65),0))/19.63</f>
        <v/>
      </c>
      <c r="BN72">
        <f>SUMPRODUCT((M_BOM[Part Name]=$A72)*M_BOM[RM_Qty_Per_Batch]*IFERROR(INDEX(PP_Grid[#Data],M_BOM[PPGridRow],66),0))/19.63</f>
        <v/>
      </c>
      <c r="BO72">
        <f>SUMPRODUCT((M_BOM[Part Name]=$A72)*M_BOM[RM_Qty_Per_Batch]*IFERROR(INDEX(PP_Grid[#Data],M_BOM[PPGridRow],67),0))/19.63</f>
        <v/>
      </c>
      <c r="BP72">
        <f>SUMPRODUCT((M_BOM[Part Name]=$A72)*M_BOM[RM_Qty_Per_Batch]*IFERROR(INDEX(PP_Grid[#Data],M_BOM[PPGridRow],68),0))/19.63</f>
        <v/>
      </c>
      <c r="BQ72">
        <f>SUMPRODUCT((M_BOM[Part Name]=$A72)*M_BOM[RM_Qty_Per_Batch]*IFERROR(INDEX(PP_Grid[#Data],M_BOM[PPGridRow],69),0))/19.63</f>
        <v/>
      </c>
      <c r="BR72">
        <f>SUMPRODUCT((M_BOM[Part Name]=$A72)*M_BOM[RM_Qty_Per_Batch]*IFERROR(INDEX(PP_Grid[#Data],M_BOM[PPGridRow],70),0))/19.63</f>
        <v/>
      </c>
      <c r="BS72">
        <f>SUMPRODUCT((M_BOM[Part Name]=$A72)*M_BOM[RM_Qty_Per_Batch]*IFERROR(INDEX(PP_Grid[#Data],M_BOM[PPGridRow],71),0))/19.63</f>
        <v/>
      </c>
      <c r="BT72">
        <f>SUMPRODUCT((M_BOM[Part Name]=$A72)*M_BOM[RM_Qty_Per_Batch]*IFERROR(INDEX(PP_Grid[#Data],M_BOM[PPGridRow],72),0))/19.63</f>
        <v/>
      </c>
      <c r="BU72">
        <f>SUMPRODUCT((M_BOM[Part Name]=$A72)*M_BOM[RM_Qty_Per_Batch]*IFERROR(INDEX(PP_Grid[#Data],M_BOM[PPGridRow],73),0))/19.63</f>
        <v/>
      </c>
      <c r="BV72">
        <f>SUMPRODUCT((M_BOM[Part Name]=$A72)*M_BOM[RM_Qty_Per_Batch]*IFERROR(INDEX(PP_Grid[#Data],M_BOM[PPGridRow],74),0))/19.63</f>
        <v/>
      </c>
      <c r="BW72">
        <f>SUMPRODUCT((M_BOM[Part Name]=$A72)*M_BOM[RM_Qty_Per_Batch]*IFERROR(INDEX(PP_Grid[#Data],M_BOM[PPGridRow],75),0))/19.63</f>
        <v/>
      </c>
      <c r="BX72">
        <f>SUMPRODUCT((M_BOM[Part Name]=$A72)*M_BOM[RM_Qty_Per_Batch]*IFERROR(INDEX(PP_Grid[#Data],M_BOM[PPGridRow],76),0))/19.63</f>
        <v/>
      </c>
      <c r="BY72">
        <f>SUMPRODUCT((M_BOM[Part Name]=$A72)*M_BOM[RM_Qty_Per_Batch]*IFERROR(INDEX(PP_Grid[#Data],M_BOM[PPGridRow],77),0))/19.63</f>
        <v/>
      </c>
      <c r="BZ72">
        <f>SUMPRODUCT((M_BOM[Part Name]=$A72)*M_BOM[RM_Qty_Per_Batch]*IFERROR(INDEX(PP_Grid[#Data],M_BOM[PPGridRow],78),0))/19.63</f>
        <v/>
      </c>
      <c r="CA72">
        <f>SUMPRODUCT((M_BOM[Part Name]=$A72)*M_BOM[RM_Qty_Per_Batch]*IFERROR(INDEX(PP_Grid[#Data],M_BOM[PPGridRow],79),0))/19.63</f>
        <v/>
      </c>
      <c r="CB72">
        <f>SUMPRODUCT((M_BOM[Part Name]=$A72)*M_BOM[RM_Qty_Per_Batch]*IFERROR(INDEX(PP_Grid[#Data],M_BOM[PPGridRow],80),0))/19.63</f>
        <v/>
      </c>
      <c r="CC72">
        <f>SUMPRODUCT((M_BOM[Part Name]=$A72)*M_BOM[RM_Qty_Per_Batch]*IFERROR(INDEX(PP_Grid[#Data],M_BOM[PPGridRow],81),0))/19.63</f>
        <v/>
      </c>
      <c r="CD72">
        <f>SUMPRODUCT((M_BOM[Part Name]=$A72)*M_BOM[RM_Qty_Per_Batch]*IFERROR(INDEX(PP_Grid[#Data],M_BOM[PPGridRow],82),0))/19.63</f>
        <v/>
      </c>
      <c r="CE72">
        <f>SUMPRODUCT((M_BOM[Part Name]=$A72)*M_BOM[RM_Qty_Per_Batch]*IFERROR(INDEX(PP_Grid[#Data],M_BOM[PPGridRow],83),0))/19.63</f>
        <v/>
      </c>
      <c r="CF72">
        <f>SUMPRODUCT((M_BOM[Part Name]=$A72)*M_BOM[RM_Qty_Per_Batch]*IFERROR(INDEX(PP_Grid[#Data],M_BOM[PPGridRow],84),0))/19.63</f>
        <v/>
      </c>
      <c r="CG72">
        <f>SUMPRODUCT((M_BOM[Part Name]=$A72)*M_BOM[RM_Qty_Per_Batch]*IFERROR(INDEX(PP_Grid[#Data],M_BOM[PPGridRow],85),0))/19.63</f>
        <v/>
      </c>
      <c r="CH72">
        <f>SUMPRODUCT((M_BOM[Part Name]=$A72)*M_BOM[RM_Qty_Per_Batch]*IFERROR(INDEX(PP_Grid[#Data],M_BOM[PPGridRow],86),0))/19.63</f>
        <v/>
      </c>
      <c r="CI72">
        <f>SUMPRODUCT((M_BOM[Part Name]=$A72)*M_BOM[RM_Qty_Per_Batch]*IFERROR(INDEX(PP_Grid[#Data],M_BOM[PPGridRow],87),0))/19.63</f>
        <v/>
      </c>
      <c r="CJ72">
        <f>SUMPRODUCT((M_BOM[Part Name]=$A72)*M_BOM[RM_Qty_Per_Batch]*IFERROR(INDEX(PP_Grid[#Data],M_BOM[PPGridRow],88),0))/19.63</f>
        <v/>
      </c>
      <c r="CK72">
        <f>SUMPRODUCT((M_BOM[Part Name]=$A72)*M_BOM[RM_Qty_Per_Batch]*IFERROR(INDEX(PP_Grid[#Data],M_BOM[PPGridRow],89),0))/19.63</f>
        <v/>
      </c>
      <c r="CL72">
        <f>SUMPRODUCT((M_BOM[Part Name]=$A72)*M_BOM[RM_Qty_Per_Batch]*IFERROR(INDEX(PP_Grid[#Data],M_BOM[PPGridRow],90),0))/19.63</f>
        <v/>
      </c>
      <c r="CM72">
        <f>SUMPRODUCT((M_BOM[Part Name]=$A72)*M_BOM[RM_Qty_Per_Batch]*IFERROR(INDEX(PP_Grid[#Data],M_BOM[PPGridRow],91),0))/19.63</f>
        <v/>
      </c>
      <c r="CN72">
        <f>SUMPRODUCT((M_BOM[Part Name]=$A72)*M_BOM[RM_Qty_Per_Batch]*IFERROR(INDEX(PP_Grid[#Data],M_BOM[PPGridRow],92),0))/19.63</f>
        <v/>
      </c>
      <c r="CO72">
        <f>SUMPRODUCT((M_BOM[Part Name]=$A72)*M_BOM[RM_Qty_Per_Batch]*IFERROR(INDEX(PP_Grid[#Data],M_BOM[PPGridRow],93),0))/19.63</f>
        <v/>
      </c>
      <c r="CP72">
        <f>SUMPRODUCT((M_BOM[Part Name]=$A72)*M_BOM[RM_Qty_Per_Batch]*IFERROR(INDEX(PP_Grid[#Data],M_BOM[PPGridRow],94),0))/19.63</f>
        <v/>
      </c>
      <c r="CQ72">
        <f>SUMPRODUCT((M_BOM[Part Name]=$A72)*M_BOM[RM_Qty_Per_Batch]*IFERROR(INDEX(PP_Grid[#Data],M_BOM[PPGridRow],95),0))/19.63</f>
        <v/>
      </c>
      <c r="CR72">
        <f>SUMPRODUCT((M_BOM[Part Name]=$A72)*M_BOM[RM_Qty_Per_Batch]*IFERROR(INDEX(PP_Grid[#Data],M_BOM[PPGridRow],96),0))/19.63</f>
        <v/>
      </c>
      <c r="CS72">
        <f>SUMPRODUCT((M_BOM[Part Name]=$A72)*M_BOM[RM_Qty_Per_Batch]*IFERROR(INDEX(PP_Grid[#Data],M_BOM[PPGridRow],97),0))/19.63</f>
        <v/>
      </c>
      <c r="CT72">
        <f>SUMPRODUCT((M_BOM[Part Name]=$A72)*M_BOM[RM_Qty_Per_Batch]*IFERROR(INDEX(PP_Grid[#Data],M_BOM[PPGridRow],98),0))/19.63</f>
        <v/>
      </c>
      <c r="CU72">
        <f>SUMPRODUCT((M_BOM[Part Name]=$A72)*M_BOM[RM_Qty_Per_Batch]*IFERROR(INDEX(PP_Grid[#Data],M_BOM[PPGridRow],99),0))/19.63</f>
        <v/>
      </c>
      <c r="CV72">
        <f>SUMPRODUCT((M_BOM[Part Name]=$A72)*M_BOM[RM_Qty_Per_Batch]*IFERROR(INDEX(PP_Grid[#Data],M_BOM[PPGridRow],100),0))/19.63</f>
        <v/>
      </c>
      <c r="CW72">
        <f>SUMPRODUCT((M_BOM[Part Name]=$A72)*M_BOM[RM_Qty_Per_Batch]*IFERROR(INDEX(PP_Grid[#Data],M_BOM[PPGridRow],101),0))/19.63</f>
        <v/>
      </c>
      <c r="CX72">
        <f>SUMPRODUCT((M_BOM[Part Name]=$A72)*M_BOM[RM_Qty_Per_Batch]*IFERROR(INDEX(PP_Grid[#Data],M_BOM[PPGridRow],102),0))/19.63</f>
        <v/>
      </c>
      <c r="CY72">
        <f>SUMPRODUCT((M_BOM[Part Name]=$A72)*M_BOM[RM_Qty_Per_Batch]*IFERROR(INDEX(PP_Grid[#Data],M_BOM[PPGridRow],103),0))/19.63</f>
        <v/>
      </c>
      <c r="CZ72">
        <f>SUMPRODUCT((M_BOM[Part Name]=$A72)*M_BOM[RM_Qty_Per_Batch]*IFERROR(INDEX(PP_Grid[#Data],M_BOM[PPGridRow],104),0))/19.63</f>
        <v/>
      </c>
      <c r="DA72">
        <f>SUMPRODUCT((M_BOM[Part Name]=$A72)*M_BOM[RM_Qty_Per_Batch]*IFERROR(INDEX(PP_Grid[#Data],M_BOM[PPGridRow],105),0))/19.63</f>
        <v/>
      </c>
    </row>
    <row r="73">
      <c r="A73" t="inlineStr">
        <is>
          <t>TPP-358</t>
        </is>
      </c>
      <c r="B73">
        <f>SUMPRODUCT((M_BOM[Part Name]=$A73)*M_BOM[RM_Qty_Per_Batch]*IFERROR(INDEX(PP_Grid[#Data],M_BOM[PPGridRow],2),0))/64.4</f>
        <v/>
      </c>
      <c r="C73">
        <f>SUMPRODUCT((M_BOM[Part Name]=$A73)*M_BOM[RM_Qty_Per_Batch]*IFERROR(INDEX(PP_Grid[#Data],M_BOM[PPGridRow],3),0))/64.4</f>
        <v/>
      </c>
      <c r="D73">
        <f>SUMPRODUCT((M_BOM[Part Name]=$A73)*M_BOM[RM_Qty_Per_Batch]*IFERROR(INDEX(PP_Grid[#Data],M_BOM[PPGridRow],4),0))/64.4</f>
        <v/>
      </c>
      <c r="E73">
        <f>SUMPRODUCT((M_BOM[Part Name]=$A73)*M_BOM[RM_Qty_Per_Batch]*IFERROR(INDEX(PP_Grid[#Data],M_BOM[PPGridRow],5),0))/64.4</f>
        <v/>
      </c>
      <c r="F73">
        <f>SUMPRODUCT((M_BOM[Part Name]=$A73)*M_BOM[RM_Qty_Per_Batch]*IFERROR(INDEX(PP_Grid[#Data],M_BOM[PPGridRow],6),0))/64.4</f>
        <v/>
      </c>
      <c r="G73">
        <f>SUMPRODUCT((M_BOM[Part Name]=$A73)*M_BOM[RM_Qty_Per_Batch]*IFERROR(INDEX(PP_Grid[#Data],M_BOM[PPGridRow],7),0))/64.4</f>
        <v/>
      </c>
      <c r="H73">
        <f>SUMPRODUCT((M_BOM[Part Name]=$A73)*M_BOM[RM_Qty_Per_Batch]*IFERROR(INDEX(PP_Grid[#Data],M_BOM[PPGridRow],8),0))/64.4</f>
        <v/>
      </c>
      <c r="I73">
        <f>SUMPRODUCT((M_BOM[Part Name]=$A73)*M_BOM[RM_Qty_Per_Batch]*IFERROR(INDEX(PP_Grid[#Data],M_BOM[PPGridRow],9),0))/64.4</f>
        <v/>
      </c>
      <c r="J73">
        <f>SUMPRODUCT((M_BOM[Part Name]=$A73)*M_BOM[RM_Qty_Per_Batch]*IFERROR(INDEX(PP_Grid[#Data],M_BOM[PPGridRow],10),0))/64.4</f>
        <v/>
      </c>
      <c r="K73">
        <f>SUMPRODUCT((M_BOM[Part Name]=$A73)*M_BOM[RM_Qty_Per_Batch]*IFERROR(INDEX(PP_Grid[#Data],M_BOM[PPGridRow],11),0))/64.4</f>
        <v/>
      </c>
      <c r="L73">
        <f>SUMPRODUCT((M_BOM[Part Name]=$A73)*M_BOM[RM_Qty_Per_Batch]*IFERROR(INDEX(PP_Grid[#Data],M_BOM[PPGridRow],12),0))/64.4</f>
        <v/>
      </c>
      <c r="M73">
        <f>SUMPRODUCT((M_BOM[Part Name]=$A73)*M_BOM[RM_Qty_Per_Batch]*IFERROR(INDEX(PP_Grid[#Data],M_BOM[PPGridRow],13),0))/64.4</f>
        <v/>
      </c>
      <c r="N73">
        <f>SUMPRODUCT((M_BOM[Part Name]=$A73)*M_BOM[RM_Qty_Per_Batch]*IFERROR(INDEX(PP_Grid[#Data],M_BOM[PPGridRow],14),0))/64.4</f>
        <v/>
      </c>
      <c r="O73">
        <f>SUMPRODUCT((M_BOM[Part Name]=$A73)*M_BOM[RM_Qty_Per_Batch]*IFERROR(INDEX(PP_Grid[#Data],M_BOM[PPGridRow],15),0))/64.4</f>
        <v/>
      </c>
      <c r="P73">
        <f>SUMPRODUCT((M_BOM[Part Name]=$A73)*M_BOM[RM_Qty_Per_Batch]*IFERROR(INDEX(PP_Grid[#Data],M_BOM[PPGridRow],16),0))/64.4</f>
        <v/>
      </c>
      <c r="Q73">
        <f>SUMPRODUCT((M_BOM[Part Name]=$A73)*M_BOM[RM_Qty_Per_Batch]*IFERROR(INDEX(PP_Grid[#Data],M_BOM[PPGridRow],17),0))/64.4</f>
        <v/>
      </c>
      <c r="R73">
        <f>SUMPRODUCT((M_BOM[Part Name]=$A73)*M_BOM[RM_Qty_Per_Batch]*IFERROR(INDEX(PP_Grid[#Data],M_BOM[PPGridRow],18),0))/64.4</f>
        <v/>
      </c>
      <c r="S73">
        <f>SUMPRODUCT((M_BOM[Part Name]=$A73)*M_BOM[RM_Qty_Per_Batch]*IFERROR(INDEX(PP_Grid[#Data],M_BOM[PPGridRow],19),0))/64.4</f>
        <v/>
      </c>
      <c r="T73">
        <f>SUMPRODUCT((M_BOM[Part Name]=$A73)*M_BOM[RM_Qty_Per_Batch]*IFERROR(INDEX(PP_Grid[#Data],M_BOM[PPGridRow],20),0))/64.4</f>
        <v/>
      </c>
      <c r="U73">
        <f>SUMPRODUCT((M_BOM[Part Name]=$A73)*M_BOM[RM_Qty_Per_Batch]*IFERROR(INDEX(PP_Grid[#Data],M_BOM[PPGridRow],21),0))/64.4</f>
        <v/>
      </c>
      <c r="V73">
        <f>SUMPRODUCT((M_BOM[Part Name]=$A73)*M_BOM[RM_Qty_Per_Batch]*IFERROR(INDEX(PP_Grid[#Data],M_BOM[PPGridRow],22),0))/64.4</f>
        <v/>
      </c>
      <c r="W73">
        <f>SUMPRODUCT((M_BOM[Part Name]=$A73)*M_BOM[RM_Qty_Per_Batch]*IFERROR(INDEX(PP_Grid[#Data],M_BOM[PPGridRow],23),0))/64.4</f>
        <v/>
      </c>
      <c r="X73">
        <f>SUMPRODUCT((M_BOM[Part Name]=$A73)*M_BOM[RM_Qty_Per_Batch]*IFERROR(INDEX(PP_Grid[#Data],M_BOM[PPGridRow],24),0))/64.4</f>
        <v/>
      </c>
      <c r="Y73">
        <f>SUMPRODUCT((M_BOM[Part Name]=$A73)*M_BOM[RM_Qty_Per_Batch]*IFERROR(INDEX(PP_Grid[#Data],M_BOM[PPGridRow],25),0))/64.4</f>
        <v/>
      </c>
      <c r="Z73">
        <f>SUMPRODUCT((M_BOM[Part Name]=$A73)*M_BOM[RM_Qty_Per_Batch]*IFERROR(INDEX(PP_Grid[#Data],M_BOM[PPGridRow],26),0))/64.4</f>
        <v/>
      </c>
      <c r="AA73">
        <f>SUMPRODUCT((M_BOM[Part Name]=$A73)*M_BOM[RM_Qty_Per_Batch]*IFERROR(INDEX(PP_Grid[#Data],M_BOM[PPGridRow],27),0))/64.4</f>
        <v/>
      </c>
      <c r="AB73">
        <f>SUMPRODUCT((M_BOM[Part Name]=$A73)*M_BOM[RM_Qty_Per_Batch]*IFERROR(INDEX(PP_Grid[#Data],M_BOM[PPGridRow],28),0))/64.4</f>
        <v/>
      </c>
      <c r="AC73">
        <f>SUMPRODUCT((M_BOM[Part Name]=$A73)*M_BOM[RM_Qty_Per_Batch]*IFERROR(INDEX(PP_Grid[#Data],M_BOM[PPGridRow],29),0))/64.4</f>
        <v/>
      </c>
      <c r="AD73">
        <f>SUMPRODUCT((M_BOM[Part Name]=$A73)*M_BOM[RM_Qty_Per_Batch]*IFERROR(INDEX(PP_Grid[#Data],M_BOM[PPGridRow],30),0))/64.4</f>
        <v/>
      </c>
      <c r="AE73">
        <f>SUMPRODUCT((M_BOM[Part Name]=$A73)*M_BOM[RM_Qty_Per_Batch]*IFERROR(INDEX(PP_Grid[#Data],M_BOM[PPGridRow],31),0))/64.4</f>
        <v/>
      </c>
      <c r="AF73">
        <f>SUMPRODUCT((M_BOM[Part Name]=$A73)*M_BOM[RM_Qty_Per_Batch]*IFERROR(INDEX(PP_Grid[#Data],M_BOM[PPGridRow],32),0))/64.4</f>
        <v/>
      </c>
      <c r="AG73">
        <f>SUMPRODUCT((M_BOM[Part Name]=$A73)*M_BOM[RM_Qty_Per_Batch]*IFERROR(INDEX(PP_Grid[#Data],M_BOM[PPGridRow],33),0))/64.4</f>
        <v/>
      </c>
      <c r="AH73">
        <f>SUMPRODUCT((M_BOM[Part Name]=$A73)*M_BOM[RM_Qty_Per_Batch]*IFERROR(INDEX(PP_Grid[#Data],M_BOM[PPGridRow],34),0))/64.4</f>
        <v/>
      </c>
      <c r="AI73">
        <f>SUMPRODUCT((M_BOM[Part Name]=$A73)*M_BOM[RM_Qty_Per_Batch]*IFERROR(INDEX(PP_Grid[#Data],M_BOM[PPGridRow],35),0))/64.4</f>
        <v/>
      </c>
      <c r="AJ73">
        <f>SUMPRODUCT((M_BOM[Part Name]=$A73)*M_BOM[RM_Qty_Per_Batch]*IFERROR(INDEX(PP_Grid[#Data],M_BOM[PPGridRow],36),0))/64.4</f>
        <v/>
      </c>
      <c r="AK73">
        <f>SUMPRODUCT((M_BOM[Part Name]=$A73)*M_BOM[RM_Qty_Per_Batch]*IFERROR(INDEX(PP_Grid[#Data],M_BOM[PPGridRow],37),0))/64.4</f>
        <v/>
      </c>
      <c r="AL73">
        <f>SUMPRODUCT((M_BOM[Part Name]=$A73)*M_BOM[RM_Qty_Per_Batch]*IFERROR(INDEX(PP_Grid[#Data],M_BOM[PPGridRow],38),0))/64.4</f>
        <v/>
      </c>
      <c r="AM73">
        <f>SUMPRODUCT((M_BOM[Part Name]=$A73)*M_BOM[RM_Qty_Per_Batch]*IFERROR(INDEX(PP_Grid[#Data],M_BOM[PPGridRow],39),0))/64.4</f>
        <v/>
      </c>
      <c r="AN73">
        <f>SUMPRODUCT((M_BOM[Part Name]=$A73)*M_BOM[RM_Qty_Per_Batch]*IFERROR(INDEX(PP_Grid[#Data],M_BOM[PPGridRow],40),0))/64.4</f>
        <v/>
      </c>
      <c r="AO73">
        <f>SUMPRODUCT((M_BOM[Part Name]=$A73)*M_BOM[RM_Qty_Per_Batch]*IFERROR(INDEX(PP_Grid[#Data],M_BOM[PPGridRow],41),0))/64.4</f>
        <v/>
      </c>
      <c r="AP73">
        <f>SUMPRODUCT((M_BOM[Part Name]=$A73)*M_BOM[RM_Qty_Per_Batch]*IFERROR(INDEX(PP_Grid[#Data],M_BOM[PPGridRow],42),0))/64.4</f>
        <v/>
      </c>
      <c r="AQ73">
        <f>SUMPRODUCT((M_BOM[Part Name]=$A73)*M_BOM[RM_Qty_Per_Batch]*IFERROR(INDEX(PP_Grid[#Data],M_BOM[PPGridRow],43),0))/64.4</f>
        <v/>
      </c>
      <c r="AR73">
        <f>SUMPRODUCT((M_BOM[Part Name]=$A73)*M_BOM[RM_Qty_Per_Batch]*IFERROR(INDEX(PP_Grid[#Data],M_BOM[PPGridRow],44),0))/64.4</f>
        <v/>
      </c>
      <c r="AS73">
        <f>SUMPRODUCT((M_BOM[Part Name]=$A73)*M_BOM[RM_Qty_Per_Batch]*IFERROR(INDEX(PP_Grid[#Data],M_BOM[PPGridRow],45),0))/64.4</f>
        <v/>
      </c>
      <c r="AT73">
        <f>SUMPRODUCT((M_BOM[Part Name]=$A73)*M_BOM[RM_Qty_Per_Batch]*IFERROR(INDEX(PP_Grid[#Data],M_BOM[PPGridRow],46),0))/64.4</f>
        <v/>
      </c>
      <c r="AU73">
        <f>SUMPRODUCT((M_BOM[Part Name]=$A73)*M_BOM[RM_Qty_Per_Batch]*IFERROR(INDEX(PP_Grid[#Data],M_BOM[PPGridRow],47),0))/64.4</f>
        <v/>
      </c>
      <c r="AV73">
        <f>SUMPRODUCT((M_BOM[Part Name]=$A73)*M_BOM[RM_Qty_Per_Batch]*IFERROR(INDEX(PP_Grid[#Data],M_BOM[PPGridRow],48),0))/64.4</f>
        <v/>
      </c>
      <c r="AW73">
        <f>SUMPRODUCT((M_BOM[Part Name]=$A73)*M_BOM[RM_Qty_Per_Batch]*IFERROR(INDEX(PP_Grid[#Data],M_BOM[PPGridRow],49),0))/64.4</f>
        <v/>
      </c>
      <c r="AX73">
        <f>SUMPRODUCT((M_BOM[Part Name]=$A73)*M_BOM[RM_Qty_Per_Batch]*IFERROR(INDEX(PP_Grid[#Data],M_BOM[PPGridRow],50),0))/64.4</f>
        <v/>
      </c>
      <c r="AY73">
        <f>SUMPRODUCT((M_BOM[Part Name]=$A73)*M_BOM[RM_Qty_Per_Batch]*IFERROR(INDEX(PP_Grid[#Data],M_BOM[PPGridRow],51),0))/64.4</f>
        <v/>
      </c>
      <c r="AZ73">
        <f>SUMPRODUCT((M_BOM[Part Name]=$A73)*M_BOM[RM_Qty_Per_Batch]*IFERROR(INDEX(PP_Grid[#Data],M_BOM[PPGridRow],52),0))/64.4</f>
        <v/>
      </c>
      <c r="BA73">
        <f>SUMPRODUCT((M_BOM[Part Name]=$A73)*M_BOM[RM_Qty_Per_Batch]*IFERROR(INDEX(PP_Grid[#Data],M_BOM[PPGridRow],53),0))/64.4</f>
        <v/>
      </c>
      <c r="BB73">
        <f>SUMPRODUCT((M_BOM[Part Name]=$A73)*M_BOM[RM_Qty_Per_Batch]*IFERROR(INDEX(PP_Grid[#Data],M_BOM[PPGridRow],54),0))/64.4</f>
        <v/>
      </c>
      <c r="BC73">
        <f>SUMPRODUCT((M_BOM[Part Name]=$A73)*M_BOM[RM_Qty_Per_Batch]*IFERROR(INDEX(PP_Grid[#Data],M_BOM[PPGridRow],55),0))/64.4</f>
        <v/>
      </c>
      <c r="BD73">
        <f>SUMPRODUCT((M_BOM[Part Name]=$A73)*M_BOM[RM_Qty_Per_Batch]*IFERROR(INDEX(PP_Grid[#Data],M_BOM[PPGridRow],56),0))/64.4</f>
        <v/>
      </c>
      <c r="BE73">
        <f>SUMPRODUCT((M_BOM[Part Name]=$A73)*M_BOM[RM_Qty_Per_Batch]*IFERROR(INDEX(PP_Grid[#Data],M_BOM[PPGridRow],57),0))/64.4</f>
        <v/>
      </c>
      <c r="BF73">
        <f>SUMPRODUCT((M_BOM[Part Name]=$A73)*M_BOM[RM_Qty_Per_Batch]*IFERROR(INDEX(PP_Grid[#Data],M_BOM[PPGridRow],58),0))/64.4</f>
        <v/>
      </c>
      <c r="BG73">
        <f>SUMPRODUCT((M_BOM[Part Name]=$A73)*M_BOM[RM_Qty_Per_Batch]*IFERROR(INDEX(PP_Grid[#Data],M_BOM[PPGridRow],59),0))/64.4</f>
        <v/>
      </c>
      <c r="BH73">
        <f>SUMPRODUCT((M_BOM[Part Name]=$A73)*M_BOM[RM_Qty_Per_Batch]*IFERROR(INDEX(PP_Grid[#Data],M_BOM[PPGridRow],60),0))/64.4</f>
        <v/>
      </c>
      <c r="BI73">
        <f>SUMPRODUCT((M_BOM[Part Name]=$A73)*M_BOM[RM_Qty_Per_Batch]*IFERROR(INDEX(PP_Grid[#Data],M_BOM[PPGridRow],61),0))/64.4</f>
        <v/>
      </c>
      <c r="BJ73">
        <f>SUMPRODUCT((M_BOM[Part Name]=$A73)*M_BOM[RM_Qty_Per_Batch]*IFERROR(INDEX(PP_Grid[#Data],M_BOM[PPGridRow],62),0))/64.4</f>
        <v/>
      </c>
      <c r="BK73">
        <f>SUMPRODUCT((M_BOM[Part Name]=$A73)*M_BOM[RM_Qty_Per_Batch]*IFERROR(INDEX(PP_Grid[#Data],M_BOM[PPGridRow],63),0))/64.4</f>
        <v/>
      </c>
      <c r="BL73">
        <f>SUMPRODUCT((M_BOM[Part Name]=$A73)*M_BOM[RM_Qty_Per_Batch]*IFERROR(INDEX(PP_Grid[#Data],M_BOM[PPGridRow],64),0))/64.4</f>
        <v/>
      </c>
      <c r="BM73">
        <f>SUMPRODUCT((M_BOM[Part Name]=$A73)*M_BOM[RM_Qty_Per_Batch]*IFERROR(INDEX(PP_Grid[#Data],M_BOM[PPGridRow],65),0))/64.4</f>
        <v/>
      </c>
      <c r="BN73">
        <f>SUMPRODUCT((M_BOM[Part Name]=$A73)*M_BOM[RM_Qty_Per_Batch]*IFERROR(INDEX(PP_Grid[#Data],M_BOM[PPGridRow],66),0))/64.4</f>
        <v/>
      </c>
      <c r="BO73">
        <f>SUMPRODUCT((M_BOM[Part Name]=$A73)*M_BOM[RM_Qty_Per_Batch]*IFERROR(INDEX(PP_Grid[#Data],M_BOM[PPGridRow],67),0))/64.4</f>
        <v/>
      </c>
      <c r="BP73">
        <f>SUMPRODUCT((M_BOM[Part Name]=$A73)*M_BOM[RM_Qty_Per_Batch]*IFERROR(INDEX(PP_Grid[#Data],M_BOM[PPGridRow],68),0))/64.4</f>
        <v/>
      </c>
      <c r="BQ73">
        <f>SUMPRODUCT((M_BOM[Part Name]=$A73)*M_BOM[RM_Qty_Per_Batch]*IFERROR(INDEX(PP_Grid[#Data],M_BOM[PPGridRow],69),0))/64.4</f>
        <v/>
      </c>
      <c r="BR73">
        <f>SUMPRODUCT((M_BOM[Part Name]=$A73)*M_BOM[RM_Qty_Per_Batch]*IFERROR(INDEX(PP_Grid[#Data],M_BOM[PPGridRow],70),0))/64.4</f>
        <v/>
      </c>
      <c r="BS73">
        <f>SUMPRODUCT((M_BOM[Part Name]=$A73)*M_BOM[RM_Qty_Per_Batch]*IFERROR(INDEX(PP_Grid[#Data],M_BOM[PPGridRow],71),0))/64.4</f>
        <v/>
      </c>
      <c r="BT73">
        <f>SUMPRODUCT((M_BOM[Part Name]=$A73)*M_BOM[RM_Qty_Per_Batch]*IFERROR(INDEX(PP_Grid[#Data],M_BOM[PPGridRow],72),0))/64.4</f>
        <v/>
      </c>
      <c r="BU73">
        <f>SUMPRODUCT((M_BOM[Part Name]=$A73)*M_BOM[RM_Qty_Per_Batch]*IFERROR(INDEX(PP_Grid[#Data],M_BOM[PPGridRow],73),0))/64.4</f>
        <v/>
      </c>
      <c r="BV73">
        <f>SUMPRODUCT((M_BOM[Part Name]=$A73)*M_BOM[RM_Qty_Per_Batch]*IFERROR(INDEX(PP_Grid[#Data],M_BOM[PPGridRow],74),0))/64.4</f>
        <v/>
      </c>
      <c r="BW73">
        <f>SUMPRODUCT((M_BOM[Part Name]=$A73)*M_BOM[RM_Qty_Per_Batch]*IFERROR(INDEX(PP_Grid[#Data],M_BOM[PPGridRow],75),0))/64.4</f>
        <v/>
      </c>
      <c r="BX73">
        <f>SUMPRODUCT((M_BOM[Part Name]=$A73)*M_BOM[RM_Qty_Per_Batch]*IFERROR(INDEX(PP_Grid[#Data],M_BOM[PPGridRow],76),0))/64.4</f>
        <v/>
      </c>
      <c r="BY73">
        <f>SUMPRODUCT((M_BOM[Part Name]=$A73)*M_BOM[RM_Qty_Per_Batch]*IFERROR(INDEX(PP_Grid[#Data],M_BOM[PPGridRow],77),0))/64.4</f>
        <v/>
      </c>
      <c r="BZ73">
        <f>SUMPRODUCT((M_BOM[Part Name]=$A73)*M_BOM[RM_Qty_Per_Batch]*IFERROR(INDEX(PP_Grid[#Data],M_BOM[PPGridRow],78),0))/64.4</f>
        <v/>
      </c>
      <c r="CA73">
        <f>SUMPRODUCT((M_BOM[Part Name]=$A73)*M_BOM[RM_Qty_Per_Batch]*IFERROR(INDEX(PP_Grid[#Data],M_BOM[PPGridRow],79),0))/64.4</f>
        <v/>
      </c>
      <c r="CB73">
        <f>SUMPRODUCT((M_BOM[Part Name]=$A73)*M_BOM[RM_Qty_Per_Batch]*IFERROR(INDEX(PP_Grid[#Data],M_BOM[PPGridRow],80),0))/64.4</f>
        <v/>
      </c>
      <c r="CC73">
        <f>SUMPRODUCT((M_BOM[Part Name]=$A73)*M_BOM[RM_Qty_Per_Batch]*IFERROR(INDEX(PP_Grid[#Data],M_BOM[PPGridRow],81),0))/64.4</f>
        <v/>
      </c>
      <c r="CD73">
        <f>SUMPRODUCT((M_BOM[Part Name]=$A73)*M_BOM[RM_Qty_Per_Batch]*IFERROR(INDEX(PP_Grid[#Data],M_BOM[PPGridRow],82),0))/64.4</f>
        <v/>
      </c>
      <c r="CE73">
        <f>SUMPRODUCT((M_BOM[Part Name]=$A73)*M_BOM[RM_Qty_Per_Batch]*IFERROR(INDEX(PP_Grid[#Data],M_BOM[PPGridRow],83),0))/64.4</f>
        <v/>
      </c>
      <c r="CF73">
        <f>SUMPRODUCT((M_BOM[Part Name]=$A73)*M_BOM[RM_Qty_Per_Batch]*IFERROR(INDEX(PP_Grid[#Data],M_BOM[PPGridRow],84),0))/64.4</f>
        <v/>
      </c>
      <c r="CG73">
        <f>SUMPRODUCT((M_BOM[Part Name]=$A73)*M_BOM[RM_Qty_Per_Batch]*IFERROR(INDEX(PP_Grid[#Data],M_BOM[PPGridRow],85),0))/64.4</f>
        <v/>
      </c>
      <c r="CH73">
        <f>SUMPRODUCT((M_BOM[Part Name]=$A73)*M_BOM[RM_Qty_Per_Batch]*IFERROR(INDEX(PP_Grid[#Data],M_BOM[PPGridRow],86),0))/64.4</f>
        <v/>
      </c>
      <c r="CI73">
        <f>SUMPRODUCT((M_BOM[Part Name]=$A73)*M_BOM[RM_Qty_Per_Batch]*IFERROR(INDEX(PP_Grid[#Data],M_BOM[PPGridRow],87),0))/64.4</f>
        <v/>
      </c>
      <c r="CJ73">
        <f>SUMPRODUCT((M_BOM[Part Name]=$A73)*M_BOM[RM_Qty_Per_Batch]*IFERROR(INDEX(PP_Grid[#Data],M_BOM[PPGridRow],88),0))/64.4</f>
        <v/>
      </c>
      <c r="CK73">
        <f>SUMPRODUCT((M_BOM[Part Name]=$A73)*M_BOM[RM_Qty_Per_Batch]*IFERROR(INDEX(PP_Grid[#Data],M_BOM[PPGridRow],89),0))/64.4</f>
        <v/>
      </c>
      <c r="CL73">
        <f>SUMPRODUCT((M_BOM[Part Name]=$A73)*M_BOM[RM_Qty_Per_Batch]*IFERROR(INDEX(PP_Grid[#Data],M_BOM[PPGridRow],90),0))/64.4</f>
        <v/>
      </c>
      <c r="CM73">
        <f>SUMPRODUCT((M_BOM[Part Name]=$A73)*M_BOM[RM_Qty_Per_Batch]*IFERROR(INDEX(PP_Grid[#Data],M_BOM[PPGridRow],91),0))/64.4</f>
        <v/>
      </c>
      <c r="CN73">
        <f>SUMPRODUCT((M_BOM[Part Name]=$A73)*M_BOM[RM_Qty_Per_Batch]*IFERROR(INDEX(PP_Grid[#Data],M_BOM[PPGridRow],92),0))/64.4</f>
        <v/>
      </c>
      <c r="CO73">
        <f>SUMPRODUCT((M_BOM[Part Name]=$A73)*M_BOM[RM_Qty_Per_Batch]*IFERROR(INDEX(PP_Grid[#Data],M_BOM[PPGridRow],93),0))/64.4</f>
        <v/>
      </c>
      <c r="CP73">
        <f>SUMPRODUCT((M_BOM[Part Name]=$A73)*M_BOM[RM_Qty_Per_Batch]*IFERROR(INDEX(PP_Grid[#Data],M_BOM[PPGridRow],94),0))/64.4</f>
        <v/>
      </c>
      <c r="CQ73">
        <f>SUMPRODUCT((M_BOM[Part Name]=$A73)*M_BOM[RM_Qty_Per_Batch]*IFERROR(INDEX(PP_Grid[#Data],M_BOM[PPGridRow],95),0))/64.4</f>
        <v/>
      </c>
      <c r="CR73">
        <f>SUMPRODUCT((M_BOM[Part Name]=$A73)*M_BOM[RM_Qty_Per_Batch]*IFERROR(INDEX(PP_Grid[#Data],M_BOM[PPGridRow],96),0))/64.4</f>
        <v/>
      </c>
      <c r="CS73">
        <f>SUMPRODUCT((M_BOM[Part Name]=$A73)*M_BOM[RM_Qty_Per_Batch]*IFERROR(INDEX(PP_Grid[#Data],M_BOM[PPGridRow],97),0))/64.4</f>
        <v/>
      </c>
      <c r="CT73">
        <f>SUMPRODUCT((M_BOM[Part Name]=$A73)*M_BOM[RM_Qty_Per_Batch]*IFERROR(INDEX(PP_Grid[#Data],M_BOM[PPGridRow],98),0))/64.4</f>
        <v/>
      </c>
      <c r="CU73">
        <f>SUMPRODUCT((M_BOM[Part Name]=$A73)*M_BOM[RM_Qty_Per_Batch]*IFERROR(INDEX(PP_Grid[#Data],M_BOM[PPGridRow],99),0))/64.4</f>
        <v/>
      </c>
      <c r="CV73">
        <f>SUMPRODUCT((M_BOM[Part Name]=$A73)*M_BOM[RM_Qty_Per_Batch]*IFERROR(INDEX(PP_Grid[#Data],M_BOM[PPGridRow],100),0))/64.4</f>
        <v/>
      </c>
      <c r="CW73">
        <f>SUMPRODUCT((M_BOM[Part Name]=$A73)*M_BOM[RM_Qty_Per_Batch]*IFERROR(INDEX(PP_Grid[#Data],M_BOM[PPGridRow],101),0))/64.4</f>
        <v/>
      </c>
      <c r="CX73">
        <f>SUMPRODUCT((M_BOM[Part Name]=$A73)*M_BOM[RM_Qty_Per_Batch]*IFERROR(INDEX(PP_Grid[#Data],M_BOM[PPGridRow],102),0))/64.4</f>
        <v/>
      </c>
      <c r="CY73">
        <f>SUMPRODUCT((M_BOM[Part Name]=$A73)*M_BOM[RM_Qty_Per_Batch]*IFERROR(INDEX(PP_Grid[#Data],M_BOM[PPGridRow],103),0))/64.4</f>
        <v/>
      </c>
      <c r="CZ73">
        <f>SUMPRODUCT((M_BOM[Part Name]=$A73)*M_BOM[RM_Qty_Per_Batch]*IFERROR(INDEX(PP_Grid[#Data],M_BOM[PPGridRow],104),0))/64.4</f>
        <v/>
      </c>
      <c r="DA73">
        <f>SUMPRODUCT((M_BOM[Part Name]=$A73)*M_BOM[RM_Qty_Per_Batch]*IFERROR(INDEX(PP_Grid[#Data],M_BOM[PPGridRow],105),0))/64.4</f>
        <v/>
      </c>
    </row>
    <row r="74">
      <c r="A74" t="inlineStr">
        <is>
          <t>TPP-533</t>
        </is>
      </c>
      <c r="B74">
        <f>SUMPRODUCT((M_BOM[Part Name]=$A74)*M_BOM[RM_Qty_Per_Batch]*IFERROR(INDEX(PP_Grid[#Data],M_BOM[PPGridRow],2),0))/58.6938775510204</f>
        <v/>
      </c>
      <c r="C74">
        <f>SUMPRODUCT((M_BOM[Part Name]=$A74)*M_BOM[RM_Qty_Per_Batch]*IFERROR(INDEX(PP_Grid[#Data],M_BOM[PPGridRow],3),0))/58.6938775510204</f>
        <v/>
      </c>
      <c r="D74">
        <f>SUMPRODUCT((M_BOM[Part Name]=$A74)*M_BOM[RM_Qty_Per_Batch]*IFERROR(INDEX(PP_Grid[#Data],M_BOM[PPGridRow],4),0))/58.6938775510204</f>
        <v/>
      </c>
      <c r="E74">
        <f>SUMPRODUCT((M_BOM[Part Name]=$A74)*M_BOM[RM_Qty_Per_Batch]*IFERROR(INDEX(PP_Grid[#Data],M_BOM[PPGridRow],5),0))/58.6938775510204</f>
        <v/>
      </c>
      <c r="F74">
        <f>SUMPRODUCT((M_BOM[Part Name]=$A74)*M_BOM[RM_Qty_Per_Batch]*IFERROR(INDEX(PP_Grid[#Data],M_BOM[PPGridRow],6),0))/58.6938775510204</f>
        <v/>
      </c>
      <c r="G74">
        <f>SUMPRODUCT((M_BOM[Part Name]=$A74)*M_BOM[RM_Qty_Per_Batch]*IFERROR(INDEX(PP_Grid[#Data],M_BOM[PPGridRow],7),0))/58.6938775510204</f>
        <v/>
      </c>
      <c r="H74">
        <f>SUMPRODUCT((M_BOM[Part Name]=$A74)*M_BOM[RM_Qty_Per_Batch]*IFERROR(INDEX(PP_Grid[#Data],M_BOM[PPGridRow],8),0))/58.6938775510204</f>
        <v/>
      </c>
      <c r="I74">
        <f>SUMPRODUCT((M_BOM[Part Name]=$A74)*M_BOM[RM_Qty_Per_Batch]*IFERROR(INDEX(PP_Grid[#Data],M_BOM[PPGridRow],9),0))/58.6938775510204</f>
        <v/>
      </c>
      <c r="J74">
        <f>SUMPRODUCT((M_BOM[Part Name]=$A74)*M_BOM[RM_Qty_Per_Batch]*IFERROR(INDEX(PP_Grid[#Data],M_BOM[PPGridRow],10),0))/58.6938775510204</f>
        <v/>
      </c>
      <c r="K74">
        <f>SUMPRODUCT((M_BOM[Part Name]=$A74)*M_BOM[RM_Qty_Per_Batch]*IFERROR(INDEX(PP_Grid[#Data],M_BOM[PPGridRow],11),0))/58.6938775510204</f>
        <v/>
      </c>
      <c r="L74">
        <f>SUMPRODUCT((M_BOM[Part Name]=$A74)*M_BOM[RM_Qty_Per_Batch]*IFERROR(INDEX(PP_Grid[#Data],M_BOM[PPGridRow],12),0))/58.6938775510204</f>
        <v/>
      </c>
      <c r="M74">
        <f>SUMPRODUCT((M_BOM[Part Name]=$A74)*M_BOM[RM_Qty_Per_Batch]*IFERROR(INDEX(PP_Grid[#Data],M_BOM[PPGridRow],13),0))/58.6938775510204</f>
        <v/>
      </c>
      <c r="N74">
        <f>SUMPRODUCT((M_BOM[Part Name]=$A74)*M_BOM[RM_Qty_Per_Batch]*IFERROR(INDEX(PP_Grid[#Data],M_BOM[PPGridRow],14),0))/58.6938775510204</f>
        <v/>
      </c>
      <c r="O74">
        <f>SUMPRODUCT((M_BOM[Part Name]=$A74)*M_BOM[RM_Qty_Per_Batch]*IFERROR(INDEX(PP_Grid[#Data],M_BOM[PPGridRow],15),0))/58.6938775510204</f>
        <v/>
      </c>
      <c r="P74">
        <f>SUMPRODUCT((M_BOM[Part Name]=$A74)*M_BOM[RM_Qty_Per_Batch]*IFERROR(INDEX(PP_Grid[#Data],M_BOM[PPGridRow],16),0))/58.6938775510204</f>
        <v/>
      </c>
      <c r="Q74">
        <f>SUMPRODUCT((M_BOM[Part Name]=$A74)*M_BOM[RM_Qty_Per_Batch]*IFERROR(INDEX(PP_Grid[#Data],M_BOM[PPGridRow],17),0))/58.6938775510204</f>
        <v/>
      </c>
      <c r="R74">
        <f>SUMPRODUCT((M_BOM[Part Name]=$A74)*M_BOM[RM_Qty_Per_Batch]*IFERROR(INDEX(PP_Grid[#Data],M_BOM[PPGridRow],18),0))/58.6938775510204</f>
        <v/>
      </c>
      <c r="S74">
        <f>SUMPRODUCT((M_BOM[Part Name]=$A74)*M_BOM[RM_Qty_Per_Batch]*IFERROR(INDEX(PP_Grid[#Data],M_BOM[PPGridRow],19),0))/58.6938775510204</f>
        <v/>
      </c>
      <c r="T74">
        <f>SUMPRODUCT((M_BOM[Part Name]=$A74)*M_BOM[RM_Qty_Per_Batch]*IFERROR(INDEX(PP_Grid[#Data],M_BOM[PPGridRow],20),0))/58.6938775510204</f>
        <v/>
      </c>
      <c r="U74">
        <f>SUMPRODUCT((M_BOM[Part Name]=$A74)*M_BOM[RM_Qty_Per_Batch]*IFERROR(INDEX(PP_Grid[#Data],M_BOM[PPGridRow],21),0))/58.6938775510204</f>
        <v/>
      </c>
      <c r="V74">
        <f>SUMPRODUCT((M_BOM[Part Name]=$A74)*M_BOM[RM_Qty_Per_Batch]*IFERROR(INDEX(PP_Grid[#Data],M_BOM[PPGridRow],22),0))/58.6938775510204</f>
        <v/>
      </c>
      <c r="W74">
        <f>SUMPRODUCT((M_BOM[Part Name]=$A74)*M_BOM[RM_Qty_Per_Batch]*IFERROR(INDEX(PP_Grid[#Data],M_BOM[PPGridRow],23),0))/58.6938775510204</f>
        <v/>
      </c>
      <c r="X74">
        <f>SUMPRODUCT((M_BOM[Part Name]=$A74)*M_BOM[RM_Qty_Per_Batch]*IFERROR(INDEX(PP_Grid[#Data],M_BOM[PPGridRow],24),0))/58.6938775510204</f>
        <v/>
      </c>
      <c r="Y74">
        <f>SUMPRODUCT((M_BOM[Part Name]=$A74)*M_BOM[RM_Qty_Per_Batch]*IFERROR(INDEX(PP_Grid[#Data],M_BOM[PPGridRow],25),0))/58.6938775510204</f>
        <v/>
      </c>
      <c r="Z74">
        <f>SUMPRODUCT((M_BOM[Part Name]=$A74)*M_BOM[RM_Qty_Per_Batch]*IFERROR(INDEX(PP_Grid[#Data],M_BOM[PPGridRow],26),0))/58.6938775510204</f>
        <v/>
      </c>
      <c r="AA74">
        <f>SUMPRODUCT((M_BOM[Part Name]=$A74)*M_BOM[RM_Qty_Per_Batch]*IFERROR(INDEX(PP_Grid[#Data],M_BOM[PPGridRow],27),0))/58.6938775510204</f>
        <v/>
      </c>
      <c r="AB74">
        <f>SUMPRODUCT((M_BOM[Part Name]=$A74)*M_BOM[RM_Qty_Per_Batch]*IFERROR(INDEX(PP_Grid[#Data],M_BOM[PPGridRow],28),0))/58.6938775510204</f>
        <v/>
      </c>
      <c r="AC74">
        <f>SUMPRODUCT((M_BOM[Part Name]=$A74)*M_BOM[RM_Qty_Per_Batch]*IFERROR(INDEX(PP_Grid[#Data],M_BOM[PPGridRow],29),0))/58.6938775510204</f>
        <v/>
      </c>
      <c r="AD74">
        <f>SUMPRODUCT((M_BOM[Part Name]=$A74)*M_BOM[RM_Qty_Per_Batch]*IFERROR(INDEX(PP_Grid[#Data],M_BOM[PPGridRow],30),0))/58.6938775510204</f>
        <v/>
      </c>
      <c r="AE74">
        <f>SUMPRODUCT((M_BOM[Part Name]=$A74)*M_BOM[RM_Qty_Per_Batch]*IFERROR(INDEX(PP_Grid[#Data],M_BOM[PPGridRow],31),0))/58.6938775510204</f>
        <v/>
      </c>
      <c r="AF74">
        <f>SUMPRODUCT((M_BOM[Part Name]=$A74)*M_BOM[RM_Qty_Per_Batch]*IFERROR(INDEX(PP_Grid[#Data],M_BOM[PPGridRow],32),0))/58.6938775510204</f>
        <v/>
      </c>
      <c r="AG74">
        <f>SUMPRODUCT((M_BOM[Part Name]=$A74)*M_BOM[RM_Qty_Per_Batch]*IFERROR(INDEX(PP_Grid[#Data],M_BOM[PPGridRow],33),0))/58.6938775510204</f>
        <v/>
      </c>
      <c r="AH74">
        <f>SUMPRODUCT((M_BOM[Part Name]=$A74)*M_BOM[RM_Qty_Per_Batch]*IFERROR(INDEX(PP_Grid[#Data],M_BOM[PPGridRow],34),0))/58.6938775510204</f>
        <v/>
      </c>
      <c r="AI74">
        <f>SUMPRODUCT((M_BOM[Part Name]=$A74)*M_BOM[RM_Qty_Per_Batch]*IFERROR(INDEX(PP_Grid[#Data],M_BOM[PPGridRow],35),0))/58.6938775510204</f>
        <v/>
      </c>
      <c r="AJ74">
        <f>SUMPRODUCT((M_BOM[Part Name]=$A74)*M_BOM[RM_Qty_Per_Batch]*IFERROR(INDEX(PP_Grid[#Data],M_BOM[PPGridRow],36),0))/58.6938775510204</f>
        <v/>
      </c>
      <c r="AK74">
        <f>SUMPRODUCT((M_BOM[Part Name]=$A74)*M_BOM[RM_Qty_Per_Batch]*IFERROR(INDEX(PP_Grid[#Data],M_BOM[PPGridRow],37),0))/58.6938775510204</f>
        <v/>
      </c>
      <c r="AL74">
        <f>SUMPRODUCT((M_BOM[Part Name]=$A74)*M_BOM[RM_Qty_Per_Batch]*IFERROR(INDEX(PP_Grid[#Data],M_BOM[PPGridRow],38),0))/58.6938775510204</f>
        <v/>
      </c>
      <c r="AM74">
        <f>SUMPRODUCT((M_BOM[Part Name]=$A74)*M_BOM[RM_Qty_Per_Batch]*IFERROR(INDEX(PP_Grid[#Data],M_BOM[PPGridRow],39),0))/58.6938775510204</f>
        <v/>
      </c>
      <c r="AN74">
        <f>SUMPRODUCT((M_BOM[Part Name]=$A74)*M_BOM[RM_Qty_Per_Batch]*IFERROR(INDEX(PP_Grid[#Data],M_BOM[PPGridRow],40),0))/58.6938775510204</f>
        <v/>
      </c>
      <c r="AO74">
        <f>SUMPRODUCT((M_BOM[Part Name]=$A74)*M_BOM[RM_Qty_Per_Batch]*IFERROR(INDEX(PP_Grid[#Data],M_BOM[PPGridRow],41),0))/58.6938775510204</f>
        <v/>
      </c>
      <c r="AP74">
        <f>SUMPRODUCT((M_BOM[Part Name]=$A74)*M_BOM[RM_Qty_Per_Batch]*IFERROR(INDEX(PP_Grid[#Data],M_BOM[PPGridRow],42),0))/58.6938775510204</f>
        <v/>
      </c>
      <c r="AQ74">
        <f>SUMPRODUCT((M_BOM[Part Name]=$A74)*M_BOM[RM_Qty_Per_Batch]*IFERROR(INDEX(PP_Grid[#Data],M_BOM[PPGridRow],43),0))/58.6938775510204</f>
        <v/>
      </c>
      <c r="AR74">
        <f>SUMPRODUCT((M_BOM[Part Name]=$A74)*M_BOM[RM_Qty_Per_Batch]*IFERROR(INDEX(PP_Grid[#Data],M_BOM[PPGridRow],44),0))/58.6938775510204</f>
        <v/>
      </c>
      <c r="AS74">
        <f>SUMPRODUCT((M_BOM[Part Name]=$A74)*M_BOM[RM_Qty_Per_Batch]*IFERROR(INDEX(PP_Grid[#Data],M_BOM[PPGridRow],45),0))/58.6938775510204</f>
        <v/>
      </c>
      <c r="AT74">
        <f>SUMPRODUCT((M_BOM[Part Name]=$A74)*M_BOM[RM_Qty_Per_Batch]*IFERROR(INDEX(PP_Grid[#Data],M_BOM[PPGridRow],46),0))/58.6938775510204</f>
        <v/>
      </c>
      <c r="AU74">
        <f>SUMPRODUCT((M_BOM[Part Name]=$A74)*M_BOM[RM_Qty_Per_Batch]*IFERROR(INDEX(PP_Grid[#Data],M_BOM[PPGridRow],47),0))/58.6938775510204</f>
        <v/>
      </c>
      <c r="AV74">
        <f>SUMPRODUCT((M_BOM[Part Name]=$A74)*M_BOM[RM_Qty_Per_Batch]*IFERROR(INDEX(PP_Grid[#Data],M_BOM[PPGridRow],48),0))/58.6938775510204</f>
        <v/>
      </c>
      <c r="AW74">
        <f>SUMPRODUCT((M_BOM[Part Name]=$A74)*M_BOM[RM_Qty_Per_Batch]*IFERROR(INDEX(PP_Grid[#Data],M_BOM[PPGridRow],49),0))/58.6938775510204</f>
        <v/>
      </c>
      <c r="AX74">
        <f>SUMPRODUCT((M_BOM[Part Name]=$A74)*M_BOM[RM_Qty_Per_Batch]*IFERROR(INDEX(PP_Grid[#Data],M_BOM[PPGridRow],50),0))/58.6938775510204</f>
        <v/>
      </c>
      <c r="AY74">
        <f>SUMPRODUCT((M_BOM[Part Name]=$A74)*M_BOM[RM_Qty_Per_Batch]*IFERROR(INDEX(PP_Grid[#Data],M_BOM[PPGridRow],51),0))/58.6938775510204</f>
        <v/>
      </c>
      <c r="AZ74">
        <f>SUMPRODUCT((M_BOM[Part Name]=$A74)*M_BOM[RM_Qty_Per_Batch]*IFERROR(INDEX(PP_Grid[#Data],M_BOM[PPGridRow],52),0))/58.6938775510204</f>
        <v/>
      </c>
      <c r="BA74">
        <f>SUMPRODUCT((M_BOM[Part Name]=$A74)*M_BOM[RM_Qty_Per_Batch]*IFERROR(INDEX(PP_Grid[#Data],M_BOM[PPGridRow],53),0))/58.6938775510204</f>
        <v/>
      </c>
      <c r="BB74">
        <f>SUMPRODUCT((M_BOM[Part Name]=$A74)*M_BOM[RM_Qty_Per_Batch]*IFERROR(INDEX(PP_Grid[#Data],M_BOM[PPGridRow],54),0))/58.6938775510204</f>
        <v/>
      </c>
      <c r="BC74">
        <f>SUMPRODUCT((M_BOM[Part Name]=$A74)*M_BOM[RM_Qty_Per_Batch]*IFERROR(INDEX(PP_Grid[#Data],M_BOM[PPGridRow],55),0))/58.6938775510204</f>
        <v/>
      </c>
      <c r="BD74">
        <f>SUMPRODUCT((M_BOM[Part Name]=$A74)*M_BOM[RM_Qty_Per_Batch]*IFERROR(INDEX(PP_Grid[#Data],M_BOM[PPGridRow],56),0))/58.6938775510204</f>
        <v/>
      </c>
      <c r="BE74">
        <f>SUMPRODUCT((M_BOM[Part Name]=$A74)*M_BOM[RM_Qty_Per_Batch]*IFERROR(INDEX(PP_Grid[#Data],M_BOM[PPGridRow],57),0))/58.6938775510204</f>
        <v/>
      </c>
      <c r="BF74">
        <f>SUMPRODUCT((M_BOM[Part Name]=$A74)*M_BOM[RM_Qty_Per_Batch]*IFERROR(INDEX(PP_Grid[#Data],M_BOM[PPGridRow],58),0))/58.6938775510204</f>
        <v/>
      </c>
      <c r="BG74">
        <f>SUMPRODUCT((M_BOM[Part Name]=$A74)*M_BOM[RM_Qty_Per_Batch]*IFERROR(INDEX(PP_Grid[#Data],M_BOM[PPGridRow],59),0))/58.6938775510204</f>
        <v/>
      </c>
      <c r="BH74">
        <f>SUMPRODUCT((M_BOM[Part Name]=$A74)*M_BOM[RM_Qty_Per_Batch]*IFERROR(INDEX(PP_Grid[#Data],M_BOM[PPGridRow],60),0))/58.6938775510204</f>
        <v/>
      </c>
      <c r="BI74">
        <f>SUMPRODUCT((M_BOM[Part Name]=$A74)*M_BOM[RM_Qty_Per_Batch]*IFERROR(INDEX(PP_Grid[#Data],M_BOM[PPGridRow],61),0))/58.6938775510204</f>
        <v/>
      </c>
      <c r="BJ74">
        <f>SUMPRODUCT((M_BOM[Part Name]=$A74)*M_BOM[RM_Qty_Per_Batch]*IFERROR(INDEX(PP_Grid[#Data],M_BOM[PPGridRow],62),0))/58.6938775510204</f>
        <v/>
      </c>
      <c r="BK74">
        <f>SUMPRODUCT((M_BOM[Part Name]=$A74)*M_BOM[RM_Qty_Per_Batch]*IFERROR(INDEX(PP_Grid[#Data],M_BOM[PPGridRow],63),0))/58.6938775510204</f>
        <v/>
      </c>
      <c r="BL74">
        <f>SUMPRODUCT((M_BOM[Part Name]=$A74)*M_BOM[RM_Qty_Per_Batch]*IFERROR(INDEX(PP_Grid[#Data],M_BOM[PPGridRow],64),0))/58.6938775510204</f>
        <v/>
      </c>
      <c r="BM74">
        <f>SUMPRODUCT((M_BOM[Part Name]=$A74)*M_BOM[RM_Qty_Per_Batch]*IFERROR(INDEX(PP_Grid[#Data],M_BOM[PPGridRow],65),0))/58.6938775510204</f>
        <v/>
      </c>
      <c r="BN74">
        <f>SUMPRODUCT((M_BOM[Part Name]=$A74)*M_BOM[RM_Qty_Per_Batch]*IFERROR(INDEX(PP_Grid[#Data],M_BOM[PPGridRow],66),0))/58.6938775510204</f>
        <v/>
      </c>
      <c r="BO74">
        <f>SUMPRODUCT((M_BOM[Part Name]=$A74)*M_BOM[RM_Qty_Per_Batch]*IFERROR(INDEX(PP_Grid[#Data],M_BOM[PPGridRow],67),0))/58.6938775510204</f>
        <v/>
      </c>
      <c r="BP74">
        <f>SUMPRODUCT((M_BOM[Part Name]=$A74)*M_BOM[RM_Qty_Per_Batch]*IFERROR(INDEX(PP_Grid[#Data],M_BOM[PPGridRow],68),0))/58.6938775510204</f>
        <v/>
      </c>
      <c r="BQ74">
        <f>SUMPRODUCT((M_BOM[Part Name]=$A74)*M_BOM[RM_Qty_Per_Batch]*IFERROR(INDEX(PP_Grid[#Data],M_BOM[PPGridRow],69),0))/58.6938775510204</f>
        <v/>
      </c>
      <c r="BR74">
        <f>SUMPRODUCT((M_BOM[Part Name]=$A74)*M_BOM[RM_Qty_Per_Batch]*IFERROR(INDEX(PP_Grid[#Data],M_BOM[PPGridRow],70),0))/58.6938775510204</f>
        <v/>
      </c>
      <c r="BS74">
        <f>SUMPRODUCT((M_BOM[Part Name]=$A74)*M_BOM[RM_Qty_Per_Batch]*IFERROR(INDEX(PP_Grid[#Data],M_BOM[PPGridRow],71),0))/58.6938775510204</f>
        <v/>
      </c>
      <c r="BT74">
        <f>SUMPRODUCT((M_BOM[Part Name]=$A74)*M_BOM[RM_Qty_Per_Batch]*IFERROR(INDEX(PP_Grid[#Data],M_BOM[PPGridRow],72),0))/58.6938775510204</f>
        <v/>
      </c>
      <c r="BU74">
        <f>SUMPRODUCT((M_BOM[Part Name]=$A74)*M_BOM[RM_Qty_Per_Batch]*IFERROR(INDEX(PP_Grid[#Data],M_BOM[PPGridRow],73),0))/58.6938775510204</f>
        <v/>
      </c>
      <c r="BV74">
        <f>SUMPRODUCT((M_BOM[Part Name]=$A74)*M_BOM[RM_Qty_Per_Batch]*IFERROR(INDEX(PP_Grid[#Data],M_BOM[PPGridRow],74),0))/58.6938775510204</f>
        <v/>
      </c>
      <c r="BW74">
        <f>SUMPRODUCT((M_BOM[Part Name]=$A74)*M_BOM[RM_Qty_Per_Batch]*IFERROR(INDEX(PP_Grid[#Data],M_BOM[PPGridRow],75),0))/58.6938775510204</f>
        <v/>
      </c>
      <c r="BX74">
        <f>SUMPRODUCT((M_BOM[Part Name]=$A74)*M_BOM[RM_Qty_Per_Batch]*IFERROR(INDEX(PP_Grid[#Data],M_BOM[PPGridRow],76),0))/58.6938775510204</f>
        <v/>
      </c>
      <c r="BY74">
        <f>SUMPRODUCT((M_BOM[Part Name]=$A74)*M_BOM[RM_Qty_Per_Batch]*IFERROR(INDEX(PP_Grid[#Data],M_BOM[PPGridRow],77),0))/58.6938775510204</f>
        <v/>
      </c>
      <c r="BZ74">
        <f>SUMPRODUCT((M_BOM[Part Name]=$A74)*M_BOM[RM_Qty_Per_Batch]*IFERROR(INDEX(PP_Grid[#Data],M_BOM[PPGridRow],78),0))/58.6938775510204</f>
        <v/>
      </c>
      <c r="CA74">
        <f>SUMPRODUCT((M_BOM[Part Name]=$A74)*M_BOM[RM_Qty_Per_Batch]*IFERROR(INDEX(PP_Grid[#Data],M_BOM[PPGridRow],79),0))/58.6938775510204</f>
        <v/>
      </c>
      <c r="CB74">
        <f>SUMPRODUCT((M_BOM[Part Name]=$A74)*M_BOM[RM_Qty_Per_Batch]*IFERROR(INDEX(PP_Grid[#Data],M_BOM[PPGridRow],80),0))/58.6938775510204</f>
        <v/>
      </c>
      <c r="CC74">
        <f>SUMPRODUCT((M_BOM[Part Name]=$A74)*M_BOM[RM_Qty_Per_Batch]*IFERROR(INDEX(PP_Grid[#Data],M_BOM[PPGridRow],81),0))/58.6938775510204</f>
        <v/>
      </c>
      <c r="CD74">
        <f>SUMPRODUCT((M_BOM[Part Name]=$A74)*M_BOM[RM_Qty_Per_Batch]*IFERROR(INDEX(PP_Grid[#Data],M_BOM[PPGridRow],82),0))/58.6938775510204</f>
        <v/>
      </c>
      <c r="CE74">
        <f>SUMPRODUCT((M_BOM[Part Name]=$A74)*M_BOM[RM_Qty_Per_Batch]*IFERROR(INDEX(PP_Grid[#Data],M_BOM[PPGridRow],83),0))/58.6938775510204</f>
        <v/>
      </c>
      <c r="CF74">
        <f>SUMPRODUCT((M_BOM[Part Name]=$A74)*M_BOM[RM_Qty_Per_Batch]*IFERROR(INDEX(PP_Grid[#Data],M_BOM[PPGridRow],84),0))/58.6938775510204</f>
        <v/>
      </c>
      <c r="CG74">
        <f>SUMPRODUCT((M_BOM[Part Name]=$A74)*M_BOM[RM_Qty_Per_Batch]*IFERROR(INDEX(PP_Grid[#Data],M_BOM[PPGridRow],85),0))/58.6938775510204</f>
        <v/>
      </c>
      <c r="CH74">
        <f>SUMPRODUCT((M_BOM[Part Name]=$A74)*M_BOM[RM_Qty_Per_Batch]*IFERROR(INDEX(PP_Grid[#Data],M_BOM[PPGridRow],86),0))/58.6938775510204</f>
        <v/>
      </c>
      <c r="CI74">
        <f>SUMPRODUCT((M_BOM[Part Name]=$A74)*M_BOM[RM_Qty_Per_Batch]*IFERROR(INDEX(PP_Grid[#Data],M_BOM[PPGridRow],87),0))/58.6938775510204</f>
        <v/>
      </c>
      <c r="CJ74">
        <f>SUMPRODUCT((M_BOM[Part Name]=$A74)*M_BOM[RM_Qty_Per_Batch]*IFERROR(INDEX(PP_Grid[#Data],M_BOM[PPGridRow],88),0))/58.6938775510204</f>
        <v/>
      </c>
      <c r="CK74">
        <f>SUMPRODUCT((M_BOM[Part Name]=$A74)*M_BOM[RM_Qty_Per_Batch]*IFERROR(INDEX(PP_Grid[#Data],M_BOM[PPGridRow],89),0))/58.6938775510204</f>
        <v/>
      </c>
      <c r="CL74">
        <f>SUMPRODUCT((M_BOM[Part Name]=$A74)*M_BOM[RM_Qty_Per_Batch]*IFERROR(INDEX(PP_Grid[#Data],M_BOM[PPGridRow],90),0))/58.6938775510204</f>
        <v/>
      </c>
      <c r="CM74">
        <f>SUMPRODUCT((M_BOM[Part Name]=$A74)*M_BOM[RM_Qty_Per_Batch]*IFERROR(INDEX(PP_Grid[#Data],M_BOM[PPGridRow],91),0))/58.6938775510204</f>
        <v/>
      </c>
      <c r="CN74">
        <f>SUMPRODUCT((M_BOM[Part Name]=$A74)*M_BOM[RM_Qty_Per_Batch]*IFERROR(INDEX(PP_Grid[#Data],M_BOM[PPGridRow],92),0))/58.6938775510204</f>
        <v/>
      </c>
      <c r="CO74">
        <f>SUMPRODUCT((M_BOM[Part Name]=$A74)*M_BOM[RM_Qty_Per_Batch]*IFERROR(INDEX(PP_Grid[#Data],M_BOM[PPGridRow],93),0))/58.6938775510204</f>
        <v/>
      </c>
      <c r="CP74">
        <f>SUMPRODUCT((M_BOM[Part Name]=$A74)*M_BOM[RM_Qty_Per_Batch]*IFERROR(INDEX(PP_Grid[#Data],M_BOM[PPGridRow],94),0))/58.6938775510204</f>
        <v/>
      </c>
      <c r="CQ74">
        <f>SUMPRODUCT((M_BOM[Part Name]=$A74)*M_BOM[RM_Qty_Per_Batch]*IFERROR(INDEX(PP_Grid[#Data],M_BOM[PPGridRow],95),0))/58.6938775510204</f>
        <v/>
      </c>
      <c r="CR74">
        <f>SUMPRODUCT((M_BOM[Part Name]=$A74)*M_BOM[RM_Qty_Per_Batch]*IFERROR(INDEX(PP_Grid[#Data],M_BOM[PPGridRow],96),0))/58.6938775510204</f>
        <v/>
      </c>
      <c r="CS74">
        <f>SUMPRODUCT((M_BOM[Part Name]=$A74)*M_BOM[RM_Qty_Per_Batch]*IFERROR(INDEX(PP_Grid[#Data],M_BOM[PPGridRow],97),0))/58.6938775510204</f>
        <v/>
      </c>
      <c r="CT74">
        <f>SUMPRODUCT((M_BOM[Part Name]=$A74)*M_BOM[RM_Qty_Per_Batch]*IFERROR(INDEX(PP_Grid[#Data],M_BOM[PPGridRow],98),0))/58.6938775510204</f>
        <v/>
      </c>
      <c r="CU74">
        <f>SUMPRODUCT((M_BOM[Part Name]=$A74)*M_BOM[RM_Qty_Per_Batch]*IFERROR(INDEX(PP_Grid[#Data],M_BOM[PPGridRow],99),0))/58.6938775510204</f>
        <v/>
      </c>
      <c r="CV74">
        <f>SUMPRODUCT((M_BOM[Part Name]=$A74)*M_BOM[RM_Qty_Per_Batch]*IFERROR(INDEX(PP_Grid[#Data],M_BOM[PPGridRow],100),0))/58.6938775510204</f>
        <v/>
      </c>
      <c r="CW74">
        <f>SUMPRODUCT((M_BOM[Part Name]=$A74)*M_BOM[RM_Qty_Per_Batch]*IFERROR(INDEX(PP_Grid[#Data],M_BOM[PPGridRow],101),0))/58.6938775510204</f>
        <v/>
      </c>
      <c r="CX74">
        <f>SUMPRODUCT((M_BOM[Part Name]=$A74)*M_BOM[RM_Qty_Per_Batch]*IFERROR(INDEX(PP_Grid[#Data],M_BOM[PPGridRow],102),0))/58.6938775510204</f>
        <v/>
      </c>
      <c r="CY74">
        <f>SUMPRODUCT((M_BOM[Part Name]=$A74)*M_BOM[RM_Qty_Per_Batch]*IFERROR(INDEX(PP_Grid[#Data],M_BOM[PPGridRow],103),0))/58.6938775510204</f>
        <v/>
      </c>
      <c r="CZ74">
        <f>SUMPRODUCT((M_BOM[Part Name]=$A74)*M_BOM[RM_Qty_Per_Batch]*IFERROR(INDEX(PP_Grid[#Data],M_BOM[PPGridRow],104),0))/58.6938775510204</f>
        <v/>
      </c>
      <c r="DA74">
        <f>SUMPRODUCT((M_BOM[Part Name]=$A74)*M_BOM[RM_Qty_Per_Batch]*IFERROR(INDEX(PP_Grid[#Data],M_BOM[PPGridRow],105),0))/58.6938775510204</f>
        <v/>
      </c>
    </row>
    <row r="75">
      <c r="A75" t="inlineStr">
        <is>
          <t>TPP-611</t>
        </is>
      </c>
      <c r="B75">
        <f>SUMPRODUCT((M_BOM[Part Name]=$A75)*M_BOM[RM_Qty_Per_Batch]*IFERROR(INDEX(PP_Grid[#Data],M_BOM[PPGridRow],2),0))/17.88</f>
        <v/>
      </c>
      <c r="C75">
        <f>SUMPRODUCT((M_BOM[Part Name]=$A75)*M_BOM[RM_Qty_Per_Batch]*IFERROR(INDEX(PP_Grid[#Data],M_BOM[PPGridRow],3),0))/17.88</f>
        <v/>
      </c>
      <c r="D75">
        <f>SUMPRODUCT((M_BOM[Part Name]=$A75)*M_BOM[RM_Qty_Per_Batch]*IFERROR(INDEX(PP_Grid[#Data],M_BOM[PPGridRow],4),0))/17.88</f>
        <v/>
      </c>
      <c r="E75">
        <f>SUMPRODUCT((M_BOM[Part Name]=$A75)*M_BOM[RM_Qty_Per_Batch]*IFERROR(INDEX(PP_Grid[#Data],M_BOM[PPGridRow],5),0))/17.88</f>
        <v/>
      </c>
      <c r="F75">
        <f>SUMPRODUCT((M_BOM[Part Name]=$A75)*M_BOM[RM_Qty_Per_Batch]*IFERROR(INDEX(PP_Grid[#Data],M_BOM[PPGridRow],6),0))/17.88</f>
        <v/>
      </c>
      <c r="G75">
        <f>SUMPRODUCT((M_BOM[Part Name]=$A75)*M_BOM[RM_Qty_Per_Batch]*IFERROR(INDEX(PP_Grid[#Data],M_BOM[PPGridRow],7),0))/17.88</f>
        <v/>
      </c>
      <c r="H75">
        <f>SUMPRODUCT((M_BOM[Part Name]=$A75)*M_BOM[RM_Qty_Per_Batch]*IFERROR(INDEX(PP_Grid[#Data],M_BOM[PPGridRow],8),0))/17.88</f>
        <v/>
      </c>
      <c r="I75">
        <f>SUMPRODUCT((M_BOM[Part Name]=$A75)*M_BOM[RM_Qty_Per_Batch]*IFERROR(INDEX(PP_Grid[#Data],M_BOM[PPGridRow],9),0))/17.88</f>
        <v/>
      </c>
      <c r="J75">
        <f>SUMPRODUCT((M_BOM[Part Name]=$A75)*M_BOM[RM_Qty_Per_Batch]*IFERROR(INDEX(PP_Grid[#Data],M_BOM[PPGridRow],10),0))/17.88</f>
        <v/>
      </c>
      <c r="K75">
        <f>SUMPRODUCT((M_BOM[Part Name]=$A75)*M_BOM[RM_Qty_Per_Batch]*IFERROR(INDEX(PP_Grid[#Data],M_BOM[PPGridRow],11),0))/17.88</f>
        <v/>
      </c>
      <c r="L75">
        <f>SUMPRODUCT((M_BOM[Part Name]=$A75)*M_BOM[RM_Qty_Per_Batch]*IFERROR(INDEX(PP_Grid[#Data],M_BOM[PPGridRow],12),0))/17.88</f>
        <v/>
      </c>
      <c r="M75">
        <f>SUMPRODUCT((M_BOM[Part Name]=$A75)*M_BOM[RM_Qty_Per_Batch]*IFERROR(INDEX(PP_Grid[#Data],M_BOM[PPGridRow],13),0))/17.88</f>
        <v/>
      </c>
      <c r="N75">
        <f>SUMPRODUCT((M_BOM[Part Name]=$A75)*M_BOM[RM_Qty_Per_Batch]*IFERROR(INDEX(PP_Grid[#Data],M_BOM[PPGridRow],14),0))/17.88</f>
        <v/>
      </c>
      <c r="O75">
        <f>SUMPRODUCT((M_BOM[Part Name]=$A75)*M_BOM[RM_Qty_Per_Batch]*IFERROR(INDEX(PP_Grid[#Data],M_BOM[PPGridRow],15),0))/17.88</f>
        <v/>
      </c>
      <c r="P75">
        <f>SUMPRODUCT((M_BOM[Part Name]=$A75)*M_BOM[RM_Qty_Per_Batch]*IFERROR(INDEX(PP_Grid[#Data],M_BOM[PPGridRow],16),0))/17.88</f>
        <v/>
      </c>
      <c r="Q75">
        <f>SUMPRODUCT((M_BOM[Part Name]=$A75)*M_BOM[RM_Qty_Per_Batch]*IFERROR(INDEX(PP_Grid[#Data],M_BOM[PPGridRow],17),0))/17.88</f>
        <v/>
      </c>
      <c r="R75">
        <f>SUMPRODUCT((M_BOM[Part Name]=$A75)*M_BOM[RM_Qty_Per_Batch]*IFERROR(INDEX(PP_Grid[#Data],M_BOM[PPGridRow],18),0))/17.88</f>
        <v/>
      </c>
      <c r="S75">
        <f>SUMPRODUCT((M_BOM[Part Name]=$A75)*M_BOM[RM_Qty_Per_Batch]*IFERROR(INDEX(PP_Grid[#Data],M_BOM[PPGridRow],19),0))/17.88</f>
        <v/>
      </c>
      <c r="T75">
        <f>SUMPRODUCT((M_BOM[Part Name]=$A75)*M_BOM[RM_Qty_Per_Batch]*IFERROR(INDEX(PP_Grid[#Data],M_BOM[PPGridRow],20),0))/17.88</f>
        <v/>
      </c>
      <c r="U75">
        <f>SUMPRODUCT((M_BOM[Part Name]=$A75)*M_BOM[RM_Qty_Per_Batch]*IFERROR(INDEX(PP_Grid[#Data],M_BOM[PPGridRow],21),0))/17.88</f>
        <v/>
      </c>
      <c r="V75">
        <f>SUMPRODUCT((M_BOM[Part Name]=$A75)*M_BOM[RM_Qty_Per_Batch]*IFERROR(INDEX(PP_Grid[#Data],M_BOM[PPGridRow],22),0))/17.88</f>
        <v/>
      </c>
      <c r="W75">
        <f>SUMPRODUCT((M_BOM[Part Name]=$A75)*M_BOM[RM_Qty_Per_Batch]*IFERROR(INDEX(PP_Grid[#Data],M_BOM[PPGridRow],23),0))/17.88</f>
        <v/>
      </c>
      <c r="X75">
        <f>SUMPRODUCT((M_BOM[Part Name]=$A75)*M_BOM[RM_Qty_Per_Batch]*IFERROR(INDEX(PP_Grid[#Data],M_BOM[PPGridRow],24),0))/17.88</f>
        <v/>
      </c>
      <c r="Y75">
        <f>SUMPRODUCT((M_BOM[Part Name]=$A75)*M_BOM[RM_Qty_Per_Batch]*IFERROR(INDEX(PP_Grid[#Data],M_BOM[PPGridRow],25),0))/17.88</f>
        <v/>
      </c>
      <c r="Z75">
        <f>SUMPRODUCT((M_BOM[Part Name]=$A75)*M_BOM[RM_Qty_Per_Batch]*IFERROR(INDEX(PP_Grid[#Data],M_BOM[PPGridRow],26),0))/17.88</f>
        <v/>
      </c>
      <c r="AA75">
        <f>SUMPRODUCT((M_BOM[Part Name]=$A75)*M_BOM[RM_Qty_Per_Batch]*IFERROR(INDEX(PP_Grid[#Data],M_BOM[PPGridRow],27),0))/17.88</f>
        <v/>
      </c>
      <c r="AB75">
        <f>SUMPRODUCT((M_BOM[Part Name]=$A75)*M_BOM[RM_Qty_Per_Batch]*IFERROR(INDEX(PP_Grid[#Data],M_BOM[PPGridRow],28),0))/17.88</f>
        <v/>
      </c>
      <c r="AC75">
        <f>SUMPRODUCT((M_BOM[Part Name]=$A75)*M_BOM[RM_Qty_Per_Batch]*IFERROR(INDEX(PP_Grid[#Data],M_BOM[PPGridRow],29),0))/17.88</f>
        <v/>
      </c>
      <c r="AD75">
        <f>SUMPRODUCT((M_BOM[Part Name]=$A75)*M_BOM[RM_Qty_Per_Batch]*IFERROR(INDEX(PP_Grid[#Data],M_BOM[PPGridRow],30),0))/17.88</f>
        <v/>
      </c>
      <c r="AE75">
        <f>SUMPRODUCT((M_BOM[Part Name]=$A75)*M_BOM[RM_Qty_Per_Batch]*IFERROR(INDEX(PP_Grid[#Data],M_BOM[PPGridRow],31),0))/17.88</f>
        <v/>
      </c>
      <c r="AF75">
        <f>SUMPRODUCT((M_BOM[Part Name]=$A75)*M_BOM[RM_Qty_Per_Batch]*IFERROR(INDEX(PP_Grid[#Data],M_BOM[PPGridRow],32),0))/17.88</f>
        <v/>
      </c>
      <c r="AG75">
        <f>SUMPRODUCT((M_BOM[Part Name]=$A75)*M_BOM[RM_Qty_Per_Batch]*IFERROR(INDEX(PP_Grid[#Data],M_BOM[PPGridRow],33),0))/17.88</f>
        <v/>
      </c>
      <c r="AH75">
        <f>SUMPRODUCT((M_BOM[Part Name]=$A75)*M_BOM[RM_Qty_Per_Batch]*IFERROR(INDEX(PP_Grid[#Data],M_BOM[PPGridRow],34),0))/17.88</f>
        <v/>
      </c>
      <c r="AI75">
        <f>SUMPRODUCT((M_BOM[Part Name]=$A75)*M_BOM[RM_Qty_Per_Batch]*IFERROR(INDEX(PP_Grid[#Data],M_BOM[PPGridRow],35),0))/17.88</f>
        <v/>
      </c>
      <c r="AJ75">
        <f>SUMPRODUCT((M_BOM[Part Name]=$A75)*M_BOM[RM_Qty_Per_Batch]*IFERROR(INDEX(PP_Grid[#Data],M_BOM[PPGridRow],36),0))/17.88</f>
        <v/>
      </c>
      <c r="AK75">
        <f>SUMPRODUCT((M_BOM[Part Name]=$A75)*M_BOM[RM_Qty_Per_Batch]*IFERROR(INDEX(PP_Grid[#Data],M_BOM[PPGridRow],37),0))/17.88</f>
        <v/>
      </c>
      <c r="AL75">
        <f>SUMPRODUCT((M_BOM[Part Name]=$A75)*M_BOM[RM_Qty_Per_Batch]*IFERROR(INDEX(PP_Grid[#Data],M_BOM[PPGridRow],38),0))/17.88</f>
        <v/>
      </c>
      <c r="AM75">
        <f>SUMPRODUCT((M_BOM[Part Name]=$A75)*M_BOM[RM_Qty_Per_Batch]*IFERROR(INDEX(PP_Grid[#Data],M_BOM[PPGridRow],39),0))/17.88</f>
        <v/>
      </c>
      <c r="AN75">
        <f>SUMPRODUCT((M_BOM[Part Name]=$A75)*M_BOM[RM_Qty_Per_Batch]*IFERROR(INDEX(PP_Grid[#Data],M_BOM[PPGridRow],40),0))/17.88</f>
        <v/>
      </c>
      <c r="AO75">
        <f>SUMPRODUCT((M_BOM[Part Name]=$A75)*M_BOM[RM_Qty_Per_Batch]*IFERROR(INDEX(PP_Grid[#Data],M_BOM[PPGridRow],41),0))/17.88</f>
        <v/>
      </c>
      <c r="AP75">
        <f>SUMPRODUCT((M_BOM[Part Name]=$A75)*M_BOM[RM_Qty_Per_Batch]*IFERROR(INDEX(PP_Grid[#Data],M_BOM[PPGridRow],42),0))/17.88</f>
        <v/>
      </c>
      <c r="AQ75">
        <f>SUMPRODUCT((M_BOM[Part Name]=$A75)*M_BOM[RM_Qty_Per_Batch]*IFERROR(INDEX(PP_Grid[#Data],M_BOM[PPGridRow],43),0))/17.88</f>
        <v/>
      </c>
      <c r="AR75">
        <f>SUMPRODUCT((M_BOM[Part Name]=$A75)*M_BOM[RM_Qty_Per_Batch]*IFERROR(INDEX(PP_Grid[#Data],M_BOM[PPGridRow],44),0))/17.88</f>
        <v/>
      </c>
      <c r="AS75">
        <f>SUMPRODUCT((M_BOM[Part Name]=$A75)*M_BOM[RM_Qty_Per_Batch]*IFERROR(INDEX(PP_Grid[#Data],M_BOM[PPGridRow],45),0))/17.88</f>
        <v/>
      </c>
      <c r="AT75">
        <f>SUMPRODUCT((M_BOM[Part Name]=$A75)*M_BOM[RM_Qty_Per_Batch]*IFERROR(INDEX(PP_Grid[#Data],M_BOM[PPGridRow],46),0))/17.88</f>
        <v/>
      </c>
      <c r="AU75">
        <f>SUMPRODUCT((M_BOM[Part Name]=$A75)*M_BOM[RM_Qty_Per_Batch]*IFERROR(INDEX(PP_Grid[#Data],M_BOM[PPGridRow],47),0))/17.88</f>
        <v/>
      </c>
      <c r="AV75">
        <f>SUMPRODUCT((M_BOM[Part Name]=$A75)*M_BOM[RM_Qty_Per_Batch]*IFERROR(INDEX(PP_Grid[#Data],M_BOM[PPGridRow],48),0))/17.88</f>
        <v/>
      </c>
      <c r="AW75">
        <f>SUMPRODUCT((M_BOM[Part Name]=$A75)*M_BOM[RM_Qty_Per_Batch]*IFERROR(INDEX(PP_Grid[#Data],M_BOM[PPGridRow],49),0))/17.88</f>
        <v/>
      </c>
      <c r="AX75">
        <f>SUMPRODUCT((M_BOM[Part Name]=$A75)*M_BOM[RM_Qty_Per_Batch]*IFERROR(INDEX(PP_Grid[#Data],M_BOM[PPGridRow],50),0))/17.88</f>
        <v/>
      </c>
      <c r="AY75">
        <f>SUMPRODUCT((M_BOM[Part Name]=$A75)*M_BOM[RM_Qty_Per_Batch]*IFERROR(INDEX(PP_Grid[#Data],M_BOM[PPGridRow],51),0))/17.88</f>
        <v/>
      </c>
      <c r="AZ75">
        <f>SUMPRODUCT((M_BOM[Part Name]=$A75)*M_BOM[RM_Qty_Per_Batch]*IFERROR(INDEX(PP_Grid[#Data],M_BOM[PPGridRow],52),0))/17.88</f>
        <v/>
      </c>
      <c r="BA75">
        <f>SUMPRODUCT((M_BOM[Part Name]=$A75)*M_BOM[RM_Qty_Per_Batch]*IFERROR(INDEX(PP_Grid[#Data],M_BOM[PPGridRow],53),0))/17.88</f>
        <v/>
      </c>
      <c r="BB75">
        <f>SUMPRODUCT((M_BOM[Part Name]=$A75)*M_BOM[RM_Qty_Per_Batch]*IFERROR(INDEX(PP_Grid[#Data],M_BOM[PPGridRow],54),0))/17.88</f>
        <v/>
      </c>
      <c r="BC75">
        <f>SUMPRODUCT((M_BOM[Part Name]=$A75)*M_BOM[RM_Qty_Per_Batch]*IFERROR(INDEX(PP_Grid[#Data],M_BOM[PPGridRow],55),0))/17.88</f>
        <v/>
      </c>
      <c r="BD75">
        <f>SUMPRODUCT((M_BOM[Part Name]=$A75)*M_BOM[RM_Qty_Per_Batch]*IFERROR(INDEX(PP_Grid[#Data],M_BOM[PPGridRow],56),0))/17.88</f>
        <v/>
      </c>
      <c r="BE75">
        <f>SUMPRODUCT((M_BOM[Part Name]=$A75)*M_BOM[RM_Qty_Per_Batch]*IFERROR(INDEX(PP_Grid[#Data],M_BOM[PPGridRow],57),0))/17.88</f>
        <v/>
      </c>
      <c r="BF75">
        <f>SUMPRODUCT((M_BOM[Part Name]=$A75)*M_BOM[RM_Qty_Per_Batch]*IFERROR(INDEX(PP_Grid[#Data],M_BOM[PPGridRow],58),0))/17.88</f>
        <v/>
      </c>
      <c r="BG75">
        <f>SUMPRODUCT((M_BOM[Part Name]=$A75)*M_BOM[RM_Qty_Per_Batch]*IFERROR(INDEX(PP_Grid[#Data],M_BOM[PPGridRow],59),0))/17.88</f>
        <v/>
      </c>
      <c r="BH75">
        <f>SUMPRODUCT((M_BOM[Part Name]=$A75)*M_BOM[RM_Qty_Per_Batch]*IFERROR(INDEX(PP_Grid[#Data],M_BOM[PPGridRow],60),0))/17.88</f>
        <v/>
      </c>
      <c r="BI75">
        <f>SUMPRODUCT((M_BOM[Part Name]=$A75)*M_BOM[RM_Qty_Per_Batch]*IFERROR(INDEX(PP_Grid[#Data],M_BOM[PPGridRow],61),0))/17.88</f>
        <v/>
      </c>
      <c r="BJ75">
        <f>SUMPRODUCT((M_BOM[Part Name]=$A75)*M_BOM[RM_Qty_Per_Batch]*IFERROR(INDEX(PP_Grid[#Data],M_BOM[PPGridRow],62),0))/17.88</f>
        <v/>
      </c>
      <c r="BK75">
        <f>SUMPRODUCT((M_BOM[Part Name]=$A75)*M_BOM[RM_Qty_Per_Batch]*IFERROR(INDEX(PP_Grid[#Data],M_BOM[PPGridRow],63),0))/17.88</f>
        <v/>
      </c>
      <c r="BL75">
        <f>SUMPRODUCT((M_BOM[Part Name]=$A75)*M_BOM[RM_Qty_Per_Batch]*IFERROR(INDEX(PP_Grid[#Data],M_BOM[PPGridRow],64),0))/17.88</f>
        <v/>
      </c>
      <c r="BM75">
        <f>SUMPRODUCT((M_BOM[Part Name]=$A75)*M_BOM[RM_Qty_Per_Batch]*IFERROR(INDEX(PP_Grid[#Data],M_BOM[PPGridRow],65),0))/17.88</f>
        <v/>
      </c>
      <c r="BN75">
        <f>SUMPRODUCT((M_BOM[Part Name]=$A75)*M_BOM[RM_Qty_Per_Batch]*IFERROR(INDEX(PP_Grid[#Data],M_BOM[PPGridRow],66),0))/17.88</f>
        <v/>
      </c>
      <c r="BO75">
        <f>SUMPRODUCT((M_BOM[Part Name]=$A75)*M_BOM[RM_Qty_Per_Batch]*IFERROR(INDEX(PP_Grid[#Data],M_BOM[PPGridRow],67),0))/17.88</f>
        <v/>
      </c>
      <c r="BP75">
        <f>SUMPRODUCT((M_BOM[Part Name]=$A75)*M_BOM[RM_Qty_Per_Batch]*IFERROR(INDEX(PP_Grid[#Data],M_BOM[PPGridRow],68),0))/17.88</f>
        <v/>
      </c>
      <c r="BQ75">
        <f>SUMPRODUCT((M_BOM[Part Name]=$A75)*M_BOM[RM_Qty_Per_Batch]*IFERROR(INDEX(PP_Grid[#Data],M_BOM[PPGridRow],69),0))/17.88</f>
        <v/>
      </c>
      <c r="BR75">
        <f>SUMPRODUCT((M_BOM[Part Name]=$A75)*M_BOM[RM_Qty_Per_Batch]*IFERROR(INDEX(PP_Grid[#Data],M_BOM[PPGridRow],70),0))/17.88</f>
        <v/>
      </c>
      <c r="BS75">
        <f>SUMPRODUCT((M_BOM[Part Name]=$A75)*M_BOM[RM_Qty_Per_Batch]*IFERROR(INDEX(PP_Grid[#Data],M_BOM[PPGridRow],71),0))/17.88</f>
        <v/>
      </c>
      <c r="BT75">
        <f>SUMPRODUCT((M_BOM[Part Name]=$A75)*M_BOM[RM_Qty_Per_Batch]*IFERROR(INDEX(PP_Grid[#Data],M_BOM[PPGridRow],72),0))/17.88</f>
        <v/>
      </c>
      <c r="BU75">
        <f>SUMPRODUCT((M_BOM[Part Name]=$A75)*M_BOM[RM_Qty_Per_Batch]*IFERROR(INDEX(PP_Grid[#Data],M_BOM[PPGridRow],73),0))/17.88</f>
        <v/>
      </c>
      <c r="BV75">
        <f>SUMPRODUCT((M_BOM[Part Name]=$A75)*M_BOM[RM_Qty_Per_Batch]*IFERROR(INDEX(PP_Grid[#Data],M_BOM[PPGridRow],74),0))/17.88</f>
        <v/>
      </c>
      <c r="BW75">
        <f>SUMPRODUCT((M_BOM[Part Name]=$A75)*M_BOM[RM_Qty_Per_Batch]*IFERROR(INDEX(PP_Grid[#Data],M_BOM[PPGridRow],75),0))/17.88</f>
        <v/>
      </c>
      <c r="BX75">
        <f>SUMPRODUCT((M_BOM[Part Name]=$A75)*M_BOM[RM_Qty_Per_Batch]*IFERROR(INDEX(PP_Grid[#Data],M_BOM[PPGridRow],76),0))/17.88</f>
        <v/>
      </c>
      <c r="BY75">
        <f>SUMPRODUCT((M_BOM[Part Name]=$A75)*M_BOM[RM_Qty_Per_Batch]*IFERROR(INDEX(PP_Grid[#Data],M_BOM[PPGridRow],77),0))/17.88</f>
        <v/>
      </c>
      <c r="BZ75">
        <f>SUMPRODUCT((M_BOM[Part Name]=$A75)*M_BOM[RM_Qty_Per_Batch]*IFERROR(INDEX(PP_Grid[#Data],M_BOM[PPGridRow],78),0))/17.88</f>
        <v/>
      </c>
      <c r="CA75">
        <f>SUMPRODUCT((M_BOM[Part Name]=$A75)*M_BOM[RM_Qty_Per_Batch]*IFERROR(INDEX(PP_Grid[#Data],M_BOM[PPGridRow],79),0))/17.88</f>
        <v/>
      </c>
      <c r="CB75">
        <f>SUMPRODUCT((M_BOM[Part Name]=$A75)*M_BOM[RM_Qty_Per_Batch]*IFERROR(INDEX(PP_Grid[#Data],M_BOM[PPGridRow],80),0))/17.88</f>
        <v/>
      </c>
      <c r="CC75">
        <f>SUMPRODUCT((M_BOM[Part Name]=$A75)*M_BOM[RM_Qty_Per_Batch]*IFERROR(INDEX(PP_Grid[#Data],M_BOM[PPGridRow],81),0))/17.88</f>
        <v/>
      </c>
      <c r="CD75">
        <f>SUMPRODUCT((M_BOM[Part Name]=$A75)*M_BOM[RM_Qty_Per_Batch]*IFERROR(INDEX(PP_Grid[#Data],M_BOM[PPGridRow],82),0))/17.88</f>
        <v/>
      </c>
      <c r="CE75">
        <f>SUMPRODUCT((M_BOM[Part Name]=$A75)*M_BOM[RM_Qty_Per_Batch]*IFERROR(INDEX(PP_Grid[#Data],M_BOM[PPGridRow],83),0))/17.88</f>
        <v/>
      </c>
      <c r="CF75">
        <f>SUMPRODUCT((M_BOM[Part Name]=$A75)*M_BOM[RM_Qty_Per_Batch]*IFERROR(INDEX(PP_Grid[#Data],M_BOM[PPGridRow],84),0))/17.88</f>
        <v/>
      </c>
      <c r="CG75">
        <f>SUMPRODUCT((M_BOM[Part Name]=$A75)*M_BOM[RM_Qty_Per_Batch]*IFERROR(INDEX(PP_Grid[#Data],M_BOM[PPGridRow],85),0))/17.88</f>
        <v/>
      </c>
      <c r="CH75">
        <f>SUMPRODUCT((M_BOM[Part Name]=$A75)*M_BOM[RM_Qty_Per_Batch]*IFERROR(INDEX(PP_Grid[#Data],M_BOM[PPGridRow],86),0))/17.88</f>
        <v/>
      </c>
      <c r="CI75">
        <f>SUMPRODUCT((M_BOM[Part Name]=$A75)*M_BOM[RM_Qty_Per_Batch]*IFERROR(INDEX(PP_Grid[#Data],M_BOM[PPGridRow],87),0))/17.88</f>
        <v/>
      </c>
      <c r="CJ75">
        <f>SUMPRODUCT((M_BOM[Part Name]=$A75)*M_BOM[RM_Qty_Per_Batch]*IFERROR(INDEX(PP_Grid[#Data],M_BOM[PPGridRow],88),0))/17.88</f>
        <v/>
      </c>
      <c r="CK75">
        <f>SUMPRODUCT((M_BOM[Part Name]=$A75)*M_BOM[RM_Qty_Per_Batch]*IFERROR(INDEX(PP_Grid[#Data],M_BOM[PPGridRow],89),0))/17.88</f>
        <v/>
      </c>
      <c r="CL75">
        <f>SUMPRODUCT((M_BOM[Part Name]=$A75)*M_BOM[RM_Qty_Per_Batch]*IFERROR(INDEX(PP_Grid[#Data],M_BOM[PPGridRow],90),0))/17.88</f>
        <v/>
      </c>
      <c r="CM75">
        <f>SUMPRODUCT((M_BOM[Part Name]=$A75)*M_BOM[RM_Qty_Per_Batch]*IFERROR(INDEX(PP_Grid[#Data],M_BOM[PPGridRow],91),0))/17.88</f>
        <v/>
      </c>
      <c r="CN75">
        <f>SUMPRODUCT((M_BOM[Part Name]=$A75)*M_BOM[RM_Qty_Per_Batch]*IFERROR(INDEX(PP_Grid[#Data],M_BOM[PPGridRow],92),0))/17.88</f>
        <v/>
      </c>
      <c r="CO75">
        <f>SUMPRODUCT((M_BOM[Part Name]=$A75)*M_BOM[RM_Qty_Per_Batch]*IFERROR(INDEX(PP_Grid[#Data],M_BOM[PPGridRow],93),0))/17.88</f>
        <v/>
      </c>
      <c r="CP75">
        <f>SUMPRODUCT((M_BOM[Part Name]=$A75)*M_BOM[RM_Qty_Per_Batch]*IFERROR(INDEX(PP_Grid[#Data],M_BOM[PPGridRow],94),0))/17.88</f>
        <v/>
      </c>
      <c r="CQ75">
        <f>SUMPRODUCT((M_BOM[Part Name]=$A75)*M_BOM[RM_Qty_Per_Batch]*IFERROR(INDEX(PP_Grid[#Data],M_BOM[PPGridRow],95),0))/17.88</f>
        <v/>
      </c>
      <c r="CR75">
        <f>SUMPRODUCT((M_BOM[Part Name]=$A75)*M_BOM[RM_Qty_Per_Batch]*IFERROR(INDEX(PP_Grid[#Data],M_BOM[PPGridRow],96),0))/17.88</f>
        <v/>
      </c>
      <c r="CS75">
        <f>SUMPRODUCT((M_BOM[Part Name]=$A75)*M_BOM[RM_Qty_Per_Batch]*IFERROR(INDEX(PP_Grid[#Data],M_BOM[PPGridRow],97),0))/17.88</f>
        <v/>
      </c>
      <c r="CT75">
        <f>SUMPRODUCT((M_BOM[Part Name]=$A75)*M_BOM[RM_Qty_Per_Batch]*IFERROR(INDEX(PP_Grid[#Data],M_BOM[PPGridRow],98),0))/17.88</f>
        <v/>
      </c>
      <c r="CU75">
        <f>SUMPRODUCT((M_BOM[Part Name]=$A75)*M_BOM[RM_Qty_Per_Batch]*IFERROR(INDEX(PP_Grid[#Data],M_BOM[PPGridRow],99),0))/17.88</f>
        <v/>
      </c>
      <c r="CV75">
        <f>SUMPRODUCT((M_BOM[Part Name]=$A75)*M_BOM[RM_Qty_Per_Batch]*IFERROR(INDEX(PP_Grid[#Data],M_BOM[PPGridRow],100),0))/17.88</f>
        <v/>
      </c>
      <c r="CW75">
        <f>SUMPRODUCT((M_BOM[Part Name]=$A75)*M_BOM[RM_Qty_Per_Batch]*IFERROR(INDEX(PP_Grid[#Data],M_BOM[PPGridRow],101),0))/17.88</f>
        <v/>
      </c>
      <c r="CX75">
        <f>SUMPRODUCT((M_BOM[Part Name]=$A75)*M_BOM[RM_Qty_Per_Batch]*IFERROR(INDEX(PP_Grid[#Data],M_BOM[PPGridRow],102),0))/17.88</f>
        <v/>
      </c>
      <c r="CY75">
        <f>SUMPRODUCT((M_BOM[Part Name]=$A75)*M_BOM[RM_Qty_Per_Batch]*IFERROR(INDEX(PP_Grid[#Data],M_BOM[PPGridRow],103),0))/17.88</f>
        <v/>
      </c>
      <c r="CZ75">
        <f>SUMPRODUCT((M_BOM[Part Name]=$A75)*M_BOM[RM_Qty_Per_Batch]*IFERROR(INDEX(PP_Grid[#Data],M_BOM[PPGridRow],104),0))/17.88</f>
        <v/>
      </c>
      <c r="DA75">
        <f>SUMPRODUCT((M_BOM[Part Name]=$A75)*M_BOM[RM_Qty_Per_Batch]*IFERROR(INDEX(PP_Grid[#Data],M_BOM[PPGridRow],105),0))/17.88</f>
        <v/>
      </c>
    </row>
    <row r="76">
      <c r="A76" t="inlineStr">
        <is>
          <t>TPP-613</t>
        </is>
      </c>
      <c r="B76">
        <f>SUMPRODUCT((M_BOM[Part Name]=$A76)*M_BOM[RM_Qty_Per_Batch]*IFERROR(INDEX(PP_Grid[#Data],M_BOM[PPGridRow],2),0))/17.82</f>
        <v/>
      </c>
      <c r="C76">
        <f>SUMPRODUCT((M_BOM[Part Name]=$A76)*M_BOM[RM_Qty_Per_Batch]*IFERROR(INDEX(PP_Grid[#Data],M_BOM[PPGridRow],3),0))/17.82</f>
        <v/>
      </c>
      <c r="D76">
        <f>SUMPRODUCT((M_BOM[Part Name]=$A76)*M_BOM[RM_Qty_Per_Batch]*IFERROR(INDEX(PP_Grid[#Data],M_BOM[PPGridRow],4),0))/17.82</f>
        <v/>
      </c>
      <c r="E76">
        <f>SUMPRODUCT((M_BOM[Part Name]=$A76)*M_BOM[RM_Qty_Per_Batch]*IFERROR(INDEX(PP_Grid[#Data],M_BOM[PPGridRow],5),0))/17.82</f>
        <v/>
      </c>
      <c r="F76">
        <f>SUMPRODUCT((M_BOM[Part Name]=$A76)*M_BOM[RM_Qty_Per_Batch]*IFERROR(INDEX(PP_Grid[#Data],M_BOM[PPGridRow],6),0))/17.82</f>
        <v/>
      </c>
      <c r="G76">
        <f>SUMPRODUCT((M_BOM[Part Name]=$A76)*M_BOM[RM_Qty_Per_Batch]*IFERROR(INDEX(PP_Grid[#Data],M_BOM[PPGridRow],7),0))/17.82</f>
        <v/>
      </c>
      <c r="H76">
        <f>SUMPRODUCT((M_BOM[Part Name]=$A76)*M_BOM[RM_Qty_Per_Batch]*IFERROR(INDEX(PP_Grid[#Data],M_BOM[PPGridRow],8),0))/17.82</f>
        <v/>
      </c>
      <c r="I76">
        <f>SUMPRODUCT((M_BOM[Part Name]=$A76)*M_BOM[RM_Qty_Per_Batch]*IFERROR(INDEX(PP_Grid[#Data],M_BOM[PPGridRow],9),0))/17.82</f>
        <v/>
      </c>
      <c r="J76">
        <f>SUMPRODUCT((M_BOM[Part Name]=$A76)*M_BOM[RM_Qty_Per_Batch]*IFERROR(INDEX(PP_Grid[#Data],M_BOM[PPGridRow],10),0))/17.82</f>
        <v/>
      </c>
      <c r="K76">
        <f>SUMPRODUCT((M_BOM[Part Name]=$A76)*M_BOM[RM_Qty_Per_Batch]*IFERROR(INDEX(PP_Grid[#Data],M_BOM[PPGridRow],11),0))/17.82</f>
        <v/>
      </c>
      <c r="L76">
        <f>SUMPRODUCT((M_BOM[Part Name]=$A76)*M_BOM[RM_Qty_Per_Batch]*IFERROR(INDEX(PP_Grid[#Data],M_BOM[PPGridRow],12),0))/17.82</f>
        <v/>
      </c>
      <c r="M76">
        <f>SUMPRODUCT((M_BOM[Part Name]=$A76)*M_BOM[RM_Qty_Per_Batch]*IFERROR(INDEX(PP_Grid[#Data],M_BOM[PPGridRow],13),0))/17.82</f>
        <v/>
      </c>
      <c r="N76">
        <f>SUMPRODUCT((M_BOM[Part Name]=$A76)*M_BOM[RM_Qty_Per_Batch]*IFERROR(INDEX(PP_Grid[#Data],M_BOM[PPGridRow],14),0))/17.82</f>
        <v/>
      </c>
      <c r="O76">
        <f>SUMPRODUCT((M_BOM[Part Name]=$A76)*M_BOM[RM_Qty_Per_Batch]*IFERROR(INDEX(PP_Grid[#Data],M_BOM[PPGridRow],15),0))/17.82</f>
        <v/>
      </c>
      <c r="P76">
        <f>SUMPRODUCT((M_BOM[Part Name]=$A76)*M_BOM[RM_Qty_Per_Batch]*IFERROR(INDEX(PP_Grid[#Data],M_BOM[PPGridRow],16),0))/17.82</f>
        <v/>
      </c>
      <c r="Q76">
        <f>SUMPRODUCT((M_BOM[Part Name]=$A76)*M_BOM[RM_Qty_Per_Batch]*IFERROR(INDEX(PP_Grid[#Data],M_BOM[PPGridRow],17),0))/17.82</f>
        <v/>
      </c>
      <c r="R76">
        <f>SUMPRODUCT((M_BOM[Part Name]=$A76)*M_BOM[RM_Qty_Per_Batch]*IFERROR(INDEX(PP_Grid[#Data],M_BOM[PPGridRow],18),0))/17.82</f>
        <v/>
      </c>
      <c r="S76">
        <f>SUMPRODUCT((M_BOM[Part Name]=$A76)*M_BOM[RM_Qty_Per_Batch]*IFERROR(INDEX(PP_Grid[#Data],M_BOM[PPGridRow],19),0))/17.82</f>
        <v/>
      </c>
      <c r="T76">
        <f>SUMPRODUCT((M_BOM[Part Name]=$A76)*M_BOM[RM_Qty_Per_Batch]*IFERROR(INDEX(PP_Grid[#Data],M_BOM[PPGridRow],20),0))/17.82</f>
        <v/>
      </c>
      <c r="U76">
        <f>SUMPRODUCT((M_BOM[Part Name]=$A76)*M_BOM[RM_Qty_Per_Batch]*IFERROR(INDEX(PP_Grid[#Data],M_BOM[PPGridRow],21),0))/17.82</f>
        <v/>
      </c>
      <c r="V76">
        <f>SUMPRODUCT((M_BOM[Part Name]=$A76)*M_BOM[RM_Qty_Per_Batch]*IFERROR(INDEX(PP_Grid[#Data],M_BOM[PPGridRow],22),0))/17.82</f>
        <v/>
      </c>
      <c r="W76">
        <f>SUMPRODUCT((M_BOM[Part Name]=$A76)*M_BOM[RM_Qty_Per_Batch]*IFERROR(INDEX(PP_Grid[#Data],M_BOM[PPGridRow],23),0))/17.82</f>
        <v/>
      </c>
      <c r="X76">
        <f>SUMPRODUCT((M_BOM[Part Name]=$A76)*M_BOM[RM_Qty_Per_Batch]*IFERROR(INDEX(PP_Grid[#Data],M_BOM[PPGridRow],24),0))/17.82</f>
        <v/>
      </c>
      <c r="Y76">
        <f>SUMPRODUCT((M_BOM[Part Name]=$A76)*M_BOM[RM_Qty_Per_Batch]*IFERROR(INDEX(PP_Grid[#Data],M_BOM[PPGridRow],25),0))/17.82</f>
        <v/>
      </c>
      <c r="Z76">
        <f>SUMPRODUCT((M_BOM[Part Name]=$A76)*M_BOM[RM_Qty_Per_Batch]*IFERROR(INDEX(PP_Grid[#Data],M_BOM[PPGridRow],26),0))/17.82</f>
        <v/>
      </c>
      <c r="AA76">
        <f>SUMPRODUCT((M_BOM[Part Name]=$A76)*M_BOM[RM_Qty_Per_Batch]*IFERROR(INDEX(PP_Grid[#Data],M_BOM[PPGridRow],27),0))/17.82</f>
        <v/>
      </c>
      <c r="AB76">
        <f>SUMPRODUCT((M_BOM[Part Name]=$A76)*M_BOM[RM_Qty_Per_Batch]*IFERROR(INDEX(PP_Grid[#Data],M_BOM[PPGridRow],28),0))/17.82</f>
        <v/>
      </c>
      <c r="AC76">
        <f>SUMPRODUCT((M_BOM[Part Name]=$A76)*M_BOM[RM_Qty_Per_Batch]*IFERROR(INDEX(PP_Grid[#Data],M_BOM[PPGridRow],29),0))/17.82</f>
        <v/>
      </c>
      <c r="AD76">
        <f>SUMPRODUCT((M_BOM[Part Name]=$A76)*M_BOM[RM_Qty_Per_Batch]*IFERROR(INDEX(PP_Grid[#Data],M_BOM[PPGridRow],30),0))/17.82</f>
        <v/>
      </c>
      <c r="AE76">
        <f>SUMPRODUCT((M_BOM[Part Name]=$A76)*M_BOM[RM_Qty_Per_Batch]*IFERROR(INDEX(PP_Grid[#Data],M_BOM[PPGridRow],31),0))/17.82</f>
        <v/>
      </c>
      <c r="AF76">
        <f>SUMPRODUCT((M_BOM[Part Name]=$A76)*M_BOM[RM_Qty_Per_Batch]*IFERROR(INDEX(PP_Grid[#Data],M_BOM[PPGridRow],32),0))/17.82</f>
        <v/>
      </c>
      <c r="AG76">
        <f>SUMPRODUCT((M_BOM[Part Name]=$A76)*M_BOM[RM_Qty_Per_Batch]*IFERROR(INDEX(PP_Grid[#Data],M_BOM[PPGridRow],33),0))/17.82</f>
        <v/>
      </c>
      <c r="AH76">
        <f>SUMPRODUCT((M_BOM[Part Name]=$A76)*M_BOM[RM_Qty_Per_Batch]*IFERROR(INDEX(PP_Grid[#Data],M_BOM[PPGridRow],34),0))/17.82</f>
        <v/>
      </c>
      <c r="AI76">
        <f>SUMPRODUCT((M_BOM[Part Name]=$A76)*M_BOM[RM_Qty_Per_Batch]*IFERROR(INDEX(PP_Grid[#Data],M_BOM[PPGridRow],35),0))/17.82</f>
        <v/>
      </c>
      <c r="AJ76">
        <f>SUMPRODUCT((M_BOM[Part Name]=$A76)*M_BOM[RM_Qty_Per_Batch]*IFERROR(INDEX(PP_Grid[#Data],M_BOM[PPGridRow],36),0))/17.82</f>
        <v/>
      </c>
      <c r="AK76">
        <f>SUMPRODUCT((M_BOM[Part Name]=$A76)*M_BOM[RM_Qty_Per_Batch]*IFERROR(INDEX(PP_Grid[#Data],M_BOM[PPGridRow],37),0))/17.82</f>
        <v/>
      </c>
      <c r="AL76">
        <f>SUMPRODUCT((M_BOM[Part Name]=$A76)*M_BOM[RM_Qty_Per_Batch]*IFERROR(INDEX(PP_Grid[#Data],M_BOM[PPGridRow],38),0))/17.82</f>
        <v/>
      </c>
      <c r="AM76">
        <f>SUMPRODUCT((M_BOM[Part Name]=$A76)*M_BOM[RM_Qty_Per_Batch]*IFERROR(INDEX(PP_Grid[#Data],M_BOM[PPGridRow],39),0))/17.82</f>
        <v/>
      </c>
      <c r="AN76">
        <f>SUMPRODUCT((M_BOM[Part Name]=$A76)*M_BOM[RM_Qty_Per_Batch]*IFERROR(INDEX(PP_Grid[#Data],M_BOM[PPGridRow],40),0))/17.82</f>
        <v/>
      </c>
      <c r="AO76">
        <f>SUMPRODUCT((M_BOM[Part Name]=$A76)*M_BOM[RM_Qty_Per_Batch]*IFERROR(INDEX(PP_Grid[#Data],M_BOM[PPGridRow],41),0))/17.82</f>
        <v/>
      </c>
      <c r="AP76">
        <f>SUMPRODUCT((M_BOM[Part Name]=$A76)*M_BOM[RM_Qty_Per_Batch]*IFERROR(INDEX(PP_Grid[#Data],M_BOM[PPGridRow],42),0))/17.82</f>
        <v/>
      </c>
      <c r="AQ76">
        <f>SUMPRODUCT((M_BOM[Part Name]=$A76)*M_BOM[RM_Qty_Per_Batch]*IFERROR(INDEX(PP_Grid[#Data],M_BOM[PPGridRow],43),0))/17.82</f>
        <v/>
      </c>
      <c r="AR76">
        <f>SUMPRODUCT((M_BOM[Part Name]=$A76)*M_BOM[RM_Qty_Per_Batch]*IFERROR(INDEX(PP_Grid[#Data],M_BOM[PPGridRow],44),0))/17.82</f>
        <v/>
      </c>
      <c r="AS76">
        <f>SUMPRODUCT((M_BOM[Part Name]=$A76)*M_BOM[RM_Qty_Per_Batch]*IFERROR(INDEX(PP_Grid[#Data],M_BOM[PPGridRow],45),0))/17.82</f>
        <v/>
      </c>
      <c r="AT76">
        <f>SUMPRODUCT((M_BOM[Part Name]=$A76)*M_BOM[RM_Qty_Per_Batch]*IFERROR(INDEX(PP_Grid[#Data],M_BOM[PPGridRow],46),0))/17.82</f>
        <v/>
      </c>
      <c r="AU76">
        <f>SUMPRODUCT((M_BOM[Part Name]=$A76)*M_BOM[RM_Qty_Per_Batch]*IFERROR(INDEX(PP_Grid[#Data],M_BOM[PPGridRow],47),0))/17.82</f>
        <v/>
      </c>
      <c r="AV76">
        <f>SUMPRODUCT((M_BOM[Part Name]=$A76)*M_BOM[RM_Qty_Per_Batch]*IFERROR(INDEX(PP_Grid[#Data],M_BOM[PPGridRow],48),0))/17.82</f>
        <v/>
      </c>
      <c r="AW76">
        <f>SUMPRODUCT((M_BOM[Part Name]=$A76)*M_BOM[RM_Qty_Per_Batch]*IFERROR(INDEX(PP_Grid[#Data],M_BOM[PPGridRow],49),0))/17.82</f>
        <v/>
      </c>
      <c r="AX76">
        <f>SUMPRODUCT((M_BOM[Part Name]=$A76)*M_BOM[RM_Qty_Per_Batch]*IFERROR(INDEX(PP_Grid[#Data],M_BOM[PPGridRow],50),0))/17.82</f>
        <v/>
      </c>
      <c r="AY76">
        <f>SUMPRODUCT((M_BOM[Part Name]=$A76)*M_BOM[RM_Qty_Per_Batch]*IFERROR(INDEX(PP_Grid[#Data],M_BOM[PPGridRow],51),0))/17.82</f>
        <v/>
      </c>
      <c r="AZ76">
        <f>SUMPRODUCT((M_BOM[Part Name]=$A76)*M_BOM[RM_Qty_Per_Batch]*IFERROR(INDEX(PP_Grid[#Data],M_BOM[PPGridRow],52),0))/17.82</f>
        <v/>
      </c>
      <c r="BA76">
        <f>SUMPRODUCT((M_BOM[Part Name]=$A76)*M_BOM[RM_Qty_Per_Batch]*IFERROR(INDEX(PP_Grid[#Data],M_BOM[PPGridRow],53),0))/17.82</f>
        <v/>
      </c>
      <c r="BB76">
        <f>SUMPRODUCT((M_BOM[Part Name]=$A76)*M_BOM[RM_Qty_Per_Batch]*IFERROR(INDEX(PP_Grid[#Data],M_BOM[PPGridRow],54),0))/17.82</f>
        <v/>
      </c>
      <c r="BC76">
        <f>SUMPRODUCT((M_BOM[Part Name]=$A76)*M_BOM[RM_Qty_Per_Batch]*IFERROR(INDEX(PP_Grid[#Data],M_BOM[PPGridRow],55),0))/17.82</f>
        <v/>
      </c>
      <c r="BD76">
        <f>SUMPRODUCT((M_BOM[Part Name]=$A76)*M_BOM[RM_Qty_Per_Batch]*IFERROR(INDEX(PP_Grid[#Data],M_BOM[PPGridRow],56),0))/17.82</f>
        <v/>
      </c>
      <c r="BE76">
        <f>SUMPRODUCT((M_BOM[Part Name]=$A76)*M_BOM[RM_Qty_Per_Batch]*IFERROR(INDEX(PP_Grid[#Data],M_BOM[PPGridRow],57),0))/17.82</f>
        <v/>
      </c>
      <c r="BF76">
        <f>SUMPRODUCT((M_BOM[Part Name]=$A76)*M_BOM[RM_Qty_Per_Batch]*IFERROR(INDEX(PP_Grid[#Data],M_BOM[PPGridRow],58),0))/17.82</f>
        <v/>
      </c>
      <c r="BG76">
        <f>SUMPRODUCT((M_BOM[Part Name]=$A76)*M_BOM[RM_Qty_Per_Batch]*IFERROR(INDEX(PP_Grid[#Data],M_BOM[PPGridRow],59),0))/17.82</f>
        <v/>
      </c>
      <c r="BH76">
        <f>SUMPRODUCT((M_BOM[Part Name]=$A76)*M_BOM[RM_Qty_Per_Batch]*IFERROR(INDEX(PP_Grid[#Data],M_BOM[PPGridRow],60),0))/17.82</f>
        <v/>
      </c>
      <c r="BI76">
        <f>SUMPRODUCT((M_BOM[Part Name]=$A76)*M_BOM[RM_Qty_Per_Batch]*IFERROR(INDEX(PP_Grid[#Data],M_BOM[PPGridRow],61),0))/17.82</f>
        <v/>
      </c>
      <c r="BJ76">
        <f>SUMPRODUCT((M_BOM[Part Name]=$A76)*M_BOM[RM_Qty_Per_Batch]*IFERROR(INDEX(PP_Grid[#Data],M_BOM[PPGridRow],62),0))/17.82</f>
        <v/>
      </c>
      <c r="BK76">
        <f>SUMPRODUCT((M_BOM[Part Name]=$A76)*M_BOM[RM_Qty_Per_Batch]*IFERROR(INDEX(PP_Grid[#Data],M_BOM[PPGridRow],63),0))/17.82</f>
        <v/>
      </c>
      <c r="BL76">
        <f>SUMPRODUCT((M_BOM[Part Name]=$A76)*M_BOM[RM_Qty_Per_Batch]*IFERROR(INDEX(PP_Grid[#Data],M_BOM[PPGridRow],64),0))/17.82</f>
        <v/>
      </c>
      <c r="BM76">
        <f>SUMPRODUCT((M_BOM[Part Name]=$A76)*M_BOM[RM_Qty_Per_Batch]*IFERROR(INDEX(PP_Grid[#Data],M_BOM[PPGridRow],65),0))/17.82</f>
        <v/>
      </c>
      <c r="BN76">
        <f>SUMPRODUCT((M_BOM[Part Name]=$A76)*M_BOM[RM_Qty_Per_Batch]*IFERROR(INDEX(PP_Grid[#Data],M_BOM[PPGridRow],66),0))/17.82</f>
        <v/>
      </c>
      <c r="BO76">
        <f>SUMPRODUCT((M_BOM[Part Name]=$A76)*M_BOM[RM_Qty_Per_Batch]*IFERROR(INDEX(PP_Grid[#Data],M_BOM[PPGridRow],67),0))/17.82</f>
        <v/>
      </c>
      <c r="BP76">
        <f>SUMPRODUCT((M_BOM[Part Name]=$A76)*M_BOM[RM_Qty_Per_Batch]*IFERROR(INDEX(PP_Grid[#Data],M_BOM[PPGridRow],68),0))/17.82</f>
        <v/>
      </c>
      <c r="BQ76">
        <f>SUMPRODUCT((M_BOM[Part Name]=$A76)*M_BOM[RM_Qty_Per_Batch]*IFERROR(INDEX(PP_Grid[#Data],M_BOM[PPGridRow],69),0))/17.82</f>
        <v/>
      </c>
      <c r="BR76">
        <f>SUMPRODUCT((M_BOM[Part Name]=$A76)*M_BOM[RM_Qty_Per_Batch]*IFERROR(INDEX(PP_Grid[#Data],M_BOM[PPGridRow],70),0))/17.82</f>
        <v/>
      </c>
      <c r="BS76">
        <f>SUMPRODUCT((M_BOM[Part Name]=$A76)*M_BOM[RM_Qty_Per_Batch]*IFERROR(INDEX(PP_Grid[#Data],M_BOM[PPGridRow],71),0))/17.82</f>
        <v/>
      </c>
      <c r="BT76">
        <f>SUMPRODUCT((M_BOM[Part Name]=$A76)*M_BOM[RM_Qty_Per_Batch]*IFERROR(INDEX(PP_Grid[#Data],M_BOM[PPGridRow],72),0))/17.82</f>
        <v/>
      </c>
      <c r="BU76">
        <f>SUMPRODUCT((M_BOM[Part Name]=$A76)*M_BOM[RM_Qty_Per_Batch]*IFERROR(INDEX(PP_Grid[#Data],M_BOM[PPGridRow],73),0))/17.82</f>
        <v/>
      </c>
      <c r="BV76">
        <f>SUMPRODUCT((M_BOM[Part Name]=$A76)*M_BOM[RM_Qty_Per_Batch]*IFERROR(INDEX(PP_Grid[#Data],M_BOM[PPGridRow],74),0))/17.82</f>
        <v/>
      </c>
      <c r="BW76">
        <f>SUMPRODUCT((M_BOM[Part Name]=$A76)*M_BOM[RM_Qty_Per_Batch]*IFERROR(INDEX(PP_Grid[#Data],M_BOM[PPGridRow],75),0))/17.82</f>
        <v/>
      </c>
      <c r="BX76">
        <f>SUMPRODUCT((M_BOM[Part Name]=$A76)*M_BOM[RM_Qty_Per_Batch]*IFERROR(INDEX(PP_Grid[#Data],M_BOM[PPGridRow],76),0))/17.82</f>
        <v/>
      </c>
      <c r="BY76">
        <f>SUMPRODUCT((M_BOM[Part Name]=$A76)*M_BOM[RM_Qty_Per_Batch]*IFERROR(INDEX(PP_Grid[#Data],M_BOM[PPGridRow],77),0))/17.82</f>
        <v/>
      </c>
      <c r="BZ76">
        <f>SUMPRODUCT((M_BOM[Part Name]=$A76)*M_BOM[RM_Qty_Per_Batch]*IFERROR(INDEX(PP_Grid[#Data],M_BOM[PPGridRow],78),0))/17.82</f>
        <v/>
      </c>
      <c r="CA76">
        <f>SUMPRODUCT((M_BOM[Part Name]=$A76)*M_BOM[RM_Qty_Per_Batch]*IFERROR(INDEX(PP_Grid[#Data],M_BOM[PPGridRow],79),0))/17.82</f>
        <v/>
      </c>
      <c r="CB76">
        <f>SUMPRODUCT((M_BOM[Part Name]=$A76)*M_BOM[RM_Qty_Per_Batch]*IFERROR(INDEX(PP_Grid[#Data],M_BOM[PPGridRow],80),0))/17.82</f>
        <v/>
      </c>
      <c r="CC76">
        <f>SUMPRODUCT((M_BOM[Part Name]=$A76)*M_BOM[RM_Qty_Per_Batch]*IFERROR(INDEX(PP_Grid[#Data],M_BOM[PPGridRow],81),0))/17.82</f>
        <v/>
      </c>
      <c r="CD76">
        <f>SUMPRODUCT((M_BOM[Part Name]=$A76)*M_BOM[RM_Qty_Per_Batch]*IFERROR(INDEX(PP_Grid[#Data],M_BOM[PPGridRow],82),0))/17.82</f>
        <v/>
      </c>
      <c r="CE76">
        <f>SUMPRODUCT((M_BOM[Part Name]=$A76)*M_BOM[RM_Qty_Per_Batch]*IFERROR(INDEX(PP_Grid[#Data],M_BOM[PPGridRow],83),0))/17.82</f>
        <v/>
      </c>
      <c r="CF76">
        <f>SUMPRODUCT((M_BOM[Part Name]=$A76)*M_BOM[RM_Qty_Per_Batch]*IFERROR(INDEX(PP_Grid[#Data],M_BOM[PPGridRow],84),0))/17.82</f>
        <v/>
      </c>
      <c r="CG76">
        <f>SUMPRODUCT((M_BOM[Part Name]=$A76)*M_BOM[RM_Qty_Per_Batch]*IFERROR(INDEX(PP_Grid[#Data],M_BOM[PPGridRow],85),0))/17.82</f>
        <v/>
      </c>
      <c r="CH76">
        <f>SUMPRODUCT((M_BOM[Part Name]=$A76)*M_BOM[RM_Qty_Per_Batch]*IFERROR(INDEX(PP_Grid[#Data],M_BOM[PPGridRow],86),0))/17.82</f>
        <v/>
      </c>
      <c r="CI76">
        <f>SUMPRODUCT((M_BOM[Part Name]=$A76)*M_BOM[RM_Qty_Per_Batch]*IFERROR(INDEX(PP_Grid[#Data],M_BOM[PPGridRow],87),0))/17.82</f>
        <v/>
      </c>
      <c r="CJ76">
        <f>SUMPRODUCT((M_BOM[Part Name]=$A76)*M_BOM[RM_Qty_Per_Batch]*IFERROR(INDEX(PP_Grid[#Data],M_BOM[PPGridRow],88),0))/17.82</f>
        <v/>
      </c>
      <c r="CK76">
        <f>SUMPRODUCT((M_BOM[Part Name]=$A76)*M_BOM[RM_Qty_Per_Batch]*IFERROR(INDEX(PP_Grid[#Data],M_BOM[PPGridRow],89),0))/17.82</f>
        <v/>
      </c>
      <c r="CL76">
        <f>SUMPRODUCT((M_BOM[Part Name]=$A76)*M_BOM[RM_Qty_Per_Batch]*IFERROR(INDEX(PP_Grid[#Data],M_BOM[PPGridRow],90),0))/17.82</f>
        <v/>
      </c>
      <c r="CM76">
        <f>SUMPRODUCT((M_BOM[Part Name]=$A76)*M_BOM[RM_Qty_Per_Batch]*IFERROR(INDEX(PP_Grid[#Data],M_BOM[PPGridRow],91),0))/17.82</f>
        <v/>
      </c>
      <c r="CN76">
        <f>SUMPRODUCT((M_BOM[Part Name]=$A76)*M_BOM[RM_Qty_Per_Batch]*IFERROR(INDEX(PP_Grid[#Data],M_BOM[PPGridRow],92),0))/17.82</f>
        <v/>
      </c>
      <c r="CO76">
        <f>SUMPRODUCT((M_BOM[Part Name]=$A76)*M_BOM[RM_Qty_Per_Batch]*IFERROR(INDEX(PP_Grid[#Data],M_BOM[PPGridRow],93),0))/17.82</f>
        <v/>
      </c>
      <c r="CP76">
        <f>SUMPRODUCT((M_BOM[Part Name]=$A76)*M_BOM[RM_Qty_Per_Batch]*IFERROR(INDEX(PP_Grid[#Data],M_BOM[PPGridRow],94),0))/17.82</f>
        <v/>
      </c>
      <c r="CQ76">
        <f>SUMPRODUCT((M_BOM[Part Name]=$A76)*M_BOM[RM_Qty_Per_Batch]*IFERROR(INDEX(PP_Grid[#Data],M_BOM[PPGridRow],95),0))/17.82</f>
        <v/>
      </c>
      <c r="CR76">
        <f>SUMPRODUCT((M_BOM[Part Name]=$A76)*M_BOM[RM_Qty_Per_Batch]*IFERROR(INDEX(PP_Grid[#Data],M_BOM[PPGridRow],96),0))/17.82</f>
        <v/>
      </c>
      <c r="CS76">
        <f>SUMPRODUCT((M_BOM[Part Name]=$A76)*M_BOM[RM_Qty_Per_Batch]*IFERROR(INDEX(PP_Grid[#Data],M_BOM[PPGridRow],97),0))/17.82</f>
        <v/>
      </c>
      <c r="CT76">
        <f>SUMPRODUCT((M_BOM[Part Name]=$A76)*M_BOM[RM_Qty_Per_Batch]*IFERROR(INDEX(PP_Grid[#Data],M_BOM[PPGridRow],98),0))/17.82</f>
        <v/>
      </c>
      <c r="CU76">
        <f>SUMPRODUCT((M_BOM[Part Name]=$A76)*M_BOM[RM_Qty_Per_Batch]*IFERROR(INDEX(PP_Grid[#Data],M_BOM[PPGridRow],99),0))/17.82</f>
        <v/>
      </c>
      <c r="CV76">
        <f>SUMPRODUCT((M_BOM[Part Name]=$A76)*M_BOM[RM_Qty_Per_Batch]*IFERROR(INDEX(PP_Grid[#Data],M_BOM[PPGridRow],100),0))/17.82</f>
        <v/>
      </c>
      <c r="CW76">
        <f>SUMPRODUCT((M_BOM[Part Name]=$A76)*M_BOM[RM_Qty_Per_Batch]*IFERROR(INDEX(PP_Grid[#Data],M_BOM[PPGridRow],101),0))/17.82</f>
        <v/>
      </c>
      <c r="CX76">
        <f>SUMPRODUCT((M_BOM[Part Name]=$A76)*M_BOM[RM_Qty_Per_Batch]*IFERROR(INDEX(PP_Grid[#Data],M_BOM[PPGridRow],102),0))/17.82</f>
        <v/>
      </c>
      <c r="CY76">
        <f>SUMPRODUCT((M_BOM[Part Name]=$A76)*M_BOM[RM_Qty_Per_Batch]*IFERROR(INDEX(PP_Grid[#Data],M_BOM[PPGridRow],103),0))/17.82</f>
        <v/>
      </c>
      <c r="CZ76">
        <f>SUMPRODUCT((M_BOM[Part Name]=$A76)*M_BOM[RM_Qty_Per_Batch]*IFERROR(INDEX(PP_Grid[#Data],M_BOM[PPGridRow],104),0))/17.82</f>
        <v/>
      </c>
      <c r="DA76">
        <f>SUMPRODUCT((M_BOM[Part Name]=$A76)*M_BOM[RM_Qty_Per_Batch]*IFERROR(INDEX(PP_Grid[#Data],M_BOM[PPGridRow],105),0))/17.82</f>
        <v/>
      </c>
    </row>
    <row r="77">
      <c r="A77" t="inlineStr">
        <is>
          <t>TPP-635</t>
        </is>
      </c>
      <c r="B77">
        <f>SUMPRODUCT((M_BOM[Part Name]=$A77)*M_BOM[RM_Qty_Per_Batch]*IFERROR(INDEX(PP_Grid[#Data],M_BOM[PPGridRow],2),0))/44.26</f>
        <v/>
      </c>
      <c r="C77">
        <f>SUMPRODUCT((M_BOM[Part Name]=$A77)*M_BOM[RM_Qty_Per_Batch]*IFERROR(INDEX(PP_Grid[#Data],M_BOM[PPGridRow],3),0))/44.26</f>
        <v/>
      </c>
      <c r="D77">
        <f>SUMPRODUCT((M_BOM[Part Name]=$A77)*M_BOM[RM_Qty_Per_Batch]*IFERROR(INDEX(PP_Grid[#Data],M_BOM[PPGridRow],4),0))/44.26</f>
        <v/>
      </c>
      <c r="E77">
        <f>SUMPRODUCT((M_BOM[Part Name]=$A77)*M_BOM[RM_Qty_Per_Batch]*IFERROR(INDEX(PP_Grid[#Data],M_BOM[PPGridRow],5),0))/44.26</f>
        <v/>
      </c>
      <c r="F77">
        <f>SUMPRODUCT((M_BOM[Part Name]=$A77)*M_BOM[RM_Qty_Per_Batch]*IFERROR(INDEX(PP_Grid[#Data],M_BOM[PPGridRow],6),0))/44.26</f>
        <v/>
      </c>
      <c r="G77">
        <f>SUMPRODUCT((M_BOM[Part Name]=$A77)*M_BOM[RM_Qty_Per_Batch]*IFERROR(INDEX(PP_Grid[#Data],M_BOM[PPGridRow],7),0))/44.26</f>
        <v/>
      </c>
      <c r="H77">
        <f>SUMPRODUCT((M_BOM[Part Name]=$A77)*M_BOM[RM_Qty_Per_Batch]*IFERROR(INDEX(PP_Grid[#Data],M_BOM[PPGridRow],8),0))/44.26</f>
        <v/>
      </c>
      <c r="I77">
        <f>SUMPRODUCT((M_BOM[Part Name]=$A77)*M_BOM[RM_Qty_Per_Batch]*IFERROR(INDEX(PP_Grid[#Data],M_BOM[PPGridRow],9),0))/44.26</f>
        <v/>
      </c>
      <c r="J77">
        <f>SUMPRODUCT((M_BOM[Part Name]=$A77)*M_BOM[RM_Qty_Per_Batch]*IFERROR(INDEX(PP_Grid[#Data],M_BOM[PPGridRow],10),0))/44.26</f>
        <v/>
      </c>
      <c r="K77">
        <f>SUMPRODUCT((M_BOM[Part Name]=$A77)*M_BOM[RM_Qty_Per_Batch]*IFERROR(INDEX(PP_Grid[#Data],M_BOM[PPGridRow],11),0))/44.26</f>
        <v/>
      </c>
      <c r="L77">
        <f>SUMPRODUCT((M_BOM[Part Name]=$A77)*M_BOM[RM_Qty_Per_Batch]*IFERROR(INDEX(PP_Grid[#Data],M_BOM[PPGridRow],12),0))/44.26</f>
        <v/>
      </c>
      <c r="M77">
        <f>SUMPRODUCT((M_BOM[Part Name]=$A77)*M_BOM[RM_Qty_Per_Batch]*IFERROR(INDEX(PP_Grid[#Data],M_BOM[PPGridRow],13),0))/44.26</f>
        <v/>
      </c>
      <c r="N77">
        <f>SUMPRODUCT((M_BOM[Part Name]=$A77)*M_BOM[RM_Qty_Per_Batch]*IFERROR(INDEX(PP_Grid[#Data],M_BOM[PPGridRow],14),0))/44.26</f>
        <v/>
      </c>
      <c r="O77">
        <f>SUMPRODUCT((M_BOM[Part Name]=$A77)*M_BOM[RM_Qty_Per_Batch]*IFERROR(INDEX(PP_Grid[#Data],M_BOM[PPGridRow],15),0))/44.26</f>
        <v/>
      </c>
      <c r="P77">
        <f>SUMPRODUCT((M_BOM[Part Name]=$A77)*M_BOM[RM_Qty_Per_Batch]*IFERROR(INDEX(PP_Grid[#Data],M_BOM[PPGridRow],16),0))/44.26</f>
        <v/>
      </c>
      <c r="Q77">
        <f>SUMPRODUCT((M_BOM[Part Name]=$A77)*M_BOM[RM_Qty_Per_Batch]*IFERROR(INDEX(PP_Grid[#Data],M_BOM[PPGridRow],17),0))/44.26</f>
        <v/>
      </c>
      <c r="R77">
        <f>SUMPRODUCT((M_BOM[Part Name]=$A77)*M_BOM[RM_Qty_Per_Batch]*IFERROR(INDEX(PP_Grid[#Data],M_BOM[PPGridRow],18),0))/44.26</f>
        <v/>
      </c>
      <c r="S77">
        <f>SUMPRODUCT((M_BOM[Part Name]=$A77)*M_BOM[RM_Qty_Per_Batch]*IFERROR(INDEX(PP_Grid[#Data],M_BOM[PPGridRow],19),0))/44.26</f>
        <v/>
      </c>
      <c r="T77">
        <f>SUMPRODUCT((M_BOM[Part Name]=$A77)*M_BOM[RM_Qty_Per_Batch]*IFERROR(INDEX(PP_Grid[#Data],M_BOM[PPGridRow],20),0))/44.26</f>
        <v/>
      </c>
      <c r="U77">
        <f>SUMPRODUCT((M_BOM[Part Name]=$A77)*M_BOM[RM_Qty_Per_Batch]*IFERROR(INDEX(PP_Grid[#Data],M_BOM[PPGridRow],21),0))/44.26</f>
        <v/>
      </c>
      <c r="V77">
        <f>SUMPRODUCT((M_BOM[Part Name]=$A77)*M_BOM[RM_Qty_Per_Batch]*IFERROR(INDEX(PP_Grid[#Data],M_BOM[PPGridRow],22),0))/44.26</f>
        <v/>
      </c>
      <c r="W77">
        <f>SUMPRODUCT((M_BOM[Part Name]=$A77)*M_BOM[RM_Qty_Per_Batch]*IFERROR(INDEX(PP_Grid[#Data],M_BOM[PPGridRow],23),0))/44.26</f>
        <v/>
      </c>
      <c r="X77">
        <f>SUMPRODUCT((M_BOM[Part Name]=$A77)*M_BOM[RM_Qty_Per_Batch]*IFERROR(INDEX(PP_Grid[#Data],M_BOM[PPGridRow],24),0))/44.26</f>
        <v/>
      </c>
      <c r="Y77">
        <f>SUMPRODUCT((M_BOM[Part Name]=$A77)*M_BOM[RM_Qty_Per_Batch]*IFERROR(INDEX(PP_Grid[#Data],M_BOM[PPGridRow],25),0))/44.26</f>
        <v/>
      </c>
      <c r="Z77">
        <f>SUMPRODUCT((M_BOM[Part Name]=$A77)*M_BOM[RM_Qty_Per_Batch]*IFERROR(INDEX(PP_Grid[#Data],M_BOM[PPGridRow],26),0))/44.26</f>
        <v/>
      </c>
      <c r="AA77">
        <f>SUMPRODUCT((M_BOM[Part Name]=$A77)*M_BOM[RM_Qty_Per_Batch]*IFERROR(INDEX(PP_Grid[#Data],M_BOM[PPGridRow],27),0))/44.26</f>
        <v/>
      </c>
      <c r="AB77">
        <f>SUMPRODUCT((M_BOM[Part Name]=$A77)*M_BOM[RM_Qty_Per_Batch]*IFERROR(INDEX(PP_Grid[#Data],M_BOM[PPGridRow],28),0))/44.26</f>
        <v/>
      </c>
      <c r="AC77">
        <f>SUMPRODUCT((M_BOM[Part Name]=$A77)*M_BOM[RM_Qty_Per_Batch]*IFERROR(INDEX(PP_Grid[#Data],M_BOM[PPGridRow],29),0))/44.26</f>
        <v/>
      </c>
      <c r="AD77">
        <f>SUMPRODUCT((M_BOM[Part Name]=$A77)*M_BOM[RM_Qty_Per_Batch]*IFERROR(INDEX(PP_Grid[#Data],M_BOM[PPGridRow],30),0))/44.26</f>
        <v/>
      </c>
      <c r="AE77">
        <f>SUMPRODUCT((M_BOM[Part Name]=$A77)*M_BOM[RM_Qty_Per_Batch]*IFERROR(INDEX(PP_Grid[#Data],M_BOM[PPGridRow],31),0))/44.26</f>
        <v/>
      </c>
      <c r="AF77">
        <f>SUMPRODUCT((M_BOM[Part Name]=$A77)*M_BOM[RM_Qty_Per_Batch]*IFERROR(INDEX(PP_Grid[#Data],M_BOM[PPGridRow],32),0))/44.26</f>
        <v/>
      </c>
      <c r="AG77">
        <f>SUMPRODUCT((M_BOM[Part Name]=$A77)*M_BOM[RM_Qty_Per_Batch]*IFERROR(INDEX(PP_Grid[#Data],M_BOM[PPGridRow],33),0))/44.26</f>
        <v/>
      </c>
      <c r="AH77">
        <f>SUMPRODUCT((M_BOM[Part Name]=$A77)*M_BOM[RM_Qty_Per_Batch]*IFERROR(INDEX(PP_Grid[#Data],M_BOM[PPGridRow],34),0))/44.26</f>
        <v/>
      </c>
      <c r="AI77">
        <f>SUMPRODUCT((M_BOM[Part Name]=$A77)*M_BOM[RM_Qty_Per_Batch]*IFERROR(INDEX(PP_Grid[#Data],M_BOM[PPGridRow],35),0))/44.26</f>
        <v/>
      </c>
      <c r="AJ77">
        <f>SUMPRODUCT((M_BOM[Part Name]=$A77)*M_BOM[RM_Qty_Per_Batch]*IFERROR(INDEX(PP_Grid[#Data],M_BOM[PPGridRow],36),0))/44.26</f>
        <v/>
      </c>
      <c r="AK77">
        <f>SUMPRODUCT((M_BOM[Part Name]=$A77)*M_BOM[RM_Qty_Per_Batch]*IFERROR(INDEX(PP_Grid[#Data],M_BOM[PPGridRow],37),0))/44.26</f>
        <v/>
      </c>
      <c r="AL77">
        <f>SUMPRODUCT((M_BOM[Part Name]=$A77)*M_BOM[RM_Qty_Per_Batch]*IFERROR(INDEX(PP_Grid[#Data],M_BOM[PPGridRow],38),0))/44.26</f>
        <v/>
      </c>
      <c r="AM77">
        <f>SUMPRODUCT((M_BOM[Part Name]=$A77)*M_BOM[RM_Qty_Per_Batch]*IFERROR(INDEX(PP_Grid[#Data],M_BOM[PPGridRow],39),0))/44.26</f>
        <v/>
      </c>
      <c r="AN77">
        <f>SUMPRODUCT((M_BOM[Part Name]=$A77)*M_BOM[RM_Qty_Per_Batch]*IFERROR(INDEX(PP_Grid[#Data],M_BOM[PPGridRow],40),0))/44.26</f>
        <v/>
      </c>
      <c r="AO77">
        <f>SUMPRODUCT((M_BOM[Part Name]=$A77)*M_BOM[RM_Qty_Per_Batch]*IFERROR(INDEX(PP_Grid[#Data],M_BOM[PPGridRow],41),0))/44.26</f>
        <v/>
      </c>
      <c r="AP77">
        <f>SUMPRODUCT((M_BOM[Part Name]=$A77)*M_BOM[RM_Qty_Per_Batch]*IFERROR(INDEX(PP_Grid[#Data],M_BOM[PPGridRow],42),0))/44.26</f>
        <v/>
      </c>
      <c r="AQ77">
        <f>SUMPRODUCT((M_BOM[Part Name]=$A77)*M_BOM[RM_Qty_Per_Batch]*IFERROR(INDEX(PP_Grid[#Data],M_BOM[PPGridRow],43),0))/44.26</f>
        <v/>
      </c>
      <c r="AR77">
        <f>SUMPRODUCT((M_BOM[Part Name]=$A77)*M_BOM[RM_Qty_Per_Batch]*IFERROR(INDEX(PP_Grid[#Data],M_BOM[PPGridRow],44),0))/44.26</f>
        <v/>
      </c>
      <c r="AS77">
        <f>SUMPRODUCT((M_BOM[Part Name]=$A77)*M_BOM[RM_Qty_Per_Batch]*IFERROR(INDEX(PP_Grid[#Data],M_BOM[PPGridRow],45),0))/44.26</f>
        <v/>
      </c>
      <c r="AT77">
        <f>SUMPRODUCT((M_BOM[Part Name]=$A77)*M_BOM[RM_Qty_Per_Batch]*IFERROR(INDEX(PP_Grid[#Data],M_BOM[PPGridRow],46),0))/44.26</f>
        <v/>
      </c>
      <c r="AU77">
        <f>SUMPRODUCT((M_BOM[Part Name]=$A77)*M_BOM[RM_Qty_Per_Batch]*IFERROR(INDEX(PP_Grid[#Data],M_BOM[PPGridRow],47),0))/44.26</f>
        <v/>
      </c>
      <c r="AV77">
        <f>SUMPRODUCT((M_BOM[Part Name]=$A77)*M_BOM[RM_Qty_Per_Batch]*IFERROR(INDEX(PP_Grid[#Data],M_BOM[PPGridRow],48),0))/44.26</f>
        <v/>
      </c>
      <c r="AW77">
        <f>SUMPRODUCT((M_BOM[Part Name]=$A77)*M_BOM[RM_Qty_Per_Batch]*IFERROR(INDEX(PP_Grid[#Data],M_BOM[PPGridRow],49),0))/44.26</f>
        <v/>
      </c>
      <c r="AX77">
        <f>SUMPRODUCT((M_BOM[Part Name]=$A77)*M_BOM[RM_Qty_Per_Batch]*IFERROR(INDEX(PP_Grid[#Data],M_BOM[PPGridRow],50),0))/44.26</f>
        <v/>
      </c>
      <c r="AY77">
        <f>SUMPRODUCT((M_BOM[Part Name]=$A77)*M_BOM[RM_Qty_Per_Batch]*IFERROR(INDEX(PP_Grid[#Data],M_BOM[PPGridRow],51),0))/44.26</f>
        <v/>
      </c>
      <c r="AZ77">
        <f>SUMPRODUCT((M_BOM[Part Name]=$A77)*M_BOM[RM_Qty_Per_Batch]*IFERROR(INDEX(PP_Grid[#Data],M_BOM[PPGridRow],52),0))/44.26</f>
        <v/>
      </c>
      <c r="BA77">
        <f>SUMPRODUCT((M_BOM[Part Name]=$A77)*M_BOM[RM_Qty_Per_Batch]*IFERROR(INDEX(PP_Grid[#Data],M_BOM[PPGridRow],53),0))/44.26</f>
        <v/>
      </c>
      <c r="BB77">
        <f>SUMPRODUCT((M_BOM[Part Name]=$A77)*M_BOM[RM_Qty_Per_Batch]*IFERROR(INDEX(PP_Grid[#Data],M_BOM[PPGridRow],54),0))/44.26</f>
        <v/>
      </c>
      <c r="BC77">
        <f>SUMPRODUCT((M_BOM[Part Name]=$A77)*M_BOM[RM_Qty_Per_Batch]*IFERROR(INDEX(PP_Grid[#Data],M_BOM[PPGridRow],55),0))/44.26</f>
        <v/>
      </c>
      <c r="BD77">
        <f>SUMPRODUCT((M_BOM[Part Name]=$A77)*M_BOM[RM_Qty_Per_Batch]*IFERROR(INDEX(PP_Grid[#Data],M_BOM[PPGridRow],56),0))/44.26</f>
        <v/>
      </c>
      <c r="BE77">
        <f>SUMPRODUCT((M_BOM[Part Name]=$A77)*M_BOM[RM_Qty_Per_Batch]*IFERROR(INDEX(PP_Grid[#Data],M_BOM[PPGridRow],57),0))/44.26</f>
        <v/>
      </c>
      <c r="BF77">
        <f>SUMPRODUCT((M_BOM[Part Name]=$A77)*M_BOM[RM_Qty_Per_Batch]*IFERROR(INDEX(PP_Grid[#Data],M_BOM[PPGridRow],58),0))/44.26</f>
        <v/>
      </c>
      <c r="BG77">
        <f>SUMPRODUCT((M_BOM[Part Name]=$A77)*M_BOM[RM_Qty_Per_Batch]*IFERROR(INDEX(PP_Grid[#Data],M_BOM[PPGridRow],59),0))/44.26</f>
        <v/>
      </c>
      <c r="BH77">
        <f>SUMPRODUCT((M_BOM[Part Name]=$A77)*M_BOM[RM_Qty_Per_Batch]*IFERROR(INDEX(PP_Grid[#Data],M_BOM[PPGridRow],60),0))/44.26</f>
        <v/>
      </c>
      <c r="BI77">
        <f>SUMPRODUCT((M_BOM[Part Name]=$A77)*M_BOM[RM_Qty_Per_Batch]*IFERROR(INDEX(PP_Grid[#Data],M_BOM[PPGridRow],61),0))/44.26</f>
        <v/>
      </c>
      <c r="BJ77">
        <f>SUMPRODUCT((M_BOM[Part Name]=$A77)*M_BOM[RM_Qty_Per_Batch]*IFERROR(INDEX(PP_Grid[#Data],M_BOM[PPGridRow],62),0))/44.26</f>
        <v/>
      </c>
      <c r="BK77">
        <f>SUMPRODUCT((M_BOM[Part Name]=$A77)*M_BOM[RM_Qty_Per_Batch]*IFERROR(INDEX(PP_Grid[#Data],M_BOM[PPGridRow],63),0))/44.26</f>
        <v/>
      </c>
      <c r="BL77">
        <f>SUMPRODUCT((M_BOM[Part Name]=$A77)*M_BOM[RM_Qty_Per_Batch]*IFERROR(INDEX(PP_Grid[#Data],M_BOM[PPGridRow],64),0))/44.26</f>
        <v/>
      </c>
      <c r="BM77">
        <f>SUMPRODUCT((M_BOM[Part Name]=$A77)*M_BOM[RM_Qty_Per_Batch]*IFERROR(INDEX(PP_Grid[#Data],M_BOM[PPGridRow],65),0))/44.26</f>
        <v/>
      </c>
      <c r="BN77">
        <f>SUMPRODUCT((M_BOM[Part Name]=$A77)*M_BOM[RM_Qty_Per_Batch]*IFERROR(INDEX(PP_Grid[#Data],M_BOM[PPGridRow],66),0))/44.26</f>
        <v/>
      </c>
      <c r="BO77">
        <f>SUMPRODUCT((M_BOM[Part Name]=$A77)*M_BOM[RM_Qty_Per_Batch]*IFERROR(INDEX(PP_Grid[#Data],M_BOM[PPGridRow],67),0))/44.26</f>
        <v/>
      </c>
      <c r="BP77">
        <f>SUMPRODUCT((M_BOM[Part Name]=$A77)*M_BOM[RM_Qty_Per_Batch]*IFERROR(INDEX(PP_Grid[#Data],M_BOM[PPGridRow],68),0))/44.26</f>
        <v/>
      </c>
      <c r="BQ77">
        <f>SUMPRODUCT((M_BOM[Part Name]=$A77)*M_BOM[RM_Qty_Per_Batch]*IFERROR(INDEX(PP_Grid[#Data],M_BOM[PPGridRow],69),0))/44.26</f>
        <v/>
      </c>
      <c r="BR77">
        <f>SUMPRODUCT((M_BOM[Part Name]=$A77)*M_BOM[RM_Qty_Per_Batch]*IFERROR(INDEX(PP_Grid[#Data],M_BOM[PPGridRow],70),0))/44.26</f>
        <v/>
      </c>
      <c r="BS77">
        <f>SUMPRODUCT((M_BOM[Part Name]=$A77)*M_BOM[RM_Qty_Per_Batch]*IFERROR(INDEX(PP_Grid[#Data],M_BOM[PPGridRow],71),0))/44.26</f>
        <v/>
      </c>
      <c r="BT77">
        <f>SUMPRODUCT((M_BOM[Part Name]=$A77)*M_BOM[RM_Qty_Per_Batch]*IFERROR(INDEX(PP_Grid[#Data],M_BOM[PPGridRow],72),0))/44.26</f>
        <v/>
      </c>
      <c r="BU77">
        <f>SUMPRODUCT((M_BOM[Part Name]=$A77)*M_BOM[RM_Qty_Per_Batch]*IFERROR(INDEX(PP_Grid[#Data],M_BOM[PPGridRow],73),0))/44.26</f>
        <v/>
      </c>
      <c r="BV77">
        <f>SUMPRODUCT((M_BOM[Part Name]=$A77)*M_BOM[RM_Qty_Per_Batch]*IFERROR(INDEX(PP_Grid[#Data],M_BOM[PPGridRow],74),0))/44.26</f>
        <v/>
      </c>
      <c r="BW77">
        <f>SUMPRODUCT((M_BOM[Part Name]=$A77)*M_BOM[RM_Qty_Per_Batch]*IFERROR(INDEX(PP_Grid[#Data],M_BOM[PPGridRow],75),0))/44.26</f>
        <v/>
      </c>
      <c r="BX77">
        <f>SUMPRODUCT((M_BOM[Part Name]=$A77)*M_BOM[RM_Qty_Per_Batch]*IFERROR(INDEX(PP_Grid[#Data],M_BOM[PPGridRow],76),0))/44.26</f>
        <v/>
      </c>
      <c r="BY77">
        <f>SUMPRODUCT((M_BOM[Part Name]=$A77)*M_BOM[RM_Qty_Per_Batch]*IFERROR(INDEX(PP_Grid[#Data],M_BOM[PPGridRow],77),0))/44.26</f>
        <v/>
      </c>
      <c r="BZ77">
        <f>SUMPRODUCT((M_BOM[Part Name]=$A77)*M_BOM[RM_Qty_Per_Batch]*IFERROR(INDEX(PP_Grid[#Data],M_BOM[PPGridRow],78),0))/44.26</f>
        <v/>
      </c>
      <c r="CA77">
        <f>SUMPRODUCT((M_BOM[Part Name]=$A77)*M_BOM[RM_Qty_Per_Batch]*IFERROR(INDEX(PP_Grid[#Data],M_BOM[PPGridRow],79),0))/44.26</f>
        <v/>
      </c>
      <c r="CB77">
        <f>SUMPRODUCT((M_BOM[Part Name]=$A77)*M_BOM[RM_Qty_Per_Batch]*IFERROR(INDEX(PP_Grid[#Data],M_BOM[PPGridRow],80),0))/44.26</f>
        <v/>
      </c>
      <c r="CC77">
        <f>SUMPRODUCT((M_BOM[Part Name]=$A77)*M_BOM[RM_Qty_Per_Batch]*IFERROR(INDEX(PP_Grid[#Data],M_BOM[PPGridRow],81),0))/44.26</f>
        <v/>
      </c>
      <c r="CD77">
        <f>SUMPRODUCT((M_BOM[Part Name]=$A77)*M_BOM[RM_Qty_Per_Batch]*IFERROR(INDEX(PP_Grid[#Data],M_BOM[PPGridRow],82),0))/44.26</f>
        <v/>
      </c>
      <c r="CE77">
        <f>SUMPRODUCT((M_BOM[Part Name]=$A77)*M_BOM[RM_Qty_Per_Batch]*IFERROR(INDEX(PP_Grid[#Data],M_BOM[PPGridRow],83),0))/44.26</f>
        <v/>
      </c>
      <c r="CF77">
        <f>SUMPRODUCT((M_BOM[Part Name]=$A77)*M_BOM[RM_Qty_Per_Batch]*IFERROR(INDEX(PP_Grid[#Data],M_BOM[PPGridRow],84),0))/44.26</f>
        <v/>
      </c>
      <c r="CG77">
        <f>SUMPRODUCT((M_BOM[Part Name]=$A77)*M_BOM[RM_Qty_Per_Batch]*IFERROR(INDEX(PP_Grid[#Data],M_BOM[PPGridRow],85),0))/44.26</f>
        <v/>
      </c>
      <c r="CH77">
        <f>SUMPRODUCT((M_BOM[Part Name]=$A77)*M_BOM[RM_Qty_Per_Batch]*IFERROR(INDEX(PP_Grid[#Data],M_BOM[PPGridRow],86),0))/44.26</f>
        <v/>
      </c>
      <c r="CI77">
        <f>SUMPRODUCT((M_BOM[Part Name]=$A77)*M_BOM[RM_Qty_Per_Batch]*IFERROR(INDEX(PP_Grid[#Data],M_BOM[PPGridRow],87),0))/44.26</f>
        <v/>
      </c>
      <c r="CJ77">
        <f>SUMPRODUCT((M_BOM[Part Name]=$A77)*M_BOM[RM_Qty_Per_Batch]*IFERROR(INDEX(PP_Grid[#Data],M_BOM[PPGridRow],88),0))/44.26</f>
        <v/>
      </c>
      <c r="CK77">
        <f>SUMPRODUCT((M_BOM[Part Name]=$A77)*M_BOM[RM_Qty_Per_Batch]*IFERROR(INDEX(PP_Grid[#Data],M_BOM[PPGridRow],89),0))/44.26</f>
        <v/>
      </c>
      <c r="CL77">
        <f>SUMPRODUCT((M_BOM[Part Name]=$A77)*M_BOM[RM_Qty_Per_Batch]*IFERROR(INDEX(PP_Grid[#Data],M_BOM[PPGridRow],90),0))/44.26</f>
        <v/>
      </c>
      <c r="CM77">
        <f>SUMPRODUCT((M_BOM[Part Name]=$A77)*M_BOM[RM_Qty_Per_Batch]*IFERROR(INDEX(PP_Grid[#Data],M_BOM[PPGridRow],91),0))/44.26</f>
        <v/>
      </c>
      <c r="CN77">
        <f>SUMPRODUCT((M_BOM[Part Name]=$A77)*M_BOM[RM_Qty_Per_Batch]*IFERROR(INDEX(PP_Grid[#Data],M_BOM[PPGridRow],92),0))/44.26</f>
        <v/>
      </c>
      <c r="CO77">
        <f>SUMPRODUCT((M_BOM[Part Name]=$A77)*M_BOM[RM_Qty_Per_Batch]*IFERROR(INDEX(PP_Grid[#Data],M_BOM[PPGridRow],93),0))/44.26</f>
        <v/>
      </c>
      <c r="CP77">
        <f>SUMPRODUCT((M_BOM[Part Name]=$A77)*M_BOM[RM_Qty_Per_Batch]*IFERROR(INDEX(PP_Grid[#Data],M_BOM[PPGridRow],94),0))/44.26</f>
        <v/>
      </c>
      <c r="CQ77">
        <f>SUMPRODUCT((M_BOM[Part Name]=$A77)*M_BOM[RM_Qty_Per_Batch]*IFERROR(INDEX(PP_Grid[#Data],M_BOM[PPGridRow],95),0))/44.26</f>
        <v/>
      </c>
      <c r="CR77">
        <f>SUMPRODUCT((M_BOM[Part Name]=$A77)*M_BOM[RM_Qty_Per_Batch]*IFERROR(INDEX(PP_Grid[#Data],M_BOM[PPGridRow],96),0))/44.26</f>
        <v/>
      </c>
      <c r="CS77">
        <f>SUMPRODUCT((M_BOM[Part Name]=$A77)*M_BOM[RM_Qty_Per_Batch]*IFERROR(INDEX(PP_Grid[#Data],M_BOM[PPGridRow],97),0))/44.26</f>
        <v/>
      </c>
      <c r="CT77">
        <f>SUMPRODUCT((M_BOM[Part Name]=$A77)*M_BOM[RM_Qty_Per_Batch]*IFERROR(INDEX(PP_Grid[#Data],M_BOM[PPGridRow],98),0))/44.26</f>
        <v/>
      </c>
      <c r="CU77">
        <f>SUMPRODUCT((M_BOM[Part Name]=$A77)*M_BOM[RM_Qty_Per_Batch]*IFERROR(INDEX(PP_Grid[#Data],M_BOM[PPGridRow],99),0))/44.26</f>
        <v/>
      </c>
      <c r="CV77">
        <f>SUMPRODUCT((M_BOM[Part Name]=$A77)*M_BOM[RM_Qty_Per_Batch]*IFERROR(INDEX(PP_Grid[#Data],M_BOM[PPGridRow],100),0))/44.26</f>
        <v/>
      </c>
      <c r="CW77">
        <f>SUMPRODUCT((M_BOM[Part Name]=$A77)*M_BOM[RM_Qty_Per_Batch]*IFERROR(INDEX(PP_Grid[#Data],M_BOM[PPGridRow],101),0))/44.26</f>
        <v/>
      </c>
      <c r="CX77">
        <f>SUMPRODUCT((M_BOM[Part Name]=$A77)*M_BOM[RM_Qty_Per_Batch]*IFERROR(INDEX(PP_Grid[#Data],M_BOM[PPGridRow],102),0))/44.26</f>
        <v/>
      </c>
      <c r="CY77">
        <f>SUMPRODUCT((M_BOM[Part Name]=$A77)*M_BOM[RM_Qty_Per_Batch]*IFERROR(INDEX(PP_Grid[#Data],M_BOM[PPGridRow],103),0))/44.26</f>
        <v/>
      </c>
      <c r="CZ77">
        <f>SUMPRODUCT((M_BOM[Part Name]=$A77)*M_BOM[RM_Qty_Per_Batch]*IFERROR(INDEX(PP_Grid[#Data],M_BOM[PPGridRow],104),0))/44.26</f>
        <v/>
      </c>
      <c r="DA77">
        <f>SUMPRODUCT((M_BOM[Part Name]=$A77)*M_BOM[RM_Qty_Per_Batch]*IFERROR(INDEX(PP_Grid[#Data],M_BOM[PPGridRow],105),0))/44.26</f>
        <v/>
      </c>
    </row>
    <row r="78">
      <c r="A78" t="inlineStr">
        <is>
          <t>TPP-649</t>
        </is>
      </c>
      <c r="B78">
        <f>SUMPRODUCT((M_BOM[Part Name]=$A78)*M_BOM[RM_Qty_Per_Batch]*IFERROR(INDEX(PP_Grid[#Data],M_BOM[PPGridRow],2),0))/32.24</f>
        <v/>
      </c>
      <c r="C78">
        <f>SUMPRODUCT((M_BOM[Part Name]=$A78)*M_BOM[RM_Qty_Per_Batch]*IFERROR(INDEX(PP_Grid[#Data],M_BOM[PPGridRow],3),0))/32.24</f>
        <v/>
      </c>
      <c r="D78">
        <f>SUMPRODUCT((M_BOM[Part Name]=$A78)*M_BOM[RM_Qty_Per_Batch]*IFERROR(INDEX(PP_Grid[#Data],M_BOM[PPGridRow],4),0))/32.24</f>
        <v/>
      </c>
      <c r="E78">
        <f>SUMPRODUCT((M_BOM[Part Name]=$A78)*M_BOM[RM_Qty_Per_Batch]*IFERROR(INDEX(PP_Grid[#Data],M_BOM[PPGridRow],5),0))/32.24</f>
        <v/>
      </c>
      <c r="F78">
        <f>SUMPRODUCT((M_BOM[Part Name]=$A78)*M_BOM[RM_Qty_Per_Batch]*IFERROR(INDEX(PP_Grid[#Data],M_BOM[PPGridRow],6),0))/32.24</f>
        <v/>
      </c>
      <c r="G78">
        <f>SUMPRODUCT((M_BOM[Part Name]=$A78)*M_BOM[RM_Qty_Per_Batch]*IFERROR(INDEX(PP_Grid[#Data],M_BOM[PPGridRow],7),0))/32.24</f>
        <v/>
      </c>
      <c r="H78">
        <f>SUMPRODUCT((M_BOM[Part Name]=$A78)*M_BOM[RM_Qty_Per_Batch]*IFERROR(INDEX(PP_Grid[#Data],M_BOM[PPGridRow],8),0))/32.24</f>
        <v/>
      </c>
      <c r="I78">
        <f>SUMPRODUCT((M_BOM[Part Name]=$A78)*M_BOM[RM_Qty_Per_Batch]*IFERROR(INDEX(PP_Grid[#Data],M_BOM[PPGridRow],9),0))/32.24</f>
        <v/>
      </c>
      <c r="J78">
        <f>SUMPRODUCT((M_BOM[Part Name]=$A78)*M_BOM[RM_Qty_Per_Batch]*IFERROR(INDEX(PP_Grid[#Data],M_BOM[PPGridRow],10),0))/32.24</f>
        <v/>
      </c>
      <c r="K78">
        <f>SUMPRODUCT((M_BOM[Part Name]=$A78)*M_BOM[RM_Qty_Per_Batch]*IFERROR(INDEX(PP_Grid[#Data],M_BOM[PPGridRow],11),0))/32.24</f>
        <v/>
      </c>
      <c r="L78">
        <f>SUMPRODUCT((M_BOM[Part Name]=$A78)*M_BOM[RM_Qty_Per_Batch]*IFERROR(INDEX(PP_Grid[#Data],M_BOM[PPGridRow],12),0))/32.24</f>
        <v/>
      </c>
      <c r="M78">
        <f>SUMPRODUCT((M_BOM[Part Name]=$A78)*M_BOM[RM_Qty_Per_Batch]*IFERROR(INDEX(PP_Grid[#Data],M_BOM[PPGridRow],13),0))/32.24</f>
        <v/>
      </c>
      <c r="N78">
        <f>SUMPRODUCT((M_BOM[Part Name]=$A78)*M_BOM[RM_Qty_Per_Batch]*IFERROR(INDEX(PP_Grid[#Data],M_BOM[PPGridRow],14),0))/32.24</f>
        <v/>
      </c>
      <c r="O78">
        <f>SUMPRODUCT((M_BOM[Part Name]=$A78)*M_BOM[RM_Qty_Per_Batch]*IFERROR(INDEX(PP_Grid[#Data],M_BOM[PPGridRow],15),0))/32.24</f>
        <v/>
      </c>
      <c r="P78">
        <f>SUMPRODUCT((M_BOM[Part Name]=$A78)*M_BOM[RM_Qty_Per_Batch]*IFERROR(INDEX(PP_Grid[#Data],M_BOM[PPGridRow],16),0))/32.24</f>
        <v/>
      </c>
      <c r="Q78">
        <f>SUMPRODUCT((M_BOM[Part Name]=$A78)*M_BOM[RM_Qty_Per_Batch]*IFERROR(INDEX(PP_Grid[#Data],M_BOM[PPGridRow],17),0))/32.24</f>
        <v/>
      </c>
      <c r="R78">
        <f>SUMPRODUCT((M_BOM[Part Name]=$A78)*M_BOM[RM_Qty_Per_Batch]*IFERROR(INDEX(PP_Grid[#Data],M_BOM[PPGridRow],18),0))/32.24</f>
        <v/>
      </c>
      <c r="S78">
        <f>SUMPRODUCT((M_BOM[Part Name]=$A78)*M_BOM[RM_Qty_Per_Batch]*IFERROR(INDEX(PP_Grid[#Data],M_BOM[PPGridRow],19),0))/32.24</f>
        <v/>
      </c>
      <c r="T78">
        <f>SUMPRODUCT((M_BOM[Part Name]=$A78)*M_BOM[RM_Qty_Per_Batch]*IFERROR(INDEX(PP_Grid[#Data],M_BOM[PPGridRow],20),0))/32.24</f>
        <v/>
      </c>
      <c r="U78">
        <f>SUMPRODUCT((M_BOM[Part Name]=$A78)*M_BOM[RM_Qty_Per_Batch]*IFERROR(INDEX(PP_Grid[#Data],M_BOM[PPGridRow],21),0))/32.24</f>
        <v/>
      </c>
      <c r="V78">
        <f>SUMPRODUCT((M_BOM[Part Name]=$A78)*M_BOM[RM_Qty_Per_Batch]*IFERROR(INDEX(PP_Grid[#Data],M_BOM[PPGridRow],22),0))/32.24</f>
        <v/>
      </c>
      <c r="W78">
        <f>SUMPRODUCT((M_BOM[Part Name]=$A78)*M_BOM[RM_Qty_Per_Batch]*IFERROR(INDEX(PP_Grid[#Data],M_BOM[PPGridRow],23),0))/32.24</f>
        <v/>
      </c>
      <c r="X78">
        <f>SUMPRODUCT((M_BOM[Part Name]=$A78)*M_BOM[RM_Qty_Per_Batch]*IFERROR(INDEX(PP_Grid[#Data],M_BOM[PPGridRow],24),0))/32.24</f>
        <v/>
      </c>
      <c r="Y78">
        <f>SUMPRODUCT((M_BOM[Part Name]=$A78)*M_BOM[RM_Qty_Per_Batch]*IFERROR(INDEX(PP_Grid[#Data],M_BOM[PPGridRow],25),0))/32.24</f>
        <v/>
      </c>
      <c r="Z78">
        <f>SUMPRODUCT((M_BOM[Part Name]=$A78)*M_BOM[RM_Qty_Per_Batch]*IFERROR(INDEX(PP_Grid[#Data],M_BOM[PPGridRow],26),0))/32.24</f>
        <v/>
      </c>
      <c r="AA78">
        <f>SUMPRODUCT((M_BOM[Part Name]=$A78)*M_BOM[RM_Qty_Per_Batch]*IFERROR(INDEX(PP_Grid[#Data],M_BOM[PPGridRow],27),0))/32.24</f>
        <v/>
      </c>
      <c r="AB78">
        <f>SUMPRODUCT((M_BOM[Part Name]=$A78)*M_BOM[RM_Qty_Per_Batch]*IFERROR(INDEX(PP_Grid[#Data],M_BOM[PPGridRow],28),0))/32.24</f>
        <v/>
      </c>
      <c r="AC78">
        <f>SUMPRODUCT((M_BOM[Part Name]=$A78)*M_BOM[RM_Qty_Per_Batch]*IFERROR(INDEX(PP_Grid[#Data],M_BOM[PPGridRow],29),0))/32.24</f>
        <v/>
      </c>
      <c r="AD78">
        <f>SUMPRODUCT((M_BOM[Part Name]=$A78)*M_BOM[RM_Qty_Per_Batch]*IFERROR(INDEX(PP_Grid[#Data],M_BOM[PPGridRow],30),0))/32.24</f>
        <v/>
      </c>
      <c r="AE78">
        <f>SUMPRODUCT((M_BOM[Part Name]=$A78)*M_BOM[RM_Qty_Per_Batch]*IFERROR(INDEX(PP_Grid[#Data],M_BOM[PPGridRow],31),0))/32.24</f>
        <v/>
      </c>
      <c r="AF78">
        <f>SUMPRODUCT((M_BOM[Part Name]=$A78)*M_BOM[RM_Qty_Per_Batch]*IFERROR(INDEX(PP_Grid[#Data],M_BOM[PPGridRow],32),0))/32.24</f>
        <v/>
      </c>
      <c r="AG78">
        <f>SUMPRODUCT((M_BOM[Part Name]=$A78)*M_BOM[RM_Qty_Per_Batch]*IFERROR(INDEX(PP_Grid[#Data],M_BOM[PPGridRow],33),0))/32.24</f>
        <v/>
      </c>
      <c r="AH78">
        <f>SUMPRODUCT((M_BOM[Part Name]=$A78)*M_BOM[RM_Qty_Per_Batch]*IFERROR(INDEX(PP_Grid[#Data],M_BOM[PPGridRow],34),0))/32.24</f>
        <v/>
      </c>
      <c r="AI78">
        <f>SUMPRODUCT((M_BOM[Part Name]=$A78)*M_BOM[RM_Qty_Per_Batch]*IFERROR(INDEX(PP_Grid[#Data],M_BOM[PPGridRow],35),0))/32.24</f>
        <v/>
      </c>
      <c r="AJ78">
        <f>SUMPRODUCT((M_BOM[Part Name]=$A78)*M_BOM[RM_Qty_Per_Batch]*IFERROR(INDEX(PP_Grid[#Data],M_BOM[PPGridRow],36),0))/32.24</f>
        <v/>
      </c>
      <c r="AK78">
        <f>SUMPRODUCT((M_BOM[Part Name]=$A78)*M_BOM[RM_Qty_Per_Batch]*IFERROR(INDEX(PP_Grid[#Data],M_BOM[PPGridRow],37),0))/32.24</f>
        <v/>
      </c>
      <c r="AL78">
        <f>SUMPRODUCT((M_BOM[Part Name]=$A78)*M_BOM[RM_Qty_Per_Batch]*IFERROR(INDEX(PP_Grid[#Data],M_BOM[PPGridRow],38),0))/32.24</f>
        <v/>
      </c>
      <c r="AM78">
        <f>SUMPRODUCT((M_BOM[Part Name]=$A78)*M_BOM[RM_Qty_Per_Batch]*IFERROR(INDEX(PP_Grid[#Data],M_BOM[PPGridRow],39),0))/32.24</f>
        <v/>
      </c>
      <c r="AN78">
        <f>SUMPRODUCT((M_BOM[Part Name]=$A78)*M_BOM[RM_Qty_Per_Batch]*IFERROR(INDEX(PP_Grid[#Data],M_BOM[PPGridRow],40),0))/32.24</f>
        <v/>
      </c>
      <c r="AO78">
        <f>SUMPRODUCT((M_BOM[Part Name]=$A78)*M_BOM[RM_Qty_Per_Batch]*IFERROR(INDEX(PP_Grid[#Data],M_BOM[PPGridRow],41),0))/32.24</f>
        <v/>
      </c>
      <c r="AP78">
        <f>SUMPRODUCT((M_BOM[Part Name]=$A78)*M_BOM[RM_Qty_Per_Batch]*IFERROR(INDEX(PP_Grid[#Data],M_BOM[PPGridRow],42),0))/32.24</f>
        <v/>
      </c>
      <c r="AQ78">
        <f>SUMPRODUCT((M_BOM[Part Name]=$A78)*M_BOM[RM_Qty_Per_Batch]*IFERROR(INDEX(PP_Grid[#Data],M_BOM[PPGridRow],43),0))/32.24</f>
        <v/>
      </c>
      <c r="AR78">
        <f>SUMPRODUCT((M_BOM[Part Name]=$A78)*M_BOM[RM_Qty_Per_Batch]*IFERROR(INDEX(PP_Grid[#Data],M_BOM[PPGridRow],44),0))/32.24</f>
        <v/>
      </c>
      <c r="AS78">
        <f>SUMPRODUCT((M_BOM[Part Name]=$A78)*M_BOM[RM_Qty_Per_Batch]*IFERROR(INDEX(PP_Grid[#Data],M_BOM[PPGridRow],45),0))/32.24</f>
        <v/>
      </c>
      <c r="AT78">
        <f>SUMPRODUCT((M_BOM[Part Name]=$A78)*M_BOM[RM_Qty_Per_Batch]*IFERROR(INDEX(PP_Grid[#Data],M_BOM[PPGridRow],46),0))/32.24</f>
        <v/>
      </c>
      <c r="AU78">
        <f>SUMPRODUCT((M_BOM[Part Name]=$A78)*M_BOM[RM_Qty_Per_Batch]*IFERROR(INDEX(PP_Grid[#Data],M_BOM[PPGridRow],47),0))/32.24</f>
        <v/>
      </c>
      <c r="AV78">
        <f>SUMPRODUCT((M_BOM[Part Name]=$A78)*M_BOM[RM_Qty_Per_Batch]*IFERROR(INDEX(PP_Grid[#Data],M_BOM[PPGridRow],48),0))/32.24</f>
        <v/>
      </c>
      <c r="AW78">
        <f>SUMPRODUCT((M_BOM[Part Name]=$A78)*M_BOM[RM_Qty_Per_Batch]*IFERROR(INDEX(PP_Grid[#Data],M_BOM[PPGridRow],49),0))/32.24</f>
        <v/>
      </c>
      <c r="AX78">
        <f>SUMPRODUCT((M_BOM[Part Name]=$A78)*M_BOM[RM_Qty_Per_Batch]*IFERROR(INDEX(PP_Grid[#Data],M_BOM[PPGridRow],50),0))/32.24</f>
        <v/>
      </c>
      <c r="AY78">
        <f>SUMPRODUCT((M_BOM[Part Name]=$A78)*M_BOM[RM_Qty_Per_Batch]*IFERROR(INDEX(PP_Grid[#Data],M_BOM[PPGridRow],51),0))/32.24</f>
        <v/>
      </c>
      <c r="AZ78">
        <f>SUMPRODUCT((M_BOM[Part Name]=$A78)*M_BOM[RM_Qty_Per_Batch]*IFERROR(INDEX(PP_Grid[#Data],M_BOM[PPGridRow],52),0))/32.24</f>
        <v/>
      </c>
      <c r="BA78">
        <f>SUMPRODUCT((M_BOM[Part Name]=$A78)*M_BOM[RM_Qty_Per_Batch]*IFERROR(INDEX(PP_Grid[#Data],M_BOM[PPGridRow],53),0))/32.24</f>
        <v/>
      </c>
      <c r="BB78">
        <f>SUMPRODUCT((M_BOM[Part Name]=$A78)*M_BOM[RM_Qty_Per_Batch]*IFERROR(INDEX(PP_Grid[#Data],M_BOM[PPGridRow],54),0))/32.24</f>
        <v/>
      </c>
      <c r="BC78">
        <f>SUMPRODUCT((M_BOM[Part Name]=$A78)*M_BOM[RM_Qty_Per_Batch]*IFERROR(INDEX(PP_Grid[#Data],M_BOM[PPGridRow],55),0))/32.24</f>
        <v/>
      </c>
      <c r="BD78">
        <f>SUMPRODUCT((M_BOM[Part Name]=$A78)*M_BOM[RM_Qty_Per_Batch]*IFERROR(INDEX(PP_Grid[#Data],M_BOM[PPGridRow],56),0))/32.24</f>
        <v/>
      </c>
      <c r="BE78">
        <f>SUMPRODUCT((M_BOM[Part Name]=$A78)*M_BOM[RM_Qty_Per_Batch]*IFERROR(INDEX(PP_Grid[#Data],M_BOM[PPGridRow],57),0))/32.24</f>
        <v/>
      </c>
      <c r="BF78">
        <f>SUMPRODUCT((M_BOM[Part Name]=$A78)*M_BOM[RM_Qty_Per_Batch]*IFERROR(INDEX(PP_Grid[#Data],M_BOM[PPGridRow],58),0))/32.24</f>
        <v/>
      </c>
      <c r="BG78">
        <f>SUMPRODUCT((M_BOM[Part Name]=$A78)*M_BOM[RM_Qty_Per_Batch]*IFERROR(INDEX(PP_Grid[#Data],M_BOM[PPGridRow],59),0))/32.24</f>
        <v/>
      </c>
      <c r="BH78">
        <f>SUMPRODUCT((M_BOM[Part Name]=$A78)*M_BOM[RM_Qty_Per_Batch]*IFERROR(INDEX(PP_Grid[#Data],M_BOM[PPGridRow],60),0))/32.24</f>
        <v/>
      </c>
      <c r="BI78">
        <f>SUMPRODUCT((M_BOM[Part Name]=$A78)*M_BOM[RM_Qty_Per_Batch]*IFERROR(INDEX(PP_Grid[#Data],M_BOM[PPGridRow],61),0))/32.24</f>
        <v/>
      </c>
      <c r="BJ78">
        <f>SUMPRODUCT((M_BOM[Part Name]=$A78)*M_BOM[RM_Qty_Per_Batch]*IFERROR(INDEX(PP_Grid[#Data],M_BOM[PPGridRow],62),0))/32.24</f>
        <v/>
      </c>
      <c r="BK78">
        <f>SUMPRODUCT((M_BOM[Part Name]=$A78)*M_BOM[RM_Qty_Per_Batch]*IFERROR(INDEX(PP_Grid[#Data],M_BOM[PPGridRow],63),0))/32.24</f>
        <v/>
      </c>
      <c r="BL78">
        <f>SUMPRODUCT((M_BOM[Part Name]=$A78)*M_BOM[RM_Qty_Per_Batch]*IFERROR(INDEX(PP_Grid[#Data],M_BOM[PPGridRow],64),0))/32.24</f>
        <v/>
      </c>
      <c r="BM78">
        <f>SUMPRODUCT((M_BOM[Part Name]=$A78)*M_BOM[RM_Qty_Per_Batch]*IFERROR(INDEX(PP_Grid[#Data],M_BOM[PPGridRow],65),0))/32.24</f>
        <v/>
      </c>
      <c r="BN78">
        <f>SUMPRODUCT((M_BOM[Part Name]=$A78)*M_BOM[RM_Qty_Per_Batch]*IFERROR(INDEX(PP_Grid[#Data],M_BOM[PPGridRow],66),0))/32.24</f>
        <v/>
      </c>
      <c r="BO78">
        <f>SUMPRODUCT((M_BOM[Part Name]=$A78)*M_BOM[RM_Qty_Per_Batch]*IFERROR(INDEX(PP_Grid[#Data],M_BOM[PPGridRow],67),0))/32.24</f>
        <v/>
      </c>
      <c r="BP78">
        <f>SUMPRODUCT((M_BOM[Part Name]=$A78)*M_BOM[RM_Qty_Per_Batch]*IFERROR(INDEX(PP_Grid[#Data],M_BOM[PPGridRow],68),0))/32.24</f>
        <v/>
      </c>
      <c r="BQ78">
        <f>SUMPRODUCT((M_BOM[Part Name]=$A78)*M_BOM[RM_Qty_Per_Batch]*IFERROR(INDEX(PP_Grid[#Data],M_BOM[PPGridRow],69),0))/32.24</f>
        <v/>
      </c>
      <c r="BR78">
        <f>SUMPRODUCT((M_BOM[Part Name]=$A78)*M_BOM[RM_Qty_Per_Batch]*IFERROR(INDEX(PP_Grid[#Data],M_BOM[PPGridRow],70),0))/32.24</f>
        <v/>
      </c>
      <c r="BS78">
        <f>SUMPRODUCT((M_BOM[Part Name]=$A78)*M_BOM[RM_Qty_Per_Batch]*IFERROR(INDEX(PP_Grid[#Data],M_BOM[PPGridRow],71),0))/32.24</f>
        <v/>
      </c>
      <c r="BT78">
        <f>SUMPRODUCT((M_BOM[Part Name]=$A78)*M_BOM[RM_Qty_Per_Batch]*IFERROR(INDEX(PP_Grid[#Data],M_BOM[PPGridRow],72),0))/32.24</f>
        <v/>
      </c>
      <c r="BU78">
        <f>SUMPRODUCT((M_BOM[Part Name]=$A78)*M_BOM[RM_Qty_Per_Batch]*IFERROR(INDEX(PP_Grid[#Data],M_BOM[PPGridRow],73),0))/32.24</f>
        <v/>
      </c>
      <c r="BV78">
        <f>SUMPRODUCT((M_BOM[Part Name]=$A78)*M_BOM[RM_Qty_Per_Batch]*IFERROR(INDEX(PP_Grid[#Data],M_BOM[PPGridRow],74),0))/32.24</f>
        <v/>
      </c>
      <c r="BW78">
        <f>SUMPRODUCT((M_BOM[Part Name]=$A78)*M_BOM[RM_Qty_Per_Batch]*IFERROR(INDEX(PP_Grid[#Data],M_BOM[PPGridRow],75),0))/32.24</f>
        <v/>
      </c>
      <c r="BX78">
        <f>SUMPRODUCT((M_BOM[Part Name]=$A78)*M_BOM[RM_Qty_Per_Batch]*IFERROR(INDEX(PP_Grid[#Data],M_BOM[PPGridRow],76),0))/32.24</f>
        <v/>
      </c>
      <c r="BY78">
        <f>SUMPRODUCT((M_BOM[Part Name]=$A78)*M_BOM[RM_Qty_Per_Batch]*IFERROR(INDEX(PP_Grid[#Data],M_BOM[PPGridRow],77),0))/32.24</f>
        <v/>
      </c>
      <c r="BZ78">
        <f>SUMPRODUCT((M_BOM[Part Name]=$A78)*M_BOM[RM_Qty_Per_Batch]*IFERROR(INDEX(PP_Grid[#Data],M_BOM[PPGridRow],78),0))/32.24</f>
        <v/>
      </c>
      <c r="CA78">
        <f>SUMPRODUCT((M_BOM[Part Name]=$A78)*M_BOM[RM_Qty_Per_Batch]*IFERROR(INDEX(PP_Grid[#Data],M_BOM[PPGridRow],79),0))/32.24</f>
        <v/>
      </c>
      <c r="CB78">
        <f>SUMPRODUCT((M_BOM[Part Name]=$A78)*M_BOM[RM_Qty_Per_Batch]*IFERROR(INDEX(PP_Grid[#Data],M_BOM[PPGridRow],80),0))/32.24</f>
        <v/>
      </c>
      <c r="CC78">
        <f>SUMPRODUCT((M_BOM[Part Name]=$A78)*M_BOM[RM_Qty_Per_Batch]*IFERROR(INDEX(PP_Grid[#Data],M_BOM[PPGridRow],81),0))/32.24</f>
        <v/>
      </c>
      <c r="CD78">
        <f>SUMPRODUCT((M_BOM[Part Name]=$A78)*M_BOM[RM_Qty_Per_Batch]*IFERROR(INDEX(PP_Grid[#Data],M_BOM[PPGridRow],82),0))/32.24</f>
        <v/>
      </c>
      <c r="CE78">
        <f>SUMPRODUCT((M_BOM[Part Name]=$A78)*M_BOM[RM_Qty_Per_Batch]*IFERROR(INDEX(PP_Grid[#Data],M_BOM[PPGridRow],83),0))/32.24</f>
        <v/>
      </c>
      <c r="CF78">
        <f>SUMPRODUCT((M_BOM[Part Name]=$A78)*M_BOM[RM_Qty_Per_Batch]*IFERROR(INDEX(PP_Grid[#Data],M_BOM[PPGridRow],84),0))/32.24</f>
        <v/>
      </c>
      <c r="CG78">
        <f>SUMPRODUCT((M_BOM[Part Name]=$A78)*M_BOM[RM_Qty_Per_Batch]*IFERROR(INDEX(PP_Grid[#Data],M_BOM[PPGridRow],85),0))/32.24</f>
        <v/>
      </c>
      <c r="CH78">
        <f>SUMPRODUCT((M_BOM[Part Name]=$A78)*M_BOM[RM_Qty_Per_Batch]*IFERROR(INDEX(PP_Grid[#Data],M_BOM[PPGridRow],86),0))/32.24</f>
        <v/>
      </c>
      <c r="CI78">
        <f>SUMPRODUCT((M_BOM[Part Name]=$A78)*M_BOM[RM_Qty_Per_Batch]*IFERROR(INDEX(PP_Grid[#Data],M_BOM[PPGridRow],87),0))/32.24</f>
        <v/>
      </c>
      <c r="CJ78">
        <f>SUMPRODUCT((M_BOM[Part Name]=$A78)*M_BOM[RM_Qty_Per_Batch]*IFERROR(INDEX(PP_Grid[#Data],M_BOM[PPGridRow],88),0))/32.24</f>
        <v/>
      </c>
      <c r="CK78">
        <f>SUMPRODUCT((M_BOM[Part Name]=$A78)*M_BOM[RM_Qty_Per_Batch]*IFERROR(INDEX(PP_Grid[#Data],M_BOM[PPGridRow],89),0))/32.24</f>
        <v/>
      </c>
      <c r="CL78">
        <f>SUMPRODUCT((M_BOM[Part Name]=$A78)*M_BOM[RM_Qty_Per_Batch]*IFERROR(INDEX(PP_Grid[#Data],M_BOM[PPGridRow],90),0))/32.24</f>
        <v/>
      </c>
      <c r="CM78">
        <f>SUMPRODUCT((M_BOM[Part Name]=$A78)*M_BOM[RM_Qty_Per_Batch]*IFERROR(INDEX(PP_Grid[#Data],M_BOM[PPGridRow],91),0))/32.24</f>
        <v/>
      </c>
      <c r="CN78">
        <f>SUMPRODUCT((M_BOM[Part Name]=$A78)*M_BOM[RM_Qty_Per_Batch]*IFERROR(INDEX(PP_Grid[#Data],M_BOM[PPGridRow],92),0))/32.24</f>
        <v/>
      </c>
      <c r="CO78">
        <f>SUMPRODUCT((M_BOM[Part Name]=$A78)*M_BOM[RM_Qty_Per_Batch]*IFERROR(INDEX(PP_Grid[#Data],M_BOM[PPGridRow],93),0))/32.24</f>
        <v/>
      </c>
      <c r="CP78">
        <f>SUMPRODUCT((M_BOM[Part Name]=$A78)*M_BOM[RM_Qty_Per_Batch]*IFERROR(INDEX(PP_Grid[#Data],M_BOM[PPGridRow],94),0))/32.24</f>
        <v/>
      </c>
      <c r="CQ78">
        <f>SUMPRODUCT((M_BOM[Part Name]=$A78)*M_BOM[RM_Qty_Per_Batch]*IFERROR(INDEX(PP_Grid[#Data],M_BOM[PPGridRow],95),0))/32.24</f>
        <v/>
      </c>
      <c r="CR78">
        <f>SUMPRODUCT((M_BOM[Part Name]=$A78)*M_BOM[RM_Qty_Per_Batch]*IFERROR(INDEX(PP_Grid[#Data],M_BOM[PPGridRow],96),0))/32.24</f>
        <v/>
      </c>
      <c r="CS78">
        <f>SUMPRODUCT((M_BOM[Part Name]=$A78)*M_BOM[RM_Qty_Per_Batch]*IFERROR(INDEX(PP_Grid[#Data],M_BOM[PPGridRow],97),0))/32.24</f>
        <v/>
      </c>
      <c r="CT78">
        <f>SUMPRODUCT((M_BOM[Part Name]=$A78)*M_BOM[RM_Qty_Per_Batch]*IFERROR(INDEX(PP_Grid[#Data],M_BOM[PPGridRow],98),0))/32.24</f>
        <v/>
      </c>
      <c r="CU78">
        <f>SUMPRODUCT((M_BOM[Part Name]=$A78)*M_BOM[RM_Qty_Per_Batch]*IFERROR(INDEX(PP_Grid[#Data],M_BOM[PPGridRow],99),0))/32.24</f>
        <v/>
      </c>
      <c r="CV78">
        <f>SUMPRODUCT((M_BOM[Part Name]=$A78)*M_BOM[RM_Qty_Per_Batch]*IFERROR(INDEX(PP_Grid[#Data],M_BOM[PPGridRow],100),0))/32.24</f>
        <v/>
      </c>
      <c r="CW78">
        <f>SUMPRODUCT((M_BOM[Part Name]=$A78)*M_BOM[RM_Qty_Per_Batch]*IFERROR(INDEX(PP_Grid[#Data],M_BOM[PPGridRow],101),0))/32.24</f>
        <v/>
      </c>
      <c r="CX78">
        <f>SUMPRODUCT((M_BOM[Part Name]=$A78)*M_BOM[RM_Qty_Per_Batch]*IFERROR(INDEX(PP_Grid[#Data],M_BOM[PPGridRow],102),0))/32.24</f>
        <v/>
      </c>
      <c r="CY78">
        <f>SUMPRODUCT((M_BOM[Part Name]=$A78)*M_BOM[RM_Qty_Per_Batch]*IFERROR(INDEX(PP_Grid[#Data],M_BOM[PPGridRow],103),0))/32.24</f>
        <v/>
      </c>
      <c r="CZ78">
        <f>SUMPRODUCT((M_BOM[Part Name]=$A78)*M_BOM[RM_Qty_Per_Batch]*IFERROR(INDEX(PP_Grid[#Data],M_BOM[PPGridRow],104),0))/32.24</f>
        <v/>
      </c>
      <c r="DA78">
        <f>SUMPRODUCT((M_BOM[Part Name]=$A78)*M_BOM[RM_Qty_Per_Batch]*IFERROR(INDEX(PP_Grid[#Data],M_BOM[PPGridRow],105),0))/32.24</f>
        <v/>
      </c>
    </row>
    <row r="79">
      <c r="A79" t="inlineStr">
        <is>
          <t>TPP-650</t>
        </is>
      </c>
      <c r="B79">
        <f>SUMPRODUCT((M_BOM[Part Name]=$A79)*M_BOM[RM_Qty_Per_Batch]*IFERROR(INDEX(PP_Grid[#Data],M_BOM[PPGridRow],2),0))/58.21</f>
        <v/>
      </c>
      <c r="C79">
        <f>SUMPRODUCT((M_BOM[Part Name]=$A79)*M_BOM[RM_Qty_Per_Batch]*IFERROR(INDEX(PP_Grid[#Data],M_BOM[PPGridRow],3),0))/58.21</f>
        <v/>
      </c>
      <c r="D79">
        <f>SUMPRODUCT((M_BOM[Part Name]=$A79)*M_BOM[RM_Qty_Per_Batch]*IFERROR(INDEX(PP_Grid[#Data],M_BOM[PPGridRow],4),0))/58.21</f>
        <v/>
      </c>
      <c r="E79">
        <f>SUMPRODUCT((M_BOM[Part Name]=$A79)*M_BOM[RM_Qty_Per_Batch]*IFERROR(INDEX(PP_Grid[#Data],M_BOM[PPGridRow],5),0))/58.21</f>
        <v/>
      </c>
      <c r="F79">
        <f>SUMPRODUCT((M_BOM[Part Name]=$A79)*M_BOM[RM_Qty_Per_Batch]*IFERROR(INDEX(PP_Grid[#Data],M_BOM[PPGridRow],6),0))/58.21</f>
        <v/>
      </c>
      <c r="G79">
        <f>SUMPRODUCT((M_BOM[Part Name]=$A79)*M_BOM[RM_Qty_Per_Batch]*IFERROR(INDEX(PP_Grid[#Data],M_BOM[PPGridRow],7),0))/58.21</f>
        <v/>
      </c>
      <c r="H79">
        <f>SUMPRODUCT((M_BOM[Part Name]=$A79)*M_BOM[RM_Qty_Per_Batch]*IFERROR(INDEX(PP_Grid[#Data],M_BOM[PPGridRow],8),0))/58.21</f>
        <v/>
      </c>
      <c r="I79">
        <f>SUMPRODUCT((M_BOM[Part Name]=$A79)*M_BOM[RM_Qty_Per_Batch]*IFERROR(INDEX(PP_Grid[#Data],M_BOM[PPGridRow],9),0))/58.21</f>
        <v/>
      </c>
      <c r="J79">
        <f>SUMPRODUCT((M_BOM[Part Name]=$A79)*M_BOM[RM_Qty_Per_Batch]*IFERROR(INDEX(PP_Grid[#Data],M_BOM[PPGridRow],10),0))/58.21</f>
        <v/>
      </c>
      <c r="K79">
        <f>SUMPRODUCT((M_BOM[Part Name]=$A79)*M_BOM[RM_Qty_Per_Batch]*IFERROR(INDEX(PP_Grid[#Data],M_BOM[PPGridRow],11),0))/58.21</f>
        <v/>
      </c>
      <c r="L79">
        <f>SUMPRODUCT((M_BOM[Part Name]=$A79)*M_BOM[RM_Qty_Per_Batch]*IFERROR(INDEX(PP_Grid[#Data],M_BOM[PPGridRow],12),0))/58.21</f>
        <v/>
      </c>
      <c r="M79">
        <f>SUMPRODUCT((M_BOM[Part Name]=$A79)*M_BOM[RM_Qty_Per_Batch]*IFERROR(INDEX(PP_Grid[#Data],M_BOM[PPGridRow],13),0))/58.21</f>
        <v/>
      </c>
      <c r="N79">
        <f>SUMPRODUCT((M_BOM[Part Name]=$A79)*M_BOM[RM_Qty_Per_Batch]*IFERROR(INDEX(PP_Grid[#Data],M_BOM[PPGridRow],14),0))/58.21</f>
        <v/>
      </c>
      <c r="O79">
        <f>SUMPRODUCT((M_BOM[Part Name]=$A79)*M_BOM[RM_Qty_Per_Batch]*IFERROR(INDEX(PP_Grid[#Data],M_BOM[PPGridRow],15),0))/58.21</f>
        <v/>
      </c>
      <c r="P79">
        <f>SUMPRODUCT((M_BOM[Part Name]=$A79)*M_BOM[RM_Qty_Per_Batch]*IFERROR(INDEX(PP_Grid[#Data],M_BOM[PPGridRow],16),0))/58.21</f>
        <v/>
      </c>
      <c r="Q79">
        <f>SUMPRODUCT((M_BOM[Part Name]=$A79)*M_BOM[RM_Qty_Per_Batch]*IFERROR(INDEX(PP_Grid[#Data],M_BOM[PPGridRow],17),0))/58.21</f>
        <v/>
      </c>
      <c r="R79">
        <f>SUMPRODUCT((M_BOM[Part Name]=$A79)*M_BOM[RM_Qty_Per_Batch]*IFERROR(INDEX(PP_Grid[#Data],M_BOM[PPGridRow],18),0))/58.21</f>
        <v/>
      </c>
      <c r="S79">
        <f>SUMPRODUCT((M_BOM[Part Name]=$A79)*M_BOM[RM_Qty_Per_Batch]*IFERROR(INDEX(PP_Grid[#Data],M_BOM[PPGridRow],19),0))/58.21</f>
        <v/>
      </c>
      <c r="T79">
        <f>SUMPRODUCT((M_BOM[Part Name]=$A79)*M_BOM[RM_Qty_Per_Batch]*IFERROR(INDEX(PP_Grid[#Data],M_BOM[PPGridRow],20),0))/58.21</f>
        <v/>
      </c>
      <c r="U79">
        <f>SUMPRODUCT((M_BOM[Part Name]=$A79)*M_BOM[RM_Qty_Per_Batch]*IFERROR(INDEX(PP_Grid[#Data],M_BOM[PPGridRow],21),0))/58.21</f>
        <v/>
      </c>
      <c r="V79">
        <f>SUMPRODUCT((M_BOM[Part Name]=$A79)*M_BOM[RM_Qty_Per_Batch]*IFERROR(INDEX(PP_Grid[#Data],M_BOM[PPGridRow],22),0))/58.21</f>
        <v/>
      </c>
      <c r="W79">
        <f>SUMPRODUCT((M_BOM[Part Name]=$A79)*M_BOM[RM_Qty_Per_Batch]*IFERROR(INDEX(PP_Grid[#Data],M_BOM[PPGridRow],23),0))/58.21</f>
        <v/>
      </c>
      <c r="X79">
        <f>SUMPRODUCT((M_BOM[Part Name]=$A79)*M_BOM[RM_Qty_Per_Batch]*IFERROR(INDEX(PP_Grid[#Data],M_BOM[PPGridRow],24),0))/58.21</f>
        <v/>
      </c>
      <c r="Y79">
        <f>SUMPRODUCT((M_BOM[Part Name]=$A79)*M_BOM[RM_Qty_Per_Batch]*IFERROR(INDEX(PP_Grid[#Data],M_BOM[PPGridRow],25),0))/58.21</f>
        <v/>
      </c>
      <c r="Z79">
        <f>SUMPRODUCT((M_BOM[Part Name]=$A79)*M_BOM[RM_Qty_Per_Batch]*IFERROR(INDEX(PP_Grid[#Data],M_BOM[PPGridRow],26),0))/58.21</f>
        <v/>
      </c>
      <c r="AA79">
        <f>SUMPRODUCT((M_BOM[Part Name]=$A79)*M_BOM[RM_Qty_Per_Batch]*IFERROR(INDEX(PP_Grid[#Data],M_BOM[PPGridRow],27),0))/58.21</f>
        <v/>
      </c>
      <c r="AB79">
        <f>SUMPRODUCT((M_BOM[Part Name]=$A79)*M_BOM[RM_Qty_Per_Batch]*IFERROR(INDEX(PP_Grid[#Data],M_BOM[PPGridRow],28),0))/58.21</f>
        <v/>
      </c>
      <c r="AC79">
        <f>SUMPRODUCT((M_BOM[Part Name]=$A79)*M_BOM[RM_Qty_Per_Batch]*IFERROR(INDEX(PP_Grid[#Data],M_BOM[PPGridRow],29),0))/58.21</f>
        <v/>
      </c>
      <c r="AD79">
        <f>SUMPRODUCT((M_BOM[Part Name]=$A79)*M_BOM[RM_Qty_Per_Batch]*IFERROR(INDEX(PP_Grid[#Data],M_BOM[PPGridRow],30),0))/58.21</f>
        <v/>
      </c>
      <c r="AE79">
        <f>SUMPRODUCT((M_BOM[Part Name]=$A79)*M_BOM[RM_Qty_Per_Batch]*IFERROR(INDEX(PP_Grid[#Data],M_BOM[PPGridRow],31),0))/58.21</f>
        <v/>
      </c>
      <c r="AF79">
        <f>SUMPRODUCT((M_BOM[Part Name]=$A79)*M_BOM[RM_Qty_Per_Batch]*IFERROR(INDEX(PP_Grid[#Data],M_BOM[PPGridRow],32),0))/58.21</f>
        <v/>
      </c>
      <c r="AG79">
        <f>SUMPRODUCT((M_BOM[Part Name]=$A79)*M_BOM[RM_Qty_Per_Batch]*IFERROR(INDEX(PP_Grid[#Data],M_BOM[PPGridRow],33),0))/58.21</f>
        <v/>
      </c>
      <c r="AH79">
        <f>SUMPRODUCT((M_BOM[Part Name]=$A79)*M_BOM[RM_Qty_Per_Batch]*IFERROR(INDEX(PP_Grid[#Data],M_BOM[PPGridRow],34),0))/58.21</f>
        <v/>
      </c>
      <c r="AI79">
        <f>SUMPRODUCT((M_BOM[Part Name]=$A79)*M_BOM[RM_Qty_Per_Batch]*IFERROR(INDEX(PP_Grid[#Data],M_BOM[PPGridRow],35),0))/58.21</f>
        <v/>
      </c>
      <c r="AJ79">
        <f>SUMPRODUCT((M_BOM[Part Name]=$A79)*M_BOM[RM_Qty_Per_Batch]*IFERROR(INDEX(PP_Grid[#Data],M_BOM[PPGridRow],36),0))/58.21</f>
        <v/>
      </c>
      <c r="AK79">
        <f>SUMPRODUCT((M_BOM[Part Name]=$A79)*M_BOM[RM_Qty_Per_Batch]*IFERROR(INDEX(PP_Grid[#Data],M_BOM[PPGridRow],37),0))/58.21</f>
        <v/>
      </c>
      <c r="AL79">
        <f>SUMPRODUCT((M_BOM[Part Name]=$A79)*M_BOM[RM_Qty_Per_Batch]*IFERROR(INDEX(PP_Grid[#Data],M_BOM[PPGridRow],38),0))/58.21</f>
        <v/>
      </c>
      <c r="AM79">
        <f>SUMPRODUCT((M_BOM[Part Name]=$A79)*M_BOM[RM_Qty_Per_Batch]*IFERROR(INDEX(PP_Grid[#Data],M_BOM[PPGridRow],39),0))/58.21</f>
        <v/>
      </c>
      <c r="AN79">
        <f>SUMPRODUCT((M_BOM[Part Name]=$A79)*M_BOM[RM_Qty_Per_Batch]*IFERROR(INDEX(PP_Grid[#Data],M_BOM[PPGridRow],40),0))/58.21</f>
        <v/>
      </c>
      <c r="AO79">
        <f>SUMPRODUCT((M_BOM[Part Name]=$A79)*M_BOM[RM_Qty_Per_Batch]*IFERROR(INDEX(PP_Grid[#Data],M_BOM[PPGridRow],41),0))/58.21</f>
        <v/>
      </c>
      <c r="AP79">
        <f>SUMPRODUCT((M_BOM[Part Name]=$A79)*M_BOM[RM_Qty_Per_Batch]*IFERROR(INDEX(PP_Grid[#Data],M_BOM[PPGridRow],42),0))/58.21</f>
        <v/>
      </c>
      <c r="AQ79">
        <f>SUMPRODUCT((M_BOM[Part Name]=$A79)*M_BOM[RM_Qty_Per_Batch]*IFERROR(INDEX(PP_Grid[#Data],M_BOM[PPGridRow],43),0))/58.21</f>
        <v/>
      </c>
      <c r="AR79">
        <f>SUMPRODUCT((M_BOM[Part Name]=$A79)*M_BOM[RM_Qty_Per_Batch]*IFERROR(INDEX(PP_Grid[#Data],M_BOM[PPGridRow],44),0))/58.21</f>
        <v/>
      </c>
      <c r="AS79">
        <f>SUMPRODUCT((M_BOM[Part Name]=$A79)*M_BOM[RM_Qty_Per_Batch]*IFERROR(INDEX(PP_Grid[#Data],M_BOM[PPGridRow],45),0))/58.21</f>
        <v/>
      </c>
      <c r="AT79">
        <f>SUMPRODUCT((M_BOM[Part Name]=$A79)*M_BOM[RM_Qty_Per_Batch]*IFERROR(INDEX(PP_Grid[#Data],M_BOM[PPGridRow],46),0))/58.21</f>
        <v/>
      </c>
      <c r="AU79">
        <f>SUMPRODUCT((M_BOM[Part Name]=$A79)*M_BOM[RM_Qty_Per_Batch]*IFERROR(INDEX(PP_Grid[#Data],M_BOM[PPGridRow],47),0))/58.21</f>
        <v/>
      </c>
      <c r="AV79">
        <f>SUMPRODUCT((M_BOM[Part Name]=$A79)*M_BOM[RM_Qty_Per_Batch]*IFERROR(INDEX(PP_Grid[#Data],M_BOM[PPGridRow],48),0))/58.21</f>
        <v/>
      </c>
      <c r="AW79">
        <f>SUMPRODUCT((M_BOM[Part Name]=$A79)*M_BOM[RM_Qty_Per_Batch]*IFERROR(INDEX(PP_Grid[#Data],M_BOM[PPGridRow],49),0))/58.21</f>
        <v/>
      </c>
      <c r="AX79">
        <f>SUMPRODUCT((M_BOM[Part Name]=$A79)*M_BOM[RM_Qty_Per_Batch]*IFERROR(INDEX(PP_Grid[#Data],M_BOM[PPGridRow],50),0))/58.21</f>
        <v/>
      </c>
      <c r="AY79">
        <f>SUMPRODUCT((M_BOM[Part Name]=$A79)*M_BOM[RM_Qty_Per_Batch]*IFERROR(INDEX(PP_Grid[#Data],M_BOM[PPGridRow],51),0))/58.21</f>
        <v/>
      </c>
      <c r="AZ79">
        <f>SUMPRODUCT((M_BOM[Part Name]=$A79)*M_BOM[RM_Qty_Per_Batch]*IFERROR(INDEX(PP_Grid[#Data],M_BOM[PPGridRow],52),0))/58.21</f>
        <v/>
      </c>
      <c r="BA79">
        <f>SUMPRODUCT((M_BOM[Part Name]=$A79)*M_BOM[RM_Qty_Per_Batch]*IFERROR(INDEX(PP_Grid[#Data],M_BOM[PPGridRow],53),0))/58.21</f>
        <v/>
      </c>
      <c r="BB79">
        <f>SUMPRODUCT((M_BOM[Part Name]=$A79)*M_BOM[RM_Qty_Per_Batch]*IFERROR(INDEX(PP_Grid[#Data],M_BOM[PPGridRow],54),0))/58.21</f>
        <v/>
      </c>
      <c r="BC79">
        <f>SUMPRODUCT((M_BOM[Part Name]=$A79)*M_BOM[RM_Qty_Per_Batch]*IFERROR(INDEX(PP_Grid[#Data],M_BOM[PPGridRow],55),0))/58.21</f>
        <v/>
      </c>
      <c r="BD79">
        <f>SUMPRODUCT((M_BOM[Part Name]=$A79)*M_BOM[RM_Qty_Per_Batch]*IFERROR(INDEX(PP_Grid[#Data],M_BOM[PPGridRow],56),0))/58.21</f>
        <v/>
      </c>
      <c r="BE79">
        <f>SUMPRODUCT((M_BOM[Part Name]=$A79)*M_BOM[RM_Qty_Per_Batch]*IFERROR(INDEX(PP_Grid[#Data],M_BOM[PPGridRow],57),0))/58.21</f>
        <v/>
      </c>
      <c r="BF79">
        <f>SUMPRODUCT((M_BOM[Part Name]=$A79)*M_BOM[RM_Qty_Per_Batch]*IFERROR(INDEX(PP_Grid[#Data],M_BOM[PPGridRow],58),0))/58.21</f>
        <v/>
      </c>
      <c r="BG79">
        <f>SUMPRODUCT((M_BOM[Part Name]=$A79)*M_BOM[RM_Qty_Per_Batch]*IFERROR(INDEX(PP_Grid[#Data],M_BOM[PPGridRow],59),0))/58.21</f>
        <v/>
      </c>
      <c r="BH79">
        <f>SUMPRODUCT((M_BOM[Part Name]=$A79)*M_BOM[RM_Qty_Per_Batch]*IFERROR(INDEX(PP_Grid[#Data],M_BOM[PPGridRow],60),0))/58.21</f>
        <v/>
      </c>
      <c r="BI79">
        <f>SUMPRODUCT((M_BOM[Part Name]=$A79)*M_BOM[RM_Qty_Per_Batch]*IFERROR(INDEX(PP_Grid[#Data],M_BOM[PPGridRow],61),0))/58.21</f>
        <v/>
      </c>
      <c r="BJ79">
        <f>SUMPRODUCT((M_BOM[Part Name]=$A79)*M_BOM[RM_Qty_Per_Batch]*IFERROR(INDEX(PP_Grid[#Data],M_BOM[PPGridRow],62),0))/58.21</f>
        <v/>
      </c>
      <c r="BK79">
        <f>SUMPRODUCT((M_BOM[Part Name]=$A79)*M_BOM[RM_Qty_Per_Batch]*IFERROR(INDEX(PP_Grid[#Data],M_BOM[PPGridRow],63),0))/58.21</f>
        <v/>
      </c>
      <c r="BL79">
        <f>SUMPRODUCT((M_BOM[Part Name]=$A79)*M_BOM[RM_Qty_Per_Batch]*IFERROR(INDEX(PP_Grid[#Data],M_BOM[PPGridRow],64),0))/58.21</f>
        <v/>
      </c>
      <c r="BM79">
        <f>SUMPRODUCT((M_BOM[Part Name]=$A79)*M_BOM[RM_Qty_Per_Batch]*IFERROR(INDEX(PP_Grid[#Data],M_BOM[PPGridRow],65),0))/58.21</f>
        <v/>
      </c>
      <c r="BN79">
        <f>SUMPRODUCT((M_BOM[Part Name]=$A79)*M_BOM[RM_Qty_Per_Batch]*IFERROR(INDEX(PP_Grid[#Data],M_BOM[PPGridRow],66),0))/58.21</f>
        <v/>
      </c>
      <c r="BO79">
        <f>SUMPRODUCT((M_BOM[Part Name]=$A79)*M_BOM[RM_Qty_Per_Batch]*IFERROR(INDEX(PP_Grid[#Data],M_BOM[PPGridRow],67),0))/58.21</f>
        <v/>
      </c>
      <c r="BP79">
        <f>SUMPRODUCT((M_BOM[Part Name]=$A79)*M_BOM[RM_Qty_Per_Batch]*IFERROR(INDEX(PP_Grid[#Data],M_BOM[PPGridRow],68),0))/58.21</f>
        <v/>
      </c>
      <c r="BQ79">
        <f>SUMPRODUCT((M_BOM[Part Name]=$A79)*M_BOM[RM_Qty_Per_Batch]*IFERROR(INDEX(PP_Grid[#Data],M_BOM[PPGridRow],69),0))/58.21</f>
        <v/>
      </c>
      <c r="BR79">
        <f>SUMPRODUCT((M_BOM[Part Name]=$A79)*M_BOM[RM_Qty_Per_Batch]*IFERROR(INDEX(PP_Grid[#Data],M_BOM[PPGridRow],70),0))/58.21</f>
        <v/>
      </c>
      <c r="BS79">
        <f>SUMPRODUCT((M_BOM[Part Name]=$A79)*M_BOM[RM_Qty_Per_Batch]*IFERROR(INDEX(PP_Grid[#Data],M_BOM[PPGridRow],71),0))/58.21</f>
        <v/>
      </c>
      <c r="BT79">
        <f>SUMPRODUCT((M_BOM[Part Name]=$A79)*M_BOM[RM_Qty_Per_Batch]*IFERROR(INDEX(PP_Grid[#Data],M_BOM[PPGridRow],72),0))/58.21</f>
        <v/>
      </c>
      <c r="BU79">
        <f>SUMPRODUCT((M_BOM[Part Name]=$A79)*M_BOM[RM_Qty_Per_Batch]*IFERROR(INDEX(PP_Grid[#Data],M_BOM[PPGridRow],73),0))/58.21</f>
        <v/>
      </c>
      <c r="BV79">
        <f>SUMPRODUCT((M_BOM[Part Name]=$A79)*M_BOM[RM_Qty_Per_Batch]*IFERROR(INDEX(PP_Grid[#Data],M_BOM[PPGridRow],74),0))/58.21</f>
        <v/>
      </c>
      <c r="BW79">
        <f>SUMPRODUCT((M_BOM[Part Name]=$A79)*M_BOM[RM_Qty_Per_Batch]*IFERROR(INDEX(PP_Grid[#Data],M_BOM[PPGridRow],75),0))/58.21</f>
        <v/>
      </c>
      <c r="BX79">
        <f>SUMPRODUCT((M_BOM[Part Name]=$A79)*M_BOM[RM_Qty_Per_Batch]*IFERROR(INDEX(PP_Grid[#Data],M_BOM[PPGridRow],76),0))/58.21</f>
        <v/>
      </c>
      <c r="BY79">
        <f>SUMPRODUCT((M_BOM[Part Name]=$A79)*M_BOM[RM_Qty_Per_Batch]*IFERROR(INDEX(PP_Grid[#Data],M_BOM[PPGridRow],77),0))/58.21</f>
        <v/>
      </c>
      <c r="BZ79">
        <f>SUMPRODUCT((M_BOM[Part Name]=$A79)*M_BOM[RM_Qty_Per_Batch]*IFERROR(INDEX(PP_Grid[#Data],M_BOM[PPGridRow],78),0))/58.21</f>
        <v/>
      </c>
      <c r="CA79">
        <f>SUMPRODUCT((M_BOM[Part Name]=$A79)*M_BOM[RM_Qty_Per_Batch]*IFERROR(INDEX(PP_Grid[#Data],M_BOM[PPGridRow],79),0))/58.21</f>
        <v/>
      </c>
      <c r="CB79">
        <f>SUMPRODUCT((M_BOM[Part Name]=$A79)*M_BOM[RM_Qty_Per_Batch]*IFERROR(INDEX(PP_Grid[#Data],M_BOM[PPGridRow],80),0))/58.21</f>
        <v/>
      </c>
      <c r="CC79">
        <f>SUMPRODUCT((M_BOM[Part Name]=$A79)*M_BOM[RM_Qty_Per_Batch]*IFERROR(INDEX(PP_Grid[#Data],M_BOM[PPGridRow],81),0))/58.21</f>
        <v/>
      </c>
      <c r="CD79">
        <f>SUMPRODUCT((M_BOM[Part Name]=$A79)*M_BOM[RM_Qty_Per_Batch]*IFERROR(INDEX(PP_Grid[#Data],M_BOM[PPGridRow],82),0))/58.21</f>
        <v/>
      </c>
      <c r="CE79">
        <f>SUMPRODUCT((M_BOM[Part Name]=$A79)*M_BOM[RM_Qty_Per_Batch]*IFERROR(INDEX(PP_Grid[#Data],M_BOM[PPGridRow],83),0))/58.21</f>
        <v/>
      </c>
      <c r="CF79">
        <f>SUMPRODUCT((M_BOM[Part Name]=$A79)*M_BOM[RM_Qty_Per_Batch]*IFERROR(INDEX(PP_Grid[#Data],M_BOM[PPGridRow],84),0))/58.21</f>
        <v/>
      </c>
      <c r="CG79">
        <f>SUMPRODUCT((M_BOM[Part Name]=$A79)*M_BOM[RM_Qty_Per_Batch]*IFERROR(INDEX(PP_Grid[#Data],M_BOM[PPGridRow],85),0))/58.21</f>
        <v/>
      </c>
      <c r="CH79">
        <f>SUMPRODUCT((M_BOM[Part Name]=$A79)*M_BOM[RM_Qty_Per_Batch]*IFERROR(INDEX(PP_Grid[#Data],M_BOM[PPGridRow],86),0))/58.21</f>
        <v/>
      </c>
      <c r="CI79">
        <f>SUMPRODUCT((M_BOM[Part Name]=$A79)*M_BOM[RM_Qty_Per_Batch]*IFERROR(INDEX(PP_Grid[#Data],M_BOM[PPGridRow],87),0))/58.21</f>
        <v/>
      </c>
      <c r="CJ79">
        <f>SUMPRODUCT((M_BOM[Part Name]=$A79)*M_BOM[RM_Qty_Per_Batch]*IFERROR(INDEX(PP_Grid[#Data],M_BOM[PPGridRow],88),0))/58.21</f>
        <v/>
      </c>
      <c r="CK79">
        <f>SUMPRODUCT((M_BOM[Part Name]=$A79)*M_BOM[RM_Qty_Per_Batch]*IFERROR(INDEX(PP_Grid[#Data],M_BOM[PPGridRow],89),0))/58.21</f>
        <v/>
      </c>
      <c r="CL79">
        <f>SUMPRODUCT((M_BOM[Part Name]=$A79)*M_BOM[RM_Qty_Per_Batch]*IFERROR(INDEX(PP_Grid[#Data],M_BOM[PPGridRow],90),0))/58.21</f>
        <v/>
      </c>
      <c r="CM79">
        <f>SUMPRODUCT((M_BOM[Part Name]=$A79)*M_BOM[RM_Qty_Per_Batch]*IFERROR(INDEX(PP_Grid[#Data],M_BOM[PPGridRow],91),0))/58.21</f>
        <v/>
      </c>
      <c r="CN79">
        <f>SUMPRODUCT((M_BOM[Part Name]=$A79)*M_BOM[RM_Qty_Per_Batch]*IFERROR(INDEX(PP_Grid[#Data],M_BOM[PPGridRow],92),0))/58.21</f>
        <v/>
      </c>
      <c r="CO79">
        <f>SUMPRODUCT((M_BOM[Part Name]=$A79)*M_BOM[RM_Qty_Per_Batch]*IFERROR(INDEX(PP_Grid[#Data],M_BOM[PPGridRow],93),0))/58.21</f>
        <v/>
      </c>
      <c r="CP79">
        <f>SUMPRODUCT((M_BOM[Part Name]=$A79)*M_BOM[RM_Qty_Per_Batch]*IFERROR(INDEX(PP_Grid[#Data],M_BOM[PPGridRow],94),0))/58.21</f>
        <v/>
      </c>
      <c r="CQ79">
        <f>SUMPRODUCT((M_BOM[Part Name]=$A79)*M_BOM[RM_Qty_Per_Batch]*IFERROR(INDEX(PP_Grid[#Data],M_BOM[PPGridRow],95),0))/58.21</f>
        <v/>
      </c>
      <c r="CR79">
        <f>SUMPRODUCT((M_BOM[Part Name]=$A79)*M_BOM[RM_Qty_Per_Batch]*IFERROR(INDEX(PP_Grid[#Data],M_BOM[PPGridRow],96),0))/58.21</f>
        <v/>
      </c>
      <c r="CS79">
        <f>SUMPRODUCT((M_BOM[Part Name]=$A79)*M_BOM[RM_Qty_Per_Batch]*IFERROR(INDEX(PP_Grid[#Data],M_BOM[PPGridRow],97),0))/58.21</f>
        <v/>
      </c>
      <c r="CT79">
        <f>SUMPRODUCT((M_BOM[Part Name]=$A79)*M_BOM[RM_Qty_Per_Batch]*IFERROR(INDEX(PP_Grid[#Data],M_BOM[PPGridRow],98),0))/58.21</f>
        <v/>
      </c>
      <c r="CU79">
        <f>SUMPRODUCT((M_BOM[Part Name]=$A79)*M_BOM[RM_Qty_Per_Batch]*IFERROR(INDEX(PP_Grid[#Data],M_BOM[PPGridRow],99),0))/58.21</f>
        <v/>
      </c>
      <c r="CV79">
        <f>SUMPRODUCT((M_BOM[Part Name]=$A79)*M_BOM[RM_Qty_Per_Batch]*IFERROR(INDEX(PP_Grid[#Data],M_BOM[PPGridRow],100),0))/58.21</f>
        <v/>
      </c>
      <c r="CW79">
        <f>SUMPRODUCT((M_BOM[Part Name]=$A79)*M_BOM[RM_Qty_Per_Batch]*IFERROR(INDEX(PP_Grid[#Data],M_BOM[PPGridRow],101),0))/58.21</f>
        <v/>
      </c>
      <c r="CX79">
        <f>SUMPRODUCT((M_BOM[Part Name]=$A79)*M_BOM[RM_Qty_Per_Batch]*IFERROR(INDEX(PP_Grid[#Data],M_BOM[PPGridRow],102),0))/58.21</f>
        <v/>
      </c>
      <c r="CY79">
        <f>SUMPRODUCT((M_BOM[Part Name]=$A79)*M_BOM[RM_Qty_Per_Batch]*IFERROR(INDEX(PP_Grid[#Data],M_BOM[PPGridRow],103),0))/58.21</f>
        <v/>
      </c>
      <c r="CZ79">
        <f>SUMPRODUCT((M_BOM[Part Name]=$A79)*M_BOM[RM_Qty_Per_Batch]*IFERROR(INDEX(PP_Grid[#Data],M_BOM[PPGridRow],104),0))/58.21</f>
        <v/>
      </c>
      <c r="DA79">
        <f>SUMPRODUCT((M_BOM[Part Name]=$A79)*M_BOM[RM_Qty_Per_Batch]*IFERROR(INDEX(PP_Grid[#Data],M_BOM[PPGridRow],105),0))/58.21</f>
        <v/>
      </c>
    </row>
    <row r="80">
      <c r="A80" t="inlineStr">
        <is>
          <t>TPP-699</t>
        </is>
      </c>
      <c r="B80">
        <f>SUMPRODUCT((M_BOM[Part Name]=$A80)*M_BOM[RM_Qty_Per_Batch]*IFERROR(INDEX(PP_Grid[#Data],M_BOM[PPGridRow],2),0))/38.85</f>
        <v/>
      </c>
      <c r="C80">
        <f>SUMPRODUCT((M_BOM[Part Name]=$A80)*M_BOM[RM_Qty_Per_Batch]*IFERROR(INDEX(PP_Grid[#Data],M_BOM[PPGridRow],3),0))/38.85</f>
        <v/>
      </c>
      <c r="D80">
        <f>SUMPRODUCT((M_BOM[Part Name]=$A80)*M_BOM[RM_Qty_Per_Batch]*IFERROR(INDEX(PP_Grid[#Data],M_BOM[PPGridRow],4),0))/38.85</f>
        <v/>
      </c>
      <c r="E80">
        <f>SUMPRODUCT((M_BOM[Part Name]=$A80)*M_BOM[RM_Qty_Per_Batch]*IFERROR(INDEX(PP_Grid[#Data],M_BOM[PPGridRow],5),0))/38.85</f>
        <v/>
      </c>
      <c r="F80">
        <f>SUMPRODUCT((M_BOM[Part Name]=$A80)*M_BOM[RM_Qty_Per_Batch]*IFERROR(INDEX(PP_Grid[#Data],M_BOM[PPGridRow],6),0))/38.85</f>
        <v/>
      </c>
      <c r="G80">
        <f>SUMPRODUCT((M_BOM[Part Name]=$A80)*M_BOM[RM_Qty_Per_Batch]*IFERROR(INDEX(PP_Grid[#Data],M_BOM[PPGridRow],7),0))/38.85</f>
        <v/>
      </c>
      <c r="H80">
        <f>SUMPRODUCT((M_BOM[Part Name]=$A80)*M_BOM[RM_Qty_Per_Batch]*IFERROR(INDEX(PP_Grid[#Data],M_BOM[PPGridRow],8),0))/38.85</f>
        <v/>
      </c>
      <c r="I80">
        <f>SUMPRODUCT((M_BOM[Part Name]=$A80)*M_BOM[RM_Qty_Per_Batch]*IFERROR(INDEX(PP_Grid[#Data],M_BOM[PPGridRow],9),0))/38.85</f>
        <v/>
      </c>
      <c r="J80">
        <f>SUMPRODUCT((M_BOM[Part Name]=$A80)*M_BOM[RM_Qty_Per_Batch]*IFERROR(INDEX(PP_Grid[#Data],M_BOM[PPGridRow],10),0))/38.85</f>
        <v/>
      </c>
      <c r="K80">
        <f>SUMPRODUCT((M_BOM[Part Name]=$A80)*M_BOM[RM_Qty_Per_Batch]*IFERROR(INDEX(PP_Grid[#Data],M_BOM[PPGridRow],11),0))/38.85</f>
        <v/>
      </c>
      <c r="L80">
        <f>SUMPRODUCT((M_BOM[Part Name]=$A80)*M_BOM[RM_Qty_Per_Batch]*IFERROR(INDEX(PP_Grid[#Data],M_BOM[PPGridRow],12),0))/38.85</f>
        <v/>
      </c>
      <c r="M80">
        <f>SUMPRODUCT((M_BOM[Part Name]=$A80)*M_BOM[RM_Qty_Per_Batch]*IFERROR(INDEX(PP_Grid[#Data],M_BOM[PPGridRow],13),0))/38.85</f>
        <v/>
      </c>
      <c r="N80">
        <f>SUMPRODUCT((M_BOM[Part Name]=$A80)*M_BOM[RM_Qty_Per_Batch]*IFERROR(INDEX(PP_Grid[#Data],M_BOM[PPGridRow],14),0))/38.85</f>
        <v/>
      </c>
      <c r="O80">
        <f>SUMPRODUCT((M_BOM[Part Name]=$A80)*M_BOM[RM_Qty_Per_Batch]*IFERROR(INDEX(PP_Grid[#Data],M_BOM[PPGridRow],15),0))/38.85</f>
        <v/>
      </c>
      <c r="P80">
        <f>SUMPRODUCT((M_BOM[Part Name]=$A80)*M_BOM[RM_Qty_Per_Batch]*IFERROR(INDEX(PP_Grid[#Data],M_BOM[PPGridRow],16),0))/38.85</f>
        <v/>
      </c>
      <c r="Q80">
        <f>SUMPRODUCT((M_BOM[Part Name]=$A80)*M_BOM[RM_Qty_Per_Batch]*IFERROR(INDEX(PP_Grid[#Data],M_BOM[PPGridRow],17),0))/38.85</f>
        <v/>
      </c>
      <c r="R80">
        <f>SUMPRODUCT((M_BOM[Part Name]=$A80)*M_BOM[RM_Qty_Per_Batch]*IFERROR(INDEX(PP_Grid[#Data],M_BOM[PPGridRow],18),0))/38.85</f>
        <v/>
      </c>
      <c r="S80">
        <f>SUMPRODUCT((M_BOM[Part Name]=$A80)*M_BOM[RM_Qty_Per_Batch]*IFERROR(INDEX(PP_Grid[#Data],M_BOM[PPGridRow],19),0))/38.85</f>
        <v/>
      </c>
      <c r="T80">
        <f>SUMPRODUCT((M_BOM[Part Name]=$A80)*M_BOM[RM_Qty_Per_Batch]*IFERROR(INDEX(PP_Grid[#Data],M_BOM[PPGridRow],20),0))/38.85</f>
        <v/>
      </c>
      <c r="U80">
        <f>SUMPRODUCT((M_BOM[Part Name]=$A80)*M_BOM[RM_Qty_Per_Batch]*IFERROR(INDEX(PP_Grid[#Data],M_BOM[PPGridRow],21),0))/38.85</f>
        <v/>
      </c>
      <c r="V80">
        <f>SUMPRODUCT((M_BOM[Part Name]=$A80)*M_BOM[RM_Qty_Per_Batch]*IFERROR(INDEX(PP_Grid[#Data],M_BOM[PPGridRow],22),0))/38.85</f>
        <v/>
      </c>
      <c r="W80">
        <f>SUMPRODUCT((M_BOM[Part Name]=$A80)*M_BOM[RM_Qty_Per_Batch]*IFERROR(INDEX(PP_Grid[#Data],M_BOM[PPGridRow],23),0))/38.85</f>
        <v/>
      </c>
      <c r="X80">
        <f>SUMPRODUCT((M_BOM[Part Name]=$A80)*M_BOM[RM_Qty_Per_Batch]*IFERROR(INDEX(PP_Grid[#Data],M_BOM[PPGridRow],24),0))/38.85</f>
        <v/>
      </c>
      <c r="Y80">
        <f>SUMPRODUCT((M_BOM[Part Name]=$A80)*M_BOM[RM_Qty_Per_Batch]*IFERROR(INDEX(PP_Grid[#Data],M_BOM[PPGridRow],25),0))/38.85</f>
        <v/>
      </c>
      <c r="Z80">
        <f>SUMPRODUCT((M_BOM[Part Name]=$A80)*M_BOM[RM_Qty_Per_Batch]*IFERROR(INDEX(PP_Grid[#Data],M_BOM[PPGridRow],26),0))/38.85</f>
        <v/>
      </c>
      <c r="AA80">
        <f>SUMPRODUCT((M_BOM[Part Name]=$A80)*M_BOM[RM_Qty_Per_Batch]*IFERROR(INDEX(PP_Grid[#Data],M_BOM[PPGridRow],27),0))/38.85</f>
        <v/>
      </c>
      <c r="AB80">
        <f>SUMPRODUCT((M_BOM[Part Name]=$A80)*M_BOM[RM_Qty_Per_Batch]*IFERROR(INDEX(PP_Grid[#Data],M_BOM[PPGridRow],28),0))/38.85</f>
        <v/>
      </c>
      <c r="AC80">
        <f>SUMPRODUCT((M_BOM[Part Name]=$A80)*M_BOM[RM_Qty_Per_Batch]*IFERROR(INDEX(PP_Grid[#Data],M_BOM[PPGridRow],29),0))/38.85</f>
        <v/>
      </c>
      <c r="AD80">
        <f>SUMPRODUCT((M_BOM[Part Name]=$A80)*M_BOM[RM_Qty_Per_Batch]*IFERROR(INDEX(PP_Grid[#Data],M_BOM[PPGridRow],30),0))/38.85</f>
        <v/>
      </c>
      <c r="AE80">
        <f>SUMPRODUCT((M_BOM[Part Name]=$A80)*M_BOM[RM_Qty_Per_Batch]*IFERROR(INDEX(PP_Grid[#Data],M_BOM[PPGridRow],31),0))/38.85</f>
        <v/>
      </c>
      <c r="AF80">
        <f>SUMPRODUCT((M_BOM[Part Name]=$A80)*M_BOM[RM_Qty_Per_Batch]*IFERROR(INDEX(PP_Grid[#Data],M_BOM[PPGridRow],32),0))/38.85</f>
        <v/>
      </c>
      <c r="AG80">
        <f>SUMPRODUCT((M_BOM[Part Name]=$A80)*M_BOM[RM_Qty_Per_Batch]*IFERROR(INDEX(PP_Grid[#Data],M_BOM[PPGridRow],33),0))/38.85</f>
        <v/>
      </c>
      <c r="AH80">
        <f>SUMPRODUCT((M_BOM[Part Name]=$A80)*M_BOM[RM_Qty_Per_Batch]*IFERROR(INDEX(PP_Grid[#Data],M_BOM[PPGridRow],34),0))/38.85</f>
        <v/>
      </c>
      <c r="AI80">
        <f>SUMPRODUCT((M_BOM[Part Name]=$A80)*M_BOM[RM_Qty_Per_Batch]*IFERROR(INDEX(PP_Grid[#Data],M_BOM[PPGridRow],35),0))/38.85</f>
        <v/>
      </c>
      <c r="AJ80">
        <f>SUMPRODUCT((M_BOM[Part Name]=$A80)*M_BOM[RM_Qty_Per_Batch]*IFERROR(INDEX(PP_Grid[#Data],M_BOM[PPGridRow],36),0))/38.85</f>
        <v/>
      </c>
      <c r="AK80">
        <f>SUMPRODUCT((M_BOM[Part Name]=$A80)*M_BOM[RM_Qty_Per_Batch]*IFERROR(INDEX(PP_Grid[#Data],M_BOM[PPGridRow],37),0))/38.85</f>
        <v/>
      </c>
      <c r="AL80">
        <f>SUMPRODUCT((M_BOM[Part Name]=$A80)*M_BOM[RM_Qty_Per_Batch]*IFERROR(INDEX(PP_Grid[#Data],M_BOM[PPGridRow],38),0))/38.85</f>
        <v/>
      </c>
      <c r="AM80">
        <f>SUMPRODUCT((M_BOM[Part Name]=$A80)*M_BOM[RM_Qty_Per_Batch]*IFERROR(INDEX(PP_Grid[#Data],M_BOM[PPGridRow],39),0))/38.85</f>
        <v/>
      </c>
      <c r="AN80">
        <f>SUMPRODUCT((M_BOM[Part Name]=$A80)*M_BOM[RM_Qty_Per_Batch]*IFERROR(INDEX(PP_Grid[#Data],M_BOM[PPGridRow],40),0))/38.85</f>
        <v/>
      </c>
      <c r="AO80">
        <f>SUMPRODUCT((M_BOM[Part Name]=$A80)*M_BOM[RM_Qty_Per_Batch]*IFERROR(INDEX(PP_Grid[#Data],M_BOM[PPGridRow],41),0))/38.85</f>
        <v/>
      </c>
      <c r="AP80">
        <f>SUMPRODUCT((M_BOM[Part Name]=$A80)*M_BOM[RM_Qty_Per_Batch]*IFERROR(INDEX(PP_Grid[#Data],M_BOM[PPGridRow],42),0))/38.85</f>
        <v/>
      </c>
      <c r="AQ80">
        <f>SUMPRODUCT((M_BOM[Part Name]=$A80)*M_BOM[RM_Qty_Per_Batch]*IFERROR(INDEX(PP_Grid[#Data],M_BOM[PPGridRow],43),0))/38.85</f>
        <v/>
      </c>
      <c r="AR80">
        <f>SUMPRODUCT((M_BOM[Part Name]=$A80)*M_BOM[RM_Qty_Per_Batch]*IFERROR(INDEX(PP_Grid[#Data],M_BOM[PPGridRow],44),0))/38.85</f>
        <v/>
      </c>
      <c r="AS80">
        <f>SUMPRODUCT((M_BOM[Part Name]=$A80)*M_BOM[RM_Qty_Per_Batch]*IFERROR(INDEX(PP_Grid[#Data],M_BOM[PPGridRow],45),0))/38.85</f>
        <v/>
      </c>
      <c r="AT80">
        <f>SUMPRODUCT((M_BOM[Part Name]=$A80)*M_BOM[RM_Qty_Per_Batch]*IFERROR(INDEX(PP_Grid[#Data],M_BOM[PPGridRow],46),0))/38.85</f>
        <v/>
      </c>
      <c r="AU80">
        <f>SUMPRODUCT((M_BOM[Part Name]=$A80)*M_BOM[RM_Qty_Per_Batch]*IFERROR(INDEX(PP_Grid[#Data],M_BOM[PPGridRow],47),0))/38.85</f>
        <v/>
      </c>
      <c r="AV80">
        <f>SUMPRODUCT((M_BOM[Part Name]=$A80)*M_BOM[RM_Qty_Per_Batch]*IFERROR(INDEX(PP_Grid[#Data],M_BOM[PPGridRow],48),0))/38.85</f>
        <v/>
      </c>
      <c r="AW80">
        <f>SUMPRODUCT((M_BOM[Part Name]=$A80)*M_BOM[RM_Qty_Per_Batch]*IFERROR(INDEX(PP_Grid[#Data],M_BOM[PPGridRow],49),0))/38.85</f>
        <v/>
      </c>
      <c r="AX80">
        <f>SUMPRODUCT((M_BOM[Part Name]=$A80)*M_BOM[RM_Qty_Per_Batch]*IFERROR(INDEX(PP_Grid[#Data],M_BOM[PPGridRow],50),0))/38.85</f>
        <v/>
      </c>
      <c r="AY80">
        <f>SUMPRODUCT((M_BOM[Part Name]=$A80)*M_BOM[RM_Qty_Per_Batch]*IFERROR(INDEX(PP_Grid[#Data],M_BOM[PPGridRow],51),0))/38.85</f>
        <v/>
      </c>
      <c r="AZ80">
        <f>SUMPRODUCT((M_BOM[Part Name]=$A80)*M_BOM[RM_Qty_Per_Batch]*IFERROR(INDEX(PP_Grid[#Data],M_BOM[PPGridRow],52),0))/38.85</f>
        <v/>
      </c>
      <c r="BA80">
        <f>SUMPRODUCT((M_BOM[Part Name]=$A80)*M_BOM[RM_Qty_Per_Batch]*IFERROR(INDEX(PP_Grid[#Data],M_BOM[PPGridRow],53),0))/38.85</f>
        <v/>
      </c>
      <c r="BB80">
        <f>SUMPRODUCT((M_BOM[Part Name]=$A80)*M_BOM[RM_Qty_Per_Batch]*IFERROR(INDEX(PP_Grid[#Data],M_BOM[PPGridRow],54),0))/38.85</f>
        <v/>
      </c>
      <c r="BC80">
        <f>SUMPRODUCT((M_BOM[Part Name]=$A80)*M_BOM[RM_Qty_Per_Batch]*IFERROR(INDEX(PP_Grid[#Data],M_BOM[PPGridRow],55),0))/38.85</f>
        <v/>
      </c>
      <c r="BD80">
        <f>SUMPRODUCT((M_BOM[Part Name]=$A80)*M_BOM[RM_Qty_Per_Batch]*IFERROR(INDEX(PP_Grid[#Data],M_BOM[PPGridRow],56),0))/38.85</f>
        <v/>
      </c>
      <c r="BE80">
        <f>SUMPRODUCT((M_BOM[Part Name]=$A80)*M_BOM[RM_Qty_Per_Batch]*IFERROR(INDEX(PP_Grid[#Data],M_BOM[PPGridRow],57),0))/38.85</f>
        <v/>
      </c>
      <c r="BF80">
        <f>SUMPRODUCT((M_BOM[Part Name]=$A80)*M_BOM[RM_Qty_Per_Batch]*IFERROR(INDEX(PP_Grid[#Data],M_BOM[PPGridRow],58),0))/38.85</f>
        <v/>
      </c>
      <c r="BG80">
        <f>SUMPRODUCT((M_BOM[Part Name]=$A80)*M_BOM[RM_Qty_Per_Batch]*IFERROR(INDEX(PP_Grid[#Data],M_BOM[PPGridRow],59),0))/38.85</f>
        <v/>
      </c>
      <c r="BH80">
        <f>SUMPRODUCT((M_BOM[Part Name]=$A80)*M_BOM[RM_Qty_Per_Batch]*IFERROR(INDEX(PP_Grid[#Data],M_BOM[PPGridRow],60),0))/38.85</f>
        <v/>
      </c>
      <c r="BI80">
        <f>SUMPRODUCT((M_BOM[Part Name]=$A80)*M_BOM[RM_Qty_Per_Batch]*IFERROR(INDEX(PP_Grid[#Data],M_BOM[PPGridRow],61),0))/38.85</f>
        <v/>
      </c>
      <c r="BJ80">
        <f>SUMPRODUCT((M_BOM[Part Name]=$A80)*M_BOM[RM_Qty_Per_Batch]*IFERROR(INDEX(PP_Grid[#Data],M_BOM[PPGridRow],62),0))/38.85</f>
        <v/>
      </c>
      <c r="BK80">
        <f>SUMPRODUCT((M_BOM[Part Name]=$A80)*M_BOM[RM_Qty_Per_Batch]*IFERROR(INDEX(PP_Grid[#Data],M_BOM[PPGridRow],63),0))/38.85</f>
        <v/>
      </c>
      <c r="BL80">
        <f>SUMPRODUCT((M_BOM[Part Name]=$A80)*M_BOM[RM_Qty_Per_Batch]*IFERROR(INDEX(PP_Grid[#Data],M_BOM[PPGridRow],64),0))/38.85</f>
        <v/>
      </c>
      <c r="BM80">
        <f>SUMPRODUCT((M_BOM[Part Name]=$A80)*M_BOM[RM_Qty_Per_Batch]*IFERROR(INDEX(PP_Grid[#Data],M_BOM[PPGridRow],65),0))/38.85</f>
        <v/>
      </c>
      <c r="BN80">
        <f>SUMPRODUCT((M_BOM[Part Name]=$A80)*M_BOM[RM_Qty_Per_Batch]*IFERROR(INDEX(PP_Grid[#Data],M_BOM[PPGridRow],66),0))/38.85</f>
        <v/>
      </c>
      <c r="BO80">
        <f>SUMPRODUCT((M_BOM[Part Name]=$A80)*M_BOM[RM_Qty_Per_Batch]*IFERROR(INDEX(PP_Grid[#Data],M_BOM[PPGridRow],67),0))/38.85</f>
        <v/>
      </c>
      <c r="BP80">
        <f>SUMPRODUCT((M_BOM[Part Name]=$A80)*M_BOM[RM_Qty_Per_Batch]*IFERROR(INDEX(PP_Grid[#Data],M_BOM[PPGridRow],68),0))/38.85</f>
        <v/>
      </c>
      <c r="BQ80">
        <f>SUMPRODUCT((M_BOM[Part Name]=$A80)*M_BOM[RM_Qty_Per_Batch]*IFERROR(INDEX(PP_Grid[#Data],M_BOM[PPGridRow],69),0))/38.85</f>
        <v/>
      </c>
      <c r="BR80">
        <f>SUMPRODUCT((M_BOM[Part Name]=$A80)*M_BOM[RM_Qty_Per_Batch]*IFERROR(INDEX(PP_Grid[#Data],M_BOM[PPGridRow],70),0))/38.85</f>
        <v/>
      </c>
      <c r="BS80">
        <f>SUMPRODUCT((M_BOM[Part Name]=$A80)*M_BOM[RM_Qty_Per_Batch]*IFERROR(INDEX(PP_Grid[#Data],M_BOM[PPGridRow],71),0))/38.85</f>
        <v/>
      </c>
      <c r="BT80">
        <f>SUMPRODUCT((M_BOM[Part Name]=$A80)*M_BOM[RM_Qty_Per_Batch]*IFERROR(INDEX(PP_Grid[#Data],M_BOM[PPGridRow],72),0))/38.85</f>
        <v/>
      </c>
      <c r="BU80">
        <f>SUMPRODUCT((M_BOM[Part Name]=$A80)*M_BOM[RM_Qty_Per_Batch]*IFERROR(INDEX(PP_Grid[#Data],M_BOM[PPGridRow],73),0))/38.85</f>
        <v/>
      </c>
      <c r="BV80">
        <f>SUMPRODUCT((M_BOM[Part Name]=$A80)*M_BOM[RM_Qty_Per_Batch]*IFERROR(INDEX(PP_Grid[#Data],M_BOM[PPGridRow],74),0))/38.85</f>
        <v/>
      </c>
      <c r="BW80">
        <f>SUMPRODUCT((M_BOM[Part Name]=$A80)*M_BOM[RM_Qty_Per_Batch]*IFERROR(INDEX(PP_Grid[#Data],M_BOM[PPGridRow],75),0))/38.85</f>
        <v/>
      </c>
      <c r="BX80">
        <f>SUMPRODUCT((M_BOM[Part Name]=$A80)*M_BOM[RM_Qty_Per_Batch]*IFERROR(INDEX(PP_Grid[#Data],M_BOM[PPGridRow],76),0))/38.85</f>
        <v/>
      </c>
      <c r="BY80">
        <f>SUMPRODUCT((M_BOM[Part Name]=$A80)*M_BOM[RM_Qty_Per_Batch]*IFERROR(INDEX(PP_Grid[#Data],M_BOM[PPGridRow],77),0))/38.85</f>
        <v/>
      </c>
      <c r="BZ80">
        <f>SUMPRODUCT((M_BOM[Part Name]=$A80)*M_BOM[RM_Qty_Per_Batch]*IFERROR(INDEX(PP_Grid[#Data],M_BOM[PPGridRow],78),0))/38.85</f>
        <v/>
      </c>
      <c r="CA80">
        <f>SUMPRODUCT((M_BOM[Part Name]=$A80)*M_BOM[RM_Qty_Per_Batch]*IFERROR(INDEX(PP_Grid[#Data],M_BOM[PPGridRow],79),0))/38.85</f>
        <v/>
      </c>
      <c r="CB80">
        <f>SUMPRODUCT((M_BOM[Part Name]=$A80)*M_BOM[RM_Qty_Per_Batch]*IFERROR(INDEX(PP_Grid[#Data],M_BOM[PPGridRow],80),0))/38.85</f>
        <v/>
      </c>
      <c r="CC80">
        <f>SUMPRODUCT((M_BOM[Part Name]=$A80)*M_BOM[RM_Qty_Per_Batch]*IFERROR(INDEX(PP_Grid[#Data],M_BOM[PPGridRow],81),0))/38.85</f>
        <v/>
      </c>
      <c r="CD80">
        <f>SUMPRODUCT((M_BOM[Part Name]=$A80)*M_BOM[RM_Qty_Per_Batch]*IFERROR(INDEX(PP_Grid[#Data],M_BOM[PPGridRow],82),0))/38.85</f>
        <v/>
      </c>
      <c r="CE80">
        <f>SUMPRODUCT((M_BOM[Part Name]=$A80)*M_BOM[RM_Qty_Per_Batch]*IFERROR(INDEX(PP_Grid[#Data],M_BOM[PPGridRow],83),0))/38.85</f>
        <v/>
      </c>
      <c r="CF80">
        <f>SUMPRODUCT((M_BOM[Part Name]=$A80)*M_BOM[RM_Qty_Per_Batch]*IFERROR(INDEX(PP_Grid[#Data],M_BOM[PPGridRow],84),0))/38.85</f>
        <v/>
      </c>
      <c r="CG80">
        <f>SUMPRODUCT((M_BOM[Part Name]=$A80)*M_BOM[RM_Qty_Per_Batch]*IFERROR(INDEX(PP_Grid[#Data],M_BOM[PPGridRow],85),0))/38.85</f>
        <v/>
      </c>
      <c r="CH80">
        <f>SUMPRODUCT((M_BOM[Part Name]=$A80)*M_BOM[RM_Qty_Per_Batch]*IFERROR(INDEX(PP_Grid[#Data],M_BOM[PPGridRow],86),0))/38.85</f>
        <v/>
      </c>
      <c r="CI80">
        <f>SUMPRODUCT((M_BOM[Part Name]=$A80)*M_BOM[RM_Qty_Per_Batch]*IFERROR(INDEX(PP_Grid[#Data],M_BOM[PPGridRow],87),0))/38.85</f>
        <v/>
      </c>
      <c r="CJ80">
        <f>SUMPRODUCT((M_BOM[Part Name]=$A80)*M_BOM[RM_Qty_Per_Batch]*IFERROR(INDEX(PP_Grid[#Data],M_BOM[PPGridRow],88),0))/38.85</f>
        <v/>
      </c>
      <c r="CK80">
        <f>SUMPRODUCT((M_BOM[Part Name]=$A80)*M_BOM[RM_Qty_Per_Batch]*IFERROR(INDEX(PP_Grid[#Data],M_BOM[PPGridRow],89),0))/38.85</f>
        <v/>
      </c>
      <c r="CL80">
        <f>SUMPRODUCT((M_BOM[Part Name]=$A80)*M_BOM[RM_Qty_Per_Batch]*IFERROR(INDEX(PP_Grid[#Data],M_BOM[PPGridRow],90),0))/38.85</f>
        <v/>
      </c>
      <c r="CM80">
        <f>SUMPRODUCT((M_BOM[Part Name]=$A80)*M_BOM[RM_Qty_Per_Batch]*IFERROR(INDEX(PP_Grid[#Data],M_BOM[PPGridRow],91),0))/38.85</f>
        <v/>
      </c>
      <c r="CN80">
        <f>SUMPRODUCT((M_BOM[Part Name]=$A80)*M_BOM[RM_Qty_Per_Batch]*IFERROR(INDEX(PP_Grid[#Data],M_BOM[PPGridRow],92),0))/38.85</f>
        <v/>
      </c>
      <c r="CO80">
        <f>SUMPRODUCT((M_BOM[Part Name]=$A80)*M_BOM[RM_Qty_Per_Batch]*IFERROR(INDEX(PP_Grid[#Data],M_BOM[PPGridRow],93),0))/38.85</f>
        <v/>
      </c>
      <c r="CP80">
        <f>SUMPRODUCT((M_BOM[Part Name]=$A80)*M_BOM[RM_Qty_Per_Batch]*IFERROR(INDEX(PP_Grid[#Data],M_BOM[PPGridRow],94),0))/38.85</f>
        <v/>
      </c>
      <c r="CQ80">
        <f>SUMPRODUCT((M_BOM[Part Name]=$A80)*M_BOM[RM_Qty_Per_Batch]*IFERROR(INDEX(PP_Grid[#Data],M_BOM[PPGridRow],95),0))/38.85</f>
        <v/>
      </c>
      <c r="CR80">
        <f>SUMPRODUCT((M_BOM[Part Name]=$A80)*M_BOM[RM_Qty_Per_Batch]*IFERROR(INDEX(PP_Grid[#Data],M_BOM[PPGridRow],96),0))/38.85</f>
        <v/>
      </c>
      <c r="CS80">
        <f>SUMPRODUCT((M_BOM[Part Name]=$A80)*M_BOM[RM_Qty_Per_Batch]*IFERROR(INDEX(PP_Grid[#Data],M_BOM[PPGridRow],97),0))/38.85</f>
        <v/>
      </c>
      <c r="CT80">
        <f>SUMPRODUCT((M_BOM[Part Name]=$A80)*M_BOM[RM_Qty_Per_Batch]*IFERROR(INDEX(PP_Grid[#Data],M_BOM[PPGridRow],98),0))/38.85</f>
        <v/>
      </c>
      <c r="CU80">
        <f>SUMPRODUCT((M_BOM[Part Name]=$A80)*M_BOM[RM_Qty_Per_Batch]*IFERROR(INDEX(PP_Grid[#Data],M_BOM[PPGridRow],99),0))/38.85</f>
        <v/>
      </c>
      <c r="CV80">
        <f>SUMPRODUCT((M_BOM[Part Name]=$A80)*M_BOM[RM_Qty_Per_Batch]*IFERROR(INDEX(PP_Grid[#Data],M_BOM[PPGridRow],100),0))/38.85</f>
        <v/>
      </c>
      <c r="CW80">
        <f>SUMPRODUCT((M_BOM[Part Name]=$A80)*M_BOM[RM_Qty_Per_Batch]*IFERROR(INDEX(PP_Grid[#Data],M_BOM[PPGridRow],101),0))/38.85</f>
        <v/>
      </c>
      <c r="CX80">
        <f>SUMPRODUCT((M_BOM[Part Name]=$A80)*M_BOM[RM_Qty_Per_Batch]*IFERROR(INDEX(PP_Grid[#Data],M_BOM[PPGridRow],102),0))/38.85</f>
        <v/>
      </c>
      <c r="CY80">
        <f>SUMPRODUCT((M_BOM[Part Name]=$A80)*M_BOM[RM_Qty_Per_Batch]*IFERROR(INDEX(PP_Grid[#Data],M_BOM[PPGridRow],103),0))/38.85</f>
        <v/>
      </c>
      <c r="CZ80">
        <f>SUMPRODUCT((M_BOM[Part Name]=$A80)*M_BOM[RM_Qty_Per_Batch]*IFERROR(INDEX(PP_Grid[#Data],M_BOM[PPGridRow],104),0))/38.85</f>
        <v/>
      </c>
      <c r="DA80">
        <f>SUMPRODUCT((M_BOM[Part Name]=$A80)*M_BOM[RM_Qty_Per_Batch]*IFERROR(INDEX(PP_Grid[#Data],M_BOM[PPGridRow],105),0))/38.85</f>
        <v/>
      </c>
    </row>
    <row r="81">
      <c r="A81" t="inlineStr">
        <is>
          <t>TPP-700</t>
        </is>
      </c>
      <c r="B81">
        <f>SUMPRODUCT((M_BOM[Part Name]=$A81)*M_BOM[RM_Qty_Per_Batch]*IFERROR(INDEX(PP_Grid[#Data],M_BOM[PPGridRow],2),0))/36.03</f>
        <v/>
      </c>
      <c r="C81">
        <f>SUMPRODUCT((M_BOM[Part Name]=$A81)*M_BOM[RM_Qty_Per_Batch]*IFERROR(INDEX(PP_Grid[#Data],M_BOM[PPGridRow],3),0))/36.03</f>
        <v/>
      </c>
      <c r="D81">
        <f>SUMPRODUCT((M_BOM[Part Name]=$A81)*M_BOM[RM_Qty_Per_Batch]*IFERROR(INDEX(PP_Grid[#Data],M_BOM[PPGridRow],4),0))/36.03</f>
        <v/>
      </c>
      <c r="E81">
        <f>SUMPRODUCT((M_BOM[Part Name]=$A81)*M_BOM[RM_Qty_Per_Batch]*IFERROR(INDEX(PP_Grid[#Data],M_BOM[PPGridRow],5),0))/36.03</f>
        <v/>
      </c>
      <c r="F81">
        <f>SUMPRODUCT((M_BOM[Part Name]=$A81)*M_BOM[RM_Qty_Per_Batch]*IFERROR(INDEX(PP_Grid[#Data],M_BOM[PPGridRow],6),0))/36.03</f>
        <v/>
      </c>
      <c r="G81">
        <f>SUMPRODUCT((M_BOM[Part Name]=$A81)*M_BOM[RM_Qty_Per_Batch]*IFERROR(INDEX(PP_Grid[#Data],M_BOM[PPGridRow],7),0))/36.03</f>
        <v/>
      </c>
      <c r="H81">
        <f>SUMPRODUCT((M_BOM[Part Name]=$A81)*M_BOM[RM_Qty_Per_Batch]*IFERROR(INDEX(PP_Grid[#Data],M_BOM[PPGridRow],8),0))/36.03</f>
        <v/>
      </c>
      <c r="I81">
        <f>SUMPRODUCT((M_BOM[Part Name]=$A81)*M_BOM[RM_Qty_Per_Batch]*IFERROR(INDEX(PP_Grid[#Data],M_BOM[PPGridRow],9),0))/36.03</f>
        <v/>
      </c>
      <c r="J81">
        <f>SUMPRODUCT((M_BOM[Part Name]=$A81)*M_BOM[RM_Qty_Per_Batch]*IFERROR(INDEX(PP_Grid[#Data],M_BOM[PPGridRow],10),0))/36.03</f>
        <v/>
      </c>
      <c r="K81">
        <f>SUMPRODUCT((M_BOM[Part Name]=$A81)*M_BOM[RM_Qty_Per_Batch]*IFERROR(INDEX(PP_Grid[#Data],M_BOM[PPGridRow],11),0))/36.03</f>
        <v/>
      </c>
      <c r="L81">
        <f>SUMPRODUCT((M_BOM[Part Name]=$A81)*M_BOM[RM_Qty_Per_Batch]*IFERROR(INDEX(PP_Grid[#Data],M_BOM[PPGridRow],12),0))/36.03</f>
        <v/>
      </c>
      <c r="M81">
        <f>SUMPRODUCT((M_BOM[Part Name]=$A81)*M_BOM[RM_Qty_Per_Batch]*IFERROR(INDEX(PP_Grid[#Data],M_BOM[PPGridRow],13),0))/36.03</f>
        <v/>
      </c>
      <c r="N81">
        <f>SUMPRODUCT((M_BOM[Part Name]=$A81)*M_BOM[RM_Qty_Per_Batch]*IFERROR(INDEX(PP_Grid[#Data],M_BOM[PPGridRow],14),0))/36.03</f>
        <v/>
      </c>
      <c r="O81">
        <f>SUMPRODUCT((M_BOM[Part Name]=$A81)*M_BOM[RM_Qty_Per_Batch]*IFERROR(INDEX(PP_Grid[#Data],M_BOM[PPGridRow],15),0))/36.03</f>
        <v/>
      </c>
      <c r="P81">
        <f>SUMPRODUCT((M_BOM[Part Name]=$A81)*M_BOM[RM_Qty_Per_Batch]*IFERROR(INDEX(PP_Grid[#Data],M_BOM[PPGridRow],16),0))/36.03</f>
        <v/>
      </c>
      <c r="Q81">
        <f>SUMPRODUCT((M_BOM[Part Name]=$A81)*M_BOM[RM_Qty_Per_Batch]*IFERROR(INDEX(PP_Grid[#Data],M_BOM[PPGridRow],17),0))/36.03</f>
        <v/>
      </c>
      <c r="R81">
        <f>SUMPRODUCT((M_BOM[Part Name]=$A81)*M_BOM[RM_Qty_Per_Batch]*IFERROR(INDEX(PP_Grid[#Data],M_BOM[PPGridRow],18),0))/36.03</f>
        <v/>
      </c>
      <c r="S81">
        <f>SUMPRODUCT((M_BOM[Part Name]=$A81)*M_BOM[RM_Qty_Per_Batch]*IFERROR(INDEX(PP_Grid[#Data],M_BOM[PPGridRow],19),0))/36.03</f>
        <v/>
      </c>
      <c r="T81">
        <f>SUMPRODUCT((M_BOM[Part Name]=$A81)*M_BOM[RM_Qty_Per_Batch]*IFERROR(INDEX(PP_Grid[#Data],M_BOM[PPGridRow],20),0))/36.03</f>
        <v/>
      </c>
      <c r="U81">
        <f>SUMPRODUCT((M_BOM[Part Name]=$A81)*M_BOM[RM_Qty_Per_Batch]*IFERROR(INDEX(PP_Grid[#Data],M_BOM[PPGridRow],21),0))/36.03</f>
        <v/>
      </c>
      <c r="V81">
        <f>SUMPRODUCT((M_BOM[Part Name]=$A81)*M_BOM[RM_Qty_Per_Batch]*IFERROR(INDEX(PP_Grid[#Data],M_BOM[PPGridRow],22),0))/36.03</f>
        <v/>
      </c>
      <c r="W81">
        <f>SUMPRODUCT((M_BOM[Part Name]=$A81)*M_BOM[RM_Qty_Per_Batch]*IFERROR(INDEX(PP_Grid[#Data],M_BOM[PPGridRow],23),0))/36.03</f>
        <v/>
      </c>
      <c r="X81">
        <f>SUMPRODUCT((M_BOM[Part Name]=$A81)*M_BOM[RM_Qty_Per_Batch]*IFERROR(INDEX(PP_Grid[#Data],M_BOM[PPGridRow],24),0))/36.03</f>
        <v/>
      </c>
      <c r="Y81">
        <f>SUMPRODUCT((M_BOM[Part Name]=$A81)*M_BOM[RM_Qty_Per_Batch]*IFERROR(INDEX(PP_Grid[#Data],M_BOM[PPGridRow],25),0))/36.03</f>
        <v/>
      </c>
      <c r="Z81">
        <f>SUMPRODUCT((M_BOM[Part Name]=$A81)*M_BOM[RM_Qty_Per_Batch]*IFERROR(INDEX(PP_Grid[#Data],M_BOM[PPGridRow],26),0))/36.03</f>
        <v/>
      </c>
      <c r="AA81">
        <f>SUMPRODUCT((M_BOM[Part Name]=$A81)*M_BOM[RM_Qty_Per_Batch]*IFERROR(INDEX(PP_Grid[#Data],M_BOM[PPGridRow],27),0))/36.03</f>
        <v/>
      </c>
      <c r="AB81">
        <f>SUMPRODUCT((M_BOM[Part Name]=$A81)*M_BOM[RM_Qty_Per_Batch]*IFERROR(INDEX(PP_Grid[#Data],M_BOM[PPGridRow],28),0))/36.03</f>
        <v/>
      </c>
      <c r="AC81">
        <f>SUMPRODUCT((M_BOM[Part Name]=$A81)*M_BOM[RM_Qty_Per_Batch]*IFERROR(INDEX(PP_Grid[#Data],M_BOM[PPGridRow],29),0))/36.03</f>
        <v/>
      </c>
      <c r="AD81">
        <f>SUMPRODUCT((M_BOM[Part Name]=$A81)*M_BOM[RM_Qty_Per_Batch]*IFERROR(INDEX(PP_Grid[#Data],M_BOM[PPGridRow],30),0))/36.03</f>
        <v/>
      </c>
      <c r="AE81">
        <f>SUMPRODUCT((M_BOM[Part Name]=$A81)*M_BOM[RM_Qty_Per_Batch]*IFERROR(INDEX(PP_Grid[#Data],M_BOM[PPGridRow],31),0))/36.03</f>
        <v/>
      </c>
      <c r="AF81">
        <f>SUMPRODUCT((M_BOM[Part Name]=$A81)*M_BOM[RM_Qty_Per_Batch]*IFERROR(INDEX(PP_Grid[#Data],M_BOM[PPGridRow],32),0))/36.03</f>
        <v/>
      </c>
      <c r="AG81">
        <f>SUMPRODUCT((M_BOM[Part Name]=$A81)*M_BOM[RM_Qty_Per_Batch]*IFERROR(INDEX(PP_Grid[#Data],M_BOM[PPGridRow],33),0))/36.03</f>
        <v/>
      </c>
      <c r="AH81">
        <f>SUMPRODUCT((M_BOM[Part Name]=$A81)*M_BOM[RM_Qty_Per_Batch]*IFERROR(INDEX(PP_Grid[#Data],M_BOM[PPGridRow],34),0))/36.03</f>
        <v/>
      </c>
      <c r="AI81">
        <f>SUMPRODUCT((M_BOM[Part Name]=$A81)*M_BOM[RM_Qty_Per_Batch]*IFERROR(INDEX(PP_Grid[#Data],M_BOM[PPGridRow],35),0))/36.03</f>
        <v/>
      </c>
      <c r="AJ81">
        <f>SUMPRODUCT((M_BOM[Part Name]=$A81)*M_BOM[RM_Qty_Per_Batch]*IFERROR(INDEX(PP_Grid[#Data],M_BOM[PPGridRow],36),0))/36.03</f>
        <v/>
      </c>
      <c r="AK81">
        <f>SUMPRODUCT((M_BOM[Part Name]=$A81)*M_BOM[RM_Qty_Per_Batch]*IFERROR(INDEX(PP_Grid[#Data],M_BOM[PPGridRow],37),0))/36.03</f>
        <v/>
      </c>
      <c r="AL81">
        <f>SUMPRODUCT((M_BOM[Part Name]=$A81)*M_BOM[RM_Qty_Per_Batch]*IFERROR(INDEX(PP_Grid[#Data],M_BOM[PPGridRow],38),0))/36.03</f>
        <v/>
      </c>
      <c r="AM81">
        <f>SUMPRODUCT((M_BOM[Part Name]=$A81)*M_BOM[RM_Qty_Per_Batch]*IFERROR(INDEX(PP_Grid[#Data],M_BOM[PPGridRow],39),0))/36.03</f>
        <v/>
      </c>
      <c r="AN81">
        <f>SUMPRODUCT((M_BOM[Part Name]=$A81)*M_BOM[RM_Qty_Per_Batch]*IFERROR(INDEX(PP_Grid[#Data],M_BOM[PPGridRow],40),0))/36.03</f>
        <v/>
      </c>
      <c r="AO81">
        <f>SUMPRODUCT((M_BOM[Part Name]=$A81)*M_BOM[RM_Qty_Per_Batch]*IFERROR(INDEX(PP_Grid[#Data],M_BOM[PPGridRow],41),0))/36.03</f>
        <v/>
      </c>
      <c r="AP81">
        <f>SUMPRODUCT((M_BOM[Part Name]=$A81)*M_BOM[RM_Qty_Per_Batch]*IFERROR(INDEX(PP_Grid[#Data],M_BOM[PPGridRow],42),0))/36.03</f>
        <v/>
      </c>
      <c r="AQ81">
        <f>SUMPRODUCT((M_BOM[Part Name]=$A81)*M_BOM[RM_Qty_Per_Batch]*IFERROR(INDEX(PP_Grid[#Data],M_BOM[PPGridRow],43),0))/36.03</f>
        <v/>
      </c>
      <c r="AR81">
        <f>SUMPRODUCT((M_BOM[Part Name]=$A81)*M_BOM[RM_Qty_Per_Batch]*IFERROR(INDEX(PP_Grid[#Data],M_BOM[PPGridRow],44),0))/36.03</f>
        <v/>
      </c>
      <c r="AS81">
        <f>SUMPRODUCT((M_BOM[Part Name]=$A81)*M_BOM[RM_Qty_Per_Batch]*IFERROR(INDEX(PP_Grid[#Data],M_BOM[PPGridRow],45),0))/36.03</f>
        <v/>
      </c>
      <c r="AT81">
        <f>SUMPRODUCT((M_BOM[Part Name]=$A81)*M_BOM[RM_Qty_Per_Batch]*IFERROR(INDEX(PP_Grid[#Data],M_BOM[PPGridRow],46),0))/36.03</f>
        <v/>
      </c>
      <c r="AU81">
        <f>SUMPRODUCT((M_BOM[Part Name]=$A81)*M_BOM[RM_Qty_Per_Batch]*IFERROR(INDEX(PP_Grid[#Data],M_BOM[PPGridRow],47),0))/36.03</f>
        <v/>
      </c>
      <c r="AV81">
        <f>SUMPRODUCT((M_BOM[Part Name]=$A81)*M_BOM[RM_Qty_Per_Batch]*IFERROR(INDEX(PP_Grid[#Data],M_BOM[PPGridRow],48),0))/36.03</f>
        <v/>
      </c>
      <c r="AW81">
        <f>SUMPRODUCT((M_BOM[Part Name]=$A81)*M_BOM[RM_Qty_Per_Batch]*IFERROR(INDEX(PP_Grid[#Data],M_BOM[PPGridRow],49),0))/36.03</f>
        <v/>
      </c>
      <c r="AX81">
        <f>SUMPRODUCT((M_BOM[Part Name]=$A81)*M_BOM[RM_Qty_Per_Batch]*IFERROR(INDEX(PP_Grid[#Data],M_BOM[PPGridRow],50),0))/36.03</f>
        <v/>
      </c>
      <c r="AY81">
        <f>SUMPRODUCT((M_BOM[Part Name]=$A81)*M_BOM[RM_Qty_Per_Batch]*IFERROR(INDEX(PP_Grid[#Data],M_BOM[PPGridRow],51),0))/36.03</f>
        <v/>
      </c>
      <c r="AZ81">
        <f>SUMPRODUCT((M_BOM[Part Name]=$A81)*M_BOM[RM_Qty_Per_Batch]*IFERROR(INDEX(PP_Grid[#Data],M_BOM[PPGridRow],52),0))/36.03</f>
        <v/>
      </c>
      <c r="BA81">
        <f>SUMPRODUCT((M_BOM[Part Name]=$A81)*M_BOM[RM_Qty_Per_Batch]*IFERROR(INDEX(PP_Grid[#Data],M_BOM[PPGridRow],53),0))/36.03</f>
        <v/>
      </c>
      <c r="BB81">
        <f>SUMPRODUCT((M_BOM[Part Name]=$A81)*M_BOM[RM_Qty_Per_Batch]*IFERROR(INDEX(PP_Grid[#Data],M_BOM[PPGridRow],54),0))/36.03</f>
        <v/>
      </c>
      <c r="BC81">
        <f>SUMPRODUCT((M_BOM[Part Name]=$A81)*M_BOM[RM_Qty_Per_Batch]*IFERROR(INDEX(PP_Grid[#Data],M_BOM[PPGridRow],55),0))/36.03</f>
        <v/>
      </c>
      <c r="BD81">
        <f>SUMPRODUCT((M_BOM[Part Name]=$A81)*M_BOM[RM_Qty_Per_Batch]*IFERROR(INDEX(PP_Grid[#Data],M_BOM[PPGridRow],56),0))/36.03</f>
        <v/>
      </c>
      <c r="BE81">
        <f>SUMPRODUCT((M_BOM[Part Name]=$A81)*M_BOM[RM_Qty_Per_Batch]*IFERROR(INDEX(PP_Grid[#Data],M_BOM[PPGridRow],57),0))/36.03</f>
        <v/>
      </c>
      <c r="BF81">
        <f>SUMPRODUCT((M_BOM[Part Name]=$A81)*M_BOM[RM_Qty_Per_Batch]*IFERROR(INDEX(PP_Grid[#Data],M_BOM[PPGridRow],58),0))/36.03</f>
        <v/>
      </c>
      <c r="BG81">
        <f>SUMPRODUCT((M_BOM[Part Name]=$A81)*M_BOM[RM_Qty_Per_Batch]*IFERROR(INDEX(PP_Grid[#Data],M_BOM[PPGridRow],59),0))/36.03</f>
        <v/>
      </c>
      <c r="BH81">
        <f>SUMPRODUCT((M_BOM[Part Name]=$A81)*M_BOM[RM_Qty_Per_Batch]*IFERROR(INDEX(PP_Grid[#Data],M_BOM[PPGridRow],60),0))/36.03</f>
        <v/>
      </c>
      <c r="BI81">
        <f>SUMPRODUCT((M_BOM[Part Name]=$A81)*M_BOM[RM_Qty_Per_Batch]*IFERROR(INDEX(PP_Grid[#Data],M_BOM[PPGridRow],61),0))/36.03</f>
        <v/>
      </c>
      <c r="BJ81">
        <f>SUMPRODUCT((M_BOM[Part Name]=$A81)*M_BOM[RM_Qty_Per_Batch]*IFERROR(INDEX(PP_Grid[#Data],M_BOM[PPGridRow],62),0))/36.03</f>
        <v/>
      </c>
      <c r="BK81">
        <f>SUMPRODUCT((M_BOM[Part Name]=$A81)*M_BOM[RM_Qty_Per_Batch]*IFERROR(INDEX(PP_Grid[#Data],M_BOM[PPGridRow],63),0))/36.03</f>
        <v/>
      </c>
      <c r="BL81">
        <f>SUMPRODUCT((M_BOM[Part Name]=$A81)*M_BOM[RM_Qty_Per_Batch]*IFERROR(INDEX(PP_Grid[#Data],M_BOM[PPGridRow],64),0))/36.03</f>
        <v/>
      </c>
      <c r="BM81">
        <f>SUMPRODUCT((M_BOM[Part Name]=$A81)*M_BOM[RM_Qty_Per_Batch]*IFERROR(INDEX(PP_Grid[#Data],M_BOM[PPGridRow],65),0))/36.03</f>
        <v/>
      </c>
      <c r="BN81">
        <f>SUMPRODUCT((M_BOM[Part Name]=$A81)*M_BOM[RM_Qty_Per_Batch]*IFERROR(INDEX(PP_Grid[#Data],M_BOM[PPGridRow],66),0))/36.03</f>
        <v/>
      </c>
      <c r="BO81">
        <f>SUMPRODUCT((M_BOM[Part Name]=$A81)*M_BOM[RM_Qty_Per_Batch]*IFERROR(INDEX(PP_Grid[#Data],M_BOM[PPGridRow],67),0))/36.03</f>
        <v/>
      </c>
      <c r="BP81">
        <f>SUMPRODUCT((M_BOM[Part Name]=$A81)*M_BOM[RM_Qty_Per_Batch]*IFERROR(INDEX(PP_Grid[#Data],M_BOM[PPGridRow],68),0))/36.03</f>
        <v/>
      </c>
      <c r="BQ81">
        <f>SUMPRODUCT((M_BOM[Part Name]=$A81)*M_BOM[RM_Qty_Per_Batch]*IFERROR(INDEX(PP_Grid[#Data],M_BOM[PPGridRow],69),0))/36.03</f>
        <v/>
      </c>
      <c r="BR81">
        <f>SUMPRODUCT((M_BOM[Part Name]=$A81)*M_BOM[RM_Qty_Per_Batch]*IFERROR(INDEX(PP_Grid[#Data],M_BOM[PPGridRow],70),0))/36.03</f>
        <v/>
      </c>
      <c r="BS81">
        <f>SUMPRODUCT((M_BOM[Part Name]=$A81)*M_BOM[RM_Qty_Per_Batch]*IFERROR(INDEX(PP_Grid[#Data],M_BOM[PPGridRow],71),0))/36.03</f>
        <v/>
      </c>
      <c r="BT81">
        <f>SUMPRODUCT((M_BOM[Part Name]=$A81)*M_BOM[RM_Qty_Per_Batch]*IFERROR(INDEX(PP_Grid[#Data],M_BOM[PPGridRow],72),0))/36.03</f>
        <v/>
      </c>
      <c r="BU81">
        <f>SUMPRODUCT((M_BOM[Part Name]=$A81)*M_BOM[RM_Qty_Per_Batch]*IFERROR(INDEX(PP_Grid[#Data],M_BOM[PPGridRow],73),0))/36.03</f>
        <v/>
      </c>
      <c r="BV81">
        <f>SUMPRODUCT((M_BOM[Part Name]=$A81)*M_BOM[RM_Qty_Per_Batch]*IFERROR(INDEX(PP_Grid[#Data],M_BOM[PPGridRow],74),0))/36.03</f>
        <v/>
      </c>
      <c r="BW81">
        <f>SUMPRODUCT((M_BOM[Part Name]=$A81)*M_BOM[RM_Qty_Per_Batch]*IFERROR(INDEX(PP_Grid[#Data],M_BOM[PPGridRow],75),0))/36.03</f>
        <v/>
      </c>
      <c r="BX81">
        <f>SUMPRODUCT((M_BOM[Part Name]=$A81)*M_BOM[RM_Qty_Per_Batch]*IFERROR(INDEX(PP_Grid[#Data],M_BOM[PPGridRow],76),0))/36.03</f>
        <v/>
      </c>
      <c r="BY81">
        <f>SUMPRODUCT((M_BOM[Part Name]=$A81)*M_BOM[RM_Qty_Per_Batch]*IFERROR(INDEX(PP_Grid[#Data],M_BOM[PPGridRow],77),0))/36.03</f>
        <v/>
      </c>
      <c r="BZ81">
        <f>SUMPRODUCT((M_BOM[Part Name]=$A81)*M_BOM[RM_Qty_Per_Batch]*IFERROR(INDEX(PP_Grid[#Data],M_BOM[PPGridRow],78),0))/36.03</f>
        <v/>
      </c>
      <c r="CA81">
        <f>SUMPRODUCT((M_BOM[Part Name]=$A81)*M_BOM[RM_Qty_Per_Batch]*IFERROR(INDEX(PP_Grid[#Data],M_BOM[PPGridRow],79),0))/36.03</f>
        <v/>
      </c>
      <c r="CB81">
        <f>SUMPRODUCT((M_BOM[Part Name]=$A81)*M_BOM[RM_Qty_Per_Batch]*IFERROR(INDEX(PP_Grid[#Data],M_BOM[PPGridRow],80),0))/36.03</f>
        <v/>
      </c>
      <c r="CC81">
        <f>SUMPRODUCT((M_BOM[Part Name]=$A81)*M_BOM[RM_Qty_Per_Batch]*IFERROR(INDEX(PP_Grid[#Data],M_BOM[PPGridRow],81),0))/36.03</f>
        <v/>
      </c>
      <c r="CD81">
        <f>SUMPRODUCT((M_BOM[Part Name]=$A81)*M_BOM[RM_Qty_Per_Batch]*IFERROR(INDEX(PP_Grid[#Data],M_BOM[PPGridRow],82),0))/36.03</f>
        <v/>
      </c>
      <c r="CE81">
        <f>SUMPRODUCT((M_BOM[Part Name]=$A81)*M_BOM[RM_Qty_Per_Batch]*IFERROR(INDEX(PP_Grid[#Data],M_BOM[PPGridRow],83),0))/36.03</f>
        <v/>
      </c>
      <c r="CF81">
        <f>SUMPRODUCT((M_BOM[Part Name]=$A81)*M_BOM[RM_Qty_Per_Batch]*IFERROR(INDEX(PP_Grid[#Data],M_BOM[PPGridRow],84),0))/36.03</f>
        <v/>
      </c>
      <c r="CG81">
        <f>SUMPRODUCT((M_BOM[Part Name]=$A81)*M_BOM[RM_Qty_Per_Batch]*IFERROR(INDEX(PP_Grid[#Data],M_BOM[PPGridRow],85),0))/36.03</f>
        <v/>
      </c>
      <c r="CH81">
        <f>SUMPRODUCT((M_BOM[Part Name]=$A81)*M_BOM[RM_Qty_Per_Batch]*IFERROR(INDEX(PP_Grid[#Data],M_BOM[PPGridRow],86),0))/36.03</f>
        <v/>
      </c>
      <c r="CI81">
        <f>SUMPRODUCT((M_BOM[Part Name]=$A81)*M_BOM[RM_Qty_Per_Batch]*IFERROR(INDEX(PP_Grid[#Data],M_BOM[PPGridRow],87),0))/36.03</f>
        <v/>
      </c>
      <c r="CJ81">
        <f>SUMPRODUCT((M_BOM[Part Name]=$A81)*M_BOM[RM_Qty_Per_Batch]*IFERROR(INDEX(PP_Grid[#Data],M_BOM[PPGridRow],88),0))/36.03</f>
        <v/>
      </c>
      <c r="CK81">
        <f>SUMPRODUCT((M_BOM[Part Name]=$A81)*M_BOM[RM_Qty_Per_Batch]*IFERROR(INDEX(PP_Grid[#Data],M_BOM[PPGridRow],89),0))/36.03</f>
        <v/>
      </c>
      <c r="CL81">
        <f>SUMPRODUCT((M_BOM[Part Name]=$A81)*M_BOM[RM_Qty_Per_Batch]*IFERROR(INDEX(PP_Grid[#Data],M_BOM[PPGridRow],90),0))/36.03</f>
        <v/>
      </c>
      <c r="CM81">
        <f>SUMPRODUCT((M_BOM[Part Name]=$A81)*M_BOM[RM_Qty_Per_Batch]*IFERROR(INDEX(PP_Grid[#Data],M_BOM[PPGridRow],91),0))/36.03</f>
        <v/>
      </c>
      <c r="CN81">
        <f>SUMPRODUCT((M_BOM[Part Name]=$A81)*M_BOM[RM_Qty_Per_Batch]*IFERROR(INDEX(PP_Grid[#Data],M_BOM[PPGridRow],92),0))/36.03</f>
        <v/>
      </c>
      <c r="CO81">
        <f>SUMPRODUCT((M_BOM[Part Name]=$A81)*M_BOM[RM_Qty_Per_Batch]*IFERROR(INDEX(PP_Grid[#Data],M_BOM[PPGridRow],93),0))/36.03</f>
        <v/>
      </c>
      <c r="CP81">
        <f>SUMPRODUCT((M_BOM[Part Name]=$A81)*M_BOM[RM_Qty_Per_Batch]*IFERROR(INDEX(PP_Grid[#Data],M_BOM[PPGridRow],94),0))/36.03</f>
        <v/>
      </c>
      <c r="CQ81">
        <f>SUMPRODUCT((M_BOM[Part Name]=$A81)*M_BOM[RM_Qty_Per_Batch]*IFERROR(INDEX(PP_Grid[#Data],M_BOM[PPGridRow],95),0))/36.03</f>
        <v/>
      </c>
      <c r="CR81">
        <f>SUMPRODUCT((M_BOM[Part Name]=$A81)*M_BOM[RM_Qty_Per_Batch]*IFERROR(INDEX(PP_Grid[#Data],M_BOM[PPGridRow],96),0))/36.03</f>
        <v/>
      </c>
      <c r="CS81">
        <f>SUMPRODUCT((M_BOM[Part Name]=$A81)*M_BOM[RM_Qty_Per_Batch]*IFERROR(INDEX(PP_Grid[#Data],M_BOM[PPGridRow],97),0))/36.03</f>
        <v/>
      </c>
      <c r="CT81">
        <f>SUMPRODUCT((M_BOM[Part Name]=$A81)*M_BOM[RM_Qty_Per_Batch]*IFERROR(INDEX(PP_Grid[#Data],M_BOM[PPGridRow],98),0))/36.03</f>
        <v/>
      </c>
      <c r="CU81">
        <f>SUMPRODUCT((M_BOM[Part Name]=$A81)*M_BOM[RM_Qty_Per_Batch]*IFERROR(INDEX(PP_Grid[#Data],M_BOM[PPGridRow],99),0))/36.03</f>
        <v/>
      </c>
      <c r="CV81">
        <f>SUMPRODUCT((M_BOM[Part Name]=$A81)*M_BOM[RM_Qty_Per_Batch]*IFERROR(INDEX(PP_Grid[#Data],M_BOM[PPGridRow],100),0))/36.03</f>
        <v/>
      </c>
      <c r="CW81">
        <f>SUMPRODUCT((M_BOM[Part Name]=$A81)*M_BOM[RM_Qty_Per_Batch]*IFERROR(INDEX(PP_Grid[#Data],M_BOM[PPGridRow],101),0))/36.03</f>
        <v/>
      </c>
      <c r="CX81">
        <f>SUMPRODUCT((M_BOM[Part Name]=$A81)*M_BOM[RM_Qty_Per_Batch]*IFERROR(INDEX(PP_Grid[#Data],M_BOM[PPGridRow],102),0))/36.03</f>
        <v/>
      </c>
      <c r="CY81">
        <f>SUMPRODUCT((M_BOM[Part Name]=$A81)*M_BOM[RM_Qty_Per_Batch]*IFERROR(INDEX(PP_Grid[#Data],M_BOM[PPGridRow],103),0))/36.03</f>
        <v/>
      </c>
      <c r="CZ81">
        <f>SUMPRODUCT((M_BOM[Part Name]=$A81)*M_BOM[RM_Qty_Per_Batch]*IFERROR(INDEX(PP_Grid[#Data],M_BOM[PPGridRow],104),0))/36.03</f>
        <v/>
      </c>
      <c r="DA81">
        <f>SUMPRODUCT((M_BOM[Part Name]=$A81)*M_BOM[RM_Qty_Per_Batch]*IFERROR(INDEX(PP_Grid[#Data],M_BOM[PPGridRow],105),0))/36.03</f>
        <v/>
      </c>
    </row>
    <row r="82">
      <c r="A82" t="inlineStr">
        <is>
          <t>TPP-701</t>
        </is>
      </c>
      <c r="B82">
        <f>SUMPRODUCT((M_BOM[Part Name]=$A82)*M_BOM[RM_Qty_Per_Batch]*IFERROR(INDEX(PP_Grid[#Data],M_BOM[PPGridRow],2),0))/36.61</f>
        <v/>
      </c>
      <c r="C82">
        <f>SUMPRODUCT((M_BOM[Part Name]=$A82)*M_BOM[RM_Qty_Per_Batch]*IFERROR(INDEX(PP_Grid[#Data],M_BOM[PPGridRow],3),0))/36.61</f>
        <v/>
      </c>
      <c r="D82">
        <f>SUMPRODUCT((M_BOM[Part Name]=$A82)*M_BOM[RM_Qty_Per_Batch]*IFERROR(INDEX(PP_Grid[#Data],M_BOM[PPGridRow],4),0))/36.61</f>
        <v/>
      </c>
      <c r="E82">
        <f>SUMPRODUCT((M_BOM[Part Name]=$A82)*M_BOM[RM_Qty_Per_Batch]*IFERROR(INDEX(PP_Grid[#Data],M_BOM[PPGridRow],5),0))/36.61</f>
        <v/>
      </c>
      <c r="F82">
        <f>SUMPRODUCT((M_BOM[Part Name]=$A82)*M_BOM[RM_Qty_Per_Batch]*IFERROR(INDEX(PP_Grid[#Data],M_BOM[PPGridRow],6),0))/36.61</f>
        <v/>
      </c>
      <c r="G82">
        <f>SUMPRODUCT((M_BOM[Part Name]=$A82)*M_BOM[RM_Qty_Per_Batch]*IFERROR(INDEX(PP_Grid[#Data],M_BOM[PPGridRow],7),0))/36.61</f>
        <v/>
      </c>
      <c r="H82">
        <f>SUMPRODUCT((M_BOM[Part Name]=$A82)*M_BOM[RM_Qty_Per_Batch]*IFERROR(INDEX(PP_Grid[#Data],M_BOM[PPGridRow],8),0))/36.61</f>
        <v/>
      </c>
      <c r="I82">
        <f>SUMPRODUCT((M_BOM[Part Name]=$A82)*M_BOM[RM_Qty_Per_Batch]*IFERROR(INDEX(PP_Grid[#Data],M_BOM[PPGridRow],9),0))/36.61</f>
        <v/>
      </c>
      <c r="J82">
        <f>SUMPRODUCT((M_BOM[Part Name]=$A82)*M_BOM[RM_Qty_Per_Batch]*IFERROR(INDEX(PP_Grid[#Data],M_BOM[PPGridRow],10),0))/36.61</f>
        <v/>
      </c>
      <c r="K82">
        <f>SUMPRODUCT((M_BOM[Part Name]=$A82)*M_BOM[RM_Qty_Per_Batch]*IFERROR(INDEX(PP_Grid[#Data],M_BOM[PPGridRow],11),0))/36.61</f>
        <v/>
      </c>
      <c r="L82">
        <f>SUMPRODUCT((M_BOM[Part Name]=$A82)*M_BOM[RM_Qty_Per_Batch]*IFERROR(INDEX(PP_Grid[#Data],M_BOM[PPGridRow],12),0))/36.61</f>
        <v/>
      </c>
      <c r="M82">
        <f>SUMPRODUCT((M_BOM[Part Name]=$A82)*M_BOM[RM_Qty_Per_Batch]*IFERROR(INDEX(PP_Grid[#Data],M_BOM[PPGridRow],13),0))/36.61</f>
        <v/>
      </c>
      <c r="N82">
        <f>SUMPRODUCT((M_BOM[Part Name]=$A82)*M_BOM[RM_Qty_Per_Batch]*IFERROR(INDEX(PP_Grid[#Data],M_BOM[PPGridRow],14),0))/36.61</f>
        <v/>
      </c>
      <c r="O82">
        <f>SUMPRODUCT((M_BOM[Part Name]=$A82)*M_BOM[RM_Qty_Per_Batch]*IFERROR(INDEX(PP_Grid[#Data],M_BOM[PPGridRow],15),0))/36.61</f>
        <v/>
      </c>
      <c r="P82">
        <f>SUMPRODUCT((M_BOM[Part Name]=$A82)*M_BOM[RM_Qty_Per_Batch]*IFERROR(INDEX(PP_Grid[#Data],M_BOM[PPGridRow],16),0))/36.61</f>
        <v/>
      </c>
      <c r="Q82">
        <f>SUMPRODUCT((M_BOM[Part Name]=$A82)*M_BOM[RM_Qty_Per_Batch]*IFERROR(INDEX(PP_Grid[#Data],M_BOM[PPGridRow],17),0))/36.61</f>
        <v/>
      </c>
      <c r="R82">
        <f>SUMPRODUCT((M_BOM[Part Name]=$A82)*M_BOM[RM_Qty_Per_Batch]*IFERROR(INDEX(PP_Grid[#Data],M_BOM[PPGridRow],18),0))/36.61</f>
        <v/>
      </c>
      <c r="S82">
        <f>SUMPRODUCT((M_BOM[Part Name]=$A82)*M_BOM[RM_Qty_Per_Batch]*IFERROR(INDEX(PP_Grid[#Data],M_BOM[PPGridRow],19),0))/36.61</f>
        <v/>
      </c>
      <c r="T82">
        <f>SUMPRODUCT((M_BOM[Part Name]=$A82)*M_BOM[RM_Qty_Per_Batch]*IFERROR(INDEX(PP_Grid[#Data],M_BOM[PPGridRow],20),0))/36.61</f>
        <v/>
      </c>
      <c r="U82">
        <f>SUMPRODUCT((M_BOM[Part Name]=$A82)*M_BOM[RM_Qty_Per_Batch]*IFERROR(INDEX(PP_Grid[#Data],M_BOM[PPGridRow],21),0))/36.61</f>
        <v/>
      </c>
      <c r="V82">
        <f>SUMPRODUCT((M_BOM[Part Name]=$A82)*M_BOM[RM_Qty_Per_Batch]*IFERROR(INDEX(PP_Grid[#Data],M_BOM[PPGridRow],22),0))/36.61</f>
        <v/>
      </c>
      <c r="W82">
        <f>SUMPRODUCT((M_BOM[Part Name]=$A82)*M_BOM[RM_Qty_Per_Batch]*IFERROR(INDEX(PP_Grid[#Data],M_BOM[PPGridRow],23),0))/36.61</f>
        <v/>
      </c>
      <c r="X82">
        <f>SUMPRODUCT((M_BOM[Part Name]=$A82)*M_BOM[RM_Qty_Per_Batch]*IFERROR(INDEX(PP_Grid[#Data],M_BOM[PPGridRow],24),0))/36.61</f>
        <v/>
      </c>
      <c r="Y82">
        <f>SUMPRODUCT((M_BOM[Part Name]=$A82)*M_BOM[RM_Qty_Per_Batch]*IFERROR(INDEX(PP_Grid[#Data],M_BOM[PPGridRow],25),0))/36.61</f>
        <v/>
      </c>
      <c r="Z82">
        <f>SUMPRODUCT((M_BOM[Part Name]=$A82)*M_BOM[RM_Qty_Per_Batch]*IFERROR(INDEX(PP_Grid[#Data],M_BOM[PPGridRow],26),0))/36.61</f>
        <v/>
      </c>
      <c r="AA82">
        <f>SUMPRODUCT((M_BOM[Part Name]=$A82)*M_BOM[RM_Qty_Per_Batch]*IFERROR(INDEX(PP_Grid[#Data],M_BOM[PPGridRow],27),0))/36.61</f>
        <v/>
      </c>
      <c r="AB82">
        <f>SUMPRODUCT((M_BOM[Part Name]=$A82)*M_BOM[RM_Qty_Per_Batch]*IFERROR(INDEX(PP_Grid[#Data],M_BOM[PPGridRow],28),0))/36.61</f>
        <v/>
      </c>
      <c r="AC82">
        <f>SUMPRODUCT((M_BOM[Part Name]=$A82)*M_BOM[RM_Qty_Per_Batch]*IFERROR(INDEX(PP_Grid[#Data],M_BOM[PPGridRow],29),0))/36.61</f>
        <v/>
      </c>
      <c r="AD82">
        <f>SUMPRODUCT((M_BOM[Part Name]=$A82)*M_BOM[RM_Qty_Per_Batch]*IFERROR(INDEX(PP_Grid[#Data],M_BOM[PPGridRow],30),0))/36.61</f>
        <v/>
      </c>
      <c r="AE82">
        <f>SUMPRODUCT((M_BOM[Part Name]=$A82)*M_BOM[RM_Qty_Per_Batch]*IFERROR(INDEX(PP_Grid[#Data],M_BOM[PPGridRow],31),0))/36.61</f>
        <v/>
      </c>
      <c r="AF82">
        <f>SUMPRODUCT((M_BOM[Part Name]=$A82)*M_BOM[RM_Qty_Per_Batch]*IFERROR(INDEX(PP_Grid[#Data],M_BOM[PPGridRow],32),0))/36.61</f>
        <v/>
      </c>
      <c r="AG82">
        <f>SUMPRODUCT((M_BOM[Part Name]=$A82)*M_BOM[RM_Qty_Per_Batch]*IFERROR(INDEX(PP_Grid[#Data],M_BOM[PPGridRow],33),0))/36.61</f>
        <v/>
      </c>
      <c r="AH82">
        <f>SUMPRODUCT((M_BOM[Part Name]=$A82)*M_BOM[RM_Qty_Per_Batch]*IFERROR(INDEX(PP_Grid[#Data],M_BOM[PPGridRow],34),0))/36.61</f>
        <v/>
      </c>
      <c r="AI82">
        <f>SUMPRODUCT((M_BOM[Part Name]=$A82)*M_BOM[RM_Qty_Per_Batch]*IFERROR(INDEX(PP_Grid[#Data],M_BOM[PPGridRow],35),0))/36.61</f>
        <v/>
      </c>
      <c r="AJ82">
        <f>SUMPRODUCT((M_BOM[Part Name]=$A82)*M_BOM[RM_Qty_Per_Batch]*IFERROR(INDEX(PP_Grid[#Data],M_BOM[PPGridRow],36),0))/36.61</f>
        <v/>
      </c>
      <c r="AK82">
        <f>SUMPRODUCT((M_BOM[Part Name]=$A82)*M_BOM[RM_Qty_Per_Batch]*IFERROR(INDEX(PP_Grid[#Data],M_BOM[PPGridRow],37),0))/36.61</f>
        <v/>
      </c>
      <c r="AL82">
        <f>SUMPRODUCT((M_BOM[Part Name]=$A82)*M_BOM[RM_Qty_Per_Batch]*IFERROR(INDEX(PP_Grid[#Data],M_BOM[PPGridRow],38),0))/36.61</f>
        <v/>
      </c>
      <c r="AM82">
        <f>SUMPRODUCT((M_BOM[Part Name]=$A82)*M_BOM[RM_Qty_Per_Batch]*IFERROR(INDEX(PP_Grid[#Data],M_BOM[PPGridRow],39),0))/36.61</f>
        <v/>
      </c>
      <c r="AN82">
        <f>SUMPRODUCT((M_BOM[Part Name]=$A82)*M_BOM[RM_Qty_Per_Batch]*IFERROR(INDEX(PP_Grid[#Data],M_BOM[PPGridRow],40),0))/36.61</f>
        <v/>
      </c>
      <c r="AO82">
        <f>SUMPRODUCT((M_BOM[Part Name]=$A82)*M_BOM[RM_Qty_Per_Batch]*IFERROR(INDEX(PP_Grid[#Data],M_BOM[PPGridRow],41),0))/36.61</f>
        <v/>
      </c>
      <c r="AP82">
        <f>SUMPRODUCT((M_BOM[Part Name]=$A82)*M_BOM[RM_Qty_Per_Batch]*IFERROR(INDEX(PP_Grid[#Data],M_BOM[PPGridRow],42),0))/36.61</f>
        <v/>
      </c>
      <c r="AQ82">
        <f>SUMPRODUCT((M_BOM[Part Name]=$A82)*M_BOM[RM_Qty_Per_Batch]*IFERROR(INDEX(PP_Grid[#Data],M_BOM[PPGridRow],43),0))/36.61</f>
        <v/>
      </c>
      <c r="AR82">
        <f>SUMPRODUCT((M_BOM[Part Name]=$A82)*M_BOM[RM_Qty_Per_Batch]*IFERROR(INDEX(PP_Grid[#Data],M_BOM[PPGridRow],44),0))/36.61</f>
        <v/>
      </c>
      <c r="AS82">
        <f>SUMPRODUCT((M_BOM[Part Name]=$A82)*M_BOM[RM_Qty_Per_Batch]*IFERROR(INDEX(PP_Grid[#Data],M_BOM[PPGridRow],45),0))/36.61</f>
        <v/>
      </c>
      <c r="AT82">
        <f>SUMPRODUCT((M_BOM[Part Name]=$A82)*M_BOM[RM_Qty_Per_Batch]*IFERROR(INDEX(PP_Grid[#Data],M_BOM[PPGridRow],46),0))/36.61</f>
        <v/>
      </c>
      <c r="AU82">
        <f>SUMPRODUCT((M_BOM[Part Name]=$A82)*M_BOM[RM_Qty_Per_Batch]*IFERROR(INDEX(PP_Grid[#Data],M_BOM[PPGridRow],47),0))/36.61</f>
        <v/>
      </c>
      <c r="AV82">
        <f>SUMPRODUCT((M_BOM[Part Name]=$A82)*M_BOM[RM_Qty_Per_Batch]*IFERROR(INDEX(PP_Grid[#Data],M_BOM[PPGridRow],48),0))/36.61</f>
        <v/>
      </c>
      <c r="AW82">
        <f>SUMPRODUCT((M_BOM[Part Name]=$A82)*M_BOM[RM_Qty_Per_Batch]*IFERROR(INDEX(PP_Grid[#Data],M_BOM[PPGridRow],49),0))/36.61</f>
        <v/>
      </c>
      <c r="AX82">
        <f>SUMPRODUCT((M_BOM[Part Name]=$A82)*M_BOM[RM_Qty_Per_Batch]*IFERROR(INDEX(PP_Grid[#Data],M_BOM[PPGridRow],50),0))/36.61</f>
        <v/>
      </c>
      <c r="AY82">
        <f>SUMPRODUCT((M_BOM[Part Name]=$A82)*M_BOM[RM_Qty_Per_Batch]*IFERROR(INDEX(PP_Grid[#Data],M_BOM[PPGridRow],51),0))/36.61</f>
        <v/>
      </c>
      <c r="AZ82">
        <f>SUMPRODUCT((M_BOM[Part Name]=$A82)*M_BOM[RM_Qty_Per_Batch]*IFERROR(INDEX(PP_Grid[#Data],M_BOM[PPGridRow],52),0))/36.61</f>
        <v/>
      </c>
      <c r="BA82">
        <f>SUMPRODUCT((M_BOM[Part Name]=$A82)*M_BOM[RM_Qty_Per_Batch]*IFERROR(INDEX(PP_Grid[#Data],M_BOM[PPGridRow],53),0))/36.61</f>
        <v/>
      </c>
      <c r="BB82">
        <f>SUMPRODUCT((M_BOM[Part Name]=$A82)*M_BOM[RM_Qty_Per_Batch]*IFERROR(INDEX(PP_Grid[#Data],M_BOM[PPGridRow],54),0))/36.61</f>
        <v/>
      </c>
      <c r="BC82">
        <f>SUMPRODUCT((M_BOM[Part Name]=$A82)*M_BOM[RM_Qty_Per_Batch]*IFERROR(INDEX(PP_Grid[#Data],M_BOM[PPGridRow],55),0))/36.61</f>
        <v/>
      </c>
      <c r="BD82">
        <f>SUMPRODUCT((M_BOM[Part Name]=$A82)*M_BOM[RM_Qty_Per_Batch]*IFERROR(INDEX(PP_Grid[#Data],M_BOM[PPGridRow],56),0))/36.61</f>
        <v/>
      </c>
      <c r="BE82">
        <f>SUMPRODUCT((M_BOM[Part Name]=$A82)*M_BOM[RM_Qty_Per_Batch]*IFERROR(INDEX(PP_Grid[#Data],M_BOM[PPGridRow],57),0))/36.61</f>
        <v/>
      </c>
      <c r="BF82">
        <f>SUMPRODUCT((M_BOM[Part Name]=$A82)*M_BOM[RM_Qty_Per_Batch]*IFERROR(INDEX(PP_Grid[#Data],M_BOM[PPGridRow],58),0))/36.61</f>
        <v/>
      </c>
      <c r="BG82">
        <f>SUMPRODUCT((M_BOM[Part Name]=$A82)*M_BOM[RM_Qty_Per_Batch]*IFERROR(INDEX(PP_Grid[#Data],M_BOM[PPGridRow],59),0))/36.61</f>
        <v/>
      </c>
      <c r="BH82">
        <f>SUMPRODUCT((M_BOM[Part Name]=$A82)*M_BOM[RM_Qty_Per_Batch]*IFERROR(INDEX(PP_Grid[#Data],M_BOM[PPGridRow],60),0))/36.61</f>
        <v/>
      </c>
      <c r="BI82">
        <f>SUMPRODUCT((M_BOM[Part Name]=$A82)*M_BOM[RM_Qty_Per_Batch]*IFERROR(INDEX(PP_Grid[#Data],M_BOM[PPGridRow],61),0))/36.61</f>
        <v/>
      </c>
      <c r="BJ82">
        <f>SUMPRODUCT((M_BOM[Part Name]=$A82)*M_BOM[RM_Qty_Per_Batch]*IFERROR(INDEX(PP_Grid[#Data],M_BOM[PPGridRow],62),0))/36.61</f>
        <v/>
      </c>
      <c r="BK82">
        <f>SUMPRODUCT((M_BOM[Part Name]=$A82)*M_BOM[RM_Qty_Per_Batch]*IFERROR(INDEX(PP_Grid[#Data],M_BOM[PPGridRow],63),0))/36.61</f>
        <v/>
      </c>
      <c r="BL82">
        <f>SUMPRODUCT((M_BOM[Part Name]=$A82)*M_BOM[RM_Qty_Per_Batch]*IFERROR(INDEX(PP_Grid[#Data],M_BOM[PPGridRow],64),0))/36.61</f>
        <v/>
      </c>
      <c r="BM82">
        <f>SUMPRODUCT((M_BOM[Part Name]=$A82)*M_BOM[RM_Qty_Per_Batch]*IFERROR(INDEX(PP_Grid[#Data],M_BOM[PPGridRow],65),0))/36.61</f>
        <v/>
      </c>
      <c r="BN82">
        <f>SUMPRODUCT((M_BOM[Part Name]=$A82)*M_BOM[RM_Qty_Per_Batch]*IFERROR(INDEX(PP_Grid[#Data],M_BOM[PPGridRow],66),0))/36.61</f>
        <v/>
      </c>
      <c r="BO82">
        <f>SUMPRODUCT((M_BOM[Part Name]=$A82)*M_BOM[RM_Qty_Per_Batch]*IFERROR(INDEX(PP_Grid[#Data],M_BOM[PPGridRow],67),0))/36.61</f>
        <v/>
      </c>
      <c r="BP82">
        <f>SUMPRODUCT((M_BOM[Part Name]=$A82)*M_BOM[RM_Qty_Per_Batch]*IFERROR(INDEX(PP_Grid[#Data],M_BOM[PPGridRow],68),0))/36.61</f>
        <v/>
      </c>
      <c r="BQ82">
        <f>SUMPRODUCT((M_BOM[Part Name]=$A82)*M_BOM[RM_Qty_Per_Batch]*IFERROR(INDEX(PP_Grid[#Data],M_BOM[PPGridRow],69),0))/36.61</f>
        <v/>
      </c>
      <c r="BR82">
        <f>SUMPRODUCT((M_BOM[Part Name]=$A82)*M_BOM[RM_Qty_Per_Batch]*IFERROR(INDEX(PP_Grid[#Data],M_BOM[PPGridRow],70),0))/36.61</f>
        <v/>
      </c>
      <c r="BS82">
        <f>SUMPRODUCT((M_BOM[Part Name]=$A82)*M_BOM[RM_Qty_Per_Batch]*IFERROR(INDEX(PP_Grid[#Data],M_BOM[PPGridRow],71),0))/36.61</f>
        <v/>
      </c>
      <c r="BT82">
        <f>SUMPRODUCT((M_BOM[Part Name]=$A82)*M_BOM[RM_Qty_Per_Batch]*IFERROR(INDEX(PP_Grid[#Data],M_BOM[PPGridRow],72),0))/36.61</f>
        <v/>
      </c>
      <c r="BU82">
        <f>SUMPRODUCT((M_BOM[Part Name]=$A82)*M_BOM[RM_Qty_Per_Batch]*IFERROR(INDEX(PP_Grid[#Data],M_BOM[PPGridRow],73),0))/36.61</f>
        <v/>
      </c>
      <c r="BV82">
        <f>SUMPRODUCT((M_BOM[Part Name]=$A82)*M_BOM[RM_Qty_Per_Batch]*IFERROR(INDEX(PP_Grid[#Data],M_BOM[PPGridRow],74),0))/36.61</f>
        <v/>
      </c>
      <c r="BW82">
        <f>SUMPRODUCT((M_BOM[Part Name]=$A82)*M_BOM[RM_Qty_Per_Batch]*IFERROR(INDEX(PP_Grid[#Data],M_BOM[PPGridRow],75),0))/36.61</f>
        <v/>
      </c>
      <c r="BX82">
        <f>SUMPRODUCT((M_BOM[Part Name]=$A82)*M_BOM[RM_Qty_Per_Batch]*IFERROR(INDEX(PP_Grid[#Data],M_BOM[PPGridRow],76),0))/36.61</f>
        <v/>
      </c>
      <c r="BY82">
        <f>SUMPRODUCT((M_BOM[Part Name]=$A82)*M_BOM[RM_Qty_Per_Batch]*IFERROR(INDEX(PP_Grid[#Data],M_BOM[PPGridRow],77),0))/36.61</f>
        <v/>
      </c>
      <c r="BZ82">
        <f>SUMPRODUCT((M_BOM[Part Name]=$A82)*M_BOM[RM_Qty_Per_Batch]*IFERROR(INDEX(PP_Grid[#Data],M_BOM[PPGridRow],78),0))/36.61</f>
        <v/>
      </c>
      <c r="CA82">
        <f>SUMPRODUCT((M_BOM[Part Name]=$A82)*M_BOM[RM_Qty_Per_Batch]*IFERROR(INDEX(PP_Grid[#Data],M_BOM[PPGridRow],79),0))/36.61</f>
        <v/>
      </c>
      <c r="CB82">
        <f>SUMPRODUCT((M_BOM[Part Name]=$A82)*M_BOM[RM_Qty_Per_Batch]*IFERROR(INDEX(PP_Grid[#Data],M_BOM[PPGridRow],80),0))/36.61</f>
        <v/>
      </c>
      <c r="CC82">
        <f>SUMPRODUCT((M_BOM[Part Name]=$A82)*M_BOM[RM_Qty_Per_Batch]*IFERROR(INDEX(PP_Grid[#Data],M_BOM[PPGridRow],81),0))/36.61</f>
        <v/>
      </c>
      <c r="CD82">
        <f>SUMPRODUCT((M_BOM[Part Name]=$A82)*M_BOM[RM_Qty_Per_Batch]*IFERROR(INDEX(PP_Grid[#Data],M_BOM[PPGridRow],82),0))/36.61</f>
        <v/>
      </c>
      <c r="CE82">
        <f>SUMPRODUCT((M_BOM[Part Name]=$A82)*M_BOM[RM_Qty_Per_Batch]*IFERROR(INDEX(PP_Grid[#Data],M_BOM[PPGridRow],83),0))/36.61</f>
        <v/>
      </c>
      <c r="CF82">
        <f>SUMPRODUCT((M_BOM[Part Name]=$A82)*M_BOM[RM_Qty_Per_Batch]*IFERROR(INDEX(PP_Grid[#Data],M_BOM[PPGridRow],84),0))/36.61</f>
        <v/>
      </c>
      <c r="CG82">
        <f>SUMPRODUCT((M_BOM[Part Name]=$A82)*M_BOM[RM_Qty_Per_Batch]*IFERROR(INDEX(PP_Grid[#Data],M_BOM[PPGridRow],85),0))/36.61</f>
        <v/>
      </c>
      <c r="CH82">
        <f>SUMPRODUCT((M_BOM[Part Name]=$A82)*M_BOM[RM_Qty_Per_Batch]*IFERROR(INDEX(PP_Grid[#Data],M_BOM[PPGridRow],86),0))/36.61</f>
        <v/>
      </c>
      <c r="CI82">
        <f>SUMPRODUCT((M_BOM[Part Name]=$A82)*M_BOM[RM_Qty_Per_Batch]*IFERROR(INDEX(PP_Grid[#Data],M_BOM[PPGridRow],87),0))/36.61</f>
        <v/>
      </c>
      <c r="CJ82">
        <f>SUMPRODUCT((M_BOM[Part Name]=$A82)*M_BOM[RM_Qty_Per_Batch]*IFERROR(INDEX(PP_Grid[#Data],M_BOM[PPGridRow],88),0))/36.61</f>
        <v/>
      </c>
      <c r="CK82">
        <f>SUMPRODUCT((M_BOM[Part Name]=$A82)*M_BOM[RM_Qty_Per_Batch]*IFERROR(INDEX(PP_Grid[#Data],M_BOM[PPGridRow],89),0))/36.61</f>
        <v/>
      </c>
      <c r="CL82">
        <f>SUMPRODUCT((M_BOM[Part Name]=$A82)*M_BOM[RM_Qty_Per_Batch]*IFERROR(INDEX(PP_Grid[#Data],M_BOM[PPGridRow],90),0))/36.61</f>
        <v/>
      </c>
      <c r="CM82">
        <f>SUMPRODUCT((M_BOM[Part Name]=$A82)*M_BOM[RM_Qty_Per_Batch]*IFERROR(INDEX(PP_Grid[#Data],M_BOM[PPGridRow],91),0))/36.61</f>
        <v/>
      </c>
      <c r="CN82">
        <f>SUMPRODUCT((M_BOM[Part Name]=$A82)*M_BOM[RM_Qty_Per_Batch]*IFERROR(INDEX(PP_Grid[#Data],M_BOM[PPGridRow],92),0))/36.61</f>
        <v/>
      </c>
      <c r="CO82">
        <f>SUMPRODUCT((M_BOM[Part Name]=$A82)*M_BOM[RM_Qty_Per_Batch]*IFERROR(INDEX(PP_Grid[#Data],M_BOM[PPGridRow],93),0))/36.61</f>
        <v/>
      </c>
      <c r="CP82">
        <f>SUMPRODUCT((M_BOM[Part Name]=$A82)*M_BOM[RM_Qty_Per_Batch]*IFERROR(INDEX(PP_Grid[#Data],M_BOM[PPGridRow],94),0))/36.61</f>
        <v/>
      </c>
      <c r="CQ82">
        <f>SUMPRODUCT((M_BOM[Part Name]=$A82)*M_BOM[RM_Qty_Per_Batch]*IFERROR(INDEX(PP_Grid[#Data],M_BOM[PPGridRow],95),0))/36.61</f>
        <v/>
      </c>
      <c r="CR82">
        <f>SUMPRODUCT((M_BOM[Part Name]=$A82)*M_BOM[RM_Qty_Per_Batch]*IFERROR(INDEX(PP_Grid[#Data],M_BOM[PPGridRow],96),0))/36.61</f>
        <v/>
      </c>
      <c r="CS82">
        <f>SUMPRODUCT((M_BOM[Part Name]=$A82)*M_BOM[RM_Qty_Per_Batch]*IFERROR(INDEX(PP_Grid[#Data],M_BOM[PPGridRow],97),0))/36.61</f>
        <v/>
      </c>
      <c r="CT82">
        <f>SUMPRODUCT((M_BOM[Part Name]=$A82)*M_BOM[RM_Qty_Per_Batch]*IFERROR(INDEX(PP_Grid[#Data],M_BOM[PPGridRow],98),0))/36.61</f>
        <v/>
      </c>
      <c r="CU82">
        <f>SUMPRODUCT((M_BOM[Part Name]=$A82)*M_BOM[RM_Qty_Per_Batch]*IFERROR(INDEX(PP_Grid[#Data],M_BOM[PPGridRow],99),0))/36.61</f>
        <v/>
      </c>
      <c r="CV82">
        <f>SUMPRODUCT((M_BOM[Part Name]=$A82)*M_BOM[RM_Qty_Per_Batch]*IFERROR(INDEX(PP_Grid[#Data],M_BOM[PPGridRow],100),0))/36.61</f>
        <v/>
      </c>
      <c r="CW82">
        <f>SUMPRODUCT((M_BOM[Part Name]=$A82)*M_BOM[RM_Qty_Per_Batch]*IFERROR(INDEX(PP_Grid[#Data],M_BOM[PPGridRow],101),0))/36.61</f>
        <v/>
      </c>
      <c r="CX82">
        <f>SUMPRODUCT((M_BOM[Part Name]=$A82)*M_BOM[RM_Qty_Per_Batch]*IFERROR(INDEX(PP_Grid[#Data],M_BOM[PPGridRow],102),0))/36.61</f>
        <v/>
      </c>
      <c r="CY82">
        <f>SUMPRODUCT((M_BOM[Part Name]=$A82)*M_BOM[RM_Qty_Per_Batch]*IFERROR(INDEX(PP_Grid[#Data],M_BOM[PPGridRow],103),0))/36.61</f>
        <v/>
      </c>
      <c r="CZ82">
        <f>SUMPRODUCT((M_BOM[Part Name]=$A82)*M_BOM[RM_Qty_Per_Batch]*IFERROR(INDEX(PP_Grid[#Data],M_BOM[PPGridRow],104),0))/36.61</f>
        <v/>
      </c>
      <c r="DA82">
        <f>SUMPRODUCT((M_BOM[Part Name]=$A82)*M_BOM[RM_Qty_Per_Batch]*IFERROR(INDEX(PP_Grid[#Data],M_BOM[PPGridRow],105),0))/36.61</f>
        <v/>
      </c>
    </row>
    <row r="83">
      <c r="A83" t="inlineStr">
        <is>
          <t>TPP-825</t>
        </is>
      </c>
      <c r="B83">
        <f>SUMPRODUCT((M_BOM[Part Name]=$A83)*M_BOM[RM_Qty_Per_Batch]*IFERROR(INDEX(PP_Grid[#Data],M_BOM[PPGridRow],2),0))/29.82</f>
        <v/>
      </c>
      <c r="C83">
        <f>SUMPRODUCT((M_BOM[Part Name]=$A83)*M_BOM[RM_Qty_Per_Batch]*IFERROR(INDEX(PP_Grid[#Data],M_BOM[PPGridRow],3),0))/29.82</f>
        <v/>
      </c>
      <c r="D83">
        <f>SUMPRODUCT((M_BOM[Part Name]=$A83)*M_BOM[RM_Qty_Per_Batch]*IFERROR(INDEX(PP_Grid[#Data],M_BOM[PPGridRow],4),0))/29.82</f>
        <v/>
      </c>
      <c r="E83">
        <f>SUMPRODUCT((M_BOM[Part Name]=$A83)*M_BOM[RM_Qty_Per_Batch]*IFERROR(INDEX(PP_Grid[#Data],M_BOM[PPGridRow],5),0))/29.82</f>
        <v/>
      </c>
      <c r="F83">
        <f>SUMPRODUCT((M_BOM[Part Name]=$A83)*M_BOM[RM_Qty_Per_Batch]*IFERROR(INDEX(PP_Grid[#Data],M_BOM[PPGridRow],6),0))/29.82</f>
        <v/>
      </c>
      <c r="G83">
        <f>SUMPRODUCT((M_BOM[Part Name]=$A83)*M_BOM[RM_Qty_Per_Batch]*IFERROR(INDEX(PP_Grid[#Data],M_BOM[PPGridRow],7),0))/29.82</f>
        <v/>
      </c>
      <c r="H83">
        <f>SUMPRODUCT((M_BOM[Part Name]=$A83)*M_BOM[RM_Qty_Per_Batch]*IFERROR(INDEX(PP_Grid[#Data],M_BOM[PPGridRow],8),0))/29.82</f>
        <v/>
      </c>
      <c r="I83">
        <f>SUMPRODUCT((M_BOM[Part Name]=$A83)*M_BOM[RM_Qty_Per_Batch]*IFERROR(INDEX(PP_Grid[#Data],M_BOM[PPGridRow],9),0))/29.82</f>
        <v/>
      </c>
      <c r="J83">
        <f>SUMPRODUCT((M_BOM[Part Name]=$A83)*M_BOM[RM_Qty_Per_Batch]*IFERROR(INDEX(PP_Grid[#Data],M_BOM[PPGridRow],10),0))/29.82</f>
        <v/>
      </c>
      <c r="K83">
        <f>SUMPRODUCT((M_BOM[Part Name]=$A83)*M_BOM[RM_Qty_Per_Batch]*IFERROR(INDEX(PP_Grid[#Data],M_BOM[PPGridRow],11),0))/29.82</f>
        <v/>
      </c>
      <c r="L83">
        <f>SUMPRODUCT((M_BOM[Part Name]=$A83)*M_BOM[RM_Qty_Per_Batch]*IFERROR(INDEX(PP_Grid[#Data],M_BOM[PPGridRow],12),0))/29.82</f>
        <v/>
      </c>
      <c r="M83">
        <f>SUMPRODUCT((M_BOM[Part Name]=$A83)*M_BOM[RM_Qty_Per_Batch]*IFERROR(INDEX(PP_Grid[#Data],M_BOM[PPGridRow],13),0))/29.82</f>
        <v/>
      </c>
      <c r="N83">
        <f>SUMPRODUCT((M_BOM[Part Name]=$A83)*M_BOM[RM_Qty_Per_Batch]*IFERROR(INDEX(PP_Grid[#Data],M_BOM[PPGridRow],14),0))/29.82</f>
        <v/>
      </c>
      <c r="O83">
        <f>SUMPRODUCT((M_BOM[Part Name]=$A83)*M_BOM[RM_Qty_Per_Batch]*IFERROR(INDEX(PP_Grid[#Data],M_BOM[PPGridRow],15),0))/29.82</f>
        <v/>
      </c>
      <c r="P83">
        <f>SUMPRODUCT((M_BOM[Part Name]=$A83)*M_BOM[RM_Qty_Per_Batch]*IFERROR(INDEX(PP_Grid[#Data],M_BOM[PPGridRow],16),0))/29.82</f>
        <v/>
      </c>
      <c r="Q83">
        <f>SUMPRODUCT((M_BOM[Part Name]=$A83)*M_BOM[RM_Qty_Per_Batch]*IFERROR(INDEX(PP_Grid[#Data],M_BOM[PPGridRow],17),0))/29.82</f>
        <v/>
      </c>
      <c r="R83">
        <f>SUMPRODUCT((M_BOM[Part Name]=$A83)*M_BOM[RM_Qty_Per_Batch]*IFERROR(INDEX(PP_Grid[#Data],M_BOM[PPGridRow],18),0))/29.82</f>
        <v/>
      </c>
      <c r="S83">
        <f>SUMPRODUCT((M_BOM[Part Name]=$A83)*M_BOM[RM_Qty_Per_Batch]*IFERROR(INDEX(PP_Grid[#Data],M_BOM[PPGridRow],19),0))/29.82</f>
        <v/>
      </c>
      <c r="T83">
        <f>SUMPRODUCT((M_BOM[Part Name]=$A83)*M_BOM[RM_Qty_Per_Batch]*IFERROR(INDEX(PP_Grid[#Data],M_BOM[PPGridRow],20),0))/29.82</f>
        <v/>
      </c>
      <c r="U83">
        <f>SUMPRODUCT((M_BOM[Part Name]=$A83)*M_BOM[RM_Qty_Per_Batch]*IFERROR(INDEX(PP_Grid[#Data],M_BOM[PPGridRow],21),0))/29.82</f>
        <v/>
      </c>
      <c r="V83">
        <f>SUMPRODUCT((M_BOM[Part Name]=$A83)*M_BOM[RM_Qty_Per_Batch]*IFERROR(INDEX(PP_Grid[#Data],M_BOM[PPGridRow],22),0))/29.82</f>
        <v/>
      </c>
      <c r="W83">
        <f>SUMPRODUCT((M_BOM[Part Name]=$A83)*M_BOM[RM_Qty_Per_Batch]*IFERROR(INDEX(PP_Grid[#Data],M_BOM[PPGridRow],23),0))/29.82</f>
        <v/>
      </c>
      <c r="X83">
        <f>SUMPRODUCT((M_BOM[Part Name]=$A83)*M_BOM[RM_Qty_Per_Batch]*IFERROR(INDEX(PP_Grid[#Data],M_BOM[PPGridRow],24),0))/29.82</f>
        <v/>
      </c>
      <c r="Y83">
        <f>SUMPRODUCT((M_BOM[Part Name]=$A83)*M_BOM[RM_Qty_Per_Batch]*IFERROR(INDEX(PP_Grid[#Data],M_BOM[PPGridRow],25),0))/29.82</f>
        <v/>
      </c>
      <c r="Z83">
        <f>SUMPRODUCT((M_BOM[Part Name]=$A83)*M_BOM[RM_Qty_Per_Batch]*IFERROR(INDEX(PP_Grid[#Data],M_BOM[PPGridRow],26),0))/29.82</f>
        <v/>
      </c>
      <c r="AA83">
        <f>SUMPRODUCT((M_BOM[Part Name]=$A83)*M_BOM[RM_Qty_Per_Batch]*IFERROR(INDEX(PP_Grid[#Data],M_BOM[PPGridRow],27),0))/29.82</f>
        <v/>
      </c>
      <c r="AB83">
        <f>SUMPRODUCT((M_BOM[Part Name]=$A83)*M_BOM[RM_Qty_Per_Batch]*IFERROR(INDEX(PP_Grid[#Data],M_BOM[PPGridRow],28),0))/29.82</f>
        <v/>
      </c>
      <c r="AC83">
        <f>SUMPRODUCT((M_BOM[Part Name]=$A83)*M_BOM[RM_Qty_Per_Batch]*IFERROR(INDEX(PP_Grid[#Data],M_BOM[PPGridRow],29),0))/29.82</f>
        <v/>
      </c>
      <c r="AD83">
        <f>SUMPRODUCT((M_BOM[Part Name]=$A83)*M_BOM[RM_Qty_Per_Batch]*IFERROR(INDEX(PP_Grid[#Data],M_BOM[PPGridRow],30),0))/29.82</f>
        <v/>
      </c>
      <c r="AE83">
        <f>SUMPRODUCT((M_BOM[Part Name]=$A83)*M_BOM[RM_Qty_Per_Batch]*IFERROR(INDEX(PP_Grid[#Data],M_BOM[PPGridRow],31),0))/29.82</f>
        <v/>
      </c>
      <c r="AF83">
        <f>SUMPRODUCT((M_BOM[Part Name]=$A83)*M_BOM[RM_Qty_Per_Batch]*IFERROR(INDEX(PP_Grid[#Data],M_BOM[PPGridRow],32),0))/29.82</f>
        <v/>
      </c>
      <c r="AG83">
        <f>SUMPRODUCT((M_BOM[Part Name]=$A83)*M_BOM[RM_Qty_Per_Batch]*IFERROR(INDEX(PP_Grid[#Data],M_BOM[PPGridRow],33),0))/29.82</f>
        <v/>
      </c>
      <c r="AH83">
        <f>SUMPRODUCT((M_BOM[Part Name]=$A83)*M_BOM[RM_Qty_Per_Batch]*IFERROR(INDEX(PP_Grid[#Data],M_BOM[PPGridRow],34),0))/29.82</f>
        <v/>
      </c>
      <c r="AI83">
        <f>SUMPRODUCT((M_BOM[Part Name]=$A83)*M_BOM[RM_Qty_Per_Batch]*IFERROR(INDEX(PP_Grid[#Data],M_BOM[PPGridRow],35),0))/29.82</f>
        <v/>
      </c>
      <c r="AJ83">
        <f>SUMPRODUCT((M_BOM[Part Name]=$A83)*M_BOM[RM_Qty_Per_Batch]*IFERROR(INDEX(PP_Grid[#Data],M_BOM[PPGridRow],36),0))/29.82</f>
        <v/>
      </c>
      <c r="AK83">
        <f>SUMPRODUCT((M_BOM[Part Name]=$A83)*M_BOM[RM_Qty_Per_Batch]*IFERROR(INDEX(PP_Grid[#Data],M_BOM[PPGridRow],37),0))/29.82</f>
        <v/>
      </c>
      <c r="AL83">
        <f>SUMPRODUCT((M_BOM[Part Name]=$A83)*M_BOM[RM_Qty_Per_Batch]*IFERROR(INDEX(PP_Grid[#Data],M_BOM[PPGridRow],38),0))/29.82</f>
        <v/>
      </c>
      <c r="AM83">
        <f>SUMPRODUCT((M_BOM[Part Name]=$A83)*M_BOM[RM_Qty_Per_Batch]*IFERROR(INDEX(PP_Grid[#Data],M_BOM[PPGridRow],39),0))/29.82</f>
        <v/>
      </c>
      <c r="AN83">
        <f>SUMPRODUCT((M_BOM[Part Name]=$A83)*M_BOM[RM_Qty_Per_Batch]*IFERROR(INDEX(PP_Grid[#Data],M_BOM[PPGridRow],40),0))/29.82</f>
        <v/>
      </c>
      <c r="AO83">
        <f>SUMPRODUCT((M_BOM[Part Name]=$A83)*M_BOM[RM_Qty_Per_Batch]*IFERROR(INDEX(PP_Grid[#Data],M_BOM[PPGridRow],41),0))/29.82</f>
        <v/>
      </c>
      <c r="AP83">
        <f>SUMPRODUCT((M_BOM[Part Name]=$A83)*M_BOM[RM_Qty_Per_Batch]*IFERROR(INDEX(PP_Grid[#Data],M_BOM[PPGridRow],42),0))/29.82</f>
        <v/>
      </c>
      <c r="AQ83">
        <f>SUMPRODUCT((M_BOM[Part Name]=$A83)*M_BOM[RM_Qty_Per_Batch]*IFERROR(INDEX(PP_Grid[#Data],M_BOM[PPGridRow],43),0))/29.82</f>
        <v/>
      </c>
      <c r="AR83">
        <f>SUMPRODUCT((M_BOM[Part Name]=$A83)*M_BOM[RM_Qty_Per_Batch]*IFERROR(INDEX(PP_Grid[#Data],M_BOM[PPGridRow],44),0))/29.82</f>
        <v/>
      </c>
      <c r="AS83">
        <f>SUMPRODUCT((M_BOM[Part Name]=$A83)*M_BOM[RM_Qty_Per_Batch]*IFERROR(INDEX(PP_Grid[#Data],M_BOM[PPGridRow],45),0))/29.82</f>
        <v/>
      </c>
      <c r="AT83">
        <f>SUMPRODUCT((M_BOM[Part Name]=$A83)*M_BOM[RM_Qty_Per_Batch]*IFERROR(INDEX(PP_Grid[#Data],M_BOM[PPGridRow],46),0))/29.82</f>
        <v/>
      </c>
      <c r="AU83">
        <f>SUMPRODUCT((M_BOM[Part Name]=$A83)*M_BOM[RM_Qty_Per_Batch]*IFERROR(INDEX(PP_Grid[#Data],M_BOM[PPGridRow],47),0))/29.82</f>
        <v/>
      </c>
      <c r="AV83">
        <f>SUMPRODUCT((M_BOM[Part Name]=$A83)*M_BOM[RM_Qty_Per_Batch]*IFERROR(INDEX(PP_Grid[#Data],M_BOM[PPGridRow],48),0))/29.82</f>
        <v/>
      </c>
      <c r="AW83">
        <f>SUMPRODUCT((M_BOM[Part Name]=$A83)*M_BOM[RM_Qty_Per_Batch]*IFERROR(INDEX(PP_Grid[#Data],M_BOM[PPGridRow],49),0))/29.82</f>
        <v/>
      </c>
      <c r="AX83">
        <f>SUMPRODUCT((M_BOM[Part Name]=$A83)*M_BOM[RM_Qty_Per_Batch]*IFERROR(INDEX(PP_Grid[#Data],M_BOM[PPGridRow],50),0))/29.82</f>
        <v/>
      </c>
      <c r="AY83">
        <f>SUMPRODUCT((M_BOM[Part Name]=$A83)*M_BOM[RM_Qty_Per_Batch]*IFERROR(INDEX(PP_Grid[#Data],M_BOM[PPGridRow],51),0))/29.82</f>
        <v/>
      </c>
      <c r="AZ83">
        <f>SUMPRODUCT((M_BOM[Part Name]=$A83)*M_BOM[RM_Qty_Per_Batch]*IFERROR(INDEX(PP_Grid[#Data],M_BOM[PPGridRow],52),0))/29.82</f>
        <v/>
      </c>
      <c r="BA83">
        <f>SUMPRODUCT((M_BOM[Part Name]=$A83)*M_BOM[RM_Qty_Per_Batch]*IFERROR(INDEX(PP_Grid[#Data],M_BOM[PPGridRow],53),0))/29.82</f>
        <v/>
      </c>
      <c r="BB83">
        <f>SUMPRODUCT((M_BOM[Part Name]=$A83)*M_BOM[RM_Qty_Per_Batch]*IFERROR(INDEX(PP_Grid[#Data],M_BOM[PPGridRow],54),0))/29.82</f>
        <v/>
      </c>
      <c r="BC83">
        <f>SUMPRODUCT((M_BOM[Part Name]=$A83)*M_BOM[RM_Qty_Per_Batch]*IFERROR(INDEX(PP_Grid[#Data],M_BOM[PPGridRow],55),0))/29.82</f>
        <v/>
      </c>
      <c r="BD83">
        <f>SUMPRODUCT((M_BOM[Part Name]=$A83)*M_BOM[RM_Qty_Per_Batch]*IFERROR(INDEX(PP_Grid[#Data],M_BOM[PPGridRow],56),0))/29.82</f>
        <v/>
      </c>
      <c r="BE83">
        <f>SUMPRODUCT((M_BOM[Part Name]=$A83)*M_BOM[RM_Qty_Per_Batch]*IFERROR(INDEX(PP_Grid[#Data],M_BOM[PPGridRow],57),0))/29.82</f>
        <v/>
      </c>
      <c r="BF83">
        <f>SUMPRODUCT((M_BOM[Part Name]=$A83)*M_BOM[RM_Qty_Per_Batch]*IFERROR(INDEX(PP_Grid[#Data],M_BOM[PPGridRow],58),0))/29.82</f>
        <v/>
      </c>
      <c r="BG83">
        <f>SUMPRODUCT((M_BOM[Part Name]=$A83)*M_BOM[RM_Qty_Per_Batch]*IFERROR(INDEX(PP_Grid[#Data],M_BOM[PPGridRow],59),0))/29.82</f>
        <v/>
      </c>
      <c r="BH83">
        <f>SUMPRODUCT((M_BOM[Part Name]=$A83)*M_BOM[RM_Qty_Per_Batch]*IFERROR(INDEX(PP_Grid[#Data],M_BOM[PPGridRow],60),0))/29.82</f>
        <v/>
      </c>
      <c r="BI83">
        <f>SUMPRODUCT((M_BOM[Part Name]=$A83)*M_BOM[RM_Qty_Per_Batch]*IFERROR(INDEX(PP_Grid[#Data],M_BOM[PPGridRow],61),0))/29.82</f>
        <v/>
      </c>
      <c r="BJ83">
        <f>SUMPRODUCT((M_BOM[Part Name]=$A83)*M_BOM[RM_Qty_Per_Batch]*IFERROR(INDEX(PP_Grid[#Data],M_BOM[PPGridRow],62),0))/29.82</f>
        <v/>
      </c>
      <c r="BK83">
        <f>SUMPRODUCT((M_BOM[Part Name]=$A83)*M_BOM[RM_Qty_Per_Batch]*IFERROR(INDEX(PP_Grid[#Data],M_BOM[PPGridRow],63),0))/29.82</f>
        <v/>
      </c>
      <c r="BL83">
        <f>SUMPRODUCT((M_BOM[Part Name]=$A83)*M_BOM[RM_Qty_Per_Batch]*IFERROR(INDEX(PP_Grid[#Data],M_BOM[PPGridRow],64),0))/29.82</f>
        <v/>
      </c>
      <c r="BM83">
        <f>SUMPRODUCT((M_BOM[Part Name]=$A83)*M_BOM[RM_Qty_Per_Batch]*IFERROR(INDEX(PP_Grid[#Data],M_BOM[PPGridRow],65),0))/29.82</f>
        <v/>
      </c>
      <c r="BN83">
        <f>SUMPRODUCT((M_BOM[Part Name]=$A83)*M_BOM[RM_Qty_Per_Batch]*IFERROR(INDEX(PP_Grid[#Data],M_BOM[PPGridRow],66),0))/29.82</f>
        <v/>
      </c>
      <c r="BO83">
        <f>SUMPRODUCT((M_BOM[Part Name]=$A83)*M_BOM[RM_Qty_Per_Batch]*IFERROR(INDEX(PP_Grid[#Data],M_BOM[PPGridRow],67),0))/29.82</f>
        <v/>
      </c>
      <c r="BP83">
        <f>SUMPRODUCT((M_BOM[Part Name]=$A83)*M_BOM[RM_Qty_Per_Batch]*IFERROR(INDEX(PP_Grid[#Data],M_BOM[PPGridRow],68),0))/29.82</f>
        <v/>
      </c>
      <c r="BQ83">
        <f>SUMPRODUCT((M_BOM[Part Name]=$A83)*M_BOM[RM_Qty_Per_Batch]*IFERROR(INDEX(PP_Grid[#Data],M_BOM[PPGridRow],69),0))/29.82</f>
        <v/>
      </c>
      <c r="BR83">
        <f>SUMPRODUCT((M_BOM[Part Name]=$A83)*M_BOM[RM_Qty_Per_Batch]*IFERROR(INDEX(PP_Grid[#Data],M_BOM[PPGridRow],70),0))/29.82</f>
        <v/>
      </c>
      <c r="BS83">
        <f>SUMPRODUCT((M_BOM[Part Name]=$A83)*M_BOM[RM_Qty_Per_Batch]*IFERROR(INDEX(PP_Grid[#Data],M_BOM[PPGridRow],71),0))/29.82</f>
        <v/>
      </c>
      <c r="BT83">
        <f>SUMPRODUCT((M_BOM[Part Name]=$A83)*M_BOM[RM_Qty_Per_Batch]*IFERROR(INDEX(PP_Grid[#Data],M_BOM[PPGridRow],72),0))/29.82</f>
        <v/>
      </c>
      <c r="BU83">
        <f>SUMPRODUCT((M_BOM[Part Name]=$A83)*M_BOM[RM_Qty_Per_Batch]*IFERROR(INDEX(PP_Grid[#Data],M_BOM[PPGridRow],73),0))/29.82</f>
        <v/>
      </c>
      <c r="BV83">
        <f>SUMPRODUCT((M_BOM[Part Name]=$A83)*M_BOM[RM_Qty_Per_Batch]*IFERROR(INDEX(PP_Grid[#Data],M_BOM[PPGridRow],74),0))/29.82</f>
        <v/>
      </c>
      <c r="BW83">
        <f>SUMPRODUCT((M_BOM[Part Name]=$A83)*M_BOM[RM_Qty_Per_Batch]*IFERROR(INDEX(PP_Grid[#Data],M_BOM[PPGridRow],75),0))/29.82</f>
        <v/>
      </c>
      <c r="BX83">
        <f>SUMPRODUCT((M_BOM[Part Name]=$A83)*M_BOM[RM_Qty_Per_Batch]*IFERROR(INDEX(PP_Grid[#Data],M_BOM[PPGridRow],76),0))/29.82</f>
        <v/>
      </c>
      <c r="BY83">
        <f>SUMPRODUCT((M_BOM[Part Name]=$A83)*M_BOM[RM_Qty_Per_Batch]*IFERROR(INDEX(PP_Grid[#Data],M_BOM[PPGridRow],77),0))/29.82</f>
        <v/>
      </c>
      <c r="BZ83">
        <f>SUMPRODUCT((M_BOM[Part Name]=$A83)*M_BOM[RM_Qty_Per_Batch]*IFERROR(INDEX(PP_Grid[#Data],M_BOM[PPGridRow],78),0))/29.82</f>
        <v/>
      </c>
      <c r="CA83">
        <f>SUMPRODUCT((M_BOM[Part Name]=$A83)*M_BOM[RM_Qty_Per_Batch]*IFERROR(INDEX(PP_Grid[#Data],M_BOM[PPGridRow],79),0))/29.82</f>
        <v/>
      </c>
      <c r="CB83">
        <f>SUMPRODUCT((M_BOM[Part Name]=$A83)*M_BOM[RM_Qty_Per_Batch]*IFERROR(INDEX(PP_Grid[#Data],M_BOM[PPGridRow],80),0))/29.82</f>
        <v/>
      </c>
      <c r="CC83">
        <f>SUMPRODUCT((M_BOM[Part Name]=$A83)*M_BOM[RM_Qty_Per_Batch]*IFERROR(INDEX(PP_Grid[#Data],M_BOM[PPGridRow],81),0))/29.82</f>
        <v/>
      </c>
      <c r="CD83">
        <f>SUMPRODUCT((M_BOM[Part Name]=$A83)*M_BOM[RM_Qty_Per_Batch]*IFERROR(INDEX(PP_Grid[#Data],M_BOM[PPGridRow],82),0))/29.82</f>
        <v/>
      </c>
      <c r="CE83">
        <f>SUMPRODUCT((M_BOM[Part Name]=$A83)*M_BOM[RM_Qty_Per_Batch]*IFERROR(INDEX(PP_Grid[#Data],M_BOM[PPGridRow],83),0))/29.82</f>
        <v/>
      </c>
      <c r="CF83">
        <f>SUMPRODUCT((M_BOM[Part Name]=$A83)*M_BOM[RM_Qty_Per_Batch]*IFERROR(INDEX(PP_Grid[#Data],M_BOM[PPGridRow],84),0))/29.82</f>
        <v/>
      </c>
      <c r="CG83">
        <f>SUMPRODUCT((M_BOM[Part Name]=$A83)*M_BOM[RM_Qty_Per_Batch]*IFERROR(INDEX(PP_Grid[#Data],M_BOM[PPGridRow],85),0))/29.82</f>
        <v/>
      </c>
      <c r="CH83">
        <f>SUMPRODUCT((M_BOM[Part Name]=$A83)*M_BOM[RM_Qty_Per_Batch]*IFERROR(INDEX(PP_Grid[#Data],M_BOM[PPGridRow],86),0))/29.82</f>
        <v/>
      </c>
      <c r="CI83">
        <f>SUMPRODUCT((M_BOM[Part Name]=$A83)*M_BOM[RM_Qty_Per_Batch]*IFERROR(INDEX(PP_Grid[#Data],M_BOM[PPGridRow],87),0))/29.82</f>
        <v/>
      </c>
      <c r="CJ83">
        <f>SUMPRODUCT((M_BOM[Part Name]=$A83)*M_BOM[RM_Qty_Per_Batch]*IFERROR(INDEX(PP_Grid[#Data],M_BOM[PPGridRow],88),0))/29.82</f>
        <v/>
      </c>
      <c r="CK83">
        <f>SUMPRODUCT((M_BOM[Part Name]=$A83)*M_BOM[RM_Qty_Per_Batch]*IFERROR(INDEX(PP_Grid[#Data],M_BOM[PPGridRow],89),0))/29.82</f>
        <v/>
      </c>
      <c r="CL83">
        <f>SUMPRODUCT((M_BOM[Part Name]=$A83)*M_BOM[RM_Qty_Per_Batch]*IFERROR(INDEX(PP_Grid[#Data],M_BOM[PPGridRow],90),0))/29.82</f>
        <v/>
      </c>
      <c r="CM83">
        <f>SUMPRODUCT((M_BOM[Part Name]=$A83)*M_BOM[RM_Qty_Per_Batch]*IFERROR(INDEX(PP_Grid[#Data],M_BOM[PPGridRow],91),0))/29.82</f>
        <v/>
      </c>
      <c r="CN83">
        <f>SUMPRODUCT((M_BOM[Part Name]=$A83)*M_BOM[RM_Qty_Per_Batch]*IFERROR(INDEX(PP_Grid[#Data],M_BOM[PPGridRow],92),0))/29.82</f>
        <v/>
      </c>
      <c r="CO83">
        <f>SUMPRODUCT((M_BOM[Part Name]=$A83)*M_BOM[RM_Qty_Per_Batch]*IFERROR(INDEX(PP_Grid[#Data],M_BOM[PPGridRow],93),0))/29.82</f>
        <v/>
      </c>
      <c r="CP83">
        <f>SUMPRODUCT((M_BOM[Part Name]=$A83)*M_BOM[RM_Qty_Per_Batch]*IFERROR(INDEX(PP_Grid[#Data],M_BOM[PPGridRow],94),0))/29.82</f>
        <v/>
      </c>
      <c r="CQ83">
        <f>SUMPRODUCT((M_BOM[Part Name]=$A83)*M_BOM[RM_Qty_Per_Batch]*IFERROR(INDEX(PP_Grid[#Data],M_BOM[PPGridRow],95),0))/29.82</f>
        <v/>
      </c>
      <c r="CR83">
        <f>SUMPRODUCT((M_BOM[Part Name]=$A83)*M_BOM[RM_Qty_Per_Batch]*IFERROR(INDEX(PP_Grid[#Data],M_BOM[PPGridRow],96),0))/29.82</f>
        <v/>
      </c>
      <c r="CS83">
        <f>SUMPRODUCT((M_BOM[Part Name]=$A83)*M_BOM[RM_Qty_Per_Batch]*IFERROR(INDEX(PP_Grid[#Data],M_BOM[PPGridRow],97),0))/29.82</f>
        <v/>
      </c>
      <c r="CT83">
        <f>SUMPRODUCT((M_BOM[Part Name]=$A83)*M_BOM[RM_Qty_Per_Batch]*IFERROR(INDEX(PP_Grid[#Data],M_BOM[PPGridRow],98),0))/29.82</f>
        <v/>
      </c>
      <c r="CU83">
        <f>SUMPRODUCT((M_BOM[Part Name]=$A83)*M_BOM[RM_Qty_Per_Batch]*IFERROR(INDEX(PP_Grid[#Data],M_BOM[PPGridRow],99),0))/29.82</f>
        <v/>
      </c>
      <c r="CV83">
        <f>SUMPRODUCT((M_BOM[Part Name]=$A83)*M_BOM[RM_Qty_Per_Batch]*IFERROR(INDEX(PP_Grid[#Data],M_BOM[PPGridRow],100),0))/29.82</f>
        <v/>
      </c>
      <c r="CW83">
        <f>SUMPRODUCT((M_BOM[Part Name]=$A83)*M_BOM[RM_Qty_Per_Batch]*IFERROR(INDEX(PP_Grid[#Data],M_BOM[PPGridRow],101),0))/29.82</f>
        <v/>
      </c>
      <c r="CX83">
        <f>SUMPRODUCT((M_BOM[Part Name]=$A83)*M_BOM[RM_Qty_Per_Batch]*IFERROR(INDEX(PP_Grid[#Data],M_BOM[PPGridRow],102),0))/29.82</f>
        <v/>
      </c>
      <c r="CY83">
        <f>SUMPRODUCT((M_BOM[Part Name]=$A83)*M_BOM[RM_Qty_Per_Batch]*IFERROR(INDEX(PP_Grid[#Data],M_BOM[PPGridRow],103),0))/29.82</f>
        <v/>
      </c>
      <c r="CZ83">
        <f>SUMPRODUCT((M_BOM[Part Name]=$A83)*M_BOM[RM_Qty_Per_Batch]*IFERROR(INDEX(PP_Grid[#Data],M_BOM[PPGridRow],104),0))/29.82</f>
        <v/>
      </c>
      <c r="DA83">
        <f>SUMPRODUCT((M_BOM[Part Name]=$A83)*M_BOM[RM_Qty_Per_Batch]*IFERROR(INDEX(PP_Grid[#Data],M_BOM[PPGridRow],105),0))/29.82</f>
        <v/>
      </c>
    </row>
    <row r="84">
      <c r="A84" t="inlineStr">
        <is>
          <t>TPP-911</t>
        </is>
      </c>
      <c r="B84">
        <f>SUMPRODUCT((M_BOM[Part Name]=$A84)*M_BOM[RM_Qty_Per_Batch]*IFERROR(INDEX(PP_Grid[#Data],M_BOM[PPGridRow],2),0))/52.15</f>
        <v/>
      </c>
      <c r="C84">
        <f>SUMPRODUCT((M_BOM[Part Name]=$A84)*M_BOM[RM_Qty_Per_Batch]*IFERROR(INDEX(PP_Grid[#Data],M_BOM[PPGridRow],3),0))/52.15</f>
        <v/>
      </c>
      <c r="D84">
        <f>SUMPRODUCT((M_BOM[Part Name]=$A84)*M_BOM[RM_Qty_Per_Batch]*IFERROR(INDEX(PP_Grid[#Data],M_BOM[PPGridRow],4),0))/52.15</f>
        <v/>
      </c>
      <c r="E84">
        <f>SUMPRODUCT((M_BOM[Part Name]=$A84)*M_BOM[RM_Qty_Per_Batch]*IFERROR(INDEX(PP_Grid[#Data],M_BOM[PPGridRow],5),0))/52.15</f>
        <v/>
      </c>
      <c r="F84">
        <f>SUMPRODUCT((M_BOM[Part Name]=$A84)*M_BOM[RM_Qty_Per_Batch]*IFERROR(INDEX(PP_Grid[#Data],M_BOM[PPGridRow],6),0))/52.15</f>
        <v/>
      </c>
      <c r="G84">
        <f>SUMPRODUCT((M_BOM[Part Name]=$A84)*M_BOM[RM_Qty_Per_Batch]*IFERROR(INDEX(PP_Grid[#Data],M_BOM[PPGridRow],7),0))/52.15</f>
        <v/>
      </c>
      <c r="H84">
        <f>SUMPRODUCT((M_BOM[Part Name]=$A84)*M_BOM[RM_Qty_Per_Batch]*IFERROR(INDEX(PP_Grid[#Data],M_BOM[PPGridRow],8),0))/52.15</f>
        <v/>
      </c>
      <c r="I84">
        <f>SUMPRODUCT((M_BOM[Part Name]=$A84)*M_BOM[RM_Qty_Per_Batch]*IFERROR(INDEX(PP_Grid[#Data],M_BOM[PPGridRow],9),0))/52.15</f>
        <v/>
      </c>
      <c r="J84">
        <f>SUMPRODUCT((M_BOM[Part Name]=$A84)*M_BOM[RM_Qty_Per_Batch]*IFERROR(INDEX(PP_Grid[#Data],M_BOM[PPGridRow],10),0))/52.15</f>
        <v/>
      </c>
      <c r="K84">
        <f>SUMPRODUCT((M_BOM[Part Name]=$A84)*M_BOM[RM_Qty_Per_Batch]*IFERROR(INDEX(PP_Grid[#Data],M_BOM[PPGridRow],11),0))/52.15</f>
        <v/>
      </c>
      <c r="L84">
        <f>SUMPRODUCT((M_BOM[Part Name]=$A84)*M_BOM[RM_Qty_Per_Batch]*IFERROR(INDEX(PP_Grid[#Data],M_BOM[PPGridRow],12),0))/52.15</f>
        <v/>
      </c>
      <c r="M84">
        <f>SUMPRODUCT((M_BOM[Part Name]=$A84)*M_BOM[RM_Qty_Per_Batch]*IFERROR(INDEX(PP_Grid[#Data],M_BOM[PPGridRow],13),0))/52.15</f>
        <v/>
      </c>
      <c r="N84">
        <f>SUMPRODUCT((M_BOM[Part Name]=$A84)*M_BOM[RM_Qty_Per_Batch]*IFERROR(INDEX(PP_Grid[#Data],M_BOM[PPGridRow],14),0))/52.15</f>
        <v/>
      </c>
      <c r="O84">
        <f>SUMPRODUCT((M_BOM[Part Name]=$A84)*M_BOM[RM_Qty_Per_Batch]*IFERROR(INDEX(PP_Grid[#Data],M_BOM[PPGridRow],15),0))/52.15</f>
        <v/>
      </c>
      <c r="P84">
        <f>SUMPRODUCT((M_BOM[Part Name]=$A84)*M_BOM[RM_Qty_Per_Batch]*IFERROR(INDEX(PP_Grid[#Data],M_BOM[PPGridRow],16),0))/52.15</f>
        <v/>
      </c>
      <c r="Q84">
        <f>SUMPRODUCT((M_BOM[Part Name]=$A84)*M_BOM[RM_Qty_Per_Batch]*IFERROR(INDEX(PP_Grid[#Data],M_BOM[PPGridRow],17),0))/52.15</f>
        <v/>
      </c>
      <c r="R84">
        <f>SUMPRODUCT((M_BOM[Part Name]=$A84)*M_BOM[RM_Qty_Per_Batch]*IFERROR(INDEX(PP_Grid[#Data],M_BOM[PPGridRow],18),0))/52.15</f>
        <v/>
      </c>
      <c r="S84">
        <f>SUMPRODUCT((M_BOM[Part Name]=$A84)*M_BOM[RM_Qty_Per_Batch]*IFERROR(INDEX(PP_Grid[#Data],M_BOM[PPGridRow],19),0))/52.15</f>
        <v/>
      </c>
      <c r="T84">
        <f>SUMPRODUCT((M_BOM[Part Name]=$A84)*M_BOM[RM_Qty_Per_Batch]*IFERROR(INDEX(PP_Grid[#Data],M_BOM[PPGridRow],20),0))/52.15</f>
        <v/>
      </c>
      <c r="U84">
        <f>SUMPRODUCT((M_BOM[Part Name]=$A84)*M_BOM[RM_Qty_Per_Batch]*IFERROR(INDEX(PP_Grid[#Data],M_BOM[PPGridRow],21),0))/52.15</f>
        <v/>
      </c>
      <c r="V84">
        <f>SUMPRODUCT((M_BOM[Part Name]=$A84)*M_BOM[RM_Qty_Per_Batch]*IFERROR(INDEX(PP_Grid[#Data],M_BOM[PPGridRow],22),0))/52.15</f>
        <v/>
      </c>
      <c r="W84">
        <f>SUMPRODUCT((M_BOM[Part Name]=$A84)*M_BOM[RM_Qty_Per_Batch]*IFERROR(INDEX(PP_Grid[#Data],M_BOM[PPGridRow],23),0))/52.15</f>
        <v/>
      </c>
      <c r="X84">
        <f>SUMPRODUCT((M_BOM[Part Name]=$A84)*M_BOM[RM_Qty_Per_Batch]*IFERROR(INDEX(PP_Grid[#Data],M_BOM[PPGridRow],24),0))/52.15</f>
        <v/>
      </c>
      <c r="Y84">
        <f>SUMPRODUCT((M_BOM[Part Name]=$A84)*M_BOM[RM_Qty_Per_Batch]*IFERROR(INDEX(PP_Grid[#Data],M_BOM[PPGridRow],25),0))/52.15</f>
        <v/>
      </c>
      <c r="Z84">
        <f>SUMPRODUCT((M_BOM[Part Name]=$A84)*M_BOM[RM_Qty_Per_Batch]*IFERROR(INDEX(PP_Grid[#Data],M_BOM[PPGridRow],26),0))/52.15</f>
        <v/>
      </c>
      <c r="AA84">
        <f>SUMPRODUCT((M_BOM[Part Name]=$A84)*M_BOM[RM_Qty_Per_Batch]*IFERROR(INDEX(PP_Grid[#Data],M_BOM[PPGridRow],27),0))/52.15</f>
        <v/>
      </c>
      <c r="AB84">
        <f>SUMPRODUCT((M_BOM[Part Name]=$A84)*M_BOM[RM_Qty_Per_Batch]*IFERROR(INDEX(PP_Grid[#Data],M_BOM[PPGridRow],28),0))/52.15</f>
        <v/>
      </c>
      <c r="AC84">
        <f>SUMPRODUCT((M_BOM[Part Name]=$A84)*M_BOM[RM_Qty_Per_Batch]*IFERROR(INDEX(PP_Grid[#Data],M_BOM[PPGridRow],29),0))/52.15</f>
        <v/>
      </c>
      <c r="AD84">
        <f>SUMPRODUCT((M_BOM[Part Name]=$A84)*M_BOM[RM_Qty_Per_Batch]*IFERROR(INDEX(PP_Grid[#Data],M_BOM[PPGridRow],30),0))/52.15</f>
        <v/>
      </c>
      <c r="AE84">
        <f>SUMPRODUCT((M_BOM[Part Name]=$A84)*M_BOM[RM_Qty_Per_Batch]*IFERROR(INDEX(PP_Grid[#Data],M_BOM[PPGridRow],31),0))/52.15</f>
        <v/>
      </c>
      <c r="AF84">
        <f>SUMPRODUCT((M_BOM[Part Name]=$A84)*M_BOM[RM_Qty_Per_Batch]*IFERROR(INDEX(PP_Grid[#Data],M_BOM[PPGridRow],32),0))/52.15</f>
        <v/>
      </c>
      <c r="AG84">
        <f>SUMPRODUCT((M_BOM[Part Name]=$A84)*M_BOM[RM_Qty_Per_Batch]*IFERROR(INDEX(PP_Grid[#Data],M_BOM[PPGridRow],33),0))/52.15</f>
        <v/>
      </c>
      <c r="AH84">
        <f>SUMPRODUCT((M_BOM[Part Name]=$A84)*M_BOM[RM_Qty_Per_Batch]*IFERROR(INDEX(PP_Grid[#Data],M_BOM[PPGridRow],34),0))/52.15</f>
        <v/>
      </c>
      <c r="AI84">
        <f>SUMPRODUCT((M_BOM[Part Name]=$A84)*M_BOM[RM_Qty_Per_Batch]*IFERROR(INDEX(PP_Grid[#Data],M_BOM[PPGridRow],35),0))/52.15</f>
        <v/>
      </c>
      <c r="AJ84">
        <f>SUMPRODUCT((M_BOM[Part Name]=$A84)*M_BOM[RM_Qty_Per_Batch]*IFERROR(INDEX(PP_Grid[#Data],M_BOM[PPGridRow],36),0))/52.15</f>
        <v/>
      </c>
      <c r="AK84">
        <f>SUMPRODUCT((M_BOM[Part Name]=$A84)*M_BOM[RM_Qty_Per_Batch]*IFERROR(INDEX(PP_Grid[#Data],M_BOM[PPGridRow],37),0))/52.15</f>
        <v/>
      </c>
      <c r="AL84">
        <f>SUMPRODUCT((M_BOM[Part Name]=$A84)*M_BOM[RM_Qty_Per_Batch]*IFERROR(INDEX(PP_Grid[#Data],M_BOM[PPGridRow],38),0))/52.15</f>
        <v/>
      </c>
      <c r="AM84">
        <f>SUMPRODUCT((M_BOM[Part Name]=$A84)*M_BOM[RM_Qty_Per_Batch]*IFERROR(INDEX(PP_Grid[#Data],M_BOM[PPGridRow],39),0))/52.15</f>
        <v/>
      </c>
      <c r="AN84">
        <f>SUMPRODUCT((M_BOM[Part Name]=$A84)*M_BOM[RM_Qty_Per_Batch]*IFERROR(INDEX(PP_Grid[#Data],M_BOM[PPGridRow],40),0))/52.15</f>
        <v/>
      </c>
      <c r="AO84">
        <f>SUMPRODUCT((M_BOM[Part Name]=$A84)*M_BOM[RM_Qty_Per_Batch]*IFERROR(INDEX(PP_Grid[#Data],M_BOM[PPGridRow],41),0))/52.15</f>
        <v/>
      </c>
      <c r="AP84">
        <f>SUMPRODUCT((M_BOM[Part Name]=$A84)*M_BOM[RM_Qty_Per_Batch]*IFERROR(INDEX(PP_Grid[#Data],M_BOM[PPGridRow],42),0))/52.15</f>
        <v/>
      </c>
      <c r="AQ84">
        <f>SUMPRODUCT((M_BOM[Part Name]=$A84)*M_BOM[RM_Qty_Per_Batch]*IFERROR(INDEX(PP_Grid[#Data],M_BOM[PPGridRow],43),0))/52.15</f>
        <v/>
      </c>
      <c r="AR84">
        <f>SUMPRODUCT((M_BOM[Part Name]=$A84)*M_BOM[RM_Qty_Per_Batch]*IFERROR(INDEX(PP_Grid[#Data],M_BOM[PPGridRow],44),0))/52.15</f>
        <v/>
      </c>
      <c r="AS84">
        <f>SUMPRODUCT((M_BOM[Part Name]=$A84)*M_BOM[RM_Qty_Per_Batch]*IFERROR(INDEX(PP_Grid[#Data],M_BOM[PPGridRow],45),0))/52.15</f>
        <v/>
      </c>
      <c r="AT84">
        <f>SUMPRODUCT((M_BOM[Part Name]=$A84)*M_BOM[RM_Qty_Per_Batch]*IFERROR(INDEX(PP_Grid[#Data],M_BOM[PPGridRow],46),0))/52.15</f>
        <v/>
      </c>
      <c r="AU84">
        <f>SUMPRODUCT((M_BOM[Part Name]=$A84)*M_BOM[RM_Qty_Per_Batch]*IFERROR(INDEX(PP_Grid[#Data],M_BOM[PPGridRow],47),0))/52.15</f>
        <v/>
      </c>
      <c r="AV84">
        <f>SUMPRODUCT((M_BOM[Part Name]=$A84)*M_BOM[RM_Qty_Per_Batch]*IFERROR(INDEX(PP_Grid[#Data],M_BOM[PPGridRow],48),0))/52.15</f>
        <v/>
      </c>
      <c r="AW84">
        <f>SUMPRODUCT((M_BOM[Part Name]=$A84)*M_BOM[RM_Qty_Per_Batch]*IFERROR(INDEX(PP_Grid[#Data],M_BOM[PPGridRow],49),0))/52.15</f>
        <v/>
      </c>
      <c r="AX84">
        <f>SUMPRODUCT((M_BOM[Part Name]=$A84)*M_BOM[RM_Qty_Per_Batch]*IFERROR(INDEX(PP_Grid[#Data],M_BOM[PPGridRow],50),0))/52.15</f>
        <v/>
      </c>
      <c r="AY84">
        <f>SUMPRODUCT((M_BOM[Part Name]=$A84)*M_BOM[RM_Qty_Per_Batch]*IFERROR(INDEX(PP_Grid[#Data],M_BOM[PPGridRow],51),0))/52.15</f>
        <v/>
      </c>
      <c r="AZ84">
        <f>SUMPRODUCT((M_BOM[Part Name]=$A84)*M_BOM[RM_Qty_Per_Batch]*IFERROR(INDEX(PP_Grid[#Data],M_BOM[PPGridRow],52),0))/52.15</f>
        <v/>
      </c>
      <c r="BA84">
        <f>SUMPRODUCT((M_BOM[Part Name]=$A84)*M_BOM[RM_Qty_Per_Batch]*IFERROR(INDEX(PP_Grid[#Data],M_BOM[PPGridRow],53),0))/52.15</f>
        <v/>
      </c>
      <c r="BB84">
        <f>SUMPRODUCT((M_BOM[Part Name]=$A84)*M_BOM[RM_Qty_Per_Batch]*IFERROR(INDEX(PP_Grid[#Data],M_BOM[PPGridRow],54),0))/52.15</f>
        <v/>
      </c>
      <c r="BC84">
        <f>SUMPRODUCT((M_BOM[Part Name]=$A84)*M_BOM[RM_Qty_Per_Batch]*IFERROR(INDEX(PP_Grid[#Data],M_BOM[PPGridRow],55),0))/52.15</f>
        <v/>
      </c>
      <c r="BD84">
        <f>SUMPRODUCT((M_BOM[Part Name]=$A84)*M_BOM[RM_Qty_Per_Batch]*IFERROR(INDEX(PP_Grid[#Data],M_BOM[PPGridRow],56),0))/52.15</f>
        <v/>
      </c>
      <c r="BE84">
        <f>SUMPRODUCT((M_BOM[Part Name]=$A84)*M_BOM[RM_Qty_Per_Batch]*IFERROR(INDEX(PP_Grid[#Data],M_BOM[PPGridRow],57),0))/52.15</f>
        <v/>
      </c>
      <c r="BF84">
        <f>SUMPRODUCT((M_BOM[Part Name]=$A84)*M_BOM[RM_Qty_Per_Batch]*IFERROR(INDEX(PP_Grid[#Data],M_BOM[PPGridRow],58),0))/52.15</f>
        <v/>
      </c>
      <c r="BG84">
        <f>SUMPRODUCT((M_BOM[Part Name]=$A84)*M_BOM[RM_Qty_Per_Batch]*IFERROR(INDEX(PP_Grid[#Data],M_BOM[PPGridRow],59),0))/52.15</f>
        <v/>
      </c>
      <c r="BH84">
        <f>SUMPRODUCT((M_BOM[Part Name]=$A84)*M_BOM[RM_Qty_Per_Batch]*IFERROR(INDEX(PP_Grid[#Data],M_BOM[PPGridRow],60),0))/52.15</f>
        <v/>
      </c>
      <c r="BI84">
        <f>SUMPRODUCT((M_BOM[Part Name]=$A84)*M_BOM[RM_Qty_Per_Batch]*IFERROR(INDEX(PP_Grid[#Data],M_BOM[PPGridRow],61),0))/52.15</f>
        <v/>
      </c>
      <c r="BJ84">
        <f>SUMPRODUCT((M_BOM[Part Name]=$A84)*M_BOM[RM_Qty_Per_Batch]*IFERROR(INDEX(PP_Grid[#Data],M_BOM[PPGridRow],62),0))/52.15</f>
        <v/>
      </c>
      <c r="BK84">
        <f>SUMPRODUCT((M_BOM[Part Name]=$A84)*M_BOM[RM_Qty_Per_Batch]*IFERROR(INDEX(PP_Grid[#Data],M_BOM[PPGridRow],63),0))/52.15</f>
        <v/>
      </c>
      <c r="BL84">
        <f>SUMPRODUCT((M_BOM[Part Name]=$A84)*M_BOM[RM_Qty_Per_Batch]*IFERROR(INDEX(PP_Grid[#Data],M_BOM[PPGridRow],64),0))/52.15</f>
        <v/>
      </c>
      <c r="BM84">
        <f>SUMPRODUCT((M_BOM[Part Name]=$A84)*M_BOM[RM_Qty_Per_Batch]*IFERROR(INDEX(PP_Grid[#Data],M_BOM[PPGridRow],65),0))/52.15</f>
        <v/>
      </c>
      <c r="BN84">
        <f>SUMPRODUCT((M_BOM[Part Name]=$A84)*M_BOM[RM_Qty_Per_Batch]*IFERROR(INDEX(PP_Grid[#Data],M_BOM[PPGridRow],66),0))/52.15</f>
        <v/>
      </c>
      <c r="BO84">
        <f>SUMPRODUCT((M_BOM[Part Name]=$A84)*M_BOM[RM_Qty_Per_Batch]*IFERROR(INDEX(PP_Grid[#Data],M_BOM[PPGridRow],67),0))/52.15</f>
        <v/>
      </c>
      <c r="BP84">
        <f>SUMPRODUCT((M_BOM[Part Name]=$A84)*M_BOM[RM_Qty_Per_Batch]*IFERROR(INDEX(PP_Grid[#Data],M_BOM[PPGridRow],68),0))/52.15</f>
        <v/>
      </c>
      <c r="BQ84">
        <f>SUMPRODUCT((M_BOM[Part Name]=$A84)*M_BOM[RM_Qty_Per_Batch]*IFERROR(INDEX(PP_Grid[#Data],M_BOM[PPGridRow],69),0))/52.15</f>
        <v/>
      </c>
      <c r="BR84">
        <f>SUMPRODUCT((M_BOM[Part Name]=$A84)*M_BOM[RM_Qty_Per_Batch]*IFERROR(INDEX(PP_Grid[#Data],M_BOM[PPGridRow],70),0))/52.15</f>
        <v/>
      </c>
      <c r="BS84">
        <f>SUMPRODUCT((M_BOM[Part Name]=$A84)*M_BOM[RM_Qty_Per_Batch]*IFERROR(INDEX(PP_Grid[#Data],M_BOM[PPGridRow],71),0))/52.15</f>
        <v/>
      </c>
      <c r="BT84">
        <f>SUMPRODUCT((M_BOM[Part Name]=$A84)*M_BOM[RM_Qty_Per_Batch]*IFERROR(INDEX(PP_Grid[#Data],M_BOM[PPGridRow],72),0))/52.15</f>
        <v/>
      </c>
      <c r="BU84">
        <f>SUMPRODUCT((M_BOM[Part Name]=$A84)*M_BOM[RM_Qty_Per_Batch]*IFERROR(INDEX(PP_Grid[#Data],M_BOM[PPGridRow],73),0))/52.15</f>
        <v/>
      </c>
      <c r="BV84">
        <f>SUMPRODUCT((M_BOM[Part Name]=$A84)*M_BOM[RM_Qty_Per_Batch]*IFERROR(INDEX(PP_Grid[#Data],M_BOM[PPGridRow],74),0))/52.15</f>
        <v/>
      </c>
      <c r="BW84">
        <f>SUMPRODUCT((M_BOM[Part Name]=$A84)*M_BOM[RM_Qty_Per_Batch]*IFERROR(INDEX(PP_Grid[#Data],M_BOM[PPGridRow],75),0))/52.15</f>
        <v/>
      </c>
      <c r="BX84">
        <f>SUMPRODUCT((M_BOM[Part Name]=$A84)*M_BOM[RM_Qty_Per_Batch]*IFERROR(INDEX(PP_Grid[#Data],M_BOM[PPGridRow],76),0))/52.15</f>
        <v/>
      </c>
      <c r="BY84">
        <f>SUMPRODUCT((M_BOM[Part Name]=$A84)*M_BOM[RM_Qty_Per_Batch]*IFERROR(INDEX(PP_Grid[#Data],M_BOM[PPGridRow],77),0))/52.15</f>
        <v/>
      </c>
      <c r="BZ84">
        <f>SUMPRODUCT((M_BOM[Part Name]=$A84)*M_BOM[RM_Qty_Per_Batch]*IFERROR(INDEX(PP_Grid[#Data],M_BOM[PPGridRow],78),0))/52.15</f>
        <v/>
      </c>
      <c r="CA84">
        <f>SUMPRODUCT((M_BOM[Part Name]=$A84)*M_BOM[RM_Qty_Per_Batch]*IFERROR(INDEX(PP_Grid[#Data],M_BOM[PPGridRow],79),0))/52.15</f>
        <v/>
      </c>
      <c r="CB84">
        <f>SUMPRODUCT((M_BOM[Part Name]=$A84)*M_BOM[RM_Qty_Per_Batch]*IFERROR(INDEX(PP_Grid[#Data],M_BOM[PPGridRow],80),0))/52.15</f>
        <v/>
      </c>
      <c r="CC84">
        <f>SUMPRODUCT((M_BOM[Part Name]=$A84)*M_BOM[RM_Qty_Per_Batch]*IFERROR(INDEX(PP_Grid[#Data],M_BOM[PPGridRow],81),0))/52.15</f>
        <v/>
      </c>
      <c r="CD84">
        <f>SUMPRODUCT((M_BOM[Part Name]=$A84)*M_BOM[RM_Qty_Per_Batch]*IFERROR(INDEX(PP_Grid[#Data],M_BOM[PPGridRow],82),0))/52.15</f>
        <v/>
      </c>
      <c r="CE84">
        <f>SUMPRODUCT((M_BOM[Part Name]=$A84)*M_BOM[RM_Qty_Per_Batch]*IFERROR(INDEX(PP_Grid[#Data],M_BOM[PPGridRow],83),0))/52.15</f>
        <v/>
      </c>
      <c r="CF84">
        <f>SUMPRODUCT((M_BOM[Part Name]=$A84)*M_BOM[RM_Qty_Per_Batch]*IFERROR(INDEX(PP_Grid[#Data],M_BOM[PPGridRow],84),0))/52.15</f>
        <v/>
      </c>
      <c r="CG84">
        <f>SUMPRODUCT((M_BOM[Part Name]=$A84)*M_BOM[RM_Qty_Per_Batch]*IFERROR(INDEX(PP_Grid[#Data],M_BOM[PPGridRow],85),0))/52.15</f>
        <v/>
      </c>
      <c r="CH84">
        <f>SUMPRODUCT((M_BOM[Part Name]=$A84)*M_BOM[RM_Qty_Per_Batch]*IFERROR(INDEX(PP_Grid[#Data],M_BOM[PPGridRow],86),0))/52.15</f>
        <v/>
      </c>
      <c r="CI84">
        <f>SUMPRODUCT((M_BOM[Part Name]=$A84)*M_BOM[RM_Qty_Per_Batch]*IFERROR(INDEX(PP_Grid[#Data],M_BOM[PPGridRow],87),0))/52.15</f>
        <v/>
      </c>
      <c r="CJ84">
        <f>SUMPRODUCT((M_BOM[Part Name]=$A84)*M_BOM[RM_Qty_Per_Batch]*IFERROR(INDEX(PP_Grid[#Data],M_BOM[PPGridRow],88),0))/52.15</f>
        <v/>
      </c>
      <c r="CK84">
        <f>SUMPRODUCT((M_BOM[Part Name]=$A84)*M_BOM[RM_Qty_Per_Batch]*IFERROR(INDEX(PP_Grid[#Data],M_BOM[PPGridRow],89),0))/52.15</f>
        <v/>
      </c>
      <c r="CL84">
        <f>SUMPRODUCT((M_BOM[Part Name]=$A84)*M_BOM[RM_Qty_Per_Batch]*IFERROR(INDEX(PP_Grid[#Data],M_BOM[PPGridRow],90),0))/52.15</f>
        <v/>
      </c>
      <c r="CM84">
        <f>SUMPRODUCT((M_BOM[Part Name]=$A84)*M_BOM[RM_Qty_Per_Batch]*IFERROR(INDEX(PP_Grid[#Data],M_BOM[PPGridRow],91),0))/52.15</f>
        <v/>
      </c>
      <c r="CN84">
        <f>SUMPRODUCT((M_BOM[Part Name]=$A84)*M_BOM[RM_Qty_Per_Batch]*IFERROR(INDEX(PP_Grid[#Data],M_BOM[PPGridRow],92),0))/52.15</f>
        <v/>
      </c>
      <c r="CO84">
        <f>SUMPRODUCT((M_BOM[Part Name]=$A84)*M_BOM[RM_Qty_Per_Batch]*IFERROR(INDEX(PP_Grid[#Data],M_BOM[PPGridRow],93),0))/52.15</f>
        <v/>
      </c>
      <c r="CP84">
        <f>SUMPRODUCT((M_BOM[Part Name]=$A84)*M_BOM[RM_Qty_Per_Batch]*IFERROR(INDEX(PP_Grid[#Data],M_BOM[PPGridRow],94),0))/52.15</f>
        <v/>
      </c>
      <c r="CQ84">
        <f>SUMPRODUCT((M_BOM[Part Name]=$A84)*M_BOM[RM_Qty_Per_Batch]*IFERROR(INDEX(PP_Grid[#Data],M_BOM[PPGridRow],95),0))/52.15</f>
        <v/>
      </c>
      <c r="CR84">
        <f>SUMPRODUCT((M_BOM[Part Name]=$A84)*M_BOM[RM_Qty_Per_Batch]*IFERROR(INDEX(PP_Grid[#Data],M_BOM[PPGridRow],96),0))/52.15</f>
        <v/>
      </c>
      <c r="CS84">
        <f>SUMPRODUCT((M_BOM[Part Name]=$A84)*M_BOM[RM_Qty_Per_Batch]*IFERROR(INDEX(PP_Grid[#Data],M_BOM[PPGridRow],97),0))/52.15</f>
        <v/>
      </c>
      <c r="CT84">
        <f>SUMPRODUCT((M_BOM[Part Name]=$A84)*M_BOM[RM_Qty_Per_Batch]*IFERROR(INDEX(PP_Grid[#Data],M_BOM[PPGridRow],98),0))/52.15</f>
        <v/>
      </c>
      <c r="CU84">
        <f>SUMPRODUCT((M_BOM[Part Name]=$A84)*M_BOM[RM_Qty_Per_Batch]*IFERROR(INDEX(PP_Grid[#Data],M_BOM[PPGridRow],99),0))/52.15</f>
        <v/>
      </c>
      <c r="CV84">
        <f>SUMPRODUCT((M_BOM[Part Name]=$A84)*M_BOM[RM_Qty_Per_Batch]*IFERROR(INDEX(PP_Grid[#Data],M_BOM[PPGridRow],100),0))/52.15</f>
        <v/>
      </c>
      <c r="CW84">
        <f>SUMPRODUCT((M_BOM[Part Name]=$A84)*M_BOM[RM_Qty_Per_Batch]*IFERROR(INDEX(PP_Grid[#Data],M_BOM[PPGridRow],101),0))/52.15</f>
        <v/>
      </c>
      <c r="CX84">
        <f>SUMPRODUCT((M_BOM[Part Name]=$A84)*M_BOM[RM_Qty_Per_Batch]*IFERROR(INDEX(PP_Grid[#Data],M_BOM[PPGridRow],102),0))/52.15</f>
        <v/>
      </c>
      <c r="CY84">
        <f>SUMPRODUCT((M_BOM[Part Name]=$A84)*M_BOM[RM_Qty_Per_Batch]*IFERROR(INDEX(PP_Grid[#Data],M_BOM[PPGridRow],103),0))/52.15</f>
        <v/>
      </c>
      <c r="CZ84">
        <f>SUMPRODUCT((M_BOM[Part Name]=$A84)*M_BOM[RM_Qty_Per_Batch]*IFERROR(INDEX(PP_Grid[#Data],M_BOM[PPGridRow],104),0))/52.15</f>
        <v/>
      </c>
      <c r="DA84">
        <f>SUMPRODUCT((M_BOM[Part Name]=$A84)*M_BOM[RM_Qty_Per_Batch]*IFERROR(INDEX(PP_Grid[#Data],M_BOM[PPGridRow],105),0))/52.15</f>
        <v/>
      </c>
    </row>
    <row r="85">
      <c r="A85" t="inlineStr">
        <is>
          <t>TPP-912</t>
        </is>
      </c>
      <c r="B85">
        <f>SUMPRODUCT((M_BOM[Part Name]=$A85)*M_BOM[RM_Qty_Per_Batch]*IFERROR(INDEX(PP_Grid[#Data],M_BOM[PPGridRow],2),0))/51.73</f>
        <v/>
      </c>
      <c r="C85">
        <f>SUMPRODUCT((M_BOM[Part Name]=$A85)*M_BOM[RM_Qty_Per_Batch]*IFERROR(INDEX(PP_Grid[#Data],M_BOM[PPGridRow],3),0))/51.73</f>
        <v/>
      </c>
      <c r="D85">
        <f>SUMPRODUCT((M_BOM[Part Name]=$A85)*M_BOM[RM_Qty_Per_Batch]*IFERROR(INDEX(PP_Grid[#Data],M_BOM[PPGridRow],4),0))/51.73</f>
        <v/>
      </c>
      <c r="E85">
        <f>SUMPRODUCT((M_BOM[Part Name]=$A85)*M_BOM[RM_Qty_Per_Batch]*IFERROR(INDEX(PP_Grid[#Data],M_BOM[PPGridRow],5),0))/51.73</f>
        <v/>
      </c>
      <c r="F85">
        <f>SUMPRODUCT((M_BOM[Part Name]=$A85)*M_BOM[RM_Qty_Per_Batch]*IFERROR(INDEX(PP_Grid[#Data],M_BOM[PPGridRow],6),0))/51.73</f>
        <v/>
      </c>
      <c r="G85">
        <f>SUMPRODUCT((M_BOM[Part Name]=$A85)*M_BOM[RM_Qty_Per_Batch]*IFERROR(INDEX(PP_Grid[#Data],M_BOM[PPGridRow],7),0))/51.73</f>
        <v/>
      </c>
      <c r="H85">
        <f>SUMPRODUCT((M_BOM[Part Name]=$A85)*M_BOM[RM_Qty_Per_Batch]*IFERROR(INDEX(PP_Grid[#Data],M_BOM[PPGridRow],8),0))/51.73</f>
        <v/>
      </c>
      <c r="I85">
        <f>SUMPRODUCT((M_BOM[Part Name]=$A85)*M_BOM[RM_Qty_Per_Batch]*IFERROR(INDEX(PP_Grid[#Data],M_BOM[PPGridRow],9),0))/51.73</f>
        <v/>
      </c>
      <c r="J85">
        <f>SUMPRODUCT((M_BOM[Part Name]=$A85)*M_BOM[RM_Qty_Per_Batch]*IFERROR(INDEX(PP_Grid[#Data],M_BOM[PPGridRow],10),0))/51.73</f>
        <v/>
      </c>
      <c r="K85">
        <f>SUMPRODUCT((M_BOM[Part Name]=$A85)*M_BOM[RM_Qty_Per_Batch]*IFERROR(INDEX(PP_Grid[#Data],M_BOM[PPGridRow],11),0))/51.73</f>
        <v/>
      </c>
      <c r="L85">
        <f>SUMPRODUCT((M_BOM[Part Name]=$A85)*M_BOM[RM_Qty_Per_Batch]*IFERROR(INDEX(PP_Grid[#Data],M_BOM[PPGridRow],12),0))/51.73</f>
        <v/>
      </c>
      <c r="M85">
        <f>SUMPRODUCT((M_BOM[Part Name]=$A85)*M_BOM[RM_Qty_Per_Batch]*IFERROR(INDEX(PP_Grid[#Data],M_BOM[PPGridRow],13),0))/51.73</f>
        <v/>
      </c>
      <c r="N85">
        <f>SUMPRODUCT((M_BOM[Part Name]=$A85)*M_BOM[RM_Qty_Per_Batch]*IFERROR(INDEX(PP_Grid[#Data],M_BOM[PPGridRow],14),0))/51.73</f>
        <v/>
      </c>
      <c r="O85">
        <f>SUMPRODUCT((M_BOM[Part Name]=$A85)*M_BOM[RM_Qty_Per_Batch]*IFERROR(INDEX(PP_Grid[#Data],M_BOM[PPGridRow],15),0))/51.73</f>
        <v/>
      </c>
      <c r="P85">
        <f>SUMPRODUCT((M_BOM[Part Name]=$A85)*M_BOM[RM_Qty_Per_Batch]*IFERROR(INDEX(PP_Grid[#Data],M_BOM[PPGridRow],16),0))/51.73</f>
        <v/>
      </c>
      <c r="Q85">
        <f>SUMPRODUCT((M_BOM[Part Name]=$A85)*M_BOM[RM_Qty_Per_Batch]*IFERROR(INDEX(PP_Grid[#Data],M_BOM[PPGridRow],17),0))/51.73</f>
        <v/>
      </c>
      <c r="R85">
        <f>SUMPRODUCT((M_BOM[Part Name]=$A85)*M_BOM[RM_Qty_Per_Batch]*IFERROR(INDEX(PP_Grid[#Data],M_BOM[PPGridRow],18),0))/51.73</f>
        <v/>
      </c>
      <c r="S85">
        <f>SUMPRODUCT((M_BOM[Part Name]=$A85)*M_BOM[RM_Qty_Per_Batch]*IFERROR(INDEX(PP_Grid[#Data],M_BOM[PPGridRow],19),0))/51.73</f>
        <v/>
      </c>
      <c r="T85">
        <f>SUMPRODUCT((M_BOM[Part Name]=$A85)*M_BOM[RM_Qty_Per_Batch]*IFERROR(INDEX(PP_Grid[#Data],M_BOM[PPGridRow],20),0))/51.73</f>
        <v/>
      </c>
      <c r="U85">
        <f>SUMPRODUCT((M_BOM[Part Name]=$A85)*M_BOM[RM_Qty_Per_Batch]*IFERROR(INDEX(PP_Grid[#Data],M_BOM[PPGridRow],21),0))/51.73</f>
        <v/>
      </c>
      <c r="V85">
        <f>SUMPRODUCT((M_BOM[Part Name]=$A85)*M_BOM[RM_Qty_Per_Batch]*IFERROR(INDEX(PP_Grid[#Data],M_BOM[PPGridRow],22),0))/51.73</f>
        <v/>
      </c>
      <c r="W85">
        <f>SUMPRODUCT((M_BOM[Part Name]=$A85)*M_BOM[RM_Qty_Per_Batch]*IFERROR(INDEX(PP_Grid[#Data],M_BOM[PPGridRow],23),0))/51.73</f>
        <v/>
      </c>
      <c r="X85">
        <f>SUMPRODUCT((M_BOM[Part Name]=$A85)*M_BOM[RM_Qty_Per_Batch]*IFERROR(INDEX(PP_Grid[#Data],M_BOM[PPGridRow],24),0))/51.73</f>
        <v/>
      </c>
      <c r="Y85">
        <f>SUMPRODUCT((M_BOM[Part Name]=$A85)*M_BOM[RM_Qty_Per_Batch]*IFERROR(INDEX(PP_Grid[#Data],M_BOM[PPGridRow],25),0))/51.73</f>
        <v/>
      </c>
      <c r="Z85">
        <f>SUMPRODUCT((M_BOM[Part Name]=$A85)*M_BOM[RM_Qty_Per_Batch]*IFERROR(INDEX(PP_Grid[#Data],M_BOM[PPGridRow],26),0))/51.73</f>
        <v/>
      </c>
      <c r="AA85">
        <f>SUMPRODUCT((M_BOM[Part Name]=$A85)*M_BOM[RM_Qty_Per_Batch]*IFERROR(INDEX(PP_Grid[#Data],M_BOM[PPGridRow],27),0))/51.73</f>
        <v/>
      </c>
      <c r="AB85">
        <f>SUMPRODUCT((M_BOM[Part Name]=$A85)*M_BOM[RM_Qty_Per_Batch]*IFERROR(INDEX(PP_Grid[#Data],M_BOM[PPGridRow],28),0))/51.73</f>
        <v/>
      </c>
      <c r="AC85">
        <f>SUMPRODUCT((M_BOM[Part Name]=$A85)*M_BOM[RM_Qty_Per_Batch]*IFERROR(INDEX(PP_Grid[#Data],M_BOM[PPGridRow],29),0))/51.73</f>
        <v/>
      </c>
      <c r="AD85">
        <f>SUMPRODUCT((M_BOM[Part Name]=$A85)*M_BOM[RM_Qty_Per_Batch]*IFERROR(INDEX(PP_Grid[#Data],M_BOM[PPGridRow],30),0))/51.73</f>
        <v/>
      </c>
      <c r="AE85">
        <f>SUMPRODUCT((M_BOM[Part Name]=$A85)*M_BOM[RM_Qty_Per_Batch]*IFERROR(INDEX(PP_Grid[#Data],M_BOM[PPGridRow],31),0))/51.73</f>
        <v/>
      </c>
      <c r="AF85">
        <f>SUMPRODUCT((M_BOM[Part Name]=$A85)*M_BOM[RM_Qty_Per_Batch]*IFERROR(INDEX(PP_Grid[#Data],M_BOM[PPGridRow],32),0))/51.73</f>
        <v/>
      </c>
      <c r="AG85">
        <f>SUMPRODUCT((M_BOM[Part Name]=$A85)*M_BOM[RM_Qty_Per_Batch]*IFERROR(INDEX(PP_Grid[#Data],M_BOM[PPGridRow],33),0))/51.73</f>
        <v/>
      </c>
      <c r="AH85">
        <f>SUMPRODUCT((M_BOM[Part Name]=$A85)*M_BOM[RM_Qty_Per_Batch]*IFERROR(INDEX(PP_Grid[#Data],M_BOM[PPGridRow],34),0))/51.73</f>
        <v/>
      </c>
      <c r="AI85">
        <f>SUMPRODUCT((M_BOM[Part Name]=$A85)*M_BOM[RM_Qty_Per_Batch]*IFERROR(INDEX(PP_Grid[#Data],M_BOM[PPGridRow],35),0))/51.73</f>
        <v/>
      </c>
      <c r="AJ85">
        <f>SUMPRODUCT((M_BOM[Part Name]=$A85)*M_BOM[RM_Qty_Per_Batch]*IFERROR(INDEX(PP_Grid[#Data],M_BOM[PPGridRow],36),0))/51.73</f>
        <v/>
      </c>
      <c r="AK85">
        <f>SUMPRODUCT((M_BOM[Part Name]=$A85)*M_BOM[RM_Qty_Per_Batch]*IFERROR(INDEX(PP_Grid[#Data],M_BOM[PPGridRow],37),0))/51.73</f>
        <v/>
      </c>
      <c r="AL85">
        <f>SUMPRODUCT((M_BOM[Part Name]=$A85)*M_BOM[RM_Qty_Per_Batch]*IFERROR(INDEX(PP_Grid[#Data],M_BOM[PPGridRow],38),0))/51.73</f>
        <v/>
      </c>
      <c r="AM85">
        <f>SUMPRODUCT((M_BOM[Part Name]=$A85)*M_BOM[RM_Qty_Per_Batch]*IFERROR(INDEX(PP_Grid[#Data],M_BOM[PPGridRow],39),0))/51.73</f>
        <v/>
      </c>
      <c r="AN85">
        <f>SUMPRODUCT((M_BOM[Part Name]=$A85)*M_BOM[RM_Qty_Per_Batch]*IFERROR(INDEX(PP_Grid[#Data],M_BOM[PPGridRow],40),0))/51.73</f>
        <v/>
      </c>
      <c r="AO85">
        <f>SUMPRODUCT((M_BOM[Part Name]=$A85)*M_BOM[RM_Qty_Per_Batch]*IFERROR(INDEX(PP_Grid[#Data],M_BOM[PPGridRow],41),0))/51.73</f>
        <v/>
      </c>
      <c r="AP85">
        <f>SUMPRODUCT((M_BOM[Part Name]=$A85)*M_BOM[RM_Qty_Per_Batch]*IFERROR(INDEX(PP_Grid[#Data],M_BOM[PPGridRow],42),0))/51.73</f>
        <v/>
      </c>
      <c r="AQ85">
        <f>SUMPRODUCT((M_BOM[Part Name]=$A85)*M_BOM[RM_Qty_Per_Batch]*IFERROR(INDEX(PP_Grid[#Data],M_BOM[PPGridRow],43),0))/51.73</f>
        <v/>
      </c>
      <c r="AR85">
        <f>SUMPRODUCT((M_BOM[Part Name]=$A85)*M_BOM[RM_Qty_Per_Batch]*IFERROR(INDEX(PP_Grid[#Data],M_BOM[PPGridRow],44),0))/51.73</f>
        <v/>
      </c>
      <c r="AS85">
        <f>SUMPRODUCT((M_BOM[Part Name]=$A85)*M_BOM[RM_Qty_Per_Batch]*IFERROR(INDEX(PP_Grid[#Data],M_BOM[PPGridRow],45),0))/51.73</f>
        <v/>
      </c>
      <c r="AT85">
        <f>SUMPRODUCT((M_BOM[Part Name]=$A85)*M_BOM[RM_Qty_Per_Batch]*IFERROR(INDEX(PP_Grid[#Data],M_BOM[PPGridRow],46),0))/51.73</f>
        <v/>
      </c>
      <c r="AU85">
        <f>SUMPRODUCT((M_BOM[Part Name]=$A85)*M_BOM[RM_Qty_Per_Batch]*IFERROR(INDEX(PP_Grid[#Data],M_BOM[PPGridRow],47),0))/51.73</f>
        <v/>
      </c>
      <c r="AV85">
        <f>SUMPRODUCT((M_BOM[Part Name]=$A85)*M_BOM[RM_Qty_Per_Batch]*IFERROR(INDEX(PP_Grid[#Data],M_BOM[PPGridRow],48),0))/51.73</f>
        <v/>
      </c>
      <c r="AW85">
        <f>SUMPRODUCT((M_BOM[Part Name]=$A85)*M_BOM[RM_Qty_Per_Batch]*IFERROR(INDEX(PP_Grid[#Data],M_BOM[PPGridRow],49),0))/51.73</f>
        <v/>
      </c>
      <c r="AX85">
        <f>SUMPRODUCT((M_BOM[Part Name]=$A85)*M_BOM[RM_Qty_Per_Batch]*IFERROR(INDEX(PP_Grid[#Data],M_BOM[PPGridRow],50),0))/51.73</f>
        <v/>
      </c>
      <c r="AY85">
        <f>SUMPRODUCT((M_BOM[Part Name]=$A85)*M_BOM[RM_Qty_Per_Batch]*IFERROR(INDEX(PP_Grid[#Data],M_BOM[PPGridRow],51),0))/51.73</f>
        <v/>
      </c>
      <c r="AZ85">
        <f>SUMPRODUCT((M_BOM[Part Name]=$A85)*M_BOM[RM_Qty_Per_Batch]*IFERROR(INDEX(PP_Grid[#Data],M_BOM[PPGridRow],52),0))/51.73</f>
        <v/>
      </c>
      <c r="BA85">
        <f>SUMPRODUCT((M_BOM[Part Name]=$A85)*M_BOM[RM_Qty_Per_Batch]*IFERROR(INDEX(PP_Grid[#Data],M_BOM[PPGridRow],53),0))/51.73</f>
        <v/>
      </c>
      <c r="BB85">
        <f>SUMPRODUCT((M_BOM[Part Name]=$A85)*M_BOM[RM_Qty_Per_Batch]*IFERROR(INDEX(PP_Grid[#Data],M_BOM[PPGridRow],54),0))/51.73</f>
        <v/>
      </c>
      <c r="BC85">
        <f>SUMPRODUCT((M_BOM[Part Name]=$A85)*M_BOM[RM_Qty_Per_Batch]*IFERROR(INDEX(PP_Grid[#Data],M_BOM[PPGridRow],55),0))/51.73</f>
        <v/>
      </c>
      <c r="BD85">
        <f>SUMPRODUCT((M_BOM[Part Name]=$A85)*M_BOM[RM_Qty_Per_Batch]*IFERROR(INDEX(PP_Grid[#Data],M_BOM[PPGridRow],56),0))/51.73</f>
        <v/>
      </c>
      <c r="BE85">
        <f>SUMPRODUCT((M_BOM[Part Name]=$A85)*M_BOM[RM_Qty_Per_Batch]*IFERROR(INDEX(PP_Grid[#Data],M_BOM[PPGridRow],57),0))/51.73</f>
        <v/>
      </c>
      <c r="BF85">
        <f>SUMPRODUCT((M_BOM[Part Name]=$A85)*M_BOM[RM_Qty_Per_Batch]*IFERROR(INDEX(PP_Grid[#Data],M_BOM[PPGridRow],58),0))/51.73</f>
        <v/>
      </c>
      <c r="BG85">
        <f>SUMPRODUCT((M_BOM[Part Name]=$A85)*M_BOM[RM_Qty_Per_Batch]*IFERROR(INDEX(PP_Grid[#Data],M_BOM[PPGridRow],59),0))/51.73</f>
        <v/>
      </c>
      <c r="BH85">
        <f>SUMPRODUCT((M_BOM[Part Name]=$A85)*M_BOM[RM_Qty_Per_Batch]*IFERROR(INDEX(PP_Grid[#Data],M_BOM[PPGridRow],60),0))/51.73</f>
        <v/>
      </c>
      <c r="BI85">
        <f>SUMPRODUCT((M_BOM[Part Name]=$A85)*M_BOM[RM_Qty_Per_Batch]*IFERROR(INDEX(PP_Grid[#Data],M_BOM[PPGridRow],61),0))/51.73</f>
        <v/>
      </c>
      <c r="BJ85">
        <f>SUMPRODUCT((M_BOM[Part Name]=$A85)*M_BOM[RM_Qty_Per_Batch]*IFERROR(INDEX(PP_Grid[#Data],M_BOM[PPGridRow],62),0))/51.73</f>
        <v/>
      </c>
      <c r="BK85">
        <f>SUMPRODUCT((M_BOM[Part Name]=$A85)*M_BOM[RM_Qty_Per_Batch]*IFERROR(INDEX(PP_Grid[#Data],M_BOM[PPGridRow],63),0))/51.73</f>
        <v/>
      </c>
      <c r="BL85">
        <f>SUMPRODUCT((M_BOM[Part Name]=$A85)*M_BOM[RM_Qty_Per_Batch]*IFERROR(INDEX(PP_Grid[#Data],M_BOM[PPGridRow],64),0))/51.73</f>
        <v/>
      </c>
      <c r="BM85">
        <f>SUMPRODUCT((M_BOM[Part Name]=$A85)*M_BOM[RM_Qty_Per_Batch]*IFERROR(INDEX(PP_Grid[#Data],M_BOM[PPGridRow],65),0))/51.73</f>
        <v/>
      </c>
      <c r="BN85">
        <f>SUMPRODUCT((M_BOM[Part Name]=$A85)*M_BOM[RM_Qty_Per_Batch]*IFERROR(INDEX(PP_Grid[#Data],M_BOM[PPGridRow],66),0))/51.73</f>
        <v/>
      </c>
      <c r="BO85">
        <f>SUMPRODUCT((M_BOM[Part Name]=$A85)*M_BOM[RM_Qty_Per_Batch]*IFERROR(INDEX(PP_Grid[#Data],M_BOM[PPGridRow],67),0))/51.73</f>
        <v/>
      </c>
      <c r="BP85">
        <f>SUMPRODUCT((M_BOM[Part Name]=$A85)*M_BOM[RM_Qty_Per_Batch]*IFERROR(INDEX(PP_Grid[#Data],M_BOM[PPGridRow],68),0))/51.73</f>
        <v/>
      </c>
      <c r="BQ85">
        <f>SUMPRODUCT((M_BOM[Part Name]=$A85)*M_BOM[RM_Qty_Per_Batch]*IFERROR(INDEX(PP_Grid[#Data],M_BOM[PPGridRow],69),0))/51.73</f>
        <v/>
      </c>
      <c r="BR85">
        <f>SUMPRODUCT((M_BOM[Part Name]=$A85)*M_BOM[RM_Qty_Per_Batch]*IFERROR(INDEX(PP_Grid[#Data],M_BOM[PPGridRow],70),0))/51.73</f>
        <v/>
      </c>
      <c r="BS85">
        <f>SUMPRODUCT((M_BOM[Part Name]=$A85)*M_BOM[RM_Qty_Per_Batch]*IFERROR(INDEX(PP_Grid[#Data],M_BOM[PPGridRow],71),0))/51.73</f>
        <v/>
      </c>
      <c r="BT85">
        <f>SUMPRODUCT((M_BOM[Part Name]=$A85)*M_BOM[RM_Qty_Per_Batch]*IFERROR(INDEX(PP_Grid[#Data],M_BOM[PPGridRow],72),0))/51.73</f>
        <v/>
      </c>
      <c r="BU85">
        <f>SUMPRODUCT((M_BOM[Part Name]=$A85)*M_BOM[RM_Qty_Per_Batch]*IFERROR(INDEX(PP_Grid[#Data],M_BOM[PPGridRow],73),0))/51.73</f>
        <v/>
      </c>
      <c r="BV85">
        <f>SUMPRODUCT((M_BOM[Part Name]=$A85)*M_BOM[RM_Qty_Per_Batch]*IFERROR(INDEX(PP_Grid[#Data],M_BOM[PPGridRow],74),0))/51.73</f>
        <v/>
      </c>
      <c r="BW85">
        <f>SUMPRODUCT((M_BOM[Part Name]=$A85)*M_BOM[RM_Qty_Per_Batch]*IFERROR(INDEX(PP_Grid[#Data],M_BOM[PPGridRow],75),0))/51.73</f>
        <v/>
      </c>
      <c r="BX85">
        <f>SUMPRODUCT((M_BOM[Part Name]=$A85)*M_BOM[RM_Qty_Per_Batch]*IFERROR(INDEX(PP_Grid[#Data],M_BOM[PPGridRow],76),0))/51.73</f>
        <v/>
      </c>
      <c r="BY85">
        <f>SUMPRODUCT((M_BOM[Part Name]=$A85)*M_BOM[RM_Qty_Per_Batch]*IFERROR(INDEX(PP_Grid[#Data],M_BOM[PPGridRow],77),0))/51.73</f>
        <v/>
      </c>
      <c r="BZ85">
        <f>SUMPRODUCT((M_BOM[Part Name]=$A85)*M_BOM[RM_Qty_Per_Batch]*IFERROR(INDEX(PP_Grid[#Data],M_BOM[PPGridRow],78),0))/51.73</f>
        <v/>
      </c>
      <c r="CA85">
        <f>SUMPRODUCT((M_BOM[Part Name]=$A85)*M_BOM[RM_Qty_Per_Batch]*IFERROR(INDEX(PP_Grid[#Data],M_BOM[PPGridRow],79),0))/51.73</f>
        <v/>
      </c>
      <c r="CB85">
        <f>SUMPRODUCT((M_BOM[Part Name]=$A85)*M_BOM[RM_Qty_Per_Batch]*IFERROR(INDEX(PP_Grid[#Data],M_BOM[PPGridRow],80),0))/51.73</f>
        <v/>
      </c>
      <c r="CC85">
        <f>SUMPRODUCT((M_BOM[Part Name]=$A85)*M_BOM[RM_Qty_Per_Batch]*IFERROR(INDEX(PP_Grid[#Data],M_BOM[PPGridRow],81),0))/51.73</f>
        <v/>
      </c>
      <c r="CD85">
        <f>SUMPRODUCT((M_BOM[Part Name]=$A85)*M_BOM[RM_Qty_Per_Batch]*IFERROR(INDEX(PP_Grid[#Data],M_BOM[PPGridRow],82),0))/51.73</f>
        <v/>
      </c>
      <c r="CE85">
        <f>SUMPRODUCT((M_BOM[Part Name]=$A85)*M_BOM[RM_Qty_Per_Batch]*IFERROR(INDEX(PP_Grid[#Data],M_BOM[PPGridRow],83),0))/51.73</f>
        <v/>
      </c>
      <c r="CF85">
        <f>SUMPRODUCT((M_BOM[Part Name]=$A85)*M_BOM[RM_Qty_Per_Batch]*IFERROR(INDEX(PP_Grid[#Data],M_BOM[PPGridRow],84),0))/51.73</f>
        <v/>
      </c>
      <c r="CG85">
        <f>SUMPRODUCT((M_BOM[Part Name]=$A85)*M_BOM[RM_Qty_Per_Batch]*IFERROR(INDEX(PP_Grid[#Data],M_BOM[PPGridRow],85),0))/51.73</f>
        <v/>
      </c>
      <c r="CH85">
        <f>SUMPRODUCT((M_BOM[Part Name]=$A85)*M_BOM[RM_Qty_Per_Batch]*IFERROR(INDEX(PP_Grid[#Data],M_BOM[PPGridRow],86),0))/51.73</f>
        <v/>
      </c>
      <c r="CI85">
        <f>SUMPRODUCT((M_BOM[Part Name]=$A85)*M_BOM[RM_Qty_Per_Batch]*IFERROR(INDEX(PP_Grid[#Data],M_BOM[PPGridRow],87),0))/51.73</f>
        <v/>
      </c>
      <c r="CJ85">
        <f>SUMPRODUCT((M_BOM[Part Name]=$A85)*M_BOM[RM_Qty_Per_Batch]*IFERROR(INDEX(PP_Grid[#Data],M_BOM[PPGridRow],88),0))/51.73</f>
        <v/>
      </c>
      <c r="CK85">
        <f>SUMPRODUCT((M_BOM[Part Name]=$A85)*M_BOM[RM_Qty_Per_Batch]*IFERROR(INDEX(PP_Grid[#Data],M_BOM[PPGridRow],89),0))/51.73</f>
        <v/>
      </c>
      <c r="CL85">
        <f>SUMPRODUCT((M_BOM[Part Name]=$A85)*M_BOM[RM_Qty_Per_Batch]*IFERROR(INDEX(PP_Grid[#Data],M_BOM[PPGridRow],90),0))/51.73</f>
        <v/>
      </c>
      <c r="CM85">
        <f>SUMPRODUCT((M_BOM[Part Name]=$A85)*M_BOM[RM_Qty_Per_Batch]*IFERROR(INDEX(PP_Grid[#Data],M_BOM[PPGridRow],91),0))/51.73</f>
        <v/>
      </c>
      <c r="CN85">
        <f>SUMPRODUCT((M_BOM[Part Name]=$A85)*M_BOM[RM_Qty_Per_Batch]*IFERROR(INDEX(PP_Grid[#Data],M_BOM[PPGridRow],92),0))/51.73</f>
        <v/>
      </c>
      <c r="CO85">
        <f>SUMPRODUCT((M_BOM[Part Name]=$A85)*M_BOM[RM_Qty_Per_Batch]*IFERROR(INDEX(PP_Grid[#Data],M_BOM[PPGridRow],93),0))/51.73</f>
        <v/>
      </c>
      <c r="CP85">
        <f>SUMPRODUCT((M_BOM[Part Name]=$A85)*M_BOM[RM_Qty_Per_Batch]*IFERROR(INDEX(PP_Grid[#Data],M_BOM[PPGridRow],94),0))/51.73</f>
        <v/>
      </c>
      <c r="CQ85">
        <f>SUMPRODUCT((M_BOM[Part Name]=$A85)*M_BOM[RM_Qty_Per_Batch]*IFERROR(INDEX(PP_Grid[#Data],M_BOM[PPGridRow],95),0))/51.73</f>
        <v/>
      </c>
      <c r="CR85">
        <f>SUMPRODUCT((M_BOM[Part Name]=$A85)*M_BOM[RM_Qty_Per_Batch]*IFERROR(INDEX(PP_Grid[#Data],M_BOM[PPGridRow],96),0))/51.73</f>
        <v/>
      </c>
      <c r="CS85">
        <f>SUMPRODUCT((M_BOM[Part Name]=$A85)*M_BOM[RM_Qty_Per_Batch]*IFERROR(INDEX(PP_Grid[#Data],M_BOM[PPGridRow],97),0))/51.73</f>
        <v/>
      </c>
      <c r="CT85">
        <f>SUMPRODUCT((M_BOM[Part Name]=$A85)*M_BOM[RM_Qty_Per_Batch]*IFERROR(INDEX(PP_Grid[#Data],M_BOM[PPGridRow],98),0))/51.73</f>
        <v/>
      </c>
      <c r="CU85">
        <f>SUMPRODUCT((M_BOM[Part Name]=$A85)*M_BOM[RM_Qty_Per_Batch]*IFERROR(INDEX(PP_Grid[#Data],M_BOM[PPGridRow],99),0))/51.73</f>
        <v/>
      </c>
      <c r="CV85">
        <f>SUMPRODUCT((M_BOM[Part Name]=$A85)*M_BOM[RM_Qty_Per_Batch]*IFERROR(INDEX(PP_Grid[#Data],M_BOM[PPGridRow],100),0))/51.73</f>
        <v/>
      </c>
      <c r="CW85">
        <f>SUMPRODUCT((M_BOM[Part Name]=$A85)*M_BOM[RM_Qty_Per_Batch]*IFERROR(INDEX(PP_Grid[#Data],M_BOM[PPGridRow],101),0))/51.73</f>
        <v/>
      </c>
      <c r="CX85">
        <f>SUMPRODUCT((M_BOM[Part Name]=$A85)*M_BOM[RM_Qty_Per_Batch]*IFERROR(INDEX(PP_Grid[#Data],M_BOM[PPGridRow],102),0))/51.73</f>
        <v/>
      </c>
      <c r="CY85">
        <f>SUMPRODUCT((M_BOM[Part Name]=$A85)*M_BOM[RM_Qty_Per_Batch]*IFERROR(INDEX(PP_Grid[#Data],M_BOM[PPGridRow],103),0))/51.73</f>
        <v/>
      </c>
      <c r="CZ85">
        <f>SUMPRODUCT((M_BOM[Part Name]=$A85)*M_BOM[RM_Qty_Per_Batch]*IFERROR(INDEX(PP_Grid[#Data],M_BOM[PPGridRow],104),0))/51.73</f>
        <v/>
      </c>
      <c r="DA85">
        <f>SUMPRODUCT((M_BOM[Part Name]=$A85)*M_BOM[RM_Qty_Per_Batch]*IFERROR(INDEX(PP_Grid[#Data],M_BOM[PPGridRow],105),0))/51.73</f>
        <v/>
      </c>
    </row>
    <row r="86">
      <c r="A86" t="inlineStr">
        <is>
          <t>TPP-914</t>
        </is>
      </c>
      <c r="B86">
        <f>SUMPRODUCT((M_BOM[Part Name]=$A86)*M_BOM[RM_Qty_Per_Batch]*IFERROR(INDEX(PP_Grid[#Data],M_BOM[PPGridRow],2),0))/25.69</f>
        <v/>
      </c>
      <c r="C86">
        <f>SUMPRODUCT((M_BOM[Part Name]=$A86)*M_BOM[RM_Qty_Per_Batch]*IFERROR(INDEX(PP_Grid[#Data],M_BOM[PPGridRow],3),0))/25.69</f>
        <v/>
      </c>
      <c r="D86">
        <f>SUMPRODUCT((M_BOM[Part Name]=$A86)*M_BOM[RM_Qty_Per_Batch]*IFERROR(INDEX(PP_Grid[#Data],M_BOM[PPGridRow],4),0))/25.69</f>
        <v/>
      </c>
      <c r="E86">
        <f>SUMPRODUCT((M_BOM[Part Name]=$A86)*M_BOM[RM_Qty_Per_Batch]*IFERROR(INDEX(PP_Grid[#Data],M_BOM[PPGridRow],5),0))/25.69</f>
        <v/>
      </c>
      <c r="F86">
        <f>SUMPRODUCT((M_BOM[Part Name]=$A86)*M_BOM[RM_Qty_Per_Batch]*IFERROR(INDEX(PP_Grid[#Data],M_BOM[PPGridRow],6),0))/25.69</f>
        <v/>
      </c>
      <c r="G86">
        <f>SUMPRODUCT((M_BOM[Part Name]=$A86)*M_BOM[RM_Qty_Per_Batch]*IFERROR(INDEX(PP_Grid[#Data],M_BOM[PPGridRow],7),0))/25.69</f>
        <v/>
      </c>
      <c r="H86">
        <f>SUMPRODUCT((M_BOM[Part Name]=$A86)*M_BOM[RM_Qty_Per_Batch]*IFERROR(INDEX(PP_Grid[#Data],M_BOM[PPGridRow],8),0))/25.69</f>
        <v/>
      </c>
      <c r="I86">
        <f>SUMPRODUCT((M_BOM[Part Name]=$A86)*M_BOM[RM_Qty_Per_Batch]*IFERROR(INDEX(PP_Grid[#Data],M_BOM[PPGridRow],9),0))/25.69</f>
        <v/>
      </c>
      <c r="J86">
        <f>SUMPRODUCT((M_BOM[Part Name]=$A86)*M_BOM[RM_Qty_Per_Batch]*IFERROR(INDEX(PP_Grid[#Data],M_BOM[PPGridRow],10),0))/25.69</f>
        <v/>
      </c>
      <c r="K86">
        <f>SUMPRODUCT((M_BOM[Part Name]=$A86)*M_BOM[RM_Qty_Per_Batch]*IFERROR(INDEX(PP_Grid[#Data],M_BOM[PPGridRow],11),0))/25.69</f>
        <v/>
      </c>
      <c r="L86">
        <f>SUMPRODUCT((M_BOM[Part Name]=$A86)*M_BOM[RM_Qty_Per_Batch]*IFERROR(INDEX(PP_Grid[#Data],M_BOM[PPGridRow],12),0))/25.69</f>
        <v/>
      </c>
      <c r="M86">
        <f>SUMPRODUCT((M_BOM[Part Name]=$A86)*M_BOM[RM_Qty_Per_Batch]*IFERROR(INDEX(PP_Grid[#Data],M_BOM[PPGridRow],13),0))/25.69</f>
        <v/>
      </c>
      <c r="N86">
        <f>SUMPRODUCT((M_BOM[Part Name]=$A86)*M_BOM[RM_Qty_Per_Batch]*IFERROR(INDEX(PP_Grid[#Data],M_BOM[PPGridRow],14),0))/25.69</f>
        <v/>
      </c>
      <c r="O86">
        <f>SUMPRODUCT((M_BOM[Part Name]=$A86)*M_BOM[RM_Qty_Per_Batch]*IFERROR(INDEX(PP_Grid[#Data],M_BOM[PPGridRow],15),0))/25.69</f>
        <v/>
      </c>
      <c r="P86">
        <f>SUMPRODUCT((M_BOM[Part Name]=$A86)*M_BOM[RM_Qty_Per_Batch]*IFERROR(INDEX(PP_Grid[#Data],M_BOM[PPGridRow],16),0))/25.69</f>
        <v/>
      </c>
      <c r="Q86">
        <f>SUMPRODUCT((M_BOM[Part Name]=$A86)*M_BOM[RM_Qty_Per_Batch]*IFERROR(INDEX(PP_Grid[#Data],M_BOM[PPGridRow],17),0))/25.69</f>
        <v/>
      </c>
      <c r="R86">
        <f>SUMPRODUCT((M_BOM[Part Name]=$A86)*M_BOM[RM_Qty_Per_Batch]*IFERROR(INDEX(PP_Grid[#Data],M_BOM[PPGridRow],18),0))/25.69</f>
        <v/>
      </c>
      <c r="S86">
        <f>SUMPRODUCT((M_BOM[Part Name]=$A86)*M_BOM[RM_Qty_Per_Batch]*IFERROR(INDEX(PP_Grid[#Data],M_BOM[PPGridRow],19),0))/25.69</f>
        <v/>
      </c>
      <c r="T86">
        <f>SUMPRODUCT((M_BOM[Part Name]=$A86)*M_BOM[RM_Qty_Per_Batch]*IFERROR(INDEX(PP_Grid[#Data],M_BOM[PPGridRow],20),0))/25.69</f>
        <v/>
      </c>
      <c r="U86">
        <f>SUMPRODUCT((M_BOM[Part Name]=$A86)*M_BOM[RM_Qty_Per_Batch]*IFERROR(INDEX(PP_Grid[#Data],M_BOM[PPGridRow],21),0))/25.69</f>
        <v/>
      </c>
      <c r="V86">
        <f>SUMPRODUCT((M_BOM[Part Name]=$A86)*M_BOM[RM_Qty_Per_Batch]*IFERROR(INDEX(PP_Grid[#Data],M_BOM[PPGridRow],22),0))/25.69</f>
        <v/>
      </c>
      <c r="W86">
        <f>SUMPRODUCT((M_BOM[Part Name]=$A86)*M_BOM[RM_Qty_Per_Batch]*IFERROR(INDEX(PP_Grid[#Data],M_BOM[PPGridRow],23),0))/25.69</f>
        <v/>
      </c>
      <c r="X86">
        <f>SUMPRODUCT((M_BOM[Part Name]=$A86)*M_BOM[RM_Qty_Per_Batch]*IFERROR(INDEX(PP_Grid[#Data],M_BOM[PPGridRow],24),0))/25.69</f>
        <v/>
      </c>
      <c r="Y86">
        <f>SUMPRODUCT((M_BOM[Part Name]=$A86)*M_BOM[RM_Qty_Per_Batch]*IFERROR(INDEX(PP_Grid[#Data],M_BOM[PPGridRow],25),0))/25.69</f>
        <v/>
      </c>
      <c r="Z86">
        <f>SUMPRODUCT((M_BOM[Part Name]=$A86)*M_BOM[RM_Qty_Per_Batch]*IFERROR(INDEX(PP_Grid[#Data],M_BOM[PPGridRow],26),0))/25.69</f>
        <v/>
      </c>
      <c r="AA86">
        <f>SUMPRODUCT((M_BOM[Part Name]=$A86)*M_BOM[RM_Qty_Per_Batch]*IFERROR(INDEX(PP_Grid[#Data],M_BOM[PPGridRow],27),0))/25.69</f>
        <v/>
      </c>
      <c r="AB86">
        <f>SUMPRODUCT((M_BOM[Part Name]=$A86)*M_BOM[RM_Qty_Per_Batch]*IFERROR(INDEX(PP_Grid[#Data],M_BOM[PPGridRow],28),0))/25.69</f>
        <v/>
      </c>
      <c r="AC86">
        <f>SUMPRODUCT((M_BOM[Part Name]=$A86)*M_BOM[RM_Qty_Per_Batch]*IFERROR(INDEX(PP_Grid[#Data],M_BOM[PPGridRow],29),0))/25.69</f>
        <v/>
      </c>
      <c r="AD86">
        <f>SUMPRODUCT((M_BOM[Part Name]=$A86)*M_BOM[RM_Qty_Per_Batch]*IFERROR(INDEX(PP_Grid[#Data],M_BOM[PPGridRow],30),0))/25.69</f>
        <v/>
      </c>
      <c r="AE86">
        <f>SUMPRODUCT((M_BOM[Part Name]=$A86)*M_BOM[RM_Qty_Per_Batch]*IFERROR(INDEX(PP_Grid[#Data],M_BOM[PPGridRow],31),0))/25.69</f>
        <v/>
      </c>
      <c r="AF86">
        <f>SUMPRODUCT((M_BOM[Part Name]=$A86)*M_BOM[RM_Qty_Per_Batch]*IFERROR(INDEX(PP_Grid[#Data],M_BOM[PPGridRow],32),0))/25.69</f>
        <v/>
      </c>
      <c r="AG86">
        <f>SUMPRODUCT((M_BOM[Part Name]=$A86)*M_BOM[RM_Qty_Per_Batch]*IFERROR(INDEX(PP_Grid[#Data],M_BOM[PPGridRow],33),0))/25.69</f>
        <v/>
      </c>
      <c r="AH86">
        <f>SUMPRODUCT((M_BOM[Part Name]=$A86)*M_BOM[RM_Qty_Per_Batch]*IFERROR(INDEX(PP_Grid[#Data],M_BOM[PPGridRow],34),0))/25.69</f>
        <v/>
      </c>
      <c r="AI86">
        <f>SUMPRODUCT((M_BOM[Part Name]=$A86)*M_BOM[RM_Qty_Per_Batch]*IFERROR(INDEX(PP_Grid[#Data],M_BOM[PPGridRow],35),0))/25.69</f>
        <v/>
      </c>
      <c r="AJ86">
        <f>SUMPRODUCT((M_BOM[Part Name]=$A86)*M_BOM[RM_Qty_Per_Batch]*IFERROR(INDEX(PP_Grid[#Data],M_BOM[PPGridRow],36),0))/25.69</f>
        <v/>
      </c>
      <c r="AK86">
        <f>SUMPRODUCT((M_BOM[Part Name]=$A86)*M_BOM[RM_Qty_Per_Batch]*IFERROR(INDEX(PP_Grid[#Data],M_BOM[PPGridRow],37),0))/25.69</f>
        <v/>
      </c>
      <c r="AL86">
        <f>SUMPRODUCT((M_BOM[Part Name]=$A86)*M_BOM[RM_Qty_Per_Batch]*IFERROR(INDEX(PP_Grid[#Data],M_BOM[PPGridRow],38),0))/25.69</f>
        <v/>
      </c>
      <c r="AM86">
        <f>SUMPRODUCT((M_BOM[Part Name]=$A86)*M_BOM[RM_Qty_Per_Batch]*IFERROR(INDEX(PP_Grid[#Data],M_BOM[PPGridRow],39),0))/25.69</f>
        <v/>
      </c>
      <c r="AN86">
        <f>SUMPRODUCT((M_BOM[Part Name]=$A86)*M_BOM[RM_Qty_Per_Batch]*IFERROR(INDEX(PP_Grid[#Data],M_BOM[PPGridRow],40),0))/25.69</f>
        <v/>
      </c>
      <c r="AO86">
        <f>SUMPRODUCT((M_BOM[Part Name]=$A86)*M_BOM[RM_Qty_Per_Batch]*IFERROR(INDEX(PP_Grid[#Data],M_BOM[PPGridRow],41),0))/25.69</f>
        <v/>
      </c>
      <c r="AP86">
        <f>SUMPRODUCT((M_BOM[Part Name]=$A86)*M_BOM[RM_Qty_Per_Batch]*IFERROR(INDEX(PP_Grid[#Data],M_BOM[PPGridRow],42),0))/25.69</f>
        <v/>
      </c>
      <c r="AQ86">
        <f>SUMPRODUCT((M_BOM[Part Name]=$A86)*M_BOM[RM_Qty_Per_Batch]*IFERROR(INDEX(PP_Grid[#Data],M_BOM[PPGridRow],43),0))/25.69</f>
        <v/>
      </c>
      <c r="AR86">
        <f>SUMPRODUCT((M_BOM[Part Name]=$A86)*M_BOM[RM_Qty_Per_Batch]*IFERROR(INDEX(PP_Grid[#Data],M_BOM[PPGridRow],44),0))/25.69</f>
        <v/>
      </c>
      <c r="AS86">
        <f>SUMPRODUCT((M_BOM[Part Name]=$A86)*M_BOM[RM_Qty_Per_Batch]*IFERROR(INDEX(PP_Grid[#Data],M_BOM[PPGridRow],45),0))/25.69</f>
        <v/>
      </c>
      <c r="AT86">
        <f>SUMPRODUCT((M_BOM[Part Name]=$A86)*M_BOM[RM_Qty_Per_Batch]*IFERROR(INDEX(PP_Grid[#Data],M_BOM[PPGridRow],46),0))/25.69</f>
        <v/>
      </c>
      <c r="AU86">
        <f>SUMPRODUCT((M_BOM[Part Name]=$A86)*M_BOM[RM_Qty_Per_Batch]*IFERROR(INDEX(PP_Grid[#Data],M_BOM[PPGridRow],47),0))/25.69</f>
        <v/>
      </c>
      <c r="AV86">
        <f>SUMPRODUCT((M_BOM[Part Name]=$A86)*M_BOM[RM_Qty_Per_Batch]*IFERROR(INDEX(PP_Grid[#Data],M_BOM[PPGridRow],48),0))/25.69</f>
        <v/>
      </c>
      <c r="AW86">
        <f>SUMPRODUCT((M_BOM[Part Name]=$A86)*M_BOM[RM_Qty_Per_Batch]*IFERROR(INDEX(PP_Grid[#Data],M_BOM[PPGridRow],49),0))/25.69</f>
        <v/>
      </c>
      <c r="AX86">
        <f>SUMPRODUCT((M_BOM[Part Name]=$A86)*M_BOM[RM_Qty_Per_Batch]*IFERROR(INDEX(PP_Grid[#Data],M_BOM[PPGridRow],50),0))/25.69</f>
        <v/>
      </c>
      <c r="AY86">
        <f>SUMPRODUCT((M_BOM[Part Name]=$A86)*M_BOM[RM_Qty_Per_Batch]*IFERROR(INDEX(PP_Grid[#Data],M_BOM[PPGridRow],51),0))/25.69</f>
        <v/>
      </c>
      <c r="AZ86">
        <f>SUMPRODUCT((M_BOM[Part Name]=$A86)*M_BOM[RM_Qty_Per_Batch]*IFERROR(INDEX(PP_Grid[#Data],M_BOM[PPGridRow],52),0))/25.69</f>
        <v/>
      </c>
      <c r="BA86">
        <f>SUMPRODUCT((M_BOM[Part Name]=$A86)*M_BOM[RM_Qty_Per_Batch]*IFERROR(INDEX(PP_Grid[#Data],M_BOM[PPGridRow],53),0))/25.69</f>
        <v/>
      </c>
      <c r="BB86">
        <f>SUMPRODUCT((M_BOM[Part Name]=$A86)*M_BOM[RM_Qty_Per_Batch]*IFERROR(INDEX(PP_Grid[#Data],M_BOM[PPGridRow],54),0))/25.69</f>
        <v/>
      </c>
      <c r="BC86">
        <f>SUMPRODUCT((M_BOM[Part Name]=$A86)*M_BOM[RM_Qty_Per_Batch]*IFERROR(INDEX(PP_Grid[#Data],M_BOM[PPGridRow],55),0))/25.69</f>
        <v/>
      </c>
      <c r="BD86">
        <f>SUMPRODUCT((M_BOM[Part Name]=$A86)*M_BOM[RM_Qty_Per_Batch]*IFERROR(INDEX(PP_Grid[#Data],M_BOM[PPGridRow],56),0))/25.69</f>
        <v/>
      </c>
      <c r="BE86">
        <f>SUMPRODUCT((M_BOM[Part Name]=$A86)*M_BOM[RM_Qty_Per_Batch]*IFERROR(INDEX(PP_Grid[#Data],M_BOM[PPGridRow],57),0))/25.69</f>
        <v/>
      </c>
      <c r="BF86">
        <f>SUMPRODUCT((M_BOM[Part Name]=$A86)*M_BOM[RM_Qty_Per_Batch]*IFERROR(INDEX(PP_Grid[#Data],M_BOM[PPGridRow],58),0))/25.69</f>
        <v/>
      </c>
      <c r="BG86">
        <f>SUMPRODUCT((M_BOM[Part Name]=$A86)*M_BOM[RM_Qty_Per_Batch]*IFERROR(INDEX(PP_Grid[#Data],M_BOM[PPGridRow],59),0))/25.69</f>
        <v/>
      </c>
      <c r="BH86">
        <f>SUMPRODUCT((M_BOM[Part Name]=$A86)*M_BOM[RM_Qty_Per_Batch]*IFERROR(INDEX(PP_Grid[#Data],M_BOM[PPGridRow],60),0))/25.69</f>
        <v/>
      </c>
      <c r="BI86">
        <f>SUMPRODUCT((M_BOM[Part Name]=$A86)*M_BOM[RM_Qty_Per_Batch]*IFERROR(INDEX(PP_Grid[#Data],M_BOM[PPGridRow],61),0))/25.69</f>
        <v/>
      </c>
      <c r="BJ86">
        <f>SUMPRODUCT((M_BOM[Part Name]=$A86)*M_BOM[RM_Qty_Per_Batch]*IFERROR(INDEX(PP_Grid[#Data],M_BOM[PPGridRow],62),0))/25.69</f>
        <v/>
      </c>
      <c r="BK86">
        <f>SUMPRODUCT((M_BOM[Part Name]=$A86)*M_BOM[RM_Qty_Per_Batch]*IFERROR(INDEX(PP_Grid[#Data],M_BOM[PPGridRow],63),0))/25.69</f>
        <v/>
      </c>
      <c r="BL86">
        <f>SUMPRODUCT((M_BOM[Part Name]=$A86)*M_BOM[RM_Qty_Per_Batch]*IFERROR(INDEX(PP_Grid[#Data],M_BOM[PPGridRow],64),0))/25.69</f>
        <v/>
      </c>
      <c r="BM86">
        <f>SUMPRODUCT((M_BOM[Part Name]=$A86)*M_BOM[RM_Qty_Per_Batch]*IFERROR(INDEX(PP_Grid[#Data],M_BOM[PPGridRow],65),0))/25.69</f>
        <v/>
      </c>
      <c r="BN86">
        <f>SUMPRODUCT((M_BOM[Part Name]=$A86)*M_BOM[RM_Qty_Per_Batch]*IFERROR(INDEX(PP_Grid[#Data],M_BOM[PPGridRow],66),0))/25.69</f>
        <v/>
      </c>
      <c r="BO86">
        <f>SUMPRODUCT((M_BOM[Part Name]=$A86)*M_BOM[RM_Qty_Per_Batch]*IFERROR(INDEX(PP_Grid[#Data],M_BOM[PPGridRow],67),0))/25.69</f>
        <v/>
      </c>
      <c r="BP86">
        <f>SUMPRODUCT((M_BOM[Part Name]=$A86)*M_BOM[RM_Qty_Per_Batch]*IFERROR(INDEX(PP_Grid[#Data],M_BOM[PPGridRow],68),0))/25.69</f>
        <v/>
      </c>
      <c r="BQ86">
        <f>SUMPRODUCT((M_BOM[Part Name]=$A86)*M_BOM[RM_Qty_Per_Batch]*IFERROR(INDEX(PP_Grid[#Data],M_BOM[PPGridRow],69),0))/25.69</f>
        <v/>
      </c>
      <c r="BR86">
        <f>SUMPRODUCT((M_BOM[Part Name]=$A86)*M_BOM[RM_Qty_Per_Batch]*IFERROR(INDEX(PP_Grid[#Data],M_BOM[PPGridRow],70),0))/25.69</f>
        <v/>
      </c>
      <c r="BS86">
        <f>SUMPRODUCT((M_BOM[Part Name]=$A86)*M_BOM[RM_Qty_Per_Batch]*IFERROR(INDEX(PP_Grid[#Data],M_BOM[PPGridRow],71),0))/25.69</f>
        <v/>
      </c>
      <c r="BT86">
        <f>SUMPRODUCT((M_BOM[Part Name]=$A86)*M_BOM[RM_Qty_Per_Batch]*IFERROR(INDEX(PP_Grid[#Data],M_BOM[PPGridRow],72),0))/25.69</f>
        <v/>
      </c>
      <c r="BU86">
        <f>SUMPRODUCT((M_BOM[Part Name]=$A86)*M_BOM[RM_Qty_Per_Batch]*IFERROR(INDEX(PP_Grid[#Data],M_BOM[PPGridRow],73),0))/25.69</f>
        <v/>
      </c>
      <c r="BV86">
        <f>SUMPRODUCT((M_BOM[Part Name]=$A86)*M_BOM[RM_Qty_Per_Batch]*IFERROR(INDEX(PP_Grid[#Data],M_BOM[PPGridRow],74),0))/25.69</f>
        <v/>
      </c>
      <c r="BW86">
        <f>SUMPRODUCT((M_BOM[Part Name]=$A86)*M_BOM[RM_Qty_Per_Batch]*IFERROR(INDEX(PP_Grid[#Data],M_BOM[PPGridRow],75),0))/25.69</f>
        <v/>
      </c>
      <c r="BX86">
        <f>SUMPRODUCT((M_BOM[Part Name]=$A86)*M_BOM[RM_Qty_Per_Batch]*IFERROR(INDEX(PP_Grid[#Data],M_BOM[PPGridRow],76),0))/25.69</f>
        <v/>
      </c>
      <c r="BY86">
        <f>SUMPRODUCT((M_BOM[Part Name]=$A86)*M_BOM[RM_Qty_Per_Batch]*IFERROR(INDEX(PP_Grid[#Data],M_BOM[PPGridRow],77),0))/25.69</f>
        <v/>
      </c>
      <c r="BZ86">
        <f>SUMPRODUCT((M_BOM[Part Name]=$A86)*M_BOM[RM_Qty_Per_Batch]*IFERROR(INDEX(PP_Grid[#Data],M_BOM[PPGridRow],78),0))/25.69</f>
        <v/>
      </c>
      <c r="CA86">
        <f>SUMPRODUCT((M_BOM[Part Name]=$A86)*M_BOM[RM_Qty_Per_Batch]*IFERROR(INDEX(PP_Grid[#Data],M_BOM[PPGridRow],79),0))/25.69</f>
        <v/>
      </c>
      <c r="CB86">
        <f>SUMPRODUCT((M_BOM[Part Name]=$A86)*M_BOM[RM_Qty_Per_Batch]*IFERROR(INDEX(PP_Grid[#Data],M_BOM[PPGridRow],80),0))/25.69</f>
        <v/>
      </c>
      <c r="CC86">
        <f>SUMPRODUCT((M_BOM[Part Name]=$A86)*M_BOM[RM_Qty_Per_Batch]*IFERROR(INDEX(PP_Grid[#Data],M_BOM[PPGridRow],81),0))/25.69</f>
        <v/>
      </c>
      <c r="CD86">
        <f>SUMPRODUCT((M_BOM[Part Name]=$A86)*M_BOM[RM_Qty_Per_Batch]*IFERROR(INDEX(PP_Grid[#Data],M_BOM[PPGridRow],82),0))/25.69</f>
        <v/>
      </c>
      <c r="CE86">
        <f>SUMPRODUCT((M_BOM[Part Name]=$A86)*M_BOM[RM_Qty_Per_Batch]*IFERROR(INDEX(PP_Grid[#Data],M_BOM[PPGridRow],83),0))/25.69</f>
        <v/>
      </c>
      <c r="CF86">
        <f>SUMPRODUCT((M_BOM[Part Name]=$A86)*M_BOM[RM_Qty_Per_Batch]*IFERROR(INDEX(PP_Grid[#Data],M_BOM[PPGridRow],84),0))/25.69</f>
        <v/>
      </c>
      <c r="CG86">
        <f>SUMPRODUCT((M_BOM[Part Name]=$A86)*M_BOM[RM_Qty_Per_Batch]*IFERROR(INDEX(PP_Grid[#Data],M_BOM[PPGridRow],85),0))/25.69</f>
        <v/>
      </c>
      <c r="CH86">
        <f>SUMPRODUCT((M_BOM[Part Name]=$A86)*M_BOM[RM_Qty_Per_Batch]*IFERROR(INDEX(PP_Grid[#Data],M_BOM[PPGridRow],86),0))/25.69</f>
        <v/>
      </c>
      <c r="CI86">
        <f>SUMPRODUCT((M_BOM[Part Name]=$A86)*M_BOM[RM_Qty_Per_Batch]*IFERROR(INDEX(PP_Grid[#Data],M_BOM[PPGridRow],87),0))/25.69</f>
        <v/>
      </c>
      <c r="CJ86">
        <f>SUMPRODUCT((M_BOM[Part Name]=$A86)*M_BOM[RM_Qty_Per_Batch]*IFERROR(INDEX(PP_Grid[#Data],M_BOM[PPGridRow],88),0))/25.69</f>
        <v/>
      </c>
      <c r="CK86">
        <f>SUMPRODUCT((M_BOM[Part Name]=$A86)*M_BOM[RM_Qty_Per_Batch]*IFERROR(INDEX(PP_Grid[#Data],M_BOM[PPGridRow],89),0))/25.69</f>
        <v/>
      </c>
      <c r="CL86">
        <f>SUMPRODUCT((M_BOM[Part Name]=$A86)*M_BOM[RM_Qty_Per_Batch]*IFERROR(INDEX(PP_Grid[#Data],M_BOM[PPGridRow],90),0))/25.69</f>
        <v/>
      </c>
      <c r="CM86">
        <f>SUMPRODUCT((M_BOM[Part Name]=$A86)*M_BOM[RM_Qty_Per_Batch]*IFERROR(INDEX(PP_Grid[#Data],M_BOM[PPGridRow],91),0))/25.69</f>
        <v/>
      </c>
      <c r="CN86">
        <f>SUMPRODUCT((M_BOM[Part Name]=$A86)*M_BOM[RM_Qty_Per_Batch]*IFERROR(INDEX(PP_Grid[#Data],M_BOM[PPGridRow],92),0))/25.69</f>
        <v/>
      </c>
      <c r="CO86">
        <f>SUMPRODUCT((M_BOM[Part Name]=$A86)*M_BOM[RM_Qty_Per_Batch]*IFERROR(INDEX(PP_Grid[#Data],M_BOM[PPGridRow],93),0))/25.69</f>
        <v/>
      </c>
      <c r="CP86">
        <f>SUMPRODUCT((M_BOM[Part Name]=$A86)*M_BOM[RM_Qty_Per_Batch]*IFERROR(INDEX(PP_Grid[#Data],M_BOM[PPGridRow],94),0))/25.69</f>
        <v/>
      </c>
      <c r="CQ86">
        <f>SUMPRODUCT((M_BOM[Part Name]=$A86)*M_BOM[RM_Qty_Per_Batch]*IFERROR(INDEX(PP_Grid[#Data],M_BOM[PPGridRow],95),0))/25.69</f>
        <v/>
      </c>
      <c r="CR86">
        <f>SUMPRODUCT((M_BOM[Part Name]=$A86)*M_BOM[RM_Qty_Per_Batch]*IFERROR(INDEX(PP_Grid[#Data],M_BOM[PPGridRow],96),0))/25.69</f>
        <v/>
      </c>
      <c r="CS86">
        <f>SUMPRODUCT((M_BOM[Part Name]=$A86)*M_BOM[RM_Qty_Per_Batch]*IFERROR(INDEX(PP_Grid[#Data],M_BOM[PPGridRow],97),0))/25.69</f>
        <v/>
      </c>
      <c r="CT86">
        <f>SUMPRODUCT((M_BOM[Part Name]=$A86)*M_BOM[RM_Qty_Per_Batch]*IFERROR(INDEX(PP_Grid[#Data],M_BOM[PPGridRow],98),0))/25.69</f>
        <v/>
      </c>
      <c r="CU86">
        <f>SUMPRODUCT((M_BOM[Part Name]=$A86)*M_BOM[RM_Qty_Per_Batch]*IFERROR(INDEX(PP_Grid[#Data],M_BOM[PPGridRow],99),0))/25.69</f>
        <v/>
      </c>
      <c r="CV86">
        <f>SUMPRODUCT((M_BOM[Part Name]=$A86)*M_BOM[RM_Qty_Per_Batch]*IFERROR(INDEX(PP_Grid[#Data],M_BOM[PPGridRow],100),0))/25.69</f>
        <v/>
      </c>
      <c r="CW86">
        <f>SUMPRODUCT((M_BOM[Part Name]=$A86)*M_BOM[RM_Qty_Per_Batch]*IFERROR(INDEX(PP_Grid[#Data],M_BOM[PPGridRow],101),0))/25.69</f>
        <v/>
      </c>
      <c r="CX86">
        <f>SUMPRODUCT((M_BOM[Part Name]=$A86)*M_BOM[RM_Qty_Per_Batch]*IFERROR(INDEX(PP_Grid[#Data],M_BOM[PPGridRow],102),0))/25.69</f>
        <v/>
      </c>
      <c r="CY86">
        <f>SUMPRODUCT((M_BOM[Part Name]=$A86)*M_BOM[RM_Qty_Per_Batch]*IFERROR(INDEX(PP_Grid[#Data],M_BOM[PPGridRow],103),0))/25.69</f>
        <v/>
      </c>
      <c r="CZ86">
        <f>SUMPRODUCT((M_BOM[Part Name]=$A86)*M_BOM[RM_Qty_Per_Batch]*IFERROR(INDEX(PP_Grid[#Data],M_BOM[PPGridRow],104),0))/25.69</f>
        <v/>
      </c>
      <c r="DA86">
        <f>SUMPRODUCT((M_BOM[Part Name]=$A86)*M_BOM[RM_Qty_Per_Batch]*IFERROR(INDEX(PP_Grid[#Data],M_BOM[PPGridRow],105),0))/25.69</f>
        <v/>
      </c>
    </row>
    <row r="87">
      <c r="A87" t="inlineStr">
        <is>
          <t>TPP-915</t>
        </is>
      </c>
      <c r="B87">
        <f>SUMPRODUCT((M_BOM[Part Name]=$A87)*M_BOM[RM_Qty_Per_Batch]*IFERROR(INDEX(PP_Grid[#Data],M_BOM[PPGridRow],2),0))/25.35</f>
        <v/>
      </c>
      <c r="C87">
        <f>SUMPRODUCT((M_BOM[Part Name]=$A87)*M_BOM[RM_Qty_Per_Batch]*IFERROR(INDEX(PP_Grid[#Data],M_BOM[PPGridRow],3),0))/25.35</f>
        <v/>
      </c>
      <c r="D87">
        <f>SUMPRODUCT((M_BOM[Part Name]=$A87)*M_BOM[RM_Qty_Per_Batch]*IFERROR(INDEX(PP_Grid[#Data],M_BOM[PPGridRow],4),0))/25.35</f>
        <v/>
      </c>
      <c r="E87">
        <f>SUMPRODUCT((M_BOM[Part Name]=$A87)*M_BOM[RM_Qty_Per_Batch]*IFERROR(INDEX(PP_Grid[#Data],M_BOM[PPGridRow],5),0))/25.35</f>
        <v/>
      </c>
      <c r="F87">
        <f>SUMPRODUCT((M_BOM[Part Name]=$A87)*M_BOM[RM_Qty_Per_Batch]*IFERROR(INDEX(PP_Grid[#Data],M_BOM[PPGridRow],6),0))/25.35</f>
        <v/>
      </c>
      <c r="G87">
        <f>SUMPRODUCT((M_BOM[Part Name]=$A87)*M_BOM[RM_Qty_Per_Batch]*IFERROR(INDEX(PP_Grid[#Data],M_BOM[PPGridRow],7),0))/25.35</f>
        <v/>
      </c>
      <c r="H87">
        <f>SUMPRODUCT((M_BOM[Part Name]=$A87)*M_BOM[RM_Qty_Per_Batch]*IFERROR(INDEX(PP_Grid[#Data],M_BOM[PPGridRow],8),0))/25.35</f>
        <v/>
      </c>
      <c r="I87">
        <f>SUMPRODUCT((M_BOM[Part Name]=$A87)*M_BOM[RM_Qty_Per_Batch]*IFERROR(INDEX(PP_Grid[#Data],M_BOM[PPGridRow],9),0))/25.35</f>
        <v/>
      </c>
      <c r="J87">
        <f>SUMPRODUCT((M_BOM[Part Name]=$A87)*M_BOM[RM_Qty_Per_Batch]*IFERROR(INDEX(PP_Grid[#Data],M_BOM[PPGridRow],10),0))/25.35</f>
        <v/>
      </c>
      <c r="K87">
        <f>SUMPRODUCT((M_BOM[Part Name]=$A87)*M_BOM[RM_Qty_Per_Batch]*IFERROR(INDEX(PP_Grid[#Data],M_BOM[PPGridRow],11),0))/25.35</f>
        <v/>
      </c>
      <c r="L87">
        <f>SUMPRODUCT((M_BOM[Part Name]=$A87)*M_BOM[RM_Qty_Per_Batch]*IFERROR(INDEX(PP_Grid[#Data],M_BOM[PPGridRow],12),0))/25.35</f>
        <v/>
      </c>
      <c r="M87">
        <f>SUMPRODUCT((M_BOM[Part Name]=$A87)*M_BOM[RM_Qty_Per_Batch]*IFERROR(INDEX(PP_Grid[#Data],M_BOM[PPGridRow],13),0))/25.35</f>
        <v/>
      </c>
      <c r="N87">
        <f>SUMPRODUCT((M_BOM[Part Name]=$A87)*M_BOM[RM_Qty_Per_Batch]*IFERROR(INDEX(PP_Grid[#Data],M_BOM[PPGridRow],14),0))/25.35</f>
        <v/>
      </c>
      <c r="O87">
        <f>SUMPRODUCT((M_BOM[Part Name]=$A87)*M_BOM[RM_Qty_Per_Batch]*IFERROR(INDEX(PP_Grid[#Data],M_BOM[PPGridRow],15),0))/25.35</f>
        <v/>
      </c>
      <c r="P87">
        <f>SUMPRODUCT((M_BOM[Part Name]=$A87)*M_BOM[RM_Qty_Per_Batch]*IFERROR(INDEX(PP_Grid[#Data],M_BOM[PPGridRow],16),0))/25.35</f>
        <v/>
      </c>
      <c r="Q87">
        <f>SUMPRODUCT((M_BOM[Part Name]=$A87)*M_BOM[RM_Qty_Per_Batch]*IFERROR(INDEX(PP_Grid[#Data],M_BOM[PPGridRow],17),0))/25.35</f>
        <v/>
      </c>
      <c r="R87">
        <f>SUMPRODUCT((M_BOM[Part Name]=$A87)*M_BOM[RM_Qty_Per_Batch]*IFERROR(INDEX(PP_Grid[#Data],M_BOM[PPGridRow],18),0))/25.35</f>
        <v/>
      </c>
      <c r="S87">
        <f>SUMPRODUCT((M_BOM[Part Name]=$A87)*M_BOM[RM_Qty_Per_Batch]*IFERROR(INDEX(PP_Grid[#Data],M_BOM[PPGridRow],19),0))/25.35</f>
        <v/>
      </c>
      <c r="T87">
        <f>SUMPRODUCT((M_BOM[Part Name]=$A87)*M_BOM[RM_Qty_Per_Batch]*IFERROR(INDEX(PP_Grid[#Data],M_BOM[PPGridRow],20),0))/25.35</f>
        <v/>
      </c>
      <c r="U87">
        <f>SUMPRODUCT((M_BOM[Part Name]=$A87)*M_BOM[RM_Qty_Per_Batch]*IFERROR(INDEX(PP_Grid[#Data],M_BOM[PPGridRow],21),0))/25.35</f>
        <v/>
      </c>
      <c r="V87">
        <f>SUMPRODUCT((M_BOM[Part Name]=$A87)*M_BOM[RM_Qty_Per_Batch]*IFERROR(INDEX(PP_Grid[#Data],M_BOM[PPGridRow],22),0))/25.35</f>
        <v/>
      </c>
      <c r="W87">
        <f>SUMPRODUCT((M_BOM[Part Name]=$A87)*M_BOM[RM_Qty_Per_Batch]*IFERROR(INDEX(PP_Grid[#Data],M_BOM[PPGridRow],23),0))/25.35</f>
        <v/>
      </c>
      <c r="X87">
        <f>SUMPRODUCT((M_BOM[Part Name]=$A87)*M_BOM[RM_Qty_Per_Batch]*IFERROR(INDEX(PP_Grid[#Data],M_BOM[PPGridRow],24),0))/25.35</f>
        <v/>
      </c>
      <c r="Y87">
        <f>SUMPRODUCT((M_BOM[Part Name]=$A87)*M_BOM[RM_Qty_Per_Batch]*IFERROR(INDEX(PP_Grid[#Data],M_BOM[PPGridRow],25),0))/25.35</f>
        <v/>
      </c>
      <c r="Z87">
        <f>SUMPRODUCT((M_BOM[Part Name]=$A87)*M_BOM[RM_Qty_Per_Batch]*IFERROR(INDEX(PP_Grid[#Data],M_BOM[PPGridRow],26),0))/25.35</f>
        <v/>
      </c>
      <c r="AA87">
        <f>SUMPRODUCT((M_BOM[Part Name]=$A87)*M_BOM[RM_Qty_Per_Batch]*IFERROR(INDEX(PP_Grid[#Data],M_BOM[PPGridRow],27),0))/25.35</f>
        <v/>
      </c>
      <c r="AB87">
        <f>SUMPRODUCT((M_BOM[Part Name]=$A87)*M_BOM[RM_Qty_Per_Batch]*IFERROR(INDEX(PP_Grid[#Data],M_BOM[PPGridRow],28),0))/25.35</f>
        <v/>
      </c>
      <c r="AC87">
        <f>SUMPRODUCT((M_BOM[Part Name]=$A87)*M_BOM[RM_Qty_Per_Batch]*IFERROR(INDEX(PP_Grid[#Data],M_BOM[PPGridRow],29),0))/25.35</f>
        <v/>
      </c>
      <c r="AD87">
        <f>SUMPRODUCT((M_BOM[Part Name]=$A87)*M_BOM[RM_Qty_Per_Batch]*IFERROR(INDEX(PP_Grid[#Data],M_BOM[PPGridRow],30),0))/25.35</f>
        <v/>
      </c>
      <c r="AE87">
        <f>SUMPRODUCT((M_BOM[Part Name]=$A87)*M_BOM[RM_Qty_Per_Batch]*IFERROR(INDEX(PP_Grid[#Data],M_BOM[PPGridRow],31),0))/25.35</f>
        <v/>
      </c>
      <c r="AF87">
        <f>SUMPRODUCT((M_BOM[Part Name]=$A87)*M_BOM[RM_Qty_Per_Batch]*IFERROR(INDEX(PP_Grid[#Data],M_BOM[PPGridRow],32),0))/25.35</f>
        <v/>
      </c>
      <c r="AG87">
        <f>SUMPRODUCT((M_BOM[Part Name]=$A87)*M_BOM[RM_Qty_Per_Batch]*IFERROR(INDEX(PP_Grid[#Data],M_BOM[PPGridRow],33),0))/25.35</f>
        <v/>
      </c>
      <c r="AH87">
        <f>SUMPRODUCT((M_BOM[Part Name]=$A87)*M_BOM[RM_Qty_Per_Batch]*IFERROR(INDEX(PP_Grid[#Data],M_BOM[PPGridRow],34),0))/25.35</f>
        <v/>
      </c>
      <c r="AI87">
        <f>SUMPRODUCT((M_BOM[Part Name]=$A87)*M_BOM[RM_Qty_Per_Batch]*IFERROR(INDEX(PP_Grid[#Data],M_BOM[PPGridRow],35),0))/25.35</f>
        <v/>
      </c>
      <c r="AJ87">
        <f>SUMPRODUCT((M_BOM[Part Name]=$A87)*M_BOM[RM_Qty_Per_Batch]*IFERROR(INDEX(PP_Grid[#Data],M_BOM[PPGridRow],36),0))/25.35</f>
        <v/>
      </c>
      <c r="AK87">
        <f>SUMPRODUCT((M_BOM[Part Name]=$A87)*M_BOM[RM_Qty_Per_Batch]*IFERROR(INDEX(PP_Grid[#Data],M_BOM[PPGridRow],37),0))/25.35</f>
        <v/>
      </c>
      <c r="AL87">
        <f>SUMPRODUCT((M_BOM[Part Name]=$A87)*M_BOM[RM_Qty_Per_Batch]*IFERROR(INDEX(PP_Grid[#Data],M_BOM[PPGridRow],38),0))/25.35</f>
        <v/>
      </c>
      <c r="AM87">
        <f>SUMPRODUCT((M_BOM[Part Name]=$A87)*M_BOM[RM_Qty_Per_Batch]*IFERROR(INDEX(PP_Grid[#Data],M_BOM[PPGridRow],39),0))/25.35</f>
        <v/>
      </c>
      <c r="AN87">
        <f>SUMPRODUCT((M_BOM[Part Name]=$A87)*M_BOM[RM_Qty_Per_Batch]*IFERROR(INDEX(PP_Grid[#Data],M_BOM[PPGridRow],40),0))/25.35</f>
        <v/>
      </c>
      <c r="AO87">
        <f>SUMPRODUCT((M_BOM[Part Name]=$A87)*M_BOM[RM_Qty_Per_Batch]*IFERROR(INDEX(PP_Grid[#Data],M_BOM[PPGridRow],41),0))/25.35</f>
        <v/>
      </c>
      <c r="AP87">
        <f>SUMPRODUCT((M_BOM[Part Name]=$A87)*M_BOM[RM_Qty_Per_Batch]*IFERROR(INDEX(PP_Grid[#Data],M_BOM[PPGridRow],42),0))/25.35</f>
        <v/>
      </c>
      <c r="AQ87">
        <f>SUMPRODUCT((M_BOM[Part Name]=$A87)*M_BOM[RM_Qty_Per_Batch]*IFERROR(INDEX(PP_Grid[#Data],M_BOM[PPGridRow],43),0))/25.35</f>
        <v/>
      </c>
      <c r="AR87">
        <f>SUMPRODUCT((M_BOM[Part Name]=$A87)*M_BOM[RM_Qty_Per_Batch]*IFERROR(INDEX(PP_Grid[#Data],M_BOM[PPGridRow],44),0))/25.35</f>
        <v/>
      </c>
      <c r="AS87">
        <f>SUMPRODUCT((M_BOM[Part Name]=$A87)*M_BOM[RM_Qty_Per_Batch]*IFERROR(INDEX(PP_Grid[#Data],M_BOM[PPGridRow],45),0))/25.35</f>
        <v/>
      </c>
      <c r="AT87">
        <f>SUMPRODUCT((M_BOM[Part Name]=$A87)*M_BOM[RM_Qty_Per_Batch]*IFERROR(INDEX(PP_Grid[#Data],M_BOM[PPGridRow],46),0))/25.35</f>
        <v/>
      </c>
      <c r="AU87">
        <f>SUMPRODUCT((M_BOM[Part Name]=$A87)*M_BOM[RM_Qty_Per_Batch]*IFERROR(INDEX(PP_Grid[#Data],M_BOM[PPGridRow],47),0))/25.35</f>
        <v/>
      </c>
      <c r="AV87">
        <f>SUMPRODUCT((M_BOM[Part Name]=$A87)*M_BOM[RM_Qty_Per_Batch]*IFERROR(INDEX(PP_Grid[#Data],M_BOM[PPGridRow],48),0))/25.35</f>
        <v/>
      </c>
      <c r="AW87">
        <f>SUMPRODUCT((M_BOM[Part Name]=$A87)*M_BOM[RM_Qty_Per_Batch]*IFERROR(INDEX(PP_Grid[#Data],M_BOM[PPGridRow],49),0))/25.35</f>
        <v/>
      </c>
      <c r="AX87">
        <f>SUMPRODUCT((M_BOM[Part Name]=$A87)*M_BOM[RM_Qty_Per_Batch]*IFERROR(INDEX(PP_Grid[#Data],M_BOM[PPGridRow],50),0))/25.35</f>
        <v/>
      </c>
      <c r="AY87">
        <f>SUMPRODUCT((M_BOM[Part Name]=$A87)*M_BOM[RM_Qty_Per_Batch]*IFERROR(INDEX(PP_Grid[#Data],M_BOM[PPGridRow],51),0))/25.35</f>
        <v/>
      </c>
      <c r="AZ87">
        <f>SUMPRODUCT((M_BOM[Part Name]=$A87)*M_BOM[RM_Qty_Per_Batch]*IFERROR(INDEX(PP_Grid[#Data],M_BOM[PPGridRow],52),0))/25.35</f>
        <v/>
      </c>
      <c r="BA87">
        <f>SUMPRODUCT((M_BOM[Part Name]=$A87)*M_BOM[RM_Qty_Per_Batch]*IFERROR(INDEX(PP_Grid[#Data],M_BOM[PPGridRow],53),0))/25.35</f>
        <v/>
      </c>
      <c r="BB87">
        <f>SUMPRODUCT((M_BOM[Part Name]=$A87)*M_BOM[RM_Qty_Per_Batch]*IFERROR(INDEX(PP_Grid[#Data],M_BOM[PPGridRow],54),0))/25.35</f>
        <v/>
      </c>
      <c r="BC87">
        <f>SUMPRODUCT((M_BOM[Part Name]=$A87)*M_BOM[RM_Qty_Per_Batch]*IFERROR(INDEX(PP_Grid[#Data],M_BOM[PPGridRow],55),0))/25.35</f>
        <v/>
      </c>
      <c r="BD87">
        <f>SUMPRODUCT((M_BOM[Part Name]=$A87)*M_BOM[RM_Qty_Per_Batch]*IFERROR(INDEX(PP_Grid[#Data],M_BOM[PPGridRow],56),0))/25.35</f>
        <v/>
      </c>
      <c r="BE87">
        <f>SUMPRODUCT((M_BOM[Part Name]=$A87)*M_BOM[RM_Qty_Per_Batch]*IFERROR(INDEX(PP_Grid[#Data],M_BOM[PPGridRow],57),0))/25.35</f>
        <v/>
      </c>
      <c r="BF87">
        <f>SUMPRODUCT((M_BOM[Part Name]=$A87)*M_BOM[RM_Qty_Per_Batch]*IFERROR(INDEX(PP_Grid[#Data],M_BOM[PPGridRow],58),0))/25.35</f>
        <v/>
      </c>
      <c r="BG87">
        <f>SUMPRODUCT((M_BOM[Part Name]=$A87)*M_BOM[RM_Qty_Per_Batch]*IFERROR(INDEX(PP_Grid[#Data],M_BOM[PPGridRow],59),0))/25.35</f>
        <v/>
      </c>
      <c r="BH87">
        <f>SUMPRODUCT((M_BOM[Part Name]=$A87)*M_BOM[RM_Qty_Per_Batch]*IFERROR(INDEX(PP_Grid[#Data],M_BOM[PPGridRow],60),0))/25.35</f>
        <v/>
      </c>
      <c r="BI87">
        <f>SUMPRODUCT((M_BOM[Part Name]=$A87)*M_BOM[RM_Qty_Per_Batch]*IFERROR(INDEX(PP_Grid[#Data],M_BOM[PPGridRow],61),0))/25.35</f>
        <v/>
      </c>
      <c r="BJ87">
        <f>SUMPRODUCT((M_BOM[Part Name]=$A87)*M_BOM[RM_Qty_Per_Batch]*IFERROR(INDEX(PP_Grid[#Data],M_BOM[PPGridRow],62),0))/25.35</f>
        <v/>
      </c>
      <c r="BK87">
        <f>SUMPRODUCT((M_BOM[Part Name]=$A87)*M_BOM[RM_Qty_Per_Batch]*IFERROR(INDEX(PP_Grid[#Data],M_BOM[PPGridRow],63),0))/25.35</f>
        <v/>
      </c>
      <c r="BL87">
        <f>SUMPRODUCT((M_BOM[Part Name]=$A87)*M_BOM[RM_Qty_Per_Batch]*IFERROR(INDEX(PP_Grid[#Data],M_BOM[PPGridRow],64),0))/25.35</f>
        <v/>
      </c>
      <c r="BM87">
        <f>SUMPRODUCT((M_BOM[Part Name]=$A87)*M_BOM[RM_Qty_Per_Batch]*IFERROR(INDEX(PP_Grid[#Data],M_BOM[PPGridRow],65),0))/25.35</f>
        <v/>
      </c>
      <c r="BN87">
        <f>SUMPRODUCT((M_BOM[Part Name]=$A87)*M_BOM[RM_Qty_Per_Batch]*IFERROR(INDEX(PP_Grid[#Data],M_BOM[PPGridRow],66),0))/25.35</f>
        <v/>
      </c>
      <c r="BO87">
        <f>SUMPRODUCT((M_BOM[Part Name]=$A87)*M_BOM[RM_Qty_Per_Batch]*IFERROR(INDEX(PP_Grid[#Data],M_BOM[PPGridRow],67),0))/25.35</f>
        <v/>
      </c>
      <c r="BP87">
        <f>SUMPRODUCT((M_BOM[Part Name]=$A87)*M_BOM[RM_Qty_Per_Batch]*IFERROR(INDEX(PP_Grid[#Data],M_BOM[PPGridRow],68),0))/25.35</f>
        <v/>
      </c>
      <c r="BQ87">
        <f>SUMPRODUCT((M_BOM[Part Name]=$A87)*M_BOM[RM_Qty_Per_Batch]*IFERROR(INDEX(PP_Grid[#Data],M_BOM[PPGridRow],69),0))/25.35</f>
        <v/>
      </c>
      <c r="BR87">
        <f>SUMPRODUCT((M_BOM[Part Name]=$A87)*M_BOM[RM_Qty_Per_Batch]*IFERROR(INDEX(PP_Grid[#Data],M_BOM[PPGridRow],70),0))/25.35</f>
        <v/>
      </c>
      <c r="BS87">
        <f>SUMPRODUCT((M_BOM[Part Name]=$A87)*M_BOM[RM_Qty_Per_Batch]*IFERROR(INDEX(PP_Grid[#Data],M_BOM[PPGridRow],71),0))/25.35</f>
        <v/>
      </c>
      <c r="BT87">
        <f>SUMPRODUCT((M_BOM[Part Name]=$A87)*M_BOM[RM_Qty_Per_Batch]*IFERROR(INDEX(PP_Grid[#Data],M_BOM[PPGridRow],72),0))/25.35</f>
        <v/>
      </c>
      <c r="BU87">
        <f>SUMPRODUCT((M_BOM[Part Name]=$A87)*M_BOM[RM_Qty_Per_Batch]*IFERROR(INDEX(PP_Grid[#Data],M_BOM[PPGridRow],73),0))/25.35</f>
        <v/>
      </c>
      <c r="BV87">
        <f>SUMPRODUCT((M_BOM[Part Name]=$A87)*M_BOM[RM_Qty_Per_Batch]*IFERROR(INDEX(PP_Grid[#Data],M_BOM[PPGridRow],74),0))/25.35</f>
        <v/>
      </c>
      <c r="BW87">
        <f>SUMPRODUCT((M_BOM[Part Name]=$A87)*M_BOM[RM_Qty_Per_Batch]*IFERROR(INDEX(PP_Grid[#Data],M_BOM[PPGridRow],75),0))/25.35</f>
        <v/>
      </c>
      <c r="BX87">
        <f>SUMPRODUCT((M_BOM[Part Name]=$A87)*M_BOM[RM_Qty_Per_Batch]*IFERROR(INDEX(PP_Grid[#Data],M_BOM[PPGridRow],76),0))/25.35</f>
        <v/>
      </c>
      <c r="BY87">
        <f>SUMPRODUCT((M_BOM[Part Name]=$A87)*M_BOM[RM_Qty_Per_Batch]*IFERROR(INDEX(PP_Grid[#Data],M_BOM[PPGridRow],77),0))/25.35</f>
        <v/>
      </c>
      <c r="BZ87">
        <f>SUMPRODUCT((M_BOM[Part Name]=$A87)*M_BOM[RM_Qty_Per_Batch]*IFERROR(INDEX(PP_Grid[#Data],M_BOM[PPGridRow],78),0))/25.35</f>
        <v/>
      </c>
      <c r="CA87">
        <f>SUMPRODUCT((M_BOM[Part Name]=$A87)*M_BOM[RM_Qty_Per_Batch]*IFERROR(INDEX(PP_Grid[#Data],M_BOM[PPGridRow],79),0))/25.35</f>
        <v/>
      </c>
      <c r="CB87">
        <f>SUMPRODUCT((M_BOM[Part Name]=$A87)*M_BOM[RM_Qty_Per_Batch]*IFERROR(INDEX(PP_Grid[#Data],M_BOM[PPGridRow],80),0))/25.35</f>
        <v/>
      </c>
      <c r="CC87">
        <f>SUMPRODUCT((M_BOM[Part Name]=$A87)*M_BOM[RM_Qty_Per_Batch]*IFERROR(INDEX(PP_Grid[#Data],M_BOM[PPGridRow],81),0))/25.35</f>
        <v/>
      </c>
      <c r="CD87">
        <f>SUMPRODUCT((M_BOM[Part Name]=$A87)*M_BOM[RM_Qty_Per_Batch]*IFERROR(INDEX(PP_Grid[#Data],M_BOM[PPGridRow],82),0))/25.35</f>
        <v/>
      </c>
      <c r="CE87">
        <f>SUMPRODUCT((M_BOM[Part Name]=$A87)*M_BOM[RM_Qty_Per_Batch]*IFERROR(INDEX(PP_Grid[#Data],M_BOM[PPGridRow],83),0))/25.35</f>
        <v/>
      </c>
      <c r="CF87">
        <f>SUMPRODUCT((M_BOM[Part Name]=$A87)*M_BOM[RM_Qty_Per_Batch]*IFERROR(INDEX(PP_Grid[#Data],M_BOM[PPGridRow],84),0))/25.35</f>
        <v/>
      </c>
      <c r="CG87">
        <f>SUMPRODUCT((M_BOM[Part Name]=$A87)*M_BOM[RM_Qty_Per_Batch]*IFERROR(INDEX(PP_Grid[#Data],M_BOM[PPGridRow],85),0))/25.35</f>
        <v/>
      </c>
      <c r="CH87">
        <f>SUMPRODUCT((M_BOM[Part Name]=$A87)*M_BOM[RM_Qty_Per_Batch]*IFERROR(INDEX(PP_Grid[#Data],M_BOM[PPGridRow],86),0))/25.35</f>
        <v/>
      </c>
      <c r="CI87">
        <f>SUMPRODUCT((M_BOM[Part Name]=$A87)*M_BOM[RM_Qty_Per_Batch]*IFERROR(INDEX(PP_Grid[#Data],M_BOM[PPGridRow],87),0))/25.35</f>
        <v/>
      </c>
      <c r="CJ87">
        <f>SUMPRODUCT((M_BOM[Part Name]=$A87)*M_BOM[RM_Qty_Per_Batch]*IFERROR(INDEX(PP_Grid[#Data],M_BOM[PPGridRow],88),0))/25.35</f>
        <v/>
      </c>
      <c r="CK87">
        <f>SUMPRODUCT((M_BOM[Part Name]=$A87)*M_BOM[RM_Qty_Per_Batch]*IFERROR(INDEX(PP_Grid[#Data],M_BOM[PPGridRow],89),0))/25.35</f>
        <v/>
      </c>
      <c r="CL87">
        <f>SUMPRODUCT((M_BOM[Part Name]=$A87)*M_BOM[RM_Qty_Per_Batch]*IFERROR(INDEX(PP_Grid[#Data],M_BOM[PPGridRow],90),0))/25.35</f>
        <v/>
      </c>
      <c r="CM87">
        <f>SUMPRODUCT((M_BOM[Part Name]=$A87)*M_BOM[RM_Qty_Per_Batch]*IFERROR(INDEX(PP_Grid[#Data],M_BOM[PPGridRow],91),0))/25.35</f>
        <v/>
      </c>
      <c r="CN87">
        <f>SUMPRODUCT((M_BOM[Part Name]=$A87)*M_BOM[RM_Qty_Per_Batch]*IFERROR(INDEX(PP_Grid[#Data],M_BOM[PPGridRow],92),0))/25.35</f>
        <v/>
      </c>
      <c r="CO87">
        <f>SUMPRODUCT((M_BOM[Part Name]=$A87)*M_BOM[RM_Qty_Per_Batch]*IFERROR(INDEX(PP_Grid[#Data],M_BOM[PPGridRow],93),0))/25.35</f>
        <v/>
      </c>
      <c r="CP87">
        <f>SUMPRODUCT((M_BOM[Part Name]=$A87)*M_BOM[RM_Qty_Per_Batch]*IFERROR(INDEX(PP_Grid[#Data],M_BOM[PPGridRow],94),0))/25.35</f>
        <v/>
      </c>
      <c r="CQ87">
        <f>SUMPRODUCT((M_BOM[Part Name]=$A87)*M_BOM[RM_Qty_Per_Batch]*IFERROR(INDEX(PP_Grid[#Data],M_BOM[PPGridRow],95),0))/25.35</f>
        <v/>
      </c>
      <c r="CR87">
        <f>SUMPRODUCT((M_BOM[Part Name]=$A87)*M_BOM[RM_Qty_Per_Batch]*IFERROR(INDEX(PP_Grid[#Data],M_BOM[PPGridRow],96),0))/25.35</f>
        <v/>
      </c>
      <c r="CS87">
        <f>SUMPRODUCT((M_BOM[Part Name]=$A87)*M_BOM[RM_Qty_Per_Batch]*IFERROR(INDEX(PP_Grid[#Data],M_BOM[PPGridRow],97),0))/25.35</f>
        <v/>
      </c>
      <c r="CT87">
        <f>SUMPRODUCT((M_BOM[Part Name]=$A87)*M_BOM[RM_Qty_Per_Batch]*IFERROR(INDEX(PP_Grid[#Data],M_BOM[PPGridRow],98),0))/25.35</f>
        <v/>
      </c>
      <c r="CU87">
        <f>SUMPRODUCT((M_BOM[Part Name]=$A87)*M_BOM[RM_Qty_Per_Batch]*IFERROR(INDEX(PP_Grid[#Data],M_BOM[PPGridRow],99),0))/25.35</f>
        <v/>
      </c>
      <c r="CV87">
        <f>SUMPRODUCT((M_BOM[Part Name]=$A87)*M_BOM[RM_Qty_Per_Batch]*IFERROR(INDEX(PP_Grid[#Data],M_BOM[PPGridRow],100),0))/25.35</f>
        <v/>
      </c>
      <c r="CW87">
        <f>SUMPRODUCT((M_BOM[Part Name]=$A87)*M_BOM[RM_Qty_Per_Batch]*IFERROR(INDEX(PP_Grid[#Data],M_BOM[PPGridRow],101),0))/25.35</f>
        <v/>
      </c>
      <c r="CX87">
        <f>SUMPRODUCT((M_BOM[Part Name]=$A87)*M_BOM[RM_Qty_Per_Batch]*IFERROR(INDEX(PP_Grid[#Data],M_BOM[PPGridRow],102),0))/25.35</f>
        <v/>
      </c>
      <c r="CY87">
        <f>SUMPRODUCT((M_BOM[Part Name]=$A87)*M_BOM[RM_Qty_Per_Batch]*IFERROR(INDEX(PP_Grid[#Data],M_BOM[PPGridRow],103),0))/25.35</f>
        <v/>
      </c>
      <c r="CZ87">
        <f>SUMPRODUCT((M_BOM[Part Name]=$A87)*M_BOM[RM_Qty_Per_Batch]*IFERROR(INDEX(PP_Grid[#Data],M_BOM[PPGridRow],104),0))/25.35</f>
        <v/>
      </c>
      <c r="DA87">
        <f>SUMPRODUCT((M_BOM[Part Name]=$A87)*M_BOM[RM_Qty_Per_Batch]*IFERROR(INDEX(PP_Grid[#Data],M_BOM[PPGridRow],105),0))/25.35</f>
        <v/>
      </c>
    </row>
    <row r="88">
      <c r="A88" t="inlineStr">
        <is>
          <t>TPP-916</t>
        </is>
      </c>
      <c r="B88">
        <f>SUMPRODUCT((M_BOM[Part Name]=$A88)*M_BOM[RM_Qty_Per_Batch]*IFERROR(INDEX(PP_Grid[#Data],M_BOM[PPGridRow],2),0))/25.91</f>
        <v/>
      </c>
      <c r="C88">
        <f>SUMPRODUCT((M_BOM[Part Name]=$A88)*M_BOM[RM_Qty_Per_Batch]*IFERROR(INDEX(PP_Grid[#Data],M_BOM[PPGridRow],3),0))/25.91</f>
        <v/>
      </c>
      <c r="D88">
        <f>SUMPRODUCT((M_BOM[Part Name]=$A88)*M_BOM[RM_Qty_Per_Batch]*IFERROR(INDEX(PP_Grid[#Data],M_BOM[PPGridRow],4),0))/25.91</f>
        <v/>
      </c>
      <c r="E88">
        <f>SUMPRODUCT((M_BOM[Part Name]=$A88)*M_BOM[RM_Qty_Per_Batch]*IFERROR(INDEX(PP_Grid[#Data],M_BOM[PPGridRow],5),0))/25.91</f>
        <v/>
      </c>
      <c r="F88">
        <f>SUMPRODUCT((M_BOM[Part Name]=$A88)*M_BOM[RM_Qty_Per_Batch]*IFERROR(INDEX(PP_Grid[#Data],M_BOM[PPGridRow],6),0))/25.91</f>
        <v/>
      </c>
      <c r="G88">
        <f>SUMPRODUCT((M_BOM[Part Name]=$A88)*M_BOM[RM_Qty_Per_Batch]*IFERROR(INDEX(PP_Grid[#Data],M_BOM[PPGridRow],7),0))/25.91</f>
        <v/>
      </c>
      <c r="H88">
        <f>SUMPRODUCT((M_BOM[Part Name]=$A88)*M_BOM[RM_Qty_Per_Batch]*IFERROR(INDEX(PP_Grid[#Data],M_BOM[PPGridRow],8),0))/25.91</f>
        <v/>
      </c>
      <c r="I88">
        <f>SUMPRODUCT((M_BOM[Part Name]=$A88)*M_BOM[RM_Qty_Per_Batch]*IFERROR(INDEX(PP_Grid[#Data],M_BOM[PPGridRow],9),0))/25.91</f>
        <v/>
      </c>
      <c r="J88">
        <f>SUMPRODUCT((M_BOM[Part Name]=$A88)*M_BOM[RM_Qty_Per_Batch]*IFERROR(INDEX(PP_Grid[#Data],M_BOM[PPGridRow],10),0))/25.91</f>
        <v/>
      </c>
      <c r="K88">
        <f>SUMPRODUCT((M_BOM[Part Name]=$A88)*M_BOM[RM_Qty_Per_Batch]*IFERROR(INDEX(PP_Grid[#Data],M_BOM[PPGridRow],11),0))/25.91</f>
        <v/>
      </c>
      <c r="L88">
        <f>SUMPRODUCT((M_BOM[Part Name]=$A88)*M_BOM[RM_Qty_Per_Batch]*IFERROR(INDEX(PP_Grid[#Data],M_BOM[PPGridRow],12),0))/25.91</f>
        <v/>
      </c>
      <c r="M88">
        <f>SUMPRODUCT((M_BOM[Part Name]=$A88)*M_BOM[RM_Qty_Per_Batch]*IFERROR(INDEX(PP_Grid[#Data],M_BOM[PPGridRow],13),0))/25.91</f>
        <v/>
      </c>
      <c r="N88">
        <f>SUMPRODUCT((M_BOM[Part Name]=$A88)*M_BOM[RM_Qty_Per_Batch]*IFERROR(INDEX(PP_Grid[#Data],M_BOM[PPGridRow],14),0))/25.91</f>
        <v/>
      </c>
      <c r="O88">
        <f>SUMPRODUCT((M_BOM[Part Name]=$A88)*M_BOM[RM_Qty_Per_Batch]*IFERROR(INDEX(PP_Grid[#Data],M_BOM[PPGridRow],15),0))/25.91</f>
        <v/>
      </c>
      <c r="P88">
        <f>SUMPRODUCT((M_BOM[Part Name]=$A88)*M_BOM[RM_Qty_Per_Batch]*IFERROR(INDEX(PP_Grid[#Data],M_BOM[PPGridRow],16),0))/25.91</f>
        <v/>
      </c>
      <c r="Q88">
        <f>SUMPRODUCT((M_BOM[Part Name]=$A88)*M_BOM[RM_Qty_Per_Batch]*IFERROR(INDEX(PP_Grid[#Data],M_BOM[PPGridRow],17),0))/25.91</f>
        <v/>
      </c>
      <c r="R88">
        <f>SUMPRODUCT((M_BOM[Part Name]=$A88)*M_BOM[RM_Qty_Per_Batch]*IFERROR(INDEX(PP_Grid[#Data],M_BOM[PPGridRow],18),0))/25.91</f>
        <v/>
      </c>
      <c r="S88">
        <f>SUMPRODUCT((M_BOM[Part Name]=$A88)*M_BOM[RM_Qty_Per_Batch]*IFERROR(INDEX(PP_Grid[#Data],M_BOM[PPGridRow],19),0))/25.91</f>
        <v/>
      </c>
      <c r="T88">
        <f>SUMPRODUCT((M_BOM[Part Name]=$A88)*M_BOM[RM_Qty_Per_Batch]*IFERROR(INDEX(PP_Grid[#Data],M_BOM[PPGridRow],20),0))/25.91</f>
        <v/>
      </c>
      <c r="U88">
        <f>SUMPRODUCT((M_BOM[Part Name]=$A88)*M_BOM[RM_Qty_Per_Batch]*IFERROR(INDEX(PP_Grid[#Data],M_BOM[PPGridRow],21),0))/25.91</f>
        <v/>
      </c>
      <c r="V88">
        <f>SUMPRODUCT((M_BOM[Part Name]=$A88)*M_BOM[RM_Qty_Per_Batch]*IFERROR(INDEX(PP_Grid[#Data],M_BOM[PPGridRow],22),0))/25.91</f>
        <v/>
      </c>
      <c r="W88">
        <f>SUMPRODUCT((M_BOM[Part Name]=$A88)*M_BOM[RM_Qty_Per_Batch]*IFERROR(INDEX(PP_Grid[#Data],M_BOM[PPGridRow],23),0))/25.91</f>
        <v/>
      </c>
      <c r="X88">
        <f>SUMPRODUCT((M_BOM[Part Name]=$A88)*M_BOM[RM_Qty_Per_Batch]*IFERROR(INDEX(PP_Grid[#Data],M_BOM[PPGridRow],24),0))/25.91</f>
        <v/>
      </c>
      <c r="Y88">
        <f>SUMPRODUCT((M_BOM[Part Name]=$A88)*M_BOM[RM_Qty_Per_Batch]*IFERROR(INDEX(PP_Grid[#Data],M_BOM[PPGridRow],25),0))/25.91</f>
        <v/>
      </c>
      <c r="Z88">
        <f>SUMPRODUCT((M_BOM[Part Name]=$A88)*M_BOM[RM_Qty_Per_Batch]*IFERROR(INDEX(PP_Grid[#Data],M_BOM[PPGridRow],26),0))/25.91</f>
        <v/>
      </c>
      <c r="AA88">
        <f>SUMPRODUCT((M_BOM[Part Name]=$A88)*M_BOM[RM_Qty_Per_Batch]*IFERROR(INDEX(PP_Grid[#Data],M_BOM[PPGridRow],27),0))/25.91</f>
        <v/>
      </c>
      <c r="AB88">
        <f>SUMPRODUCT((M_BOM[Part Name]=$A88)*M_BOM[RM_Qty_Per_Batch]*IFERROR(INDEX(PP_Grid[#Data],M_BOM[PPGridRow],28),0))/25.91</f>
        <v/>
      </c>
      <c r="AC88">
        <f>SUMPRODUCT((M_BOM[Part Name]=$A88)*M_BOM[RM_Qty_Per_Batch]*IFERROR(INDEX(PP_Grid[#Data],M_BOM[PPGridRow],29),0))/25.91</f>
        <v/>
      </c>
      <c r="AD88">
        <f>SUMPRODUCT((M_BOM[Part Name]=$A88)*M_BOM[RM_Qty_Per_Batch]*IFERROR(INDEX(PP_Grid[#Data],M_BOM[PPGridRow],30),0))/25.91</f>
        <v/>
      </c>
      <c r="AE88">
        <f>SUMPRODUCT((M_BOM[Part Name]=$A88)*M_BOM[RM_Qty_Per_Batch]*IFERROR(INDEX(PP_Grid[#Data],M_BOM[PPGridRow],31),0))/25.91</f>
        <v/>
      </c>
      <c r="AF88">
        <f>SUMPRODUCT((M_BOM[Part Name]=$A88)*M_BOM[RM_Qty_Per_Batch]*IFERROR(INDEX(PP_Grid[#Data],M_BOM[PPGridRow],32),0))/25.91</f>
        <v/>
      </c>
      <c r="AG88">
        <f>SUMPRODUCT((M_BOM[Part Name]=$A88)*M_BOM[RM_Qty_Per_Batch]*IFERROR(INDEX(PP_Grid[#Data],M_BOM[PPGridRow],33),0))/25.91</f>
        <v/>
      </c>
      <c r="AH88">
        <f>SUMPRODUCT((M_BOM[Part Name]=$A88)*M_BOM[RM_Qty_Per_Batch]*IFERROR(INDEX(PP_Grid[#Data],M_BOM[PPGridRow],34),0))/25.91</f>
        <v/>
      </c>
      <c r="AI88">
        <f>SUMPRODUCT((M_BOM[Part Name]=$A88)*M_BOM[RM_Qty_Per_Batch]*IFERROR(INDEX(PP_Grid[#Data],M_BOM[PPGridRow],35),0))/25.91</f>
        <v/>
      </c>
      <c r="AJ88">
        <f>SUMPRODUCT((M_BOM[Part Name]=$A88)*M_BOM[RM_Qty_Per_Batch]*IFERROR(INDEX(PP_Grid[#Data],M_BOM[PPGridRow],36),0))/25.91</f>
        <v/>
      </c>
      <c r="AK88">
        <f>SUMPRODUCT((M_BOM[Part Name]=$A88)*M_BOM[RM_Qty_Per_Batch]*IFERROR(INDEX(PP_Grid[#Data],M_BOM[PPGridRow],37),0))/25.91</f>
        <v/>
      </c>
      <c r="AL88">
        <f>SUMPRODUCT((M_BOM[Part Name]=$A88)*M_BOM[RM_Qty_Per_Batch]*IFERROR(INDEX(PP_Grid[#Data],M_BOM[PPGridRow],38),0))/25.91</f>
        <v/>
      </c>
      <c r="AM88">
        <f>SUMPRODUCT((M_BOM[Part Name]=$A88)*M_BOM[RM_Qty_Per_Batch]*IFERROR(INDEX(PP_Grid[#Data],M_BOM[PPGridRow],39),0))/25.91</f>
        <v/>
      </c>
      <c r="AN88">
        <f>SUMPRODUCT((M_BOM[Part Name]=$A88)*M_BOM[RM_Qty_Per_Batch]*IFERROR(INDEX(PP_Grid[#Data],M_BOM[PPGridRow],40),0))/25.91</f>
        <v/>
      </c>
      <c r="AO88">
        <f>SUMPRODUCT((M_BOM[Part Name]=$A88)*M_BOM[RM_Qty_Per_Batch]*IFERROR(INDEX(PP_Grid[#Data],M_BOM[PPGridRow],41),0))/25.91</f>
        <v/>
      </c>
      <c r="AP88">
        <f>SUMPRODUCT((M_BOM[Part Name]=$A88)*M_BOM[RM_Qty_Per_Batch]*IFERROR(INDEX(PP_Grid[#Data],M_BOM[PPGridRow],42),0))/25.91</f>
        <v/>
      </c>
      <c r="AQ88">
        <f>SUMPRODUCT((M_BOM[Part Name]=$A88)*M_BOM[RM_Qty_Per_Batch]*IFERROR(INDEX(PP_Grid[#Data],M_BOM[PPGridRow],43),0))/25.91</f>
        <v/>
      </c>
      <c r="AR88">
        <f>SUMPRODUCT((M_BOM[Part Name]=$A88)*M_BOM[RM_Qty_Per_Batch]*IFERROR(INDEX(PP_Grid[#Data],M_BOM[PPGridRow],44),0))/25.91</f>
        <v/>
      </c>
      <c r="AS88">
        <f>SUMPRODUCT((M_BOM[Part Name]=$A88)*M_BOM[RM_Qty_Per_Batch]*IFERROR(INDEX(PP_Grid[#Data],M_BOM[PPGridRow],45),0))/25.91</f>
        <v/>
      </c>
      <c r="AT88">
        <f>SUMPRODUCT((M_BOM[Part Name]=$A88)*M_BOM[RM_Qty_Per_Batch]*IFERROR(INDEX(PP_Grid[#Data],M_BOM[PPGridRow],46),0))/25.91</f>
        <v/>
      </c>
      <c r="AU88">
        <f>SUMPRODUCT((M_BOM[Part Name]=$A88)*M_BOM[RM_Qty_Per_Batch]*IFERROR(INDEX(PP_Grid[#Data],M_BOM[PPGridRow],47),0))/25.91</f>
        <v/>
      </c>
      <c r="AV88">
        <f>SUMPRODUCT((M_BOM[Part Name]=$A88)*M_BOM[RM_Qty_Per_Batch]*IFERROR(INDEX(PP_Grid[#Data],M_BOM[PPGridRow],48),0))/25.91</f>
        <v/>
      </c>
      <c r="AW88">
        <f>SUMPRODUCT((M_BOM[Part Name]=$A88)*M_BOM[RM_Qty_Per_Batch]*IFERROR(INDEX(PP_Grid[#Data],M_BOM[PPGridRow],49),0))/25.91</f>
        <v/>
      </c>
      <c r="AX88">
        <f>SUMPRODUCT((M_BOM[Part Name]=$A88)*M_BOM[RM_Qty_Per_Batch]*IFERROR(INDEX(PP_Grid[#Data],M_BOM[PPGridRow],50),0))/25.91</f>
        <v/>
      </c>
      <c r="AY88">
        <f>SUMPRODUCT((M_BOM[Part Name]=$A88)*M_BOM[RM_Qty_Per_Batch]*IFERROR(INDEX(PP_Grid[#Data],M_BOM[PPGridRow],51),0))/25.91</f>
        <v/>
      </c>
      <c r="AZ88">
        <f>SUMPRODUCT((M_BOM[Part Name]=$A88)*M_BOM[RM_Qty_Per_Batch]*IFERROR(INDEX(PP_Grid[#Data],M_BOM[PPGridRow],52),0))/25.91</f>
        <v/>
      </c>
      <c r="BA88">
        <f>SUMPRODUCT((M_BOM[Part Name]=$A88)*M_BOM[RM_Qty_Per_Batch]*IFERROR(INDEX(PP_Grid[#Data],M_BOM[PPGridRow],53),0))/25.91</f>
        <v/>
      </c>
      <c r="BB88">
        <f>SUMPRODUCT((M_BOM[Part Name]=$A88)*M_BOM[RM_Qty_Per_Batch]*IFERROR(INDEX(PP_Grid[#Data],M_BOM[PPGridRow],54),0))/25.91</f>
        <v/>
      </c>
      <c r="BC88">
        <f>SUMPRODUCT((M_BOM[Part Name]=$A88)*M_BOM[RM_Qty_Per_Batch]*IFERROR(INDEX(PP_Grid[#Data],M_BOM[PPGridRow],55),0))/25.91</f>
        <v/>
      </c>
      <c r="BD88">
        <f>SUMPRODUCT((M_BOM[Part Name]=$A88)*M_BOM[RM_Qty_Per_Batch]*IFERROR(INDEX(PP_Grid[#Data],M_BOM[PPGridRow],56),0))/25.91</f>
        <v/>
      </c>
      <c r="BE88">
        <f>SUMPRODUCT((M_BOM[Part Name]=$A88)*M_BOM[RM_Qty_Per_Batch]*IFERROR(INDEX(PP_Grid[#Data],M_BOM[PPGridRow],57),0))/25.91</f>
        <v/>
      </c>
      <c r="BF88">
        <f>SUMPRODUCT((M_BOM[Part Name]=$A88)*M_BOM[RM_Qty_Per_Batch]*IFERROR(INDEX(PP_Grid[#Data],M_BOM[PPGridRow],58),0))/25.91</f>
        <v/>
      </c>
      <c r="BG88">
        <f>SUMPRODUCT((M_BOM[Part Name]=$A88)*M_BOM[RM_Qty_Per_Batch]*IFERROR(INDEX(PP_Grid[#Data],M_BOM[PPGridRow],59),0))/25.91</f>
        <v/>
      </c>
      <c r="BH88">
        <f>SUMPRODUCT((M_BOM[Part Name]=$A88)*M_BOM[RM_Qty_Per_Batch]*IFERROR(INDEX(PP_Grid[#Data],M_BOM[PPGridRow],60),0))/25.91</f>
        <v/>
      </c>
      <c r="BI88">
        <f>SUMPRODUCT((M_BOM[Part Name]=$A88)*M_BOM[RM_Qty_Per_Batch]*IFERROR(INDEX(PP_Grid[#Data],M_BOM[PPGridRow],61),0))/25.91</f>
        <v/>
      </c>
      <c r="BJ88">
        <f>SUMPRODUCT((M_BOM[Part Name]=$A88)*M_BOM[RM_Qty_Per_Batch]*IFERROR(INDEX(PP_Grid[#Data],M_BOM[PPGridRow],62),0))/25.91</f>
        <v/>
      </c>
      <c r="BK88">
        <f>SUMPRODUCT((M_BOM[Part Name]=$A88)*M_BOM[RM_Qty_Per_Batch]*IFERROR(INDEX(PP_Grid[#Data],M_BOM[PPGridRow],63),0))/25.91</f>
        <v/>
      </c>
      <c r="BL88">
        <f>SUMPRODUCT((M_BOM[Part Name]=$A88)*M_BOM[RM_Qty_Per_Batch]*IFERROR(INDEX(PP_Grid[#Data],M_BOM[PPGridRow],64),0))/25.91</f>
        <v/>
      </c>
      <c r="BM88">
        <f>SUMPRODUCT((M_BOM[Part Name]=$A88)*M_BOM[RM_Qty_Per_Batch]*IFERROR(INDEX(PP_Grid[#Data],M_BOM[PPGridRow],65),0))/25.91</f>
        <v/>
      </c>
      <c r="BN88">
        <f>SUMPRODUCT((M_BOM[Part Name]=$A88)*M_BOM[RM_Qty_Per_Batch]*IFERROR(INDEX(PP_Grid[#Data],M_BOM[PPGridRow],66),0))/25.91</f>
        <v/>
      </c>
      <c r="BO88">
        <f>SUMPRODUCT((M_BOM[Part Name]=$A88)*M_BOM[RM_Qty_Per_Batch]*IFERROR(INDEX(PP_Grid[#Data],M_BOM[PPGridRow],67),0))/25.91</f>
        <v/>
      </c>
      <c r="BP88">
        <f>SUMPRODUCT((M_BOM[Part Name]=$A88)*M_BOM[RM_Qty_Per_Batch]*IFERROR(INDEX(PP_Grid[#Data],M_BOM[PPGridRow],68),0))/25.91</f>
        <v/>
      </c>
      <c r="BQ88">
        <f>SUMPRODUCT((M_BOM[Part Name]=$A88)*M_BOM[RM_Qty_Per_Batch]*IFERROR(INDEX(PP_Grid[#Data],M_BOM[PPGridRow],69),0))/25.91</f>
        <v/>
      </c>
      <c r="BR88">
        <f>SUMPRODUCT((M_BOM[Part Name]=$A88)*M_BOM[RM_Qty_Per_Batch]*IFERROR(INDEX(PP_Grid[#Data],M_BOM[PPGridRow],70),0))/25.91</f>
        <v/>
      </c>
      <c r="BS88">
        <f>SUMPRODUCT((M_BOM[Part Name]=$A88)*M_BOM[RM_Qty_Per_Batch]*IFERROR(INDEX(PP_Grid[#Data],M_BOM[PPGridRow],71),0))/25.91</f>
        <v/>
      </c>
      <c r="BT88">
        <f>SUMPRODUCT((M_BOM[Part Name]=$A88)*M_BOM[RM_Qty_Per_Batch]*IFERROR(INDEX(PP_Grid[#Data],M_BOM[PPGridRow],72),0))/25.91</f>
        <v/>
      </c>
      <c r="BU88">
        <f>SUMPRODUCT((M_BOM[Part Name]=$A88)*M_BOM[RM_Qty_Per_Batch]*IFERROR(INDEX(PP_Grid[#Data],M_BOM[PPGridRow],73),0))/25.91</f>
        <v/>
      </c>
      <c r="BV88">
        <f>SUMPRODUCT((M_BOM[Part Name]=$A88)*M_BOM[RM_Qty_Per_Batch]*IFERROR(INDEX(PP_Grid[#Data],M_BOM[PPGridRow],74),0))/25.91</f>
        <v/>
      </c>
      <c r="BW88">
        <f>SUMPRODUCT((M_BOM[Part Name]=$A88)*M_BOM[RM_Qty_Per_Batch]*IFERROR(INDEX(PP_Grid[#Data],M_BOM[PPGridRow],75),0))/25.91</f>
        <v/>
      </c>
      <c r="BX88">
        <f>SUMPRODUCT((M_BOM[Part Name]=$A88)*M_BOM[RM_Qty_Per_Batch]*IFERROR(INDEX(PP_Grid[#Data],M_BOM[PPGridRow],76),0))/25.91</f>
        <v/>
      </c>
      <c r="BY88">
        <f>SUMPRODUCT((M_BOM[Part Name]=$A88)*M_BOM[RM_Qty_Per_Batch]*IFERROR(INDEX(PP_Grid[#Data],M_BOM[PPGridRow],77),0))/25.91</f>
        <v/>
      </c>
      <c r="BZ88">
        <f>SUMPRODUCT((M_BOM[Part Name]=$A88)*M_BOM[RM_Qty_Per_Batch]*IFERROR(INDEX(PP_Grid[#Data],M_BOM[PPGridRow],78),0))/25.91</f>
        <v/>
      </c>
      <c r="CA88">
        <f>SUMPRODUCT((M_BOM[Part Name]=$A88)*M_BOM[RM_Qty_Per_Batch]*IFERROR(INDEX(PP_Grid[#Data],M_BOM[PPGridRow],79),0))/25.91</f>
        <v/>
      </c>
      <c r="CB88">
        <f>SUMPRODUCT((M_BOM[Part Name]=$A88)*M_BOM[RM_Qty_Per_Batch]*IFERROR(INDEX(PP_Grid[#Data],M_BOM[PPGridRow],80),0))/25.91</f>
        <v/>
      </c>
      <c r="CC88">
        <f>SUMPRODUCT((M_BOM[Part Name]=$A88)*M_BOM[RM_Qty_Per_Batch]*IFERROR(INDEX(PP_Grid[#Data],M_BOM[PPGridRow],81),0))/25.91</f>
        <v/>
      </c>
      <c r="CD88">
        <f>SUMPRODUCT((M_BOM[Part Name]=$A88)*M_BOM[RM_Qty_Per_Batch]*IFERROR(INDEX(PP_Grid[#Data],M_BOM[PPGridRow],82),0))/25.91</f>
        <v/>
      </c>
      <c r="CE88">
        <f>SUMPRODUCT((M_BOM[Part Name]=$A88)*M_BOM[RM_Qty_Per_Batch]*IFERROR(INDEX(PP_Grid[#Data],M_BOM[PPGridRow],83),0))/25.91</f>
        <v/>
      </c>
      <c r="CF88">
        <f>SUMPRODUCT((M_BOM[Part Name]=$A88)*M_BOM[RM_Qty_Per_Batch]*IFERROR(INDEX(PP_Grid[#Data],M_BOM[PPGridRow],84),0))/25.91</f>
        <v/>
      </c>
      <c r="CG88">
        <f>SUMPRODUCT((M_BOM[Part Name]=$A88)*M_BOM[RM_Qty_Per_Batch]*IFERROR(INDEX(PP_Grid[#Data],M_BOM[PPGridRow],85),0))/25.91</f>
        <v/>
      </c>
      <c r="CH88">
        <f>SUMPRODUCT((M_BOM[Part Name]=$A88)*M_BOM[RM_Qty_Per_Batch]*IFERROR(INDEX(PP_Grid[#Data],M_BOM[PPGridRow],86),0))/25.91</f>
        <v/>
      </c>
      <c r="CI88">
        <f>SUMPRODUCT((M_BOM[Part Name]=$A88)*M_BOM[RM_Qty_Per_Batch]*IFERROR(INDEX(PP_Grid[#Data],M_BOM[PPGridRow],87),0))/25.91</f>
        <v/>
      </c>
      <c r="CJ88">
        <f>SUMPRODUCT((M_BOM[Part Name]=$A88)*M_BOM[RM_Qty_Per_Batch]*IFERROR(INDEX(PP_Grid[#Data],M_BOM[PPGridRow],88),0))/25.91</f>
        <v/>
      </c>
      <c r="CK88">
        <f>SUMPRODUCT((M_BOM[Part Name]=$A88)*M_BOM[RM_Qty_Per_Batch]*IFERROR(INDEX(PP_Grid[#Data],M_BOM[PPGridRow],89),0))/25.91</f>
        <v/>
      </c>
      <c r="CL88">
        <f>SUMPRODUCT((M_BOM[Part Name]=$A88)*M_BOM[RM_Qty_Per_Batch]*IFERROR(INDEX(PP_Grid[#Data],M_BOM[PPGridRow],90),0))/25.91</f>
        <v/>
      </c>
      <c r="CM88">
        <f>SUMPRODUCT((M_BOM[Part Name]=$A88)*M_BOM[RM_Qty_Per_Batch]*IFERROR(INDEX(PP_Grid[#Data],M_BOM[PPGridRow],91),0))/25.91</f>
        <v/>
      </c>
      <c r="CN88">
        <f>SUMPRODUCT((M_BOM[Part Name]=$A88)*M_BOM[RM_Qty_Per_Batch]*IFERROR(INDEX(PP_Grid[#Data],M_BOM[PPGridRow],92),0))/25.91</f>
        <v/>
      </c>
      <c r="CO88">
        <f>SUMPRODUCT((M_BOM[Part Name]=$A88)*M_BOM[RM_Qty_Per_Batch]*IFERROR(INDEX(PP_Grid[#Data],M_BOM[PPGridRow],93),0))/25.91</f>
        <v/>
      </c>
      <c r="CP88">
        <f>SUMPRODUCT((M_BOM[Part Name]=$A88)*M_BOM[RM_Qty_Per_Batch]*IFERROR(INDEX(PP_Grid[#Data],M_BOM[PPGridRow],94),0))/25.91</f>
        <v/>
      </c>
      <c r="CQ88">
        <f>SUMPRODUCT((M_BOM[Part Name]=$A88)*M_BOM[RM_Qty_Per_Batch]*IFERROR(INDEX(PP_Grid[#Data],M_BOM[PPGridRow],95),0))/25.91</f>
        <v/>
      </c>
      <c r="CR88">
        <f>SUMPRODUCT((M_BOM[Part Name]=$A88)*M_BOM[RM_Qty_Per_Batch]*IFERROR(INDEX(PP_Grid[#Data],M_BOM[PPGridRow],96),0))/25.91</f>
        <v/>
      </c>
      <c r="CS88">
        <f>SUMPRODUCT((M_BOM[Part Name]=$A88)*M_BOM[RM_Qty_Per_Batch]*IFERROR(INDEX(PP_Grid[#Data],M_BOM[PPGridRow],97),0))/25.91</f>
        <v/>
      </c>
      <c r="CT88">
        <f>SUMPRODUCT((M_BOM[Part Name]=$A88)*M_BOM[RM_Qty_Per_Batch]*IFERROR(INDEX(PP_Grid[#Data],M_BOM[PPGridRow],98),0))/25.91</f>
        <v/>
      </c>
      <c r="CU88">
        <f>SUMPRODUCT((M_BOM[Part Name]=$A88)*M_BOM[RM_Qty_Per_Batch]*IFERROR(INDEX(PP_Grid[#Data],M_BOM[PPGridRow],99),0))/25.91</f>
        <v/>
      </c>
      <c r="CV88">
        <f>SUMPRODUCT((M_BOM[Part Name]=$A88)*M_BOM[RM_Qty_Per_Batch]*IFERROR(INDEX(PP_Grid[#Data],M_BOM[PPGridRow],100),0))/25.91</f>
        <v/>
      </c>
      <c r="CW88">
        <f>SUMPRODUCT((M_BOM[Part Name]=$A88)*M_BOM[RM_Qty_Per_Batch]*IFERROR(INDEX(PP_Grid[#Data],M_BOM[PPGridRow],101),0))/25.91</f>
        <v/>
      </c>
      <c r="CX88">
        <f>SUMPRODUCT((M_BOM[Part Name]=$A88)*M_BOM[RM_Qty_Per_Batch]*IFERROR(INDEX(PP_Grid[#Data],M_BOM[PPGridRow],102),0))/25.91</f>
        <v/>
      </c>
      <c r="CY88">
        <f>SUMPRODUCT((M_BOM[Part Name]=$A88)*M_BOM[RM_Qty_Per_Batch]*IFERROR(INDEX(PP_Grid[#Data],M_BOM[PPGridRow],103),0))/25.91</f>
        <v/>
      </c>
      <c r="CZ88">
        <f>SUMPRODUCT((M_BOM[Part Name]=$A88)*M_BOM[RM_Qty_Per_Batch]*IFERROR(INDEX(PP_Grid[#Data],M_BOM[PPGridRow],104),0))/25.91</f>
        <v/>
      </c>
      <c r="DA88">
        <f>SUMPRODUCT((M_BOM[Part Name]=$A88)*M_BOM[RM_Qty_Per_Batch]*IFERROR(INDEX(PP_Grid[#Data],M_BOM[PPGridRow],105),0))/25.91</f>
        <v/>
      </c>
    </row>
    <row r="89">
      <c r="A89" t="inlineStr">
        <is>
          <t>TPP-917</t>
        </is>
      </c>
      <c r="B89">
        <f>SUMPRODUCT((M_BOM[Part Name]=$A89)*M_BOM[RM_Qty_Per_Batch]*IFERROR(INDEX(PP_Grid[#Data],M_BOM[PPGridRow],2),0))/25.89</f>
        <v/>
      </c>
      <c r="C89">
        <f>SUMPRODUCT((M_BOM[Part Name]=$A89)*M_BOM[RM_Qty_Per_Batch]*IFERROR(INDEX(PP_Grid[#Data],M_BOM[PPGridRow],3),0))/25.89</f>
        <v/>
      </c>
      <c r="D89">
        <f>SUMPRODUCT((M_BOM[Part Name]=$A89)*M_BOM[RM_Qty_Per_Batch]*IFERROR(INDEX(PP_Grid[#Data],M_BOM[PPGridRow],4),0))/25.89</f>
        <v/>
      </c>
      <c r="E89">
        <f>SUMPRODUCT((M_BOM[Part Name]=$A89)*M_BOM[RM_Qty_Per_Batch]*IFERROR(INDEX(PP_Grid[#Data],M_BOM[PPGridRow],5),0))/25.89</f>
        <v/>
      </c>
      <c r="F89">
        <f>SUMPRODUCT((M_BOM[Part Name]=$A89)*M_BOM[RM_Qty_Per_Batch]*IFERROR(INDEX(PP_Grid[#Data],M_BOM[PPGridRow],6),0))/25.89</f>
        <v/>
      </c>
      <c r="G89">
        <f>SUMPRODUCT((M_BOM[Part Name]=$A89)*M_BOM[RM_Qty_Per_Batch]*IFERROR(INDEX(PP_Grid[#Data],M_BOM[PPGridRow],7),0))/25.89</f>
        <v/>
      </c>
      <c r="H89">
        <f>SUMPRODUCT((M_BOM[Part Name]=$A89)*M_BOM[RM_Qty_Per_Batch]*IFERROR(INDEX(PP_Grid[#Data],M_BOM[PPGridRow],8),0))/25.89</f>
        <v/>
      </c>
      <c r="I89">
        <f>SUMPRODUCT((M_BOM[Part Name]=$A89)*M_BOM[RM_Qty_Per_Batch]*IFERROR(INDEX(PP_Grid[#Data],M_BOM[PPGridRow],9),0))/25.89</f>
        <v/>
      </c>
      <c r="J89">
        <f>SUMPRODUCT((M_BOM[Part Name]=$A89)*M_BOM[RM_Qty_Per_Batch]*IFERROR(INDEX(PP_Grid[#Data],M_BOM[PPGridRow],10),0))/25.89</f>
        <v/>
      </c>
      <c r="K89">
        <f>SUMPRODUCT((M_BOM[Part Name]=$A89)*M_BOM[RM_Qty_Per_Batch]*IFERROR(INDEX(PP_Grid[#Data],M_BOM[PPGridRow],11),0))/25.89</f>
        <v/>
      </c>
      <c r="L89">
        <f>SUMPRODUCT((M_BOM[Part Name]=$A89)*M_BOM[RM_Qty_Per_Batch]*IFERROR(INDEX(PP_Grid[#Data],M_BOM[PPGridRow],12),0))/25.89</f>
        <v/>
      </c>
      <c r="M89">
        <f>SUMPRODUCT((M_BOM[Part Name]=$A89)*M_BOM[RM_Qty_Per_Batch]*IFERROR(INDEX(PP_Grid[#Data],M_BOM[PPGridRow],13),0))/25.89</f>
        <v/>
      </c>
      <c r="N89">
        <f>SUMPRODUCT((M_BOM[Part Name]=$A89)*M_BOM[RM_Qty_Per_Batch]*IFERROR(INDEX(PP_Grid[#Data],M_BOM[PPGridRow],14),0))/25.89</f>
        <v/>
      </c>
      <c r="O89">
        <f>SUMPRODUCT((M_BOM[Part Name]=$A89)*M_BOM[RM_Qty_Per_Batch]*IFERROR(INDEX(PP_Grid[#Data],M_BOM[PPGridRow],15),0))/25.89</f>
        <v/>
      </c>
      <c r="P89">
        <f>SUMPRODUCT((M_BOM[Part Name]=$A89)*M_BOM[RM_Qty_Per_Batch]*IFERROR(INDEX(PP_Grid[#Data],M_BOM[PPGridRow],16),0))/25.89</f>
        <v/>
      </c>
      <c r="Q89">
        <f>SUMPRODUCT((M_BOM[Part Name]=$A89)*M_BOM[RM_Qty_Per_Batch]*IFERROR(INDEX(PP_Grid[#Data],M_BOM[PPGridRow],17),0))/25.89</f>
        <v/>
      </c>
      <c r="R89">
        <f>SUMPRODUCT((M_BOM[Part Name]=$A89)*M_BOM[RM_Qty_Per_Batch]*IFERROR(INDEX(PP_Grid[#Data],M_BOM[PPGridRow],18),0))/25.89</f>
        <v/>
      </c>
      <c r="S89">
        <f>SUMPRODUCT((M_BOM[Part Name]=$A89)*M_BOM[RM_Qty_Per_Batch]*IFERROR(INDEX(PP_Grid[#Data],M_BOM[PPGridRow],19),0))/25.89</f>
        <v/>
      </c>
      <c r="T89">
        <f>SUMPRODUCT((M_BOM[Part Name]=$A89)*M_BOM[RM_Qty_Per_Batch]*IFERROR(INDEX(PP_Grid[#Data],M_BOM[PPGridRow],20),0))/25.89</f>
        <v/>
      </c>
      <c r="U89">
        <f>SUMPRODUCT((M_BOM[Part Name]=$A89)*M_BOM[RM_Qty_Per_Batch]*IFERROR(INDEX(PP_Grid[#Data],M_BOM[PPGridRow],21),0))/25.89</f>
        <v/>
      </c>
      <c r="V89">
        <f>SUMPRODUCT((M_BOM[Part Name]=$A89)*M_BOM[RM_Qty_Per_Batch]*IFERROR(INDEX(PP_Grid[#Data],M_BOM[PPGridRow],22),0))/25.89</f>
        <v/>
      </c>
      <c r="W89">
        <f>SUMPRODUCT((M_BOM[Part Name]=$A89)*M_BOM[RM_Qty_Per_Batch]*IFERROR(INDEX(PP_Grid[#Data],M_BOM[PPGridRow],23),0))/25.89</f>
        <v/>
      </c>
      <c r="X89">
        <f>SUMPRODUCT((M_BOM[Part Name]=$A89)*M_BOM[RM_Qty_Per_Batch]*IFERROR(INDEX(PP_Grid[#Data],M_BOM[PPGridRow],24),0))/25.89</f>
        <v/>
      </c>
      <c r="Y89">
        <f>SUMPRODUCT((M_BOM[Part Name]=$A89)*M_BOM[RM_Qty_Per_Batch]*IFERROR(INDEX(PP_Grid[#Data],M_BOM[PPGridRow],25),0))/25.89</f>
        <v/>
      </c>
      <c r="Z89">
        <f>SUMPRODUCT((M_BOM[Part Name]=$A89)*M_BOM[RM_Qty_Per_Batch]*IFERROR(INDEX(PP_Grid[#Data],M_BOM[PPGridRow],26),0))/25.89</f>
        <v/>
      </c>
      <c r="AA89">
        <f>SUMPRODUCT((M_BOM[Part Name]=$A89)*M_BOM[RM_Qty_Per_Batch]*IFERROR(INDEX(PP_Grid[#Data],M_BOM[PPGridRow],27),0))/25.89</f>
        <v/>
      </c>
      <c r="AB89">
        <f>SUMPRODUCT((M_BOM[Part Name]=$A89)*M_BOM[RM_Qty_Per_Batch]*IFERROR(INDEX(PP_Grid[#Data],M_BOM[PPGridRow],28),0))/25.89</f>
        <v/>
      </c>
      <c r="AC89">
        <f>SUMPRODUCT((M_BOM[Part Name]=$A89)*M_BOM[RM_Qty_Per_Batch]*IFERROR(INDEX(PP_Grid[#Data],M_BOM[PPGridRow],29),0))/25.89</f>
        <v/>
      </c>
      <c r="AD89">
        <f>SUMPRODUCT((M_BOM[Part Name]=$A89)*M_BOM[RM_Qty_Per_Batch]*IFERROR(INDEX(PP_Grid[#Data],M_BOM[PPGridRow],30),0))/25.89</f>
        <v/>
      </c>
      <c r="AE89">
        <f>SUMPRODUCT((M_BOM[Part Name]=$A89)*M_BOM[RM_Qty_Per_Batch]*IFERROR(INDEX(PP_Grid[#Data],M_BOM[PPGridRow],31),0))/25.89</f>
        <v/>
      </c>
      <c r="AF89">
        <f>SUMPRODUCT((M_BOM[Part Name]=$A89)*M_BOM[RM_Qty_Per_Batch]*IFERROR(INDEX(PP_Grid[#Data],M_BOM[PPGridRow],32),0))/25.89</f>
        <v/>
      </c>
      <c r="AG89">
        <f>SUMPRODUCT((M_BOM[Part Name]=$A89)*M_BOM[RM_Qty_Per_Batch]*IFERROR(INDEX(PP_Grid[#Data],M_BOM[PPGridRow],33),0))/25.89</f>
        <v/>
      </c>
      <c r="AH89">
        <f>SUMPRODUCT((M_BOM[Part Name]=$A89)*M_BOM[RM_Qty_Per_Batch]*IFERROR(INDEX(PP_Grid[#Data],M_BOM[PPGridRow],34),0))/25.89</f>
        <v/>
      </c>
      <c r="AI89">
        <f>SUMPRODUCT((M_BOM[Part Name]=$A89)*M_BOM[RM_Qty_Per_Batch]*IFERROR(INDEX(PP_Grid[#Data],M_BOM[PPGridRow],35),0))/25.89</f>
        <v/>
      </c>
      <c r="AJ89">
        <f>SUMPRODUCT((M_BOM[Part Name]=$A89)*M_BOM[RM_Qty_Per_Batch]*IFERROR(INDEX(PP_Grid[#Data],M_BOM[PPGridRow],36),0))/25.89</f>
        <v/>
      </c>
      <c r="AK89">
        <f>SUMPRODUCT((M_BOM[Part Name]=$A89)*M_BOM[RM_Qty_Per_Batch]*IFERROR(INDEX(PP_Grid[#Data],M_BOM[PPGridRow],37),0))/25.89</f>
        <v/>
      </c>
      <c r="AL89">
        <f>SUMPRODUCT((M_BOM[Part Name]=$A89)*M_BOM[RM_Qty_Per_Batch]*IFERROR(INDEX(PP_Grid[#Data],M_BOM[PPGridRow],38),0))/25.89</f>
        <v/>
      </c>
      <c r="AM89">
        <f>SUMPRODUCT((M_BOM[Part Name]=$A89)*M_BOM[RM_Qty_Per_Batch]*IFERROR(INDEX(PP_Grid[#Data],M_BOM[PPGridRow],39),0))/25.89</f>
        <v/>
      </c>
      <c r="AN89">
        <f>SUMPRODUCT((M_BOM[Part Name]=$A89)*M_BOM[RM_Qty_Per_Batch]*IFERROR(INDEX(PP_Grid[#Data],M_BOM[PPGridRow],40),0))/25.89</f>
        <v/>
      </c>
      <c r="AO89">
        <f>SUMPRODUCT((M_BOM[Part Name]=$A89)*M_BOM[RM_Qty_Per_Batch]*IFERROR(INDEX(PP_Grid[#Data],M_BOM[PPGridRow],41),0))/25.89</f>
        <v/>
      </c>
      <c r="AP89">
        <f>SUMPRODUCT((M_BOM[Part Name]=$A89)*M_BOM[RM_Qty_Per_Batch]*IFERROR(INDEX(PP_Grid[#Data],M_BOM[PPGridRow],42),0))/25.89</f>
        <v/>
      </c>
      <c r="AQ89">
        <f>SUMPRODUCT((M_BOM[Part Name]=$A89)*M_BOM[RM_Qty_Per_Batch]*IFERROR(INDEX(PP_Grid[#Data],M_BOM[PPGridRow],43),0))/25.89</f>
        <v/>
      </c>
      <c r="AR89">
        <f>SUMPRODUCT((M_BOM[Part Name]=$A89)*M_BOM[RM_Qty_Per_Batch]*IFERROR(INDEX(PP_Grid[#Data],M_BOM[PPGridRow],44),0))/25.89</f>
        <v/>
      </c>
      <c r="AS89">
        <f>SUMPRODUCT((M_BOM[Part Name]=$A89)*M_BOM[RM_Qty_Per_Batch]*IFERROR(INDEX(PP_Grid[#Data],M_BOM[PPGridRow],45),0))/25.89</f>
        <v/>
      </c>
      <c r="AT89">
        <f>SUMPRODUCT((M_BOM[Part Name]=$A89)*M_BOM[RM_Qty_Per_Batch]*IFERROR(INDEX(PP_Grid[#Data],M_BOM[PPGridRow],46),0))/25.89</f>
        <v/>
      </c>
      <c r="AU89">
        <f>SUMPRODUCT((M_BOM[Part Name]=$A89)*M_BOM[RM_Qty_Per_Batch]*IFERROR(INDEX(PP_Grid[#Data],M_BOM[PPGridRow],47),0))/25.89</f>
        <v/>
      </c>
      <c r="AV89">
        <f>SUMPRODUCT((M_BOM[Part Name]=$A89)*M_BOM[RM_Qty_Per_Batch]*IFERROR(INDEX(PP_Grid[#Data],M_BOM[PPGridRow],48),0))/25.89</f>
        <v/>
      </c>
      <c r="AW89">
        <f>SUMPRODUCT((M_BOM[Part Name]=$A89)*M_BOM[RM_Qty_Per_Batch]*IFERROR(INDEX(PP_Grid[#Data],M_BOM[PPGridRow],49),0))/25.89</f>
        <v/>
      </c>
      <c r="AX89">
        <f>SUMPRODUCT((M_BOM[Part Name]=$A89)*M_BOM[RM_Qty_Per_Batch]*IFERROR(INDEX(PP_Grid[#Data],M_BOM[PPGridRow],50),0))/25.89</f>
        <v/>
      </c>
      <c r="AY89">
        <f>SUMPRODUCT((M_BOM[Part Name]=$A89)*M_BOM[RM_Qty_Per_Batch]*IFERROR(INDEX(PP_Grid[#Data],M_BOM[PPGridRow],51),0))/25.89</f>
        <v/>
      </c>
      <c r="AZ89">
        <f>SUMPRODUCT((M_BOM[Part Name]=$A89)*M_BOM[RM_Qty_Per_Batch]*IFERROR(INDEX(PP_Grid[#Data],M_BOM[PPGridRow],52),0))/25.89</f>
        <v/>
      </c>
      <c r="BA89">
        <f>SUMPRODUCT((M_BOM[Part Name]=$A89)*M_BOM[RM_Qty_Per_Batch]*IFERROR(INDEX(PP_Grid[#Data],M_BOM[PPGridRow],53),0))/25.89</f>
        <v/>
      </c>
      <c r="BB89">
        <f>SUMPRODUCT((M_BOM[Part Name]=$A89)*M_BOM[RM_Qty_Per_Batch]*IFERROR(INDEX(PP_Grid[#Data],M_BOM[PPGridRow],54),0))/25.89</f>
        <v/>
      </c>
      <c r="BC89">
        <f>SUMPRODUCT((M_BOM[Part Name]=$A89)*M_BOM[RM_Qty_Per_Batch]*IFERROR(INDEX(PP_Grid[#Data],M_BOM[PPGridRow],55),0))/25.89</f>
        <v/>
      </c>
      <c r="BD89">
        <f>SUMPRODUCT((M_BOM[Part Name]=$A89)*M_BOM[RM_Qty_Per_Batch]*IFERROR(INDEX(PP_Grid[#Data],M_BOM[PPGridRow],56),0))/25.89</f>
        <v/>
      </c>
      <c r="BE89">
        <f>SUMPRODUCT((M_BOM[Part Name]=$A89)*M_BOM[RM_Qty_Per_Batch]*IFERROR(INDEX(PP_Grid[#Data],M_BOM[PPGridRow],57),0))/25.89</f>
        <v/>
      </c>
      <c r="BF89">
        <f>SUMPRODUCT((M_BOM[Part Name]=$A89)*M_BOM[RM_Qty_Per_Batch]*IFERROR(INDEX(PP_Grid[#Data],M_BOM[PPGridRow],58),0))/25.89</f>
        <v/>
      </c>
      <c r="BG89">
        <f>SUMPRODUCT((M_BOM[Part Name]=$A89)*M_BOM[RM_Qty_Per_Batch]*IFERROR(INDEX(PP_Grid[#Data],M_BOM[PPGridRow],59),0))/25.89</f>
        <v/>
      </c>
      <c r="BH89">
        <f>SUMPRODUCT((M_BOM[Part Name]=$A89)*M_BOM[RM_Qty_Per_Batch]*IFERROR(INDEX(PP_Grid[#Data],M_BOM[PPGridRow],60),0))/25.89</f>
        <v/>
      </c>
      <c r="BI89">
        <f>SUMPRODUCT((M_BOM[Part Name]=$A89)*M_BOM[RM_Qty_Per_Batch]*IFERROR(INDEX(PP_Grid[#Data],M_BOM[PPGridRow],61),0))/25.89</f>
        <v/>
      </c>
      <c r="BJ89">
        <f>SUMPRODUCT((M_BOM[Part Name]=$A89)*M_BOM[RM_Qty_Per_Batch]*IFERROR(INDEX(PP_Grid[#Data],M_BOM[PPGridRow],62),0))/25.89</f>
        <v/>
      </c>
      <c r="BK89">
        <f>SUMPRODUCT((M_BOM[Part Name]=$A89)*M_BOM[RM_Qty_Per_Batch]*IFERROR(INDEX(PP_Grid[#Data],M_BOM[PPGridRow],63),0))/25.89</f>
        <v/>
      </c>
      <c r="BL89">
        <f>SUMPRODUCT((M_BOM[Part Name]=$A89)*M_BOM[RM_Qty_Per_Batch]*IFERROR(INDEX(PP_Grid[#Data],M_BOM[PPGridRow],64),0))/25.89</f>
        <v/>
      </c>
      <c r="BM89">
        <f>SUMPRODUCT((M_BOM[Part Name]=$A89)*M_BOM[RM_Qty_Per_Batch]*IFERROR(INDEX(PP_Grid[#Data],M_BOM[PPGridRow],65),0))/25.89</f>
        <v/>
      </c>
      <c r="BN89">
        <f>SUMPRODUCT((M_BOM[Part Name]=$A89)*M_BOM[RM_Qty_Per_Batch]*IFERROR(INDEX(PP_Grid[#Data],M_BOM[PPGridRow],66),0))/25.89</f>
        <v/>
      </c>
      <c r="BO89">
        <f>SUMPRODUCT((M_BOM[Part Name]=$A89)*M_BOM[RM_Qty_Per_Batch]*IFERROR(INDEX(PP_Grid[#Data],M_BOM[PPGridRow],67),0))/25.89</f>
        <v/>
      </c>
      <c r="BP89">
        <f>SUMPRODUCT((M_BOM[Part Name]=$A89)*M_BOM[RM_Qty_Per_Batch]*IFERROR(INDEX(PP_Grid[#Data],M_BOM[PPGridRow],68),0))/25.89</f>
        <v/>
      </c>
      <c r="BQ89">
        <f>SUMPRODUCT((M_BOM[Part Name]=$A89)*M_BOM[RM_Qty_Per_Batch]*IFERROR(INDEX(PP_Grid[#Data],M_BOM[PPGridRow],69),0))/25.89</f>
        <v/>
      </c>
      <c r="BR89">
        <f>SUMPRODUCT((M_BOM[Part Name]=$A89)*M_BOM[RM_Qty_Per_Batch]*IFERROR(INDEX(PP_Grid[#Data],M_BOM[PPGridRow],70),0))/25.89</f>
        <v/>
      </c>
      <c r="BS89">
        <f>SUMPRODUCT((M_BOM[Part Name]=$A89)*M_BOM[RM_Qty_Per_Batch]*IFERROR(INDEX(PP_Grid[#Data],M_BOM[PPGridRow],71),0))/25.89</f>
        <v/>
      </c>
      <c r="BT89">
        <f>SUMPRODUCT((M_BOM[Part Name]=$A89)*M_BOM[RM_Qty_Per_Batch]*IFERROR(INDEX(PP_Grid[#Data],M_BOM[PPGridRow],72),0))/25.89</f>
        <v/>
      </c>
      <c r="BU89">
        <f>SUMPRODUCT((M_BOM[Part Name]=$A89)*M_BOM[RM_Qty_Per_Batch]*IFERROR(INDEX(PP_Grid[#Data],M_BOM[PPGridRow],73),0))/25.89</f>
        <v/>
      </c>
      <c r="BV89">
        <f>SUMPRODUCT((M_BOM[Part Name]=$A89)*M_BOM[RM_Qty_Per_Batch]*IFERROR(INDEX(PP_Grid[#Data],M_BOM[PPGridRow],74),0))/25.89</f>
        <v/>
      </c>
      <c r="BW89">
        <f>SUMPRODUCT((M_BOM[Part Name]=$A89)*M_BOM[RM_Qty_Per_Batch]*IFERROR(INDEX(PP_Grid[#Data],M_BOM[PPGridRow],75),0))/25.89</f>
        <v/>
      </c>
      <c r="BX89">
        <f>SUMPRODUCT((M_BOM[Part Name]=$A89)*M_BOM[RM_Qty_Per_Batch]*IFERROR(INDEX(PP_Grid[#Data],M_BOM[PPGridRow],76),0))/25.89</f>
        <v/>
      </c>
      <c r="BY89">
        <f>SUMPRODUCT((M_BOM[Part Name]=$A89)*M_BOM[RM_Qty_Per_Batch]*IFERROR(INDEX(PP_Grid[#Data],M_BOM[PPGridRow],77),0))/25.89</f>
        <v/>
      </c>
      <c r="BZ89">
        <f>SUMPRODUCT((M_BOM[Part Name]=$A89)*M_BOM[RM_Qty_Per_Batch]*IFERROR(INDEX(PP_Grid[#Data],M_BOM[PPGridRow],78),0))/25.89</f>
        <v/>
      </c>
      <c r="CA89">
        <f>SUMPRODUCT((M_BOM[Part Name]=$A89)*M_BOM[RM_Qty_Per_Batch]*IFERROR(INDEX(PP_Grid[#Data],M_BOM[PPGridRow],79),0))/25.89</f>
        <v/>
      </c>
      <c r="CB89">
        <f>SUMPRODUCT((M_BOM[Part Name]=$A89)*M_BOM[RM_Qty_Per_Batch]*IFERROR(INDEX(PP_Grid[#Data],M_BOM[PPGridRow],80),0))/25.89</f>
        <v/>
      </c>
      <c r="CC89">
        <f>SUMPRODUCT((M_BOM[Part Name]=$A89)*M_BOM[RM_Qty_Per_Batch]*IFERROR(INDEX(PP_Grid[#Data],M_BOM[PPGridRow],81),0))/25.89</f>
        <v/>
      </c>
      <c r="CD89">
        <f>SUMPRODUCT((M_BOM[Part Name]=$A89)*M_BOM[RM_Qty_Per_Batch]*IFERROR(INDEX(PP_Grid[#Data],M_BOM[PPGridRow],82),0))/25.89</f>
        <v/>
      </c>
      <c r="CE89">
        <f>SUMPRODUCT((M_BOM[Part Name]=$A89)*M_BOM[RM_Qty_Per_Batch]*IFERROR(INDEX(PP_Grid[#Data],M_BOM[PPGridRow],83),0))/25.89</f>
        <v/>
      </c>
      <c r="CF89">
        <f>SUMPRODUCT((M_BOM[Part Name]=$A89)*M_BOM[RM_Qty_Per_Batch]*IFERROR(INDEX(PP_Grid[#Data],M_BOM[PPGridRow],84),0))/25.89</f>
        <v/>
      </c>
      <c r="CG89">
        <f>SUMPRODUCT((M_BOM[Part Name]=$A89)*M_BOM[RM_Qty_Per_Batch]*IFERROR(INDEX(PP_Grid[#Data],M_BOM[PPGridRow],85),0))/25.89</f>
        <v/>
      </c>
      <c r="CH89">
        <f>SUMPRODUCT((M_BOM[Part Name]=$A89)*M_BOM[RM_Qty_Per_Batch]*IFERROR(INDEX(PP_Grid[#Data],M_BOM[PPGridRow],86),0))/25.89</f>
        <v/>
      </c>
      <c r="CI89">
        <f>SUMPRODUCT((M_BOM[Part Name]=$A89)*M_BOM[RM_Qty_Per_Batch]*IFERROR(INDEX(PP_Grid[#Data],M_BOM[PPGridRow],87),0))/25.89</f>
        <v/>
      </c>
      <c r="CJ89">
        <f>SUMPRODUCT((M_BOM[Part Name]=$A89)*M_BOM[RM_Qty_Per_Batch]*IFERROR(INDEX(PP_Grid[#Data],M_BOM[PPGridRow],88),0))/25.89</f>
        <v/>
      </c>
      <c r="CK89">
        <f>SUMPRODUCT((M_BOM[Part Name]=$A89)*M_BOM[RM_Qty_Per_Batch]*IFERROR(INDEX(PP_Grid[#Data],M_BOM[PPGridRow],89),0))/25.89</f>
        <v/>
      </c>
      <c r="CL89">
        <f>SUMPRODUCT((M_BOM[Part Name]=$A89)*M_BOM[RM_Qty_Per_Batch]*IFERROR(INDEX(PP_Grid[#Data],M_BOM[PPGridRow],90),0))/25.89</f>
        <v/>
      </c>
      <c r="CM89">
        <f>SUMPRODUCT((M_BOM[Part Name]=$A89)*M_BOM[RM_Qty_Per_Batch]*IFERROR(INDEX(PP_Grid[#Data],M_BOM[PPGridRow],91),0))/25.89</f>
        <v/>
      </c>
      <c r="CN89">
        <f>SUMPRODUCT((M_BOM[Part Name]=$A89)*M_BOM[RM_Qty_Per_Batch]*IFERROR(INDEX(PP_Grid[#Data],M_BOM[PPGridRow],92),0))/25.89</f>
        <v/>
      </c>
      <c r="CO89">
        <f>SUMPRODUCT((M_BOM[Part Name]=$A89)*M_BOM[RM_Qty_Per_Batch]*IFERROR(INDEX(PP_Grid[#Data],M_BOM[PPGridRow],93),0))/25.89</f>
        <v/>
      </c>
      <c r="CP89">
        <f>SUMPRODUCT((M_BOM[Part Name]=$A89)*M_BOM[RM_Qty_Per_Batch]*IFERROR(INDEX(PP_Grid[#Data],M_BOM[PPGridRow],94),0))/25.89</f>
        <v/>
      </c>
      <c r="CQ89">
        <f>SUMPRODUCT((M_BOM[Part Name]=$A89)*M_BOM[RM_Qty_Per_Batch]*IFERROR(INDEX(PP_Grid[#Data],M_BOM[PPGridRow],95),0))/25.89</f>
        <v/>
      </c>
      <c r="CR89">
        <f>SUMPRODUCT((M_BOM[Part Name]=$A89)*M_BOM[RM_Qty_Per_Batch]*IFERROR(INDEX(PP_Grid[#Data],M_BOM[PPGridRow],96),0))/25.89</f>
        <v/>
      </c>
      <c r="CS89">
        <f>SUMPRODUCT((M_BOM[Part Name]=$A89)*M_BOM[RM_Qty_Per_Batch]*IFERROR(INDEX(PP_Grid[#Data],M_BOM[PPGridRow],97),0))/25.89</f>
        <v/>
      </c>
      <c r="CT89">
        <f>SUMPRODUCT((M_BOM[Part Name]=$A89)*M_BOM[RM_Qty_Per_Batch]*IFERROR(INDEX(PP_Grid[#Data],M_BOM[PPGridRow],98),0))/25.89</f>
        <v/>
      </c>
      <c r="CU89">
        <f>SUMPRODUCT((M_BOM[Part Name]=$A89)*M_BOM[RM_Qty_Per_Batch]*IFERROR(INDEX(PP_Grid[#Data],M_BOM[PPGridRow],99),0))/25.89</f>
        <v/>
      </c>
      <c r="CV89">
        <f>SUMPRODUCT((M_BOM[Part Name]=$A89)*M_BOM[RM_Qty_Per_Batch]*IFERROR(INDEX(PP_Grid[#Data],M_BOM[PPGridRow],100),0))/25.89</f>
        <v/>
      </c>
      <c r="CW89">
        <f>SUMPRODUCT((M_BOM[Part Name]=$A89)*M_BOM[RM_Qty_Per_Batch]*IFERROR(INDEX(PP_Grid[#Data],M_BOM[PPGridRow],101),0))/25.89</f>
        <v/>
      </c>
      <c r="CX89">
        <f>SUMPRODUCT((M_BOM[Part Name]=$A89)*M_BOM[RM_Qty_Per_Batch]*IFERROR(INDEX(PP_Grid[#Data],M_BOM[PPGridRow],102),0))/25.89</f>
        <v/>
      </c>
      <c r="CY89">
        <f>SUMPRODUCT((M_BOM[Part Name]=$A89)*M_BOM[RM_Qty_Per_Batch]*IFERROR(INDEX(PP_Grid[#Data],M_BOM[PPGridRow],103),0))/25.89</f>
        <v/>
      </c>
      <c r="CZ89">
        <f>SUMPRODUCT((M_BOM[Part Name]=$A89)*M_BOM[RM_Qty_Per_Batch]*IFERROR(INDEX(PP_Grid[#Data],M_BOM[PPGridRow],104),0))/25.89</f>
        <v/>
      </c>
      <c r="DA89">
        <f>SUMPRODUCT((M_BOM[Part Name]=$A89)*M_BOM[RM_Qty_Per_Batch]*IFERROR(INDEX(PP_Grid[#Data],M_BOM[PPGridRow],105),0))/25.89</f>
        <v/>
      </c>
    </row>
    <row r="90">
      <c r="A90" t="inlineStr">
        <is>
          <t>TPP-919</t>
        </is>
      </c>
      <c r="B90">
        <f>SUMPRODUCT((M_BOM[Part Name]=$A90)*M_BOM[RM_Qty_Per_Batch]*IFERROR(INDEX(PP_Grid[#Data],M_BOM[PPGridRow],2),0))/17.44</f>
        <v/>
      </c>
      <c r="C90">
        <f>SUMPRODUCT((M_BOM[Part Name]=$A90)*M_BOM[RM_Qty_Per_Batch]*IFERROR(INDEX(PP_Grid[#Data],M_BOM[PPGridRow],3),0))/17.44</f>
        <v/>
      </c>
      <c r="D90">
        <f>SUMPRODUCT((M_BOM[Part Name]=$A90)*M_BOM[RM_Qty_Per_Batch]*IFERROR(INDEX(PP_Grid[#Data],M_BOM[PPGridRow],4),0))/17.44</f>
        <v/>
      </c>
      <c r="E90">
        <f>SUMPRODUCT((M_BOM[Part Name]=$A90)*M_BOM[RM_Qty_Per_Batch]*IFERROR(INDEX(PP_Grid[#Data],M_BOM[PPGridRow],5),0))/17.44</f>
        <v/>
      </c>
      <c r="F90">
        <f>SUMPRODUCT((M_BOM[Part Name]=$A90)*M_BOM[RM_Qty_Per_Batch]*IFERROR(INDEX(PP_Grid[#Data],M_BOM[PPGridRow],6),0))/17.44</f>
        <v/>
      </c>
      <c r="G90">
        <f>SUMPRODUCT((M_BOM[Part Name]=$A90)*M_BOM[RM_Qty_Per_Batch]*IFERROR(INDEX(PP_Grid[#Data],M_BOM[PPGridRow],7),0))/17.44</f>
        <v/>
      </c>
      <c r="H90">
        <f>SUMPRODUCT((M_BOM[Part Name]=$A90)*M_BOM[RM_Qty_Per_Batch]*IFERROR(INDEX(PP_Grid[#Data],M_BOM[PPGridRow],8),0))/17.44</f>
        <v/>
      </c>
      <c r="I90">
        <f>SUMPRODUCT((M_BOM[Part Name]=$A90)*M_BOM[RM_Qty_Per_Batch]*IFERROR(INDEX(PP_Grid[#Data],M_BOM[PPGridRow],9),0))/17.44</f>
        <v/>
      </c>
      <c r="J90">
        <f>SUMPRODUCT((M_BOM[Part Name]=$A90)*M_BOM[RM_Qty_Per_Batch]*IFERROR(INDEX(PP_Grid[#Data],M_BOM[PPGridRow],10),0))/17.44</f>
        <v/>
      </c>
      <c r="K90">
        <f>SUMPRODUCT((M_BOM[Part Name]=$A90)*M_BOM[RM_Qty_Per_Batch]*IFERROR(INDEX(PP_Grid[#Data],M_BOM[PPGridRow],11),0))/17.44</f>
        <v/>
      </c>
      <c r="L90">
        <f>SUMPRODUCT((M_BOM[Part Name]=$A90)*M_BOM[RM_Qty_Per_Batch]*IFERROR(INDEX(PP_Grid[#Data],M_BOM[PPGridRow],12),0))/17.44</f>
        <v/>
      </c>
      <c r="M90">
        <f>SUMPRODUCT((M_BOM[Part Name]=$A90)*M_BOM[RM_Qty_Per_Batch]*IFERROR(INDEX(PP_Grid[#Data],M_BOM[PPGridRow],13),0))/17.44</f>
        <v/>
      </c>
      <c r="N90">
        <f>SUMPRODUCT((M_BOM[Part Name]=$A90)*M_BOM[RM_Qty_Per_Batch]*IFERROR(INDEX(PP_Grid[#Data],M_BOM[PPGridRow],14),0))/17.44</f>
        <v/>
      </c>
      <c r="O90">
        <f>SUMPRODUCT((M_BOM[Part Name]=$A90)*M_BOM[RM_Qty_Per_Batch]*IFERROR(INDEX(PP_Grid[#Data],M_BOM[PPGridRow],15),0))/17.44</f>
        <v/>
      </c>
      <c r="P90">
        <f>SUMPRODUCT((M_BOM[Part Name]=$A90)*M_BOM[RM_Qty_Per_Batch]*IFERROR(INDEX(PP_Grid[#Data],M_BOM[PPGridRow],16),0))/17.44</f>
        <v/>
      </c>
      <c r="Q90">
        <f>SUMPRODUCT((M_BOM[Part Name]=$A90)*M_BOM[RM_Qty_Per_Batch]*IFERROR(INDEX(PP_Grid[#Data],M_BOM[PPGridRow],17),0))/17.44</f>
        <v/>
      </c>
      <c r="R90">
        <f>SUMPRODUCT((M_BOM[Part Name]=$A90)*M_BOM[RM_Qty_Per_Batch]*IFERROR(INDEX(PP_Grid[#Data],M_BOM[PPGridRow],18),0))/17.44</f>
        <v/>
      </c>
      <c r="S90">
        <f>SUMPRODUCT((M_BOM[Part Name]=$A90)*M_BOM[RM_Qty_Per_Batch]*IFERROR(INDEX(PP_Grid[#Data],M_BOM[PPGridRow],19),0))/17.44</f>
        <v/>
      </c>
      <c r="T90">
        <f>SUMPRODUCT((M_BOM[Part Name]=$A90)*M_BOM[RM_Qty_Per_Batch]*IFERROR(INDEX(PP_Grid[#Data],M_BOM[PPGridRow],20),0))/17.44</f>
        <v/>
      </c>
      <c r="U90">
        <f>SUMPRODUCT((M_BOM[Part Name]=$A90)*M_BOM[RM_Qty_Per_Batch]*IFERROR(INDEX(PP_Grid[#Data],M_BOM[PPGridRow],21),0))/17.44</f>
        <v/>
      </c>
      <c r="V90">
        <f>SUMPRODUCT((M_BOM[Part Name]=$A90)*M_BOM[RM_Qty_Per_Batch]*IFERROR(INDEX(PP_Grid[#Data],M_BOM[PPGridRow],22),0))/17.44</f>
        <v/>
      </c>
      <c r="W90">
        <f>SUMPRODUCT((M_BOM[Part Name]=$A90)*M_BOM[RM_Qty_Per_Batch]*IFERROR(INDEX(PP_Grid[#Data],M_BOM[PPGridRow],23),0))/17.44</f>
        <v/>
      </c>
      <c r="X90">
        <f>SUMPRODUCT((M_BOM[Part Name]=$A90)*M_BOM[RM_Qty_Per_Batch]*IFERROR(INDEX(PP_Grid[#Data],M_BOM[PPGridRow],24),0))/17.44</f>
        <v/>
      </c>
      <c r="Y90">
        <f>SUMPRODUCT((M_BOM[Part Name]=$A90)*M_BOM[RM_Qty_Per_Batch]*IFERROR(INDEX(PP_Grid[#Data],M_BOM[PPGridRow],25),0))/17.44</f>
        <v/>
      </c>
      <c r="Z90">
        <f>SUMPRODUCT((M_BOM[Part Name]=$A90)*M_BOM[RM_Qty_Per_Batch]*IFERROR(INDEX(PP_Grid[#Data],M_BOM[PPGridRow],26),0))/17.44</f>
        <v/>
      </c>
      <c r="AA90">
        <f>SUMPRODUCT((M_BOM[Part Name]=$A90)*M_BOM[RM_Qty_Per_Batch]*IFERROR(INDEX(PP_Grid[#Data],M_BOM[PPGridRow],27),0))/17.44</f>
        <v/>
      </c>
      <c r="AB90">
        <f>SUMPRODUCT((M_BOM[Part Name]=$A90)*M_BOM[RM_Qty_Per_Batch]*IFERROR(INDEX(PP_Grid[#Data],M_BOM[PPGridRow],28),0))/17.44</f>
        <v/>
      </c>
      <c r="AC90">
        <f>SUMPRODUCT((M_BOM[Part Name]=$A90)*M_BOM[RM_Qty_Per_Batch]*IFERROR(INDEX(PP_Grid[#Data],M_BOM[PPGridRow],29),0))/17.44</f>
        <v/>
      </c>
      <c r="AD90">
        <f>SUMPRODUCT((M_BOM[Part Name]=$A90)*M_BOM[RM_Qty_Per_Batch]*IFERROR(INDEX(PP_Grid[#Data],M_BOM[PPGridRow],30),0))/17.44</f>
        <v/>
      </c>
      <c r="AE90">
        <f>SUMPRODUCT((M_BOM[Part Name]=$A90)*M_BOM[RM_Qty_Per_Batch]*IFERROR(INDEX(PP_Grid[#Data],M_BOM[PPGridRow],31),0))/17.44</f>
        <v/>
      </c>
      <c r="AF90">
        <f>SUMPRODUCT((M_BOM[Part Name]=$A90)*M_BOM[RM_Qty_Per_Batch]*IFERROR(INDEX(PP_Grid[#Data],M_BOM[PPGridRow],32),0))/17.44</f>
        <v/>
      </c>
      <c r="AG90">
        <f>SUMPRODUCT((M_BOM[Part Name]=$A90)*M_BOM[RM_Qty_Per_Batch]*IFERROR(INDEX(PP_Grid[#Data],M_BOM[PPGridRow],33),0))/17.44</f>
        <v/>
      </c>
      <c r="AH90">
        <f>SUMPRODUCT((M_BOM[Part Name]=$A90)*M_BOM[RM_Qty_Per_Batch]*IFERROR(INDEX(PP_Grid[#Data],M_BOM[PPGridRow],34),0))/17.44</f>
        <v/>
      </c>
      <c r="AI90">
        <f>SUMPRODUCT((M_BOM[Part Name]=$A90)*M_BOM[RM_Qty_Per_Batch]*IFERROR(INDEX(PP_Grid[#Data],M_BOM[PPGridRow],35),0))/17.44</f>
        <v/>
      </c>
      <c r="AJ90">
        <f>SUMPRODUCT((M_BOM[Part Name]=$A90)*M_BOM[RM_Qty_Per_Batch]*IFERROR(INDEX(PP_Grid[#Data],M_BOM[PPGridRow],36),0))/17.44</f>
        <v/>
      </c>
      <c r="AK90">
        <f>SUMPRODUCT((M_BOM[Part Name]=$A90)*M_BOM[RM_Qty_Per_Batch]*IFERROR(INDEX(PP_Grid[#Data],M_BOM[PPGridRow],37),0))/17.44</f>
        <v/>
      </c>
      <c r="AL90">
        <f>SUMPRODUCT((M_BOM[Part Name]=$A90)*M_BOM[RM_Qty_Per_Batch]*IFERROR(INDEX(PP_Grid[#Data],M_BOM[PPGridRow],38),0))/17.44</f>
        <v/>
      </c>
      <c r="AM90">
        <f>SUMPRODUCT((M_BOM[Part Name]=$A90)*M_BOM[RM_Qty_Per_Batch]*IFERROR(INDEX(PP_Grid[#Data],M_BOM[PPGridRow],39),0))/17.44</f>
        <v/>
      </c>
      <c r="AN90">
        <f>SUMPRODUCT((M_BOM[Part Name]=$A90)*M_BOM[RM_Qty_Per_Batch]*IFERROR(INDEX(PP_Grid[#Data],M_BOM[PPGridRow],40),0))/17.44</f>
        <v/>
      </c>
      <c r="AO90">
        <f>SUMPRODUCT((M_BOM[Part Name]=$A90)*M_BOM[RM_Qty_Per_Batch]*IFERROR(INDEX(PP_Grid[#Data],M_BOM[PPGridRow],41),0))/17.44</f>
        <v/>
      </c>
      <c r="AP90">
        <f>SUMPRODUCT((M_BOM[Part Name]=$A90)*M_BOM[RM_Qty_Per_Batch]*IFERROR(INDEX(PP_Grid[#Data],M_BOM[PPGridRow],42),0))/17.44</f>
        <v/>
      </c>
      <c r="AQ90">
        <f>SUMPRODUCT((M_BOM[Part Name]=$A90)*M_BOM[RM_Qty_Per_Batch]*IFERROR(INDEX(PP_Grid[#Data],M_BOM[PPGridRow],43),0))/17.44</f>
        <v/>
      </c>
      <c r="AR90">
        <f>SUMPRODUCT((M_BOM[Part Name]=$A90)*M_BOM[RM_Qty_Per_Batch]*IFERROR(INDEX(PP_Grid[#Data],M_BOM[PPGridRow],44),0))/17.44</f>
        <v/>
      </c>
      <c r="AS90">
        <f>SUMPRODUCT((M_BOM[Part Name]=$A90)*M_BOM[RM_Qty_Per_Batch]*IFERROR(INDEX(PP_Grid[#Data],M_BOM[PPGridRow],45),0))/17.44</f>
        <v/>
      </c>
      <c r="AT90">
        <f>SUMPRODUCT((M_BOM[Part Name]=$A90)*M_BOM[RM_Qty_Per_Batch]*IFERROR(INDEX(PP_Grid[#Data],M_BOM[PPGridRow],46),0))/17.44</f>
        <v/>
      </c>
      <c r="AU90">
        <f>SUMPRODUCT((M_BOM[Part Name]=$A90)*M_BOM[RM_Qty_Per_Batch]*IFERROR(INDEX(PP_Grid[#Data],M_BOM[PPGridRow],47),0))/17.44</f>
        <v/>
      </c>
      <c r="AV90">
        <f>SUMPRODUCT((M_BOM[Part Name]=$A90)*M_BOM[RM_Qty_Per_Batch]*IFERROR(INDEX(PP_Grid[#Data],M_BOM[PPGridRow],48),0))/17.44</f>
        <v/>
      </c>
      <c r="AW90">
        <f>SUMPRODUCT((M_BOM[Part Name]=$A90)*M_BOM[RM_Qty_Per_Batch]*IFERROR(INDEX(PP_Grid[#Data],M_BOM[PPGridRow],49),0))/17.44</f>
        <v/>
      </c>
      <c r="AX90">
        <f>SUMPRODUCT((M_BOM[Part Name]=$A90)*M_BOM[RM_Qty_Per_Batch]*IFERROR(INDEX(PP_Grid[#Data],M_BOM[PPGridRow],50),0))/17.44</f>
        <v/>
      </c>
      <c r="AY90">
        <f>SUMPRODUCT((M_BOM[Part Name]=$A90)*M_BOM[RM_Qty_Per_Batch]*IFERROR(INDEX(PP_Grid[#Data],M_BOM[PPGridRow],51),0))/17.44</f>
        <v/>
      </c>
      <c r="AZ90">
        <f>SUMPRODUCT((M_BOM[Part Name]=$A90)*M_BOM[RM_Qty_Per_Batch]*IFERROR(INDEX(PP_Grid[#Data],M_BOM[PPGridRow],52),0))/17.44</f>
        <v/>
      </c>
      <c r="BA90">
        <f>SUMPRODUCT((M_BOM[Part Name]=$A90)*M_BOM[RM_Qty_Per_Batch]*IFERROR(INDEX(PP_Grid[#Data],M_BOM[PPGridRow],53),0))/17.44</f>
        <v/>
      </c>
      <c r="BB90">
        <f>SUMPRODUCT((M_BOM[Part Name]=$A90)*M_BOM[RM_Qty_Per_Batch]*IFERROR(INDEX(PP_Grid[#Data],M_BOM[PPGridRow],54),0))/17.44</f>
        <v/>
      </c>
      <c r="BC90">
        <f>SUMPRODUCT((M_BOM[Part Name]=$A90)*M_BOM[RM_Qty_Per_Batch]*IFERROR(INDEX(PP_Grid[#Data],M_BOM[PPGridRow],55),0))/17.44</f>
        <v/>
      </c>
      <c r="BD90">
        <f>SUMPRODUCT((M_BOM[Part Name]=$A90)*M_BOM[RM_Qty_Per_Batch]*IFERROR(INDEX(PP_Grid[#Data],M_BOM[PPGridRow],56),0))/17.44</f>
        <v/>
      </c>
      <c r="BE90">
        <f>SUMPRODUCT((M_BOM[Part Name]=$A90)*M_BOM[RM_Qty_Per_Batch]*IFERROR(INDEX(PP_Grid[#Data],M_BOM[PPGridRow],57),0))/17.44</f>
        <v/>
      </c>
      <c r="BF90">
        <f>SUMPRODUCT((M_BOM[Part Name]=$A90)*M_BOM[RM_Qty_Per_Batch]*IFERROR(INDEX(PP_Grid[#Data],M_BOM[PPGridRow],58),0))/17.44</f>
        <v/>
      </c>
      <c r="BG90">
        <f>SUMPRODUCT((M_BOM[Part Name]=$A90)*M_BOM[RM_Qty_Per_Batch]*IFERROR(INDEX(PP_Grid[#Data],M_BOM[PPGridRow],59),0))/17.44</f>
        <v/>
      </c>
      <c r="BH90">
        <f>SUMPRODUCT((M_BOM[Part Name]=$A90)*M_BOM[RM_Qty_Per_Batch]*IFERROR(INDEX(PP_Grid[#Data],M_BOM[PPGridRow],60),0))/17.44</f>
        <v/>
      </c>
      <c r="BI90">
        <f>SUMPRODUCT((M_BOM[Part Name]=$A90)*M_BOM[RM_Qty_Per_Batch]*IFERROR(INDEX(PP_Grid[#Data],M_BOM[PPGridRow],61),0))/17.44</f>
        <v/>
      </c>
      <c r="BJ90">
        <f>SUMPRODUCT((M_BOM[Part Name]=$A90)*M_BOM[RM_Qty_Per_Batch]*IFERROR(INDEX(PP_Grid[#Data],M_BOM[PPGridRow],62),0))/17.44</f>
        <v/>
      </c>
      <c r="BK90">
        <f>SUMPRODUCT((M_BOM[Part Name]=$A90)*M_BOM[RM_Qty_Per_Batch]*IFERROR(INDEX(PP_Grid[#Data],M_BOM[PPGridRow],63),0))/17.44</f>
        <v/>
      </c>
      <c r="BL90">
        <f>SUMPRODUCT((M_BOM[Part Name]=$A90)*M_BOM[RM_Qty_Per_Batch]*IFERROR(INDEX(PP_Grid[#Data],M_BOM[PPGridRow],64),0))/17.44</f>
        <v/>
      </c>
      <c r="BM90">
        <f>SUMPRODUCT((M_BOM[Part Name]=$A90)*M_BOM[RM_Qty_Per_Batch]*IFERROR(INDEX(PP_Grid[#Data],M_BOM[PPGridRow],65),0))/17.44</f>
        <v/>
      </c>
      <c r="BN90">
        <f>SUMPRODUCT((M_BOM[Part Name]=$A90)*M_BOM[RM_Qty_Per_Batch]*IFERROR(INDEX(PP_Grid[#Data],M_BOM[PPGridRow],66),0))/17.44</f>
        <v/>
      </c>
      <c r="BO90">
        <f>SUMPRODUCT((M_BOM[Part Name]=$A90)*M_BOM[RM_Qty_Per_Batch]*IFERROR(INDEX(PP_Grid[#Data],M_BOM[PPGridRow],67),0))/17.44</f>
        <v/>
      </c>
      <c r="BP90">
        <f>SUMPRODUCT((M_BOM[Part Name]=$A90)*M_BOM[RM_Qty_Per_Batch]*IFERROR(INDEX(PP_Grid[#Data],M_BOM[PPGridRow],68),0))/17.44</f>
        <v/>
      </c>
      <c r="BQ90">
        <f>SUMPRODUCT((M_BOM[Part Name]=$A90)*M_BOM[RM_Qty_Per_Batch]*IFERROR(INDEX(PP_Grid[#Data],M_BOM[PPGridRow],69),0))/17.44</f>
        <v/>
      </c>
      <c r="BR90">
        <f>SUMPRODUCT((M_BOM[Part Name]=$A90)*M_BOM[RM_Qty_Per_Batch]*IFERROR(INDEX(PP_Grid[#Data],M_BOM[PPGridRow],70),0))/17.44</f>
        <v/>
      </c>
      <c r="BS90">
        <f>SUMPRODUCT((M_BOM[Part Name]=$A90)*M_BOM[RM_Qty_Per_Batch]*IFERROR(INDEX(PP_Grid[#Data],M_BOM[PPGridRow],71),0))/17.44</f>
        <v/>
      </c>
      <c r="BT90">
        <f>SUMPRODUCT((M_BOM[Part Name]=$A90)*M_BOM[RM_Qty_Per_Batch]*IFERROR(INDEX(PP_Grid[#Data],M_BOM[PPGridRow],72),0))/17.44</f>
        <v/>
      </c>
      <c r="BU90">
        <f>SUMPRODUCT((M_BOM[Part Name]=$A90)*M_BOM[RM_Qty_Per_Batch]*IFERROR(INDEX(PP_Grid[#Data],M_BOM[PPGridRow],73),0))/17.44</f>
        <v/>
      </c>
      <c r="BV90">
        <f>SUMPRODUCT((M_BOM[Part Name]=$A90)*M_BOM[RM_Qty_Per_Batch]*IFERROR(INDEX(PP_Grid[#Data],M_BOM[PPGridRow],74),0))/17.44</f>
        <v/>
      </c>
      <c r="BW90">
        <f>SUMPRODUCT((M_BOM[Part Name]=$A90)*M_BOM[RM_Qty_Per_Batch]*IFERROR(INDEX(PP_Grid[#Data],M_BOM[PPGridRow],75),0))/17.44</f>
        <v/>
      </c>
      <c r="BX90">
        <f>SUMPRODUCT((M_BOM[Part Name]=$A90)*M_BOM[RM_Qty_Per_Batch]*IFERROR(INDEX(PP_Grid[#Data],M_BOM[PPGridRow],76),0))/17.44</f>
        <v/>
      </c>
      <c r="BY90">
        <f>SUMPRODUCT((M_BOM[Part Name]=$A90)*M_BOM[RM_Qty_Per_Batch]*IFERROR(INDEX(PP_Grid[#Data],M_BOM[PPGridRow],77),0))/17.44</f>
        <v/>
      </c>
      <c r="BZ90">
        <f>SUMPRODUCT((M_BOM[Part Name]=$A90)*M_BOM[RM_Qty_Per_Batch]*IFERROR(INDEX(PP_Grid[#Data],M_BOM[PPGridRow],78),0))/17.44</f>
        <v/>
      </c>
      <c r="CA90">
        <f>SUMPRODUCT((M_BOM[Part Name]=$A90)*M_BOM[RM_Qty_Per_Batch]*IFERROR(INDEX(PP_Grid[#Data],M_BOM[PPGridRow],79),0))/17.44</f>
        <v/>
      </c>
      <c r="CB90">
        <f>SUMPRODUCT((M_BOM[Part Name]=$A90)*M_BOM[RM_Qty_Per_Batch]*IFERROR(INDEX(PP_Grid[#Data],M_BOM[PPGridRow],80),0))/17.44</f>
        <v/>
      </c>
      <c r="CC90">
        <f>SUMPRODUCT((M_BOM[Part Name]=$A90)*M_BOM[RM_Qty_Per_Batch]*IFERROR(INDEX(PP_Grid[#Data],M_BOM[PPGridRow],81),0))/17.44</f>
        <v/>
      </c>
      <c r="CD90">
        <f>SUMPRODUCT((M_BOM[Part Name]=$A90)*M_BOM[RM_Qty_Per_Batch]*IFERROR(INDEX(PP_Grid[#Data],M_BOM[PPGridRow],82),0))/17.44</f>
        <v/>
      </c>
      <c r="CE90">
        <f>SUMPRODUCT((M_BOM[Part Name]=$A90)*M_BOM[RM_Qty_Per_Batch]*IFERROR(INDEX(PP_Grid[#Data],M_BOM[PPGridRow],83),0))/17.44</f>
        <v/>
      </c>
      <c r="CF90">
        <f>SUMPRODUCT((M_BOM[Part Name]=$A90)*M_BOM[RM_Qty_Per_Batch]*IFERROR(INDEX(PP_Grid[#Data],M_BOM[PPGridRow],84),0))/17.44</f>
        <v/>
      </c>
      <c r="CG90">
        <f>SUMPRODUCT((M_BOM[Part Name]=$A90)*M_BOM[RM_Qty_Per_Batch]*IFERROR(INDEX(PP_Grid[#Data],M_BOM[PPGridRow],85),0))/17.44</f>
        <v/>
      </c>
      <c r="CH90">
        <f>SUMPRODUCT((M_BOM[Part Name]=$A90)*M_BOM[RM_Qty_Per_Batch]*IFERROR(INDEX(PP_Grid[#Data],M_BOM[PPGridRow],86),0))/17.44</f>
        <v/>
      </c>
      <c r="CI90">
        <f>SUMPRODUCT((M_BOM[Part Name]=$A90)*M_BOM[RM_Qty_Per_Batch]*IFERROR(INDEX(PP_Grid[#Data],M_BOM[PPGridRow],87),0))/17.44</f>
        <v/>
      </c>
      <c r="CJ90">
        <f>SUMPRODUCT((M_BOM[Part Name]=$A90)*M_BOM[RM_Qty_Per_Batch]*IFERROR(INDEX(PP_Grid[#Data],M_BOM[PPGridRow],88),0))/17.44</f>
        <v/>
      </c>
      <c r="CK90">
        <f>SUMPRODUCT((M_BOM[Part Name]=$A90)*M_BOM[RM_Qty_Per_Batch]*IFERROR(INDEX(PP_Grid[#Data],M_BOM[PPGridRow],89),0))/17.44</f>
        <v/>
      </c>
      <c r="CL90">
        <f>SUMPRODUCT((M_BOM[Part Name]=$A90)*M_BOM[RM_Qty_Per_Batch]*IFERROR(INDEX(PP_Grid[#Data],M_BOM[PPGridRow],90),0))/17.44</f>
        <v/>
      </c>
      <c r="CM90">
        <f>SUMPRODUCT((M_BOM[Part Name]=$A90)*M_BOM[RM_Qty_Per_Batch]*IFERROR(INDEX(PP_Grid[#Data],M_BOM[PPGridRow],91),0))/17.44</f>
        <v/>
      </c>
      <c r="CN90">
        <f>SUMPRODUCT((M_BOM[Part Name]=$A90)*M_BOM[RM_Qty_Per_Batch]*IFERROR(INDEX(PP_Grid[#Data],M_BOM[PPGridRow],92),0))/17.44</f>
        <v/>
      </c>
      <c r="CO90">
        <f>SUMPRODUCT((M_BOM[Part Name]=$A90)*M_BOM[RM_Qty_Per_Batch]*IFERROR(INDEX(PP_Grid[#Data],M_BOM[PPGridRow],93),0))/17.44</f>
        <v/>
      </c>
      <c r="CP90">
        <f>SUMPRODUCT((M_BOM[Part Name]=$A90)*M_BOM[RM_Qty_Per_Batch]*IFERROR(INDEX(PP_Grid[#Data],M_BOM[PPGridRow],94),0))/17.44</f>
        <v/>
      </c>
      <c r="CQ90">
        <f>SUMPRODUCT((M_BOM[Part Name]=$A90)*M_BOM[RM_Qty_Per_Batch]*IFERROR(INDEX(PP_Grid[#Data],M_BOM[PPGridRow],95),0))/17.44</f>
        <v/>
      </c>
      <c r="CR90">
        <f>SUMPRODUCT((M_BOM[Part Name]=$A90)*M_BOM[RM_Qty_Per_Batch]*IFERROR(INDEX(PP_Grid[#Data],M_BOM[PPGridRow],96),0))/17.44</f>
        <v/>
      </c>
      <c r="CS90">
        <f>SUMPRODUCT((M_BOM[Part Name]=$A90)*M_BOM[RM_Qty_Per_Batch]*IFERROR(INDEX(PP_Grid[#Data],M_BOM[PPGridRow],97),0))/17.44</f>
        <v/>
      </c>
      <c r="CT90">
        <f>SUMPRODUCT((M_BOM[Part Name]=$A90)*M_BOM[RM_Qty_Per_Batch]*IFERROR(INDEX(PP_Grid[#Data],M_BOM[PPGridRow],98),0))/17.44</f>
        <v/>
      </c>
      <c r="CU90">
        <f>SUMPRODUCT((M_BOM[Part Name]=$A90)*M_BOM[RM_Qty_Per_Batch]*IFERROR(INDEX(PP_Grid[#Data],M_BOM[PPGridRow],99),0))/17.44</f>
        <v/>
      </c>
      <c r="CV90">
        <f>SUMPRODUCT((M_BOM[Part Name]=$A90)*M_BOM[RM_Qty_Per_Batch]*IFERROR(INDEX(PP_Grid[#Data],M_BOM[PPGridRow],100),0))/17.44</f>
        <v/>
      </c>
      <c r="CW90">
        <f>SUMPRODUCT((M_BOM[Part Name]=$A90)*M_BOM[RM_Qty_Per_Batch]*IFERROR(INDEX(PP_Grid[#Data],M_BOM[PPGridRow],101),0))/17.44</f>
        <v/>
      </c>
      <c r="CX90">
        <f>SUMPRODUCT((M_BOM[Part Name]=$A90)*M_BOM[RM_Qty_Per_Batch]*IFERROR(INDEX(PP_Grid[#Data],M_BOM[PPGridRow],102),0))/17.44</f>
        <v/>
      </c>
      <c r="CY90">
        <f>SUMPRODUCT((M_BOM[Part Name]=$A90)*M_BOM[RM_Qty_Per_Batch]*IFERROR(INDEX(PP_Grid[#Data],M_BOM[PPGridRow],103),0))/17.44</f>
        <v/>
      </c>
      <c r="CZ90">
        <f>SUMPRODUCT((M_BOM[Part Name]=$A90)*M_BOM[RM_Qty_Per_Batch]*IFERROR(INDEX(PP_Grid[#Data],M_BOM[PPGridRow],104),0))/17.44</f>
        <v/>
      </c>
      <c r="DA90">
        <f>SUMPRODUCT((M_BOM[Part Name]=$A90)*M_BOM[RM_Qty_Per_Batch]*IFERROR(INDEX(PP_Grid[#Data],M_BOM[PPGridRow],105),0))/17.44</f>
        <v/>
      </c>
    </row>
    <row r="91">
      <c r="A91" t="inlineStr">
        <is>
          <t>TPP-920</t>
        </is>
      </c>
      <c r="B91">
        <f>SUMPRODUCT((M_BOM[Part Name]=$A91)*M_BOM[RM_Qty_Per_Batch]*IFERROR(INDEX(PP_Grid[#Data],M_BOM[PPGridRow],2),0))/18.05</f>
        <v/>
      </c>
      <c r="C91">
        <f>SUMPRODUCT((M_BOM[Part Name]=$A91)*M_BOM[RM_Qty_Per_Batch]*IFERROR(INDEX(PP_Grid[#Data],M_BOM[PPGridRow],3),0))/18.05</f>
        <v/>
      </c>
      <c r="D91">
        <f>SUMPRODUCT((M_BOM[Part Name]=$A91)*M_BOM[RM_Qty_Per_Batch]*IFERROR(INDEX(PP_Grid[#Data],M_BOM[PPGridRow],4),0))/18.05</f>
        <v/>
      </c>
      <c r="E91">
        <f>SUMPRODUCT((M_BOM[Part Name]=$A91)*M_BOM[RM_Qty_Per_Batch]*IFERROR(INDEX(PP_Grid[#Data],M_BOM[PPGridRow],5),0))/18.05</f>
        <v/>
      </c>
      <c r="F91">
        <f>SUMPRODUCT((M_BOM[Part Name]=$A91)*M_BOM[RM_Qty_Per_Batch]*IFERROR(INDEX(PP_Grid[#Data],M_BOM[PPGridRow],6),0))/18.05</f>
        <v/>
      </c>
      <c r="G91">
        <f>SUMPRODUCT((M_BOM[Part Name]=$A91)*M_BOM[RM_Qty_Per_Batch]*IFERROR(INDEX(PP_Grid[#Data],M_BOM[PPGridRow],7),0))/18.05</f>
        <v/>
      </c>
      <c r="H91">
        <f>SUMPRODUCT((M_BOM[Part Name]=$A91)*M_BOM[RM_Qty_Per_Batch]*IFERROR(INDEX(PP_Grid[#Data],M_BOM[PPGridRow],8),0))/18.05</f>
        <v/>
      </c>
      <c r="I91">
        <f>SUMPRODUCT((M_BOM[Part Name]=$A91)*M_BOM[RM_Qty_Per_Batch]*IFERROR(INDEX(PP_Grid[#Data],M_BOM[PPGridRow],9),0))/18.05</f>
        <v/>
      </c>
      <c r="J91">
        <f>SUMPRODUCT((M_BOM[Part Name]=$A91)*M_BOM[RM_Qty_Per_Batch]*IFERROR(INDEX(PP_Grid[#Data],M_BOM[PPGridRow],10),0))/18.05</f>
        <v/>
      </c>
      <c r="K91">
        <f>SUMPRODUCT((M_BOM[Part Name]=$A91)*M_BOM[RM_Qty_Per_Batch]*IFERROR(INDEX(PP_Grid[#Data],M_BOM[PPGridRow],11),0))/18.05</f>
        <v/>
      </c>
      <c r="L91">
        <f>SUMPRODUCT((M_BOM[Part Name]=$A91)*M_BOM[RM_Qty_Per_Batch]*IFERROR(INDEX(PP_Grid[#Data],M_BOM[PPGridRow],12),0))/18.05</f>
        <v/>
      </c>
      <c r="M91">
        <f>SUMPRODUCT((M_BOM[Part Name]=$A91)*M_BOM[RM_Qty_Per_Batch]*IFERROR(INDEX(PP_Grid[#Data],M_BOM[PPGridRow],13),0))/18.05</f>
        <v/>
      </c>
      <c r="N91">
        <f>SUMPRODUCT((M_BOM[Part Name]=$A91)*M_BOM[RM_Qty_Per_Batch]*IFERROR(INDEX(PP_Grid[#Data],M_BOM[PPGridRow],14),0))/18.05</f>
        <v/>
      </c>
      <c r="O91">
        <f>SUMPRODUCT((M_BOM[Part Name]=$A91)*M_BOM[RM_Qty_Per_Batch]*IFERROR(INDEX(PP_Grid[#Data],M_BOM[PPGridRow],15),0))/18.05</f>
        <v/>
      </c>
      <c r="P91">
        <f>SUMPRODUCT((M_BOM[Part Name]=$A91)*M_BOM[RM_Qty_Per_Batch]*IFERROR(INDEX(PP_Grid[#Data],M_BOM[PPGridRow],16),0))/18.05</f>
        <v/>
      </c>
      <c r="Q91">
        <f>SUMPRODUCT((M_BOM[Part Name]=$A91)*M_BOM[RM_Qty_Per_Batch]*IFERROR(INDEX(PP_Grid[#Data],M_BOM[PPGridRow],17),0))/18.05</f>
        <v/>
      </c>
      <c r="R91">
        <f>SUMPRODUCT((M_BOM[Part Name]=$A91)*M_BOM[RM_Qty_Per_Batch]*IFERROR(INDEX(PP_Grid[#Data],M_BOM[PPGridRow],18),0))/18.05</f>
        <v/>
      </c>
      <c r="S91">
        <f>SUMPRODUCT((M_BOM[Part Name]=$A91)*M_BOM[RM_Qty_Per_Batch]*IFERROR(INDEX(PP_Grid[#Data],M_BOM[PPGridRow],19),0))/18.05</f>
        <v/>
      </c>
      <c r="T91">
        <f>SUMPRODUCT((M_BOM[Part Name]=$A91)*M_BOM[RM_Qty_Per_Batch]*IFERROR(INDEX(PP_Grid[#Data],M_BOM[PPGridRow],20),0))/18.05</f>
        <v/>
      </c>
      <c r="U91">
        <f>SUMPRODUCT((M_BOM[Part Name]=$A91)*M_BOM[RM_Qty_Per_Batch]*IFERROR(INDEX(PP_Grid[#Data],M_BOM[PPGridRow],21),0))/18.05</f>
        <v/>
      </c>
      <c r="V91">
        <f>SUMPRODUCT((M_BOM[Part Name]=$A91)*M_BOM[RM_Qty_Per_Batch]*IFERROR(INDEX(PP_Grid[#Data],M_BOM[PPGridRow],22),0))/18.05</f>
        <v/>
      </c>
      <c r="W91">
        <f>SUMPRODUCT((M_BOM[Part Name]=$A91)*M_BOM[RM_Qty_Per_Batch]*IFERROR(INDEX(PP_Grid[#Data],M_BOM[PPGridRow],23),0))/18.05</f>
        <v/>
      </c>
      <c r="X91">
        <f>SUMPRODUCT((M_BOM[Part Name]=$A91)*M_BOM[RM_Qty_Per_Batch]*IFERROR(INDEX(PP_Grid[#Data],M_BOM[PPGridRow],24),0))/18.05</f>
        <v/>
      </c>
      <c r="Y91">
        <f>SUMPRODUCT((M_BOM[Part Name]=$A91)*M_BOM[RM_Qty_Per_Batch]*IFERROR(INDEX(PP_Grid[#Data],M_BOM[PPGridRow],25),0))/18.05</f>
        <v/>
      </c>
      <c r="Z91">
        <f>SUMPRODUCT((M_BOM[Part Name]=$A91)*M_BOM[RM_Qty_Per_Batch]*IFERROR(INDEX(PP_Grid[#Data],M_BOM[PPGridRow],26),0))/18.05</f>
        <v/>
      </c>
      <c r="AA91">
        <f>SUMPRODUCT((M_BOM[Part Name]=$A91)*M_BOM[RM_Qty_Per_Batch]*IFERROR(INDEX(PP_Grid[#Data],M_BOM[PPGridRow],27),0))/18.05</f>
        <v/>
      </c>
      <c r="AB91">
        <f>SUMPRODUCT((M_BOM[Part Name]=$A91)*M_BOM[RM_Qty_Per_Batch]*IFERROR(INDEX(PP_Grid[#Data],M_BOM[PPGridRow],28),0))/18.05</f>
        <v/>
      </c>
      <c r="AC91">
        <f>SUMPRODUCT((M_BOM[Part Name]=$A91)*M_BOM[RM_Qty_Per_Batch]*IFERROR(INDEX(PP_Grid[#Data],M_BOM[PPGridRow],29),0))/18.05</f>
        <v/>
      </c>
      <c r="AD91">
        <f>SUMPRODUCT((M_BOM[Part Name]=$A91)*M_BOM[RM_Qty_Per_Batch]*IFERROR(INDEX(PP_Grid[#Data],M_BOM[PPGridRow],30),0))/18.05</f>
        <v/>
      </c>
      <c r="AE91">
        <f>SUMPRODUCT((M_BOM[Part Name]=$A91)*M_BOM[RM_Qty_Per_Batch]*IFERROR(INDEX(PP_Grid[#Data],M_BOM[PPGridRow],31),0))/18.05</f>
        <v/>
      </c>
      <c r="AF91">
        <f>SUMPRODUCT((M_BOM[Part Name]=$A91)*M_BOM[RM_Qty_Per_Batch]*IFERROR(INDEX(PP_Grid[#Data],M_BOM[PPGridRow],32),0))/18.05</f>
        <v/>
      </c>
      <c r="AG91">
        <f>SUMPRODUCT((M_BOM[Part Name]=$A91)*M_BOM[RM_Qty_Per_Batch]*IFERROR(INDEX(PP_Grid[#Data],M_BOM[PPGridRow],33),0))/18.05</f>
        <v/>
      </c>
      <c r="AH91">
        <f>SUMPRODUCT((M_BOM[Part Name]=$A91)*M_BOM[RM_Qty_Per_Batch]*IFERROR(INDEX(PP_Grid[#Data],M_BOM[PPGridRow],34),0))/18.05</f>
        <v/>
      </c>
      <c r="AI91">
        <f>SUMPRODUCT((M_BOM[Part Name]=$A91)*M_BOM[RM_Qty_Per_Batch]*IFERROR(INDEX(PP_Grid[#Data],M_BOM[PPGridRow],35),0))/18.05</f>
        <v/>
      </c>
      <c r="AJ91">
        <f>SUMPRODUCT((M_BOM[Part Name]=$A91)*M_BOM[RM_Qty_Per_Batch]*IFERROR(INDEX(PP_Grid[#Data],M_BOM[PPGridRow],36),0))/18.05</f>
        <v/>
      </c>
      <c r="AK91">
        <f>SUMPRODUCT((M_BOM[Part Name]=$A91)*M_BOM[RM_Qty_Per_Batch]*IFERROR(INDEX(PP_Grid[#Data],M_BOM[PPGridRow],37),0))/18.05</f>
        <v/>
      </c>
      <c r="AL91">
        <f>SUMPRODUCT((M_BOM[Part Name]=$A91)*M_BOM[RM_Qty_Per_Batch]*IFERROR(INDEX(PP_Grid[#Data],M_BOM[PPGridRow],38),0))/18.05</f>
        <v/>
      </c>
      <c r="AM91">
        <f>SUMPRODUCT((M_BOM[Part Name]=$A91)*M_BOM[RM_Qty_Per_Batch]*IFERROR(INDEX(PP_Grid[#Data],M_BOM[PPGridRow],39),0))/18.05</f>
        <v/>
      </c>
      <c r="AN91">
        <f>SUMPRODUCT((M_BOM[Part Name]=$A91)*M_BOM[RM_Qty_Per_Batch]*IFERROR(INDEX(PP_Grid[#Data],M_BOM[PPGridRow],40),0))/18.05</f>
        <v/>
      </c>
      <c r="AO91">
        <f>SUMPRODUCT((M_BOM[Part Name]=$A91)*M_BOM[RM_Qty_Per_Batch]*IFERROR(INDEX(PP_Grid[#Data],M_BOM[PPGridRow],41),0))/18.05</f>
        <v/>
      </c>
      <c r="AP91">
        <f>SUMPRODUCT((M_BOM[Part Name]=$A91)*M_BOM[RM_Qty_Per_Batch]*IFERROR(INDEX(PP_Grid[#Data],M_BOM[PPGridRow],42),0))/18.05</f>
        <v/>
      </c>
      <c r="AQ91">
        <f>SUMPRODUCT((M_BOM[Part Name]=$A91)*M_BOM[RM_Qty_Per_Batch]*IFERROR(INDEX(PP_Grid[#Data],M_BOM[PPGridRow],43),0))/18.05</f>
        <v/>
      </c>
      <c r="AR91">
        <f>SUMPRODUCT((M_BOM[Part Name]=$A91)*M_BOM[RM_Qty_Per_Batch]*IFERROR(INDEX(PP_Grid[#Data],M_BOM[PPGridRow],44),0))/18.05</f>
        <v/>
      </c>
      <c r="AS91">
        <f>SUMPRODUCT((M_BOM[Part Name]=$A91)*M_BOM[RM_Qty_Per_Batch]*IFERROR(INDEX(PP_Grid[#Data],M_BOM[PPGridRow],45),0))/18.05</f>
        <v/>
      </c>
      <c r="AT91">
        <f>SUMPRODUCT((M_BOM[Part Name]=$A91)*M_BOM[RM_Qty_Per_Batch]*IFERROR(INDEX(PP_Grid[#Data],M_BOM[PPGridRow],46),0))/18.05</f>
        <v/>
      </c>
      <c r="AU91">
        <f>SUMPRODUCT((M_BOM[Part Name]=$A91)*M_BOM[RM_Qty_Per_Batch]*IFERROR(INDEX(PP_Grid[#Data],M_BOM[PPGridRow],47),0))/18.05</f>
        <v/>
      </c>
      <c r="AV91">
        <f>SUMPRODUCT((M_BOM[Part Name]=$A91)*M_BOM[RM_Qty_Per_Batch]*IFERROR(INDEX(PP_Grid[#Data],M_BOM[PPGridRow],48),0))/18.05</f>
        <v/>
      </c>
      <c r="AW91">
        <f>SUMPRODUCT((M_BOM[Part Name]=$A91)*M_BOM[RM_Qty_Per_Batch]*IFERROR(INDEX(PP_Grid[#Data],M_BOM[PPGridRow],49),0))/18.05</f>
        <v/>
      </c>
      <c r="AX91">
        <f>SUMPRODUCT((M_BOM[Part Name]=$A91)*M_BOM[RM_Qty_Per_Batch]*IFERROR(INDEX(PP_Grid[#Data],M_BOM[PPGridRow],50),0))/18.05</f>
        <v/>
      </c>
      <c r="AY91">
        <f>SUMPRODUCT((M_BOM[Part Name]=$A91)*M_BOM[RM_Qty_Per_Batch]*IFERROR(INDEX(PP_Grid[#Data],M_BOM[PPGridRow],51),0))/18.05</f>
        <v/>
      </c>
      <c r="AZ91">
        <f>SUMPRODUCT((M_BOM[Part Name]=$A91)*M_BOM[RM_Qty_Per_Batch]*IFERROR(INDEX(PP_Grid[#Data],M_BOM[PPGridRow],52),0))/18.05</f>
        <v/>
      </c>
      <c r="BA91">
        <f>SUMPRODUCT((M_BOM[Part Name]=$A91)*M_BOM[RM_Qty_Per_Batch]*IFERROR(INDEX(PP_Grid[#Data],M_BOM[PPGridRow],53),0))/18.05</f>
        <v/>
      </c>
      <c r="BB91">
        <f>SUMPRODUCT((M_BOM[Part Name]=$A91)*M_BOM[RM_Qty_Per_Batch]*IFERROR(INDEX(PP_Grid[#Data],M_BOM[PPGridRow],54),0))/18.05</f>
        <v/>
      </c>
      <c r="BC91">
        <f>SUMPRODUCT((M_BOM[Part Name]=$A91)*M_BOM[RM_Qty_Per_Batch]*IFERROR(INDEX(PP_Grid[#Data],M_BOM[PPGridRow],55),0))/18.05</f>
        <v/>
      </c>
      <c r="BD91">
        <f>SUMPRODUCT((M_BOM[Part Name]=$A91)*M_BOM[RM_Qty_Per_Batch]*IFERROR(INDEX(PP_Grid[#Data],M_BOM[PPGridRow],56),0))/18.05</f>
        <v/>
      </c>
      <c r="BE91">
        <f>SUMPRODUCT((M_BOM[Part Name]=$A91)*M_BOM[RM_Qty_Per_Batch]*IFERROR(INDEX(PP_Grid[#Data],M_BOM[PPGridRow],57),0))/18.05</f>
        <v/>
      </c>
      <c r="BF91">
        <f>SUMPRODUCT((M_BOM[Part Name]=$A91)*M_BOM[RM_Qty_Per_Batch]*IFERROR(INDEX(PP_Grid[#Data],M_BOM[PPGridRow],58),0))/18.05</f>
        <v/>
      </c>
      <c r="BG91">
        <f>SUMPRODUCT((M_BOM[Part Name]=$A91)*M_BOM[RM_Qty_Per_Batch]*IFERROR(INDEX(PP_Grid[#Data],M_BOM[PPGridRow],59),0))/18.05</f>
        <v/>
      </c>
      <c r="BH91">
        <f>SUMPRODUCT((M_BOM[Part Name]=$A91)*M_BOM[RM_Qty_Per_Batch]*IFERROR(INDEX(PP_Grid[#Data],M_BOM[PPGridRow],60),0))/18.05</f>
        <v/>
      </c>
      <c r="BI91">
        <f>SUMPRODUCT((M_BOM[Part Name]=$A91)*M_BOM[RM_Qty_Per_Batch]*IFERROR(INDEX(PP_Grid[#Data],M_BOM[PPGridRow],61),0))/18.05</f>
        <v/>
      </c>
      <c r="BJ91">
        <f>SUMPRODUCT((M_BOM[Part Name]=$A91)*M_BOM[RM_Qty_Per_Batch]*IFERROR(INDEX(PP_Grid[#Data],M_BOM[PPGridRow],62),0))/18.05</f>
        <v/>
      </c>
      <c r="BK91">
        <f>SUMPRODUCT((M_BOM[Part Name]=$A91)*M_BOM[RM_Qty_Per_Batch]*IFERROR(INDEX(PP_Grid[#Data],M_BOM[PPGridRow],63),0))/18.05</f>
        <v/>
      </c>
      <c r="BL91">
        <f>SUMPRODUCT((M_BOM[Part Name]=$A91)*M_BOM[RM_Qty_Per_Batch]*IFERROR(INDEX(PP_Grid[#Data],M_BOM[PPGridRow],64),0))/18.05</f>
        <v/>
      </c>
      <c r="BM91">
        <f>SUMPRODUCT((M_BOM[Part Name]=$A91)*M_BOM[RM_Qty_Per_Batch]*IFERROR(INDEX(PP_Grid[#Data],M_BOM[PPGridRow],65),0))/18.05</f>
        <v/>
      </c>
      <c r="BN91">
        <f>SUMPRODUCT((M_BOM[Part Name]=$A91)*M_BOM[RM_Qty_Per_Batch]*IFERROR(INDEX(PP_Grid[#Data],M_BOM[PPGridRow],66),0))/18.05</f>
        <v/>
      </c>
      <c r="BO91">
        <f>SUMPRODUCT((M_BOM[Part Name]=$A91)*M_BOM[RM_Qty_Per_Batch]*IFERROR(INDEX(PP_Grid[#Data],M_BOM[PPGridRow],67),0))/18.05</f>
        <v/>
      </c>
      <c r="BP91">
        <f>SUMPRODUCT((M_BOM[Part Name]=$A91)*M_BOM[RM_Qty_Per_Batch]*IFERROR(INDEX(PP_Grid[#Data],M_BOM[PPGridRow],68),0))/18.05</f>
        <v/>
      </c>
      <c r="BQ91">
        <f>SUMPRODUCT((M_BOM[Part Name]=$A91)*M_BOM[RM_Qty_Per_Batch]*IFERROR(INDEX(PP_Grid[#Data],M_BOM[PPGridRow],69),0))/18.05</f>
        <v/>
      </c>
      <c r="BR91">
        <f>SUMPRODUCT((M_BOM[Part Name]=$A91)*M_BOM[RM_Qty_Per_Batch]*IFERROR(INDEX(PP_Grid[#Data],M_BOM[PPGridRow],70),0))/18.05</f>
        <v/>
      </c>
      <c r="BS91">
        <f>SUMPRODUCT((M_BOM[Part Name]=$A91)*M_BOM[RM_Qty_Per_Batch]*IFERROR(INDEX(PP_Grid[#Data],M_BOM[PPGridRow],71),0))/18.05</f>
        <v/>
      </c>
      <c r="BT91">
        <f>SUMPRODUCT((M_BOM[Part Name]=$A91)*M_BOM[RM_Qty_Per_Batch]*IFERROR(INDEX(PP_Grid[#Data],M_BOM[PPGridRow],72),0))/18.05</f>
        <v/>
      </c>
      <c r="BU91">
        <f>SUMPRODUCT((M_BOM[Part Name]=$A91)*M_BOM[RM_Qty_Per_Batch]*IFERROR(INDEX(PP_Grid[#Data],M_BOM[PPGridRow],73),0))/18.05</f>
        <v/>
      </c>
      <c r="BV91">
        <f>SUMPRODUCT((M_BOM[Part Name]=$A91)*M_BOM[RM_Qty_Per_Batch]*IFERROR(INDEX(PP_Grid[#Data],M_BOM[PPGridRow],74),0))/18.05</f>
        <v/>
      </c>
      <c r="BW91">
        <f>SUMPRODUCT((M_BOM[Part Name]=$A91)*M_BOM[RM_Qty_Per_Batch]*IFERROR(INDEX(PP_Grid[#Data],M_BOM[PPGridRow],75),0))/18.05</f>
        <v/>
      </c>
      <c r="BX91">
        <f>SUMPRODUCT((M_BOM[Part Name]=$A91)*M_BOM[RM_Qty_Per_Batch]*IFERROR(INDEX(PP_Grid[#Data],M_BOM[PPGridRow],76),0))/18.05</f>
        <v/>
      </c>
      <c r="BY91">
        <f>SUMPRODUCT((M_BOM[Part Name]=$A91)*M_BOM[RM_Qty_Per_Batch]*IFERROR(INDEX(PP_Grid[#Data],M_BOM[PPGridRow],77),0))/18.05</f>
        <v/>
      </c>
      <c r="BZ91">
        <f>SUMPRODUCT((M_BOM[Part Name]=$A91)*M_BOM[RM_Qty_Per_Batch]*IFERROR(INDEX(PP_Grid[#Data],M_BOM[PPGridRow],78),0))/18.05</f>
        <v/>
      </c>
      <c r="CA91">
        <f>SUMPRODUCT((M_BOM[Part Name]=$A91)*M_BOM[RM_Qty_Per_Batch]*IFERROR(INDEX(PP_Grid[#Data],M_BOM[PPGridRow],79),0))/18.05</f>
        <v/>
      </c>
      <c r="CB91">
        <f>SUMPRODUCT((M_BOM[Part Name]=$A91)*M_BOM[RM_Qty_Per_Batch]*IFERROR(INDEX(PP_Grid[#Data],M_BOM[PPGridRow],80),0))/18.05</f>
        <v/>
      </c>
      <c r="CC91">
        <f>SUMPRODUCT((M_BOM[Part Name]=$A91)*M_BOM[RM_Qty_Per_Batch]*IFERROR(INDEX(PP_Grid[#Data],M_BOM[PPGridRow],81),0))/18.05</f>
        <v/>
      </c>
      <c r="CD91">
        <f>SUMPRODUCT((M_BOM[Part Name]=$A91)*M_BOM[RM_Qty_Per_Batch]*IFERROR(INDEX(PP_Grid[#Data],M_BOM[PPGridRow],82),0))/18.05</f>
        <v/>
      </c>
      <c r="CE91">
        <f>SUMPRODUCT((M_BOM[Part Name]=$A91)*M_BOM[RM_Qty_Per_Batch]*IFERROR(INDEX(PP_Grid[#Data],M_BOM[PPGridRow],83),0))/18.05</f>
        <v/>
      </c>
      <c r="CF91">
        <f>SUMPRODUCT((M_BOM[Part Name]=$A91)*M_BOM[RM_Qty_Per_Batch]*IFERROR(INDEX(PP_Grid[#Data],M_BOM[PPGridRow],84),0))/18.05</f>
        <v/>
      </c>
      <c r="CG91">
        <f>SUMPRODUCT((M_BOM[Part Name]=$A91)*M_BOM[RM_Qty_Per_Batch]*IFERROR(INDEX(PP_Grid[#Data],M_BOM[PPGridRow],85),0))/18.05</f>
        <v/>
      </c>
      <c r="CH91">
        <f>SUMPRODUCT((M_BOM[Part Name]=$A91)*M_BOM[RM_Qty_Per_Batch]*IFERROR(INDEX(PP_Grid[#Data],M_BOM[PPGridRow],86),0))/18.05</f>
        <v/>
      </c>
      <c r="CI91">
        <f>SUMPRODUCT((M_BOM[Part Name]=$A91)*M_BOM[RM_Qty_Per_Batch]*IFERROR(INDEX(PP_Grid[#Data],M_BOM[PPGridRow],87),0))/18.05</f>
        <v/>
      </c>
      <c r="CJ91">
        <f>SUMPRODUCT((M_BOM[Part Name]=$A91)*M_BOM[RM_Qty_Per_Batch]*IFERROR(INDEX(PP_Grid[#Data],M_BOM[PPGridRow],88),0))/18.05</f>
        <v/>
      </c>
      <c r="CK91">
        <f>SUMPRODUCT((M_BOM[Part Name]=$A91)*M_BOM[RM_Qty_Per_Batch]*IFERROR(INDEX(PP_Grid[#Data],M_BOM[PPGridRow],89),0))/18.05</f>
        <v/>
      </c>
      <c r="CL91">
        <f>SUMPRODUCT((M_BOM[Part Name]=$A91)*M_BOM[RM_Qty_Per_Batch]*IFERROR(INDEX(PP_Grid[#Data],M_BOM[PPGridRow],90),0))/18.05</f>
        <v/>
      </c>
      <c r="CM91">
        <f>SUMPRODUCT((M_BOM[Part Name]=$A91)*M_BOM[RM_Qty_Per_Batch]*IFERROR(INDEX(PP_Grid[#Data],M_BOM[PPGridRow],91),0))/18.05</f>
        <v/>
      </c>
      <c r="CN91">
        <f>SUMPRODUCT((M_BOM[Part Name]=$A91)*M_BOM[RM_Qty_Per_Batch]*IFERROR(INDEX(PP_Grid[#Data],M_BOM[PPGridRow],92),0))/18.05</f>
        <v/>
      </c>
      <c r="CO91">
        <f>SUMPRODUCT((M_BOM[Part Name]=$A91)*M_BOM[RM_Qty_Per_Batch]*IFERROR(INDEX(PP_Grid[#Data],M_BOM[PPGridRow],93),0))/18.05</f>
        <v/>
      </c>
      <c r="CP91">
        <f>SUMPRODUCT((M_BOM[Part Name]=$A91)*M_BOM[RM_Qty_Per_Batch]*IFERROR(INDEX(PP_Grid[#Data],M_BOM[PPGridRow],94),0))/18.05</f>
        <v/>
      </c>
      <c r="CQ91">
        <f>SUMPRODUCT((M_BOM[Part Name]=$A91)*M_BOM[RM_Qty_Per_Batch]*IFERROR(INDEX(PP_Grid[#Data],M_BOM[PPGridRow],95),0))/18.05</f>
        <v/>
      </c>
      <c r="CR91">
        <f>SUMPRODUCT((M_BOM[Part Name]=$A91)*M_BOM[RM_Qty_Per_Batch]*IFERROR(INDEX(PP_Grid[#Data],M_BOM[PPGridRow],96),0))/18.05</f>
        <v/>
      </c>
      <c r="CS91">
        <f>SUMPRODUCT((M_BOM[Part Name]=$A91)*M_BOM[RM_Qty_Per_Batch]*IFERROR(INDEX(PP_Grid[#Data],M_BOM[PPGridRow],97),0))/18.05</f>
        <v/>
      </c>
      <c r="CT91">
        <f>SUMPRODUCT((M_BOM[Part Name]=$A91)*M_BOM[RM_Qty_Per_Batch]*IFERROR(INDEX(PP_Grid[#Data],M_BOM[PPGridRow],98),0))/18.05</f>
        <v/>
      </c>
      <c r="CU91">
        <f>SUMPRODUCT((M_BOM[Part Name]=$A91)*M_BOM[RM_Qty_Per_Batch]*IFERROR(INDEX(PP_Grid[#Data],M_BOM[PPGridRow],99),0))/18.05</f>
        <v/>
      </c>
      <c r="CV91">
        <f>SUMPRODUCT((M_BOM[Part Name]=$A91)*M_BOM[RM_Qty_Per_Batch]*IFERROR(INDEX(PP_Grid[#Data],M_BOM[PPGridRow],100),0))/18.05</f>
        <v/>
      </c>
      <c r="CW91">
        <f>SUMPRODUCT((M_BOM[Part Name]=$A91)*M_BOM[RM_Qty_Per_Batch]*IFERROR(INDEX(PP_Grid[#Data],M_BOM[PPGridRow],101),0))/18.05</f>
        <v/>
      </c>
      <c r="CX91">
        <f>SUMPRODUCT((M_BOM[Part Name]=$A91)*M_BOM[RM_Qty_Per_Batch]*IFERROR(INDEX(PP_Grid[#Data],M_BOM[PPGridRow],102),0))/18.05</f>
        <v/>
      </c>
      <c r="CY91">
        <f>SUMPRODUCT((M_BOM[Part Name]=$A91)*M_BOM[RM_Qty_Per_Batch]*IFERROR(INDEX(PP_Grid[#Data],M_BOM[PPGridRow],103),0))/18.05</f>
        <v/>
      </c>
      <c r="CZ91">
        <f>SUMPRODUCT((M_BOM[Part Name]=$A91)*M_BOM[RM_Qty_Per_Batch]*IFERROR(INDEX(PP_Grid[#Data],M_BOM[PPGridRow],104),0))/18.05</f>
        <v/>
      </c>
      <c r="DA91">
        <f>SUMPRODUCT((M_BOM[Part Name]=$A91)*M_BOM[RM_Qty_Per_Batch]*IFERROR(INDEX(PP_Grid[#Data],M_BOM[PPGridRow],105),0))/18.05</f>
        <v/>
      </c>
    </row>
    <row r="92">
      <c r="A92" t="inlineStr">
        <is>
          <t>TPP-922</t>
        </is>
      </c>
      <c r="B92">
        <f>SUMPRODUCT((M_BOM[Part Name]=$A92)*M_BOM[RM_Qty_Per_Batch]*IFERROR(INDEX(PP_Grid[#Data],M_BOM[PPGridRow],2),0))/17.69</f>
        <v/>
      </c>
      <c r="C92">
        <f>SUMPRODUCT((M_BOM[Part Name]=$A92)*M_BOM[RM_Qty_Per_Batch]*IFERROR(INDEX(PP_Grid[#Data],M_BOM[PPGridRow],3),0))/17.69</f>
        <v/>
      </c>
      <c r="D92">
        <f>SUMPRODUCT((M_BOM[Part Name]=$A92)*M_BOM[RM_Qty_Per_Batch]*IFERROR(INDEX(PP_Grid[#Data],M_BOM[PPGridRow],4),0))/17.69</f>
        <v/>
      </c>
      <c r="E92">
        <f>SUMPRODUCT((M_BOM[Part Name]=$A92)*M_BOM[RM_Qty_Per_Batch]*IFERROR(INDEX(PP_Grid[#Data],M_BOM[PPGridRow],5),0))/17.69</f>
        <v/>
      </c>
      <c r="F92">
        <f>SUMPRODUCT((M_BOM[Part Name]=$A92)*M_BOM[RM_Qty_Per_Batch]*IFERROR(INDEX(PP_Grid[#Data],M_BOM[PPGridRow],6),0))/17.69</f>
        <v/>
      </c>
      <c r="G92">
        <f>SUMPRODUCT((M_BOM[Part Name]=$A92)*M_BOM[RM_Qty_Per_Batch]*IFERROR(INDEX(PP_Grid[#Data],M_BOM[PPGridRow],7),0))/17.69</f>
        <v/>
      </c>
      <c r="H92">
        <f>SUMPRODUCT((M_BOM[Part Name]=$A92)*M_BOM[RM_Qty_Per_Batch]*IFERROR(INDEX(PP_Grid[#Data],M_BOM[PPGridRow],8),0))/17.69</f>
        <v/>
      </c>
      <c r="I92">
        <f>SUMPRODUCT((M_BOM[Part Name]=$A92)*M_BOM[RM_Qty_Per_Batch]*IFERROR(INDEX(PP_Grid[#Data],M_BOM[PPGridRow],9),0))/17.69</f>
        <v/>
      </c>
      <c r="J92">
        <f>SUMPRODUCT((M_BOM[Part Name]=$A92)*M_BOM[RM_Qty_Per_Batch]*IFERROR(INDEX(PP_Grid[#Data],M_BOM[PPGridRow],10),0))/17.69</f>
        <v/>
      </c>
      <c r="K92">
        <f>SUMPRODUCT((M_BOM[Part Name]=$A92)*M_BOM[RM_Qty_Per_Batch]*IFERROR(INDEX(PP_Grid[#Data],M_BOM[PPGridRow],11),0))/17.69</f>
        <v/>
      </c>
      <c r="L92">
        <f>SUMPRODUCT((M_BOM[Part Name]=$A92)*M_BOM[RM_Qty_Per_Batch]*IFERROR(INDEX(PP_Grid[#Data],M_BOM[PPGridRow],12),0))/17.69</f>
        <v/>
      </c>
      <c r="M92">
        <f>SUMPRODUCT((M_BOM[Part Name]=$A92)*M_BOM[RM_Qty_Per_Batch]*IFERROR(INDEX(PP_Grid[#Data],M_BOM[PPGridRow],13),0))/17.69</f>
        <v/>
      </c>
      <c r="N92">
        <f>SUMPRODUCT((M_BOM[Part Name]=$A92)*M_BOM[RM_Qty_Per_Batch]*IFERROR(INDEX(PP_Grid[#Data],M_BOM[PPGridRow],14),0))/17.69</f>
        <v/>
      </c>
      <c r="O92">
        <f>SUMPRODUCT((M_BOM[Part Name]=$A92)*M_BOM[RM_Qty_Per_Batch]*IFERROR(INDEX(PP_Grid[#Data],M_BOM[PPGridRow],15),0))/17.69</f>
        <v/>
      </c>
      <c r="P92">
        <f>SUMPRODUCT((M_BOM[Part Name]=$A92)*M_BOM[RM_Qty_Per_Batch]*IFERROR(INDEX(PP_Grid[#Data],M_BOM[PPGridRow],16),0))/17.69</f>
        <v/>
      </c>
      <c r="Q92">
        <f>SUMPRODUCT((M_BOM[Part Name]=$A92)*M_BOM[RM_Qty_Per_Batch]*IFERROR(INDEX(PP_Grid[#Data],M_BOM[PPGridRow],17),0))/17.69</f>
        <v/>
      </c>
      <c r="R92">
        <f>SUMPRODUCT((M_BOM[Part Name]=$A92)*M_BOM[RM_Qty_Per_Batch]*IFERROR(INDEX(PP_Grid[#Data],M_BOM[PPGridRow],18),0))/17.69</f>
        <v/>
      </c>
      <c r="S92">
        <f>SUMPRODUCT((M_BOM[Part Name]=$A92)*M_BOM[RM_Qty_Per_Batch]*IFERROR(INDEX(PP_Grid[#Data],M_BOM[PPGridRow],19),0))/17.69</f>
        <v/>
      </c>
      <c r="T92">
        <f>SUMPRODUCT((M_BOM[Part Name]=$A92)*M_BOM[RM_Qty_Per_Batch]*IFERROR(INDEX(PP_Grid[#Data],M_BOM[PPGridRow],20),0))/17.69</f>
        <v/>
      </c>
      <c r="U92">
        <f>SUMPRODUCT((M_BOM[Part Name]=$A92)*M_BOM[RM_Qty_Per_Batch]*IFERROR(INDEX(PP_Grid[#Data],M_BOM[PPGridRow],21),0))/17.69</f>
        <v/>
      </c>
      <c r="V92">
        <f>SUMPRODUCT((M_BOM[Part Name]=$A92)*M_BOM[RM_Qty_Per_Batch]*IFERROR(INDEX(PP_Grid[#Data],M_BOM[PPGridRow],22),0))/17.69</f>
        <v/>
      </c>
      <c r="W92">
        <f>SUMPRODUCT((M_BOM[Part Name]=$A92)*M_BOM[RM_Qty_Per_Batch]*IFERROR(INDEX(PP_Grid[#Data],M_BOM[PPGridRow],23),0))/17.69</f>
        <v/>
      </c>
      <c r="X92">
        <f>SUMPRODUCT((M_BOM[Part Name]=$A92)*M_BOM[RM_Qty_Per_Batch]*IFERROR(INDEX(PP_Grid[#Data],M_BOM[PPGridRow],24),0))/17.69</f>
        <v/>
      </c>
      <c r="Y92">
        <f>SUMPRODUCT((M_BOM[Part Name]=$A92)*M_BOM[RM_Qty_Per_Batch]*IFERROR(INDEX(PP_Grid[#Data],M_BOM[PPGridRow],25),0))/17.69</f>
        <v/>
      </c>
      <c r="Z92">
        <f>SUMPRODUCT((M_BOM[Part Name]=$A92)*M_BOM[RM_Qty_Per_Batch]*IFERROR(INDEX(PP_Grid[#Data],M_BOM[PPGridRow],26),0))/17.69</f>
        <v/>
      </c>
      <c r="AA92">
        <f>SUMPRODUCT((M_BOM[Part Name]=$A92)*M_BOM[RM_Qty_Per_Batch]*IFERROR(INDEX(PP_Grid[#Data],M_BOM[PPGridRow],27),0))/17.69</f>
        <v/>
      </c>
      <c r="AB92">
        <f>SUMPRODUCT((M_BOM[Part Name]=$A92)*M_BOM[RM_Qty_Per_Batch]*IFERROR(INDEX(PP_Grid[#Data],M_BOM[PPGridRow],28),0))/17.69</f>
        <v/>
      </c>
      <c r="AC92">
        <f>SUMPRODUCT((M_BOM[Part Name]=$A92)*M_BOM[RM_Qty_Per_Batch]*IFERROR(INDEX(PP_Grid[#Data],M_BOM[PPGridRow],29),0))/17.69</f>
        <v/>
      </c>
      <c r="AD92">
        <f>SUMPRODUCT((M_BOM[Part Name]=$A92)*M_BOM[RM_Qty_Per_Batch]*IFERROR(INDEX(PP_Grid[#Data],M_BOM[PPGridRow],30),0))/17.69</f>
        <v/>
      </c>
      <c r="AE92">
        <f>SUMPRODUCT((M_BOM[Part Name]=$A92)*M_BOM[RM_Qty_Per_Batch]*IFERROR(INDEX(PP_Grid[#Data],M_BOM[PPGridRow],31),0))/17.69</f>
        <v/>
      </c>
      <c r="AF92">
        <f>SUMPRODUCT((M_BOM[Part Name]=$A92)*M_BOM[RM_Qty_Per_Batch]*IFERROR(INDEX(PP_Grid[#Data],M_BOM[PPGridRow],32),0))/17.69</f>
        <v/>
      </c>
      <c r="AG92">
        <f>SUMPRODUCT((M_BOM[Part Name]=$A92)*M_BOM[RM_Qty_Per_Batch]*IFERROR(INDEX(PP_Grid[#Data],M_BOM[PPGridRow],33),0))/17.69</f>
        <v/>
      </c>
      <c r="AH92">
        <f>SUMPRODUCT((M_BOM[Part Name]=$A92)*M_BOM[RM_Qty_Per_Batch]*IFERROR(INDEX(PP_Grid[#Data],M_BOM[PPGridRow],34),0))/17.69</f>
        <v/>
      </c>
      <c r="AI92">
        <f>SUMPRODUCT((M_BOM[Part Name]=$A92)*M_BOM[RM_Qty_Per_Batch]*IFERROR(INDEX(PP_Grid[#Data],M_BOM[PPGridRow],35),0))/17.69</f>
        <v/>
      </c>
      <c r="AJ92">
        <f>SUMPRODUCT((M_BOM[Part Name]=$A92)*M_BOM[RM_Qty_Per_Batch]*IFERROR(INDEX(PP_Grid[#Data],M_BOM[PPGridRow],36),0))/17.69</f>
        <v/>
      </c>
      <c r="AK92">
        <f>SUMPRODUCT((M_BOM[Part Name]=$A92)*M_BOM[RM_Qty_Per_Batch]*IFERROR(INDEX(PP_Grid[#Data],M_BOM[PPGridRow],37),0))/17.69</f>
        <v/>
      </c>
      <c r="AL92">
        <f>SUMPRODUCT((M_BOM[Part Name]=$A92)*M_BOM[RM_Qty_Per_Batch]*IFERROR(INDEX(PP_Grid[#Data],M_BOM[PPGridRow],38),0))/17.69</f>
        <v/>
      </c>
      <c r="AM92">
        <f>SUMPRODUCT((M_BOM[Part Name]=$A92)*M_BOM[RM_Qty_Per_Batch]*IFERROR(INDEX(PP_Grid[#Data],M_BOM[PPGridRow],39),0))/17.69</f>
        <v/>
      </c>
      <c r="AN92">
        <f>SUMPRODUCT((M_BOM[Part Name]=$A92)*M_BOM[RM_Qty_Per_Batch]*IFERROR(INDEX(PP_Grid[#Data],M_BOM[PPGridRow],40),0))/17.69</f>
        <v/>
      </c>
      <c r="AO92">
        <f>SUMPRODUCT((M_BOM[Part Name]=$A92)*M_BOM[RM_Qty_Per_Batch]*IFERROR(INDEX(PP_Grid[#Data],M_BOM[PPGridRow],41),0))/17.69</f>
        <v/>
      </c>
      <c r="AP92">
        <f>SUMPRODUCT((M_BOM[Part Name]=$A92)*M_BOM[RM_Qty_Per_Batch]*IFERROR(INDEX(PP_Grid[#Data],M_BOM[PPGridRow],42),0))/17.69</f>
        <v/>
      </c>
      <c r="AQ92">
        <f>SUMPRODUCT((M_BOM[Part Name]=$A92)*M_BOM[RM_Qty_Per_Batch]*IFERROR(INDEX(PP_Grid[#Data],M_BOM[PPGridRow],43),0))/17.69</f>
        <v/>
      </c>
      <c r="AR92">
        <f>SUMPRODUCT((M_BOM[Part Name]=$A92)*M_BOM[RM_Qty_Per_Batch]*IFERROR(INDEX(PP_Grid[#Data],M_BOM[PPGridRow],44),0))/17.69</f>
        <v/>
      </c>
      <c r="AS92">
        <f>SUMPRODUCT((M_BOM[Part Name]=$A92)*M_BOM[RM_Qty_Per_Batch]*IFERROR(INDEX(PP_Grid[#Data],M_BOM[PPGridRow],45),0))/17.69</f>
        <v/>
      </c>
      <c r="AT92">
        <f>SUMPRODUCT((M_BOM[Part Name]=$A92)*M_BOM[RM_Qty_Per_Batch]*IFERROR(INDEX(PP_Grid[#Data],M_BOM[PPGridRow],46),0))/17.69</f>
        <v/>
      </c>
      <c r="AU92">
        <f>SUMPRODUCT((M_BOM[Part Name]=$A92)*M_BOM[RM_Qty_Per_Batch]*IFERROR(INDEX(PP_Grid[#Data],M_BOM[PPGridRow],47),0))/17.69</f>
        <v/>
      </c>
      <c r="AV92">
        <f>SUMPRODUCT((M_BOM[Part Name]=$A92)*M_BOM[RM_Qty_Per_Batch]*IFERROR(INDEX(PP_Grid[#Data],M_BOM[PPGridRow],48),0))/17.69</f>
        <v/>
      </c>
      <c r="AW92">
        <f>SUMPRODUCT((M_BOM[Part Name]=$A92)*M_BOM[RM_Qty_Per_Batch]*IFERROR(INDEX(PP_Grid[#Data],M_BOM[PPGridRow],49),0))/17.69</f>
        <v/>
      </c>
      <c r="AX92">
        <f>SUMPRODUCT((M_BOM[Part Name]=$A92)*M_BOM[RM_Qty_Per_Batch]*IFERROR(INDEX(PP_Grid[#Data],M_BOM[PPGridRow],50),0))/17.69</f>
        <v/>
      </c>
      <c r="AY92">
        <f>SUMPRODUCT((M_BOM[Part Name]=$A92)*M_BOM[RM_Qty_Per_Batch]*IFERROR(INDEX(PP_Grid[#Data],M_BOM[PPGridRow],51),0))/17.69</f>
        <v/>
      </c>
      <c r="AZ92">
        <f>SUMPRODUCT((M_BOM[Part Name]=$A92)*M_BOM[RM_Qty_Per_Batch]*IFERROR(INDEX(PP_Grid[#Data],M_BOM[PPGridRow],52),0))/17.69</f>
        <v/>
      </c>
      <c r="BA92">
        <f>SUMPRODUCT((M_BOM[Part Name]=$A92)*M_BOM[RM_Qty_Per_Batch]*IFERROR(INDEX(PP_Grid[#Data],M_BOM[PPGridRow],53),0))/17.69</f>
        <v/>
      </c>
      <c r="BB92">
        <f>SUMPRODUCT((M_BOM[Part Name]=$A92)*M_BOM[RM_Qty_Per_Batch]*IFERROR(INDEX(PP_Grid[#Data],M_BOM[PPGridRow],54),0))/17.69</f>
        <v/>
      </c>
      <c r="BC92">
        <f>SUMPRODUCT((M_BOM[Part Name]=$A92)*M_BOM[RM_Qty_Per_Batch]*IFERROR(INDEX(PP_Grid[#Data],M_BOM[PPGridRow],55),0))/17.69</f>
        <v/>
      </c>
      <c r="BD92">
        <f>SUMPRODUCT((M_BOM[Part Name]=$A92)*M_BOM[RM_Qty_Per_Batch]*IFERROR(INDEX(PP_Grid[#Data],M_BOM[PPGridRow],56),0))/17.69</f>
        <v/>
      </c>
      <c r="BE92">
        <f>SUMPRODUCT((M_BOM[Part Name]=$A92)*M_BOM[RM_Qty_Per_Batch]*IFERROR(INDEX(PP_Grid[#Data],M_BOM[PPGridRow],57),0))/17.69</f>
        <v/>
      </c>
      <c r="BF92">
        <f>SUMPRODUCT((M_BOM[Part Name]=$A92)*M_BOM[RM_Qty_Per_Batch]*IFERROR(INDEX(PP_Grid[#Data],M_BOM[PPGridRow],58),0))/17.69</f>
        <v/>
      </c>
      <c r="BG92">
        <f>SUMPRODUCT((M_BOM[Part Name]=$A92)*M_BOM[RM_Qty_Per_Batch]*IFERROR(INDEX(PP_Grid[#Data],M_BOM[PPGridRow],59),0))/17.69</f>
        <v/>
      </c>
      <c r="BH92">
        <f>SUMPRODUCT((M_BOM[Part Name]=$A92)*M_BOM[RM_Qty_Per_Batch]*IFERROR(INDEX(PP_Grid[#Data],M_BOM[PPGridRow],60),0))/17.69</f>
        <v/>
      </c>
      <c r="BI92">
        <f>SUMPRODUCT((M_BOM[Part Name]=$A92)*M_BOM[RM_Qty_Per_Batch]*IFERROR(INDEX(PP_Grid[#Data],M_BOM[PPGridRow],61),0))/17.69</f>
        <v/>
      </c>
      <c r="BJ92">
        <f>SUMPRODUCT((M_BOM[Part Name]=$A92)*M_BOM[RM_Qty_Per_Batch]*IFERROR(INDEX(PP_Grid[#Data],M_BOM[PPGridRow],62),0))/17.69</f>
        <v/>
      </c>
      <c r="BK92">
        <f>SUMPRODUCT((M_BOM[Part Name]=$A92)*M_BOM[RM_Qty_Per_Batch]*IFERROR(INDEX(PP_Grid[#Data],M_BOM[PPGridRow],63),0))/17.69</f>
        <v/>
      </c>
      <c r="BL92">
        <f>SUMPRODUCT((M_BOM[Part Name]=$A92)*M_BOM[RM_Qty_Per_Batch]*IFERROR(INDEX(PP_Grid[#Data],M_BOM[PPGridRow],64),0))/17.69</f>
        <v/>
      </c>
      <c r="BM92">
        <f>SUMPRODUCT((M_BOM[Part Name]=$A92)*M_BOM[RM_Qty_Per_Batch]*IFERROR(INDEX(PP_Grid[#Data],M_BOM[PPGridRow],65),0))/17.69</f>
        <v/>
      </c>
      <c r="BN92">
        <f>SUMPRODUCT((M_BOM[Part Name]=$A92)*M_BOM[RM_Qty_Per_Batch]*IFERROR(INDEX(PP_Grid[#Data],M_BOM[PPGridRow],66),0))/17.69</f>
        <v/>
      </c>
      <c r="BO92">
        <f>SUMPRODUCT((M_BOM[Part Name]=$A92)*M_BOM[RM_Qty_Per_Batch]*IFERROR(INDEX(PP_Grid[#Data],M_BOM[PPGridRow],67),0))/17.69</f>
        <v/>
      </c>
      <c r="BP92">
        <f>SUMPRODUCT((M_BOM[Part Name]=$A92)*M_BOM[RM_Qty_Per_Batch]*IFERROR(INDEX(PP_Grid[#Data],M_BOM[PPGridRow],68),0))/17.69</f>
        <v/>
      </c>
      <c r="BQ92">
        <f>SUMPRODUCT((M_BOM[Part Name]=$A92)*M_BOM[RM_Qty_Per_Batch]*IFERROR(INDEX(PP_Grid[#Data],M_BOM[PPGridRow],69),0))/17.69</f>
        <v/>
      </c>
      <c r="BR92">
        <f>SUMPRODUCT((M_BOM[Part Name]=$A92)*M_BOM[RM_Qty_Per_Batch]*IFERROR(INDEX(PP_Grid[#Data],M_BOM[PPGridRow],70),0))/17.69</f>
        <v/>
      </c>
      <c r="BS92">
        <f>SUMPRODUCT((M_BOM[Part Name]=$A92)*M_BOM[RM_Qty_Per_Batch]*IFERROR(INDEX(PP_Grid[#Data],M_BOM[PPGridRow],71),0))/17.69</f>
        <v/>
      </c>
      <c r="BT92">
        <f>SUMPRODUCT((M_BOM[Part Name]=$A92)*M_BOM[RM_Qty_Per_Batch]*IFERROR(INDEX(PP_Grid[#Data],M_BOM[PPGridRow],72),0))/17.69</f>
        <v/>
      </c>
      <c r="BU92">
        <f>SUMPRODUCT((M_BOM[Part Name]=$A92)*M_BOM[RM_Qty_Per_Batch]*IFERROR(INDEX(PP_Grid[#Data],M_BOM[PPGridRow],73),0))/17.69</f>
        <v/>
      </c>
      <c r="BV92">
        <f>SUMPRODUCT((M_BOM[Part Name]=$A92)*M_BOM[RM_Qty_Per_Batch]*IFERROR(INDEX(PP_Grid[#Data],M_BOM[PPGridRow],74),0))/17.69</f>
        <v/>
      </c>
      <c r="BW92">
        <f>SUMPRODUCT((M_BOM[Part Name]=$A92)*M_BOM[RM_Qty_Per_Batch]*IFERROR(INDEX(PP_Grid[#Data],M_BOM[PPGridRow],75),0))/17.69</f>
        <v/>
      </c>
      <c r="BX92">
        <f>SUMPRODUCT((M_BOM[Part Name]=$A92)*M_BOM[RM_Qty_Per_Batch]*IFERROR(INDEX(PP_Grid[#Data],M_BOM[PPGridRow],76),0))/17.69</f>
        <v/>
      </c>
      <c r="BY92">
        <f>SUMPRODUCT((M_BOM[Part Name]=$A92)*M_BOM[RM_Qty_Per_Batch]*IFERROR(INDEX(PP_Grid[#Data],M_BOM[PPGridRow],77),0))/17.69</f>
        <v/>
      </c>
      <c r="BZ92">
        <f>SUMPRODUCT((M_BOM[Part Name]=$A92)*M_BOM[RM_Qty_Per_Batch]*IFERROR(INDEX(PP_Grid[#Data],M_BOM[PPGridRow],78),0))/17.69</f>
        <v/>
      </c>
      <c r="CA92">
        <f>SUMPRODUCT((M_BOM[Part Name]=$A92)*M_BOM[RM_Qty_Per_Batch]*IFERROR(INDEX(PP_Grid[#Data],M_BOM[PPGridRow],79),0))/17.69</f>
        <v/>
      </c>
      <c r="CB92">
        <f>SUMPRODUCT((M_BOM[Part Name]=$A92)*M_BOM[RM_Qty_Per_Batch]*IFERROR(INDEX(PP_Grid[#Data],M_BOM[PPGridRow],80),0))/17.69</f>
        <v/>
      </c>
      <c r="CC92">
        <f>SUMPRODUCT((M_BOM[Part Name]=$A92)*M_BOM[RM_Qty_Per_Batch]*IFERROR(INDEX(PP_Grid[#Data],M_BOM[PPGridRow],81),0))/17.69</f>
        <v/>
      </c>
      <c r="CD92">
        <f>SUMPRODUCT((M_BOM[Part Name]=$A92)*M_BOM[RM_Qty_Per_Batch]*IFERROR(INDEX(PP_Grid[#Data],M_BOM[PPGridRow],82),0))/17.69</f>
        <v/>
      </c>
      <c r="CE92">
        <f>SUMPRODUCT((M_BOM[Part Name]=$A92)*M_BOM[RM_Qty_Per_Batch]*IFERROR(INDEX(PP_Grid[#Data],M_BOM[PPGridRow],83),0))/17.69</f>
        <v/>
      </c>
      <c r="CF92">
        <f>SUMPRODUCT((M_BOM[Part Name]=$A92)*M_BOM[RM_Qty_Per_Batch]*IFERROR(INDEX(PP_Grid[#Data],M_BOM[PPGridRow],84),0))/17.69</f>
        <v/>
      </c>
      <c r="CG92">
        <f>SUMPRODUCT((M_BOM[Part Name]=$A92)*M_BOM[RM_Qty_Per_Batch]*IFERROR(INDEX(PP_Grid[#Data],M_BOM[PPGridRow],85),0))/17.69</f>
        <v/>
      </c>
      <c r="CH92">
        <f>SUMPRODUCT((M_BOM[Part Name]=$A92)*M_BOM[RM_Qty_Per_Batch]*IFERROR(INDEX(PP_Grid[#Data],M_BOM[PPGridRow],86),0))/17.69</f>
        <v/>
      </c>
      <c r="CI92">
        <f>SUMPRODUCT((M_BOM[Part Name]=$A92)*M_BOM[RM_Qty_Per_Batch]*IFERROR(INDEX(PP_Grid[#Data],M_BOM[PPGridRow],87),0))/17.69</f>
        <v/>
      </c>
      <c r="CJ92">
        <f>SUMPRODUCT((M_BOM[Part Name]=$A92)*M_BOM[RM_Qty_Per_Batch]*IFERROR(INDEX(PP_Grid[#Data],M_BOM[PPGridRow],88),0))/17.69</f>
        <v/>
      </c>
      <c r="CK92">
        <f>SUMPRODUCT((M_BOM[Part Name]=$A92)*M_BOM[RM_Qty_Per_Batch]*IFERROR(INDEX(PP_Grid[#Data],M_BOM[PPGridRow],89),0))/17.69</f>
        <v/>
      </c>
      <c r="CL92">
        <f>SUMPRODUCT((M_BOM[Part Name]=$A92)*M_BOM[RM_Qty_Per_Batch]*IFERROR(INDEX(PP_Grid[#Data],M_BOM[PPGridRow],90),0))/17.69</f>
        <v/>
      </c>
      <c r="CM92">
        <f>SUMPRODUCT((M_BOM[Part Name]=$A92)*M_BOM[RM_Qty_Per_Batch]*IFERROR(INDEX(PP_Grid[#Data],M_BOM[PPGridRow],91),0))/17.69</f>
        <v/>
      </c>
      <c r="CN92">
        <f>SUMPRODUCT((M_BOM[Part Name]=$A92)*M_BOM[RM_Qty_Per_Batch]*IFERROR(INDEX(PP_Grid[#Data],M_BOM[PPGridRow],92),0))/17.69</f>
        <v/>
      </c>
      <c r="CO92">
        <f>SUMPRODUCT((M_BOM[Part Name]=$A92)*M_BOM[RM_Qty_Per_Batch]*IFERROR(INDEX(PP_Grid[#Data],M_BOM[PPGridRow],93),0))/17.69</f>
        <v/>
      </c>
      <c r="CP92">
        <f>SUMPRODUCT((M_BOM[Part Name]=$A92)*M_BOM[RM_Qty_Per_Batch]*IFERROR(INDEX(PP_Grid[#Data],M_BOM[PPGridRow],94),0))/17.69</f>
        <v/>
      </c>
      <c r="CQ92">
        <f>SUMPRODUCT((M_BOM[Part Name]=$A92)*M_BOM[RM_Qty_Per_Batch]*IFERROR(INDEX(PP_Grid[#Data],M_BOM[PPGridRow],95),0))/17.69</f>
        <v/>
      </c>
      <c r="CR92">
        <f>SUMPRODUCT((M_BOM[Part Name]=$A92)*M_BOM[RM_Qty_Per_Batch]*IFERROR(INDEX(PP_Grid[#Data],M_BOM[PPGridRow],96),0))/17.69</f>
        <v/>
      </c>
      <c r="CS92">
        <f>SUMPRODUCT((M_BOM[Part Name]=$A92)*M_BOM[RM_Qty_Per_Batch]*IFERROR(INDEX(PP_Grid[#Data],M_BOM[PPGridRow],97),0))/17.69</f>
        <v/>
      </c>
      <c r="CT92">
        <f>SUMPRODUCT((M_BOM[Part Name]=$A92)*M_BOM[RM_Qty_Per_Batch]*IFERROR(INDEX(PP_Grid[#Data],M_BOM[PPGridRow],98),0))/17.69</f>
        <v/>
      </c>
      <c r="CU92">
        <f>SUMPRODUCT((M_BOM[Part Name]=$A92)*M_BOM[RM_Qty_Per_Batch]*IFERROR(INDEX(PP_Grid[#Data],M_BOM[PPGridRow],99),0))/17.69</f>
        <v/>
      </c>
      <c r="CV92">
        <f>SUMPRODUCT((M_BOM[Part Name]=$A92)*M_BOM[RM_Qty_Per_Batch]*IFERROR(INDEX(PP_Grid[#Data],M_BOM[PPGridRow],100),0))/17.69</f>
        <v/>
      </c>
      <c r="CW92">
        <f>SUMPRODUCT((M_BOM[Part Name]=$A92)*M_BOM[RM_Qty_Per_Batch]*IFERROR(INDEX(PP_Grid[#Data],M_BOM[PPGridRow],101),0))/17.69</f>
        <v/>
      </c>
      <c r="CX92">
        <f>SUMPRODUCT((M_BOM[Part Name]=$A92)*M_BOM[RM_Qty_Per_Batch]*IFERROR(INDEX(PP_Grid[#Data],M_BOM[PPGridRow],102),0))/17.69</f>
        <v/>
      </c>
      <c r="CY92">
        <f>SUMPRODUCT((M_BOM[Part Name]=$A92)*M_BOM[RM_Qty_Per_Batch]*IFERROR(INDEX(PP_Grid[#Data],M_BOM[PPGridRow],103),0))/17.69</f>
        <v/>
      </c>
      <c r="CZ92">
        <f>SUMPRODUCT((M_BOM[Part Name]=$A92)*M_BOM[RM_Qty_Per_Batch]*IFERROR(INDEX(PP_Grid[#Data],M_BOM[PPGridRow],104),0))/17.69</f>
        <v/>
      </c>
      <c r="DA92">
        <f>SUMPRODUCT((M_BOM[Part Name]=$A92)*M_BOM[RM_Qty_Per_Batch]*IFERROR(INDEX(PP_Grid[#Data],M_BOM[PPGridRow],105),0))/17.69</f>
        <v/>
      </c>
    </row>
    <row r="93">
      <c r="A93" t="inlineStr">
        <is>
          <t>TPP-923</t>
        </is>
      </c>
      <c r="B93">
        <f>SUMPRODUCT((M_BOM[Part Name]=$A93)*M_BOM[RM_Qty_Per_Batch]*IFERROR(INDEX(PP_Grid[#Data],M_BOM[PPGridRow],2),0))/17.67</f>
        <v/>
      </c>
      <c r="C93">
        <f>SUMPRODUCT((M_BOM[Part Name]=$A93)*M_BOM[RM_Qty_Per_Batch]*IFERROR(INDEX(PP_Grid[#Data],M_BOM[PPGridRow],3),0))/17.67</f>
        <v/>
      </c>
      <c r="D93">
        <f>SUMPRODUCT((M_BOM[Part Name]=$A93)*M_BOM[RM_Qty_Per_Batch]*IFERROR(INDEX(PP_Grid[#Data],M_BOM[PPGridRow],4),0))/17.67</f>
        <v/>
      </c>
      <c r="E93">
        <f>SUMPRODUCT((M_BOM[Part Name]=$A93)*M_BOM[RM_Qty_Per_Batch]*IFERROR(INDEX(PP_Grid[#Data],M_BOM[PPGridRow],5),0))/17.67</f>
        <v/>
      </c>
      <c r="F93">
        <f>SUMPRODUCT((M_BOM[Part Name]=$A93)*M_BOM[RM_Qty_Per_Batch]*IFERROR(INDEX(PP_Grid[#Data],M_BOM[PPGridRow],6),0))/17.67</f>
        <v/>
      </c>
      <c r="G93">
        <f>SUMPRODUCT((M_BOM[Part Name]=$A93)*M_BOM[RM_Qty_Per_Batch]*IFERROR(INDEX(PP_Grid[#Data],M_BOM[PPGridRow],7),0))/17.67</f>
        <v/>
      </c>
      <c r="H93">
        <f>SUMPRODUCT((M_BOM[Part Name]=$A93)*M_BOM[RM_Qty_Per_Batch]*IFERROR(INDEX(PP_Grid[#Data],M_BOM[PPGridRow],8),0))/17.67</f>
        <v/>
      </c>
      <c r="I93">
        <f>SUMPRODUCT((M_BOM[Part Name]=$A93)*M_BOM[RM_Qty_Per_Batch]*IFERROR(INDEX(PP_Grid[#Data],M_BOM[PPGridRow],9),0))/17.67</f>
        <v/>
      </c>
      <c r="J93">
        <f>SUMPRODUCT((M_BOM[Part Name]=$A93)*M_BOM[RM_Qty_Per_Batch]*IFERROR(INDEX(PP_Grid[#Data],M_BOM[PPGridRow],10),0))/17.67</f>
        <v/>
      </c>
      <c r="K93">
        <f>SUMPRODUCT((M_BOM[Part Name]=$A93)*M_BOM[RM_Qty_Per_Batch]*IFERROR(INDEX(PP_Grid[#Data],M_BOM[PPGridRow],11),0))/17.67</f>
        <v/>
      </c>
      <c r="L93">
        <f>SUMPRODUCT((M_BOM[Part Name]=$A93)*M_BOM[RM_Qty_Per_Batch]*IFERROR(INDEX(PP_Grid[#Data],M_BOM[PPGridRow],12),0))/17.67</f>
        <v/>
      </c>
      <c r="M93">
        <f>SUMPRODUCT((M_BOM[Part Name]=$A93)*M_BOM[RM_Qty_Per_Batch]*IFERROR(INDEX(PP_Grid[#Data],M_BOM[PPGridRow],13),0))/17.67</f>
        <v/>
      </c>
      <c r="N93">
        <f>SUMPRODUCT((M_BOM[Part Name]=$A93)*M_BOM[RM_Qty_Per_Batch]*IFERROR(INDEX(PP_Grid[#Data],M_BOM[PPGridRow],14),0))/17.67</f>
        <v/>
      </c>
      <c r="O93">
        <f>SUMPRODUCT((M_BOM[Part Name]=$A93)*M_BOM[RM_Qty_Per_Batch]*IFERROR(INDEX(PP_Grid[#Data],M_BOM[PPGridRow],15),0))/17.67</f>
        <v/>
      </c>
      <c r="P93">
        <f>SUMPRODUCT((M_BOM[Part Name]=$A93)*M_BOM[RM_Qty_Per_Batch]*IFERROR(INDEX(PP_Grid[#Data],M_BOM[PPGridRow],16),0))/17.67</f>
        <v/>
      </c>
      <c r="Q93">
        <f>SUMPRODUCT((M_BOM[Part Name]=$A93)*M_BOM[RM_Qty_Per_Batch]*IFERROR(INDEX(PP_Grid[#Data],M_BOM[PPGridRow],17),0))/17.67</f>
        <v/>
      </c>
      <c r="R93">
        <f>SUMPRODUCT((M_BOM[Part Name]=$A93)*M_BOM[RM_Qty_Per_Batch]*IFERROR(INDEX(PP_Grid[#Data],M_BOM[PPGridRow],18),0))/17.67</f>
        <v/>
      </c>
      <c r="S93">
        <f>SUMPRODUCT((M_BOM[Part Name]=$A93)*M_BOM[RM_Qty_Per_Batch]*IFERROR(INDEX(PP_Grid[#Data],M_BOM[PPGridRow],19),0))/17.67</f>
        <v/>
      </c>
      <c r="T93">
        <f>SUMPRODUCT((M_BOM[Part Name]=$A93)*M_BOM[RM_Qty_Per_Batch]*IFERROR(INDEX(PP_Grid[#Data],M_BOM[PPGridRow],20),0))/17.67</f>
        <v/>
      </c>
      <c r="U93">
        <f>SUMPRODUCT((M_BOM[Part Name]=$A93)*M_BOM[RM_Qty_Per_Batch]*IFERROR(INDEX(PP_Grid[#Data],M_BOM[PPGridRow],21),0))/17.67</f>
        <v/>
      </c>
      <c r="V93">
        <f>SUMPRODUCT((M_BOM[Part Name]=$A93)*M_BOM[RM_Qty_Per_Batch]*IFERROR(INDEX(PP_Grid[#Data],M_BOM[PPGridRow],22),0))/17.67</f>
        <v/>
      </c>
      <c r="W93">
        <f>SUMPRODUCT((M_BOM[Part Name]=$A93)*M_BOM[RM_Qty_Per_Batch]*IFERROR(INDEX(PP_Grid[#Data],M_BOM[PPGridRow],23),0))/17.67</f>
        <v/>
      </c>
      <c r="X93">
        <f>SUMPRODUCT((M_BOM[Part Name]=$A93)*M_BOM[RM_Qty_Per_Batch]*IFERROR(INDEX(PP_Grid[#Data],M_BOM[PPGridRow],24),0))/17.67</f>
        <v/>
      </c>
      <c r="Y93">
        <f>SUMPRODUCT((M_BOM[Part Name]=$A93)*M_BOM[RM_Qty_Per_Batch]*IFERROR(INDEX(PP_Grid[#Data],M_BOM[PPGridRow],25),0))/17.67</f>
        <v/>
      </c>
      <c r="Z93">
        <f>SUMPRODUCT((M_BOM[Part Name]=$A93)*M_BOM[RM_Qty_Per_Batch]*IFERROR(INDEX(PP_Grid[#Data],M_BOM[PPGridRow],26),0))/17.67</f>
        <v/>
      </c>
      <c r="AA93">
        <f>SUMPRODUCT((M_BOM[Part Name]=$A93)*M_BOM[RM_Qty_Per_Batch]*IFERROR(INDEX(PP_Grid[#Data],M_BOM[PPGridRow],27),0))/17.67</f>
        <v/>
      </c>
      <c r="AB93">
        <f>SUMPRODUCT((M_BOM[Part Name]=$A93)*M_BOM[RM_Qty_Per_Batch]*IFERROR(INDEX(PP_Grid[#Data],M_BOM[PPGridRow],28),0))/17.67</f>
        <v/>
      </c>
      <c r="AC93">
        <f>SUMPRODUCT((M_BOM[Part Name]=$A93)*M_BOM[RM_Qty_Per_Batch]*IFERROR(INDEX(PP_Grid[#Data],M_BOM[PPGridRow],29),0))/17.67</f>
        <v/>
      </c>
      <c r="AD93">
        <f>SUMPRODUCT((M_BOM[Part Name]=$A93)*M_BOM[RM_Qty_Per_Batch]*IFERROR(INDEX(PP_Grid[#Data],M_BOM[PPGridRow],30),0))/17.67</f>
        <v/>
      </c>
      <c r="AE93">
        <f>SUMPRODUCT((M_BOM[Part Name]=$A93)*M_BOM[RM_Qty_Per_Batch]*IFERROR(INDEX(PP_Grid[#Data],M_BOM[PPGridRow],31),0))/17.67</f>
        <v/>
      </c>
      <c r="AF93">
        <f>SUMPRODUCT((M_BOM[Part Name]=$A93)*M_BOM[RM_Qty_Per_Batch]*IFERROR(INDEX(PP_Grid[#Data],M_BOM[PPGridRow],32),0))/17.67</f>
        <v/>
      </c>
      <c r="AG93">
        <f>SUMPRODUCT((M_BOM[Part Name]=$A93)*M_BOM[RM_Qty_Per_Batch]*IFERROR(INDEX(PP_Grid[#Data],M_BOM[PPGridRow],33),0))/17.67</f>
        <v/>
      </c>
      <c r="AH93">
        <f>SUMPRODUCT((M_BOM[Part Name]=$A93)*M_BOM[RM_Qty_Per_Batch]*IFERROR(INDEX(PP_Grid[#Data],M_BOM[PPGridRow],34),0))/17.67</f>
        <v/>
      </c>
      <c r="AI93">
        <f>SUMPRODUCT((M_BOM[Part Name]=$A93)*M_BOM[RM_Qty_Per_Batch]*IFERROR(INDEX(PP_Grid[#Data],M_BOM[PPGridRow],35),0))/17.67</f>
        <v/>
      </c>
      <c r="AJ93">
        <f>SUMPRODUCT((M_BOM[Part Name]=$A93)*M_BOM[RM_Qty_Per_Batch]*IFERROR(INDEX(PP_Grid[#Data],M_BOM[PPGridRow],36),0))/17.67</f>
        <v/>
      </c>
      <c r="AK93">
        <f>SUMPRODUCT((M_BOM[Part Name]=$A93)*M_BOM[RM_Qty_Per_Batch]*IFERROR(INDEX(PP_Grid[#Data],M_BOM[PPGridRow],37),0))/17.67</f>
        <v/>
      </c>
      <c r="AL93">
        <f>SUMPRODUCT((M_BOM[Part Name]=$A93)*M_BOM[RM_Qty_Per_Batch]*IFERROR(INDEX(PP_Grid[#Data],M_BOM[PPGridRow],38),0))/17.67</f>
        <v/>
      </c>
      <c r="AM93">
        <f>SUMPRODUCT((M_BOM[Part Name]=$A93)*M_BOM[RM_Qty_Per_Batch]*IFERROR(INDEX(PP_Grid[#Data],M_BOM[PPGridRow],39),0))/17.67</f>
        <v/>
      </c>
      <c r="AN93">
        <f>SUMPRODUCT((M_BOM[Part Name]=$A93)*M_BOM[RM_Qty_Per_Batch]*IFERROR(INDEX(PP_Grid[#Data],M_BOM[PPGridRow],40),0))/17.67</f>
        <v/>
      </c>
      <c r="AO93">
        <f>SUMPRODUCT((M_BOM[Part Name]=$A93)*M_BOM[RM_Qty_Per_Batch]*IFERROR(INDEX(PP_Grid[#Data],M_BOM[PPGridRow],41),0))/17.67</f>
        <v/>
      </c>
      <c r="AP93">
        <f>SUMPRODUCT((M_BOM[Part Name]=$A93)*M_BOM[RM_Qty_Per_Batch]*IFERROR(INDEX(PP_Grid[#Data],M_BOM[PPGridRow],42),0))/17.67</f>
        <v/>
      </c>
      <c r="AQ93">
        <f>SUMPRODUCT((M_BOM[Part Name]=$A93)*M_BOM[RM_Qty_Per_Batch]*IFERROR(INDEX(PP_Grid[#Data],M_BOM[PPGridRow],43),0))/17.67</f>
        <v/>
      </c>
      <c r="AR93">
        <f>SUMPRODUCT((M_BOM[Part Name]=$A93)*M_BOM[RM_Qty_Per_Batch]*IFERROR(INDEX(PP_Grid[#Data],M_BOM[PPGridRow],44),0))/17.67</f>
        <v/>
      </c>
      <c r="AS93">
        <f>SUMPRODUCT((M_BOM[Part Name]=$A93)*M_BOM[RM_Qty_Per_Batch]*IFERROR(INDEX(PP_Grid[#Data],M_BOM[PPGridRow],45),0))/17.67</f>
        <v/>
      </c>
      <c r="AT93">
        <f>SUMPRODUCT((M_BOM[Part Name]=$A93)*M_BOM[RM_Qty_Per_Batch]*IFERROR(INDEX(PP_Grid[#Data],M_BOM[PPGridRow],46),0))/17.67</f>
        <v/>
      </c>
      <c r="AU93">
        <f>SUMPRODUCT((M_BOM[Part Name]=$A93)*M_BOM[RM_Qty_Per_Batch]*IFERROR(INDEX(PP_Grid[#Data],M_BOM[PPGridRow],47),0))/17.67</f>
        <v/>
      </c>
      <c r="AV93">
        <f>SUMPRODUCT((M_BOM[Part Name]=$A93)*M_BOM[RM_Qty_Per_Batch]*IFERROR(INDEX(PP_Grid[#Data],M_BOM[PPGridRow],48),0))/17.67</f>
        <v/>
      </c>
      <c r="AW93">
        <f>SUMPRODUCT((M_BOM[Part Name]=$A93)*M_BOM[RM_Qty_Per_Batch]*IFERROR(INDEX(PP_Grid[#Data],M_BOM[PPGridRow],49),0))/17.67</f>
        <v/>
      </c>
      <c r="AX93">
        <f>SUMPRODUCT((M_BOM[Part Name]=$A93)*M_BOM[RM_Qty_Per_Batch]*IFERROR(INDEX(PP_Grid[#Data],M_BOM[PPGridRow],50),0))/17.67</f>
        <v/>
      </c>
      <c r="AY93">
        <f>SUMPRODUCT((M_BOM[Part Name]=$A93)*M_BOM[RM_Qty_Per_Batch]*IFERROR(INDEX(PP_Grid[#Data],M_BOM[PPGridRow],51),0))/17.67</f>
        <v/>
      </c>
      <c r="AZ93">
        <f>SUMPRODUCT((M_BOM[Part Name]=$A93)*M_BOM[RM_Qty_Per_Batch]*IFERROR(INDEX(PP_Grid[#Data],M_BOM[PPGridRow],52),0))/17.67</f>
        <v/>
      </c>
      <c r="BA93">
        <f>SUMPRODUCT((M_BOM[Part Name]=$A93)*M_BOM[RM_Qty_Per_Batch]*IFERROR(INDEX(PP_Grid[#Data],M_BOM[PPGridRow],53),0))/17.67</f>
        <v/>
      </c>
      <c r="BB93">
        <f>SUMPRODUCT((M_BOM[Part Name]=$A93)*M_BOM[RM_Qty_Per_Batch]*IFERROR(INDEX(PP_Grid[#Data],M_BOM[PPGridRow],54),0))/17.67</f>
        <v/>
      </c>
      <c r="BC93">
        <f>SUMPRODUCT((M_BOM[Part Name]=$A93)*M_BOM[RM_Qty_Per_Batch]*IFERROR(INDEX(PP_Grid[#Data],M_BOM[PPGridRow],55),0))/17.67</f>
        <v/>
      </c>
      <c r="BD93">
        <f>SUMPRODUCT((M_BOM[Part Name]=$A93)*M_BOM[RM_Qty_Per_Batch]*IFERROR(INDEX(PP_Grid[#Data],M_BOM[PPGridRow],56),0))/17.67</f>
        <v/>
      </c>
      <c r="BE93">
        <f>SUMPRODUCT((M_BOM[Part Name]=$A93)*M_BOM[RM_Qty_Per_Batch]*IFERROR(INDEX(PP_Grid[#Data],M_BOM[PPGridRow],57),0))/17.67</f>
        <v/>
      </c>
      <c r="BF93">
        <f>SUMPRODUCT((M_BOM[Part Name]=$A93)*M_BOM[RM_Qty_Per_Batch]*IFERROR(INDEX(PP_Grid[#Data],M_BOM[PPGridRow],58),0))/17.67</f>
        <v/>
      </c>
      <c r="BG93">
        <f>SUMPRODUCT((M_BOM[Part Name]=$A93)*M_BOM[RM_Qty_Per_Batch]*IFERROR(INDEX(PP_Grid[#Data],M_BOM[PPGridRow],59),0))/17.67</f>
        <v/>
      </c>
      <c r="BH93">
        <f>SUMPRODUCT((M_BOM[Part Name]=$A93)*M_BOM[RM_Qty_Per_Batch]*IFERROR(INDEX(PP_Grid[#Data],M_BOM[PPGridRow],60),0))/17.67</f>
        <v/>
      </c>
      <c r="BI93">
        <f>SUMPRODUCT((M_BOM[Part Name]=$A93)*M_BOM[RM_Qty_Per_Batch]*IFERROR(INDEX(PP_Grid[#Data],M_BOM[PPGridRow],61),0))/17.67</f>
        <v/>
      </c>
      <c r="BJ93">
        <f>SUMPRODUCT((M_BOM[Part Name]=$A93)*M_BOM[RM_Qty_Per_Batch]*IFERROR(INDEX(PP_Grid[#Data],M_BOM[PPGridRow],62),0))/17.67</f>
        <v/>
      </c>
      <c r="BK93">
        <f>SUMPRODUCT((M_BOM[Part Name]=$A93)*M_BOM[RM_Qty_Per_Batch]*IFERROR(INDEX(PP_Grid[#Data],M_BOM[PPGridRow],63),0))/17.67</f>
        <v/>
      </c>
      <c r="BL93">
        <f>SUMPRODUCT((M_BOM[Part Name]=$A93)*M_BOM[RM_Qty_Per_Batch]*IFERROR(INDEX(PP_Grid[#Data],M_BOM[PPGridRow],64),0))/17.67</f>
        <v/>
      </c>
      <c r="BM93">
        <f>SUMPRODUCT((M_BOM[Part Name]=$A93)*M_BOM[RM_Qty_Per_Batch]*IFERROR(INDEX(PP_Grid[#Data],M_BOM[PPGridRow],65),0))/17.67</f>
        <v/>
      </c>
      <c r="BN93">
        <f>SUMPRODUCT((M_BOM[Part Name]=$A93)*M_BOM[RM_Qty_Per_Batch]*IFERROR(INDEX(PP_Grid[#Data],M_BOM[PPGridRow],66),0))/17.67</f>
        <v/>
      </c>
      <c r="BO93">
        <f>SUMPRODUCT((M_BOM[Part Name]=$A93)*M_BOM[RM_Qty_Per_Batch]*IFERROR(INDEX(PP_Grid[#Data],M_BOM[PPGridRow],67),0))/17.67</f>
        <v/>
      </c>
      <c r="BP93">
        <f>SUMPRODUCT((M_BOM[Part Name]=$A93)*M_BOM[RM_Qty_Per_Batch]*IFERROR(INDEX(PP_Grid[#Data],M_BOM[PPGridRow],68),0))/17.67</f>
        <v/>
      </c>
      <c r="BQ93">
        <f>SUMPRODUCT((M_BOM[Part Name]=$A93)*M_BOM[RM_Qty_Per_Batch]*IFERROR(INDEX(PP_Grid[#Data],M_BOM[PPGridRow],69),0))/17.67</f>
        <v/>
      </c>
      <c r="BR93">
        <f>SUMPRODUCT((M_BOM[Part Name]=$A93)*M_BOM[RM_Qty_Per_Batch]*IFERROR(INDEX(PP_Grid[#Data],M_BOM[PPGridRow],70),0))/17.67</f>
        <v/>
      </c>
      <c r="BS93">
        <f>SUMPRODUCT((M_BOM[Part Name]=$A93)*M_BOM[RM_Qty_Per_Batch]*IFERROR(INDEX(PP_Grid[#Data],M_BOM[PPGridRow],71),0))/17.67</f>
        <v/>
      </c>
      <c r="BT93">
        <f>SUMPRODUCT((M_BOM[Part Name]=$A93)*M_BOM[RM_Qty_Per_Batch]*IFERROR(INDEX(PP_Grid[#Data],M_BOM[PPGridRow],72),0))/17.67</f>
        <v/>
      </c>
      <c r="BU93">
        <f>SUMPRODUCT((M_BOM[Part Name]=$A93)*M_BOM[RM_Qty_Per_Batch]*IFERROR(INDEX(PP_Grid[#Data],M_BOM[PPGridRow],73),0))/17.67</f>
        <v/>
      </c>
      <c r="BV93">
        <f>SUMPRODUCT((M_BOM[Part Name]=$A93)*M_BOM[RM_Qty_Per_Batch]*IFERROR(INDEX(PP_Grid[#Data],M_BOM[PPGridRow],74),0))/17.67</f>
        <v/>
      </c>
      <c r="BW93">
        <f>SUMPRODUCT((M_BOM[Part Name]=$A93)*M_BOM[RM_Qty_Per_Batch]*IFERROR(INDEX(PP_Grid[#Data],M_BOM[PPGridRow],75),0))/17.67</f>
        <v/>
      </c>
      <c r="BX93">
        <f>SUMPRODUCT((M_BOM[Part Name]=$A93)*M_BOM[RM_Qty_Per_Batch]*IFERROR(INDEX(PP_Grid[#Data],M_BOM[PPGridRow],76),0))/17.67</f>
        <v/>
      </c>
      <c r="BY93">
        <f>SUMPRODUCT((M_BOM[Part Name]=$A93)*M_BOM[RM_Qty_Per_Batch]*IFERROR(INDEX(PP_Grid[#Data],M_BOM[PPGridRow],77),0))/17.67</f>
        <v/>
      </c>
      <c r="BZ93">
        <f>SUMPRODUCT((M_BOM[Part Name]=$A93)*M_BOM[RM_Qty_Per_Batch]*IFERROR(INDEX(PP_Grid[#Data],M_BOM[PPGridRow],78),0))/17.67</f>
        <v/>
      </c>
      <c r="CA93">
        <f>SUMPRODUCT((M_BOM[Part Name]=$A93)*M_BOM[RM_Qty_Per_Batch]*IFERROR(INDEX(PP_Grid[#Data],M_BOM[PPGridRow],79),0))/17.67</f>
        <v/>
      </c>
      <c r="CB93">
        <f>SUMPRODUCT((M_BOM[Part Name]=$A93)*M_BOM[RM_Qty_Per_Batch]*IFERROR(INDEX(PP_Grid[#Data],M_BOM[PPGridRow],80),0))/17.67</f>
        <v/>
      </c>
      <c r="CC93">
        <f>SUMPRODUCT((M_BOM[Part Name]=$A93)*M_BOM[RM_Qty_Per_Batch]*IFERROR(INDEX(PP_Grid[#Data],M_BOM[PPGridRow],81),0))/17.67</f>
        <v/>
      </c>
      <c r="CD93">
        <f>SUMPRODUCT((M_BOM[Part Name]=$A93)*M_BOM[RM_Qty_Per_Batch]*IFERROR(INDEX(PP_Grid[#Data],M_BOM[PPGridRow],82),0))/17.67</f>
        <v/>
      </c>
      <c r="CE93">
        <f>SUMPRODUCT((M_BOM[Part Name]=$A93)*M_BOM[RM_Qty_Per_Batch]*IFERROR(INDEX(PP_Grid[#Data],M_BOM[PPGridRow],83),0))/17.67</f>
        <v/>
      </c>
      <c r="CF93">
        <f>SUMPRODUCT((M_BOM[Part Name]=$A93)*M_BOM[RM_Qty_Per_Batch]*IFERROR(INDEX(PP_Grid[#Data],M_BOM[PPGridRow],84),0))/17.67</f>
        <v/>
      </c>
      <c r="CG93">
        <f>SUMPRODUCT((M_BOM[Part Name]=$A93)*M_BOM[RM_Qty_Per_Batch]*IFERROR(INDEX(PP_Grid[#Data],M_BOM[PPGridRow],85),0))/17.67</f>
        <v/>
      </c>
      <c r="CH93">
        <f>SUMPRODUCT((M_BOM[Part Name]=$A93)*M_BOM[RM_Qty_Per_Batch]*IFERROR(INDEX(PP_Grid[#Data],M_BOM[PPGridRow],86),0))/17.67</f>
        <v/>
      </c>
      <c r="CI93">
        <f>SUMPRODUCT((M_BOM[Part Name]=$A93)*M_BOM[RM_Qty_Per_Batch]*IFERROR(INDEX(PP_Grid[#Data],M_BOM[PPGridRow],87),0))/17.67</f>
        <v/>
      </c>
      <c r="CJ93">
        <f>SUMPRODUCT((M_BOM[Part Name]=$A93)*M_BOM[RM_Qty_Per_Batch]*IFERROR(INDEX(PP_Grid[#Data],M_BOM[PPGridRow],88),0))/17.67</f>
        <v/>
      </c>
      <c r="CK93">
        <f>SUMPRODUCT((M_BOM[Part Name]=$A93)*M_BOM[RM_Qty_Per_Batch]*IFERROR(INDEX(PP_Grid[#Data],M_BOM[PPGridRow],89),0))/17.67</f>
        <v/>
      </c>
      <c r="CL93">
        <f>SUMPRODUCT((M_BOM[Part Name]=$A93)*M_BOM[RM_Qty_Per_Batch]*IFERROR(INDEX(PP_Grid[#Data],M_BOM[PPGridRow],90),0))/17.67</f>
        <v/>
      </c>
      <c r="CM93">
        <f>SUMPRODUCT((M_BOM[Part Name]=$A93)*M_BOM[RM_Qty_Per_Batch]*IFERROR(INDEX(PP_Grid[#Data],M_BOM[PPGridRow],91),0))/17.67</f>
        <v/>
      </c>
      <c r="CN93">
        <f>SUMPRODUCT((M_BOM[Part Name]=$A93)*M_BOM[RM_Qty_Per_Batch]*IFERROR(INDEX(PP_Grid[#Data],M_BOM[PPGridRow],92),0))/17.67</f>
        <v/>
      </c>
      <c r="CO93">
        <f>SUMPRODUCT((M_BOM[Part Name]=$A93)*M_BOM[RM_Qty_Per_Batch]*IFERROR(INDEX(PP_Grid[#Data],M_BOM[PPGridRow],93),0))/17.67</f>
        <v/>
      </c>
      <c r="CP93">
        <f>SUMPRODUCT((M_BOM[Part Name]=$A93)*M_BOM[RM_Qty_Per_Batch]*IFERROR(INDEX(PP_Grid[#Data],M_BOM[PPGridRow],94),0))/17.67</f>
        <v/>
      </c>
      <c r="CQ93">
        <f>SUMPRODUCT((M_BOM[Part Name]=$A93)*M_BOM[RM_Qty_Per_Batch]*IFERROR(INDEX(PP_Grid[#Data],M_BOM[PPGridRow],95),0))/17.67</f>
        <v/>
      </c>
      <c r="CR93">
        <f>SUMPRODUCT((M_BOM[Part Name]=$A93)*M_BOM[RM_Qty_Per_Batch]*IFERROR(INDEX(PP_Grid[#Data],M_BOM[PPGridRow],96),0))/17.67</f>
        <v/>
      </c>
      <c r="CS93">
        <f>SUMPRODUCT((M_BOM[Part Name]=$A93)*M_BOM[RM_Qty_Per_Batch]*IFERROR(INDEX(PP_Grid[#Data],M_BOM[PPGridRow],97),0))/17.67</f>
        <v/>
      </c>
      <c r="CT93">
        <f>SUMPRODUCT((M_BOM[Part Name]=$A93)*M_BOM[RM_Qty_Per_Batch]*IFERROR(INDEX(PP_Grid[#Data],M_BOM[PPGridRow],98),0))/17.67</f>
        <v/>
      </c>
      <c r="CU93">
        <f>SUMPRODUCT((M_BOM[Part Name]=$A93)*M_BOM[RM_Qty_Per_Batch]*IFERROR(INDEX(PP_Grid[#Data],M_BOM[PPGridRow],99),0))/17.67</f>
        <v/>
      </c>
      <c r="CV93">
        <f>SUMPRODUCT((M_BOM[Part Name]=$A93)*M_BOM[RM_Qty_Per_Batch]*IFERROR(INDEX(PP_Grid[#Data],M_BOM[PPGridRow],100),0))/17.67</f>
        <v/>
      </c>
      <c r="CW93">
        <f>SUMPRODUCT((M_BOM[Part Name]=$A93)*M_BOM[RM_Qty_Per_Batch]*IFERROR(INDEX(PP_Grid[#Data],M_BOM[PPGridRow],101),0))/17.67</f>
        <v/>
      </c>
      <c r="CX93">
        <f>SUMPRODUCT((M_BOM[Part Name]=$A93)*M_BOM[RM_Qty_Per_Batch]*IFERROR(INDEX(PP_Grid[#Data],M_BOM[PPGridRow],102),0))/17.67</f>
        <v/>
      </c>
      <c r="CY93">
        <f>SUMPRODUCT((M_BOM[Part Name]=$A93)*M_BOM[RM_Qty_Per_Batch]*IFERROR(INDEX(PP_Grid[#Data],M_BOM[PPGridRow],103),0))/17.67</f>
        <v/>
      </c>
      <c r="CZ93">
        <f>SUMPRODUCT((M_BOM[Part Name]=$A93)*M_BOM[RM_Qty_Per_Batch]*IFERROR(INDEX(PP_Grid[#Data],M_BOM[PPGridRow],104),0))/17.67</f>
        <v/>
      </c>
      <c r="DA93">
        <f>SUMPRODUCT((M_BOM[Part Name]=$A93)*M_BOM[RM_Qty_Per_Batch]*IFERROR(INDEX(PP_Grid[#Data],M_BOM[PPGridRow],105),0))/17.67</f>
        <v/>
      </c>
    </row>
    <row r="94">
      <c r="A94" t="inlineStr">
        <is>
          <t>TPP-968</t>
        </is>
      </c>
      <c r="B94">
        <f>SUMPRODUCT((M_BOM[Part Name]=$A94)*M_BOM[RM_Qty_Per_Batch]*IFERROR(INDEX(PP_Grid[#Data],M_BOM[PPGridRow],2),0))/22.38</f>
        <v/>
      </c>
      <c r="C94">
        <f>SUMPRODUCT((M_BOM[Part Name]=$A94)*M_BOM[RM_Qty_Per_Batch]*IFERROR(INDEX(PP_Grid[#Data],M_BOM[PPGridRow],3),0))/22.38</f>
        <v/>
      </c>
      <c r="D94">
        <f>SUMPRODUCT((M_BOM[Part Name]=$A94)*M_BOM[RM_Qty_Per_Batch]*IFERROR(INDEX(PP_Grid[#Data],M_BOM[PPGridRow],4),0))/22.38</f>
        <v/>
      </c>
      <c r="E94">
        <f>SUMPRODUCT((M_BOM[Part Name]=$A94)*M_BOM[RM_Qty_Per_Batch]*IFERROR(INDEX(PP_Grid[#Data],M_BOM[PPGridRow],5),0))/22.38</f>
        <v/>
      </c>
      <c r="F94">
        <f>SUMPRODUCT((M_BOM[Part Name]=$A94)*M_BOM[RM_Qty_Per_Batch]*IFERROR(INDEX(PP_Grid[#Data],M_BOM[PPGridRow],6),0))/22.38</f>
        <v/>
      </c>
      <c r="G94">
        <f>SUMPRODUCT((M_BOM[Part Name]=$A94)*M_BOM[RM_Qty_Per_Batch]*IFERROR(INDEX(PP_Grid[#Data],M_BOM[PPGridRow],7),0))/22.38</f>
        <v/>
      </c>
      <c r="H94">
        <f>SUMPRODUCT((M_BOM[Part Name]=$A94)*M_BOM[RM_Qty_Per_Batch]*IFERROR(INDEX(PP_Grid[#Data],M_BOM[PPGridRow],8),0))/22.38</f>
        <v/>
      </c>
      <c r="I94">
        <f>SUMPRODUCT((M_BOM[Part Name]=$A94)*M_BOM[RM_Qty_Per_Batch]*IFERROR(INDEX(PP_Grid[#Data],M_BOM[PPGridRow],9),0))/22.38</f>
        <v/>
      </c>
      <c r="J94">
        <f>SUMPRODUCT((M_BOM[Part Name]=$A94)*M_BOM[RM_Qty_Per_Batch]*IFERROR(INDEX(PP_Grid[#Data],M_BOM[PPGridRow],10),0))/22.38</f>
        <v/>
      </c>
      <c r="K94">
        <f>SUMPRODUCT((M_BOM[Part Name]=$A94)*M_BOM[RM_Qty_Per_Batch]*IFERROR(INDEX(PP_Grid[#Data],M_BOM[PPGridRow],11),0))/22.38</f>
        <v/>
      </c>
      <c r="L94">
        <f>SUMPRODUCT((M_BOM[Part Name]=$A94)*M_BOM[RM_Qty_Per_Batch]*IFERROR(INDEX(PP_Grid[#Data],M_BOM[PPGridRow],12),0))/22.38</f>
        <v/>
      </c>
      <c r="M94">
        <f>SUMPRODUCT((M_BOM[Part Name]=$A94)*M_BOM[RM_Qty_Per_Batch]*IFERROR(INDEX(PP_Grid[#Data],M_BOM[PPGridRow],13),0))/22.38</f>
        <v/>
      </c>
      <c r="N94">
        <f>SUMPRODUCT((M_BOM[Part Name]=$A94)*M_BOM[RM_Qty_Per_Batch]*IFERROR(INDEX(PP_Grid[#Data],M_BOM[PPGridRow],14),0))/22.38</f>
        <v/>
      </c>
      <c r="O94">
        <f>SUMPRODUCT((M_BOM[Part Name]=$A94)*M_BOM[RM_Qty_Per_Batch]*IFERROR(INDEX(PP_Grid[#Data],M_BOM[PPGridRow],15),0))/22.38</f>
        <v/>
      </c>
      <c r="P94">
        <f>SUMPRODUCT((M_BOM[Part Name]=$A94)*M_BOM[RM_Qty_Per_Batch]*IFERROR(INDEX(PP_Grid[#Data],M_BOM[PPGridRow],16),0))/22.38</f>
        <v/>
      </c>
      <c r="Q94">
        <f>SUMPRODUCT((M_BOM[Part Name]=$A94)*M_BOM[RM_Qty_Per_Batch]*IFERROR(INDEX(PP_Grid[#Data],M_BOM[PPGridRow],17),0))/22.38</f>
        <v/>
      </c>
      <c r="R94">
        <f>SUMPRODUCT((M_BOM[Part Name]=$A94)*M_BOM[RM_Qty_Per_Batch]*IFERROR(INDEX(PP_Grid[#Data],M_BOM[PPGridRow],18),0))/22.38</f>
        <v/>
      </c>
      <c r="S94">
        <f>SUMPRODUCT((M_BOM[Part Name]=$A94)*M_BOM[RM_Qty_Per_Batch]*IFERROR(INDEX(PP_Grid[#Data],M_BOM[PPGridRow],19),0))/22.38</f>
        <v/>
      </c>
      <c r="T94">
        <f>SUMPRODUCT((M_BOM[Part Name]=$A94)*M_BOM[RM_Qty_Per_Batch]*IFERROR(INDEX(PP_Grid[#Data],M_BOM[PPGridRow],20),0))/22.38</f>
        <v/>
      </c>
      <c r="U94">
        <f>SUMPRODUCT((M_BOM[Part Name]=$A94)*M_BOM[RM_Qty_Per_Batch]*IFERROR(INDEX(PP_Grid[#Data],M_BOM[PPGridRow],21),0))/22.38</f>
        <v/>
      </c>
      <c r="V94">
        <f>SUMPRODUCT((M_BOM[Part Name]=$A94)*M_BOM[RM_Qty_Per_Batch]*IFERROR(INDEX(PP_Grid[#Data],M_BOM[PPGridRow],22),0))/22.38</f>
        <v/>
      </c>
      <c r="W94">
        <f>SUMPRODUCT((M_BOM[Part Name]=$A94)*M_BOM[RM_Qty_Per_Batch]*IFERROR(INDEX(PP_Grid[#Data],M_BOM[PPGridRow],23),0))/22.38</f>
        <v/>
      </c>
      <c r="X94">
        <f>SUMPRODUCT((M_BOM[Part Name]=$A94)*M_BOM[RM_Qty_Per_Batch]*IFERROR(INDEX(PP_Grid[#Data],M_BOM[PPGridRow],24),0))/22.38</f>
        <v/>
      </c>
      <c r="Y94">
        <f>SUMPRODUCT((M_BOM[Part Name]=$A94)*M_BOM[RM_Qty_Per_Batch]*IFERROR(INDEX(PP_Grid[#Data],M_BOM[PPGridRow],25),0))/22.38</f>
        <v/>
      </c>
      <c r="Z94">
        <f>SUMPRODUCT((M_BOM[Part Name]=$A94)*M_BOM[RM_Qty_Per_Batch]*IFERROR(INDEX(PP_Grid[#Data],M_BOM[PPGridRow],26),0))/22.38</f>
        <v/>
      </c>
      <c r="AA94">
        <f>SUMPRODUCT((M_BOM[Part Name]=$A94)*M_BOM[RM_Qty_Per_Batch]*IFERROR(INDEX(PP_Grid[#Data],M_BOM[PPGridRow],27),0))/22.38</f>
        <v/>
      </c>
      <c r="AB94">
        <f>SUMPRODUCT((M_BOM[Part Name]=$A94)*M_BOM[RM_Qty_Per_Batch]*IFERROR(INDEX(PP_Grid[#Data],M_BOM[PPGridRow],28),0))/22.38</f>
        <v/>
      </c>
      <c r="AC94">
        <f>SUMPRODUCT((M_BOM[Part Name]=$A94)*M_BOM[RM_Qty_Per_Batch]*IFERROR(INDEX(PP_Grid[#Data],M_BOM[PPGridRow],29),0))/22.38</f>
        <v/>
      </c>
      <c r="AD94">
        <f>SUMPRODUCT((M_BOM[Part Name]=$A94)*M_BOM[RM_Qty_Per_Batch]*IFERROR(INDEX(PP_Grid[#Data],M_BOM[PPGridRow],30),0))/22.38</f>
        <v/>
      </c>
      <c r="AE94">
        <f>SUMPRODUCT((M_BOM[Part Name]=$A94)*M_BOM[RM_Qty_Per_Batch]*IFERROR(INDEX(PP_Grid[#Data],M_BOM[PPGridRow],31),0))/22.38</f>
        <v/>
      </c>
      <c r="AF94">
        <f>SUMPRODUCT((M_BOM[Part Name]=$A94)*M_BOM[RM_Qty_Per_Batch]*IFERROR(INDEX(PP_Grid[#Data],M_BOM[PPGridRow],32),0))/22.38</f>
        <v/>
      </c>
      <c r="AG94">
        <f>SUMPRODUCT((M_BOM[Part Name]=$A94)*M_BOM[RM_Qty_Per_Batch]*IFERROR(INDEX(PP_Grid[#Data],M_BOM[PPGridRow],33),0))/22.38</f>
        <v/>
      </c>
      <c r="AH94">
        <f>SUMPRODUCT((M_BOM[Part Name]=$A94)*M_BOM[RM_Qty_Per_Batch]*IFERROR(INDEX(PP_Grid[#Data],M_BOM[PPGridRow],34),0))/22.38</f>
        <v/>
      </c>
      <c r="AI94">
        <f>SUMPRODUCT((M_BOM[Part Name]=$A94)*M_BOM[RM_Qty_Per_Batch]*IFERROR(INDEX(PP_Grid[#Data],M_BOM[PPGridRow],35),0))/22.38</f>
        <v/>
      </c>
      <c r="AJ94">
        <f>SUMPRODUCT((M_BOM[Part Name]=$A94)*M_BOM[RM_Qty_Per_Batch]*IFERROR(INDEX(PP_Grid[#Data],M_BOM[PPGridRow],36),0))/22.38</f>
        <v/>
      </c>
      <c r="AK94">
        <f>SUMPRODUCT((M_BOM[Part Name]=$A94)*M_BOM[RM_Qty_Per_Batch]*IFERROR(INDEX(PP_Grid[#Data],M_BOM[PPGridRow],37),0))/22.38</f>
        <v/>
      </c>
      <c r="AL94">
        <f>SUMPRODUCT((M_BOM[Part Name]=$A94)*M_BOM[RM_Qty_Per_Batch]*IFERROR(INDEX(PP_Grid[#Data],M_BOM[PPGridRow],38),0))/22.38</f>
        <v/>
      </c>
      <c r="AM94">
        <f>SUMPRODUCT((M_BOM[Part Name]=$A94)*M_BOM[RM_Qty_Per_Batch]*IFERROR(INDEX(PP_Grid[#Data],M_BOM[PPGridRow],39),0))/22.38</f>
        <v/>
      </c>
      <c r="AN94">
        <f>SUMPRODUCT((M_BOM[Part Name]=$A94)*M_BOM[RM_Qty_Per_Batch]*IFERROR(INDEX(PP_Grid[#Data],M_BOM[PPGridRow],40),0))/22.38</f>
        <v/>
      </c>
      <c r="AO94">
        <f>SUMPRODUCT((M_BOM[Part Name]=$A94)*M_BOM[RM_Qty_Per_Batch]*IFERROR(INDEX(PP_Grid[#Data],M_BOM[PPGridRow],41),0))/22.38</f>
        <v/>
      </c>
      <c r="AP94">
        <f>SUMPRODUCT((M_BOM[Part Name]=$A94)*M_BOM[RM_Qty_Per_Batch]*IFERROR(INDEX(PP_Grid[#Data],M_BOM[PPGridRow],42),0))/22.38</f>
        <v/>
      </c>
      <c r="AQ94">
        <f>SUMPRODUCT((M_BOM[Part Name]=$A94)*M_BOM[RM_Qty_Per_Batch]*IFERROR(INDEX(PP_Grid[#Data],M_BOM[PPGridRow],43),0))/22.38</f>
        <v/>
      </c>
      <c r="AR94">
        <f>SUMPRODUCT((M_BOM[Part Name]=$A94)*M_BOM[RM_Qty_Per_Batch]*IFERROR(INDEX(PP_Grid[#Data],M_BOM[PPGridRow],44),0))/22.38</f>
        <v/>
      </c>
      <c r="AS94">
        <f>SUMPRODUCT((M_BOM[Part Name]=$A94)*M_BOM[RM_Qty_Per_Batch]*IFERROR(INDEX(PP_Grid[#Data],M_BOM[PPGridRow],45),0))/22.38</f>
        <v/>
      </c>
      <c r="AT94">
        <f>SUMPRODUCT((M_BOM[Part Name]=$A94)*M_BOM[RM_Qty_Per_Batch]*IFERROR(INDEX(PP_Grid[#Data],M_BOM[PPGridRow],46),0))/22.38</f>
        <v/>
      </c>
      <c r="AU94">
        <f>SUMPRODUCT((M_BOM[Part Name]=$A94)*M_BOM[RM_Qty_Per_Batch]*IFERROR(INDEX(PP_Grid[#Data],M_BOM[PPGridRow],47),0))/22.38</f>
        <v/>
      </c>
      <c r="AV94">
        <f>SUMPRODUCT((M_BOM[Part Name]=$A94)*M_BOM[RM_Qty_Per_Batch]*IFERROR(INDEX(PP_Grid[#Data],M_BOM[PPGridRow],48),0))/22.38</f>
        <v/>
      </c>
      <c r="AW94">
        <f>SUMPRODUCT((M_BOM[Part Name]=$A94)*M_BOM[RM_Qty_Per_Batch]*IFERROR(INDEX(PP_Grid[#Data],M_BOM[PPGridRow],49),0))/22.38</f>
        <v/>
      </c>
      <c r="AX94">
        <f>SUMPRODUCT((M_BOM[Part Name]=$A94)*M_BOM[RM_Qty_Per_Batch]*IFERROR(INDEX(PP_Grid[#Data],M_BOM[PPGridRow],50),0))/22.38</f>
        <v/>
      </c>
      <c r="AY94">
        <f>SUMPRODUCT((M_BOM[Part Name]=$A94)*M_BOM[RM_Qty_Per_Batch]*IFERROR(INDEX(PP_Grid[#Data],M_BOM[PPGridRow],51),0))/22.38</f>
        <v/>
      </c>
      <c r="AZ94">
        <f>SUMPRODUCT((M_BOM[Part Name]=$A94)*M_BOM[RM_Qty_Per_Batch]*IFERROR(INDEX(PP_Grid[#Data],M_BOM[PPGridRow],52),0))/22.38</f>
        <v/>
      </c>
      <c r="BA94">
        <f>SUMPRODUCT((M_BOM[Part Name]=$A94)*M_BOM[RM_Qty_Per_Batch]*IFERROR(INDEX(PP_Grid[#Data],M_BOM[PPGridRow],53),0))/22.38</f>
        <v/>
      </c>
      <c r="BB94">
        <f>SUMPRODUCT((M_BOM[Part Name]=$A94)*M_BOM[RM_Qty_Per_Batch]*IFERROR(INDEX(PP_Grid[#Data],M_BOM[PPGridRow],54),0))/22.38</f>
        <v/>
      </c>
      <c r="BC94">
        <f>SUMPRODUCT((M_BOM[Part Name]=$A94)*M_BOM[RM_Qty_Per_Batch]*IFERROR(INDEX(PP_Grid[#Data],M_BOM[PPGridRow],55),0))/22.38</f>
        <v/>
      </c>
      <c r="BD94">
        <f>SUMPRODUCT((M_BOM[Part Name]=$A94)*M_BOM[RM_Qty_Per_Batch]*IFERROR(INDEX(PP_Grid[#Data],M_BOM[PPGridRow],56),0))/22.38</f>
        <v/>
      </c>
      <c r="BE94">
        <f>SUMPRODUCT((M_BOM[Part Name]=$A94)*M_BOM[RM_Qty_Per_Batch]*IFERROR(INDEX(PP_Grid[#Data],M_BOM[PPGridRow],57),0))/22.38</f>
        <v/>
      </c>
      <c r="BF94">
        <f>SUMPRODUCT((M_BOM[Part Name]=$A94)*M_BOM[RM_Qty_Per_Batch]*IFERROR(INDEX(PP_Grid[#Data],M_BOM[PPGridRow],58),0))/22.38</f>
        <v/>
      </c>
      <c r="BG94">
        <f>SUMPRODUCT((M_BOM[Part Name]=$A94)*M_BOM[RM_Qty_Per_Batch]*IFERROR(INDEX(PP_Grid[#Data],M_BOM[PPGridRow],59),0))/22.38</f>
        <v/>
      </c>
      <c r="BH94">
        <f>SUMPRODUCT((M_BOM[Part Name]=$A94)*M_BOM[RM_Qty_Per_Batch]*IFERROR(INDEX(PP_Grid[#Data],M_BOM[PPGridRow],60),0))/22.38</f>
        <v/>
      </c>
      <c r="BI94">
        <f>SUMPRODUCT((M_BOM[Part Name]=$A94)*M_BOM[RM_Qty_Per_Batch]*IFERROR(INDEX(PP_Grid[#Data],M_BOM[PPGridRow],61),0))/22.38</f>
        <v/>
      </c>
      <c r="BJ94">
        <f>SUMPRODUCT((M_BOM[Part Name]=$A94)*M_BOM[RM_Qty_Per_Batch]*IFERROR(INDEX(PP_Grid[#Data],M_BOM[PPGridRow],62),0))/22.38</f>
        <v/>
      </c>
      <c r="BK94">
        <f>SUMPRODUCT((M_BOM[Part Name]=$A94)*M_BOM[RM_Qty_Per_Batch]*IFERROR(INDEX(PP_Grid[#Data],M_BOM[PPGridRow],63),0))/22.38</f>
        <v/>
      </c>
      <c r="BL94">
        <f>SUMPRODUCT((M_BOM[Part Name]=$A94)*M_BOM[RM_Qty_Per_Batch]*IFERROR(INDEX(PP_Grid[#Data],M_BOM[PPGridRow],64),0))/22.38</f>
        <v/>
      </c>
      <c r="BM94">
        <f>SUMPRODUCT((M_BOM[Part Name]=$A94)*M_BOM[RM_Qty_Per_Batch]*IFERROR(INDEX(PP_Grid[#Data],M_BOM[PPGridRow],65),0))/22.38</f>
        <v/>
      </c>
      <c r="BN94">
        <f>SUMPRODUCT((M_BOM[Part Name]=$A94)*M_BOM[RM_Qty_Per_Batch]*IFERROR(INDEX(PP_Grid[#Data],M_BOM[PPGridRow],66),0))/22.38</f>
        <v/>
      </c>
      <c r="BO94">
        <f>SUMPRODUCT((M_BOM[Part Name]=$A94)*M_BOM[RM_Qty_Per_Batch]*IFERROR(INDEX(PP_Grid[#Data],M_BOM[PPGridRow],67),0))/22.38</f>
        <v/>
      </c>
      <c r="BP94">
        <f>SUMPRODUCT((M_BOM[Part Name]=$A94)*M_BOM[RM_Qty_Per_Batch]*IFERROR(INDEX(PP_Grid[#Data],M_BOM[PPGridRow],68),0))/22.38</f>
        <v/>
      </c>
      <c r="BQ94">
        <f>SUMPRODUCT((M_BOM[Part Name]=$A94)*M_BOM[RM_Qty_Per_Batch]*IFERROR(INDEX(PP_Grid[#Data],M_BOM[PPGridRow],69),0))/22.38</f>
        <v/>
      </c>
      <c r="BR94">
        <f>SUMPRODUCT((M_BOM[Part Name]=$A94)*M_BOM[RM_Qty_Per_Batch]*IFERROR(INDEX(PP_Grid[#Data],M_BOM[PPGridRow],70),0))/22.38</f>
        <v/>
      </c>
      <c r="BS94">
        <f>SUMPRODUCT((M_BOM[Part Name]=$A94)*M_BOM[RM_Qty_Per_Batch]*IFERROR(INDEX(PP_Grid[#Data],M_BOM[PPGridRow],71),0))/22.38</f>
        <v/>
      </c>
      <c r="BT94">
        <f>SUMPRODUCT((M_BOM[Part Name]=$A94)*M_BOM[RM_Qty_Per_Batch]*IFERROR(INDEX(PP_Grid[#Data],M_BOM[PPGridRow],72),0))/22.38</f>
        <v/>
      </c>
      <c r="BU94">
        <f>SUMPRODUCT((M_BOM[Part Name]=$A94)*M_BOM[RM_Qty_Per_Batch]*IFERROR(INDEX(PP_Grid[#Data],M_BOM[PPGridRow],73),0))/22.38</f>
        <v/>
      </c>
      <c r="BV94">
        <f>SUMPRODUCT((M_BOM[Part Name]=$A94)*M_BOM[RM_Qty_Per_Batch]*IFERROR(INDEX(PP_Grid[#Data],M_BOM[PPGridRow],74),0))/22.38</f>
        <v/>
      </c>
      <c r="BW94">
        <f>SUMPRODUCT((M_BOM[Part Name]=$A94)*M_BOM[RM_Qty_Per_Batch]*IFERROR(INDEX(PP_Grid[#Data],M_BOM[PPGridRow],75),0))/22.38</f>
        <v/>
      </c>
      <c r="BX94">
        <f>SUMPRODUCT((M_BOM[Part Name]=$A94)*M_BOM[RM_Qty_Per_Batch]*IFERROR(INDEX(PP_Grid[#Data],M_BOM[PPGridRow],76),0))/22.38</f>
        <v/>
      </c>
      <c r="BY94">
        <f>SUMPRODUCT((M_BOM[Part Name]=$A94)*M_BOM[RM_Qty_Per_Batch]*IFERROR(INDEX(PP_Grid[#Data],M_BOM[PPGridRow],77),0))/22.38</f>
        <v/>
      </c>
      <c r="BZ94">
        <f>SUMPRODUCT((M_BOM[Part Name]=$A94)*M_BOM[RM_Qty_Per_Batch]*IFERROR(INDEX(PP_Grid[#Data],M_BOM[PPGridRow],78),0))/22.38</f>
        <v/>
      </c>
      <c r="CA94">
        <f>SUMPRODUCT((M_BOM[Part Name]=$A94)*M_BOM[RM_Qty_Per_Batch]*IFERROR(INDEX(PP_Grid[#Data],M_BOM[PPGridRow],79),0))/22.38</f>
        <v/>
      </c>
      <c r="CB94">
        <f>SUMPRODUCT((M_BOM[Part Name]=$A94)*M_BOM[RM_Qty_Per_Batch]*IFERROR(INDEX(PP_Grid[#Data],M_BOM[PPGridRow],80),0))/22.38</f>
        <v/>
      </c>
      <c r="CC94">
        <f>SUMPRODUCT((M_BOM[Part Name]=$A94)*M_BOM[RM_Qty_Per_Batch]*IFERROR(INDEX(PP_Grid[#Data],M_BOM[PPGridRow],81),0))/22.38</f>
        <v/>
      </c>
      <c r="CD94">
        <f>SUMPRODUCT((M_BOM[Part Name]=$A94)*M_BOM[RM_Qty_Per_Batch]*IFERROR(INDEX(PP_Grid[#Data],M_BOM[PPGridRow],82),0))/22.38</f>
        <v/>
      </c>
      <c r="CE94">
        <f>SUMPRODUCT((M_BOM[Part Name]=$A94)*M_BOM[RM_Qty_Per_Batch]*IFERROR(INDEX(PP_Grid[#Data],M_BOM[PPGridRow],83),0))/22.38</f>
        <v/>
      </c>
      <c r="CF94">
        <f>SUMPRODUCT((M_BOM[Part Name]=$A94)*M_BOM[RM_Qty_Per_Batch]*IFERROR(INDEX(PP_Grid[#Data],M_BOM[PPGridRow],84),0))/22.38</f>
        <v/>
      </c>
      <c r="CG94">
        <f>SUMPRODUCT((M_BOM[Part Name]=$A94)*M_BOM[RM_Qty_Per_Batch]*IFERROR(INDEX(PP_Grid[#Data],M_BOM[PPGridRow],85),0))/22.38</f>
        <v/>
      </c>
      <c r="CH94">
        <f>SUMPRODUCT((M_BOM[Part Name]=$A94)*M_BOM[RM_Qty_Per_Batch]*IFERROR(INDEX(PP_Grid[#Data],M_BOM[PPGridRow],86),0))/22.38</f>
        <v/>
      </c>
      <c r="CI94">
        <f>SUMPRODUCT((M_BOM[Part Name]=$A94)*M_BOM[RM_Qty_Per_Batch]*IFERROR(INDEX(PP_Grid[#Data],M_BOM[PPGridRow],87),0))/22.38</f>
        <v/>
      </c>
      <c r="CJ94">
        <f>SUMPRODUCT((M_BOM[Part Name]=$A94)*M_BOM[RM_Qty_Per_Batch]*IFERROR(INDEX(PP_Grid[#Data],M_BOM[PPGridRow],88),0))/22.38</f>
        <v/>
      </c>
      <c r="CK94">
        <f>SUMPRODUCT((M_BOM[Part Name]=$A94)*M_BOM[RM_Qty_Per_Batch]*IFERROR(INDEX(PP_Grid[#Data],M_BOM[PPGridRow],89),0))/22.38</f>
        <v/>
      </c>
      <c r="CL94">
        <f>SUMPRODUCT((M_BOM[Part Name]=$A94)*M_BOM[RM_Qty_Per_Batch]*IFERROR(INDEX(PP_Grid[#Data],M_BOM[PPGridRow],90),0))/22.38</f>
        <v/>
      </c>
      <c r="CM94">
        <f>SUMPRODUCT((M_BOM[Part Name]=$A94)*M_BOM[RM_Qty_Per_Batch]*IFERROR(INDEX(PP_Grid[#Data],M_BOM[PPGridRow],91),0))/22.38</f>
        <v/>
      </c>
      <c r="CN94">
        <f>SUMPRODUCT((M_BOM[Part Name]=$A94)*M_BOM[RM_Qty_Per_Batch]*IFERROR(INDEX(PP_Grid[#Data],M_BOM[PPGridRow],92),0))/22.38</f>
        <v/>
      </c>
      <c r="CO94">
        <f>SUMPRODUCT((M_BOM[Part Name]=$A94)*M_BOM[RM_Qty_Per_Batch]*IFERROR(INDEX(PP_Grid[#Data],M_BOM[PPGridRow],93),0))/22.38</f>
        <v/>
      </c>
      <c r="CP94">
        <f>SUMPRODUCT((M_BOM[Part Name]=$A94)*M_BOM[RM_Qty_Per_Batch]*IFERROR(INDEX(PP_Grid[#Data],M_BOM[PPGridRow],94),0))/22.38</f>
        <v/>
      </c>
      <c r="CQ94">
        <f>SUMPRODUCT((M_BOM[Part Name]=$A94)*M_BOM[RM_Qty_Per_Batch]*IFERROR(INDEX(PP_Grid[#Data],M_BOM[PPGridRow],95),0))/22.38</f>
        <v/>
      </c>
      <c r="CR94">
        <f>SUMPRODUCT((M_BOM[Part Name]=$A94)*M_BOM[RM_Qty_Per_Batch]*IFERROR(INDEX(PP_Grid[#Data],M_BOM[PPGridRow],96),0))/22.38</f>
        <v/>
      </c>
      <c r="CS94">
        <f>SUMPRODUCT((M_BOM[Part Name]=$A94)*M_BOM[RM_Qty_Per_Batch]*IFERROR(INDEX(PP_Grid[#Data],M_BOM[PPGridRow],97),0))/22.38</f>
        <v/>
      </c>
      <c r="CT94">
        <f>SUMPRODUCT((M_BOM[Part Name]=$A94)*M_BOM[RM_Qty_Per_Batch]*IFERROR(INDEX(PP_Grid[#Data],M_BOM[PPGridRow],98),0))/22.38</f>
        <v/>
      </c>
      <c r="CU94">
        <f>SUMPRODUCT((M_BOM[Part Name]=$A94)*M_BOM[RM_Qty_Per_Batch]*IFERROR(INDEX(PP_Grid[#Data],M_BOM[PPGridRow],99),0))/22.38</f>
        <v/>
      </c>
      <c r="CV94">
        <f>SUMPRODUCT((M_BOM[Part Name]=$A94)*M_BOM[RM_Qty_Per_Batch]*IFERROR(INDEX(PP_Grid[#Data],M_BOM[PPGridRow],100),0))/22.38</f>
        <v/>
      </c>
      <c r="CW94">
        <f>SUMPRODUCT((M_BOM[Part Name]=$A94)*M_BOM[RM_Qty_Per_Batch]*IFERROR(INDEX(PP_Grid[#Data],M_BOM[PPGridRow],101),0))/22.38</f>
        <v/>
      </c>
      <c r="CX94">
        <f>SUMPRODUCT((M_BOM[Part Name]=$A94)*M_BOM[RM_Qty_Per_Batch]*IFERROR(INDEX(PP_Grid[#Data],M_BOM[PPGridRow],102),0))/22.38</f>
        <v/>
      </c>
      <c r="CY94">
        <f>SUMPRODUCT((M_BOM[Part Name]=$A94)*M_BOM[RM_Qty_Per_Batch]*IFERROR(INDEX(PP_Grid[#Data],M_BOM[PPGridRow],103),0))/22.38</f>
        <v/>
      </c>
      <c r="CZ94">
        <f>SUMPRODUCT((M_BOM[Part Name]=$A94)*M_BOM[RM_Qty_Per_Batch]*IFERROR(INDEX(PP_Grid[#Data],M_BOM[PPGridRow],104),0))/22.38</f>
        <v/>
      </c>
      <c r="DA94">
        <f>SUMPRODUCT((M_BOM[Part Name]=$A94)*M_BOM[RM_Qty_Per_Batch]*IFERROR(INDEX(PP_Grid[#Data],M_BOM[PPGridRow],105),0))/22.38</f>
        <v/>
      </c>
    </row>
    <row r="95">
      <c r="A95" t="inlineStr">
        <is>
          <t>SOL-20P</t>
        </is>
      </c>
      <c r="B95">
        <f>SUMPRODUCT((M_BOM[Part Name]=$A95)*M_BOM[RM_Qty_Per_Batch]*IFERROR(INDEX(PP_Grid[#Data],M_BOM[PPGridRow],2),0))/200.0</f>
        <v/>
      </c>
      <c r="C95">
        <f>SUMPRODUCT((M_BOM[Part Name]=$A95)*M_BOM[RM_Qty_Per_Batch]*IFERROR(INDEX(PP_Grid[#Data],M_BOM[PPGridRow],3),0))/200.0</f>
        <v/>
      </c>
      <c r="D95">
        <f>SUMPRODUCT((M_BOM[Part Name]=$A95)*M_BOM[RM_Qty_Per_Batch]*IFERROR(INDEX(PP_Grid[#Data],M_BOM[PPGridRow],4),0))/200.0</f>
        <v/>
      </c>
      <c r="E95">
        <f>SUMPRODUCT((M_BOM[Part Name]=$A95)*M_BOM[RM_Qty_Per_Batch]*IFERROR(INDEX(PP_Grid[#Data],M_BOM[PPGridRow],5),0))/200.0</f>
        <v/>
      </c>
      <c r="F95">
        <f>SUMPRODUCT((M_BOM[Part Name]=$A95)*M_BOM[RM_Qty_Per_Batch]*IFERROR(INDEX(PP_Grid[#Data],M_BOM[PPGridRow],6),0))/200.0</f>
        <v/>
      </c>
      <c r="G95">
        <f>SUMPRODUCT((M_BOM[Part Name]=$A95)*M_BOM[RM_Qty_Per_Batch]*IFERROR(INDEX(PP_Grid[#Data],M_BOM[PPGridRow],7),0))/200.0</f>
        <v/>
      </c>
      <c r="H95">
        <f>SUMPRODUCT((M_BOM[Part Name]=$A95)*M_BOM[RM_Qty_Per_Batch]*IFERROR(INDEX(PP_Grid[#Data],M_BOM[PPGridRow],8),0))/200.0</f>
        <v/>
      </c>
      <c r="I95">
        <f>SUMPRODUCT((M_BOM[Part Name]=$A95)*M_BOM[RM_Qty_Per_Batch]*IFERROR(INDEX(PP_Grid[#Data],M_BOM[PPGridRow],9),0))/200.0</f>
        <v/>
      </c>
      <c r="J95">
        <f>SUMPRODUCT((M_BOM[Part Name]=$A95)*M_BOM[RM_Qty_Per_Batch]*IFERROR(INDEX(PP_Grid[#Data],M_BOM[PPGridRow],10),0))/200.0</f>
        <v/>
      </c>
      <c r="K95">
        <f>SUMPRODUCT((M_BOM[Part Name]=$A95)*M_BOM[RM_Qty_Per_Batch]*IFERROR(INDEX(PP_Grid[#Data],M_BOM[PPGridRow],11),0))/200.0</f>
        <v/>
      </c>
      <c r="L95">
        <f>SUMPRODUCT((M_BOM[Part Name]=$A95)*M_BOM[RM_Qty_Per_Batch]*IFERROR(INDEX(PP_Grid[#Data],M_BOM[PPGridRow],12),0))/200.0</f>
        <v/>
      </c>
      <c r="M95">
        <f>SUMPRODUCT((M_BOM[Part Name]=$A95)*M_BOM[RM_Qty_Per_Batch]*IFERROR(INDEX(PP_Grid[#Data],M_BOM[PPGridRow],13),0))/200.0</f>
        <v/>
      </c>
      <c r="N95">
        <f>SUMPRODUCT((M_BOM[Part Name]=$A95)*M_BOM[RM_Qty_Per_Batch]*IFERROR(INDEX(PP_Grid[#Data],M_BOM[PPGridRow],14),0))/200.0</f>
        <v/>
      </c>
      <c r="O95">
        <f>SUMPRODUCT((M_BOM[Part Name]=$A95)*M_BOM[RM_Qty_Per_Batch]*IFERROR(INDEX(PP_Grid[#Data],M_BOM[PPGridRow],15),0))/200.0</f>
        <v/>
      </c>
      <c r="P95">
        <f>SUMPRODUCT((M_BOM[Part Name]=$A95)*M_BOM[RM_Qty_Per_Batch]*IFERROR(INDEX(PP_Grid[#Data],M_BOM[PPGridRow],16),0))/200.0</f>
        <v/>
      </c>
      <c r="Q95">
        <f>SUMPRODUCT((M_BOM[Part Name]=$A95)*M_BOM[RM_Qty_Per_Batch]*IFERROR(INDEX(PP_Grid[#Data],M_BOM[PPGridRow],17),0))/200.0</f>
        <v/>
      </c>
      <c r="R95">
        <f>SUMPRODUCT((M_BOM[Part Name]=$A95)*M_BOM[RM_Qty_Per_Batch]*IFERROR(INDEX(PP_Grid[#Data],M_BOM[PPGridRow],18),0))/200.0</f>
        <v/>
      </c>
      <c r="S95">
        <f>SUMPRODUCT((M_BOM[Part Name]=$A95)*M_BOM[RM_Qty_Per_Batch]*IFERROR(INDEX(PP_Grid[#Data],M_BOM[PPGridRow],19),0))/200.0</f>
        <v/>
      </c>
      <c r="T95">
        <f>SUMPRODUCT((M_BOM[Part Name]=$A95)*M_BOM[RM_Qty_Per_Batch]*IFERROR(INDEX(PP_Grid[#Data],M_BOM[PPGridRow],20),0))/200.0</f>
        <v/>
      </c>
      <c r="U95">
        <f>SUMPRODUCT((M_BOM[Part Name]=$A95)*M_BOM[RM_Qty_Per_Batch]*IFERROR(INDEX(PP_Grid[#Data],M_BOM[PPGridRow],21),0))/200.0</f>
        <v/>
      </c>
      <c r="V95">
        <f>SUMPRODUCT((M_BOM[Part Name]=$A95)*M_BOM[RM_Qty_Per_Batch]*IFERROR(INDEX(PP_Grid[#Data],M_BOM[PPGridRow],22),0))/200.0</f>
        <v/>
      </c>
      <c r="W95">
        <f>SUMPRODUCT((M_BOM[Part Name]=$A95)*M_BOM[RM_Qty_Per_Batch]*IFERROR(INDEX(PP_Grid[#Data],M_BOM[PPGridRow],23),0))/200.0</f>
        <v/>
      </c>
      <c r="X95">
        <f>SUMPRODUCT((M_BOM[Part Name]=$A95)*M_BOM[RM_Qty_Per_Batch]*IFERROR(INDEX(PP_Grid[#Data],M_BOM[PPGridRow],24),0))/200.0</f>
        <v/>
      </c>
      <c r="Y95">
        <f>SUMPRODUCT((M_BOM[Part Name]=$A95)*M_BOM[RM_Qty_Per_Batch]*IFERROR(INDEX(PP_Grid[#Data],M_BOM[PPGridRow],25),0))/200.0</f>
        <v/>
      </c>
      <c r="Z95">
        <f>SUMPRODUCT((M_BOM[Part Name]=$A95)*M_BOM[RM_Qty_Per_Batch]*IFERROR(INDEX(PP_Grid[#Data],M_BOM[PPGridRow],26),0))/200.0</f>
        <v/>
      </c>
      <c r="AA95">
        <f>SUMPRODUCT((M_BOM[Part Name]=$A95)*M_BOM[RM_Qty_Per_Batch]*IFERROR(INDEX(PP_Grid[#Data],M_BOM[PPGridRow],27),0))/200.0</f>
        <v/>
      </c>
      <c r="AB95">
        <f>SUMPRODUCT((M_BOM[Part Name]=$A95)*M_BOM[RM_Qty_Per_Batch]*IFERROR(INDEX(PP_Grid[#Data],M_BOM[PPGridRow],28),0))/200.0</f>
        <v/>
      </c>
      <c r="AC95">
        <f>SUMPRODUCT((M_BOM[Part Name]=$A95)*M_BOM[RM_Qty_Per_Batch]*IFERROR(INDEX(PP_Grid[#Data],M_BOM[PPGridRow],29),0))/200.0</f>
        <v/>
      </c>
      <c r="AD95">
        <f>SUMPRODUCT((M_BOM[Part Name]=$A95)*M_BOM[RM_Qty_Per_Batch]*IFERROR(INDEX(PP_Grid[#Data],M_BOM[PPGridRow],30),0))/200.0</f>
        <v/>
      </c>
      <c r="AE95">
        <f>SUMPRODUCT((M_BOM[Part Name]=$A95)*M_BOM[RM_Qty_Per_Batch]*IFERROR(INDEX(PP_Grid[#Data],M_BOM[PPGridRow],31),0))/200.0</f>
        <v/>
      </c>
      <c r="AF95">
        <f>SUMPRODUCT((M_BOM[Part Name]=$A95)*M_BOM[RM_Qty_Per_Batch]*IFERROR(INDEX(PP_Grid[#Data],M_BOM[PPGridRow],32),0))/200.0</f>
        <v/>
      </c>
      <c r="AG95">
        <f>SUMPRODUCT((M_BOM[Part Name]=$A95)*M_BOM[RM_Qty_Per_Batch]*IFERROR(INDEX(PP_Grid[#Data],M_BOM[PPGridRow],33),0))/200.0</f>
        <v/>
      </c>
      <c r="AH95">
        <f>SUMPRODUCT((M_BOM[Part Name]=$A95)*M_BOM[RM_Qty_Per_Batch]*IFERROR(INDEX(PP_Grid[#Data],M_BOM[PPGridRow],34),0))/200.0</f>
        <v/>
      </c>
      <c r="AI95">
        <f>SUMPRODUCT((M_BOM[Part Name]=$A95)*M_BOM[RM_Qty_Per_Batch]*IFERROR(INDEX(PP_Grid[#Data],M_BOM[PPGridRow],35),0))/200.0</f>
        <v/>
      </c>
      <c r="AJ95">
        <f>SUMPRODUCT((M_BOM[Part Name]=$A95)*M_BOM[RM_Qty_Per_Batch]*IFERROR(INDEX(PP_Grid[#Data],M_BOM[PPGridRow],36),0))/200.0</f>
        <v/>
      </c>
      <c r="AK95">
        <f>SUMPRODUCT((M_BOM[Part Name]=$A95)*M_BOM[RM_Qty_Per_Batch]*IFERROR(INDEX(PP_Grid[#Data],M_BOM[PPGridRow],37),0))/200.0</f>
        <v/>
      </c>
      <c r="AL95">
        <f>SUMPRODUCT((M_BOM[Part Name]=$A95)*M_BOM[RM_Qty_Per_Batch]*IFERROR(INDEX(PP_Grid[#Data],M_BOM[PPGridRow],38),0))/200.0</f>
        <v/>
      </c>
      <c r="AM95">
        <f>SUMPRODUCT((M_BOM[Part Name]=$A95)*M_BOM[RM_Qty_Per_Batch]*IFERROR(INDEX(PP_Grid[#Data],M_BOM[PPGridRow],39),0))/200.0</f>
        <v/>
      </c>
      <c r="AN95">
        <f>SUMPRODUCT((M_BOM[Part Name]=$A95)*M_BOM[RM_Qty_Per_Batch]*IFERROR(INDEX(PP_Grid[#Data],M_BOM[PPGridRow],40),0))/200.0</f>
        <v/>
      </c>
      <c r="AO95">
        <f>SUMPRODUCT((M_BOM[Part Name]=$A95)*M_BOM[RM_Qty_Per_Batch]*IFERROR(INDEX(PP_Grid[#Data],M_BOM[PPGridRow],41),0))/200.0</f>
        <v/>
      </c>
      <c r="AP95">
        <f>SUMPRODUCT((M_BOM[Part Name]=$A95)*M_BOM[RM_Qty_Per_Batch]*IFERROR(INDEX(PP_Grid[#Data],M_BOM[PPGridRow],42),0))/200.0</f>
        <v/>
      </c>
      <c r="AQ95">
        <f>SUMPRODUCT((M_BOM[Part Name]=$A95)*M_BOM[RM_Qty_Per_Batch]*IFERROR(INDEX(PP_Grid[#Data],M_BOM[PPGridRow],43),0))/200.0</f>
        <v/>
      </c>
      <c r="AR95">
        <f>SUMPRODUCT((M_BOM[Part Name]=$A95)*M_BOM[RM_Qty_Per_Batch]*IFERROR(INDEX(PP_Grid[#Data],M_BOM[PPGridRow],44),0))/200.0</f>
        <v/>
      </c>
      <c r="AS95">
        <f>SUMPRODUCT((M_BOM[Part Name]=$A95)*M_BOM[RM_Qty_Per_Batch]*IFERROR(INDEX(PP_Grid[#Data],M_BOM[PPGridRow],45),0))/200.0</f>
        <v/>
      </c>
      <c r="AT95">
        <f>SUMPRODUCT((M_BOM[Part Name]=$A95)*M_BOM[RM_Qty_Per_Batch]*IFERROR(INDEX(PP_Grid[#Data],M_BOM[PPGridRow],46),0))/200.0</f>
        <v/>
      </c>
      <c r="AU95">
        <f>SUMPRODUCT((M_BOM[Part Name]=$A95)*M_BOM[RM_Qty_Per_Batch]*IFERROR(INDEX(PP_Grid[#Data],M_BOM[PPGridRow],47),0))/200.0</f>
        <v/>
      </c>
      <c r="AV95">
        <f>SUMPRODUCT((M_BOM[Part Name]=$A95)*M_BOM[RM_Qty_Per_Batch]*IFERROR(INDEX(PP_Grid[#Data],M_BOM[PPGridRow],48),0))/200.0</f>
        <v/>
      </c>
      <c r="AW95">
        <f>SUMPRODUCT((M_BOM[Part Name]=$A95)*M_BOM[RM_Qty_Per_Batch]*IFERROR(INDEX(PP_Grid[#Data],M_BOM[PPGridRow],49),0))/200.0</f>
        <v/>
      </c>
      <c r="AX95">
        <f>SUMPRODUCT((M_BOM[Part Name]=$A95)*M_BOM[RM_Qty_Per_Batch]*IFERROR(INDEX(PP_Grid[#Data],M_BOM[PPGridRow],50),0))/200.0</f>
        <v/>
      </c>
      <c r="AY95">
        <f>SUMPRODUCT((M_BOM[Part Name]=$A95)*M_BOM[RM_Qty_Per_Batch]*IFERROR(INDEX(PP_Grid[#Data],M_BOM[PPGridRow],51),0))/200.0</f>
        <v/>
      </c>
      <c r="AZ95">
        <f>SUMPRODUCT((M_BOM[Part Name]=$A95)*M_BOM[RM_Qty_Per_Batch]*IFERROR(INDEX(PP_Grid[#Data],M_BOM[PPGridRow],52),0))/200.0</f>
        <v/>
      </c>
      <c r="BA95">
        <f>SUMPRODUCT((M_BOM[Part Name]=$A95)*M_BOM[RM_Qty_Per_Batch]*IFERROR(INDEX(PP_Grid[#Data],M_BOM[PPGridRow],53),0))/200.0</f>
        <v/>
      </c>
      <c r="BB95">
        <f>SUMPRODUCT((M_BOM[Part Name]=$A95)*M_BOM[RM_Qty_Per_Batch]*IFERROR(INDEX(PP_Grid[#Data],M_BOM[PPGridRow],54),0))/200.0</f>
        <v/>
      </c>
      <c r="BC95">
        <f>SUMPRODUCT((M_BOM[Part Name]=$A95)*M_BOM[RM_Qty_Per_Batch]*IFERROR(INDEX(PP_Grid[#Data],M_BOM[PPGridRow],55),0))/200.0</f>
        <v/>
      </c>
      <c r="BD95">
        <f>SUMPRODUCT((M_BOM[Part Name]=$A95)*M_BOM[RM_Qty_Per_Batch]*IFERROR(INDEX(PP_Grid[#Data],M_BOM[PPGridRow],56),0))/200.0</f>
        <v/>
      </c>
      <c r="BE95">
        <f>SUMPRODUCT((M_BOM[Part Name]=$A95)*M_BOM[RM_Qty_Per_Batch]*IFERROR(INDEX(PP_Grid[#Data],M_BOM[PPGridRow],57),0))/200.0</f>
        <v/>
      </c>
      <c r="BF95">
        <f>SUMPRODUCT((M_BOM[Part Name]=$A95)*M_BOM[RM_Qty_Per_Batch]*IFERROR(INDEX(PP_Grid[#Data],M_BOM[PPGridRow],58),0))/200.0</f>
        <v/>
      </c>
      <c r="BG95">
        <f>SUMPRODUCT((M_BOM[Part Name]=$A95)*M_BOM[RM_Qty_Per_Batch]*IFERROR(INDEX(PP_Grid[#Data],M_BOM[PPGridRow],59),0))/200.0</f>
        <v/>
      </c>
      <c r="BH95">
        <f>SUMPRODUCT((M_BOM[Part Name]=$A95)*M_BOM[RM_Qty_Per_Batch]*IFERROR(INDEX(PP_Grid[#Data],M_BOM[PPGridRow],60),0))/200.0</f>
        <v/>
      </c>
      <c r="BI95">
        <f>SUMPRODUCT((M_BOM[Part Name]=$A95)*M_BOM[RM_Qty_Per_Batch]*IFERROR(INDEX(PP_Grid[#Data],M_BOM[PPGridRow],61),0))/200.0</f>
        <v/>
      </c>
      <c r="BJ95">
        <f>SUMPRODUCT((M_BOM[Part Name]=$A95)*M_BOM[RM_Qty_Per_Batch]*IFERROR(INDEX(PP_Grid[#Data],M_BOM[PPGridRow],62),0))/200.0</f>
        <v/>
      </c>
      <c r="BK95">
        <f>SUMPRODUCT((M_BOM[Part Name]=$A95)*M_BOM[RM_Qty_Per_Batch]*IFERROR(INDEX(PP_Grid[#Data],M_BOM[PPGridRow],63),0))/200.0</f>
        <v/>
      </c>
      <c r="BL95">
        <f>SUMPRODUCT((M_BOM[Part Name]=$A95)*M_BOM[RM_Qty_Per_Batch]*IFERROR(INDEX(PP_Grid[#Data],M_BOM[PPGridRow],64),0))/200.0</f>
        <v/>
      </c>
      <c r="BM95">
        <f>SUMPRODUCT((M_BOM[Part Name]=$A95)*M_BOM[RM_Qty_Per_Batch]*IFERROR(INDEX(PP_Grid[#Data],M_BOM[PPGridRow],65),0))/200.0</f>
        <v/>
      </c>
      <c r="BN95">
        <f>SUMPRODUCT((M_BOM[Part Name]=$A95)*M_BOM[RM_Qty_Per_Batch]*IFERROR(INDEX(PP_Grid[#Data],M_BOM[PPGridRow],66),0))/200.0</f>
        <v/>
      </c>
      <c r="BO95">
        <f>SUMPRODUCT((M_BOM[Part Name]=$A95)*M_BOM[RM_Qty_Per_Batch]*IFERROR(INDEX(PP_Grid[#Data],M_BOM[PPGridRow],67),0))/200.0</f>
        <v/>
      </c>
      <c r="BP95">
        <f>SUMPRODUCT((M_BOM[Part Name]=$A95)*M_BOM[RM_Qty_Per_Batch]*IFERROR(INDEX(PP_Grid[#Data],M_BOM[PPGridRow],68),0))/200.0</f>
        <v/>
      </c>
      <c r="BQ95">
        <f>SUMPRODUCT((M_BOM[Part Name]=$A95)*M_BOM[RM_Qty_Per_Batch]*IFERROR(INDEX(PP_Grid[#Data],M_BOM[PPGridRow],69),0))/200.0</f>
        <v/>
      </c>
      <c r="BR95">
        <f>SUMPRODUCT((M_BOM[Part Name]=$A95)*M_BOM[RM_Qty_Per_Batch]*IFERROR(INDEX(PP_Grid[#Data],M_BOM[PPGridRow],70),0))/200.0</f>
        <v/>
      </c>
      <c r="BS95">
        <f>SUMPRODUCT((M_BOM[Part Name]=$A95)*M_BOM[RM_Qty_Per_Batch]*IFERROR(INDEX(PP_Grid[#Data],M_BOM[PPGridRow],71),0))/200.0</f>
        <v/>
      </c>
      <c r="BT95">
        <f>SUMPRODUCT((M_BOM[Part Name]=$A95)*M_BOM[RM_Qty_Per_Batch]*IFERROR(INDEX(PP_Grid[#Data],M_BOM[PPGridRow],72),0))/200.0</f>
        <v/>
      </c>
      <c r="BU95">
        <f>SUMPRODUCT((M_BOM[Part Name]=$A95)*M_BOM[RM_Qty_Per_Batch]*IFERROR(INDEX(PP_Grid[#Data],M_BOM[PPGridRow],73),0))/200.0</f>
        <v/>
      </c>
      <c r="BV95">
        <f>SUMPRODUCT((M_BOM[Part Name]=$A95)*M_BOM[RM_Qty_Per_Batch]*IFERROR(INDEX(PP_Grid[#Data],M_BOM[PPGridRow],74),0))/200.0</f>
        <v/>
      </c>
      <c r="BW95">
        <f>SUMPRODUCT((M_BOM[Part Name]=$A95)*M_BOM[RM_Qty_Per_Batch]*IFERROR(INDEX(PP_Grid[#Data],M_BOM[PPGridRow],75),0))/200.0</f>
        <v/>
      </c>
      <c r="BX95">
        <f>SUMPRODUCT((M_BOM[Part Name]=$A95)*M_BOM[RM_Qty_Per_Batch]*IFERROR(INDEX(PP_Grid[#Data],M_BOM[PPGridRow],76),0))/200.0</f>
        <v/>
      </c>
      <c r="BY95">
        <f>SUMPRODUCT((M_BOM[Part Name]=$A95)*M_BOM[RM_Qty_Per_Batch]*IFERROR(INDEX(PP_Grid[#Data],M_BOM[PPGridRow],77),0))/200.0</f>
        <v/>
      </c>
      <c r="BZ95">
        <f>SUMPRODUCT((M_BOM[Part Name]=$A95)*M_BOM[RM_Qty_Per_Batch]*IFERROR(INDEX(PP_Grid[#Data],M_BOM[PPGridRow],78),0))/200.0</f>
        <v/>
      </c>
      <c r="CA95">
        <f>SUMPRODUCT((M_BOM[Part Name]=$A95)*M_BOM[RM_Qty_Per_Batch]*IFERROR(INDEX(PP_Grid[#Data],M_BOM[PPGridRow],79),0))/200.0</f>
        <v/>
      </c>
      <c r="CB95">
        <f>SUMPRODUCT((M_BOM[Part Name]=$A95)*M_BOM[RM_Qty_Per_Batch]*IFERROR(INDEX(PP_Grid[#Data],M_BOM[PPGridRow],80),0))/200.0</f>
        <v/>
      </c>
      <c r="CC95">
        <f>SUMPRODUCT((M_BOM[Part Name]=$A95)*M_BOM[RM_Qty_Per_Batch]*IFERROR(INDEX(PP_Grid[#Data],M_BOM[PPGridRow],81),0))/200.0</f>
        <v/>
      </c>
      <c r="CD95">
        <f>SUMPRODUCT((M_BOM[Part Name]=$A95)*M_BOM[RM_Qty_Per_Batch]*IFERROR(INDEX(PP_Grid[#Data],M_BOM[PPGridRow],82),0))/200.0</f>
        <v/>
      </c>
      <c r="CE95">
        <f>SUMPRODUCT((M_BOM[Part Name]=$A95)*M_BOM[RM_Qty_Per_Batch]*IFERROR(INDEX(PP_Grid[#Data],M_BOM[PPGridRow],83),0))/200.0</f>
        <v/>
      </c>
      <c r="CF95">
        <f>SUMPRODUCT((M_BOM[Part Name]=$A95)*M_BOM[RM_Qty_Per_Batch]*IFERROR(INDEX(PP_Grid[#Data],M_BOM[PPGridRow],84),0))/200.0</f>
        <v/>
      </c>
      <c r="CG95">
        <f>SUMPRODUCT((M_BOM[Part Name]=$A95)*M_BOM[RM_Qty_Per_Batch]*IFERROR(INDEX(PP_Grid[#Data],M_BOM[PPGridRow],85),0))/200.0</f>
        <v/>
      </c>
      <c r="CH95">
        <f>SUMPRODUCT((M_BOM[Part Name]=$A95)*M_BOM[RM_Qty_Per_Batch]*IFERROR(INDEX(PP_Grid[#Data],M_BOM[PPGridRow],86),0))/200.0</f>
        <v/>
      </c>
      <c r="CI95">
        <f>SUMPRODUCT((M_BOM[Part Name]=$A95)*M_BOM[RM_Qty_Per_Batch]*IFERROR(INDEX(PP_Grid[#Data],M_BOM[PPGridRow],87),0))/200.0</f>
        <v/>
      </c>
      <c r="CJ95">
        <f>SUMPRODUCT((M_BOM[Part Name]=$A95)*M_BOM[RM_Qty_Per_Batch]*IFERROR(INDEX(PP_Grid[#Data],M_BOM[PPGridRow],88),0))/200.0</f>
        <v/>
      </c>
      <c r="CK95">
        <f>SUMPRODUCT((M_BOM[Part Name]=$A95)*M_BOM[RM_Qty_Per_Batch]*IFERROR(INDEX(PP_Grid[#Data],M_BOM[PPGridRow],89),0))/200.0</f>
        <v/>
      </c>
      <c r="CL95">
        <f>SUMPRODUCT((M_BOM[Part Name]=$A95)*M_BOM[RM_Qty_Per_Batch]*IFERROR(INDEX(PP_Grid[#Data],M_BOM[PPGridRow],90),0))/200.0</f>
        <v/>
      </c>
      <c r="CM95">
        <f>SUMPRODUCT((M_BOM[Part Name]=$A95)*M_BOM[RM_Qty_Per_Batch]*IFERROR(INDEX(PP_Grid[#Data],M_BOM[PPGridRow],91),0))/200.0</f>
        <v/>
      </c>
      <c r="CN95">
        <f>SUMPRODUCT((M_BOM[Part Name]=$A95)*M_BOM[RM_Qty_Per_Batch]*IFERROR(INDEX(PP_Grid[#Data],M_BOM[PPGridRow],92),0))/200.0</f>
        <v/>
      </c>
      <c r="CO95">
        <f>SUMPRODUCT((M_BOM[Part Name]=$A95)*M_BOM[RM_Qty_Per_Batch]*IFERROR(INDEX(PP_Grid[#Data],M_BOM[PPGridRow],93),0))/200.0</f>
        <v/>
      </c>
      <c r="CP95">
        <f>SUMPRODUCT((M_BOM[Part Name]=$A95)*M_BOM[RM_Qty_Per_Batch]*IFERROR(INDEX(PP_Grid[#Data],M_BOM[PPGridRow],94),0))/200.0</f>
        <v/>
      </c>
      <c r="CQ95">
        <f>SUMPRODUCT((M_BOM[Part Name]=$A95)*M_BOM[RM_Qty_Per_Batch]*IFERROR(INDEX(PP_Grid[#Data],M_BOM[PPGridRow],95),0))/200.0</f>
        <v/>
      </c>
      <c r="CR95">
        <f>SUMPRODUCT((M_BOM[Part Name]=$A95)*M_BOM[RM_Qty_Per_Batch]*IFERROR(INDEX(PP_Grid[#Data],M_BOM[PPGridRow],96),0))/200.0</f>
        <v/>
      </c>
      <c r="CS95">
        <f>SUMPRODUCT((M_BOM[Part Name]=$A95)*M_BOM[RM_Qty_Per_Batch]*IFERROR(INDEX(PP_Grid[#Data],M_BOM[PPGridRow],97),0))/200.0</f>
        <v/>
      </c>
      <c r="CT95">
        <f>SUMPRODUCT((M_BOM[Part Name]=$A95)*M_BOM[RM_Qty_Per_Batch]*IFERROR(INDEX(PP_Grid[#Data],M_BOM[PPGridRow],98),0))/200.0</f>
        <v/>
      </c>
      <c r="CU95">
        <f>SUMPRODUCT((M_BOM[Part Name]=$A95)*M_BOM[RM_Qty_Per_Batch]*IFERROR(INDEX(PP_Grid[#Data],M_BOM[PPGridRow],99),0))/200.0</f>
        <v/>
      </c>
      <c r="CV95">
        <f>SUMPRODUCT((M_BOM[Part Name]=$A95)*M_BOM[RM_Qty_Per_Batch]*IFERROR(INDEX(PP_Grid[#Data],M_BOM[PPGridRow],100),0))/200.0</f>
        <v/>
      </c>
      <c r="CW95">
        <f>SUMPRODUCT((M_BOM[Part Name]=$A95)*M_BOM[RM_Qty_Per_Batch]*IFERROR(INDEX(PP_Grid[#Data],M_BOM[PPGridRow],101),0))/200.0</f>
        <v/>
      </c>
      <c r="CX95">
        <f>SUMPRODUCT((M_BOM[Part Name]=$A95)*M_BOM[RM_Qty_Per_Batch]*IFERROR(INDEX(PP_Grid[#Data],M_BOM[PPGridRow],102),0))/200.0</f>
        <v/>
      </c>
      <c r="CY95">
        <f>SUMPRODUCT((M_BOM[Part Name]=$A95)*M_BOM[RM_Qty_Per_Batch]*IFERROR(INDEX(PP_Grid[#Data],M_BOM[PPGridRow],103),0))/200.0</f>
        <v/>
      </c>
      <c r="CZ95">
        <f>SUMPRODUCT((M_BOM[Part Name]=$A95)*M_BOM[RM_Qty_Per_Batch]*IFERROR(INDEX(PP_Grid[#Data],M_BOM[PPGridRow],104),0))/200.0</f>
        <v/>
      </c>
      <c r="DA95">
        <f>SUMPRODUCT((M_BOM[Part Name]=$A95)*M_BOM[RM_Qty_Per_Batch]*IFERROR(INDEX(PP_Grid[#Data],M_BOM[PPGridRow],105),0))/200.0</f>
        <v/>
      </c>
    </row>
    <row r="96">
      <c r="A96" t="inlineStr">
        <is>
          <t>SOL-250D</t>
        </is>
      </c>
      <c r="B96" s="27" t="n">
        <v>0</v>
      </c>
      <c r="C96" s="27" t="n">
        <v>0</v>
      </c>
      <c r="D96" s="27" t="n">
        <v>0</v>
      </c>
      <c r="E96" s="27" t="n">
        <v>0</v>
      </c>
      <c r="F96" s="27" t="n">
        <v>0</v>
      </c>
      <c r="G96" s="27" t="n">
        <v>0</v>
      </c>
      <c r="H96" s="27" t="n">
        <v>0</v>
      </c>
      <c r="I96" s="27" t="n">
        <v>0</v>
      </c>
      <c r="J96" s="27" t="n">
        <v>0</v>
      </c>
      <c r="K96" s="27" t="n">
        <v>0</v>
      </c>
      <c r="L96" s="27" t="n">
        <v>0</v>
      </c>
      <c r="M96" s="27" t="n">
        <v>0</v>
      </c>
      <c r="N96" s="27" t="n">
        <v>0</v>
      </c>
      <c r="O96" s="27" t="n">
        <v>0</v>
      </c>
      <c r="P96" s="27" t="n">
        <v>0</v>
      </c>
      <c r="Q96" s="27" t="n">
        <v>0</v>
      </c>
      <c r="R96" s="27" t="n">
        <v>0</v>
      </c>
      <c r="S96" s="27" t="n">
        <v>0</v>
      </c>
      <c r="T96" s="27" t="n">
        <v>0</v>
      </c>
      <c r="U96" s="27" t="n">
        <v>0</v>
      </c>
      <c r="V96" s="27" t="n">
        <v>0</v>
      </c>
      <c r="W96" s="27" t="n">
        <v>0</v>
      </c>
      <c r="X96" s="27" t="n">
        <v>0</v>
      </c>
      <c r="Y96" s="27" t="n">
        <v>0</v>
      </c>
      <c r="Z96" s="27" t="n">
        <v>0</v>
      </c>
      <c r="AA96" s="27" t="n">
        <v>0</v>
      </c>
      <c r="AB96" s="27" t="n">
        <v>0</v>
      </c>
      <c r="AC96" s="27" t="n">
        <v>0</v>
      </c>
      <c r="AD96" s="27" t="n">
        <v>0</v>
      </c>
      <c r="AE96" s="27" t="n">
        <v>0</v>
      </c>
      <c r="AF96" s="27" t="n">
        <v>0</v>
      </c>
      <c r="AG96" s="27" t="n">
        <v>0</v>
      </c>
      <c r="AH96" s="27" t="n">
        <v>0</v>
      </c>
      <c r="AI96" s="27" t="n">
        <v>0</v>
      </c>
      <c r="AJ96" s="27" t="n">
        <v>0</v>
      </c>
      <c r="AK96" s="27" t="n">
        <v>0</v>
      </c>
      <c r="AL96" s="27" t="n">
        <v>0</v>
      </c>
      <c r="AM96" s="27" t="n">
        <v>0</v>
      </c>
      <c r="AN96" s="27" t="n">
        <v>0</v>
      </c>
      <c r="AO96" s="27" t="n">
        <v>0</v>
      </c>
      <c r="AP96" s="27" t="n">
        <v>0</v>
      </c>
      <c r="AQ96" s="27" t="n">
        <v>0</v>
      </c>
      <c r="AR96" s="27" t="n">
        <v>0</v>
      </c>
      <c r="AS96" s="27" t="n">
        <v>0</v>
      </c>
      <c r="AT96" s="27" t="n">
        <v>0</v>
      </c>
      <c r="AU96" s="27" t="n">
        <v>0</v>
      </c>
      <c r="AV96" s="27" t="n">
        <v>0</v>
      </c>
      <c r="AW96" s="27" t="n">
        <v>0</v>
      </c>
      <c r="AX96" s="27" t="n">
        <v>0</v>
      </c>
      <c r="AY96" s="27" t="n">
        <v>0</v>
      </c>
      <c r="AZ96" s="27" t="n">
        <v>0</v>
      </c>
      <c r="BA96" s="27" t="n">
        <v>0</v>
      </c>
      <c r="BB96" s="27" t="n">
        <v>0</v>
      </c>
      <c r="BC96" s="27" t="n">
        <v>0</v>
      </c>
      <c r="BD96" s="27" t="n">
        <v>0</v>
      </c>
      <c r="BE96" s="27" t="n">
        <v>0</v>
      </c>
      <c r="BF96" s="27" t="n">
        <v>0</v>
      </c>
      <c r="BG96" s="27" t="n">
        <v>0</v>
      </c>
      <c r="BH96" s="27" t="n">
        <v>0</v>
      </c>
      <c r="BI96" s="27" t="n">
        <v>0</v>
      </c>
      <c r="BJ96" s="27" t="n">
        <v>0</v>
      </c>
      <c r="BK96" s="27" t="n">
        <v>0</v>
      </c>
      <c r="BL96" s="27" t="n">
        <v>0</v>
      </c>
      <c r="BM96" s="27" t="n">
        <v>0</v>
      </c>
      <c r="BN96" s="27" t="n">
        <v>0</v>
      </c>
      <c r="BO96" s="27" t="n">
        <v>0</v>
      </c>
      <c r="BP96" s="27" t="n">
        <v>0</v>
      </c>
      <c r="BQ96" s="27" t="n">
        <v>0</v>
      </c>
      <c r="BR96" s="27" t="n">
        <v>0</v>
      </c>
      <c r="BS96" s="27" t="n">
        <v>0</v>
      </c>
      <c r="BT96" s="27" t="n">
        <v>0</v>
      </c>
      <c r="BU96" s="27" t="n">
        <v>0</v>
      </c>
      <c r="BV96" s="27" t="n">
        <v>0</v>
      </c>
      <c r="BW96" s="27" t="n">
        <v>0</v>
      </c>
      <c r="BX96" s="27" t="n">
        <v>0</v>
      </c>
      <c r="BY96" s="27" t="n">
        <v>0</v>
      </c>
      <c r="BZ96" s="27" t="n">
        <v>0</v>
      </c>
      <c r="CA96" s="27" t="n">
        <v>0</v>
      </c>
      <c r="CB96" s="27" t="n">
        <v>0</v>
      </c>
      <c r="CC96" s="27" t="n">
        <v>0</v>
      </c>
      <c r="CD96" s="27" t="n">
        <v>0</v>
      </c>
      <c r="CE96" s="27" t="n">
        <v>0</v>
      </c>
      <c r="CF96" s="27" t="n">
        <v>0</v>
      </c>
      <c r="CG96" s="27" t="n">
        <v>0</v>
      </c>
      <c r="CH96" s="27" t="n">
        <v>0</v>
      </c>
      <c r="CI96" s="27" t="n">
        <v>0</v>
      </c>
      <c r="CJ96" s="27" t="n">
        <v>0</v>
      </c>
      <c r="CK96" s="27" t="n">
        <v>0</v>
      </c>
      <c r="CL96" s="27" t="n">
        <v>0</v>
      </c>
      <c r="CM96" s="27" t="n">
        <v>0</v>
      </c>
      <c r="CN96" s="27" t="n">
        <v>0</v>
      </c>
      <c r="CO96" s="27" t="n">
        <v>0</v>
      </c>
      <c r="CP96" s="27" t="n">
        <v>0</v>
      </c>
      <c r="CQ96" s="27" t="n">
        <v>0</v>
      </c>
      <c r="CR96" s="27" t="n">
        <v>0</v>
      </c>
      <c r="CS96" s="27" t="n">
        <v>0</v>
      </c>
      <c r="CT96" s="27" t="n">
        <v>0</v>
      </c>
      <c r="CU96" s="27" t="n">
        <v>0</v>
      </c>
      <c r="CV96" s="27" t="n">
        <v>0</v>
      </c>
      <c r="CW96" s="27" t="n">
        <v>0</v>
      </c>
      <c r="CX96" s="27" t="n">
        <v>0</v>
      </c>
      <c r="CY96" s="27" t="n">
        <v>0</v>
      </c>
      <c r="CZ96" s="27" t="n">
        <v>0</v>
      </c>
      <c r="DA96" s="27" t="n">
        <v>0</v>
      </c>
    </row>
    <row r="97">
      <c r="A97" t="inlineStr">
        <is>
          <t>SOL-85D</t>
        </is>
      </c>
      <c r="B97" s="27" t="n">
        <v>0</v>
      </c>
      <c r="C97" s="27" t="n">
        <v>0</v>
      </c>
      <c r="D97" s="27" t="n">
        <v>0</v>
      </c>
      <c r="E97" s="27" t="n">
        <v>0</v>
      </c>
      <c r="F97" s="27" t="n">
        <v>0</v>
      </c>
      <c r="G97" s="27" t="n">
        <v>0</v>
      </c>
      <c r="H97" s="27" t="n">
        <v>0</v>
      </c>
      <c r="I97" s="27" t="n">
        <v>0</v>
      </c>
      <c r="J97" s="27" t="n">
        <v>0</v>
      </c>
      <c r="K97" s="27" t="n">
        <v>0</v>
      </c>
      <c r="L97" s="27" t="n">
        <v>0</v>
      </c>
      <c r="M97" s="27" t="n">
        <v>0</v>
      </c>
      <c r="N97" s="27" t="n">
        <v>0</v>
      </c>
      <c r="O97" s="27" t="n">
        <v>0</v>
      </c>
      <c r="P97" s="27" t="n">
        <v>0</v>
      </c>
      <c r="Q97" s="27" t="n">
        <v>0</v>
      </c>
      <c r="R97" s="27" t="n">
        <v>0</v>
      </c>
      <c r="S97" s="27" t="n">
        <v>0</v>
      </c>
      <c r="T97" s="27" t="n">
        <v>0</v>
      </c>
      <c r="U97" s="27" t="n">
        <v>0</v>
      </c>
      <c r="V97" s="27" t="n">
        <v>0</v>
      </c>
      <c r="W97" s="27" t="n">
        <v>0</v>
      </c>
      <c r="X97" s="27" t="n">
        <v>0</v>
      </c>
      <c r="Y97" s="27" t="n">
        <v>0</v>
      </c>
      <c r="Z97" s="27" t="n">
        <v>0</v>
      </c>
      <c r="AA97" s="27" t="n">
        <v>0</v>
      </c>
      <c r="AB97" s="27" t="n">
        <v>0</v>
      </c>
      <c r="AC97" s="27" t="n">
        <v>0</v>
      </c>
      <c r="AD97" s="27" t="n">
        <v>0</v>
      </c>
      <c r="AE97" s="27" t="n">
        <v>0</v>
      </c>
      <c r="AF97" s="27" t="n">
        <v>0</v>
      </c>
      <c r="AG97" s="27" t="n">
        <v>0</v>
      </c>
      <c r="AH97" s="27" t="n">
        <v>0</v>
      </c>
      <c r="AI97" s="27" t="n">
        <v>0</v>
      </c>
      <c r="AJ97" s="27" t="n">
        <v>0</v>
      </c>
      <c r="AK97" s="27" t="n">
        <v>0</v>
      </c>
      <c r="AL97" s="27" t="n">
        <v>0</v>
      </c>
      <c r="AM97" s="27" t="n">
        <v>0</v>
      </c>
      <c r="AN97" s="27" t="n">
        <v>0</v>
      </c>
      <c r="AO97" s="27" t="n">
        <v>0</v>
      </c>
      <c r="AP97" s="27" t="n">
        <v>0</v>
      </c>
      <c r="AQ97" s="27" t="n">
        <v>0</v>
      </c>
      <c r="AR97" s="27" t="n">
        <v>0</v>
      </c>
      <c r="AS97" s="27" t="n">
        <v>0</v>
      </c>
      <c r="AT97" s="27" t="n">
        <v>0</v>
      </c>
      <c r="AU97" s="27" t="n">
        <v>0</v>
      </c>
      <c r="AV97" s="27" t="n">
        <v>0</v>
      </c>
      <c r="AW97" s="27" t="n">
        <v>0</v>
      </c>
      <c r="AX97" s="27" t="n">
        <v>0</v>
      </c>
      <c r="AY97" s="27" t="n">
        <v>0</v>
      </c>
      <c r="AZ97" s="27" t="n">
        <v>0</v>
      </c>
      <c r="BA97" s="27" t="n">
        <v>0</v>
      </c>
      <c r="BB97" s="27" t="n">
        <v>0</v>
      </c>
      <c r="BC97" s="27" t="n">
        <v>0</v>
      </c>
      <c r="BD97" s="27" t="n">
        <v>0</v>
      </c>
      <c r="BE97" s="27" t="n">
        <v>0</v>
      </c>
      <c r="BF97" s="27" t="n">
        <v>0</v>
      </c>
      <c r="BG97" s="27" t="n">
        <v>0</v>
      </c>
      <c r="BH97" s="27" t="n">
        <v>0</v>
      </c>
      <c r="BI97" s="27" t="n">
        <v>0</v>
      </c>
      <c r="BJ97" s="27" t="n">
        <v>0</v>
      </c>
      <c r="BK97" s="27" t="n">
        <v>0</v>
      </c>
      <c r="BL97" s="27" t="n">
        <v>0</v>
      </c>
      <c r="BM97" s="27" t="n">
        <v>0</v>
      </c>
      <c r="BN97" s="27" t="n">
        <v>0</v>
      </c>
      <c r="BO97" s="27" t="n">
        <v>0</v>
      </c>
      <c r="BP97" s="27" t="n">
        <v>0</v>
      </c>
      <c r="BQ97" s="27" t="n">
        <v>0</v>
      </c>
      <c r="BR97" s="27" t="n">
        <v>0</v>
      </c>
      <c r="BS97" s="27" t="n">
        <v>0</v>
      </c>
      <c r="BT97" s="27" t="n">
        <v>0</v>
      </c>
      <c r="BU97" s="27" t="n">
        <v>0</v>
      </c>
      <c r="BV97" s="27" t="n">
        <v>0</v>
      </c>
      <c r="BW97" s="27" t="n">
        <v>0</v>
      </c>
      <c r="BX97" s="27" t="n">
        <v>0</v>
      </c>
      <c r="BY97" s="27" t="n">
        <v>0</v>
      </c>
      <c r="BZ97" s="27" t="n">
        <v>0</v>
      </c>
      <c r="CA97" s="27" t="n">
        <v>0</v>
      </c>
      <c r="CB97" s="27" t="n">
        <v>0</v>
      </c>
      <c r="CC97" s="27" t="n">
        <v>0</v>
      </c>
      <c r="CD97" s="27" t="n">
        <v>0</v>
      </c>
      <c r="CE97" s="27" t="n">
        <v>0</v>
      </c>
      <c r="CF97" s="27" t="n">
        <v>0</v>
      </c>
      <c r="CG97" s="27" t="n">
        <v>0</v>
      </c>
      <c r="CH97" s="27" t="n">
        <v>0</v>
      </c>
      <c r="CI97" s="27" t="n">
        <v>0</v>
      </c>
      <c r="CJ97" s="27" t="n">
        <v>0</v>
      </c>
      <c r="CK97" s="27" t="n">
        <v>0</v>
      </c>
      <c r="CL97" s="27" t="n">
        <v>0</v>
      </c>
      <c r="CM97" s="27" t="n">
        <v>0</v>
      </c>
      <c r="CN97" s="27" t="n">
        <v>0</v>
      </c>
      <c r="CO97" s="27" t="n">
        <v>0</v>
      </c>
      <c r="CP97" s="27" t="n">
        <v>0</v>
      </c>
      <c r="CQ97" s="27" t="n">
        <v>0</v>
      </c>
      <c r="CR97" s="27" t="n">
        <v>0</v>
      </c>
      <c r="CS97" s="27" t="n">
        <v>0</v>
      </c>
      <c r="CT97" s="27" t="n">
        <v>0</v>
      </c>
      <c r="CU97" s="27" t="n">
        <v>0</v>
      </c>
      <c r="CV97" s="27" t="n">
        <v>0</v>
      </c>
      <c r="CW97" s="27" t="n">
        <v>0</v>
      </c>
      <c r="CX97" s="27" t="n">
        <v>0</v>
      </c>
      <c r="CY97" s="27" t="n">
        <v>0</v>
      </c>
      <c r="CZ97" s="27" t="n">
        <v>0</v>
      </c>
      <c r="DA97" s="27" t="n">
        <v>0</v>
      </c>
    </row>
    <row r="98">
      <c r="A98" t="inlineStr">
        <is>
          <t>TSP-1499</t>
        </is>
      </c>
      <c r="B98" s="27" t="n">
        <v>0</v>
      </c>
      <c r="C98" s="27" t="n">
        <v>0</v>
      </c>
      <c r="D98" s="27" t="n">
        <v>0</v>
      </c>
      <c r="E98" s="27" t="n">
        <v>0</v>
      </c>
      <c r="F98" s="27" t="n">
        <v>0</v>
      </c>
      <c r="G98" s="27" t="n">
        <v>0</v>
      </c>
      <c r="H98" s="27" t="n">
        <v>0</v>
      </c>
      <c r="I98" s="27" t="n">
        <v>0</v>
      </c>
      <c r="J98" s="27" t="n">
        <v>0</v>
      </c>
      <c r="K98" s="27" t="n">
        <v>0</v>
      </c>
      <c r="L98" s="27" t="n">
        <v>0</v>
      </c>
      <c r="M98" s="27" t="n">
        <v>0</v>
      </c>
      <c r="N98" s="27" t="n">
        <v>0</v>
      </c>
      <c r="O98" s="27" t="n">
        <v>0</v>
      </c>
      <c r="P98" s="27" t="n">
        <v>0</v>
      </c>
      <c r="Q98" s="27" t="n">
        <v>0</v>
      </c>
      <c r="R98" s="27" t="n">
        <v>0</v>
      </c>
      <c r="S98" s="27" t="n">
        <v>0</v>
      </c>
      <c r="T98" s="27" t="n">
        <v>0</v>
      </c>
      <c r="U98" s="27" t="n">
        <v>0</v>
      </c>
      <c r="V98" s="27" t="n">
        <v>0</v>
      </c>
      <c r="W98" s="27" t="n">
        <v>0</v>
      </c>
      <c r="X98" s="27" t="n">
        <v>0</v>
      </c>
      <c r="Y98" s="27" t="n">
        <v>0</v>
      </c>
      <c r="Z98" s="27" t="n">
        <v>0</v>
      </c>
      <c r="AA98" s="27" t="n">
        <v>0</v>
      </c>
      <c r="AB98" s="27" t="n">
        <v>0</v>
      </c>
      <c r="AC98" s="27" t="n">
        <v>0</v>
      </c>
      <c r="AD98" s="27" t="n">
        <v>0</v>
      </c>
      <c r="AE98" s="27" t="n">
        <v>0</v>
      </c>
      <c r="AF98" s="27" t="n">
        <v>0</v>
      </c>
      <c r="AG98" s="27" t="n">
        <v>0</v>
      </c>
      <c r="AH98" s="27" t="n">
        <v>0</v>
      </c>
      <c r="AI98" s="27" t="n">
        <v>0</v>
      </c>
      <c r="AJ98" s="27" t="n">
        <v>0</v>
      </c>
      <c r="AK98" s="27" t="n">
        <v>0</v>
      </c>
      <c r="AL98" s="27" t="n">
        <v>0</v>
      </c>
      <c r="AM98" s="27" t="n">
        <v>0</v>
      </c>
      <c r="AN98" s="27" t="n">
        <v>0</v>
      </c>
      <c r="AO98" s="27" t="n">
        <v>0</v>
      </c>
      <c r="AP98" s="27" t="n">
        <v>0</v>
      </c>
      <c r="AQ98" s="27" t="n">
        <v>0</v>
      </c>
      <c r="AR98" s="27" t="n">
        <v>0</v>
      </c>
      <c r="AS98" s="27" t="n">
        <v>0</v>
      </c>
      <c r="AT98" s="27" t="n">
        <v>0</v>
      </c>
      <c r="AU98" s="27" t="n">
        <v>0</v>
      </c>
      <c r="AV98" s="27" t="n">
        <v>0</v>
      </c>
      <c r="AW98" s="27" t="n">
        <v>0</v>
      </c>
      <c r="AX98" s="27" t="n">
        <v>0</v>
      </c>
      <c r="AY98" s="27" t="n">
        <v>0</v>
      </c>
      <c r="AZ98" s="27" t="n">
        <v>0</v>
      </c>
      <c r="BA98" s="27" t="n">
        <v>0</v>
      </c>
      <c r="BB98" s="27" t="n">
        <v>0</v>
      </c>
      <c r="BC98" s="27" t="n">
        <v>0</v>
      </c>
      <c r="BD98" s="27" t="n">
        <v>0</v>
      </c>
      <c r="BE98" s="27" t="n">
        <v>0</v>
      </c>
      <c r="BF98" s="27" t="n">
        <v>0</v>
      </c>
      <c r="BG98" s="27" t="n">
        <v>0</v>
      </c>
      <c r="BH98" s="27" t="n">
        <v>0</v>
      </c>
      <c r="BI98" s="27" t="n">
        <v>0</v>
      </c>
      <c r="BJ98" s="27" t="n">
        <v>0</v>
      </c>
      <c r="BK98" s="27" t="n">
        <v>0</v>
      </c>
      <c r="BL98" s="27" t="n">
        <v>0</v>
      </c>
      <c r="BM98" s="27" t="n">
        <v>0</v>
      </c>
      <c r="BN98" s="27" t="n">
        <v>0</v>
      </c>
      <c r="BO98" s="27" t="n">
        <v>0</v>
      </c>
      <c r="BP98" s="27" t="n">
        <v>0</v>
      </c>
      <c r="BQ98" s="27" t="n">
        <v>0</v>
      </c>
      <c r="BR98" s="27" t="n">
        <v>0</v>
      </c>
      <c r="BS98" s="27" t="n">
        <v>0</v>
      </c>
      <c r="BT98" s="27" t="n">
        <v>0</v>
      </c>
      <c r="BU98" s="27" t="n">
        <v>0</v>
      </c>
      <c r="BV98" s="27" t="n">
        <v>0</v>
      </c>
      <c r="BW98" s="27" t="n">
        <v>0</v>
      </c>
      <c r="BX98" s="27" t="n">
        <v>0</v>
      </c>
      <c r="BY98" s="27" t="n">
        <v>0</v>
      </c>
      <c r="BZ98" s="27" t="n">
        <v>0</v>
      </c>
      <c r="CA98" s="27" t="n">
        <v>0</v>
      </c>
      <c r="CB98" s="27" t="n">
        <v>0</v>
      </c>
      <c r="CC98" s="27" t="n">
        <v>0</v>
      </c>
      <c r="CD98" s="27" t="n">
        <v>0</v>
      </c>
      <c r="CE98" s="27" t="n">
        <v>0</v>
      </c>
      <c r="CF98" s="27" t="n">
        <v>0</v>
      </c>
      <c r="CG98" s="27" t="n">
        <v>0</v>
      </c>
      <c r="CH98" s="27" t="n">
        <v>0</v>
      </c>
      <c r="CI98" s="27" t="n">
        <v>0</v>
      </c>
      <c r="CJ98" s="27" t="n">
        <v>0</v>
      </c>
      <c r="CK98" s="27" t="n">
        <v>0</v>
      </c>
      <c r="CL98" s="27" t="n">
        <v>0</v>
      </c>
      <c r="CM98" s="27" t="n">
        <v>0</v>
      </c>
      <c r="CN98" s="27" t="n">
        <v>0</v>
      </c>
      <c r="CO98" s="27" t="n">
        <v>0</v>
      </c>
      <c r="CP98" s="27" t="n">
        <v>0</v>
      </c>
      <c r="CQ98" s="27" t="n">
        <v>0</v>
      </c>
      <c r="CR98" s="27" t="n">
        <v>0</v>
      </c>
      <c r="CS98" s="27" t="n">
        <v>0</v>
      </c>
      <c r="CT98" s="27" t="n">
        <v>0</v>
      </c>
      <c r="CU98" s="27" t="n">
        <v>0</v>
      </c>
      <c r="CV98" s="27" t="n">
        <v>0</v>
      </c>
      <c r="CW98" s="27" t="n">
        <v>0</v>
      </c>
      <c r="CX98" s="27" t="n">
        <v>0</v>
      </c>
      <c r="CY98" s="27" t="n">
        <v>0</v>
      </c>
      <c r="CZ98" s="27" t="n">
        <v>0</v>
      </c>
      <c r="DA98" s="27" t="n">
        <v>0</v>
      </c>
    </row>
    <row r="99">
      <c r="A99" t="inlineStr">
        <is>
          <t>TSP-1558</t>
        </is>
      </c>
      <c r="B99" s="27" t="n">
        <v>0</v>
      </c>
      <c r="C99" s="27" t="n">
        <v>0</v>
      </c>
      <c r="D99" s="27" t="n">
        <v>0</v>
      </c>
      <c r="E99" s="27" t="n">
        <v>0</v>
      </c>
      <c r="F99" s="27" t="n">
        <v>0</v>
      </c>
      <c r="G99" s="27" t="n">
        <v>0</v>
      </c>
      <c r="H99" s="27" t="n">
        <v>0</v>
      </c>
      <c r="I99" s="27" t="n">
        <v>0</v>
      </c>
      <c r="J99" s="27" t="n">
        <v>0</v>
      </c>
      <c r="K99" s="27" t="n">
        <v>0</v>
      </c>
      <c r="L99" s="27" t="n">
        <v>0</v>
      </c>
      <c r="M99" s="27" t="n">
        <v>0</v>
      </c>
      <c r="N99" s="27" t="n">
        <v>0</v>
      </c>
      <c r="O99" s="27" t="n">
        <v>0</v>
      </c>
      <c r="P99" s="27" t="n">
        <v>0</v>
      </c>
      <c r="Q99" s="27" t="n">
        <v>0</v>
      </c>
      <c r="R99" s="27" t="n">
        <v>0</v>
      </c>
      <c r="S99" s="27" t="n">
        <v>0</v>
      </c>
      <c r="T99" s="27" t="n">
        <v>0</v>
      </c>
      <c r="U99" s="27" t="n">
        <v>0</v>
      </c>
      <c r="V99" s="27" t="n">
        <v>0</v>
      </c>
      <c r="W99" s="27" t="n">
        <v>0</v>
      </c>
      <c r="X99" s="27" t="n">
        <v>0</v>
      </c>
      <c r="Y99" s="27" t="n">
        <v>0</v>
      </c>
      <c r="Z99" s="27" t="n">
        <v>0</v>
      </c>
      <c r="AA99" s="27" t="n">
        <v>0</v>
      </c>
      <c r="AB99" s="27" t="n">
        <v>0</v>
      </c>
      <c r="AC99" s="27" t="n">
        <v>0</v>
      </c>
      <c r="AD99" s="27" t="n">
        <v>0</v>
      </c>
      <c r="AE99" s="27" t="n">
        <v>0</v>
      </c>
      <c r="AF99" s="27" t="n">
        <v>0</v>
      </c>
      <c r="AG99" s="27" t="n">
        <v>0</v>
      </c>
      <c r="AH99" s="27" t="n">
        <v>0</v>
      </c>
      <c r="AI99" s="27" t="n">
        <v>0</v>
      </c>
      <c r="AJ99" s="27" t="n">
        <v>0</v>
      </c>
      <c r="AK99" s="27" t="n">
        <v>0</v>
      </c>
      <c r="AL99" s="27" t="n">
        <v>0</v>
      </c>
      <c r="AM99" s="27" t="n">
        <v>0</v>
      </c>
      <c r="AN99" s="27" t="n">
        <v>0</v>
      </c>
      <c r="AO99" s="27" t="n">
        <v>0</v>
      </c>
      <c r="AP99" s="27" t="n">
        <v>0</v>
      </c>
      <c r="AQ99" s="27" t="n">
        <v>0</v>
      </c>
      <c r="AR99" s="27" t="n">
        <v>0</v>
      </c>
      <c r="AS99" s="27" t="n">
        <v>0</v>
      </c>
      <c r="AT99" s="27" t="n">
        <v>0</v>
      </c>
      <c r="AU99" s="27" t="n">
        <v>0</v>
      </c>
      <c r="AV99" s="27" t="n">
        <v>0</v>
      </c>
      <c r="AW99" s="27" t="n">
        <v>0</v>
      </c>
      <c r="AX99" s="27" t="n">
        <v>0</v>
      </c>
      <c r="AY99" s="27" t="n">
        <v>0</v>
      </c>
      <c r="AZ99" s="27" t="n">
        <v>0</v>
      </c>
      <c r="BA99" s="27" t="n">
        <v>0</v>
      </c>
      <c r="BB99" s="27" t="n">
        <v>0</v>
      </c>
      <c r="BC99" s="27" t="n">
        <v>0</v>
      </c>
      <c r="BD99" s="27" t="n">
        <v>0</v>
      </c>
      <c r="BE99" s="27" t="n">
        <v>0</v>
      </c>
      <c r="BF99" s="27" t="n">
        <v>0</v>
      </c>
      <c r="BG99" s="27" t="n">
        <v>0</v>
      </c>
      <c r="BH99" s="27" t="n">
        <v>0</v>
      </c>
      <c r="BI99" s="27" t="n">
        <v>0</v>
      </c>
      <c r="BJ99" s="27" t="n">
        <v>0</v>
      </c>
      <c r="BK99" s="27" t="n">
        <v>0</v>
      </c>
      <c r="BL99" s="27" t="n">
        <v>0</v>
      </c>
      <c r="BM99" s="27" t="n">
        <v>0</v>
      </c>
      <c r="BN99" s="27" t="n">
        <v>0</v>
      </c>
      <c r="BO99" s="27" t="n">
        <v>0</v>
      </c>
      <c r="BP99" s="27" t="n">
        <v>0</v>
      </c>
      <c r="BQ99" s="27" t="n">
        <v>0</v>
      </c>
      <c r="BR99" s="27" t="n">
        <v>0</v>
      </c>
      <c r="BS99" s="27" t="n">
        <v>0</v>
      </c>
      <c r="BT99" s="27" t="n">
        <v>0</v>
      </c>
      <c r="BU99" s="27" t="n">
        <v>0</v>
      </c>
      <c r="BV99" s="27" t="n">
        <v>0</v>
      </c>
      <c r="BW99" s="27" t="n">
        <v>0</v>
      </c>
      <c r="BX99" s="27" t="n">
        <v>0</v>
      </c>
      <c r="BY99" s="27" t="n">
        <v>0</v>
      </c>
      <c r="BZ99" s="27" t="n">
        <v>0</v>
      </c>
      <c r="CA99" s="27" t="n">
        <v>0</v>
      </c>
      <c r="CB99" s="27" t="n">
        <v>0</v>
      </c>
      <c r="CC99" s="27" t="n">
        <v>0</v>
      </c>
      <c r="CD99" s="27" t="n">
        <v>0</v>
      </c>
      <c r="CE99" s="27" t="n">
        <v>0</v>
      </c>
      <c r="CF99" s="27" t="n">
        <v>0</v>
      </c>
      <c r="CG99" s="27" t="n">
        <v>0</v>
      </c>
      <c r="CH99" s="27" t="n">
        <v>0</v>
      </c>
      <c r="CI99" s="27" t="n">
        <v>0</v>
      </c>
      <c r="CJ99" s="27" t="n">
        <v>0</v>
      </c>
      <c r="CK99" s="27" t="n">
        <v>0</v>
      </c>
      <c r="CL99" s="27" t="n">
        <v>0</v>
      </c>
      <c r="CM99" s="27" t="n">
        <v>0</v>
      </c>
      <c r="CN99" s="27" t="n">
        <v>0</v>
      </c>
      <c r="CO99" s="27" t="n">
        <v>0</v>
      </c>
      <c r="CP99" s="27" t="n">
        <v>0</v>
      </c>
      <c r="CQ99" s="27" t="n">
        <v>0</v>
      </c>
      <c r="CR99" s="27" t="n">
        <v>0</v>
      </c>
      <c r="CS99" s="27" t="n">
        <v>0</v>
      </c>
      <c r="CT99" s="27" t="n">
        <v>0</v>
      </c>
      <c r="CU99" s="27" t="n">
        <v>0</v>
      </c>
      <c r="CV99" s="27" t="n">
        <v>0</v>
      </c>
      <c r="CW99" s="27" t="n">
        <v>0</v>
      </c>
      <c r="CX99" s="27" t="n">
        <v>0</v>
      </c>
      <c r="CY99" s="27" t="n">
        <v>0</v>
      </c>
      <c r="CZ99" s="27" t="n">
        <v>0</v>
      </c>
      <c r="DA99" s="27" t="n">
        <v>0</v>
      </c>
    </row>
    <row r="100">
      <c r="A100" t="inlineStr">
        <is>
          <t>TSP-1559</t>
        </is>
      </c>
      <c r="B100" s="27" t="n">
        <v>0</v>
      </c>
      <c r="C100" s="27" t="n">
        <v>0</v>
      </c>
      <c r="D100" s="27" t="n">
        <v>0</v>
      </c>
      <c r="E100" s="27" t="n">
        <v>0</v>
      </c>
      <c r="F100" s="27" t="n">
        <v>0</v>
      </c>
      <c r="G100" s="27" t="n">
        <v>0</v>
      </c>
      <c r="H100" s="27" t="n">
        <v>0</v>
      </c>
      <c r="I100" s="27" t="n">
        <v>0</v>
      </c>
      <c r="J100" s="27" t="n">
        <v>0</v>
      </c>
      <c r="K100" s="27" t="n">
        <v>0</v>
      </c>
      <c r="L100" s="27" t="n">
        <v>0</v>
      </c>
      <c r="M100" s="27" t="n">
        <v>0</v>
      </c>
      <c r="N100" s="27" t="n">
        <v>0</v>
      </c>
      <c r="O100" s="27" t="n">
        <v>0</v>
      </c>
      <c r="P100" s="27" t="n">
        <v>0</v>
      </c>
      <c r="Q100" s="27" t="n">
        <v>0</v>
      </c>
      <c r="R100" s="27" t="n">
        <v>0</v>
      </c>
      <c r="S100" s="27" t="n">
        <v>0</v>
      </c>
      <c r="T100" s="27" t="n">
        <v>0</v>
      </c>
      <c r="U100" s="27" t="n">
        <v>0</v>
      </c>
      <c r="V100" s="27" t="n">
        <v>0</v>
      </c>
      <c r="W100" s="27" t="n">
        <v>0</v>
      </c>
      <c r="X100" s="27" t="n">
        <v>0</v>
      </c>
      <c r="Y100" s="27" t="n">
        <v>0</v>
      </c>
      <c r="Z100" s="27" t="n">
        <v>0</v>
      </c>
      <c r="AA100" s="27" t="n">
        <v>0</v>
      </c>
      <c r="AB100" s="27" t="n">
        <v>0</v>
      </c>
      <c r="AC100" s="27" t="n">
        <v>0</v>
      </c>
      <c r="AD100" s="27" t="n">
        <v>0</v>
      </c>
      <c r="AE100" s="27" t="n">
        <v>0</v>
      </c>
      <c r="AF100" s="27" t="n">
        <v>0</v>
      </c>
      <c r="AG100" s="27" t="n">
        <v>0</v>
      </c>
      <c r="AH100" s="27" t="n">
        <v>0</v>
      </c>
      <c r="AI100" s="27" t="n">
        <v>0</v>
      </c>
      <c r="AJ100" s="27" t="n">
        <v>0</v>
      </c>
      <c r="AK100" s="27" t="n">
        <v>0</v>
      </c>
      <c r="AL100" s="27" t="n">
        <v>0</v>
      </c>
      <c r="AM100" s="27" t="n">
        <v>0</v>
      </c>
      <c r="AN100" s="27" t="n">
        <v>0</v>
      </c>
      <c r="AO100" s="27" t="n">
        <v>0</v>
      </c>
      <c r="AP100" s="27" t="n">
        <v>0</v>
      </c>
      <c r="AQ100" s="27" t="n">
        <v>0</v>
      </c>
      <c r="AR100" s="27" t="n">
        <v>0</v>
      </c>
      <c r="AS100" s="27" t="n">
        <v>0</v>
      </c>
      <c r="AT100" s="27" t="n">
        <v>0</v>
      </c>
      <c r="AU100" s="27" t="n">
        <v>0</v>
      </c>
      <c r="AV100" s="27" t="n">
        <v>0</v>
      </c>
      <c r="AW100" s="27" t="n">
        <v>0</v>
      </c>
      <c r="AX100" s="27" t="n">
        <v>0</v>
      </c>
      <c r="AY100" s="27" t="n">
        <v>0</v>
      </c>
      <c r="AZ100" s="27" t="n">
        <v>0</v>
      </c>
      <c r="BA100" s="27" t="n">
        <v>0</v>
      </c>
      <c r="BB100" s="27" t="n">
        <v>0</v>
      </c>
      <c r="BC100" s="27" t="n">
        <v>0</v>
      </c>
      <c r="BD100" s="27" t="n">
        <v>0</v>
      </c>
      <c r="BE100" s="27" t="n">
        <v>0</v>
      </c>
      <c r="BF100" s="27" t="n">
        <v>0</v>
      </c>
      <c r="BG100" s="27" t="n">
        <v>0</v>
      </c>
      <c r="BH100" s="27" t="n">
        <v>0</v>
      </c>
      <c r="BI100" s="27" t="n">
        <v>0</v>
      </c>
      <c r="BJ100" s="27" t="n">
        <v>0</v>
      </c>
      <c r="BK100" s="27" t="n">
        <v>0</v>
      </c>
      <c r="BL100" s="27" t="n">
        <v>0</v>
      </c>
      <c r="BM100" s="27" t="n">
        <v>0</v>
      </c>
      <c r="BN100" s="27" t="n">
        <v>0</v>
      </c>
      <c r="BO100" s="27" t="n">
        <v>0</v>
      </c>
      <c r="BP100" s="27" t="n">
        <v>0</v>
      </c>
      <c r="BQ100" s="27" t="n">
        <v>0</v>
      </c>
      <c r="BR100" s="27" t="n">
        <v>0</v>
      </c>
      <c r="BS100" s="27" t="n">
        <v>0</v>
      </c>
      <c r="BT100" s="27" t="n">
        <v>0</v>
      </c>
      <c r="BU100" s="27" t="n">
        <v>0</v>
      </c>
      <c r="BV100" s="27" t="n">
        <v>0</v>
      </c>
      <c r="BW100" s="27" t="n">
        <v>0</v>
      </c>
      <c r="BX100" s="27" t="n">
        <v>0</v>
      </c>
      <c r="BY100" s="27" t="n">
        <v>0</v>
      </c>
      <c r="BZ100" s="27" t="n">
        <v>0</v>
      </c>
      <c r="CA100" s="27" t="n">
        <v>0</v>
      </c>
      <c r="CB100" s="27" t="n">
        <v>0</v>
      </c>
      <c r="CC100" s="27" t="n">
        <v>0</v>
      </c>
      <c r="CD100" s="27" t="n">
        <v>0</v>
      </c>
      <c r="CE100" s="27" t="n">
        <v>0</v>
      </c>
      <c r="CF100" s="27" t="n">
        <v>0</v>
      </c>
      <c r="CG100" s="27" t="n">
        <v>0</v>
      </c>
      <c r="CH100" s="27" t="n">
        <v>0</v>
      </c>
      <c r="CI100" s="27" t="n">
        <v>0</v>
      </c>
      <c r="CJ100" s="27" t="n">
        <v>0</v>
      </c>
      <c r="CK100" s="27" t="n">
        <v>0</v>
      </c>
      <c r="CL100" s="27" t="n">
        <v>0</v>
      </c>
      <c r="CM100" s="27" t="n">
        <v>0</v>
      </c>
      <c r="CN100" s="27" t="n">
        <v>0</v>
      </c>
      <c r="CO100" s="27" t="n">
        <v>0</v>
      </c>
      <c r="CP100" s="27" t="n">
        <v>0</v>
      </c>
      <c r="CQ100" s="27" t="n">
        <v>0</v>
      </c>
      <c r="CR100" s="27" t="n">
        <v>0</v>
      </c>
      <c r="CS100" s="27" t="n">
        <v>0</v>
      </c>
      <c r="CT100" s="27" t="n">
        <v>0</v>
      </c>
      <c r="CU100" s="27" t="n">
        <v>0</v>
      </c>
      <c r="CV100" s="27" t="n">
        <v>0</v>
      </c>
      <c r="CW100" s="27" t="n">
        <v>0</v>
      </c>
      <c r="CX100" s="27" t="n">
        <v>0</v>
      </c>
      <c r="CY100" s="27" t="n">
        <v>0</v>
      </c>
      <c r="CZ100" s="27" t="n">
        <v>0</v>
      </c>
      <c r="DA100" s="27" t="n">
        <v>0</v>
      </c>
    </row>
    <row r="101">
      <c r="A101" t="inlineStr">
        <is>
          <t>0Q110</t>
        </is>
      </c>
      <c r="B101" s="27" t="n">
        <v>0</v>
      </c>
      <c r="C101" s="27" t="n">
        <v>0</v>
      </c>
      <c r="D101" s="27" t="n">
        <v>0</v>
      </c>
      <c r="E101" s="27" t="n">
        <v>0</v>
      </c>
      <c r="F101" s="27" t="n">
        <v>0</v>
      </c>
      <c r="G101" s="27" t="n">
        <v>0</v>
      </c>
      <c r="H101" s="27" t="n">
        <v>0</v>
      </c>
      <c r="I101" s="27" t="n">
        <v>0</v>
      </c>
      <c r="J101" s="27" t="n">
        <v>0</v>
      </c>
      <c r="K101" s="27" t="n">
        <v>0</v>
      </c>
      <c r="L101" s="27" t="n">
        <v>0</v>
      </c>
      <c r="M101" s="27" t="n">
        <v>0</v>
      </c>
      <c r="N101" s="27" t="n">
        <v>0</v>
      </c>
      <c r="O101" s="27" t="n">
        <v>0</v>
      </c>
      <c r="P101" s="27" t="n">
        <v>0</v>
      </c>
      <c r="Q101" s="27" t="n">
        <v>0</v>
      </c>
      <c r="R101" s="27" t="n">
        <v>0</v>
      </c>
      <c r="S101" s="27" t="n">
        <v>0</v>
      </c>
      <c r="T101" s="27" t="n">
        <v>0</v>
      </c>
      <c r="U101" s="27" t="n">
        <v>0</v>
      </c>
      <c r="V101" s="27" t="n">
        <v>0</v>
      </c>
      <c r="W101" s="27" t="n">
        <v>0</v>
      </c>
      <c r="X101" s="27" t="n">
        <v>0</v>
      </c>
      <c r="Y101" s="27" t="n">
        <v>0</v>
      </c>
      <c r="Z101" s="27" t="n">
        <v>0</v>
      </c>
      <c r="AA101" s="27" t="n">
        <v>0</v>
      </c>
      <c r="AB101" s="27" t="n">
        <v>0</v>
      </c>
      <c r="AC101" s="27" t="n">
        <v>0</v>
      </c>
      <c r="AD101" s="27" t="n">
        <v>0</v>
      </c>
      <c r="AE101" s="27" t="n">
        <v>0</v>
      </c>
      <c r="AF101" s="27" t="n">
        <v>0</v>
      </c>
      <c r="AG101" s="27" t="n">
        <v>0</v>
      </c>
      <c r="AH101" s="27" t="n">
        <v>0</v>
      </c>
      <c r="AI101" s="27" t="n">
        <v>0</v>
      </c>
      <c r="AJ101" s="27" t="n">
        <v>0</v>
      </c>
      <c r="AK101" s="27" t="n">
        <v>0</v>
      </c>
      <c r="AL101" s="27" t="n">
        <v>0</v>
      </c>
      <c r="AM101" s="27" t="n">
        <v>0</v>
      </c>
      <c r="AN101" s="27" t="n">
        <v>0</v>
      </c>
      <c r="AO101" s="27" t="n">
        <v>0</v>
      </c>
      <c r="AP101" s="27" t="n">
        <v>0</v>
      </c>
      <c r="AQ101" s="27" t="n">
        <v>0</v>
      </c>
      <c r="AR101" s="27" t="n">
        <v>0</v>
      </c>
      <c r="AS101" s="27" t="n">
        <v>0</v>
      </c>
      <c r="AT101" s="27" t="n">
        <v>0</v>
      </c>
      <c r="AU101" s="27" t="n">
        <v>0</v>
      </c>
      <c r="AV101" s="27" t="n">
        <v>0</v>
      </c>
      <c r="AW101" s="27" t="n">
        <v>0</v>
      </c>
      <c r="AX101" s="27" t="n">
        <v>0</v>
      </c>
      <c r="AY101" s="27" t="n">
        <v>0</v>
      </c>
      <c r="AZ101" s="27" t="n">
        <v>0</v>
      </c>
      <c r="BA101" s="27" t="n">
        <v>0</v>
      </c>
      <c r="BB101" s="27" t="n">
        <v>0</v>
      </c>
      <c r="BC101" s="27" t="n">
        <v>0</v>
      </c>
      <c r="BD101" s="27" t="n">
        <v>0</v>
      </c>
      <c r="BE101" s="27" t="n">
        <v>0</v>
      </c>
      <c r="BF101" s="27" t="n">
        <v>0</v>
      </c>
      <c r="BG101" s="27" t="n">
        <v>0</v>
      </c>
      <c r="BH101" s="27" t="n">
        <v>0</v>
      </c>
      <c r="BI101" s="27" t="n">
        <v>0</v>
      </c>
      <c r="BJ101" s="27" t="n">
        <v>0</v>
      </c>
      <c r="BK101" s="27" t="n">
        <v>0</v>
      </c>
      <c r="BL101" s="27" t="n">
        <v>0</v>
      </c>
      <c r="BM101" s="27" t="n">
        <v>0</v>
      </c>
      <c r="BN101" s="27" t="n">
        <v>0</v>
      </c>
      <c r="BO101" s="27" t="n">
        <v>0</v>
      </c>
      <c r="BP101" s="27" t="n">
        <v>0</v>
      </c>
      <c r="BQ101" s="27" t="n">
        <v>0</v>
      </c>
      <c r="BR101" s="27" t="n">
        <v>0</v>
      </c>
      <c r="BS101" s="27" t="n">
        <v>0</v>
      </c>
      <c r="BT101" s="27" t="n">
        <v>0</v>
      </c>
      <c r="BU101" s="27" t="n">
        <v>0</v>
      </c>
      <c r="BV101" s="27" t="n">
        <v>0</v>
      </c>
      <c r="BW101" s="27" t="n">
        <v>0</v>
      </c>
      <c r="BX101" s="27" t="n">
        <v>0</v>
      </c>
      <c r="BY101" s="27" t="n">
        <v>0</v>
      </c>
      <c r="BZ101" s="27" t="n">
        <v>0</v>
      </c>
      <c r="CA101" s="27" t="n">
        <v>0</v>
      </c>
      <c r="CB101" s="27" t="n">
        <v>0</v>
      </c>
      <c r="CC101" s="27" t="n">
        <v>0</v>
      </c>
      <c r="CD101" s="27" t="n">
        <v>0</v>
      </c>
      <c r="CE101" s="27" t="n">
        <v>0</v>
      </c>
      <c r="CF101" s="27" t="n">
        <v>0</v>
      </c>
      <c r="CG101" s="27" t="n">
        <v>0</v>
      </c>
      <c r="CH101" s="27" t="n">
        <v>0</v>
      </c>
      <c r="CI101" s="27" t="n">
        <v>0</v>
      </c>
      <c r="CJ101" s="27" t="n">
        <v>0</v>
      </c>
      <c r="CK101" s="27" t="n">
        <v>0</v>
      </c>
      <c r="CL101" s="27" t="n">
        <v>0</v>
      </c>
      <c r="CM101" s="27" t="n">
        <v>0</v>
      </c>
      <c r="CN101" s="27" t="n">
        <v>0</v>
      </c>
      <c r="CO101" s="27" t="n">
        <v>0</v>
      </c>
      <c r="CP101" s="27" t="n">
        <v>0</v>
      </c>
      <c r="CQ101" s="27" t="n">
        <v>0</v>
      </c>
      <c r="CR101" s="27" t="n">
        <v>0</v>
      </c>
      <c r="CS101" s="27" t="n">
        <v>0</v>
      </c>
      <c r="CT101" s="27" t="n">
        <v>0</v>
      </c>
      <c r="CU101" s="27" t="n">
        <v>0</v>
      </c>
      <c r="CV101" s="27" t="n">
        <v>0</v>
      </c>
      <c r="CW101" s="27" t="n">
        <v>0</v>
      </c>
      <c r="CX101" s="27" t="n">
        <v>0</v>
      </c>
      <c r="CY101" s="27" t="n">
        <v>0</v>
      </c>
      <c r="CZ101" s="27" t="n">
        <v>0</v>
      </c>
      <c r="DA101" s="27" t="n">
        <v>0</v>
      </c>
    </row>
    <row r="102">
      <c r="A102" t="inlineStr">
        <is>
          <t>0Q120</t>
        </is>
      </c>
      <c r="B102" s="27" t="n">
        <v>0</v>
      </c>
      <c r="C102" s="27" t="n">
        <v>0</v>
      </c>
      <c r="D102" s="27" t="n">
        <v>0</v>
      </c>
      <c r="E102" s="27" t="n">
        <v>0</v>
      </c>
      <c r="F102" s="27" t="n">
        <v>0</v>
      </c>
      <c r="G102" s="27" t="n">
        <v>0</v>
      </c>
      <c r="H102" s="27" t="n">
        <v>0</v>
      </c>
      <c r="I102" s="27" t="n">
        <v>0</v>
      </c>
      <c r="J102" s="27" t="n">
        <v>0</v>
      </c>
      <c r="K102" s="27" t="n">
        <v>0</v>
      </c>
      <c r="L102" s="27" t="n">
        <v>0</v>
      </c>
      <c r="M102" s="27" t="n">
        <v>0</v>
      </c>
      <c r="N102" s="27" t="n">
        <v>0</v>
      </c>
      <c r="O102" s="27" t="n">
        <v>0</v>
      </c>
      <c r="P102" s="27" t="n">
        <v>0</v>
      </c>
      <c r="Q102" s="27" t="n">
        <v>0</v>
      </c>
      <c r="R102" s="27" t="n">
        <v>0</v>
      </c>
      <c r="S102" s="27" t="n">
        <v>0</v>
      </c>
      <c r="T102" s="27" t="n">
        <v>0</v>
      </c>
      <c r="U102" s="27" t="n">
        <v>0</v>
      </c>
      <c r="V102" s="27" t="n">
        <v>0</v>
      </c>
      <c r="W102" s="27" t="n">
        <v>0</v>
      </c>
      <c r="X102" s="27" t="n">
        <v>0</v>
      </c>
      <c r="Y102" s="27" t="n">
        <v>0</v>
      </c>
      <c r="Z102" s="27" t="n">
        <v>0</v>
      </c>
      <c r="AA102" s="27" t="n">
        <v>0</v>
      </c>
      <c r="AB102" s="27" t="n">
        <v>0</v>
      </c>
      <c r="AC102" s="27" t="n">
        <v>0</v>
      </c>
      <c r="AD102" s="27" t="n">
        <v>0</v>
      </c>
      <c r="AE102" s="27" t="n">
        <v>0</v>
      </c>
      <c r="AF102" s="27" t="n">
        <v>0</v>
      </c>
      <c r="AG102" s="27" t="n">
        <v>0</v>
      </c>
      <c r="AH102" s="27" t="n">
        <v>0</v>
      </c>
      <c r="AI102" s="27" t="n">
        <v>0</v>
      </c>
      <c r="AJ102" s="27" t="n">
        <v>0</v>
      </c>
      <c r="AK102" s="27" t="n">
        <v>0</v>
      </c>
      <c r="AL102" s="27" t="n">
        <v>0</v>
      </c>
      <c r="AM102" s="27" t="n">
        <v>0</v>
      </c>
      <c r="AN102" s="27" t="n">
        <v>0</v>
      </c>
      <c r="AO102" s="27" t="n">
        <v>0</v>
      </c>
      <c r="AP102" s="27" t="n">
        <v>0</v>
      </c>
      <c r="AQ102" s="27" t="n">
        <v>0</v>
      </c>
      <c r="AR102" s="27" t="n">
        <v>0</v>
      </c>
      <c r="AS102" s="27" t="n">
        <v>0</v>
      </c>
      <c r="AT102" s="27" t="n">
        <v>0</v>
      </c>
      <c r="AU102" s="27" t="n">
        <v>0</v>
      </c>
      <c r="AV102" s="27" t="n">
        <v>0</v>
      </c>
      <c r="AW102" s="27" t="n">
        <v>0</v>
      </c>
      <c r="AX102" s="27" t="n">
        <v>0</v>
      </c>
      <c r="AY102" s="27" t="n">
        <v>0</v>
      </c>
      <c r="AZ102" s="27" t="n">
        <v>0</v>
      </c>
      <c r="BA102" s="27" t="n">
        <v>0</v>
      </c>
      <c r="BB102" s="27" t="n">
        <v>0</v>
      </c>
      <c r="BC102" s="27" t="n">
        <v>0</v>
      </c>
      <c r="BD102" s="27" t="n">
        <v>0</v>
      </c>
      <c r="BE102" s="27" t="n">
        <v>0</v>
      </c>
      <c r="BF102" s="27" t="n">
        <v>0</v>
      </c>
      <c r="BG102" s="27" t="n">
        <v>0</v>
      </c>
      <c r="BH102" s="27" t="n">
        <v>0</v>
      </c>
      <c r="BI102" s="27" t="n">
        <v>0</v>
      </c>
      <c r="BJ102" s="27" t="n">
        <v>0</v>
      </c>
      <c r="BK102" s="27" t="n">
        <v>0</v>
      </c>
      <c r="BL102" s="27" t="n">
        <v>0</v>
      </c>
      <c r="BM102" s="27" t="n">
        <v>0</v>
      </c>
      <c r="BN102" s="27" t="n">
        <v>0</v>
      </c>
      <c r="BO102" s="27" t="n">
        <v>0</v>
      </c>
      <c r="BP102" s="27" t="n">
        <v>0</v>
      </c>
      <c r="BQ102" s="27" t="n">
        <v>0</v>
      </c>
      <c r="BR102" s="27" t="n">
        <v>0</v>
      </c>
      <c r="BS102" s="27" t="n">
        <v>0</v>
      </c>
      <c r="BT102" s="27" t="n">
        <v>0</v>
      </c>
      <c r="BU102" s="27" t="n">
        <v>0</v>
      </c>
      <c r="BV102" s="27" t="n">
        <v>0</v>
      </c>
      <c r="BW102" s="27" t="n">
        <v>0</v>
      </c>
      <c r="BX102" s="27" t="n">
        <v>0</v>
      </c>
      <c r="BY102" s="27" t="n">
        <v>0</v>
      </c>
      <c r="BZ102" s="27" t="n">
        <v>0</v>
      </c>
      <c r="CA102" s="27" t="n">
        <v>0</v>
      </c>
      <c r="CB102" s="27" t="n">
        <v>0</v>
      </c>
      <c r="CC102" s="27" t="n">
        <v>0</v>
      </c>
      <c r="CD102" s="27" t="n">
        <v>0</v>
      </c>
      <c r="CE102" s="27" t="n">
        <v>0</v>
      </c>
      <c r="CF102" s="27" t="n">
        <v>0</v>
      </c>
      <c r="CG102" s="27" t="n">
        <v>0</v>
      </c>
      <c r="CH102" s="27" t="n">
        <v>0</v>
      </c>
      <c r="CI102" s="27" t="n">
        <v>0</v>
      </c>
      <c r="CJ102" s="27" t="n">
        <v>0</v>
      </c>
      <c r="CK102" s="27" t="n">
        <v>0</v>
      </c>
      <c r="CL102" s="27" t="n">
        <v>0</v>
      </c>
      <c r="CM102" s="27" t="n">
        <v>0</v>
      </c>
      <c r="CN102" s="27" t="n">
        <v>0</v>
      </c>
      <c r="CO102" s="27" t="n">
        <v>0</v>
      </c>
      <c r="CP102" s="27" t="n">
        <v>0</v>
      </c>
      <c r="CQ102" s="27" t="n">
        <v>0</v>
      </c>
      <c r="CR102" s="27" t="n">
        <v>0</v>
      </c>
      <c r="CS102" s="27" t="n">
        <v>0</v>
      </c>
      <c r="CT102" s="27" t="n">
        <v>0</v>
      </c>
      <c r="CU102" s="27" t="n">
        <v>0</v>
      </c>
      <c r="CV102" s="27" t="n">
        <v>0</v>
      </c>
      <c r="CW102" s="27" t="n">
        <v>0</v>
      </c>
      <c r="CX102" s="27" t="n">
        <v>0</v>
      </c>
      <c r="CY102" s="27" t="n">
        <v>0</v>
      </c>
      <c r="CZ102" s="27" t="n">
        <v>0</v>
      </c>
      <c r="DA102" s="27" t="n">
        <v>0</v>
      </c>
    </row>
    <row r="103">
      <c r="A103" t="inlineStr">
        <is>
          <t>0TA30</t>
        </is>
      </c>
      <c r="B103" s="27" t="n">
        <v>0</v>
      </c>
      <c r="C103" s="27" t="n">
        <v>0</v>
      </c>
      <c r="D103" s="27" t="n">
        <v>0</v>
      </c>
      <c r="E103" s="27" t="n">
        <v>0</v>
      </c>
      <c r="F103" s="27" t="n">
        <v>0</v>
      </c>
      <c r="G103" s="27" t="n">
        <v>0</v>
      </c>
      <c r="H103" s="27" t="n">
        <v>0</v>
      </c>
      <c r="I103" s="27" t="n">
        <v>0</v>
      </c>
      <c r="J103" s="27" t="n">
        <v>0</v>
      </c>
      <c r="K103" s="27" t="n">
        <v>0</v>
      </c>
      <c r="L103" s="27" t="n">
        <v>0</v>
      </c>
      <c r="M103" s="27" t="n">
        <v>0</v>
      </c>
      <c r="N103" s="27" t="n">
        <v>0</v>
      </c>
      <c r="O103" s="27" t="n">
        <v>0</v>
      </c>
      <c r="P103" s="27" t="n">
        <v>0</v>
      </c>
      <c r="Q103" s="27" t="n">
        <v>0</v>
      </c>
      <c r="R103" s="27" t="n">
        <v>0</v>
      </c>
      <c r="S103" s="27" t="n">
        <v>0</v>
      </c>
      <c r="T103" s="27" t="n">
        <v>0</v>
      </c>
      <c r="U103" s="27" t="n">
        <v>0</v>
      </c>
      <c r="V103" s="27" t="n">
        <v>0</v>
      </c>
      <c r="W103" s="27" t="n">
        <v>0</v>
      </c>
      <c r="X103" s="27" t="n">
        <v>0</v>
      </c>
      <c r="Y103" s="27" t="n">
        <v>0</v>
      </c>
      <c r="Z103" s="27" t="n">
        <v>0</v>
      </c>
      <c r="AA103" s="27" t="n">
        <v>0</v>
      </c>
      <c r="AB103" s="27" t="n">
        <v>0</v>
      </c>
      <c r="AC103" s="27" t="n">
        <v>0</v>
      </c>
      <c r="AD103" s="27" t="n">
        <v>0</v>
      </c>
      <c r="AE103" s="27" t="n">
        <v>0</v>
      </c>
      <c r="AF103" s="27" t="n">
        <v>0</v>
      </c>
      <c r="AG103" s="27" t="n">
        <v>0</v>
      </c>
      <c r="AH103" s="27" t="n">
        <v>0</v>
      </c>
      <c r="AI103" s="27" t="n">
        <v>0</v>
      </c>
      <c r="AJ103" s="27" t="n">
        <v>0</v>
      </c>
      <c r="AK103" s="27" t="n">
        <v>0</v>
      </c>
      <c r="AL103" s="27" t="n">
        <v>0</v>
      </c>
      <c r="AM103" s="27" t="n">
        <v>0</v>
      </c>
      <c r="AN103" s="27" t="n">
        <v>0</v>
      </c>
      <c r="AO103" s="27" t="n">
        <v>0</v>
      </c>
      <c r="AP103" s="27" t="n">
        <v>0</v>
      </c>
      <c r="AQ103" s="27" t="n">
        <v>0</v>
      </c>
      <c r="AR103" s="27" t="n">
        <v>0</v>
      </c>
      <c r="AS103" s="27" t="n">
        <v>0</v>
      </c>
      <c r="AT103" s="27" t="n">
        <v>0</v>
      </c>
      <c r="AU103" s="27" t="n">
        <v>0</v>
      </c>
      <c r="AV103" s="27" t="n">
        <v>0</v>
      </c>
      <c r="AW103" s="27" t="n">
        <v>0</v>
      </c>
      <c r="AX103" s="27" t="n">
        <v>0</v>
      </c>
      <c r="AY103" s="27" t="n">
        <v>0</v>
      </c>
      <c r="AZ103" s="27" t="n">
        <v>0</v>
      </c>
      <c r="BA103" s="27" t="n">
        <v>0</v>
      </c>
      <c r="BB103" s="27" t="n">
        <v>0</v>
      </c>
      <c r="BC103" s="27" t="n">
        <v>0</v>
      </c>
      <c r="BD103" s="27" t="n">
        <v>0</v>
      </c>
      <c r="BE103" s="27" t="n">
        <v>0</v>
      </c>
      <c r="BF103" s="27" t="n">
        <v>0</v>
      </c>
      <c r="BG103" s="27" t="n">
        <v>0</v>
      </c>
      <c r="BH103" s="27" t="n">
        <v>0</v>
      </c>
      <c r="BI103" s="27" t="n">
        <v>0</v>
      </c>
      <c r="BJ103" s="27" t="n">
        <v>0</v>
      </c>
      <c r="BK103" s="27" t="n">
        <v>0</v>
      </c>
      <c r="BL103" s="27" t="n">
        <v>0</v>
      </c>
      <c r="BM103" s="27" t="n">
        <v>0</v>
      </c>
      <c r="BN103" s="27" t="n">
        <v>0</v>
      </c>
      <c r="BO103" s="27" t="n">
        <v>0</v>
      </c>
      <c r="BP103" s="27" t="n">
        <v>0</v>
      </c>
      <c r="BQ103" s="27" t="n">
        <v>0</v>
      </c>
      <c r="BR103" s="27" t="n">
        <v>0</v>
      </c>
      <c r="BS103" s="27" t="n">
        <v>0</v>
      </c>
      <c r="BT103" s="27" t="n">
        <v>0</v>
      </c>
      <c r="BU103" s="27" t="n">
        <v>0</v>
      </c>
      <c r="BV103" s="27" t="n">
        <v>0</v>
      </c>
      <c r="BW103" s="27" t="n">
        <v>0</v>
      </c>
      <c r="BX103" s="27" t="n">
        <v>0</v>
      </c>
      <c r="BY103" s="27" t="n">
        <v>0</v>
      </c>
      <c r="BZ103" s="27" t="n">
        <v>0</v>
      </c>
      <c r="CA103" s="27" t="n">
        <v>0</v>
      </c>
      <c r="CB103" s="27" t="n">
        <v>0</v>
      </c>
      <c r="CC103" s="27" t="n">
        <v>0</v>
      </c>
      <c r="CD103" s="27" t="n">
        <v>0</v>
      </c>
      <c r="CE103" s="27" t="n">
        <v>0</v>
      </c>
      <c r="CF103" s="27" t="n">
        <v>0</v>
      </c>
      <c r="CG103" s="27" t="n">
        <v>0</v>
      </c>
      <c r="CH103" s="27" t="n">
        <v>0</v>
      </c>
      <c r="CI103" s="27" t="n">
        <v>0</v>
      </c>
      <c r="CJ103" s="27" t="n">
        <v>0</v>
      </c>
      <c r="CK103" s="27" t="n">
        <v>0</v>
      </c>
      <c r="CL103" s="27" t="n">
        <v>0</v>
      </c>
      <c r="CM103" s="27" t="n">
        <v>0</v>
      </c>
      <c r="CN103" s="27" t="n">
        <v>0</v>
      </c>
      <c r="CO103" s="27" t="n">
        <v>0</v>
      </c>
      <c r="CP103" s="27" t="n">
        <v>0</v>
      </c>
      <c r="CQ103" s="27" t="n">
        <v>0</v>
      </c>
      <c r="CR103" s="27" t="n">
        <v>0</v>
      </c>
      <c r="CS103" s="27" t="n">
        <v>0</v>
      </c>
      <c r="CT103" s="27" t="n">
        <v>0</v>
      </c>
      <c r="CU103" s="27" t="n">
        <v>0</v>
      </c>
      <c r="CV103" s="27" t="n">
        <v>0</v>
      </c>
      <c r="CW103" s="27" t="n">
        <v>0</v>
      </c>
      <c r="CX103" s="27" t="n">
        <v>0</v>
      </c>
      <c r="CY103" s="27" t="n">
        <v>0</v>
      </c>
      <c r="CZ103" s="27" t="n">
        <v>0</v>
      </c>
      <c r="DA103" s="27" t="n">
        <v>0</v>
      </c>
    </row>
    <row r="104">
      <c r="A104" t="inlineStr">
        <is>
          <t>Ester Film</t>
        </is>
      </c>
      <c r="B104" s="27" t="n">
        <v>0</v>
      </c>
      <c r="C104" s="27" t="n">
        <v>0</v>
      </c>
      <c r="D104" s="27" t="n">
        <v>0</v>
      </c>
      <c r="E104" s="27" t="n">
        <v>0</v>
      </c>
      <c r="F104" s="27" t="n">
        <v>0</v>
      </c>
      <c r="G104" s="27" t="n">
        <v>0</v>
      </c>
      <c r="H104" s="27" t="n">
        <v>0</v>
      </c>
      <c r="I104" s="27" t="n">
        <v>0</v>
      </c>
      <c r="J104" s="27" t="n">
        <v>0</v>
      </c>
      <c r="K104" s="27" t="n">
        <v>0</v>
      </c>
      <c r="L104" s="27" t="n">
        <v>0</v>
      </c>
      <c r="M104" s="27" t="n">
        <v>0</v>
      </c>
      <c r="N104" s="27" t="n">
        <v>0</v>
      </c>
      <c r="O104" s="27" t="n">
        <v>0</v>
      </c>
      <c r="P104" s="27" t="n">
        <v>0</v>
      </c>
      <c r="Q104" s="27" t="n">
        <v>0</v>
      </c>
      <c r="R104" s="27" t="n">
        <v>0</v>
      </c>
      <c r="S104" s="27" t="n">
        <v>0</v>
      </c>
      <c r="T104" s="27" t="n">
        <v>0</v>
      </c>
      <c r="U104" s="27" t="n">
        <v>0</v>
      </c>
      <c r="V104" s="27" t="n">
        <v>0</v>
      </c>
      <c r="W104" s="27" t="n">
        <v>0</v>
      </c>
      <c r="X104" s="27" t="n">
        <v>0</v>
      </c>
      <c r="Y104" s="27" t="n">
        <v>0</v>
      </c>
      <c r="Z104" s="27" t="n">
        <v>0</v>
      </c>
      <c r="AA104" s="27" t="n">
        <v>0</v>
      </c>
      <c r="AB104" s="27" t="n">
        <v>0</v>
      </c>
      <c r="AC104" s="27" t="n">
        <v>0</v>
      </c>
      <c r="AD104" s="27" t="n">
        <v>0</v>
      </c>
      <c r="AE104" s="27" t="n">
        <v>0</v>
      </c>
      <c r="AF104" s="27" t="n">
        <v>0</v>
      </c>
      <c r="AG104" s="27" t="n">
        <v>0</v>
      </c>
      <c r="AH104" s="27" t="n">
        <v>0</v>
      </c>
      <c r="AI104" s="27" t="n">
        <v>0</v>
      </c>
      <c r="AJ104" s="27" t="n">
        <v>0</v>
      </c>
      <c r="AK104" s="27" t="n">
        <v>0</v>
      </c>
      <c r="AL104" s="27" t="n">
        <v>0</v>
      </c>
      <c r="AM104" s="27" t="n">
        <v>0</v>
      </c>
      <c r="AN104" s="27" t="n">
        <v>0</v>
      </c>
      <c r="AO104" s="27" t="n">
        <v>0</v>
      </c>
      <c r="AP104" s="27" t="n">
        <v>0</v>
      </c>
      <c r="AQ104" s="27" t="n">
        <v>0</v>
      </c>
      <c r="AR104" s="27" t="n">
        <v>0</v>
      </c>
      <c r="AS104" s="27" t="n">
        <v>0</v>
      </c>
      <c r="AT104" s="27" t="n">
        <v>0</v>
      </c>
      <c r="AU104" s="27" t="n">
        <v>0</v>
      </c>
      <c r="AV104" s="27" t="n">
        <v>0</v>
      </c>
      <c r="AW104" s="27" t="n">
        <v>0</v>
      </c>
      <c r="AX104" s="27" t="n">
        <v>0</v>
      </c>
      <c r="AY104" s="27" t="n">
        <v>0</v>
      </c>
      <c r="AZ104" s="27" t="n">
        <v>0</v>
      </c>
      <c r="BA104" s="27" t="n">
        <v>0</v>
      </c>
      <c r="BB104" s="27" t="n">
        <v>0</v>
      </c>
      <c r="BC104" s="27" t="n">
        <v>0</v>
      </c>
      <c r="BD104" s="27" t="n">
        <v>0</v>
      </c>
      <c r="BE104" s="27" t="n">
        <v>0</v>
      </c>
      <c r="BF104" s="27" t="n">
        <v>0</v>
      </c>
      <c r="BG104" s="27" t="n">
        <v>0</v>
      </c>
      <c r="BH104" s="27" t="n">
        <v>0</v>
      </c>
      <c r="BI104" s="27" t="n">
        <v>0</v>
      </c>
      <c r="BJ104" s="27" t="n">
        <v>0</v>
      </c>
      <c r="BK104" s="27" t="n">
        <v>0</v>
      </c>
      <c r="BL104" s="27" t="n">
        <v>0</v>
      </c>
      <c r="BM104" s="27" t="n">
        <v>0</v>
      </c>
      <c r="BN104" s="27" t="n">
        <v>0</v>
      </c>
      <c r="BO104" s="27" t="n">
        <v>0</v>
      </c>
      <c r="BP104" s="27" t="n">
        <v>0</v>
      </c>
      <c r="BQ104" s="27" t="n">
        <v>0</v>
      </c>
      <c r="BR104" s="27" t="n">
        <v>0</v>
      </c>
      <c r="BS104" s="27" t="n">
        <v>0</v>
      </c>
      <c r="BT104" s="27" t="n">
        <v>0</v>
      </c>
      <c r="BU104" s="27" t="n">
        <v>0</v>
      </c>
      <c r="BV104" s="27" t="n">
        <v>0</v>
      </c>
      <c r="BW104" s="27" t="n">
        <v>0</v>
      </c>
      <c r="BX104" s="27" t="n">
        <v>0</v>
      </c>
      <c r="BY104" s="27" t="n">
        <v>0</v>
      </c>
      <c r="BZ104" s="27" t="n">
        <v>0</v>
      </c>
      <c r="CA104" s="27" t="n">
        <v>0</v>
      </c>
      <c r="CB104" s="27" t="n">
        <v>0</v>
      </c>
      <c r="CC104" s="27" t="n">
        <v>0</v>
      </c>
      <c r="CD104" s="27" t="n">
        <v>0</v>
      </c>
      <c r="CE104" s="27" t="n">
        <v>0</v>
      </c>
      <c r="CF104" s="27" t="n">
        <v>0</v>
      </c>
      <c r="CG104" s="27" t="n">
        <v>0</v>
      </c>
      <c r="CH104" s="27" t="n">
        <v>0</v>
      </c>
      <c r="CI104" s="27" t="n">
        <v>0</v>
      </c>
      <c r="CJ104" s="27" t="n">
        <v>0</v>
      </c>
      <c r="CK104" s="27" t="n">
        <v>0</v>
      </c>
      <c r="CL104" s="27" t="n">
        <v>0</v>
      </c>
      <c r="CM104" s="27" t="n">
        <v>0</v>
      </c>
      <c r="CN104" s="27" t="n">
        <v>0</v>
      </c>
      <c r="CO104" s="27" t="n">
        <v>0</v>
      </c>
      <c r="CP104" s="27" t="n">
        <v>0</v>
      </c>
      <c r="CQ104" s="27" t="n">
        <v>0</v>
      </c>
      <c r="CR104" s="27" t="n">
        <v>0</v>
      </c>
      <c r="CS104" s="27" t="n">
        <v>0</v>
      </c>
      <c r="CT104" s="27" t="n">
        <v>0</v>
      </c>
      <c r="CU104" s="27" t="n">
        <v>0</v>
      </c>
      <c r="CV104" s="27" t="n">
        <v>0</v>
      </c>
      <c r="CW104" s="27" t="n">
        <v>0</v>
      </c>
      <c r="CX104" s="27" t="n">
        <v>0</v>
      </c>
      <c r="CY104" s="27" t="n">
        <v>0</v>
      </c>
      <c r="CZ104" s="27" t="n">
        <v>0</v>
      </c>
      <c r="DA104" s="27" t="n">
        <v>0</v>
      </c>
    </row>
    <row r="105">
      <c r="A105" t="inlineStr">
        <is>
          <t>F2090</t>
        </is>
      </c>
      <c r="B105" s="27" t="n">
        <v>0</v>
      </c>
      <c r="C105" s="27" t="n">
        <v>0</v>
      </c>
      <c r="D105" s="27" t="n">
        <v>0</v>
      </c>
      <c r="E105" s="27" t="n">
        <v>0</v>
      </c>
      <c r="F105" s="27" t="n">
        <v>0</v>
      </c>
      <c r="G105" s="27" t="n">
        <v>0</v>
      </c>
      <c r="H105" s="27" t="n">
        <v>0</v>
      </c>
      <c r="I105" s="27" t="n">
        <v>0</v>
      </c>
      <c r="J105" s="27" t="n">
        <v>0</v>
      </c>
      <c r="K105" s="27" t="n">
        <v>0</v>
      </c>
      <c r="L105" s="27" t="n">
        <v>0</v>
      </c>
      <c r="M105" s="27" t="n">
        <v>0</v>
      </c>
      <c r="N105" s="27" t="n">
        <v>0</v>
      </c>
      <c r="O105" s="27" t="n">
        <v>0</v>
      </c>
      <c r="P105" s="27" t="n">
        <v>0</v>
      </c>
      <c r="Q105" s="27" t="n">
        <v>0</v>
      </c>
      <c r="R105" s="27" t="n">
        <v>0</v>
      </c>
      <c r="S105" s="27" t="n">
        <v>0</v>
      </c>
      <c r="T105" s="27" t="n">
        <v>0</v>
      </c>
      <c r="U105" s="27" t="n">
        <v>0</v>
      </c>
      <c r="V105" s="27" t="n">
        <v>0</v>
      </c>
      <c r="W105" s="27" t="n">
        <v>0</v>
      </c>
      <c r="X105" s="27" t="n">
        <v>0</v>
      </c>
      <c r="Y105" s="27" t="n">
        <v>0</v>
      </c>
      <c r="Z105" s="27" t="n">
        <v>0</v>
      </c>
      <c r="AA105" s="27" t="n">
        <v>0</v>
      </c>
      <c r="AB105" s="27" t="n">
        <v>0</v>
      </c>
      <c r="AC105" s="27" t="n">
        <v>0</v>
      </c>
      <c r="AD105" s="27" t="n">
        <v>0</v>
      </c>
      <c r="AE105" s="27" t="n">
        <v>0</v>
      </c>
      <c r="AF105" s="27" t="n">
        <v>0</v>
      </c>
      <c r="AG105" s="27" t="n">
        <v>0</v>
      </c>
      <c r="AH105" s="27" t="n">
        <v>0</v>
      </c>
      <c r="AI105" s="27" t="n">
        <v>0</v>
      </c>
      <c r="AJ105" s="27" t="n">
        <v>0</v>
      </c>
      <c r="AK105" s="27" t="n">
        <v>0</v>
      </c>
      <c r="AL105" s="27" t="n">
        <v>0</v>
      </c>
      <c r="AM105" s="27" t="n">
        <v>0</v>
      </c>
      <c r="AN105" s="27" t="n">
        <v>0</v>
      </c>
      <c r="AO105" s="27" t="n">
        <v>0</v>
      </c>
      <c r="AP105" s="27" t="n">
        <v>0</v>
      </c>
      <c r="AQ105" s="27" t="n">
        <v>0</v>
      </c>
      <c r="AR105" s="27" t="n">
        <v>0</v>
      </c>
      <c r="AS105" s="27" t="n">
        <v>0</v>
      </c>
      <c r="AT105" s="27" t="n">
        <v>0</v>
      </c>
      <c r="AU105" s="27" t="n">
        <v>0</v>
      </c>
      <c r="AV105" s="27" t="n">
        <v>0</v>
      </c>
      <c r="AW105" s="27" t="n">
        <v>0</v>
      </c>
      <c r="AX105" s="27" t="n">
        <v>0</v>
      </c>
      <c r="AY105" s="27" t="n">
        <v>0</v>
      </c>
      <c r="AZ105" s="27" t="n">
        <v>0</v>
      </c>
      <c r="BA105" s="27" t="n">
        <v>0</v>
      </c>
      <c r="BB105" s="27" t="n">
        <v>0</v>
      </c>
      <c r="BC105" s="27" t="n">
        <v>0</v>
      </c>
      <c r="BD105" s="27" t="n">
        <v>0</v>
      </c>
      <c r="BE105" s="27" t="n">
        <v>0</v>
      </c>
      <c r="BF105" s="27" t="n">
        <v>0</v>
      </c>
      <c r="BG105" s="27" t="n">
        <v>0</v>
      </c>
      <c r="BH105" s="27" t="n">
        <v>0</v>
      </c>
      <c r="BI105" s="27" t="n">
        <v>0</v>
      </c>
      <c r="BJ105" s="27" t="n">
        <v>0</v>
      </c>
      <c r="BK105" s="27" t="n">
        <v>0</v>
      </c>
      <c r="BL105" s="27" t="n">
        <v>0</v>
      </c>
      <c r="BM105" s="27" t="n">
        <v>0</v>
      </c>
      <c r="BN105" s="27" t="n">
        <v>0</v>
      </c>
      <c r="BO105" s="27" t="n">
        <v>0</v>
      </c>
      <c r="BP105" s="27" t="n">
        <v>0</v>
      </c>
      <c r="BQ105" s="27" t="n">
        <v>0</v>
      </c>
      <c r="BR105" s="27" t="n">
        <v>0</v>
      </c>
      <c r="BS105" s="27" t="n">
        <v>0</v>
      </c>
      <c r="BT105" s="27" t="n">
        <v>0</v>
      </c>
      <c r="BU105" s="27" t="n">
        <v>0</v>
      </c>
      <c r="BV105" s="27" t="n">
        <v>0</v>
      </c>
      <c r="BW105" s="27" t="n">
        <v>0</v>
      </c>
      <c r="BX105" s="27" t="n">
        <v>0</v>
      </c>
      <c r="BY105" s="27" t="n">
        <v>0</v>
      </c>
      <c r="BZ105" s="27" t="n">
        <v>0</v>
      </c>
      <c r="CA105" s="27" t="n">
        <v>0</v>
      </c>
      <c r="CB105" s="27" t="n">
        <v>0</v>
      </c>
      <c r="CC105" s="27" t="n">
        <v>0</v>
      </c>
      <c r="CD105" s="27" t="n">
        <v>0</v>
      </c>
      <c r="CE105" s="27" t="n">
        <v>0</v>
      </c>
      <c r="CF105" s="27" t="n">
        <v>0</v>
      </c>
      <c r="CG105" s="27" t="n">
        <v>0</v>
      </c>
      <c r="CH105" s="27" t="n">
        <v>0</v>
      </c>
      <c r="CI105" s="27" t="n">
        <v>0</v>
      </c>
      <c r="CJ105" s="27" t="n">
        <v>0</v>
      </c>
      <c r="CK105" s="27" t="n">
        <v>0</v>
      </c>
      <c r="CL105" s="27" t="n">
        <v>0</v>
      </c>
      <c r="CM105" s="27" t="n">
        <v>0</v>
      </c>
      <c r="CN105" s="27" t="n">
        <v>0</v>
      </c>
      <c r="CO105" s="27" t="n">
        <v>0</v>
      </c>
      <c r="CP105" s="27" t="n">
        <v>0</v>
      </c>
      <c r="CQ105" s="27" t="n">
        <v>0</v>
      </c>
      <c r="CR105" s="27" t="n">
        <v>0</v>
      </c>
      <c r="CS105" s="27" t="n">
        <v>0</v>
      </c>
      <c r="CT105" s="27" t="n">
        <v>0</v>
      </c>
      <c r="CU105" s="27" t="n">
        <v>0</v>
      </c>
      <c r="CV105" s="27" t="n">
        <v>0</v>
      </c>
      <c r="CW105" s="27" t="n">
        <v>0</v>
      </c>
      <c r="CX105" s="27" t="n">
        <v>0</v>
      </c>
      <c r="CY105" s="27" t="n">
        <v>0</v>
      </c>
      <c r="CZ105" s="27" t="n">
        <v>0</v>
      </c>
      <c r="DA105" s="27" t="n">
        <v>0</v>
      </c>
    </row>
    <row r="106">
      <c r="A106" t="inlineStr">
        <is>
          <t>F2290</t>
        </is>
      </c>
      <c r="B106" s="27" t="n">
        <v>0</v>
      </c>
      <c r="C106" s="27" t="n">
        <v>0</v>
      </c>
      <c r="D106" s="27" t="n">
        <v>0</v>
      </c>
      <c r="E106" s="27" t="n">
        <v>0</v>
      </c>
      <c r="F106" s="27" t="n">
        <v>0</v>
      </c>
      <c r="G106" s="27" t="n">
        <v>0</v>
      </c>
      <c r="H106" s="27" t="n">
        <v>0</v>
      </c>
      <c r="I106" s="27" t="n">
        <v>0</v>
      </c>
      <c r="J106" s="27" t="n">
        <v>0</v>
      </c>
      <c r="K106" s="27" t="n">
        <v>0</v>
      </c>
      <c r="L106" s="27" t="n">
        <v>0</v>
      </c>
      <c r="M106" s="27" t="n">
        <v>0</v>
      </c>
      <c r="N106" s="27" t="n">
        <v>0</v>
      </c>
      <c r="O106" s="27" t="n">
        <v>0</v>
      </c>
      <c r="P106" s="27" t="n">
        <v>0</v>
      </c>
      <c r="Q106" s="27" t="n">
        <v>0</v>
      </c>
      <c r="R106" s="27" t="n">
        <v>0</v>
      </c>
      <c r="S106" s="27" t="n">
        <v>0</v>
      </c>
      <c r="T106" s="27" t="n">
        <v>0</v>
      </c>
      <c r="U106" s="27" t="n">
        <v>0</v>
      </c>
      <c r="V106" s="27" t="n">
        <v>0</v>
      </c>
      <c r="W106" s="27" t="n">
        <v>0</v>
      </c>
      <c r="X106" s="27" t="n">
        <v>0</v>
      </c>
      <c r="Y106" s="27" t="n">
        <v>0</v>
      </c>
      <c r="Z106" s="27" t="n">
        <v>0</v>
      </c>
      <c r="AA106" s="27" t="n">
        <v>0</v>
      </c>
      <c r="AB106" s="27" t="n">
        <v>0</v>
      </c>
      <c r="AC106" s="27" t="n">
        <v>0</v>
      </c>
      <c r="AD106" s="27" t="n">
        <v>0</v>
      </c>
      <c r="AE106" s="27" t="n">
        <v>0</v>
      </c>
      <c r="AF106" s="27" t="n">
        <v>0</v>
      </c>
      <c r="AG106" s="27" t="n">
        <v>0</v>
      </c>
      <c r="AH106" s="27" t="n">
        <v>0</v>
      </c>
      <c r="AI106" s="27" t="n">
        <v>0</v>
      </c>
      <c r="AJ106" s="27" t="n">
        <v>0</v>
      </c>
      <c r="AK106" s="27" t="n">
        <v>0</v>
      </c>
      <c r="AL106" s="27" t="n">
        <v>0</v>
      </c>
      <c r="AM106" s="27" t="n">
        <v>0</v>
      </c>
      <c r="AN106" s="27" t="n">
        <v>0</v>
      </c>
      <c r="AO106" s="27" t="n">
        <v>0</v>
      </c>
      <c r="AP106" s="27" t="n">
        <v>0</v>
      </c>
      <c r="AQ106" s="27" t="n">
        <v>0</v>
      </c>
      <c r="AR106" s="27" t="n">
        <v>0</v>
      </c>
      <c r="AS106" s="27" t="n">
        <v>0</v>
      </c>
      <c r="AT106" s="27" t="n">
        <v>0</v>
      </c>
      <c r="AU106" s="27" t="n">
        <v>0</v>
      </c>
      <c r="AV106" s="27" t="n">
        <v>0</v>
      </c>
      <c r="AW106" s="27" t="n">
        <v>0</v>
      </c>
      <c r="AX106" s="27" t="n">
        <v>0</v>
      </c>
      <c r="AY106" s="27" t="n">
        <v>0</v>
      </c>
      <c r="AZ106" s="27" t="n">
        <v>0</v>
      </c>
      <c r="BA106" s="27" t="n">
        <v>0</v>
      </c>
      <c r="BB106" s="27" t="n">
        <v>0</v>
      </c>
      <c r="BC106" s="27" t="n">
        <v>0</v>
      </c>
      <c r="BD106" s="27" t="n">
        <v>0</v>
      </c>
      <c r="BE106" s="27" t="n">
        <v>0</v>
      </c>
      <c r="BF106" s="27" t="n">
        <v>0</v>
      </c>
      <c r="BG106" s="27" t="n">
        <v>0</v>
      </c>
      <c r="BH106" s="27" t="n">
        <v>0</v>
      </c>
      <c r="BI106" s="27" t="n">
        <v>0</v>
      </c>
      <c r="BJ106" s="27" t="n">
        <v>0</v>
      </c>
      <c r="BK106" s="27" t="n">
        <v>0</v>
      </c>
      <c r="BL106" s="27" t="n">
        <v>0</v>
      </c>
      <c r="BM106" s="27" t="n">
        <v>0</v>
      </c>
      <c r="BN106" s="27" t="n">
        <v>0</v>
      </c>
      <c r="BO106" s="27" t="n">
        <v>0</v>
      </c>
      <c r="BP106" s="27" t="n">
        <v>0</v>
      </c>
      <c r="BQ106" s="27" t="n">
        <v>0</v>
      </c>
      <c r="BR106" s="27" t="n">
        <v>0</v>
      </c>
      <c r="BS106" s="27" t="n">
        <v>0</v>
      </c>
      <c r="BT106" s="27" t="n">
        <v>0</v>
      </c>
      <c r="BU106" s="27" t="n">
        <v>0</v>
      </c>
      <c r="BV106" s="27" t="n">
        <v>0</v>
      </c>
      <c r="BW106" s="27" t="n">
        <v>0</v>
      </c>
      <c r="BX106" s="27" t="n">
        <v>0</v>
      </c>
      <c r="BY106" s="27" t="n">
        <v>0</v>
      </c>
      <c r="BZ106" s="27" t="n">
        <v>0</v>
      </c>
      <c r="CA106" s="27" t="n">
        <v>0</v>
      </c>
      <c r="CB106" s="27" t="n">
        <v>0</v>
      </c>
      <c r="CC106" s="27" t="n">
        <v>0</v>
      </c>
      <c r="CD106" s="27" t="n">
        <v>0</v>
      </c>
      <c r="CE106" s="27" t="n">
        <v>0</v>
      </c>
      <c r="CF106" s="27" t="n">
        <v>0</v>
      </c>
      <c r="CG106" s="27" t="n">
        <v>0</v>
      </c>
      <c r="CH106" s="27" t="n">
        <v>0</v>
      </c>
      <c r="CI106" s="27" t="n">
        <v>0</v>
      </c>
      <c r="CJ106" s="27" t="n">
        <v>0</v>
      </c>
      <c r="CK106" s="27" t="n">
        <v>0</v>
      </c>
      <c r="CL106" s="27" t="n">
        <v>0</v>
      </c>
      <c r="CM106" s="27" t="n">
        <v>0</v>
      </c>
      <c r="CN106" s="27" t="n">
        <v>0</v>
      </c>
      <c r="CO106" s="27" t="n">
        <v>0</v>
      </c>
      <c r="CP106" s="27" t="n">
        <v>0</v>
      </c>
      <c r="CQ106" s="27" t="n">
        <v>0</v>
      </c>
      <c r="CR106" s="27" t="n">
        <v>0</v>
      </c>
      <c r="CS106" s="27" t="n">
        <v>0</v>
      </c>
      <c r="CT106" s="27" t="n">
        <v>0</v>
      </c>
      <c r="CU106" s="27" t="n">
        <v>0</v>
      </c>
      <c r="CV106" s="27" t="n">
        <v>0</v>
      </c>
      <c r="CW106" s="27" t="n">
        <v>0</v>
      </c>
      <c r="CX106" s="27" t="n">
        <v>0</v>
      </c>
      <c r="CY106" s="27" t="n">
        <v>0</v>
      </c>
      <c r="CZ106" s="27" t="n">
        <v>0</v>
      </c>
      <c r="DA106" s="27" t="n">
        <v>0</v>
      </c>
    </row>
    <row r="107">
      <c r="A107" t="inlineStr">
        <is>
          <t>K0050</t>
        </is>
      </c>
      <c r="B107" s="27" t="n">
        <v>0</v>
      </c>
      <c r="C107" s="27" t="n">
        <v>0</v>
      </c>
      <c r="D107" s="27" t="n">
        <v>0</v>
      </c>
      <c r="E107" s="27" t="n">
        <v>0</v>
      </c>
      <c r="F107" s="27" t="n">
        <v>0</v>
      </c>
      <c r="G107" s="27" t="n">
        <v>0</v>
      </c>
      <c r="H107" s="27" t="n">
        <v>0</v>
      </c>
      <c r="I107" s="27" t="n">
        <v>0</v>
      </c>
      <c r="J107" s="27" t="n">
        <v>0</v>
      </c>
      <c r="K107" s="27" t="n">
        <v>0</v>
      </c>
      <c r="L107" s="27" t="n">
        <v>0</v>
      </c>
      <c r="M107" s="27" t="n">
        <v>0</v>
      </c>
      <c r="N107" s="27" t="n">
        <v>0</v>
      </c>
      <c r="O107" s="27" t="n">
        <v>0</v>
      </c>
      <c r="P107" s="27" t="n">
        <v>0</v>
      </c>
      <c r="Q107" s="27" t="n">
        <v>0</v>
      </c>
      <c r="R107" s="27" t="n">
        <v>0</v>
      </c>
      <c r="S107" s="27" t="n">
        <v>0</v>
      </c>
      <c r="T107" s="27" t="n">
        <v>0</v>
      </c>
      <c r="U107" s="27" t="n">
        <v>0</v>
      </c>
      <c r="V107" s="27" t="n">
        <v>0</v>
      </c>
      <c r="W107" s="27" t="n">
        <v>0</v>
      </c>
      <c r="X107" s="27" t="n">
        <v>0</v>
      </c>
      <c r="Y107" s="27" t="n">
        <v>0</v>
      </c>
      <c r="Z107" s="27" t="n">
        <v>0</v>
      </c>
      <c r="AA107" s="27" t="n">
        <v>0</v>
      </c>
      <c r="AB107" s="27" t="n">
        <v>0</v>
      </c>
      <c r="AC107" s="27" t="n">
        <v>0</v>
      </c>
      <c r="AD107" s="27" t="n">
        <v>0</v>
      </c>
      <c r="AE107" s="27" t="n">
        <v>0</v>
      </c>
      <c r="AF107" s="27" t="n">
        <v>0</v>
      </c>
      <c r="AG107" s="27" t="n">
        <v>0</v>
      </c>
      <c r="AH107" s="27" t="n">
        <v>0</v>
      </c>
      <c r="AI107" s="27" t="n">
        <v>0</v>
      </c>
      <c r="AJ107" s="27" t="n">
        <v>0</v>
      </c>
      <c r="AK107" s="27" t="n">
        <v>0</v>
      </c>
      <c r="AL107" s="27" t="n">
        <v>0</v>
      </c>
      <c r="AM107" s="27" t="n">
        <v>0</v>
      </c>
      <c r="AN107" s="27" t="n">
        <v>0</v>
      </c>
      <c r="AO107" s="27" t="n">
        <v>0</v>
      </c>
      <c r="AP107" s="27" t="n">
        <v>0</v>
      </c>
      <c r="AQ107" s="27" t="n">
        <v>0</v>
      </c>
      <c r="AR107" s="27" t="n">
        <v>0</v>
      </c>
      <c r="AS107" s="27" t="n">
        <v>0</v>
      </c>
      <c r="AT107" s="27" t="n">
        <v>0</v>
      </c>
      <c r="AU107" s="27" t="n">
        <v>0</v>
      </c>
      <c r="AV107" s="27" t="n">
        <v>0</v>
      </c>
      <c r="AW107" s="27" t="n">
        <v>0</v>
      </c>
      <c r="AX107" s="27" t="n">
        <v>0</v>
      </c>
      <c r="AY107" s="27" t="n">
        <v>0</v>
      </c>
      <c r="AZ107" s="27" t="n">
        <v>0</v>
      </c>
      <c r="BA107" s="27" t="n">
        <v>0</v>
      </c>
      <c r="BB107" s="27" t="n">
        <v>0</v>
      </c>
      <c r="BC107" s="27" t="n">
        <v>0</v>
      </c>
      <c r="BD107" s="27" t="n">
        <v>0</v>
      </c>
      <c r="BE107" s="27" t="n">
        <v>0</v>
      </c>
      <c r="BF107" s="27" t="n">
        <v>0</v>
      </c>
      <c r="BG107" s="27" t="n">
        <v>0</v>
      </c>
      <c r="BH107" s="27" t="n">
        <v>0</v>
      </c>
      <c r="BI107" s="27" t="n">
        <v>0</v>
      </c>
      <c r="BJ107" s="27" t="n">
        <v>0</v>
      </c>
      <c r="BK107" s="27" t="n">
        <v>0</v>
      </c>
      <c r="BL107" s="27" t="n">
        <v>0</v>
      </c>
      <c r="BM107" s="27" t="n">
        <v>0</v>
      </c>
      <c r="BN107" s="27" t="n">
        <v>0</v>
      </c>
      <c r="BO107" s="27" t="n">
        <v>0</v>
      </c>
      <c r="BP107" s="27" t="n">
        <v>0</v>
      </c>
      <c r="BQ107" s="27" t="n">
        <v>0</v>
      </c>
      <c r="BR107" s="27" t="n">
        <v>0</v>
      </c>
      <c r="BS107" s="27" t="n">
        <v>0</v>
      </c>
      <c r="BT107" s="27" t="n">
        <v>0</v>
      </c>
      <c r="BU107" s="27" t="n">
        <v>0</v>
      </c>
      <c r="BV107" s="27" t="n">
        <v>0</v>
      </c>
      <c r="BW107" s="27" t="n">
        <v>0</v>
      </c>
      <c r="BX107" s="27" t="n">
        <v>0</v>
      </c>
      <c r="BY107" s="27" t="n">
        <v>0</v>
      </c>
      <c r="BZ107" s="27" t="n">
        <v>0</v>
      </c>
      <c r="CA107" s="27" t="n">
        <v>0</v>
      </c>
      <c r="CB107" s="27" t="n">
        <v>0</v>
      </c>
      <c r="CC107" s="27" t="n">
        <v>0</v>
      </c>
      <c r="CD107" s="27" t="n">
        <v>0</v>
      </c>
      <c r="CE107" s="27" t="n">
        <v>0</v>
      </c>
      <c r="CF107" s="27" t="n">
        <v>0</v>
      </c>
      <c r="CG107" s="27" t="n">
        <v>0</v>
      </c>
      <c r="CH107" s="27" t="n">
        <v>0</v>
      </c>
      <c r="CI107" s="27" t="n">
        <v>0</v>
      </c>
      <c r="CJ107" s="27" t="n">
        <v>0</v>
      </c>
      <c r="CK107" s="27" t="n">
        <v>0</v>
      </c>
      <c r="CL107" s="27" t="n">
        <v>0</v>
      </c>
      <c r="CM107" s="27" t="n">
        <v>0</v>
      </c>
      <c r="CN107" s="27" t="n">
        <v>0</v>
      </c>
      <c r="CO107" s="27" t="n">
        <v>0</v>
      </c>
      <c r="CP107" s="27" t="n">
        <v>0</v>
      </c>
      <c r="CQ107" s="27" t="n">
        <v>0</v>
      </c>
      <c r="CR107" s="27" t="n">
        <v>0</v>
      </c>
      <c r="CS107" s="27" t="n">
        <v>0</v>
      </c>
      <c r="CT107" s="27" t="n">
        <v>0</v>
      </c>
      <c r="CU107" s="27" t="n">
        <v>0</v>
      </c>
      <c r="CV107" s="27" t="n">
        <v>0</v>
      </c>
      <c r="CW107" s="27" t="n">
        <v>0</v>
      </c>
      <c r="CX107" s="27" t="n">
        <v>0</v>
      </c>
      <c r="CY107" s="27" t="n">
        <v>0</v>
      </c>
      <c r="CZ107" s="27" t="n">
        <v>0</v>
      </c>
      <c r="DA107" s="27" t="n">
        <v>0</v>
      </c>
    </row>
    <row r="108">
      <c r="A108" t="inlineStr">
        <is>
          <t>PP Film</t>
        </is>
      </c>
      <c r="B108" s="27" t="n">
        <v>0</v>
      </c>
      <c r="C108" s="27" t="n">
        <v>0</v>
      </c>
      <c r="D108" s="27" t="n">
        <v>0</v>
      </c>
      <c r="E108" s="27" t="n">
        <v>0</v>
      </c>
      <c r="F108" s="27" t="n">
        <v>0</v>
      </c>
      <c r="G108" s="27" t="n">
        <v>0</v>
      </c>
      <c r="H108" s="27" t="n">
        <v>0</v>
      </c>
      <c r="I108" s="27" t="n">
        <v>0</v>
      </c>
      <c r="J108" s="27" t="n">
        <v>0</v>
      </c>
      <c r="K108" s="27" t="n">
        <v>0</v>
      </c>
      <c r="L108" s="27" t="n">
        <v>0</v>
      </c>
      <c r="M108" s="27" t="n">
        <v>0</v>
      </c>
      <c r="N108" s="27" t="n">
        <v>0</v>
      </c>
      <c r="O108" s="27" t="n">
        <v>0</v>
      </c>
      <c r="P108" s="27" t="n">
        <v>0</v>
      </c>
      <c r="Q108" s="27" t="n">
        <v>0</v>
      </c>
      <c r="R108" s="27" t="n">
        <v>0</v>
      </c>
      <c r="S108" s="27" t="n">
        <v>0</v>
      </c>
      <c r="T108" s="27" t="n">
        <v>0</v>
      </c>
      <c r="U108" s="27" t="n">
        <v>0</v>
      </c>
      <c r="V108" s="27" t="n">
        <v>0</v>
      </c>
      <c r="W108" s="27" t="n">
        <v>0</v>
      </c>
      <c r="X108" s="27" t="n">
        <v>0</v>
      </c>
      <c r="Y108" s="27" t="n">
        <v>0</v>
      </c>
      <c r="Z108" s="27" t="n">
        <v>0</v>
      </c>
      <c r="AA108" s="27" t="n">
        <v>0</v>
      </c>
      <c r="AB108" s="27" t="n">
        <v>0</v>
      </c>
      <c r="AC108" s="27" t="n">
        <v>0</v>
      </c>
      <c r="AD108" s="27" t="n">
        <v>0</v>
      </c>
      <c r="AE108" s="27" t="n">
        <v>0</v>
      </c>
      <c r="AF108" s="27" t="n">
        <v>0</v>
      </c>
      <c r="AG108" s="27" t="n">
        <v>0</v>
      </c>
      <c r="AH108" s="27" t="n">
        <v>0</v>
      </c>
      <c r="AI108" s="27" t="n">
        <v>0</v>
      </c>
      <c r="AJ108" s="27" t="n">
        <v>0</v>
      </c>
      <c r="AK108" s="27" t="n">
        <v>0</v>
      </c>
      <c r="AL108" s="27" t="n">
        <v>0</v>
      </c>
      <c r="AM108" s="27" t="n">
        <v>0</v>
      </c>
      <c r="AN108" s="27" t="n">
        <v>0</v>
      </c>
      <c r="AO108" s="27" t="n">
        <v>0</v>
      </c>
      <c r="AP108" s="27" t="n">
        <v>0</v>
      </c>
      <c r="AQ108" s="27" t="n">
        <v>0</v>
      </c>
      <c r="AR108" s="27" t="n">
        <v>0</v>
      </c>
      <c r="AS108" s="27" t="n">
        <v>0</v>
      </c>
      <c r="AT108" s="27" t="n">
        <v>0</v>
      </c>
      <c r="AU108" s="27" t="n">
        <v>0</v>
      </c>
      <c r="AV108" s="27" t="n">
        <v>0</v>
      </c>
      <c r="AW108" s="27" t="n">
        <v>0</v>
      </c>
      <c r="AX108" s="27" t="n">
        <v>0</v>
      </c>
      <c r="AY108" s="27" t="n">
        <v>0</v>
      </c>
      <c r="AZ108" s="27" t="n">
        <v>0</v>
      </c>
      <c r="BA108" s="27" t="n">
        <v>0</v>
      </c>
      <c r="BB108" s="27" t="n">
        <v>0</v>
      </c>
      <c r="BC108" s="27" t="n">
        <v>0</v>
      </c>
      <c r="BD108" s="27" t="n">
        <v>0</v>
      </c>
      <c r="BE108" s="27" t="n">
        <v>0</v>
      </c>
      <c r="BF108" s="27" t="n">
        <v>0</v>
      </c>
      <c r="BG108" s="27" t="n">
        <v>0</v>
      </c>
      <c r="BH108" s="27" t="n">
        <v>0</v>
      </c>
      <c r="BI108" s="27" t="n">
        <v>0</v>
      </c>
      <c r="BJ108" s="27" t="n">
        <v>0</v>
      </c>
      <c r="BK108" s="27" t="n">
        <v>0</v>
      </c>
      <c r="BL108" s="27" t="n">
        <v>0</v>
      </c>
      <c r="BM108" s="27" t="n">
        <v>0</v>
      </c>
      <c r="BN108" s="27" t="n">
        <v>0</v>
      </c>
      <c r="BO108" s="27" t="n">
        <v>0</v>
      </c>
      <c r="BP108" s="27" t="n">
        <v>0</v>
      </c>
      <c r="BQ108" s="27" t="n">
        <v>0</v>
      </c>
      <c r="BR108" s="27" t="n">
        <v>0</v>
      </c>
      <c r="BS108" s="27" t="n">
        <v>0</v>
      </c>
      <c r="BT108" s="27" t="n">
        <v>0</v>
      </c>
      <c r="BU108" s="27" t="n">
        <v>0</v>
      </c>
      <c r="BV108" s="27" t="n">
        <v>0</v>
      </c>
      <c r="BW108" s="27" t="n">
        <v>0</v>
      </c>
      <c r="BX108" s="27" t="n">
        <v>0</v>
      </c>
      <c r="BY108" s="27" t="n">
        <v>0</v>
      </c>
      <c r="BZ108" s="27" t="n">
        <v>0</v>
      </c>
      <c r="CA108" s="27" t="n">
        <v>0</v>
      </c>
      <c r="CB108" s="27" t="n">
        <v>0</v>
      </c>
      <c r="CC108" s="27" t="n">
        <v>0</v>
      </c>
      <c r="CD108" s="27" t="n">
        <v>0</v>
      </c>
      <c r="CE108" s="27" t="n">
        <v>0</v>
      </c>
      <c r="CF108" s="27" t="n">
        <v>0</v>
      </c>
      <c r="CG108" s="27" t="n">
        <v>0</v>
      </c>
      <c r="CH108" s="27" t="n">
        <v>0</v>
      </c>
      <c r="CI108" s="27" t="n">
        <v>0</v>
      </c>
      <c r="CJ108" s="27" t="n">
        <v>0</v>
      </c>
      <c r="CK108" s="27" t="n">
        <v>0</v>
      </c>
      <c r="CL108" s="27" t="n">
        <v>0</v>
      </c>
      <c r="CM108" s="27" t="n">
        <v>0</v>
      </c>
      <c r="CN108" s="27" t="n">
        <v>0</v>
      </c>
      <c r="CO108" s="27" t="n">
        <v>0</v>
      </c>
      <c r="CP108" s="27" t="n">
        <v>0</v>
      </c>
      <c r="CQ108" s="27" t="n">
        <v>0</v>
      </c>
      <c r="CR108" s="27" t="n">
        <v>0</v>
      </c>
      <c r="CS108" s="27" t="n">
        <v>0</v>
      </c>
      <c r="CT108" s="27" t="n">
        <v>0</v>
      </c>
      <c r="CU108" s="27" t="n">
        <v>0</v>
      </c>
      <c r="CV108" s="27" t="n">
        <v>0</v>
      </c>
      <c r="CW108" s="27" t="n">
        <v>0</v>
      </c>
      <c r="CX108" s="27" t="n">
        <v>0</v>
      </c>
      <c r="CY108" s="27" t="n">
        <v>0</v>
      </c>
      <c r="CZ108" s="27" t="n">
        <v>0</v>
      </c>
      <c r="DA108" s="27" t="n">
        <v>0</v>
      </c>
    </row>
    <row r="109">
      <c r="A109" t="inlineStr">
        <is>
          <t>0T150</t>
        </is>
      </c>
      <c r="B109" s="27" t="n">
        <v>0</v>
      </c>
      <c r="C109" s="27" t="n">
        <v>0</v>
      </c>
      <c r="D109" s="27" t="n">
        <v>0</v>
      </c>
      <c r="E109" s="27" t="n">
        <v>0</v>
      </c>
      <c r="F109" s="27" t="n">
        <v>0</v>
      </c>
      <c r="G109" s="27" t="n">
        <v>0</v>
      </c>
      <c r="H109" s="27" t="n">
        <v>0</v>
      </c>
      <c r="I109" s="27" t="n">
        <v>0</v>
      </c>
      <c r="J109" s="27" t="n">
        <v>0</v>
      </c>
      <c r="K109" s="27" t="n">
        <v>0</v>
      </c>
      <c r="L109" s="27" t="n">
        <v>0</v>
      </c>
      <c r="M109" s="27" t="n">
        <v>0</v>
      </c>
      <c r="N109" s="27" t="n">
        <v>0</v>
      </c>
      <c r="O109" s="27" t="n">
        <v>0</v>
      </c>
      <c r="P109" s="27" t="n">
        <v>0</v>
      </c>
      <c r="Q109" s="27" t="n">
        <v>0</v>
      </c>
      <c r="R109" s="27" t="n">
        <v>0</v>
      </c>
      <c r="S109" s="27" t="n">
        <v>0</v>
      </c>
      <c r="T109" s="27" t="n">
        <v>0</v>
      </c>
      <c r="U109" s="27" t="n">
        <v>0</v>
      </c>
      <c r="V109" s="27" t="n">
        <v>0</v>
      </c>
      <c r="W109" s="27" t="n">
        <v>0</v>
      </c>
      <c r="X109" s="27" t="n">
        <v>0</v>
      </c>
      <c r="Y109" s="27" t="n">
        <v>0</v>
      </c>
      <c r="Z109" s="27" t="n">
        <v>0</v>
      </c>
      <c r="AA109" s="27" t="n">
        <v>0</v>
      </c>
      <c r="AB109" s="27" t="n">
        <v>0</v>
      </c>
      <c r="AC109" s="27" t="n">
        <v>0</v>
      </c>
      <c r="AD109" s="27" t="n">
        <v>0</v>
      </c>
      <c r="AE109" s="27" t="n">
        <v>0</v>
      </c>
      <c r="AF109" s="27" t="n">
        <v>0</v>
      </c>
      <c r="AG109" s="27" t="n">
        <v>0</v>
      </c>
      <c r="AH109" s="27" t="n">
        <v>0</v>
      </c>
      <c r="AI109" s="27" t="n">
        <v>0</v>
      </c>
      <c r="AJ109" s="27" t="n">
        <v>0</v>
      </c>
      <c r="AK109" s="27" t="n">
        <v>0</v>
      </c>
      <c r="AL109" s="27" t="n">
        <v>0</v>
      </c>
      <c r="AM109" s="27" t="n">
        <v>0</v>
      </c>
      <c r="AN109" s="27" t="n">
        <v>0</v>
      </c>
      <c r="AO109" s="27" t="n">
        <v>0</v>
      </c>
      <c r="AP109" s="27" t="n">
        <v>0</v>
      </c>
      <c r="AQ109" s="27" t="n">
        <v>0</v>
      </c>
      <c r="AR109" s="27" t="n">
        <v>0</v>
      </c>
      <c r="AS109" s="27" t="n">
        <v>0</v>
      </c>
      <c r="AT109" s="27" t="n">
        <v>0</v>
      </c>
      <c r="AU109" s="27" t="n">
        <v>0</v>
      </c>
      <c r="AV109" s="27" t="n">
        <v>0</v>
      </c>
      <c r="AW109" s="27" t="n">
        <v>0</v>
      </c>
      <c r="AX109" s="27" t="n">
        <v>0</v>
      </c>
      <c r="AY109" s="27" t="n">
        <v>0</v>
      </c>
      <c r="AZ109" s="27" t="n">
        <v>0</v>
      </c>
      <c r="BA109" s="27" t="n">
        <v>0</v>
      </c>
      <c r="BB109" s="27" t="n">
        <v>0</v>
      </c>
      <c r="BC109" s="27" t="n">
        <v>0</v>
      </c>
      <c r="BD109" s="27" t="n">
        <v>0</v>
      </c>
      <c r="BE109" s="27" t="n">
        <v>0</v>
      </c>
      <c r="BF109" s="27" t="n">
        <v>0</v>
      </c>
      <c r="BG109" s="27" t="n">
        <v>0</v>
      </c>
      <c r="BH109" s="27" t="n">
        <v>0</v>
      </c>
      <c r="BI109" s="27" t="n">
        <v>0</v>
      </c>
      <c r="BJ109" s="27" t="n">
        <v>0</v>
      </c>
      <c r="BK109" s="27" t="n">
        <v>0</v>
      </c>
      <c r="BL109" s="27" t="n">
        <v>0</v>
      </c>
      <c r="BM109" s="27" t="n">
        <v>0</v>
      </c>
      <c r="BN109" s="27" t="n">
        <v>0</v>
      </c>
      <c r="BO109" s="27" t="n">
        <v>0</v>
      </c>
      <c r="BP109" s="27" t="n">
        <v>0</v>
      </c>
      <c r="BQ109" s="27" t="n">
        <v>0</v>
      </c>
      <c r="BR109" s="27" t="n">
        <v>0</v>
      </c>
      <c r="BS109" s="27" t="n">
        <v>0</v>
      </c>
      <c r="BT109" s="27" t="n">
        <v>0</v>
      </c>
      <c r="BU109" s="27" t="n">
        <v>0</v>
      </c>
      <c r="BV109" s="27" t="n">
        <v>0</v>
      </c>
      <c r="BW109" s="27" t="n">
        <v>0</v>
      </c>
      <c r="BX109" s="27" t="n">
        <v>0</v>
      </c>
      <c r="BY109" s="27" t="n">
        <v>0</v>
      </c>
      <c r="BZ109" s="27" t="n">
        <v>0</v>
      </c>
      <c r="CA109" s="27" t="n">
        <v>0</v>
      </c>
      <c r="CB109" s="27" t="n">
        <v>0</v>
      </c>
      <c r="CC109" s="27" t="n">
        <v>0</v>
      </c>
      <c r="CD109" s="27" t="n">
        <v>0</v>
      </c>
      <c r="CE109" s="27" t="n">
        <v>0</v>
      </c>
      <c r="CF109" s="27" t="n">
        <v>0</v>
      </c>
      <c r="CG109" s="27" t="n">
        <v>0</v>
      </c>
      <c r="CH109" s="27" t="n">
        <v>0</v>
      </c>
      <c r="CI109" s="27" t="n">
        <v>0</v>
      </c>
      <c r="CJ109" s="27" t="n">
        <v>0</v>
      </c>
      <c r="CK109" s="27" t="n">
        <v>0</v>
      </c>
      <c r="CL109" s="27" t="n">
        <v>0</v>
      </c>
      <c r="CM109" s="27" t="n">
        <v>0</v>
      </c>
      <c r="CN109" s="27" t="n">
        <v>0</v>
      </c>
      <c r="CO109" s="27" t="n">
        <v>0</v>
      </c>
      <c r="CP109" s="27" t="n">
        <v>0</v>
      </c>
      <c r="CQ109" s="27" t="n">
        <v>0</v>
      </c>
      <c r="CR109" s="27" t="n">
        <v>0</v>
      </c>
      <c r="CS109" s="27" t="n">
        <v>0</v>
      </c>
      <c r="CT109" s="27" t="n">
        <v>0</v>
      </c>
      <c r="CU109" s="27" t="n">
        <v>0</v>
      </c>
      <c r="CV109" s="27" t="n">
        <v>0</v>
      </c>
      <c r="CW109" s="27" t="n">
        <v>0</v>
      </c>
      <c r="CX109" s="27" t="n">
        <v>0</v>
      </c>
      <c r="CY109" s="27" t="n">
        <v>0</v>
      </c>
      <c r="CZ109" s="27" t="n">
        <v>0</v>
      </c>
      <c r="DA109" s="27" t="n">
        <v>0</v>
      </c>
    </row>
    <row r="110">
      <c r="A110" t="inlineStr">
        <is>
          <t>0T160</t>
        </is>
      </c>
      <c r="B110" s="27" t="n">
        <v>0</v>
      </c>
      <c r="C110" s="27" t="n">
        <v>0</v>
      </c>
      <c r="D110" s="27" t="n">
        <v>0</v>
      </c>
      <c r="E110" s="27" t="n">
        <v>0</v>
      </c>
      <c r="F110" s="27" t="n">
        <v>0</v>
      </c>
      <c r="G110" s="27" t="n">
        <v>0</v>
      </c>
      <c r="H110" s="27" t="n">
        <v>0</v>
      </c>
      <c r="I110" s="27" t="n">
        <v>0</v>
      </c>
      <c r="J110" s="27" t="n">
        <v>0</v>
      </c>
      <c r="K110" s="27" t="n">
        <v>0</v>
      </c>
      <c r="L110" s="27" t="n">
        <v>0</v>
      </c>
      <c r="M110" s="27" t="n">
        <v>0</v>
      </c>
      <c r="N110" s="27" t="n">
        <v>0</v>
      </c>
      <c r="O110" s="27" t="n">
        <v>0</v>
      </c>
      <c r="P110" s="27" t="n">
        <v>0</v>
      </c>
      <c r="Q110" s="27" t="n">
        <v>0</v>
      </c>
      <c r="R110" s="27" t="n">
        <v>0</v>
      </c>
      <c r="S110" s="27" t="n">
        <v>0</v>
      </c>
      <c r="T110" s="27" t="n">
        <v>0</v>
      </c>
      <c r="U110" s="27" t="n">
        <v>0</v>
      </c>
      <c r="V110" s="27" t="n">
        <v>0</v>
      </c>
      <c r="W110" s="27" t="n">
        <v>0</v>
      </c>
      <c r="X110" s="27" t="n">
        <v>0</v>
      </c>
      <c r="Y110" s="27" t="n">
        <v>0</v>
      </c>
      <c r="Z110" s="27" t="n">
        <v>0</v>
      </c>
      <c r="AA110" s="27" t="n">
        <v>0</v>
      </c>
      <c r="AB110" s="27" t="n">
        <v>0</v>
      </c>
      <c r="AC110" s="27" t="n">
        <v>0</v>
      </c>
      <c r="AD110" s="27" t="n">
        <v>0</v>
      </c>
      <c r="AE110" s="27" t="n">
        <v>0</v>
      </c>
      <c r="AF110" s="27" t="n">
        <v>0</v>
      </c>
      <c r="AG110" s="27" t="n">
        <v>0</v>
      </c>
      <c r="AH110" s="27" t="n">
        <v>0</v>
      </c>
      <c r="AI110" s="27" t="n">
        <v>0</v>
      </c>
      <c r="AJ110" s="27" t="n">
        <v>0</v>
      </c>
      <c r="AK110" s="27" t="n">
        <v>0</v>
      </c>
      <c r="AL110" s="27" t="n">
        <v>0</v>
      </c>
      <c r="AM110" s="27" t="n">
        <v>0</v>
      </c>
      <c r="AN110" s="27" t="n">
        <v>0</v>
      </c>
      <c r="AO110" s="27" t="n">
        <v>0</v>
      </c>
      <c r="AP110" s="27" t="n">
        <v>0</v>
      </c>
      <c r="AQ110" s="27" t="n">
        <v>0</v>
      </c>
      <c r="AR110" s="27" t="n">
        <v>0</v>
      </c>
      <c r="AS110" s="27" t="n">
        <v>0</v>
      </c>
      <c r="AT110" s="27" t="n">
        <v>0</v>
      </c>
      <c r="AU110" s="27" t="n">
        <v>0</v>
      </c>
      <c r="AV110" s="27" t="n">
        <v>0</v>
      </c>
      <c r="AW110" s="27" t="n">
        <v>0</v>
      </c>
      <c r="AX110" s="27" t="n">
        <v>0</v>
      </c>
      <c r="AY110" s="27" t="n">
        <v>0</v>
      </c>
      <c r="AZ110" s="27" t="n">
        <v>0</v>
      </c>
      <c r="BA110" s="27" t="n">
        <v>0</v>
      </c>
      <c r="BB110" s="27" t="n">
        <v>0</v>
      </c>
      <c r="BC110" s="27" t="n">
        <v>0</v>
      </c>
      <c r="BD110" s="27" t="n">
        <v>0</v>
      </c>
      <c r="BE110" s="27" t="n">
        <v>0</v>
      </c>
      <c r="BF110" s="27" t="n">
        <v>0</v>
      </c>
      <c r="BG110" s="27" t="n">
        <v>0</v>
      </c>
      <c r="BH110" s="27" t="n">
        <v>0</v>
      </c>
      <c r="BI110" s="27" t="n">
        <v>0</v>
      </c>
      <c r="BJ110" s="27" t="n">
        <v>0</v>
      </c>
      <c r="BK110" s="27" t="n">
        <v>0</v>
      </c>
      <c r="BL110" s="27" t="n">
        <v>0</v>
      </c>
      <c r="BM110" s="27" t="n">
        <v>0</v>
      </c>
      <c r="BN110" s="27" t="n">
        <v>0</v>
      </c>
      <c r="BO110" s="27" t="n">
        <v>0</v>
      </c>
      <c r="BP110" s="27" t="n">
        <v>0</v>
      </c>
      <c r="BQ110" s="27" t="n">
        <v>0</v>
      </c>
      <c r="BR110" s="27" t="n">
        <v>0</v>
      </c>
      <c r="BS110" s="27" t="n">
        <v>0</v>
      </c>
      <c r="BT110" s="27" t="n">
        <v>0</v>
      </c>
      <c r="BU110" s="27" t="n">
        <v>0</v>
      </c>
      <c r="BV110" s="27" t="n">
        <v>0</v>
      </c>
      <c r="BW110" s="27" t="n">
        <v>0</v>
      </c>
      <c r="BX110" s="27" t="n">
        <v>0</v>
      </c>
      <c r="BY110" s="27" t="n">
        <v>0</v>
      </c>
      <c r="BZ110" s="27" t="n">
        <v>0</v>
      </c>
      <c r="CA110" s="27" t="n">
        <v>0</v>
      </c>
      <c r="CB110" s="27" t="n">
        <v>0</v>
      </c>
      <c r="CC110" s="27" t="n">
        <v>0</v>
      </c>
      <c r="CD110" s="27" t="n">
        <v>0</v>
      </c>
      <c r="CE110" s="27" t="n">
        <v>0</v>
      </c>
      <c r="CF110" s="27" t="n">
        <v>0</v>
      </c>
      <c r="CG110" s="27" t="n">
        <v>0</v>
      </c>
      <c r="CH110" s="27" t="n">
        <v>0</v>
      </c>
      <c r="CI110" s="27" t="n">
        <v>0</v>
      </c>
      <c r="CJ110" s="27" t="n">
        <v>0</v>
      </c>
      <c r="CK110" s="27" t="n">
        <v>0</v>
      </c>
      <c r="CL110" s="27" t="n">
        <v>0</v>
      </c>
      <c r="CM110" s="27" t="n">
        <v>0</v>
      </c>
      <c r="CN110" s="27" t="n">
        <v>0</v>
      </c>
      <c r="CO110" s="27" t="n">
        <v>0</v>
      </c>
      <c r="CP110" s="27" t="n">
        <v>0</v>
      </c>
      <c r="CQ110" s="27" t="n">
        <v>0</v>
      </c>
      <c r="CR110" s="27" t="n">
        <v>0</v>
      </c>
      <c r="CS110" s="27" t="n">
        <v>0</v>
      </c>
      <c r="CT110" s="27" t="n">
        <v>0</v>
      </c>
      <c r="CU110" s="27" t="n">
        <v>0</v>
      </c>
      <c r="CV110" s="27" t="n">
        <v>0</v>
      </c>
      <c r="CW110" s="27" t="n">
        <v>0</v>
      </c>
      <c r="CX110" s="27" t="n">
        <v>0</v>
      </c>
      <c r="CY110" s="27" t="n">
        <v>0</v>
      </c>
      <c r="CZ110" s="27" t="n">
        <v>0</v>
      </c>
      <c r="DA110" s="27" t="n">
        <v>0</v>
      </c>
    </row>
    <row r="111">
      <c r="A111" t="inlineStr">
        <is>
          <t>0T410</t>
        </is>
      </c>
      <c r="B111" s="27" t="n">
        <v>0</v>
      </c>
      <c r="C111" s="27" t="n">
        <v>0</v>
      </c>
      <c r="D111" s="27" t="n">
        <v>0</v>
      </c>
      <c r="E111" s="27" t="n">
        <v>0</v>
      </c>
      <c r="F111" s="27" t="n">
        <v>0</v>
      </c>
      <c r="G111" s="27" t="n">
        <v>0</v>
      </c>
      <c r="H111" s="27" t="n">
        <v>0</v>
      </c>
      <c r="I111" s="27" t="n">
        <v>0</v>
      </c>
      <c r="J111" s="27" t="n">
        <v>0</v>
      </c>
      <c r="K111" s="27" t="n">
        <v>0</v>
      </c>
      <c r="L111" s="27" t="n">
        <v>0</v>
      </c>
      <c r="M111" s="27" t="n">
        <v>0</v>
      </c>
      <c r="N111" s="27" t="n">
        <v>0</v>
      </c>
      <c r="O111" s="27" t="n">
        <v>0</v>
      </c>
      <c r="P111" s="27" t="n">
        <v>0</v>
      </c>
      <c r="Q111" s="27" t="n">
        <v>0</v>
      </c>
      <c r="R111" s="27" t="n">
        <v>0</v>
      </c>
      <c r="S111" s="27" t="n">
        <v>0</v>
      </c>
      <c r="T111" s="27" t="n">
        <v>0</v>
      </c>
      <c r="U111" s="27" t="n">
        <v>0</v>
      </c>
      <c r="V111" s="27" t="n">
        <v>0</v>
      </c>
      <c r="W111" s="27" t="n">
        <v>0</v>
      </c>
      <c r="X111" s="27" t="n">
        <v>0</v>
      </c>
      <c r="Y111" s="27" t="n">
        <v>0</v>
      </c>
      <c r="Z111" s="27" t="n">
        <v>0</v>
      </c>
      <c r="AA111" s="27" t="n">
        <v>0</v>
      </c>
      <c r="AB111" s="27" t="n">
        <v>0</v>
      </c>
      <c r="AC111" s="27" t="n">
        <v>0</v>
      </c>
      <c r="AD111" s="27" t="n">
        <v>0</v>
      </c>
      <c r="AE111" s="27" t="n">
        <v>0</v>
      </c>
      <c r="AF111" s="27" t="n">
        <v>0</v>
      </c>
      <c r="AG111" s="27" t="n">
        <v>0</v>
      </c>
      <c r="AH111" s="27" t="n">
        <v>0</v>
      </c>
      <c r="AI111" s="27" t="n">
        <v>0</v>
      </c>
      <c r="AJ111" s="27" t="n">
        <v>0</v>
      </c>
      <c r="AK111" s="27" t="n">
        <v>0</v>
      </c>
      <c r="AL111" s="27" t="n">
        <v>0</v>
      </c>
      <c r="AM111" s="27" t="n">
        <v>0</v>
      </c>
      <c r="AN111" s="27" t="n">
        <v>0</v>
      </c>
      <c r="AO111" s="27" t="n">
        <v>0</v>
      </c>
      <c r="AP111" s="27" t="n">
        <v>0</v>
      </c>
      <c r="AQ111" s="27" t="n">
        <v>0</v>
      </c>
      <c r="AR111" s="27" t="n">
        <v>0</v>
      </c>
      <c r="AS111" s="27" t="n">
        <v>0</v>
      </c>
      <c r="AT111" s="27" t="n">
        <v>0</v>
      </c>
      <c r="AU111" s="27" t="n">
        <v>0</v>
      </c>
      <c r="AV111" s="27" t="n">
        <v>0</v>
      </c>
      <c r="AW111" s="27" t="n">
        <v>0</v>
      </c>
      <c r="AX111" s="27" t="n">
        <v>0</v>
      </c>
      <c r="AY111" s="27" t="n">
        <v>0</v>
      </c>
      <c r="AZ111" s="27" t="n">
        <v>0</v>
      </c>
      <c r="BA111" s="27" t="n">
        <v>0</v>
      </c>
      <c r="BB111" s="27" t="n">
        <v>0</v>
      </c>
      <c r="BC111" s="27" t="n">
        <v>0</v>
      </c>
      <c r="BD111" s="27" t="n">
        <v>0</v>
      </c>
      <c r="BE111" s="27" t="n">
        <v>0</v>
      </c>
      <c r="BF111" s="27" t="n">
        <v>0</v>
      </c>
      <c r="BG111" s="27" t="n">
        <v>0</v>
      </c>
      <c r="BH111" s="27" t="n">
        <v>0</v>
      </c>
      <c r="BI111" s="27" t="n">
        <v>0</v>
      </c>
      <c r="BJ111" s="27" t="n">
        <v>0</v>
      </c>
      <c r="BK111" s="27" t="n">
        <v>0</v>
      </c>
      <c r="BL111" s="27" t="n">
        <v>0</v>
      </c>
      <c r="BM111" s="27" t="n">
        <v>0</v>
      </c>
      <c r="BN111" s="27" t="n">
        <v>0</v>
      </c>
      <c r="BO111" s="27" t="n">
        <v>0</v>
      </c>
      <c r="BP111" s="27" t="n">
        <v>0</v>
      </c>
      <c r="BQ111" s="27" t="n">
        <v>0</v>
      </c>
      <c r="BR111" s="27" t="n">
        <v>0</v>
      </c>
      <c r="BS111" s="27" t="n">
        <v>0</v>
      </c>
      <c r="BT111" s="27" t="n">
        <v>0</v>
      </c>
      <c r="BU111" s="27" t="n">
        <v>0</v>
      </c>
      <c r="BV111" s="27" t="n">
        <v>0</v>
      </c>
      <c r="BW111" s="27" t="n">
        <v>0</v>
      </c>
      <c r="BX111" s="27" t="n">
        <v>0</v>
      </c>
      <c r="BY111" s="27" t="n">
        <v>0</v>
      </c>
      <c r="BZ111" s="27" t="n">
        <v>0</v>
      </c>
      <c r="CA111" s="27" t="n">
        <v>0</v>
      </c>
      <c r="CB111" s="27" t="n">
        <v>0</v>
      </c>
      <c r="CC111" s="27" t="n">
        <v>0</v>
      </c>
      <c r="CD111" s="27" t="n">
        <v>0</v>
      </c>
      <c r="CE111" s="27" t="n">
        <v>0</v>
      </c>
      <c r="CF111" s="27" t="n">
        <v>0</v>
      </c>
      <c r="CG111" s="27" t="n">
        <v>0</v>
      </c>
      <c r="CH111" s="27" t="n">
        <v>0</v>
      </c>
      <c r="CI111" s="27" t="n">
        <v>0</v>
      </c>
      <c r="CJ111" s="27" t="n">
        <v>0</v>
      </c>
      <c r="CK111" s="27" t="n">
        <v>0</v>
      </c>
      <c r="CL111" s="27" t="n">
        <v>0</v>
      </c>
      <c r="CM111" s="27" t="n">
        <v>0</v>
      </c>
      <c r="CN111" s="27" t="n">
        <v>0</v>
      </c>
      <c r="CO111" s="27" t="n">
        <v>0</v>
      </c>
      <c r="CP111" s="27" t="n">
        <v>0</v>
      </c>
      <c r="CQ111" s="27" t="n">
        <v>0</v>
      </c>
      <c r="CR111" s="27" t="n">
        <v>0</v>
      </c>
      <c r="CS111" s="27" t="n">
        <v>0</v>
      </c>
      <c r="CT111" s="27" t="n">
        <v>0</v>
      </c>
      <c r="CU111" s="27" t="n">
        <v>0</v>
      </c>
      <c r="CV111" s="27" t="n">
        <v>0</v>
      </c>
      <c r="CW111" s="27" t="n">
        <v>0</v>
      </c>
      <c r="CX111" s="27" t="n">
        <v>0</v>
      </c>
      <c r="CY111" s="27" t="n">
        <v>0</v>
      </c>
      <c r="CZ111" s="27" t="n">
        <v>0</v>
      </c>
      <c r="DA111" s="27" t="n">
        <v>0</v>
      </c>
    </row>
    <row r="112">
      <c r="A112" t="inlineStr">
        <is>
          <t>0T420</t>
        </is>
      </c>
      <c r="B112" s="27" t="n">
        <v>0</v>
      </c>
      <c r="C112" s="27" t="n">
        <v>0</v>
      </c>
      <c r="D112" s="27" t="n">
        <v>0</v>
      </c>
      <c r="E112" s="27" t="n">
        <v>0</v>
      </c>
      <c r="F112" s="27" t="n">
        <v>0</v>
      </c>
      <c r="G112" s="27" t="n">
        <v>0</v>
      </c>
      <c r="H112" s="27" t="n">
        <v>0</v>
      </c>
      <c r="I112" s="27" t="n">
        <v>0</v>
      </c>
      <c r="J112" s="27" t="n">
        <v>0</v>
      </c>
      <c r="K112" s="27" t="n">
        <v>0</v>
      </c>
      <c r="L112" s="27" t="n">
        <v>0</v>
      </c>
      <c r="M112" s="27" t="n">
        <v>0</v>
      </c>
      <c r="N112" s="27" t="n">
        <v>0</v>
      </c>
      <c r="O112" s="27" t="n">
        <v>0</v>
      </c>
      <c r="P112" s="27" t="n">
        <v>0</v>
      </c>
      <c r="Q112" s="27" t="n">
        <v>0</v>
      </c>
      <c r="R112" s="27" t="n">
        <v>0</v>
      </c>
      <c r="S112" s="27" t="n">
        <v>0</v>
      </c>
      <c r="T112" s="27" t="n">
        <v>0</v>
      </c>
      <c r="U112" s="27" t="n">
        <v>0</v>
      </c>
      <c r="V112" s="27" t="n">
        <v>0</v>
      </c>
      <c r="W112" s="27" t="n">
        <v>0</v>
      </c>
      <c r="X112" s="27" t="n">
        <v>0</v>
      </c>
      <c r="Y112" s="27" t="n">
        <v>0</v>
      </c>
      <c r="Z112" s="27" t="n">
        <v>0</v>
      </c>
      <c r="AA112" s="27" t="n">
        <v>0</v>
      </c>
      <c r="AB112" s="27" t="n">
        <v>0</v>
      </c>
      <c r="AC112" s="27" t="n">
        <v>0</v>
      </c>
      <c r="AD112" s="27" t="n">
        <v>0</v>
      </c>
      <c r="AE112" s="27" t="n">
        <v>0</v>
      </c>
      <c r="AF112" s="27" t="n">
        <v>0</v>
      </c>
      <c r="AG112" s="27" t="n">
        <v>0</v>
      </c>
      <c r="AH112" s="27" t="n">
        <v>0</v>
      </c>
      <c r="AI112" s="27" t="n">
        <v>0</v>
      </c>
      <c r="AJ112" s="27" t="n">
        <v>0</v>
      </c>
      <c r="AK112" s="27" t="n">
        <v>0</v>
      </c>
      <c r="AL112" s="27" t="n">
        <v>0</v>
      </c>
      <c r="AM112" s="27" t="n">
        <v>0</v>
      </c>
      <c r="AN112" s="27" t="n">
        <v>0</v>
      </c>
      <c r="AO112" s="27" t="n">
        <v>0</v>
      </c>
      <c r="AP112" s="27" t="n">
        <v>0</v>
      </c>
      <c r="AQ112" s="27" t="n">
        <v>0</v>
      </c>
      <c r="AR112" s="27" t="n">
        <v>0</v>
      </c>
      <c r="AS112" s="27" t="n">
        <v>0</v>
      </c>
      <c r="AT112" s="27" t="n">
        <v>0</v>
      </c>
      <c r="AU112" s="27" t="n">
        <v>0</v>
      </c>
      <c r="AV112" s="27" t="n">
        <v>0</v>
      </c>
      <c r="AW112" s="27" t="n">
        <v>0</v>
      </c>
      <c r="AX112" s="27" t="n">
        <v>0</v>
      </c>
      <c r="AY112" s="27" t="n">
        <v>0</v>
      </c>
      <c r="AZ112" s="27" t="n">
        <v>0</v>
      </c>
      <c r="BA112" s="27" t="n">
        <v>0</v>
      </c>
      <c r="BB112" s="27" t="n">
        <v>0</v>
      </c>
      <c r="BC112" s="27" t="n">
        <v>0</v>
      </c>
      <c r="BD112" s="27" t="n">
        <v>0</v>
      </c>
      <c r="BE112" s="27" t="n">
        <v>0</v>
      </c>
      <c r="BF112" s="27" t="n">
        <v>0</v>
      </c>
      <c r="BG112" s="27" t="n">
        <v>0</v>
      </c>
      <c r="BH112" s="27" t="n">
        <v>0</v>
      </c>
      <c r="BI112" s="27" t="n">
        <v>0</v>
      </c>
      <c r="BJ112" s="27" t="n">
        <v>0</v>
      </c>
      <c r="BK112" s="27" t="n">
        <v>0</v>
      </c>
      <c r="BL112" s="27" t="n">
        <v>0</v>
      </c>
      <c r="BM112" s="27" t="n">
        <v>0</v>
      </c>
      <c r="BN112" s="27" t="n">
        <v>0</v>
      </c>
      <c r="BO112" s="27" t="n">
        <v>0</v>
      </c>
      <c r="BP112" s="27" t="n">
        <v>0</v>
      </c>
      <c r="BQ112" s="27" t="n">
        <v>0</v>
      </c>
      <c r="BR112" s="27" t="n">
        <v>0</v>
      </c>
      <c r="BS112" s="27" t="n">
        <v>0</v>
      </c>
      <c r="BT112" s="27" t="n">
        <v>0</v>
      </c>
      <c r="BU112" s="27" t="n">
        <v>0</v>
      </c>
      <c r="BV112" s="27" t="n">
        <v>0</v>
      </c>
      <c r="BW112" s="27" t="n">
        <v>0</v>
      </c>
      <c r="BX112" s="27" t="n">
        <v>0</v>
      </c>
      <c r="BY112" s="27" t="n">
        <v>0</v>
      </c>
      <c r="BZ112" s="27" t="n">
        <v>0</v>
      </c>
      <c r="CA112" s="27" t="n">
        <v>0</v>
      </c>
      <c r="CB112" s="27" t="n">
        <v>0</v>
      </c>
      <c r="CC112" s="27" t="n">
        <v>0</v>
      </c>
      <c r="CD112" s="27" t="n">
        <v>0</v>
      </c>
      <c r="CE112" s="27" t="n">
        <v>0</v>
      </c>
      <c r="CF112" s="27" t="n">
        <v>0</v>
      </c>
      <c r="CG112" s="27" t="n">
        <v>0</v>
      </c>
      <c r="CH112" s="27" t="n">
        <v>0</v>
      </c>
      <c r="CI112" s="27" t="n">
        <v>0</v>
      </c>
      <c r="CJ112" s="27" t="n">
        <v>0</v>
      </c>
      <c r="CK112" s="27" t="n">
        <v>0</v>
      </c>
      <c r="CL112" s="27" t="n">
        <v>0</v>
      </c>
      <c r="CM112" s="27" t="n">
        <v>0</v>
      </c>
      <c r="CN112" s="27" t="n">
        <v>0</v>
      </c>
      <c r="CO112" s="27" t="n">
        <v>0</v>
      </c>
      <c r="CP112" s="27" t="n">
        <v>0</v>
      </c>
      <c r="CQ112" s="27" t="n">
        <v>0</v>
      </c>
      <c r="CR112" s="27" t="n">
        <v>0</v>
      </c>
      <c r="CS112" s="27" t="n">
        <v>0</v>
      </c>
      <c r="CT112" s="27" t="n">
        <v>0</v>
      </c>
      <c r="CU112" s="27" t="n">
        <v>0</v>
      </c>
      <c r="CV112" s="27" t="n">
        <v>0</v>
      </c>
      <c r="CW112" s="27" t="n">
        <v>0</v>
      </c>
      <c r="CX112" s="27" t="n">
        <v>0</v>
      </c>
      <c r="CY112" s="27" t="n">
        <v>0</v>
      </c>
      <c r="CZ112" s="27" t="n">
        <v>0</v>
      </c>
      <c r="DA112" s="27" t="n">
        <v>0</v>
      </c>
    </row>
    <row r="113">
      <c r="A113" t="inlineStr">
        <is>
          <t>0T470</t>
        </is>
      </c>
      <c r="B113" s="27" t="n">
        <v>0</v>
      </c>
      <c r="C113" s="27" t="n">
        <v>0</v>
      </c>
      <c r="D113" s="27" t="n">
        <v>0</v>
      </c>
      <c r="E113" s="27" t="n">
        <v>0</v>
      </c>
      <c r="F113" s="27" t="n">
        <v>0</v>
      </c>
      <c r="G113" s="27" t="n">
        <v>0</v>
      </c>
      <c r="H113" s="27" t="n">
        <v>0</v>
      </c>
      <c r="I113" s="27" t="n">
        <v>0</v>
      </c>
      <c r="J113" s="27" t="n">
        <v>0</v>
      </c>
      <c r="K113" s="27" t="n">
        <v>0</v>
      </c>
      <c r="L113" s="27" t="n">
        <v>0</v>
      </c>
      <c r="M113" s="27" t="n">
        <v>0</v>
      </c>
      <c r="N113" s="27" t="n">
        <v>0</v>
      </c>
      <c r="O113" s="27" t="n">
        <v>0</v>
      </c>
      <c r="P113" s="27" t="n">
        <v>0</v>
      </c>
      <c r="Q113" s="27" t="n">
        <v>0</v>
      </c>
      <c r="R113" s="27" t="n">
        <v>0</v>
      </c>
      <c r="S113" s="27" t="n">
        <v>0</v>
      </c>
      <c r="T113" s="27" t="n">
        <v>0</v>
      </c>
      <c r="U113" s="27" t="n">
        <v>0</v>
      </c>
      <c r="V113" s="27" t="n">
        <v>0</v>
      </c>
      <c r="W113" s="27" t="n">
        <v>0</v>
      </c>
      <c r="X113" s="27" t="n">
        <v>0</v>
      </c>
      <c r="Y113" s="27" t="n">
        <v>0</v>
      </c>
      <c r="Z113" s="27" t="n">
        <v>0</v>
      </c>
      <c r="AA113" s="27" t="n">
        <v>0</v>
      </c>
      <c r="AB113" s="27" t="n">
        <v>0</v>
      </c>
      <c r="AC113" s="27" t="n">
        <v>0</v>
      </c>
      <c r="AD113" s="27" t="n">
        <v>0</v>
      </c>
      <c r="AE113" s="27" t="n">
        <v>0</v>
      </c>
      <c r="AF113" s="27" t="n">
        <v>0</v>
      </c>
      <c r="AG113" s="27" t="n">
        <v>0</v>
      </c>
      <c r="AH113" s="27" t="n">
        <v>0</v>
      </c>
      <c r="AI113" s="27" t="n">
        <v>0</v>
      </c>
      <c r="AJ113" s="27" t="n">
        <v>0</v>
      </c>
      <c r="AK113" s="27" t="n">
        <v>0</v>
      </c>
      <c r="AL113" s="27" t="n">
        <v>0</v>
      </c>
      <c r="AM113" s="27" t="n">
        <v>0</v>
      </c>
      <c r="AN113" s="27" t="n">
        <v>0</v>
      </c>
      <c r="AO113" s="27" t="n">
        <v>0</v>
      </c>
      <c r="AP113" s="27" t="n">
        <v>0</v>
      </c>
      <c r="AQ113" s="27" t="n">
        <v>0</v>
      </c>
      <c r="AR113" s="27" t="n">
        <v>0</v>
      </c>
      <c r="AS113" s="27" t="n">
        <v>0</v>
      </c>
      <c r="AT113" s="27" t="n">
        <v>0</v>
      </c>
      <c r="AU113" s="27" t="n">
        <v>0</v>
      </c>
      <c r="AV113" s="27" t="n">
        <v>0</v>
      </c>
      <c r="AW113" s="27" t="n">
        <v>0</v>
      </c>
      <c r="AX113" s="27" t="n">
        <v>0</v>
      </c>
      <c r="AY113" s="27" t="n">
        <v>0</v>
      </c>
      <c r="AZ113" s="27" t="n">
        <v>0</v>
      </c>
      <c r="BA113" s="27" t="n">
        <v>0</v>
      </c>
      <c r="BB113" s="27" t="n">
        <v>0</v>
      </c>
      <c r="BC113" s="27" t="n">
        <v>0</v>
      </c>
      <c r="BD113" s="27" t="n">
        <v>0</v>
      </c>
      <c r="BE113" s="27" t="n">
        <v>0</v>
      </c>
      <c r="BF113" s="27" t="n">
        <v>0</v>
      </c>
      <c r="BG113" s="27" t="n">
        <v>0</v>
      </c>
      <c r="BH113" s="27" t="n">
        <v>0</v>
      </c>
      <c r="BI113" s="27" t="n">
        <v>0</v>
      </c>
      <c r="BJ113" s="27" t="n">
        <v>0</v>
      </c>
      <c r="BK113" s="27" t="n">
        <v>0</v>
      </c>
      <c r="BL113" s="27" t="n">
        <v>0</v>
      </c>
      <c r="BM113" s="27" t="n">
        <v>0</v>
      </c>
      <c r="BN113" s="27" t="n">
        <v>0</v>
      </c>
      <c r="BO113" s="27" t="n">
        <v>0</v>
      </c>
      <c r="BP113" s="27" t="n">
        <v>0</v>
      </c>
      <c r="BQ113" s="27" t="n">
        <v>0</v>
      </c>
      <c r="BR113" s="27" t="n">
        <v>0</v>
      </c>
      <c r="BS113" s="27" t="n">
        <v>0</v>
      </c>
      <c r="BT113" s="27" t="n">
        <v>0</v>
      </c>
      <c r="BU113" s="27" t="n">
        <v>0</v>
      </c>
      <c r="BV113" s="27" t="n">
        <v>0</v>
      </c>
      <c r="BW113" s="27" t="n">
        <v>0</v>
      </c>
      <c r="BX113" s="27" t="n">
        <v>0</v>
      </c>
      <c r="BY113" s="27" t="n">
        <v>0</v>
      </c>
      <c r="BZ113" s="27" t="n">
        <v>0</v>
      </c>
      <c r="CA113" s="27" t="n">
        <v>0</v>
      </c>
      <c r="CB113" s="27" t="n">
        <v>0</v>
      </c>
      <c r="CC113" s="27" t="n">
        <v>0</v>
      </c>
      <c r="CD113" s="27" t="n">
        <v>0</v>
      </c>
      <c r="CE113" s="27" t="n">
        <v>0</v>
      </c>
      <c r="CF113" s="27" t="n">
        <v>0</v>
      </c>
      <c r="CG113" s="27" t="n">
        <v>0</v>
      </c>
      <c r="CH113" s="27" t="n">
        <v>0</v>
      </c>
      <c r="CI113" s="27" t="n">
        <v>0</v>
      </c>
      <c r="CJ113" s="27" t="n">
        <v>0</v>
      </c>
      <c r="CK113" s="27" t="n">
        <v>0</v>
      </c>
      <c r="CL113" s="27" t="n">
        <v>0</v>
      </c>
      <c r="CM113" s="27" t="n">
        <v>0</v>
      </c>
      <c r="CN113" s="27" t="n">
        <v>0</v>
      </c>
      <c r="CO113" s="27" t="n">
        <v>0</v>
      </c>
      <c r="CP113" s="27" t="n">
        <v>0</v>
      </c>
      <c r="CQ113" s="27" t="n">
        <v>0</v>
      </c>
      <c r="CR113" s="27" t="n">
        <v>0</v>
      </c>
      <c r="CS113" s="27" t="n">
        <v>0</v>
      </c>
      <c r="CT113" s="27" t="n">
        <v>0</v>
      </c>
      <c r="CU113" s="27" t="n">
        <v>0</v>
      </c>
      <c r="CV113" s="27" t="n">
        <v>0</v>
      </c>
      <c r="CW113" s="27" t="n">
        <v>0</v>
      </c>
      <c r="CX113" s="27" t="n">
        <v>0</v>
      </c>
      <c r="CY113" s="27" t="n">
        <v>0</v>
      </c>
      <c r="CZ113" s="27" t="n">
        <v>0</v>
      </c>
      <c r="DA113" s="27" t="n">
        <v>0</v>
      </c>
    </row>
    <row r="114">
      <c r="A114" t="inlineStr">
        <is>
          <t>0T480</t>
        </is>
      </c>
      <c r="B114" s="27" t="n">
        <v>0</v>
      </c>
      <c r="C114" s="27" t="n">
        <v>0</v>
      </c>
      <c r="D114" s="27" t="n">
        <v>0</v>
      </c>
      <c r="E114" s="27" t="n">
        <v>0</v>
      </c>
      <c r="F114" s="27" t="n">
        <v>0</v>
      </c>
      <c r="G114" s="27" t="n">
        <v>0</v>
      </c>
      <c r="H114" s="27" t="n">
        <v>0</v>
      </c>
      <c r="I114" s="27" t="n">
        <v>0</v>
      </c>
      <c r="J114" s="27" t="n">
        <v>0</v>
      </c>
      <c r="K114" s="27" t="n">
        <v>0</v>
      </c>
      <c r="L114" s="27" t="n">
        <v>0</v>
      </c>
      <c r="M114" s="27" t="n">
        <v>0</v>
      </c>
      <c r="N114" s="27" t="n">
        <v>0</v>
      </c>
      <c r="O114" s="27" t="n">
        <v>0</v>
      </c>
      <c r="P114" s="27" t="n">
        <v>0</v>
      </c>
      <c r="Q114" s="27" t="n">
        <v>0</v>
      </c>
      <c r="R114" s="27" t="n">
        <v>0</v>
      </c>
      <c r="S114" s="27" t="n">
        <v>0</v>
      </c>
      <c r="T114" s="27" t="n">
        <v>0</v>
      </c>
      <c r="U114" s="27" t="n">
        <v>0</v>
      </c>
      <c r="V114" s="27" t="n">
        <v>0</v>
      </c>
      <c r="W114" s="27" t="n">
        <v>0</v>
      </c>
      <c r="X114" s="27" t="n">
        <v>0</v>
      </c>
      <c r="Y114" s="27" t="n">
        <v>0</v>
      </c>
      <c r="Z114" s="27" t="n">
        <v>0</v>
      </c>
      <c r="AA114" s="27" t="n">
        <v>0</v>
      </c>
      <c r="AB114" s="27" t="n">
        <v>0</v>
      </c>
      <c r="AC114" s="27" t="n">
        <v>0</v>
      </c>
      <c r="AD114" s="27" t="n">
        <v>0</v>
      </c>
      <c r="AE114" s="27" t="n">
        <v>0</v>
      </c>
      <c r="AF114" s="27" t="n">
        <v>0</v>
      </c>
      <c r="AG114" s="27" t="n">
        <v>0</v>
      </c>
      <c r="AH114" s="27" t="n">
        <v>0</v>
      </c>
      <c r="AI114" s="27" t="n">
        <v>0</v>
      </c>
      <c r="AJ114" s="27" t="n">
        <v>0</v>
      </c>
      <c r="AK114" s="27" t="n">
        <v>0</v>
      </c>
      <c r="AL114" s="27" t="n">
        <v>0</v>
      </c>
      <c r="AM114" s="27" t="n">
        <v>0</v>
      </c>
      <c r="AN114" s="27" t="n">
        <v>0</v>
      </c>
      <c r="AO114" s="27" t="n">
        <v>0</v>
      </c>
      <c r="AP114" s="27" t="n">
        <v>0</v>
      </c>
      <c r="AQ114" s="27" t="n">
        <v>0</v>
      </c>
      <c r="AR114" s="27" t="n">
        <v>0</v>
      </c>
      <c r="AS114" s="27" t="n">
        <v>0</v>
      </c>
      <c r="AT114" s="27" t="n">
        <v>0</v>
      </c>
      <c r="AU114" s="27" t="n">
        <v>0</v>
      </c>
      <c r="AV114" s="27" t="n">
        <v>0</v>
      </c>
      <c r="AW114" s="27" t="n">
        <v>0</v>
      </c>
      <c r="AX114" s="27" t="n">
        <v>0</v>
      </c>
      <c r="AY114" s="27" t="n">
        <v>0</v>
      </c>
      <c r="AZ114" s="27" t="n">
        <v>0</v>
      </c>
      <c r="BA114" s="27" t="n">
        <v>0</v>
      </c>
      <c r="BB114" s="27" t="n">
        <v>0</v>
      </c>
      <c r="BC114" s="27" t="n">
        <v>0</v>
      </c>
      <c r="BD114" s="27" t="n">
        <v>0</v>
      </c>
      <c r="BE114" s="27" t="n">
        <v>0</v>
      </c>
      <c r="BF114" s="27" t="n">
        <v>0</v>
      </c>
      <c r="BG114" s="27" t="n">
        <v>0</v>
      </c>
      <c r="BH114" s="27" t="n">
        <v>0</v>
      </c>
      <c r="BI114" s="27" t="n">
        <v>0</v>
      </c>
      <c r="BJ114" s="27" t="n">
        <v>0</v>
      </c>
      <c r="BK114" s="27" t="n">
        <v>0</v>
      </c>
      <c r="BL114" s="27" t="n">
        <v>0</v>
      </c>
      <c r="BM114" s="27" t="n">
        <v>0</v>
      </c>
      <c r="BN114" s="27" t="n">
        <v>0</v>
      </c>
      <c r="BO114" s="27" t="n">
        <v>0</v>
      </c>
      <c r="BP114" s="27" t="n">
        <v>0</v>
      </c>
      <c r="BQ114" s="27" t="n">
        <v>0</v>
      </c>
      <c r="BR114" s="27" t="n">
        <v>0</v>
      </c>
      <c r="BS114" s="27" t="n">
        <v>0</v>
      </c>
      <c r="BT114" s="27" t="n">
        <v>0</v>
      </c>
      <c r="BU114" s="27" t="n">
        <v>0</v>
      </c>
      <c r="BV114" s="27" t="n">
        <v>0</v>
      </c>
      <c r="BW114" s="27" t="n">
        <v>0</v>
      </c>
      <c r="BX114" s="27" t="n">
        <v>0</v>
      </c>
      <c r="BY114" s="27" t="n">
        <v>0</v>
      </c>
      <c r="BZ114" s="27" t="n">
        <v>0</v>
      </c>
      <c r="CA114" s="27" t="n">
        <v>0</v>
      </c>
      <c r="CB114" s="27" t="n">
        <v>0</v>
      </c>
      <c r="CC114" s="27" t="n">
        <v>0</v>
      </c>
      <c r="CD114" s="27" t="n">
        <v>0</v>
      </c>
      <c r="CE114" s="27" t="n">
        <v>0</v>
      </c>
      <c r="CF114" s="27" t="n">
        <v>0</v>
      </c>
      <c r="CG114" s="27" t="n">
        <v>0</v>
      </c>
      <c r="CH114" s="27" t="n">
        <v>0</v>
      </c>
      <c r="CI114" s="27" t="n">
        <v>0</v>
      </c>
      <c r="CJ114" s="27" t="n">
        <v>0</v>
      </c>
      <c r="CK114" s="27" t="n">
        <v>0</v>
      </c>
      <c r="CL114" s="27" t="n">
        <v>0</v>
      </c>
      <c r="CM114" s="27" t="n">
        <v>0</v>
      </c>
      <c r="CN114" s="27" t="n">
        <v>0</v>
      </c>
      <c r="CO114" s="27" t="n">
        <v>0</v>
      </c>
      <c r="CP114" s="27" t="n">
        <v>0</v>
      </c>
      <c r="CQ114" s="27" t="n">
        <v>0</v>
      </c>
      <c r="CR114" s="27" t="n">
        <v>0</v>
      </c>
      <c r="CS114" s="27" t="n">
        <v>0</v>
      </c>
      <c r="CT114" s="27" t="n">
        <v>0</v>
      </c>
      <c r="CU114" s="27" t="n">
        <v>0</v>
      </c>
      <c r="CV114" s="27" t="n">
        <v>0</v>
      </c>
      <c r="CW114" s="27" t="n">
        <v>0</v>
      </c>
      <c r="CX114" s="27" t="n">
        <v>0</v>
      </c>
      <c r="CY114" s="27" t="n">
        <v>0</v>
      </c>
      <c r="CZ114" s="27" t="n">
        <v>0</v>
      </c>
      <c r="DA114" s="27" t="n">
        <v>0</v>
      </c>
    </row>
    <row r="115">
      <c r="A115" t="inlineStr">
        <is>
          <t>0T490</t>
        </is>
      </c>
      <c r="B115" s="27" t="n">
        <v>0</v>
      </c>
      <c r="C115" s="27" t="n">
        <v>0</v>
      </c>
      <c r="D115" s="27" t="n">
        <v>0</v>
      </c>
      <c r="E115" s="27" t="n">
        <v>0</v>
      </c>
      <c r="F115" s="27" t="n">
        <v>0</v>
      </c>
      <c r="G115" s="27" t="n">
        <v>0</v>
      </c>
      <c r="H115" s="27" t="n">
        <v>0</v>
      </c>
      <c r="I115" s="27" t="n">
        <v>0</v>
      </c>
      <c r="J115" s="27" t="n">
        <v>0</v>
      </c>
      <c r="K115" s="27" t="n">
        <v>0</v>
      </c>
      <c r="L115" s="27" t="n">
        <v>0</v>
      </c>
      <c r="M115" s="27" t="n">
        <v>0</v>
      </c>
      <c r="N115" s="27" t="n">
        <v>0</v>
      </c>
      <c r="O115" s="27" t="n">
        <v>0</v>
      </c>
      <c r="P115" s="27" t="n">
        <v>0</v>
      </c>
      <c r="Q115" s="27" t="n">
        <v>0</v>
      </c>
      <c r="R115" s="27" t="n">
        <v>0</v>
      </c>
      <c r="S115" s="27" t="n">
        <v>0</v>
      </c>
      <c r="T115" s="27" t="n">
        <v>0</v>
      </c>
      <c r="U115" s="27" t="n">
        <v>0</v>
      </c>
      <c r="V115" s="27" t="n">
        <v>0</v>
      </c>
      <c r="W115" s="27" t="n">
        <v>0</v>
      </c>
      <c r="X115" s="27" t="n">
        <v>0</v>
      </c>
      <c r="Y115" s="27" t="n">
        <v>0</v>
      </c>
      <c r="Z115" s="27" t="n">
        <v>0</v>
      </c>
      <c r="AA115" s="27" t="n">
        <v>0</v>
      </c>
      <c r="AB115" s="27" t="n">
        <v>0</v>
      </c>
      <c r="AC115" s="27" t="n">
        <v>0</v>
      </c>
      <c r="AD115" s="27" t="n">
        <v>0</v>
      </c>
      <c r="AE115" s="27" t="n">
        <v>0</v>
      </c>
      <c r="AF115" s="27" t="n">
        <v>0</v>
      </c>
      <c r="AG115" s="27" t="n">
        <v>0</v>
      </c>
      <c r="AH115" s="27" t="n">
        <v>0</v>
      </c>
      <c r="AI115" s="27" t="n">
        <v>0</v>
      </c>
      <c r="AJ115" s="27" t="n">
        <v>0</v>
      </c>
      <c r="AK115" s="27" t="n">
        <v>0</v>
      </c>
      <c r="AL115" s="27" t="n">
        <v>0</v>
      </c>
      <c r="AM115" s="27" t="n">
        <v>0</v>
      </c>
      <c r="AN115" s="27" t="n">
        <v>0</v>
      </c>
      <c r="AO115" s="27" t="n">
        <v>0</v>
      </c>
      <c r="AP115" s="27" t="n">
        <v>0</v>
      </c>
      <c r="AQ115" s="27" t="n">
        <v>0</v>
      </c>
      <c r="AR115" s="27" t="n">
        <v>0</v>
      </c>
      <c r="AS115" s="27" t="n">
        <v>0</v>
      </c>
      <c r="AT115" s="27" t="n">
        <v>0</v>
      </c>
      <c r="AU115" s="27" t="n">
        <v>0</v>
      </c>
      <c r="AV115" s="27" t="n">
        <v>0</v>
      </c>
      <c r="AW115" s="27" t="n">
        <v>0</v>
      </c>
      <c r="AX115" s="27" t="n">
        <v>0</v>
      </c>
      <c r="AY115" s="27" t="n">
        <v>0</v>
      </c>
      <c r="AZ115" s="27" t="n">
        <v>0</v>
      </c>
      <c r="BA115" s="27" t="n">
        <v>0</v>
      </c>
      <c r="BB115" s="27" t="n">
        <v>0</v>
      </c>
      <c r="BC115" s="27" t="n">
        <v>0</v>
      </c>
      <c r="BD115" s="27" t="n">
        <v>0</v>
      </c>
      <c r="BE115" s="27" t="n">
        <v>0</v>
      </c>
      <c r="BF115" s="27" t="n">
        <v>0</v>
      </c>
      <c r="BG115" s="27" t="n">
        <v>0</v>
      </c>
      <c r="BH115" s="27" t="n">
        <v>0</v>
      </c>
      <c r="BI115" s="27" t="n">
        <v>0</v>
      </c>
      <c r="BJ115" s="27" t="n">
        <v>0</v>
      </c>
      <c r="BK115" s="27" t="n">
        <v>0</v>
      </c>
      <c r="BL115" s="27" t="n">
        <v>0</v>
      </c>
      <c r="BM115" s="27" t="n">
        <v>0</v>
      </c>
      <c r="BN115" s="27" t="n">
        <v>0</v>
      </c>
      <c r="BO115" s="27" t="n">
        <v>0</v>
      </c>
      <c r="BP115" s="27" t="n">
        <v>0</v>
      </c>
      <c r="BQ115" s="27" t="n">
        <v>0</v>
      </c>
      <c r="BR115" s="27" t="n">
        <v>0</v>
      </c>
      <c r="BS115" s="27" t="n">
        <v>0</v>
      </c>
      <c r="BT115" s="27" t="n">
        <v>0</v>
      </c>
      <c r="BU115" s="27" t="n">
        <v>0</v>
      </c>
      <c r="BV115" s="27" t="n">
        <v>0</v>
      </c>
      <c r="BW115" s="27" t="n">
        <v>0</v>
      </c>
      <c r="BX115" s="27" t="n">
        <v>0</v>
      </c>
      <c r="BY115" s="27" t="n">
        <v>0</v>
      </c>
      <c r="BZ115" s="27" t="n">
        <v>0</v>
      </c>
      <c r="CA115" s="27" t="n">
        <v>0</v>
      </c>
      <c r="CB115" s="27" t="n">
        <v>0</v>
      </c>
      <c r="CC115" s="27" t="n">
        <v>0</v>
      </c>
      <c r="CD115" s="27" t="n">
        <v>0</v>
      </c>
      <c r="CE115" s="27" t="n">
        <v>0</v>
      </c>
      <c r="CF115" s="27" t="n">
        <v>0</v>
      </c>
      <c r="CG115" s="27" t="n">
        <v>0</v>
      </c>
      <c r="CH115" s="27" t="n">
        <v>0</v>
      </c>
      <c r="CI115" s="27" t="n">
        <v>0</v>
      </c>
      <c r="CJ115" s="27" t="n">
        <v>0</v>
      </c>
      <c r="CK115" s="27" t="n">
        <v>0</v>
      </c>
      <c r="CL115" s="27" t="n">
        <v>0</v>
      </c>
      <c r="CM115" s="27" t="n">
        <v>0</v>
      </c>
      <c r="CN115" s="27" t="n">
        <v>0</v>
      </c>
      <c r="CO115" s="27" t="n">
        <v>0</v>
      </c>
      <c r="CP115" s="27" t="n">
        <v>0</v>
      </c>
      <c r="CQ115" s="27" t="n">
        <v>0</v>
      </c>
      <c r="CR115" s="27" t="n">
        <v>0</v>
      </c>
      <c r="CS115" s="27" t="n">
        <v>0</v>
      </c>
      <c r="CT115" s="27" t="n">
        <v>0</v>
      </c>
      <c r="CU115" s="27" t="n">
        <v>0</v>
      </c>
      <c r="CV115" s="27" t="n">
        <v>0</v>
      </c>
      <c r="CW115" s="27" t="n">
        <v>0</v>
      </c>
      <c r="CX115" s="27" t="n">
        <v>0</v>
      </c>
      <c r="CY115" s="27" t="n">
        <v>0</v>
      </c>
      <c r="CZ115" s="27" t="n">
        <v>0</v>
      </c>
      <c r="DA115" s="27" t="n">
        <v>0</v>
      </c>
    </row>
    <row r="116">
      <c r="A116" t="inlineStr">
        <is>
          <t>0T500</t>
        </is>
      </c>
      <c r="B116" s="27" t="n">
        <v>0</v>
      </c>
      <c r="C116" s="27" t="n">
        <v>0</v>
      </c>
      <c r="D116" s="27" t="n">
        <v>0</v>
      </c>
      <c r="E116" s="27" t="n">
        <v>0</v>
      </c>
      <c r="F116" s="27" t="n">
        <v>0</v>
      </c>
      <c r="G116" s="27" t="n">
        <v>0</v>
      </c>
      <c r="H116" s="27" t="n">
        <v>0</v>
      </c>
      <c r="I116" s="27" t="n">
        <v>0</v>
      </c>
      <c r="J116" s="27" t="n">
        <v>0</v>
      </c>
      <c r="K116" s="27" t="n">
        <v>0</v>
      </c>
      <c r="L116" s="27" t="n">
        <v>0</v>
      </c>
      <c r="M116" s="27" t="n">
        <v>0</v>
      </c>
      <c r="N116" s="27" t="n">
        <v>0</v>
      </c>
      <c r="O116" s="27" t="n">
        <v>0</v>
      </c>
      <c r="P116" s="27" t="n">
        <v>0</v>
      </c>
      <c r="Q116" s="27" t="n">
        <v>0</v>
      </c>
      <c r="R116" s="27" t="n">
        <v>0</v>
      </c>
      <c r="S116" s="27" t="n">
        <v>0</v>
      </c>
      <c r="T116" s="27" t="n">
        <v>0</v>
      </c>
      <c r="U116" s="27" t="n">
        <v>0</v>
      </c>
      <c r="V116" s="27" t="n">
        <v>0</v>
      </c>
      <c r="W116" s="27" t="n">
        <v>0</v>
      </c>
      <c r="X116" s="27" t="n">
        <v>0</v>
      </c>
      <c r="Y116" s="27" t="n">
        <v>0</v>
      </c>
      <c r="Z116" s="27" t="n">
        <v>0</v>
      </c>
      <c r="AA116" s="27" t="n">
        <v>0</v>
      </c>
      <c r="AB116" s="27" t="n">
        <v>0</v>
      </c>
      <c r="AC116" s="27" t="n">
        <v>0</v>
      </c>
      <c r="AD116" s="27" t="n">
        <v>0</v>
      </c>
      <c r="AE116" s="27" t="n">
        <v>0</v>
      </c>
      <c r="AF116" s="27" t="n">
        <v>0</v>
      </c>
      <c r="AG116" s="27" t="n">
        <v>0</v>
      </c>
      <c r="AH116" s="27" t="n">
        <v>0</v>
      </c>
      <c r="AI116" s="27" t="n">
        <v>0</v>
      </c>
      <c r="AJ116" s="27" t="n">
        <v>0</v>
      </c>
      <c r="AK116" s="27" t="n">
        <v>0</v>
      </c>
      <c r="AL116" s="27" t="n">
        <v>0</v>
      </c>
      <c r="AM116" s="27" t="n">
        <v>0</v>
      </c>
      <c r="AN116" s="27" t="n">
        <v>0</v>
      </c>
      <c r="AO116" s="27" t="n">
        <v>0</v>
      </c>
      <c r="AP116" s="27" t="n">
        <v>0</v>
      </c>
      <c r="AQ116" s="27" t="n">
        <v>0</v>
      </c>
      <c r="AR116" s="27" t="n">
        <v>0</v>
      </c>
      <c r="AS116" s="27" t="n">
        <v>0</v>
      </c>
      <c r="AT116" s="27" t="n">
        <v>0</v>
      </c>
      <c r="AU116" s="27" t="n">
        <v>0</v>
      </c>
      <c r="AV116" s="27" t="n">
        <v>0</v>
      </c>
      <c r="AW116" s="27" t="n">
        <v>0</v>
      </c>
      <c r="AX116" s="27" t="n">
        <v>0</v>
      </c>
      <c r="AY116" s="27" t="n">
        <v>0</v>
      </c>
      <c r="AZ116" s="27" t="n">
        <v>0</v>
      </c>
      <c r="BA116" s="27" t="n">
        <v>0</v>
      </c>
      <c r="BB116" s="27" t="n">
        <v>0</v>
      </c>
      <c r="BC116" s="27" t="n">
        <v>0</v>
      </c>
      <c r="BD116" s="27" t="n">
        <v>0</v>
      </c>
      <c r="BE116" s="27" t="n">
        <v>0</v>
      </c>
      <c r="BF116" s="27" t="n">
        <v>0</v>
      </c>
      <c r="BG116" s="27" t="n">
        <v>0</v>
      </c>
      <c r="BH116" s="27" t="n">
        <v>0</v>
      </c>
      <c r="BI116" s="27" t="n">
        <v>0</v>
      </c>
      <c r="BJ116" s="27" t="n">
        <v>0</v>
      </c>
      <c r="BK116" s="27" t="n">
        <v>0</v>
      </c>
      <c r="BL116" s="27" t="n">
        <v>0</v>
      </c>
      <c r="BM116" s="27" t="n">
        <v>0</v>
      </c>
      <c r="BN116" s="27" t="n">
        <v>0</v>
      </c>
      <c r="BO116" s="27" t="n">
        <v>0</v>
      </c>
      <c r="BP116" s="27" t="n">
        <v>0</v>
      </c>
      <c r="BQ116" s="27" t="n">
        <v>0</v>
      </c>
      <c r="BR116" s="27" t="n">
        <v>0</v>
      </c>
      <c r="BS116" s="27" t="n">
        <v>0</v>
      </c>
      <c r="BT116" s="27" t="n">
        <v>0</v>
      </c>
      <c r="BU116" s="27" t="n">
        <v>0</v>
      </c>
      <c r="BV116" s="27" t="n">
        <v>0</v>
      </c>
      <c r="BW116" s="27" t="n">
        <v>0</v>
      </c>
      <c r="BX116" s="27" t="n">
        <v>0</v>
      </c>
      <c r="BY116" s="27" t="n">
        <v>0</v>
      </c>
      <c r="BZ116" s="27" t="n">
        <v>0</v>
      </c>
      <c r="CA116" s="27" t="n">
        <v>0</v>
      </c>
      <c r="CB116" s="27" t="n">
        <v>0</v>
      </c>
      <c r="CC116" s="27" t="n">
        <v>0</v>
      </c>
      <c r="CD116" s="27" t="n">
        <v>0</v>
      </c>
      <c r="CE116" s="27" t="n">
        <v>0</v>
      </c>
      <c r="CF116" s="27" t="n">
        <v>0</v>
      </c>
      <c r="CG116" s="27" t="n">
        <v>0</v>
      </c>
      <c r="CH116" s="27" t="n">
        <v>0</v>
      </c>
      <c r="CI116" s="27" t="n">
        <v>0</v>
      </c>
      <c r="CJ116" s="27" t="n">
        <v>0</v>
      </c>
      <c r="CK116" s="27" t="n">
        <v>0</v>
      </c>
      <c r="CL116" s="27" t="n">
        <v>0</v>
      </c>
      <c r="CM116" s="27" t="n">
        <v>0</v>
      </c>
      <c r="CN116" s="27" t="n">
        <v>0</v>
      </c>
      <c r="CO116" s="27" t="n">
        <v>0</v>
      </c>
      <c r="CP116" s="27" t="n">
        <v>0</v>
      </c>
      <c r="CQ116" s="27" t="n">
        <v>0</v>
      </c>
      <c r="CR116" s="27" t="n">
        <v>0</v>
      </c>
      <c r="CS116" s="27" t="n">
        <v>0</v>
      </c>
      <c r="CT116" s="27" t="n">
        <v>0</v>
      </c>
      <c r="CU116" s="27" t="n">
        <v>0</v>
      </c>
      <c r="CV116" s="27" t="n">
        <v>0</v>
      </c>
      <c r="CW116" s="27" t="n">
        <v>0</v>
      </c>
      <c r="CX116" s="27" t="n">
        <v>0</v>
      </c>
      <c r="CY116" s="27" t="n">
        <v>0</v>
      </c>
      <c r="CZ116" s="27" t="n">
        <v>0</v>
      </c>
      <c r="DA116" s="27" t="n">
        <v>0</v>
      </c>
    </row>
    <row r="117">
      <c r="A117" t="inlineStr">
        <is>
          <t>0T690</t>
        </is>
      </c>
      <c r="B117" s="27" t="n">
        <v>0</v>
      </c>
      <c r="C117" s="27" t="n">
        <v>0</v>
      </c>
      <c r="D117" s="27" t="n">
        <v>0</v>
      </c>
      <c r="E117" s="27" t="n">
        <v>0</v>
      </c>
      <c r="F117" s="27" t="n">
        <v>0</v>
      </c>
      <c r="G117" s="27" t="n">
        <v>0</v>
      </c>
      <c r="H117" s="27" t="n">
        <v>0</v>
      </c>
      <c r="I117" s="27" t="n">
        <v>0</v>
      </c>
      <c r="J117" s="27" t="n">
        <v>0</v>
      </c>
      <c r="K117" s="27" t="n">
        <v>0</v>
      </c>
      <c r="L117" s="27" t="n">
        <v>0</v>
      </c>
      <c r="M117" s="27" t="n">
        <v>0</v>
      </c>
      <c r="N117" s="27" t="n">
        <v>0</v>
      </c>
      <c r="O117" s="27" t="n">
        <v>0</v>
      </c>
      <c r="P117" s="27" t="n">
        <v>0</v>
      </c>
      <c r="Q117" s="27" t="n">
        <v>0</v>
      </c>
      <c r="R117" s="27" t="n">
        <v>0</v>
      </c>
      <c r="S117" s="27" t="n">
        <v>0</v>
      </c>
      <c r="T117" s="27" t="n">
        <v>0</v>
      </c>
      <c r="U117" s="27" t="n">
        <v>0</v>
      </c>
      <c r="V117" s="27" t="n">
        <v>0</v>
      </c>
      <c r="W117" s="27" t="n">
        <v>0</v>
      </c>
      <c r="X117" s="27" t="n">
        <v>0</v>
      </c>
      <c r="Y117" s="27" t="n">
        <v>0</v>
      </c>
      <c r="Z117" s="27" t="n">
        <v>0</v>
      </c>
      <c r="AA117" s="27" t="n">
        <v>0</v>
      </c>
      <c r="AB117" s="27" t="n">
        <v>0</v>
      </c>
      <c r="AC117" s="27" t="n">
        <v>0</v>
      </c>
      <c r="AD117" s="27" t="n">
        <v>0</v>
      </c>
      <c r="AE117" s="27" t="n">
        <v>0</v>
      </c>
      <c r="AF117" s="27" t="n">
        <v>0</v>
      </c>
      <c r="AG117" s="27" t="n">
        <v>0</v>
      </c>
      <c r="AH117" s="27" t="n">
        <v>0</v>
      </c>
      <c r="AI117" s="27" t="n">
        <v>0</v>
      </c>
      <c r="AJ117" s="27" t="n">
        <v>0</v>
      </c>
      <c r="AK117" s="27" t="n">
        <v>0</v>
      </c>
      <c r="AL117" s="27" t="n">
        <v>0</v>
      </c>
      <c r="AM117" s="27" t="n">
        <v>0</v>
      </c>
      <c r="AN117" s="27" t="n">
        <v>0</v>
      </c>
      <c r="AO117" s="27" t="n">
        <v>0</v>
      </c>
      <c r="AP117" s="27" t="n">
        <v>0</v>
      </c>
      <c r="AQ117" s="27" t="n">
        <v>0</v>
      </c>
      <c r="AR117" s="27" t="n">
        <v>0</v>
      </c>
      <c r="AS117" s="27" t="n">
        <v>0</v>
      </c>
      <c r="AT117" s="27" t="n">
        <v>0</v>
      </c>
      <c r="AU117" s="27" t="n">
        <v>0</v>
      </c>
      <c r="AV117" s="27" t="n">
        <v>0</v>
      </c>
      <c r="AW117" s="27" t="n">
        <v>0</v>
      </c>
      <c r="AX117" s="27" t="n">
        <v>0</v>
      </c>
      <c r="AY117" s="27" t="n">
        <v>0</v>
      </c>
      <c r="AZ117" s="27" t="n">
        <v>0</v>
      </c>
      <c r="BA117" s="27" t="n">
        <v>0</v>
      </c>
      <c r="BB117" s="27" t="n">
        <v>0</v>
      </c>
      <c r="BC117" s="27" t="n">
        <v>0</v>
      </c>
      <c r="BD117" s="27" t="n">
        <v>0</v>
      </c>
      <c r="BE117" s="27" t="n">
        <v>0</v>
      </c>
      <c r="BF117" s="27" t="n">
        <v>0</v>
      </c>
      <c r="BG117" s="27" t="n">
        <v>0</v>
      </c>
      <c r="BH117" s="27" t="n">
        <v>0</v>
      </c>
      <c r="BI117" s="27" t="n">
        <v>0</v>
      </c>
      <c r="BJ117" s="27" t="n">
        <v>0</v>
      </c>
      <c r="BK117" s="27" t="n">
        <v>0</v>
      </c>
      <c r="BL117" s="27" t="n">
        <v>0</v>
      </c>
      <c r="BM117" s="27" t="n">
        <v>0</v>
      </c>
      <c r="BN117" s="27" t="n">
        <v>0</v>
      </c>
      <c r="BO117" s="27" t="n">
        <v>0</v>
      </c>
      <c r="BP117" s="27" t="n">
        <v>0</v>
      </c>
      <c r="BQ117" s="27" t="n">
        <v>0</v>
      </c>
      <c r="BR117" s="27" t="n">
        <v>0</v>
      </c>
      <c r="BS117" s="27" t="n">
        <v>0</v>
      </c>
      <c r="BT117" s="27" t="n">
        <v>0</v>
      </c>
      <c r="BU117" s="27" t="n">
        <v>0</v>
      </c>
      <c r="BV117" s="27" t="n">
        <v>0</v>
      </c>
      <c r="BW117" s="27" t="n">
        <v>0</v>
      </c>
      <c r="BX117" s="27" t="n">
        <v>0</v>
      </c>
      <c r="BY117" s="27" t="n">
        <v>0</v>
      </c>
      <c r="BZ117" s="27" t="n">
        <v>0</v>
      </c>
      <c r="CA117" s="27" t="n">
        <v>0</v>
      </c>
      <c r="CB117" s="27" t="n">
        <v>0</v>
      </c>
      <c r="CC117" s="27" t="n">
        <v>0</v>
      </c>
      <c r="CD117" s="27" t="n">
        <v>0</v>
      </c>
      <c r="CE117" s="27" t="n">
        <v>0</v>
      </c>
      <c r="CF117" s="27" t="n">
        <v>0</v>
      </c>
      <c r="CG117" s="27" t="n">
        <v>0</v>
      </c>
      <c r="CH117" s="27" t="n">
        <v>0</v>
      </c>
      <c r="CI117" s="27" t="n">
        <v>0</v>
      </c>
      <c r="CJ117" s="27" t="n">
        <v>0</v>
      </c>
      <c r="CK117" s="27" t="n">
        <v>0</v>
      </c>
      <c r="CL117" s="27" t="n">
        <v>0</v>
      </c>
      <c r="CM117" s="27" t="n">
        <v>0</v>
      </c>
      <c r="CN117" s="27" t="n">
        <v>0</v>
      </c>
      <c r="CO117" s="27" t="n">
        <v>0</v>
      </c>
      <c r="CP117" s="27" t="n">
        <v>0</v>
      </c>
      <c r="CQ117" s="27" t="n">
        <v>0</v>
      </c>
      <c r="CR117" s="27" t="n">
        <v>0</v>
      </c>
      <c r="CS117" s="27" t="n">
        <v>0</v>
      </c>
      <c r="CT117" s="27" t="n">
        <v>0</v>
      </c>
      <c r="CU117" s="27" t="n">
        <v>0</v>
      </c>
      <c r="CV117" s="27" t="n">
        <v>0</v>
      </c>
      <c r="CW117" s="27" t="n">
        <v>0</v>
      </c>
      <c r="CX117" s="27" t="n">
        <v>0</v>
      </c>
      <c r="CY117" s="27" t="n">
        <v>0</v>
      </c>
      <c r="CZ117" s="27" t="n">
        <v>0</v>
      </c>
      <c r="DA117" s="27" t="n">
        <v>0</v>
      </c>
    </row>
    <row r="118">
      <c r="A118" t="inlineStr">
        <is>
          <t>0T720</t>
        </is>
      </c>
      <c r="B118" s="27" t="n">
        <v>0</v>
      </c>
      <c r="C118" s="27" t="n">
        <v>0</v>
      </c>
      <c r="D118" s="27" t="n">
        <v>0</v>
      </c>
      <c r="E118" s="27" t="n">
        <v>0</v>
      </c>
      <c r="F118" s="27" t="n">
        <v>0</v>
      </c>
      <c r="G118" s="27" t="n">
        <v>0</v>
      </c>
      <c r="H118" s="27" t="n">
        <v>0</v>
      </c>
      <c r="I118" s="27" t="n">
        <v>0</v>
      </c>
      <c r="J118" s="27" t="n">
        <v>0</v>
      </c>
      <c r="K118" s="27" t="n">
        <v>0</v>
      </c>
      <c r="L118" s="27" t="n">
        <v>0</v>
      </c>
      <c r="M118" s="27" t="n">
        <v>0</v>
      </c>
      <c r="N118" s="27" t="n">
        <v>0</v>
      </c>
      <c r="O118" s="27" t="n">
        <v>0</v>
      </c>
      <c r="P118" s="27" t="n">
        <v>0</v>
      </c>
      <c r="Q118" s="27" t="n">
        <v>0</v>
      </c>
      <c r="R118" s="27" t="n">
        <v>0</v>
      </c>
      <c r="S118" s="27" t="n">
        <v>0</v>
      </c>
      <c r="T118" s="27" t="n">
        <v>0</v>
      </c>
      <c r="U118" s="27" t="n">
        <v>0</v>
      </c>
      <c r="V118" s="27" t="n">
        <v>0</v>
      </c>
      <c r="W118" s="27" t="n">
        <v>0</v>
      </c>
      <c r="X118" s="27" t="n">
        <v>0</v>
      </c>
      <c r="Y118" s="27" t="n">
        <v>0</v>
      </c>
      <c r="Z118" s="27" t="n">
        <v>0</v>
      </c>
      <c r="AA118" s="27" t="n">
        <v>0</v>
      </c>
      <c r="AB118" s="27" t="n">
        <v>0</v>
      </c>
      <c r="AC118" s="27" t="n">
        <v>0</v>
      </c>
      <c r="AD118" s="27" t="n">
        <v>0</v>
      </c>
      <c r="AE118" s="27" t="n">
        <v>0</v>
      </c>
      <c r="AF118" s="27" t="n">
        <v>0</v>
      </c>
      <c r="AG118" s="27" t="n">
        <v>0</v>
      </c>
      <c r="AH118" s="27" t="n">
        <v>0</v>
      </c>
      <c r="AI118" s="27" t="n">
        <v>0</v>
      </c>
      <c r="AJ118" s="27" t="n">
        <v>0</v>
      </c>
      <c r="AK118" s="27" t="n">
        <v>0</v>
      </c>
      <c r="AL118" s="27" t="n">
        <v>0</v>
      </c>
      <c r="AM118" s="27" t="n">
        <v>0</v>
      </c>
      <c r="AN118" s="27" t="n">
        <v>0</v>
      </c>
      <c r="AO118" s="27" t="n">
        <v>0</v>
      </c>
      <c r="AP118" s="27" t="n">
        <v>0</v>
      </c>
      <c r="AQ118" s="27" t="n">
        <v>0</v>
      </c>
      <c r="AR118" s="27" t="n">
        <v>0</v>
      </c>
      <c r="AS118" s="27" t="n">
        <v>0</v>
      </c>
      <c r="AT118" s="27" t="n">
        <v>0</v>
      </c>
      <c r="AU118" s="27" t="n">
        <v>0</v>
      </c>
      <c r="AV118" s="27" t="n">
        <v>0</v>
      </c>
      <c r="AW118" s="27" t="n">
        <v>0</v>
      </c>
      <c r="AX118" s="27" t="n">
        <v>0</v>
      </c>
      <c r="AY118" s="27" t="n">
        <v>0</v>
      </c>
      <c r="AZ118" s="27" t="n">
        <v>0</v>
      </c>
      <c r="BA118" s="27" t="n">
        <v>0</v>
      </c>
      <c r="BB118" s="27" t="n">
        <v>0</v>
      </c>
      <c r="BC118" s="27" t="n">
        <v>0</v>
      </c>
      <c r="BD118" s="27" t="n">
        <v>0</v>
      </c>
      <c r="BE118" s="27" t="n">
        <v>0</v>
      </c>
      <c r="BF118" s="27" t="n">
        <v>0</v>
      </c>
      <c r="BG118" s="27" t="n">
        <v>0</v>
      </c>
      <c r="BH118" s="27" t="n">
        <v>0</v>
      </c>
      <c r="BI118" s="27" t="n">
        <v>0</v>
      </c>
      <c r="BJ118" s="27" t="n">
        <v>0</v>
      </c>
      <c r="BK118" s="27" t="n">
        <v>0</v>
      </c>
      <c r="BL118" s="27" t="n">
        <v>0</v>
      </c>
      <c r="BM118" s="27" t="n">
        <v>0</v>
      </c>
      <c r="BN118" s="27" t="n">
        <v>0</v>
      </c>
      <c r="BO118" s="27" t="n">
        <v>0</v>
      </c>
      <c r="BP118" s="27" t="n">
        <v>0</v>
      </c>
      <c r="BQ118" s="27" t="n">
        <v>0</v>
      </c>
      <c r="BR118" s="27" t="n">
        <v>0</v>
      </c>
      <c r="BS118" s="27" t="n">
        <v>0</v>
      </c>
      <c r="BT118" s="27" t="n">
        <v>0</v>
      </c>
      <c r="BU118" s="27" t="n">
        <v>0</v>
      </c>
      <c r="BV118" s="27" t="n">
        <v>0</v>
      </c>
      <c r="BW118" s="27" t="n">
        <v>0</v>
      </c>
      <c r="BX118" s="27" t="n">
        <v>0</v>
      </c>
      <c r="BY118" s="27" t="n">
        <v>0</v>
      </c>
      <c r="BZ118" s="27" t="n">
        <v>0</v>
      </c>
      <c r="CA118" s="27" t="n">
        <v>0</v>
      </c>
      <c r="CB118" s="27" t="n">
        <v>0</v>
      </c>
      <c r="CC118" s="27" t="n">
        <v>0</v>
      </c>
      <c r="CD118" s="27" t="n">
        <v>0</v>
      </c>
      <c r="CE118" s="27" t="n">
        <v>0</v>
      </c>
      <c r="CF118" s="27" t="n">
        <v>0</v>
      </c>
      <c r="CG118" s="27" t="n">
        <v>0</v>
      </c>
      <c r="CH118" s="27" t="n">
        <v>0</v>
      </c>
      <c r="CI118" s="27" t="n">
        <v>0</v>
      </c>
      <c r="CJ118" s="27" t="n">
        <v>0</v>
      </c>
      <c r="CK118" s="27" t="n">
        <v>0</v>
      </c>
      <c r="CL118" s="27" t="n">
        <v>0</v>
      </c>
      <c r="CM118" s="27" t="n">
        <v>0</v>
      </c>
      <c r="CN118" s="27" t="n">
        <v>0</v>
      </c>
      <c r="CO118" s="27" t="n">
        <v>0</v>
      </c>
      <c r="CP118" s="27" t="n">
        <v>0</v>
      </c>
      <c r="CQ118" s="27" t="n">
        <v>0</v>
      </c>
      <c r="CR118" s="27" t="n">
        <v>0</v>
      </c>
      <c r="CS118" s="27" t="n">
        <v>0</v>
      </c>
      <c r="CT118" s="27" t="n">
        <v>0</v>
      </c>
      <c r="CU118" s="27" t="n">
        <v>0</v>
      </c>
      <c r="CV118" s="27" t="n">
        <v>0</v>
      </c>
      <c r="CW118" s="27" t="n">
        <v>0</v>
      </c>
      <c r="CX118" s="27" t="n">
        <v>0</v>
      </c>
      <c r="CY118" s="27" t="n">
        <v>0</v>
      </c>
      <c r="CZ118" s="27" t="n">
        <v>0</v>
      </c>
      <c r="DA118" s="27" t="n">
        <v>0</v>
      </c>
    </row>
    <row r="119">
      <c r="A119" t="inlineStr">
        <is>
          <t>0T740</t>
        </is>
      </c>
      <c r="B119" s="27" t="n">
        <v>0</v>
      </c>
      <c r="C119" s="27" t="n">
        <v>0</v>
      </c>
      <c r="D119" s="27" t="n">
        <v>0</v>
      </c>
      <c r="E119" s="27" t="n">
        <v>0</v>
      </c>
      <c r="F119" s="27" t="n">
        <v>0</v>
      </c>
      <c r="G119" s="27" t="n">
        <v>0</v>
      </c>
      <c r="H119" s="27" t="n">
        <v>0</v>
      </c>
      <c r="I119" s="27" t="n">
        <v>0</v>
      </c>
      <c r="J119" s="27" t="n">
        <v>0</v>
      </c>
      <c r="K119" s="27" t="n">
        <v>0</v>
      </c>
      <c r="L119" s="27" t="n">
        <v>0</v>
      </c>
      <c r="M119" s="27" t="n">
        <v>0</v>
      </c>
      <c r="N119" s="27" t="n">
        <v>0</v>
      </c>
      <c r="O119" s="27" t="n">
        <v>0</v>
      </c>
      <c r="P119" s="27" t="n">
        <v>0</v>
      </c>
      <c r="Q119" s="27" t="n">
        <v>0</v>
      </c>
      <c r="R119" s="27" t="n">
        <v>0</v>
      </c>
      <c r="S119" s="27" t="n">
        <v>0</v>
      </c>
      <c r="T119" s="27" t="n">
        <v>0</v>
      </c>
      <c r="U119" s="27" t="n">
        <v>0</v>
      </c>
      <c r="V119" s="27" t="n">
        <v>0</v>
      </c>
      <c r="W119" s="27" t="n">
        <v>0</v>
      </c>
      <c r="X119" s="27" t="n">
        <v>0</v>
      </c>
      <c r="Y119" s="27" t="n">
        <v>0</v>
      </c>
      <c r="Z119" s="27" t="n">
        <v>0</v>
      </c>
      <c r="AA119" s="27" t="n">
        <v>0</v>
      </c>
      <c r="AB119" s="27" t="n">
        <v>0</v>
      </c>
      <c r="AC119" s="27" t="n">
        <v>0</v>
      </c>
      <c r="AD119" s="27" t="n">
        <v>0</v>
      </c>
      <c r="AE119" s="27" t="n">
        <v>0</v>
      </c>
      <c r="AF119" s="27" t="n">
        <v>0</v>
      </c>
      <c r="AG119" s="27" t="n">
        <v>0</v>
      </c>
      <c r="AH119" s="27" t="n">
        <v>0</v>
      </c>
      <c r="AI119" s="27" t="n">
        <v>0</v>
      </c>
      <c r="AJ119" s="27" t="n">
        <v>0</v>
      </c>
      <c r="AK119" s="27" t="n">
        <v>0</v>
      </c>
      <c r="AL119" s="27" t="n">
        <v>0</v>
      </c>
      <c r="AM119" s="27" t="n">
        <v>0</v>
      </c>
      <c r="AN119" s="27" t="n">
        <v>0</v>
      </c>
      <c r="AO119" s="27" t="n">
        <v>0</v>
      </c>
      <c r="AP119" s="27" t="n">
        <v>0</v>
      </c>
      <c r="AQ119" s="27" t="n">
        <v>0</v>
      </c>
      <c r="AR119" s="27" t="n">
        <v>0</v>
      </c>
      <c r="AS119" s="27" t="n">
        <v>0</v>
      </c>
      <c r="AT119" s="27" t="n">
        <v>0</v>
      </c>
      <c r="AU119" s="27" t="n">
        <v>0</v>
      </c>
      <c r="AV119" s="27" t="n">
        <v>0</v>
      </c>
      <c r="AW119" s="27" t="n">
        <v>0</v>
      </c>
      <c r="AX119" s="27" t="n">
        <v>0</v>
      </c>
      <c r="AY119" s="27" t="n">
        <v>0</v>
      </c>
      <c r="AZ119" s="27" t="n">
        <v>0</v>
      </c>
      <c r="BA119" s="27" t="n">
        <v>0</v>
      </c>
      <c r="BB119" s="27" t="n">
        <v>0</v>
      </c>
      <c r="BC119" s="27" t="n">
        <v>0</v>
      </c>
      <c r="BD119" s="27" t="n">
        <v>0</v>
      </c>
      <c r="BE119" s="27" t="n">
        <v>0</v>
      </c>
      <c r="BF119" s="27" t="n">
        <v>0</v>
      </c>
      <c r="BG119" s="27" t="n">
        <v>0</v>
      </c>
      <c r="BH119" s="27" t="n">
        <v>0</v>
      </c>
      <c r="BI119" s="27" t="n">
        <v>0</v>
      </c>
      <c r="BJ119" s="27" t="n">
        <v>0</v>
      </c>
      <c r="BK119" s="27" t="n">
        <v>0</v>
      </c>
      <c r="BL119" s="27" t="n">
        <v>0</v>
      </c>
      <c r="BM119" s="27" t="n">
        <v>0</v>
      </c>
      <c r="BN119" s="27" t="n">
        <v>0</v>
      </c>
      <c r="BO119" s="27" t="n">
        <v>0</v>
      </c>
      <c r="BP119" s="27" t="n">
        <v>0</v>
      </c>
      <c r="BQ119" s="27" t="n">
        <v>0</v>
      </c>
      <c r="BR119" s="27" t="n">
        <v>0</v>
      </c>
      <c r="BS119" s="27" t="n">
        <v>0</v>
      </c>
      <c r="BT119" s="27" t="n">
        <v>0</v>
      </c>
      <c r="BU119" s="27" t="n">
        <v>0</v>
      </c>
      <c r="BV119" s="27" t="n">
        <v>0</v>
      </c>
      <c r="BW119" s="27" t="n">
        <v>0</v>
      </c>
      <c r="BX119" s="27" t="n">
        <v>0</v>
      </c>
      <c r="BY119" s="27" t="n">
        <v>0</v>
      </c>
      <c r="BZ119" s="27" t="n">
        <v>0</v>
      </c>
      <c r="CA119" s="27" t="n">
        <v>0</v>
      </c>
      <c r="CB119" s="27" t="n">
        <v>0</v>
      </c>
      <c r="CC119" s="27" t="n">
        <v>0</v>
      </c>
      <c r="CD119" s="27" t="n">
        <v>0</v>
      </c>
      <c r="CE119" s="27" t="n">
        <v>0</v>
      </c>
      <c r="CF119" s="27" t="n">
        <v>0</v>
      </c>
      <c r="CG119" s="27" t="n">
        <v>0</v>
      </c>
      <c r="CH119" s="27" t="n">
        <v>0</v>
      </c>
      <c r="CI119" s="27" t="n">
        <v>0</v>
      </c>
      <c r="CJ119" s="27" t="n">
        <v>0</v>
      </c>
      <c r="CK119" s="27" t="n">
        <v>0</v>
      </c>
      <c r="CL119" s="27" t="n">
        <v>0</v>
      </c>
      <c r="CM119" s="27" t="n">
        <v>0</v>
      </c>
      <c r="CN119" s="27" t="n">
        <v>0</v>
      </c>
      <c r="CO119" s="27" t="n">
        <v>0</v>
      </c>
      <c r="CP119" s="27" t="n">
        <v>0</v>
      </c>
      <c r="CQ119" s="27" t="n">
        <v>0</v>
      </c>
      <c r="CR119" s="27" t="n">
        <v>0</v>
      </c>
      <c r="CS119" s="27" t="n">
        <v>0</v>
      </c>
      <c r="CT119" s="27" t="n">
        <v>0</v>
      </c>
      <c r="CU119" s="27" t="n">
        <v>0</v>
      </c>
      <c r="CV119" s="27" t="n">
        <v>0</v>
      </c>
      <c r="CW119" s="27" t="n">
        <v>0</v>
      </c>
      <c r="CX119" s="27" t="n">
        <v>0</v>
      </c>
      <c r="CY119" s="27" t="n">
        <v>0</v>
      </c>
      <c r="CZ119" s="27" t="n">
        <v>0</v>
      </c>
      <c r="DA119" s="27" t="n">
        <v>0</v>
      </c>
    </row>
    <row r="120">
      <c r="A120" t="inlineStr">
        <is>
          <t>0T750</t>
        </is>
      </c>
      <c r="B120" s="27" t="n">
        <v>0</v>
      </c>
      <c r="C120" s="27" t="n">
        <v>0</v>
      </c>
      <c r="D120" s="27" t="n">
        <v>0</v>
      </c>
      <c r="E120" s="27" t="n">
        <v>0</v>
      </c>
      <c r="F120" s="27" t="n">
        <v>0</v>
      </c>
      <c r="G120" s="27" t="n">
        <v>0</v>
      </c>
      <c r="H120" s="27" t="n">
        <v>0</v>
      </c>
      <c r="I120" s="27" t="n">
        <v>0</v>
      </c>
      <c r="J120" s="27" t="n">
        <v>0</v>
      </c>
      <c r="K120" s="27" t="n">
        <v>0</v>
      </c>
      <c r="L120" s="27" t="n">
        <v>0</v>
      </c>
      <c r="M120" s="27" t="n">
        <v>0</v>
      </c>
      <c r="N120" s="27" t="n">
        <v>0</v>
      </c>
      <c r="O120" s="27" t="n">
        <v>0</v>
      </c>
      <c r="P120" s="27" t="n">
        <v>0</v>
      </c>
      <c r="Q120" s="27" t="n">
        <v>0</v>
      </c>
      <c r="R120" s="27" t="n">
        <v>0</v>
      </c>
      <c r="S120" s="27" t="n">
        <v>0</v>
      </c>
      <c r="T120" s="27" t="n">
        <v>0</v>
      </c>
      <c r="U120" s="27" t="n">
        <v>0</v>
      </c>
      <c r="V120" s="27" t="n">
        <v>0</v>
      </c>
      <c r="W120" s="27" t="n">
        <v>0</v>
      </c>
      <c r="X120" s="27" t="n">
        <v>0</v>
      </c>
      <c r="Y120" s="27" t="n">
        <v>0</v>
      </c>
      <c r="Z120" s="27" t="n">
        <v>0</v>
      </c>
      <c r="AA120" s="27" t="n">
        <v>0</v>
      </c>
      <c r="AB120" s="27" t="n">
        <v>0</v>
      </c>
      <c r="AC120" s="27" t="n">
        <v>0</v>
      </c>
      <c r="AD120" s="27" t="n">
        <v>0</v>
      </c>
      <c r="AE120" s="27" t="n">
        <v>0</v>
      </c>
      <c r="AF120" s="27" t="n">
        <v>0</v>
      </c>
      <c r="AG120" s="27" t="n">
        <v>0</v>
      </c>
      <c r="AH120" s="27" t="n">
        <v>0</v>
      </c>
      <c r="AI120" s="27" t="n">
        <v>0</v>
      </c>
      <c r="AJ120" s="27" t="n">
        <v>0</v>
      </c>
      <c r="AK120" s="27" t="n">
        <v>0</v>
      </c>
      <c r="AL120" s="27" t="n">
        <v>0</v>
      </c>
      <c r="AM120" s="27" t="n">
        <v>0</v>
      </c>
      <c r="AN120" s="27" t="n">
        <v>0</v>
      </c>
      <c r="AO120" s="27" t="n">
        <v>0</v>
      </c>
      <c r="AP120" s="27" t="n">
        <v>0</v>
      </c>
      <c r="AQ120" s="27" t="n">
        <v>0</v>
      </c>
      <c r="AR120" s="27" t="n">
        <v>0</v>
      </c>
      <c r="AS120" s="27" t="n">
        <v>0</v>
      </c>
      <c r="AT120" s="27" t="n">
        <v>0</v>
      </c>
      <c r="AU120" s="27" t="n">
        <v>0</v>
      </c>
      <c r="AV120" s="27" t="n">
        <v>0</v>
      </c>
      <c r="AW120" s="27" t="n">
        <v>0</v>
      </c>
      <c r="AX120" s="27" t="n">
        <v>0</v>
      </c>
      <c r="AY120" s="27" t="n">
        <v>0</v>
      </c>
      <c r="AZ120" s="27" t="n">
        <v>0</v>
      </c>
      <c r="BA120" s="27" t="n">
        <v>0</v>
      </c>
      <c r="BB120" s="27" t="n">
        <v>0</v>
      </c>
      <c r="BC120" s="27" t="n">
        <v>0</v>
      </c>
      <c r="BD120" s="27" t="n">
        <v>0</v>
      </c>
      <c r="BE120" s="27" t="n">
        <v>0</v>
      </c>
      <c r="BF120" s="27" t="n">
        <v>0</v>
      </c>
      <c r="BG120" s="27" t="n">
        <v>0</v>
      </c>
      <c r="BH120" s="27" t="n">
        <v>0</v>
      </c>
      <c r="BI120" s="27" t="n">
        <v>0</v>
      </c>
      <c r="BJ120" s="27" t="n">
        <v>0</v>
      </c>
      <c r="BK120" s="27" t="n">
        <v>0</v>
      </c>
      <c r="BL120" s="27" t="n">
        <v>0</v>
      </c>
      <c r="BM120" s="27" t="n">
        <v>0</v>
      </c>
      <c r="BN120" s="27" t="n">
        <v>0</v>
      </c>
      <c r="BO120" s="27" t="n">
        <v>0</v>
      </c>
      <c r="BP120" s="27" t="n">
        <v>0</v>
      </c>
      <c r="BQ120" s="27" t="n">
        <v>0</v>
      </c>
      <c r="BR120" s="27" t="n">
        <v>0</v>
      </c>
      <c r="BS120" s="27" t="n">
        <v>0</v>
      </c>
      <c r="BT120" s="27" t="n">
        <v>0</v>
      </c>
      <c r="BU120" s="27" t="n">
        <v>0</v>
      </c>
      <c r="BV120" s="27" t="n">
        <v>0</v>
      </c>
      <c r="BW120" s="27" t="n">
        <v>0</v>
      </c>
      <c r="BX120" s="27" t="n">
        <v>0</v>
      </c>
      <c r="BY120" s="27" t="n">
        <v>0</v>
      </c>
      <c r="BZ120" s="27" t="n">
        <v>0</v>
      </c>
      <c r="CA120" s="27" t="n">
        <v>0</v>
      </c>
      <c r="CB120" s="27" t="n">
        <v>0</v>
      </c>
      <c r="CC120" s="27" t="n">
        <v>0</v>
      </c>
      <c r="CD120" s="27" t="n">
        <v>0</v>
      </c>
      <c r="CE120" s="27" t="n">
        <v>0</v>
      </c>
      <c r="CF120" s="27" t="n">
        <v>0</v>
      </c>
      <c r="CG120" s="27" t="n">
        <v>0</v>
      </c>
      <c r="CH120" s="27" t="n">
        <v>0</v>
      </c>
      <c r="CI120" s="27" t="n">
        <v>0</v>
      </c>
      <c r="CJ120" s="27" t="n">
        <v>0</v>
      </c>
      <c r="CK120" s="27" t="n">
        <v>0</v>
      </c>
      <c r="CL120" s="27" t="n">
        <v>0</v>
      </c>
      <c r="CM120" s="27" t="n">
        <v>0</v>
      </c>
      <c r="CN120" s="27" t="n">
        <v>0</v>
      </c>
      <c r="CO120" s="27" t="n">
        <v>0</v>
      </c>
      <c r="CP120" s="27" t="n">
        <v>0</v>
      </c>
      <c r="CQ120" s="27" t="n">
        <v>0</v>
      </c>
      <c r="CR120" s="27" t="n">
        <v>0</v>
      </c>
      <c r="CS120" s="27" t="n">
        <v>0</v>
      </c>
      <c r="CT120" s="27" t="n">
        <v>0</v>
      </c>
      <c r="CU120" s="27" t="n">
        <v>0</v>
      </c>
      <c r="CV120" s="27" t="n">
        <v>0</v>
      </c>
      <c r="CW120" s="27" t="n">
        <v>0</v>
      </c>
      <c r="CX120" s="27" t="n">
        <v>0</v>
      </c>
      <c r="CY120" s="27" t="n">
        <v>0</v>
      </c>
      <c r="CZ120" s="27" t="n">
        <v>0</v>
      </c>
      <c r="DA120" s="27" t="n">
        <v>0</v>
      </c>
    </row>
    <row r="121">
      <c r="A121" t="inlineStr">
        <is>
          <t>0T860</t>
        </is>
      </c>
      <c r="B121" s="27" t="n">
        <v>0</v>
      </c>
      <c r="C121" s="27" t="n">
        <v>0</v>
      </c>
      <c r="D121" s="27" t="n">
        <v>0</v>
      </c>
      <c r="E121" s="27" t="n">
        <v>0</v>
      </c>
      <c r="F121" s="27" t="n">
        <v>0</v>
      </c>
      <c r="G121" s="27" t="n">
        <v>0</v>
      </c>
      <c r="H121" s="27" t="n">
        <v>0</v>
      </c>
      <c r="I121" s="27" t="n">
        <v>0</v>
      </c>
      <c r="J121" s="27" t="n">
        <v>0</v>
      </c>
      <c r="K121" s="27" t="n">
        <v>0</v>
      </c>
      <c r="L121" s="27" t="n">
        <v>0</v>
      </c>
      <c r="M121" s="27" t="n">
        <v>0</v>
      </c>
      <c r="N121" s="27" t="n">
        <v>0</v>
      </c>
      <c r="O121" s="27" t="n">
        <v>0</v>
      </c>
      <c r="P121" s="27" t="n">
        <v>0</v>
      </c>
      <c r="Q121" s="27" t="n">
        <v>0</v>
      </c>
      <c r="R121" s="27" t="n">
        <v>0</v>
      </c>
      <c r="S121" s="27" t="n">
        <v>0</v>
      </c>
      <c r="T121" s="27" t="n">
        <v>0</v>
      </c>
      <c r="U121" s="27" t="n">
        <v>0</v>
      </c>
      <c r="V121" s="27" t="n">
        <v>0</v>
      </c>
      <c r="W121" s="27" t="n">
        <v>0</v>
      </c>
      <c r="X121" s="27" t="n">
        <v>0</v>
      </c>
      <c r="Y121" s="27" t="n">
        <v>0</v>
      </c>
      <c r="Z121" s="27" t="n">
        <v>0</v>
      </c>
      <c r="AA121" s="27" t="n">
        <v>0</v>
      </c>
      <c r="AB121" s="27" t="n">
        <v>0</v>
      </c>
      <c r="AC121" s="27" t="n">
        <v>0</v>
      </c>
      <c r="AD121" s="27" t="n">
        <v>0</v>
      </c>
      <c r="AE121" s="27" t="n">
        <v>0</v>
      </c>
      <c r="AF121" s="27" t="n">
        <v>0</v>
      </c>
      <c r="AG121" s="27" t="n">
        <v>0</v>
      </c>
      <c r="AH121" s="27" t="n">
        <v>0</v>
      </c>
      <c r="AI121" s="27" t="n">
        <v>0</v>
      </c>
      <c r="AJ121" s="27" t="n">
        <v>0</v>
      </c>
      <c r="AK121" s="27" t="n">
        <v>0</v>
      </c>
      <c r="AL121" s="27" t="n">
        <v>0</v>
      </c>
      <c r="AM121" s="27" t="n">
        <v>0</v>
      </c>
      <c r="AN121" s="27" t="n">
        <v>0</v>
      </c>
      <c r="AO121" s="27" t="n">
        <v>0</v>
      </c>
      <c r="AP121" s="27" t="n">
        <v>0</v>
      </c>
      <c r="AQ121" s="27" t="n">
        <v>0</v>
      </c>
      <c r="AR121" s="27" t="n">
        <v>0</v>
      </c>
      <c r="AS121" s="27" t="n">
        <v>0</v>
      </c>
      <c r="AT121" s="27" t="n">
        <v>0</v>
      </c>
      <c r="AU121" s="27" t="n">
        <v>0</v>
      </c>
      <c r="AV121" s="27" t="n">
        <v>0</v>
      </c>
      <c r="AW121" s="27" t="n">
        <v>0</v>
      </c>
      <c r="AX121" s="27" t="n">
        <v>0</v>
      </c>
      <c r="AY121" s="27" t="n">
        <v>0</v>
      </c>
      <c r="AZ121" s="27" t="n">
        <v>0</v>
      </c>
      <c r="BA121" s="27" t="n">
        <v>0</v>
      </c>
      <c r="BB121" s="27" t="n">
        <v>0</v>
      </c>
      <c r="BC121" s="27" t="n">
        <v>0</v>
      </c>
      <c r="BD121" s="27" t="n">
        <v>0</v>
      </c>
      <c r="BE121" s="27" t="n">
        <v>0</v>
      </c>
      <c r="BF121" s="27" t="n">
        <v>0</v>
      </c>
      <c r="BG121" s="27" t="n">
        <v>0</v>
      </c>
      <c r="BH121" s="27" t="n">
        <v>0</v>
      </c>
      <c r="BI121" s="27" t="n">
        <v>0</v>
      </c>
      <c r="BJ121" s="27" t="n">
        <v>0</v>
      </c>
      <c r="BK121" s="27" t="n">
        <v>0</v>
      </c>
      <c r="BL121" s="27" t="n">
        <v>0</v>
      </c>
      <c r="BM121" s="27" t="n">
        <v>0</v>
      </c>
      <c r="BN121" s="27" t="n">
        <v>0</v>
      </c>
      <c r="BO121" s="27" t="n">
        <v>0</v>
      </c>
      <c r="BP121" s="27" t="n">
        <v>0</v>
      </c>
      <c r="BQ121" s="27" t="n">
        <v>0</v>
      </c>
      <c r="BR121" s="27" t="n">
        <v>0</v>
      </c>
      <c r="BS121" s="27" t="n">
        <v>0</v>
      </c>
      <c r="BT121" s="27" t="n">
        <v>0</v>
      </c>
      <c r="BU121" s="27" t="n">
        <v>0</v>
      </c>
      <c r="BV121" s="27" t="n">
        <v>0</v>
      </c>
      <c r="BW121" s="27" t="n">
        <v>0</v>
      </c>
      <c r="BX121" s="27" t="n">
        <v>0</v>
      </c>
      <c r="BY121" s="27" t="n">
        <v>0</v>
      </c>
      <c r="BZ121" s="27" t="n">
        <v>0</v>
      </c>
      <c r="CA121" s="27" t="n">
        <v>0</v>
      </c>
      <c r="CB121" s="27" t="n">
        <v>0</v>
      </c>
      <c r="CC121" s="27" t="n">
        <v>0</v>
      </c>
      <c r="CD121" s="27" t="n">
        <v>0</v>
      </c>
      <c r="CE121" s="27" t="n">
        <v>0</v>
      </c>
      <c r="CF121" s="27" t="n">
        <v>0</v>
      </c>
      <c r="CG121" s="27" t="n">
        <v>0</v>
      </c>
      <c r="CH121" s="27" t="n">
        <v>0</v>
      </c>
      <c r="CI121" s="27" t="n">
        <v>0</v>
      </c>
      <c r="CJ121" s="27" t="n">
        <v>0</v>
      </c>
      <c r="CK121" s="27" t="n">
        <v>0</v>
      </c>
      <c r="CL121" s="27" t="n">
        <v>0</v>
      </c>
      <c r="CM121" s="27" t="n">
        <v>0</v>
      </c>
      <c r="CN121" s="27" t="n">
        <v>0</v>
      </c>
      <c r="CO121" s="27" t="n">
        <v>0</v>
      </c>
      <c r="CP121" s="27" t="n">
        <v>0</v>
      </c>
      <c r="CQ121" s="27" t="n">
        <v>0</v>
      </c>
      <c r="CR121" s="27" t="n">
        <v>0</v>
      </c>
      <c r="CS121" s="27" t="n">
        <v>0</v>
      </c>
      <c r="CT121" s="27" t="n">
        <v>0</v>
      </c>
      <c r="CU121" s="27" t="n">
        <v>0</v>
      </c>
      <c r="CV121" s="27" t="n">
        <v>0</v>
      </c>
      <c r="CW121" s="27" t="n">
        <v>0</v>
      </c>
      <c r="CX121" s="27" t="n">
        <v>0</v>
      </c>
      <c r="CY121" s="27" t="n">
        <v>0</v>
      </c>
      <c r="CZ121" s="27" t="n">
        <v>0</v>
      </c>
      <c r="DA121" s="27" t="n">
        <v>0</v>
      </c>
    </row>
    <row r="122">
      <c r="A122" t="inlineStr">
        <is>
          <t>0T870</t>
        </is>
      </c>
      <c r="B122" s="27" t="n">
        <v>0</v>
      </c>
      <c r="C122" s="27" t="n">
        <v>0</v>
      </c>
      <c r="D122" s="27" t="n">
        <v>0</v>
      </c>
      <c r="E122" s="27" t="n">
        <v>0</v>
      </c>
      <c r="F122" s="27" t="n">
        <v>0</v>
      </c>
      <c r="G122" s="27" t="n">
        <v>0</v>
      </c>
      <c r="H122" s="27" t="n">
        <v>0</v>
      </c>
      <c r="I122" s="27" t="n">
        <v>0</v>
      </c>
      <c r="J122" s="27" t="n">
        <v>0</v>
      </c>
      <c r="K122" s="27" t="n">
        <v>0</v>
      </c>
      <c r="L122" s="27" t="n">
        <v>0</v>
      </c>
      <c r="M122" s="27" t="n">
        <v>0</v>
      </c>
      <c r="N122" s="27" t="n">
        <v>0</v>
      </c>
      <c r="O122" s="27" t="n">
        <v>0</v>
      </c>
      <c r="P122" s="27" t="n">
        <v>0</v>
      </c>
      <c r="Q122" s="27" t="n">
        <v>0</v>
      </c>
      <c r="R122" s="27" t="n">
        <v>0</v>
      </c>
      <c r="S122" s="27" t="n">
        <v>0</v>
      </c>
      <c r="T122" s="27" t="n">
        <v>0</v>
      </c>
      <c r="U122" s="27" t="n">
        <v>0</v>
      </c>
      <c r="V122" s="27" t="n">
        <v>0</v>
      </c>
      <c r="W122" s="27" t="n">
        <v>0</v>
      </c>
      <c r="X122" s="27" t="n">
        <v>0</v>
      </c>
      <c r="Y122" s="27" t="n">
        <v>0</v>
      </c>
      <c r="Z122" s="27" t="n">
        <v>0</v>
      </c>
      <c r="AA122" s="27" t="n">
        <v>0</v>
      </c>
      <c r="AB122" s="27" t="n">
        <v>0</v>
      </c>
      <c r="AC122" s="27" t="n">
        <v>0</v>
      </c>
      <c r="AD122" s="27" t="n">
        <v>0</v>
      </c>
      <c r="AE122" s="27" t="n">
        <v>0</v>
      </c>
      <c r="AF122" s="27" t="n">
        <v>0</v>
      </c>
      <c r="AG122" s="27" t="n">
        <v>0</v>
      </c>
      <c r="AH122" s="27" t="n">
        <v>0</v>
      </c>
      <c r="AI122" s="27" t="n">
        <v>0</v>
      </c>
      <c r="AJ122" s="27" t="n">
        <v>0</v>
      </c>
      <c r="AK122" s="27" t="n">
        <v>0</v>
      </c>
      <c r="AL122" s="27" t="n">
        <v>0</v>
      </c>
      <c r="AM122" s="27" t="n">
        <v>0</v>
      </c>
      <c r="AN122" s="27" t="n">
        <v>0</v>
      </c>
      <c r="AO122" s="27" t="n">
        <v>0</v>
      </c>
      <c r="AP122" s="27" t="n">
        <v>0</v>
      </c>
      <c r="AQ122" s="27" t="n">
        <v>0</v>
      </c>
      <c r="AR122" s="27" t="n">
        <v>0</v>
      </c>
      <c r="AS122" s="27" t="n">
        <v>0</v>
      </c>
      <c r="AT122" s="27" t="n">
        <v>0</v>
      </c>
      <c r="AU122" s="27" t="n">
        <v>0</v>
      </c>
      <c r="AV122" s="27" t="n">
        <v>0</v>
      </c>
      <c r="AW122" s="27" t="n">
        <v>0</v>
      </c>
      <c r="AX122" s="27" t="n">
        <v>0</v>
      </c>
      <c r="AY122" s="27" t="n">
        <v>0</v>
      </c>
      <c r="AZ122" s="27" t="n">
        <v>0</v>
      </c>
      <c r="BA122" s="27" t="n">
        <v>0</v>
      </c>
      <c r="BB122" s="27" t="n">
        <v>0</v>
      </c>
      <c r="BC122" s="27" t="n">
        <v>0</v>
      </c>
      <c r="BD122" s="27" t="n">
        <v>0</v>
      </c>
      <c r="BE122" s="27" t="n">
        <v>0</v>
      </c>
      <c r="BF122" s="27" t="n">
        <v>0</v>
      </c>
      <c r="BG122" s="27" t="n">
        <v>0</v>
      </c>
      <c r="BH122" s="27" t="n">
        <v>0</v>
      </c>
      <c r="BI122" s="27" t="n">
        <v>0</v>
      </c>
      <c r="BJ122" s="27" t="n">
        <v>0</v>
      </c>
      <c r="BK122" s="27" t="n">
        <v>0</v>
      </c>
      <c r="BL122" s="27" t="n">
        <v>0</v>
      </c>
      <c r="BM122" s="27" t="n">
        <v>0</v>
      </c>
      <c r="BN122" s="27" t="n">
        <v>0</v>
      </c>
      <c r="BO122" s="27" t="n">
        <v>0</v>
      </c>
      <c r="BP122" s="27" t="n">
        <v>0</v>
      </c>
      <c r="BQ122" s="27" t="n">
        <v>0</v>
      </c>
      <c r="BR122" s="27" t="n">
        <v>0</v>
      </c>
      <c r="BS122" s="27" t="n">
        <v>0</v>
      </c>
      <c r="BT122" s="27" t="n">
        <v>0</v>
      </c>
      <c r="BU122" s="27" t="n">
        <v>0</v>
      </c>
      <c r="BV122" s="27" t="n">
        <v>0</v>
      </c>
      <c r="BW122" s="27" t="n">
        <v>0</v>
      </c>
      <c r="BX122" s="27" t="n">
        <v>0</v>
      </c>
      <c r="BY122" s="27" t="n">
        <v>0</v>
      </c>
      <c r="BZ122" s="27" t="n">
        <v>0</v>
      </c>
      <c r="CA122" s="27" t="n">
        <v>0</v>
      </c>
      <c r="CB122" s="27" t="n">
        <v>0</v>
      </c>
      <c r="CC122" s="27" t="n">
        <v>0</v>
      </c>
      <c r="CD122" s="27" t="n">
        <v>0</v>
      </c>
      <c r="CE122" s="27" t="n">
        <v>0</v>
      </c>
      <c r="CF122" s="27" t="n">
        <v>0</v>
      </c>
      <c r="CG122" s="27" t="n">
        <v>0</v>
      </c>
      <c r="CH122" s="27" t="n">
        <v>0</v>
      </c>
      <c r="CI122" s="27" t="n">
        <v>0</v>
      </c>
      <c r="CJ122" s="27" t="n">
        <v>0</v>
      </c>
      <c r="CK122" s="27" t="n">
        <v>0</v>
      </c>
      <c r="CL122" s="27" t="n">
        <v>0</v>
      </c>
      <c r="CM122" s="27" t="n">
        <v>0</v>
      </c>
      <c r="CN122" s="27" t="n">
        <v>0</v>
      </c>
      <c r="CO122" s="27" t="n">
        <v>0</v>
      </c>
      <c r="CP122" s="27" t="n">
        <v>0</v>
      </c>
      <c r="CQ122" s="27" t="n">
        <v>0</v>
      </c>
      <c r="CR122" s="27" t="n">
        <v>0</v>
      </c>
      <c r="CS122" s="27" t="n">
        <v>0</v>
      </c>
      <c r="CT122" s="27" t="n">
        <v>0</v>
      </c>
      <c r="CU122" s="27" t="n">
        <v>0</v>
      </c>
      <c r="CV122" s="27" t="n">
        <v>0</v>
      </c>
      <c r="CW122" s="27" t="n">
        <v>0</v>
      </c>
      <c r="CX122" s="27" t="n">
        <v>0</v>
      </c>
      <c r="CY122" s="27" t="n">
        <v>0</v>
      </c>
      <c r="CZ122" s="27" t="n">
        <v>0</v>
      </c>
      <c r="DA122" s="27" t="n">
        <v>0</v>
      </c>
    </row>
    <row r="123">
      <c r="A123" t="inlineStr">
        <is>
          <t>0T880</t>
        </is>
      </c>
      <c r="B123" s="27" t="n">
        <v>0</v>
      </c>
      <c r="C123" s="27" t="n">
        <v>0</v>
      </c>
      <c r="D123" s="27" t="n">
        <v>0</v>
      </c>
      <c r="E123" s="27" t="n">
        <v>0</v>
      </c>
      <c r="F123" s="27" t="n">
        <v>0</v>
      </c>
      <c r="G123" s="27" t="n">
        <v>0</v>
      </c>
      <c r="H123" s="27" t="n">
        <v>0</v>
      </c>
      <c r="I123" s="27" t="n">
        <v>0</v>
      </c>
      <c r="J123" s="27" t="n">
        <v>0</v>
      </c>
      <c r="K123" s="27" t="n">
        <v>0</v>
      </c>
      <c r="L123" s="27" t="n">
        <v>0</v>
      </c>
      <c r="M123" s="27" t="n">
        <v>0</v>
      </c>
      <c r="N123" s="27" t="n">
        <v>0</v>
      </c>
      <c r="O123" s="27" t="n">
        <v>0</v>
      </c>
      <c r="P123" s="27" t="n">
        <v>0</v>
      </c>
      <c r="Q123" s="27" t="n">
        <v>0</v>
      </c>
      <c r="R123" s="27" t="n">
        <v>0</v>
      </c>
      <c r="S123" s="27" t="n">
        <v>0</v>
      </c>
      <c r="T123" s="27" t="n">
        <v>0</v>
      </c>
      <c r="U123" s="27" t="n">
        <v>0</v>
      </c>
      <c r="V123" s="27" t="n">
        <v>0</v>
      </c>
      <c r="W123" s="27" t="n">
        <v>0</v>
      </c>
      <c r="X123" s="27" t="n">
        <v>0</v>
      </c>
      <c r="Y123" s="27" t="n">
        <v>0</v>
      </c>
      <c r="Z123" s="27" t="n">
        <v>0</v>
      </c>
      <c r="AA123" s="27" t="n">
        <v>0</v>
      </c>
      <c r="AB123" s="27" t="n">
        <v>0</v>
      </c>
      <c r="AC123" s="27" t="n">
        <v>0</v>
      </c>
      <c r="AD123" s="27" t="n">
        <v>0</v>
      </c>
      <c r="AE123" s="27" t="n">
        <v>0</v>
      </c>
      <c r="AF123" s="27" t="n">
        <v>0</v>
      </c>
      <c r="AG123" s="27" t="n">
        <v>0</v>
      </c>
      <c r="AH123" s="27" t="n">
        <v>0</v>
      </c>
      <c r="AI123" s="27" t="n">
        <v>0</v>
      </c>
      <c r="AJ123" s="27" t="n">
        <v>0</v>
      </c>
      <c r="AK123" s="27" t="n">
        <v>0</v>
      </c>
      <c r="AL123" s="27" t="n">
        <v>0</v>
      </c>
      <c r="AM123" s="27" t="n">
        <v>0</v>
      </c>
      <c r="AN123" s="27" t="n">
        <v>0</v>
      </c>
      <c r="AO123" s="27" t="n">
        <v>0</v>
      </c>
      <c r="AP123" s="27" t="n">
        <v>0</v>
      </c>
      <c r="AQ123" s="27" t="n">
        <v>0</v>
      </c>
      <c r="AR123" s="27" t="n">
        <v>0</v>
      </c>
      <c r="AS123" s="27" t="n">
        <v>0</v>
      </c>
      <c r="AT123" s="27" t="n">
        <v>0</v>
      </c>
      <c r="AU123" s="27" t="n">
        <v>0</v>
      </c>
      <c r="AV123" s="27" t="n">
        <v>0</v>
      </c>
      <c r="AW123" s="27" t="n">
        <v>0</v>
      </c>
      <c r="AX123" s="27" t="n">
        <v>0</v>
      </c>
      <c r="AY123" s="27" t="n">
        <v>0</v>
      </c>
      <c r="AZ123" s="27" t="n">
        <v>0</v>
      </c>
      <c r="BA123" s="27" t="n">
        <v>0</v>
      </c>
      <c r="BB123" s="27" t="n">
        <v>0</v>
      </c>
      <c r="BC123" s="27" t="n">
        <v>0</v>
      </c>
      <c r="BD123" s="27" t="n">
        <v>0</v>
      </c>
      <c r="BE123" s="27" t="n">
        <v>0</v>
      </c>
      <c r="BF123" s="27" t="n">
        <v>0</v>
      </c>
      <c r="BG123" s="27" t="n">
        <v>0</v>
      </c>
      <c r="BH123" s="27" t="n">
        <v>0</v>
      </c>
      <c r="BI123" s="27" t="n">
        <v>0</v>
      </c>
      <c r="BJ123" s="27" t="n">
        <v>0</v>
      </c>
      <c r="BK123" s="27" t="n">
        <v>0</v>
      </c>
      <c r="BL123" s="27" t="n">
        <v>0</v>
      </c>
      <c r="BM123" s="27" t="n">
        <v>0</v>
      </c>
      <c r="BN123" s="27" t="n">
        <v>0</v>
      </c>
      <c r="BO123" s="27" t="n">
        <v>0</v>
      </c>
      <c r="BP123" s="27" t="n">
        <v>0</v>
      </c>
      <c r="BQ123" s="27" t="n">
        <v>0</v>
      </c>
      <c r="BR123" s="27" t="n">
        <v>0</v>
      </c>
      <c r="BS123" s="27" t="n">
        <v>0</v>
      </c>
      <c r="BT123" s="27" t="n">
        <v>0</v>
      </c>
      <c r="BU123" s="27" t="n">
        <v>0</v>
      </c>
      <c r="BV123" s="27" t="n">
        <v>0</v>
      </c>
      <c r="BW123" s="27" t="n">
        <v>0</v>
      </c>
      <c r="BX123" s="27" t="n">
        <v>0</v>
      </c>
      <c r="BY123" s="27" t="n">
        <v>0</v>
      </c>
      <c r="BZ123" s="27" t="n">
        <v>0</v>
      </c>
      <c r="CA123" s="27" t="n">
        <v>0</v>
      </c>
      <c r="CB123" s="27" t="n">
        <v>0</v>
      </c>
      <c r="CC123" s="27" t="n">
        <v>0</v>
      </c>
      <c r="CD123" s="27" t="n">
        <v>0</v>
      </c>
      <c r="CE123" s="27" t="n">
        <v>0</v>
      </c>
      <c r="CF123" s="27" t="n">
        <v>0</v>
      </c>
      <c r="CG123" s="27" t="n">
        <v>0</v>
      </c>
      <c r="CH123" s="27" t="n">
        <v>0</v>
      </c>
      <c r="CI123" s="27" t="n">
        <v>0</v>
      </c>
      <c r="CJ123" s="27" t="n">
        <v>0</v>
      </c>
      <c r="CK123" s="27" t="n">
        <v>0</v>
      </c>
      <c r="CL123" s="27" t="n">
        <v>0</v>
      </c>
      <c r="CM123" s="27" t="n">
        <v>0</v>
      </c>
      <c r="CN123" s="27" t="n">
        <v>0</v>
      </c>
      <c r="CO123" s="27" t="n">
        <v>0</v>
      </c>
      <c r="CP123" s="27" t="n">
        <v>0</v>
      </c>
      <c r="CQ123" s="27" t="n">
        <v>0</v>
      </c>
      <c r="CR123" s="27" t="n">
        <v>0</v>
      </c>
      <c r="CS123" s="27" t="n">
        <v>0</v>
      </c>
      <c r="CT123" s="27" t="n">
        <v>0</v>
      </c>
      <c r="CU123" s="27" t="n">
        <v>0</v>
      </c>
      <c r="CV123" s="27" t="n">
        <v>0</v>
      </c>
      <c r="CW123" s="27" t="n">
        <v>0</v>
      </c>
      <c r="CX123" s="27" t="n">
        <v>0</v>
      </c>
      <c r="CY123" s="27" t="n">
        <v>0</v>
      </c>
      <c r="CZ123" s="27" t="n">
        <v>0</v>
      </c>
      <c r="DA123" s="27" t="n">
        <v>0</v>
      </c>
    </row>
    <row r="124">
      <c r="A124" t="inlineStr">
        <is>
          <t>0TA40</t>
        </is>
      </c>
      <c r="B124" s="27" t="n">
        <v>0</v>
      </c>
      <c r="C124" s="27" t="n">
        <v>0</v>
      </c>
      <c r="D124" s="27" t="n">
        <v>0</v>
      </c>
      <c r="E124" s="27" t="n">
        <v>0</v>
      </c>
      <c r="F124" s="27" t="n">
        <v>0</v>
      </c>
      <c r="G124" s="27" t="n">
        <v>0</v>
      </c>
      <c r="H124" s="27" t="n">
        <v>0</v>
      </c>
      <c r="I124" s="27" t="n">
        <v>0</v>
      </c>
      <c r="J124" s="27" t="n">
        <v>0</v>
      </c>
      <c r="K124" s="27" t="n">
        <v>0</v>
      </c>
      <c r="L124" s="27" t="n">
        <v>0</v>
      </c>
      <c r="M124" s="27" t="n">
        <v>0</v>
      </c>
      <c r="N124" s="27" t="n">
        <v>0</v>
      </c>
      <c r="O124" s="27" t="n">
        <v>0</v>
      </c>
      <c r="P124" s="27" t="n">
        <v>0</v>
      </c>
      <c r="Q124" s="27" t="n">
        <v>0</v>
      </c>
      <c r="R124" s="27" t="n">
        <v>0</v>
      </c>
      <c r="S124" s="27" t="n">
        <v>0</v>
      </c>
      <c r="T124" s="27" t="n">
        <v>0</v>
      </c>
      <c r="U124" s="27" t="n">
        <v>0</v>
      </c>
      <c r="V124" s="27" t="n">
        <v>0</v>
      </c>
      <c r="W124" s="27" t="n">
        <v>0</v>
      </c>
      <c r="X124" s="27" t="n">
        <v>0</v>
      </c>
      <c r="Y124" s="27" t="n">
        <v>0</v>
      </c>
      <c r="Z124" s="27" t="n">
        <v>0</v>
      </c>
      <c r="AA124" s="27" t="n">
        <v>0</v>
      </c>
      <c r="AB124" s="27" t="n">
        <v>0</v>
      </c>
      <c r="AC124" s="27" t="n">
        <v>0</v>
      </c>
      <c r="AD124" s="27" t="n">
        <v>0</v>
      </c>
      <c r="AE124" s="27" t="n">
        <v>0</v>
      </c>
      <c r="AF124" s="27" t="n">
        <v>0</v>
      </c>
      <c r="AG124" s="27" t="n">
        <v>0</v>
      </c>
      <c r="AH124" s="27" t="n">
        <v>0</v>
      </c>
      <c r="AI124" s="27" t="n">
        <v>0</v>
      </c>
      <c r="AJ124" s="27" t="n">
        <v>0</v>
      </c>
      <c r="AK124" s="27" t="n">
        <v>0</v>
      </c>
      <c r="AL124" s="27" t="n">
        <v>0</v>
      </c>
      <c r="AM124" s="27" t="n">
        <v>0</v>
      </c>
      <c r="AN124" s="27" t="n">
        <v>0</v>
      </c>
      <c r="AO124" s="27" t="n">
        <v>0</v>
      </c>
      <c r="AP124" s="27" t="n">
        <v>0</v>
      </c>
      <c r="AQ124" s="27" t="n">
        <v>0</v>
      </c>
      <c r="AR124" s="27" t="n">
        <v>0</v>
      </c>
      <c r="AS124" s="27" t="n">
        <v>0</v>
      </c>
      <c r="AT124" s="27" t="n">
        <v>0</v>
      </c>
      <c r="AU124" s="27" t="n">
        <v>0</v>
      </c>
      <c r="AV124" s="27" t="n">
        <v>0</v>
      </c>
      <c r="AW124" s="27" t="n">
        <v>0</v>
      </c>
      <c r="AX124" s="27" t="n">
        <v>0</v>
      </c>
      <c r="AY124" s="27" t="n">
        <v>0</v>
      </c>
      <c r="AZ124" s="27" t="n">
        <v>0</v>
      </c>
      <c r="BA124" s="27" t="n">
        <v>0</v>
      </c>
      <c r="BB124" s="27" t="n">
        <v>0</v>
      </c>
      <c r="BC124" s="27" t="n">
        <v>0</v>
      </c>
      <c r="BD124" s="27" t="n">
        <v>0</v>
      </c>
      <c r="BE124" s="27" t="n">
        <v>0</v>
      </c>
      <c r="BF124" s="27" t="n">
        <v>0</v>
      </c>
      <c r="BG124" s="27" t="n">
        <v>0</v>
      </c>
      <c r="BH124" s="27" t="n">
        <v>0</v>
      </c>
      <c r="BI124" s="27" t="n">
        <v>0</v>
      </c>
      <c r="BJ124" s="27" t="n">
        <v>0</v>
      </c>
      <c r="BK124" s="27" t="n">
        <v>0</v>
      </c>
      <c r="BL124" s="27" t="n">
        <v>0</v>
      </c>
      <c r="BM124" s="27" t="n">
        <v>0</v>
      </c>
      <c r="BN124" s="27" t="n">
        <v>0</v>
      </c>
      <c r="BO124" s="27" t="n">
        <v>0</v>
      </c>
      <c r="BP124" s="27" t="n">
        <v>0</v>
      </c>
      <c r="BQ124" s="27" t="n">
        <v>0</v>
      </c>
      <c r="BR124" s="27" t="n">
        <v>0</v>
      </c>
      <c r="BS124" s="27" t="n">
        <v>0</v>
      </c>
      <c r="BT124" s="27" t="n">
        <v>0</v>
      </c>
      <c r="BU124" s="27" t="n">
        <v>0</v>
      </c>
      <c r="BV124" s="27" t="n">
        <v>0</v>
      </c>
      <c r="BW124" s="27" t="n">
        <v>0</v>
      </c>
      <c r="BX124" s="27" t="n">
        <v>0</v>
      </c>
      <c r="BY124" s="27" t="n">
        <v>0</v>
      </c>
      <c r="BZ124" s="27" t="n">
        <v>0</v>
      </c>
      <c r="CA124" s="27" t="n">
        <v>0</v>
      </c>
      <c r="CB124" s="27" t="n">
        <v>0</v>
      </c>
      <c r="CC124" s="27" t="n">
        <v>0</v>
      </c>
      <c r="CD124" s="27" t="n">
        <v>0</v>
      </c>
      <c r="CE124" s="27" t="n">
        <v>0</v>
      </c>
      <c r="CF124" s="27" t="n">
        <v>0</v>
      </c>
      <c r="CG124" s="27" t="n">
        <v>0</v>
      </c>
      <c r="CH124" s="27" t="n">
        <v>0</v>
      </c>
      <c r="CI124" s="27" t="n">
        <v>0</v>
      </c>
      <c r="CJ124" s="27" t="n">
        <v>0</v>
      </c>
      <c r="CK124" s="27" t="n">
        <v>0</v>
      </c>
      <c r="CL124" s="27" t="n">
        <v>0</v>
      </c>
      <c r="CM124" s="27" t="n">
        <v>0</v>
      </c>
      <c r="CN124" s="27" t="n">
        <v>0</v>
      </c>
      <c r="CO124" s="27" t="n">
        <v>0</v>
      </c>
      <c r="CP124" s="27" t="n">
        <v>0</v>
      </c>
      <c r="CQ124" s="27" t="n">
        <v>0</v>
      </c>
      <c r="CR124" s="27" t="n">
        <v>0</v>
      </c>
      <c r="CS124" s="27" t="n">
        <v>0</v>
      </c>
      <c r="CT124" s="27" t="n">
        <v>0</v>
      </c>
      <c r="CU124" s="27" t="n">
        <v>0</v>
      </c>
      <c r="CV124" s="27" t="n">
        <v>0</v>
      </c>
      <c r="CW124" s="27" t="n">
        <v>0</v>
      </c>
      <c r="CX124" s="27" t="n">
        <v>0</v>
      </c>
      <c r="CY124" s="27" t="n">
        <v>0</v>
      </c>
      <c r="CZ124" s="27" t="n">
        <v>0</v>
      </c>
      <c r="DA124" s="27" t="n">
        <v>0</v>
      </c>
    </row>
    <row r="125">
      <c r="A125" t="inlineStr">
        <is>
          <t>0W750</t>
        </is>
      </c>
      <c r="B125" s="27" t="n">
        <v>0</v>
      </c>
      <c r="C125" s="27" t="n">
        <v>0</v>
      </c>
      <c r="D125" s="27" t="n">
        <v>0</v>
      </c>
      <c r="E125" s="27" t="n">
        <v>0</v>
      </c>
      <c r="F125" s="27" t="n">
        <v>0</v>
      </c>
      <c r="G125" s="27" t="n">
        <v>0</v>
      </c>
      <c r="H125" s="27" t="n">
        <v>0</v>
      </c>
      <c r="I125" s="27" t="n">
        <v>0</v>
      </c>
      <c r="J125" s="27" t="n">
        <v>0</v>
      </c>
      <c r="K125" s="27" t="n">
        <v>0</v>
      </c>
      <c r="L125" s="27" t="n">
        <v>0</v>
      </c>
      <c r="M125" s="27" t="n">
        <v>0</v>
      </c>
      <c r="N125" s="27" t="n">
        <v>0</v>
      </c>
      <c r="O125" s="27" t="n">
        <v>0</v>
      </c>
      <c r="P125" s="27" t="n">
        <v>0</v>
      </c>
      <c r="Q125" s="27" t="n">
        <v>0</v>
      </c>
      <c r="R125" s="27" t="n">
        <v>0</v>
      </c>
      <c r="S125" s="27" t="n">
        <v>0</v>
      </c>
      <c r="T125" s="27" t="n">
        <v>0</v>
      </c>
      <c r="U125" s="27" t="n">
        <v>0</v>
      </c>
      <c r="V125" s="27" t="n">
        <v>0</v>
      </c>
      <c r="W125" s="27" t="n">
        <v>0</v>
      </c>
      <c r="X125" s="27" t="n">
        <v>0</v>
      </c>
      <c r="Y125" s="27" t="n">
        <v>0</v>
      </c>
      <c r="Z125" s="27" t="n">
        <v>0</v>
      </c>
      <c r="AA125" s="27" t="n">
        <v>0</v>
      </c>
      <c r="AB125" s="27" t="n">
        <v>0</v>
      </c>
      <c r="AC125" s="27" t="n">
        <v>0</v>
      </c>
      <c r="AD125" s="27" t="n">
        <v>0</v>
      </c>
      <c r="AE125" s="27" t="n">
        <v>0</v>
      </c>
      <c r="AF125" s="27" t="n">
        <v>0</v>
      </c>
      <c r="AG125" s="27" t="n">
        <v>0</v>
      </c>
      <c r="AH125" s="27" t="n">
        <v>0</v>
      </c>
      <c r="AI125" s="27" t="n">
        <v>0</v>
      </c>
      <c r="AJ125" s="27" t="n">
        <v>0</v>
      </c>
      <c r="AK125" s="27" t="n">
        <v>0</v>
      </c>
      <c r="AL125" s="27" t="n">
        <v>0</v>
      </c>
      <c r="AM125" s="27" t="n">
        <v>0</v>
      </c>
      <c r="AN125" s="27" t="n">
        <v>0</v>
      </c>
      <c r="AO125" s="27" t="n">
        <v>0</v>
      </c>
      <c r="AP125" s="27" t="n">
        <v>0</v>
      </c>
      <c r="AQ125" s="27" t="n">
        <v>0</v>
      </c>
      <c r="AR125" s="27" t="n">
        <v>0</v>
      </c>
      <c r="AS125" s="27" t="n">
        <v>0</v>
      </c>
      <c r="AT125" s="27" t="n">
        <v>0</v>
      </c>
      <c r="AU125" s="27" t="n">
        <v>0</v>
      </c>
      <c r="AV125" s="27" t="n">
        <v>0</v>
      </c>
      <c r="AW125" s="27" t="n">
        <v>0</v>
      </c>
      <c r="AX125" s="27" t="n">
        <v>0</v>
      </c>
      <c r="AY125" s="27" t="n">
        <v>0</v>
      </c>
      <c r="AZ125" s="27" t="n">
        <v>0</v>
      </c>
      <c r="BA125" s="27" t="n">
        <v>0</v>
      </c>
      <c r="BB125" s="27" t="n">
        <v>0</v>
      </c>
      <c r="BC125" s="27" t="n">
        <v>0</v>
      </c>
      <c r="BD125" s="27" t="n">
        <v>0</v>
      </c>
      <c r="BE125" s="27" t="n">
        <v>0</v>
      </c>
      <c r="BF125" s="27" t="n">
        <v>0</v>
      </c>
      <c r="BG125" s="27" t="n">
        <v>0</v>
      </c>
      <c r="BH125" s="27" t="n">
        <v>0</v>
      </c>
      <c r="BI125" s="27" t="n">
        <v>0</v>
      </c>
      <c r="BJ125" s="27" t="n">
        <v>0</v>
      </c>
      <c r="BK125" s="27" t="n">
        <v>0</v>
      </c>
      <c r="BL125" s="27" t="n">
        <v>0</v>
      </c>
      <c r="BM125" s="27" t="n">
        <v>0</v>
      </c>
      <c r="BN125" s="27" t="n">
        <v>0</v>
      </c>
      <c r="BO125" s="27" t="n">
        <v>0</v>
      </c>
      <c r="BP125" s="27" t="n">
        <v>0</v>
      </c>
      <c r="BQ125" s="27" t="n">
        <v>0</v>
      </c>
      <c r="BR125" s="27" t="n">
        <v>0</v>
      </c>
      <c r="BS125" s="27" t="n">
        <v>0</v>
      </c>
      <c r="BT125" s="27" t="n">
        <v>0</v>
      </c>
      <c r="BU125" s="27" t="n">
        <v>0</v>
      </c>
      <c r="BV125" s="27" t="n">
        <v>0</v>
      </c>
      <c r="BW125" s="27" t="n">
        <v>0</v>
      </c>
      <c r="BX125" s="27" t="n">
        <v>0</v>
      </c>
      <c r="BY125" s="27" t="n">
        <v>0</v>
      </c>
      <c r="BZ125" s="27" t="n">
        <v>0</v>
      </c>
      <c r="CA125" s="27" t="n">
        <v>0</v>
      </c>
      <c r="CB125" s="27" t="n">
        <v>0</v>
      </c>
      <c r="CC125" s="27" t="n">
        <v>0</v>
      </c>
      <c r="CD125" s="27" t="n">
        <v>0</v>
      </c>
      <c r="CE125" s="27" t="n">
        <v>0</v>
      </c>
      <c r="CF125" s="27" t="n">
        <v>0</v>
      </c>
      <c r="CG125" s="27" t="n">
        <v>0</v>
      </c>
      <c r="CH125" s="27" t="n">
        <v>0</v>
      </c>
      <c r="CI125" s="27" t="n">
        <v>0</v>
      </c>
      <c r="CJ125" s="27" t="n">
        <v>0</v>
      </c>
      <c r="CK125" s="27" t="n">
        <v>0</v>
      </c>
      <c r="CL125" s="27" t="n">
        <v>0</v>
      </c>
      <c r="CM125" s="27" t="n">
        <v>0</v>
      </c>
      <c r="CN125" s="27" t="n">
        <v>0</v>
      </c>
      <c r="CO125" s="27" t="n">
        <v>0</v>
      </c>
      <c r="CP125" s="27" t="n">
        <v>0</v>
      </c>
      <c r="CQ125" s="27" t="n">
        <v>0</v>
      </c>
      <c r="CR125" s="27" t="n">
        <v>0</v>
      </c>
      <c r="CS125" s="27" t="n">
        <v>0</v>
      </c>
      <c r="CT125" s="27" t="n">
        <v>0</v>
      </c>
      <c r="CU125" s="27" t="n">
        <v>0</v>
      </c>
      <c r="CV125" s="27" t="n">
        <v>0</v>
      </c>
      <c r="CW125" s="27" t="n">
        <v>0</v>
      </c>
      <c r="CX125" s="27" t="n">
        <v>0</v>
      </c>
      <c r="CY125" s="27" t="n">
        <v>0</v>
      </c>
      <c r="CZ125" s="27" t="n">
        <v>0</v>
      </c>
      <c r="DA125" s="27" t="n">
        <v>0</v>
      </c>
    </row>
    <row r="126">
      <c r="A126" t="inlineStr">
        <is>
          <t>0W780</t>
        </is>
      </c>
      <c r="B126" s="27" t="n">
        <v>0</v>
      </c>
      <c r="C126" s="27" t="n">
        <v>0</v>
      </c>
      <c r="D126" s="27" t="n">
        <v>0</v>
      </c>
      <c r="E126" s="27" t="n">
        <v>0</v>
      </c>
      <c r="F126" s="27" t="n">
        <v>0</v>
      </c>
      <c r="G126" s="27" t="n">
        <v>0</v>
      </c>
      <c r="H126" s="27" t="n">
        <v>0</v>
      </c>
      <c r="I126" s="27" t="n">
        <v>0</v>
      </c>
      <c r="J126" s="27" t="n">
        <v>0</v>
      </c>
      <c r="K126" s="27" t="n">
        <v>0</v>
      </c>
      <c r="L126" s="27" t="n">
        <v>0</v>
      </c>
      <c r="M126" s="27" t="n">
        <v>0</v>
      </c>
      <c r="N126" s="27" t="n">
        <v>0</v>
      </c>
      <c r="O126" s="27" t="n">
        <v>0</v>
      </c>
      <c r="P126" s="27" t="n">
        <v>0</v>
      </c>
      <c r="Q126" s="27" t="n">
        <v>0</v>
      </c>
      <c r="R126" s="27" t="n">
        <v>0</v>
      </c>
      <c r="S126" s="27" t="n">
        <v>0</v>
      </c>
      <c r="T126" s="27" t="n">
        <v>0</v>
      </c>
      <c r="U126" s="27" t="n">
        <v>0</v>
      </c>
      <c r="V126" s="27" t="n">
        <v>0</v>
      </c>
      <c r="W126" s="27" t="n">
        <v>0</v>
      </c>
      <c r="X126" s="27" t="n">
        <v>0</v>
      </c>
      <c r="Y126" s="27" t="n">
        <v>0</v>
      </c>
      <c r="Z126" s="27" t="n">
        <v>0</v>
      </c>
      <c r="AA126" s="27" t="n">
        <v>0</v>
      </c>
      <c r="AB126" s="27" t="n">
        <v>0</v>
      </c>
      <c r="AC126" s="27" t="n">
        <v>0</v>
      </c>
      <c r="AD126" s="27" t="n">
        <v>0</v>
      </c>
      <c r="AE126" s="27" t="n">
        <v>0</v>
      </c>
      <c r="AF126" s="27" t="n">
        <v>0</v>
      </c>
      <c r="AG126" s="27" t="n">
        <v>0</v>
      </c>
      <c r="AH126" s="27" t="n">
        <v>0</v>
      </c>
      <c r="AI126" s="27" t="n">
        <v>0</v>
      </c>
      <c r="AJ126" s="27" t="n">
        <v>0</v>
      </c>
      <c r="AK126" s="27" t="n">
        <v>0</v>
      </c>
      <c r="AL126" s="27" t="n">
        <v>0</v>
      </c>
      <c r="AM126" s="27" t="n">
        <v>0</v>
      </c>
      <c r="AN126" s="27" t="n">
        <v>0</v>
      </c>
      <c r="AO126" s="27" t="n">
        <v>0</v>
      </c>
      <c r="AP126" s="27" t="n">
        <v>0</v>
      </c>
      <c r="AQ126" s="27" t="n">
        <v>0</v>
      </c>
      <c r="AR126" s="27" t="n">
        <v>0</v>
      </c>
      <c r="AS126" s="27" t="n">
        <v>0</v>
      </c>
      <c r="AT126" s="27" t="n">
        <v>0</v>
      </c>
      <c r="AU126" s="27" t="n">
        <v>0</v>
      </c>
      <c r="AV126" s="27" t="n">
        <v>0</v>
      </c>
      <c r="AW126" s="27" t="n">
        <v>0</v>
      </c>
      <c r="AX126" s="27" t="n">
        <v>0</v>
      </c>
      <c r="AY126" s="27" t="n">
        <v>0</v>
      </c>
      <c r="AZ126" s="27" t="n">
        <v>0</v>
      </c>
      <c r="BA126" s="27" t="n">
        <v>0</v>
      </c>
      <c r="BB126" s="27" t="n">
        <v>0</v>
      </c>
      <c r="BC126" s="27" t="n">
        <v>0</v>
      </c>
      <c r="BD126" s="27" t="n">
        <v>0</v>
      </c>
      <c r="BE126" s="27" t="n">
        <v>0</v>
      </c>
      <c r="BF126" s="27" t="n">
        <v>0</v>
      </c>
      <c r="BG126" s="27" t="n">
        <v>0</v>
      </c>
      <c r="BH126" s="27" t="n">
        <v>0</v>
      </c>
      <c r="BI126" s="27" t="n">
        <v>0</v>
      </c>
      <c r="BJ126" s="27" t="n">
        <v>0</v>
      </c>
      <c r="BK126" s="27" t="n">
        <v>0</v>
      </c>
      <c r="BL126" s="27" t="n">
        <v>0</v>
      </c>
      <c r="BM126" s="27" t="n">
        <v>0</v>
      </c>
      <c r="BN126" s="27" t="n">
        <v>0</v>
      </c>
      <c r="BO126" s="27" t="n">
        <v>0</v>
      </c>
      <c r="BP126" s="27" t="n">
        <v>0</v>
      </c>
      <c r="BQ126" s="27" t="n">
        <v>0</v>
      </c>
      <c r="BR126" s="27" t="n">
        <v>0</v>
      </c>
      <c r="BS126" s="27" t="n">
        <v>0</v>
      </c>
      <c r="BT126" s="27" t="n">
        <v>0</v>
      </c>
      <c r="BU126" s="27" t="n">
        <v>0</v>
      </c>
      <c r="BV126" s="27" t="n">
        <v>0</v>
      </c>
      <c r="BW126" s="27" t="n">
        <v>0</v>
      </c>
      <c r="BX126" s="27" t="n">
        <v>0</v>
      </c>
      <c r="BY126" s="27" t="n">
        <v>0</v>
      </c>
      <c r="BZ126" s="27" t="n">
        <v>0</v>
      </c>
      <c r="CA126" s="27" t="n">
        <v>0</v>
      </c>
      <c r="CB126" s="27" t="n">
        <v>0</v>
      </c>
      <c r="CC126" s="27" t="n">
        <v>0</v>
      </c>
      <c r="CD126" s="27" t="n">
        <v>0</v>
      </c>
      <c r="CE126" s="27" t="n">
        <v>0</v>
      </c>
      <c r="CF126" s="27" t="n">
        <v>0</v>
      </c>
      <c r="CG126" s="27" t="n">
        <v>0</v>
      </c>
      <c r="CH126" s="27" t="n">
        <v>0</v>
      </c>
      <c r="CI126" s="27" t="n">
        <v>0</v>
      </c>
      <c r="CJ126" s="27" t="n">
        <v>0</v>
      </c>
      <c r="CK126" s="27" t="n">
        <v>0</v>
      </c>
      <c r="CL126" s="27" t="n">
        <v>0</v>
      </c>
      <c r="CM126" s="27" t="n">
        <v>0</v>
      </c>
      <c r="CN126" s="27" t="n">
        <v>0</v>
      </c>
      <c r="CO126" s="27" t="n">
        <v>0</v>
      </c>
      <c r="CP126" s="27" t="n">
        <v>0</v>
      </c>
      <c r="CQ126" s="27" t="n">
        <v>0</v>
      </c>
      <c r="CR126" s="27" t="n">
        <v>0</v>
      </c>
      <c r="CS126" s="27" t="n">
        <v>0</v>
      </c>
      <c r="CT126" s="27" t="n">
        <v>0</v>
      </c>
      <c r="CU126" s="27" t="n">
        <v>0</v>
      </c>
      <c r="CV126" s="27" t="n">
        <v>0</v>
      </c>
      <c r="CW126" s="27" t="n">
        <v>0</v>
      </c>
      <c r="CX126" s="27" t="n">
        <v>0</v>
      </c>
      <c r="CY126" s="27" t="n">
        <v>0</v>
      </c>
      <c r="CZ126" s="27" t="n">
        <v>0</v>
      </c>
      <c r="DA126" s="27" t="n">
        <v>0</v>
      </c>
    </row>
    <row r="127">
      <c r="A127" t="inlineStr">
        <is>
          <t>0Y460</t>
        </is>
      </c>
      <c r="B127" s="27" t="n">
        <v>0</v>
      </c>
      <c r="C127" s="27" t="n">
        <v>0</v>
      </c>
      <c r="D127" s="27" t="n">
        <v>0</v>
      </c>
      <c r="E127" s="27" t="n">
        <v>0</v>
      </c>
      <c r="F127" s="27" t="n">
        <v>0</v>
      </c>
      <c r="G127" s="27" t="n">
        <v>0</v>
      </c>
      <c r="H127" s="27" t="n">
        <v>0</v>
      </c>
      <c r="I127" s="27" t="n">
        <v>0</v>
      </c>
      <c r="J127" s="27" t="n">
        <v>0</v>
      </c>
      <c r="K127" s="27" t="n">
        <v>0</v>
      </c>
      <c r="L127" s="27" t="n">
        <v>0</v>
      </c>
      <c r="M127" s="27" t="n">
        <v>0</v>
      </c>
      <c r="N127" s="27" t="n">
        <v>0</v>
      </c>
      <c r="O127" s="27" t="n">
        <v>0</v>
      </c>
      <c r="P127" s="27" t="n">
        <v>0</v>
      </c>
      <c r="Q127" s="27" t="n">
        <v>0</v>
      </c>
      <c r="R127" s="27" t="n">
        <v>0</v>
      </c>
      <c r="S127" s="27" t="n">
        <v>0</v>
      </c>
      <c r="T127" s="27" t="n">
        <v>0</v>
      </c>
      <c r="U127" s="27" t="n">
        <v>0</v>
      </c>
      <c r="V127" s="27" t="n">
        <v>0</v>
      </c>
      <c r="W127" s="27" t="n">
        <v>0</v>
      </c>
      <c r="X127" s="27" t="n">
        <v>0</v>
      </c>
      <c r="Y127" s="27" t="n">
        <v>0</v>
      </c>
      <c r="Z127" s="27" t="n">
        <v>0</v>
      </c>
      <c r="AA127" s="27" t="n">
        <v>0</v>
      </c>
      <c r="AB127" s="27" t="n">
        <v>0</v>
      </c>
      <c r="AC127" s="27" t="n">
        <v>0</v>
      </c>
      <c r="AD127" s="27" t="n">
        <v>0</v>
      </c>
      <c r="AE127" s="27" t="n">
        <v>0</v>
      </c>
      <c r="AF127" s="27" t="n">
        <v>0</v>
      </c>
      <c r="AG127" s="27" t="n">
        <v>0</v>
      </c>
      <c r="AH127" s="27" t="n">
        <v>0</v>
      </c>
      <c r="AI127" s="27" t="n">
        <v>0</v>
      </c>
      <c r="AJ127" s="27" t="n">
        <v>0</v>
      </c>
      <c r="AK127" s="27" t="n">
        <v>0</v>
      </c>
      <c r="AL127" s="27" t="n">
        <v>0</v>
      </c>
      <c r="AM127" s="27" t="n">
        <v>0</v>
      </c>
      <c r="AN127" s="27" t="n">
        <v>0</v>
      </c>
      <c r="AO127" s="27" t="n">
        <v>0</v>
      </c>
      <c r="AP127" s="27" t="n">
        <v>0</v>
      </c>
      <c r="AQ127" s="27" t="n">
        <v>0</v>
      </c>
      <c r="AR127" s="27" t="n">
        <v>0</v>
      </c>
      <c r="AS127" s="27" t="n">
        <v>0</v>
      </c>
      <c r="AT127" s="27" t="n">
        <v>0</v>
      </c>
      <c r="AU127" s="27" t="n">
        <v>0</v>
      </c>
      <c r="AV127" s="27" t="n">
        <v>0</v>
      </c>
      <c r="AW127" s="27" t="n">
        <v>0</v>
      </c>
      <c r="AX127" s="27" t="n">
        <v>0</v>
      </c>
      <c r="AY127" s="27" t="n">
        <v>0</v>
      </c>
      <c r="AZ127" s="27" t="n">
        <v>0</v>
      </c>
      <c r="BA127" s="27" t="n">
        <v>0</v>
      </c>
      <c r="BB127" s="27" t="n">
        <v>0</v>
      </c>
      <c r="BC127" s="27" t="n">
        <v>0</v>
      </c>
      <c r="BD127" s="27" t="n">
        <v>0</v>
      </c>
      <c r="BE127" s="27" t="n">
        <v>0</v>
      </c>
      <c r="BF127" s="27" t="n">
        <v>0</v>
      </c>
      <c r="BG127" s="27" t="n">
        <v>0</v>
      </c>
      <c r="BH127" s="27" t="n">
        <v>0</v>
      </c>
      <c r="BI127" s="27" t="n">
        <v>0</v>
      </c>
      <c r="BJ127" s="27" t="n">
        <v>0</v>
      </c>
      <c r="BK127" s="27" t="n">
        <v>0</v>
      </c>
      <c r="BL127" s="27" t="n">
        <v>0</v>
      </c>
      <c r="BM127" s="27" t="n">
        <v>0</v>
      </c>
      <c r="BN127" s="27" t="n">
        <v>0</v>
      </c>
      <c r="BO127" s="27" t="n">
        <v>0</v>
      </c>
      <c r="BP127" s="27" t="n">
        <v>0</v>
      </c>
      <c r="BQ127" s="27" t="n">
        <v>0</v>
      </c>
      <c r="BR127" s="27" t="n">
        <v>0</v>
      </c>
      <c r="BS127" s="27" t="n">
        <v>0</v>
      </c>
      <c r="BT127" s="27" t="n">
        <v>0</v>
      </c>
      <c r="BU127" s="27" t="n">
        <v>0</v>
      </c>
      <c r="BV127" s="27" t="n">
        <v>0</v>
      </c>
      <c r="BW127" s="27" t="n">
        <v>0</v>
      </c>
      <c r="BX127" s="27" t="n">
        <v>0</v>
      </c>
      <c r="BY127" s="27" t="n">
        <v>0</v>
      </c>
      <c r="BZ127" s="27" t="n">
        <v>0</v>
      </c>
      <c r="CA127" s="27" t="n">
        <v>0</v>
      </c>
      <c r="CB127" s="27" t="n">
        <v>0</v>
      </c>
      <c r="CC127" s="27" t="n">
        <v>0</v>
      </c>
      <c r="CD127" s="27" t="n">
        <v>0</v>
      </c>
      <c r="CE127" s="27" t="n">
        <v>0</v>
      </c>
      <c r="CF127" s="27" t="n">
        <v>0</v>
      </c>
      <c r="CG127" s="27" t="n">
        <v>0</v>
      </c>
      <c r="CH127" s="27" t="n">
        <v>0</v>
      </c>
      <c r="CI127" s="27" t="n">
        <v>0</v>
      </c>
      <c r="CJ127" s="27" t="n">
        <v>0</v>
      </c>
      <c r="CK127" s="27" t="n">
        <v>0</v>
      </c>
      <c r="CL127" s="27" t="n">
        <v>0</v>
      </c>
      <c r="CM127" s="27" t="n">
        <v>0</v>
      </c>
      <c r="CN127" s="27" t="n">
        <v>0</v>
      </c>
      <c r="CO127" s="27" t="n">
        <v>0</v>
      </c>
      <c r="CP127" s="27" t="n">
        <v>0</v>
      </c>
      <c r="CQ127" s="27" t="n">
        <v>0</v>
      </c>
      <c r="CR127" s="27" t="n">
        <v>0</v>
      </c>
      <c r="CS127" s="27" t="n">
        <v>0</v>
      </c>
      <c r="CT127" s="27" t="n">
        <v>0</v>
      </c>
      <c r="CU127" s="27" t="n">
        <v>0</v>
      </c>
      <c r="CV127" s="27" t="n">
        <v>0</v>
      </c>
      <c r="CW127" s="27" t="n">
        <v>0</v>
      </c>
      <c r="CX127" s="27" t="n">
        <v>0</v>
      </c>
      <c r="CY127" s="27" t="n">
        <v>0</v>
      </c>
      <c r="CZ127" s="27" t="n">
        <v>0</v>
      </c>
      <c r="DA127" s="27" t="n">
        <v>0</v>
      </c>
    </row>
    <row r="128">
      <c r="A128" t="inlineStr">
        <is>
          <t>F0220</t>
        </is>
      </c>
      <c r="B128" s="27" t="n">
        <v>0</v>
      </c>
      <c r="C128" s="27" t="n">
        <v>0</v>
      </c>
      <c r="D128" s="27" t="n">
        <v>0</v>
      </c>
      <c r="E128" s="27" t="n">
        <v>0</v>
      </c>
      <c r="F128" s="27" t="n">
        <v>0</v>
      </c>
      <c r="G128" s="27" t="n">
        <v>0</v>
      </c>
      <c r="H128" s="27" t="n">
        <v>0</v>
      </c>
      <c r="I128" s="27" t="n">
        <v>0</v>
      </c>
      <c r="J128" s="27" t="n">
        <v>0</v>
      </c>
      <c r="K128" s="27" t="n">
        <v>0</v>
      </c>
      <c r="L128" s="27" t="n">
        <v>0</v>
      </c>
      <c r="M128" s="27" t="n">
        <v>0</v>
      </c>
      <c r="N128" s="27" t="n">
        <v>0</v>
      </c>
      <c r="O128" s="27" t="n">
        <v>0</v>
      </c>
      <c r="P128" s="27" t="n">
        <v>0</v>
      </c>
      <c r="Q128" s="27" t="n">
        <v>0</v>
      </c>
      <c r="R128" s="27" t="n">
        <v>0</v>
      </c>
      <c r="S128" s="27" t="n">
        <v>0</v>
      </c>
      <c r="T128" s="27" t="n">
        <v>0</v>
      </c>
      <c r="U128" s="27" t="n">
        <v>0</v>
      </c>
      <c r="V128" s="27" t="n">
        <v>0</v>
      </c>
      <c r="W128" s="27" t="n">
        <v>0</v>
      </c>
      <c r="X128" s="27" t="n">
        <v>0</v>
      </c>
      <c r="Y128" s="27" t="n">
        <v>0</v>
      </c>
      <c r="Z128" s="27" t="n">
        <v>0</v>
      </c>
      <c r="AA128" s="27" t="n">
        <v>0</v>
      </c>
      <c r="AB128" s="27" t="n">
        <v>0</v>
      </c>
      <c r="AC128" s="27" t="n">
        <v>0</v>
      </c>
      <c r="AD128" s="27" t="n">
        <v>0</v>
      </c>
      <c r="AE128" s="27" t="n">
        <v>0</v>
      </c>
      <c r="AF128" s="27" t="n">
        <v>0</v>
      </c>
      <c r="AG128" s="27" t="n">
        <v>0</v>
      </c>
      <c r="AH128" s="27" t="n">
        <v>0</v>
      </c>
      <c r="AI128" s="27" t="n">
        <v>0</v>
      </c>
      <c r="AJ128" s="27" t="n">
        <v>0</v>
      </c>
      <c r="AK128" s="27" t="n">
        <v>0</v>
      </c>
      <c r="AL128" s="27" t="n">
        <v>0</v>
      </c>
      <c r="AM128" s="27" t="n">
        <v>0</v>
      </c>
      <c r="AN128" s="27" t="n">
        <v>0</v>
      </c>
      <c r="AO128" s="27" t="n">
        <v>0</v>
      </c>
      <c r="AP128" s="27" t="n">
        <v>0</v>
      </c>
      <c r="AQ128" s="27" t="n">
        <v>0</v>
      </c>
      <c r="AR128" s="27" t="n">
        <v>0</v>
      </c>
      <c r="AS128" s="27" t="n">
        <v>0</v>
      </c>
      <c r="AT128" s="27" t="n">
        <v>0</v>
      </c>
      <c r="AU128" s="27" t="n">
        <v>0</v>
      </c>
      <c r="AV128" s="27" t="n">
        <v>0</v>
      </c>
      <c r="AW128" s="27" t="n">
        <v>0</v>
      </c>
      <c r="AX128" s="27" t="n">
        <v>0</v>
      </c>
      <c r="AY128" s="27" t="n">
        <v>0</v>
      </c>
      <c r="AZ128" s="27" t="n">
        <v>0</v>
      </c>
      <c r="BA128" s="27" t="n">
        <v>0</v>
      </c>
      <c r="BB128" s="27" t="n">
        <v>0</v>
      </c>
      <c r="BC128" s="27" t="n">
        <v>0</v>
      </c>
      <c r="BD128" s="27" t="n">
        <v>0</v>
      </c>
      <c r="BE128" s="27" t="n">
        <v>0</v>
      </c>
      <c r="BF128" s="27" t="n">
        <v>0</v>
      </c>
      <c r="BG128" s="27" t="n">
        <v>0</v>
      </c>
      <c r="BH128" s="27" t="n">
        <v>0</v>
      </c>
      <c r="BI128" s="27" t="n">
        <v>0</v>
      </c>
      <c r="BJ128" s="27" t="n">
        <v>0</v>
      </c>
      <c r="BK128" s="27" t="n">
        <v>0</v>
      </c>
      <c r="BL128" s="27" t="n">
        <v>0</v>
      </c>
      <c r="BM128" s="27" t="n">
        <v>0</v>
      </c>
      <c r="BN128" s="27" t="n">
        <v>0</v>
      </c>
      <c r="BO128" s="27" t="n">
        <v>0</v>
      </c>
      <c r="BP128" s="27" t="n">
        <v>0</v>
      </c>
      <c r="BQ128" s="27" t="n">
        <v>0</v>
      </c>
      <c r="BR128" s="27" t="n">
        <v>0</v>
      </c>
      <c r="BS128" s="27" t="n">
        <v>0</v>
      </c>
      <c r="BT128" s="27" t="n">
        <v>0</v>
      </c>
      <c r="BU128" s="27" t="n">
        <v>0</v>
      </c>
      <c r="BV128" s="27" t="n">
        <v>0</v>
      </c>
      <c r="BW128" s="27" t="n">
        <v>0</v>
      </c>
      <c r="BX128" s="27" t="n">
        <v>0</v>
      </c>
      <c r="BY128" s="27" t="n">
        <v>0</v>
      </c>
      <c r="BZ128" s="27" t="n">
        <v>0</v>
      </c>
      <c r="CA128" s="27" t="n">
        <v>0</v>
      </c>
      <c r="CB128" s="27" t="n">
        <v>0</v>
      </c>
      <c r="CC128" s="27" t="n">
        <v>0</v>
      </c>
      <c r="CD128" s="27" t="n">
        <v>0</v>
      </c>
      <c r="CE128" s="27" t="n">
        <v>0</v>
      </c>
      <c r="CF128" s="27" t="n">
        <v>0</v>
      </c>
      <c r="CG128" s="27" t="n">
        <v>0</v>
      </c>
      <c r="CH128" s="27" t="n">
        <v>0</v>
      </c>
      <c r="CI128" s="27" t="n">
        <v>0</v>
      </c>
      <c r="CJ128" s="27" t="n">
        <v>0</v>
      </c>
      <c r="CK128" s="27" t="n">
        <v>0</v>
      </c>
      <c r="CL128" s="27" t="n">
        <v>0</v>
      </c>
      <c r="CM128" s="27" t="n">
        <v>0</v>
      </c>
      <c r="CN128" s="27" t="n">
        <v>0</v>
      </c>
      <c r="CO128" s="27" t="n">
        <v>0</v>
      </c>
      <c r="CP128" s="27" t="n">
        <v>0</v>
      </c>
      <c r="CQ128" s="27" t="n">
        <v>0</v>
      </c>
      <c r="CR128" s="27" t="n">
        <v>0</v>
      </c>
      <c r="CS128" s="27" t="n">
        <v>0</v>
      </c>
      <c r="CT128" s="27" t="n">
        <v>0</v>
      </c>
      <c r="CU128" s="27" t="n">
        <v>0</v>
      </c>
      <c r="CV128" s="27" t="n">
        <v>0</v>
      </c>
      <c r="CW128" s="27" t="n">
        <v>0</v>
      </c>
      <c r="CX128" s="27" t="n">
        <v>0</v>
      </c>
      <c r="CY128" s="27" t="n">
        <v>0</v>
      </c>
      <c r="CZ128" s="27" t="n">
        <v>0</v>
      </c>
      <c r="DA128" s="27" t="n">
        <v>0</v>
      </c>
    </row>
    <row r="129">
      <c r="A129" t="inlineStr">
        <is>
          <t>F2100</t>
        </is>
      </c>
      <c r="B129" s="27" t="n">
        <v>0</v>
      </c>
      <c r="C129" s="27" t="n">
        <v>0</v>
      </c>
      <c r="D129" s="27" t="n">
        <v>0</v>
      </c>
      <c r="E129" s="27" t="n">
        <v>0</v>
      </c>
      <c r="F129" s="27" t="n">
        <v>0</v>
      </c>
      <c r="G129" s="27" t="n">
        <v>0</v>
      </c>
      <c r="H129" s="27" t="n">
        <v>0</v>
      </c>
      <c r="I129" s="27" t="n">
        <v>0</v>
      </c>
      <c r="J129" s="27" t="n">
        <v>0</v>
      </c>
      <c r="K129" s="27" t="n">
        <v>0</v>
      </c>
      <c r="L129" s="27" t="n">
        <v>0</v>
      </c>
      <c r="M129" s="27" t="n">
        <v>0</v>
      </c>
      <c r="N129" s="27" t="n">
        <v>0</v>
      </c>
      <c r="O129" s="27" t="n">
        <v>0</v>
      </c>
      <c r="P129" s="27" t="n">
        <v>0</v>
      </c>
      <c r="Q129" s="27" t="n">
        <v>0</v>
      </c>
      <c r="R129" s="27" t="n">
        <v>0</v>
      </c>
      <c r="S129" s="27" t="n">
        <v>0</v>
      </c>
      <c r="T129" s="27" t="n">
        <v>0</v>
      </c>
      <c r="U129" s="27" t="n">
        <v>0</v>
      </c>
      <c r="V129" s="27" t="n">
        <v>0</v>
      </c>
      <c r="W129" s="27" t="n">
        <v>0</v>
      </c>
      <c r="X129" s="27" t="n">
        <v>0</v>
      </c>
      <c r="Y129" s="27" t="n">
        <v>0</v>
      </c>
      <c r="Z129" s="27" t="n">
        <v>0</v>
      </c>
      <c r="AA129" s="27" t="n">
        <v>0</v>
      </c>
      <c r="AB129" s="27" t="n">
        <v>0</v>
      </c>
      <c r="AC129" s="27" t="n">
        <v>0</v>
      </c>
      <c r="AD129" s="27" t="n">
        <v>0</v>
      </c>
      <c r="AE129" s="27" t="n">
        <v>0</v>
      </c>
      <c r="AF129" s="27" t="n">
        <v>0</v>
      </c>
      <c r="AG129" s="27" t="n">
        <v>0</v>
      </c>
      <c r="AH129" s="27" t="n">
        <v>0</v>
      </c>
      <c r="AI129" s="27" t="n">
        <v>0</v>
      </c>
      <c r="AJ129" s="27" t="n">
        <v>0</v>
      </c>
      <c r="AK129" s="27" t="n">
        <v>0</v>
      </c>
      <c r="AL129" s="27" t="n">
        <v>0</v>
      </c>
      <c r="AM129" s="27" t="n">
        <v>0</v>
      </c>
      <c r="AN129" s="27" t="n">
        <v>0</v>
      </c>
      <c r="AO129" s="27" t="n">
        <v>0</v>
      </c>
      <c r="AP129" s="27" t="n">
        <v>0</v>
      </c>
      <c r="AQ129" s="27" t="n">
        <v>0</v>
      </c>
      <c r="AR129" s="27" t="n">
        <v>0</v>
      </c>
      <c r="AS129" s="27" t="n">
        <v>0</v>
      </c>
      <c r="AT129" s="27" t="n">
        <v>0</v>
      </c>
      <c r="AU129" s="27" t="n">
        <v>0</v>
      </c>
      <c r="AV129" s="27" t="n">
        <v>0</v>
      </c>
      <c r="AW129" s="27" t="n">
        <v>0</v>
      </c>
      <c r="AX129" s="27" t="n">
        <v>0</v>
      </c>
      <c r="AY129" s="27" t="n">
        <v>0</v>
      </c>
      <c r="AZ129" s="27" t="n">
        <v>0</v>
      </c>
      <c r="BA129" s="27" t="n">
        <v>0</v>
      </c>
      <c r="BB129" s="27" t="n">
        <v>0</v>
      </c>
      <c r="BC129" s="27" t="n">
        <v>0</v>
      </c>
      <c r="BD129" s="27" t="n">
        <v>0</v>
      </c>
      <c r="BE129" s="27" t="n">
        <v>0</v>
      </c>
      <c r="BF129" s="27" t="n">
        <v>0</v>
      </c>
      <c r="BG129" s="27" t="n">
        <v>0</v>
      </c>
      <c r="BH129" s="27" t="n">
        <v>0</v>
      </c>
      <c r="BI129" s="27" t="n">
        <v>0</v>
      </c>
      <c r="BJ129" s="27" t="n">
        <v>0</v>
      </c>
      <c r="BK129" s="27" t="n">
        <v>0</v>
      </c>
      <c r="BL129" s="27" t="n">
        <v>0</v>
      </c>
      <c r="BM129" s="27" t="n">
        <v>0</v>
      </c>
      <c r="BN129" s="27" t="n">
        <v>0</v>
      </c>
      <c r="BO129" s="27" t="n">
        <v>0</v>
      </c>
      <c r="BP129" s="27" t="n">
        <v>0</v>
      </c>
      <c r="BQ129" s="27" t="n">
        <v>0</v>
      </c>
      <c r="BR129" s="27" t="n">
        <v>0</v>
      </c>
      <c r="BS129" s="27" t="n">
        <v>0</v>
      </c>
      <c r="BT129" s="27" t="n">
        <v>0</v>
      </c>
      <c r="BU129" s="27" t="n">
        <v>0</v>
      </c>
      <c r="BV129" s="27" t="n">
        <v>0</v>
      </c>
      <c r="BW129" s="27" t="n">
        <v>0</v>
      </c>
      <c r="BX129" s="27" t="n">
        <v>0</v>
      </c>
      <c r="BY129" s="27" t="n">
        <v>0</v>
      </c>
      <c r="BZ129" s="27" t="n">
        <v>0</v>
      </c>
      <c r="CA129" s="27" t="n">
        <v>0</v>
      </c>
      <c r="CB129" s="27" t="n">
        <v>0</v>
      </c>
      <c r="CC129" s="27" t="n">
        <v>0</v>
      </c>
      <c r="CD129" s="27" t="n">
        <v>0</v>
      </c>
      <c r="CE129" s="27" t="n">
        <v>0</v>
      </c>
      <c r="CF129" s="27" t="n">
        <v>0</v>
      </c>
      <c r="CG129" s="27" t="n">
        <v>0</v>
      </c>
      <c r="CH129" s="27" t="n">
        <v>0</v>
      </c>
      <c r="CI129" s="27" t="n">
        <v>0</v>
      </c>
      <c r="CJ129" s="27" t="n">
        <v>0</v>
      </c>
      <c r="CK129" s="27" t="n">
        <v>0</v>
      </c>
      <c r="CL129" s="27" t="n">
        <v>0</v>
      </c>
      <c r="CM129" s="27" t="n">
        <v>0</v>
      </c>
      <c r="CN129" s="27" t="n">
        <v>0</v>
      </c>
      <c r="CO129" s="27" t="n">
        <v>0</v>
      </c>
      <c r="CP129" s="27" t="n">
        <v>0</v>
      </c>
      <c r="CQ129" s="27" t="n">
        <v>0</v>
      </c>
      <c r="CR129" s="27" t="n">
        <v>0</v>
      </c>
      <c r="CS129" s="27" t="n">
        <v>0</v>
      </c>
      <c r="CT129" s="27" t="n">
        <v>0</v>
      </c>
      <c r="CU129" s="27" t="n">
        <v>0</v>
      </c>
      <c r="CV129" s="27" t="n">
        <v>0</v>
      </c>
      <c r="CW129" s="27" t="n">
        <v>0</v>
      </c>
      <c r="CX129" s="27" t="n">
        <v>0</v>
      </c>
      <c r="CY129" s="27" t="n">
        <v>0</v>
      </c>
      <c r="CZ129" s="27" t="n">
        <v>0</v>
      </c>
      <c r="DA129" s="27" t="n">
        <v>0</v>
      </c>
    </row>
    <row r="130">
      <c r="A130" t="inlineStr">
        <is>
          <t>F2180</t>
        </is>
      </c>
      <c r="B130" s="27" t="n">
        <v>0</v>
      </c>
      <c r="C130" s="27" t="n">
        <v>0</v>
      </c>
      <c r="D130" s="27" t="n">
        <v>0</v>
      </c>
      <c r="E130" s="27" t="n">
        <v>0</v>
      </c>
      <c r="F130" s="27" t="n">
        <v>0</v>
      </c>
      <c r="G130" s="27" t="n">
        <v>0</v>
      </c>
      <c r="H130" s="27" t="n">
        <v>0</v>
      </c>
      <c r="I130" s="27" t="n">
        <v>0</v>
      </c>
      <c r="J130" s="27" t="n">
        <v>0</v>
      </c>
      <c r="K130" s="27" t="n">
        <v>0</v>
      </c>
      <c r="L130" s="27" t="n">
        <v>0</v>
      </c>
      <c r="M130" s="27" t="n">
        <v>0</v>
      </c>
      <c r="N130" s="27" t="n">
        <v>0</v>
      </c>
      <c r="O130" s="27" t="n">
        <v>0</v>
      </c>
      <c r="P130" s="27" t="n">
        <v>0</v>
      </c>
      <c r="Q130" s="27" t="n">
        <v>0</v>
      </c>
      <c r="R130" s="27" t="n">
        <v>0</v>
      </c>
      <c r="S130" s="27" t="n">
        <v>0</v>
      </c>
      <c r="T130" s="27" t="n">
        <v>0</v>
      </c>
      <c r="U130" s="27" t="n">
        <v>0</v>
      </c>
      <c r="V130" s="27" t="n">
        <v>0</v>
      </c>
      <c r="W130" s="27" t="n">
        <v>0</v>
      </c>
      <c r="X130" s="27" t="n">
        <v>0</v>
      </c>
      <c r="Y130" s="27" t="n">
        <v>0</v>
      </c>
      <c r="Z130" s="27" t="n">
        <v>0</v>
      </c>
      <c r="AA130" s="27" t="n">
        <v>0</v>
      </c>
      <c r="AB130" s="27" t="n">
        <v>0</v>
      </c>
      <c r="AC130" s="27" t="n">
        <v>0</v>
      </c>
      <c r="AD130" s="27" t="n">
        <v>0</v>
      </c>
      <c r="AE130" s="27" t="n">
        <v>0</v>
      </c>
      <c r="AF130" s="27" t="n">
        <v>0</v>
      </c>
      <c r="AG130" s="27" t="n">
        <v>0</v>
      </c>
      <c r="AH130" s="27" t="n">
        <v>0</v>
      </c>
      <c r="AI130" s="27" t="n">
        <v>0</v>
      </c>
      <c r="AJ130" s="27" t="n">
        <v>0</v>
      </c>
      <c r="AK130" s="27" t="n">
        <v>0</v>
      </c>
      <c r="AL130" s="27" t="n">
        <v>0</v>
      </c>
      <c r="AM130" s="27" t="n">
        <v>0</v>
      </c>
      <c r="AN130" s="27" t="n">
        <v>0</v>
      </c>
      <c r="AO130" s="27" t="n">
        <v>0</v>
      </c>
      <c r="AP130" s="27" t="n">
        <v>0</v>
      </c>
      <c r="AQ130" s="27" t="n">
        <v>0</v>
      </c>
      <c r="AR130" s="27" t="n">
        <v>0</v>
      </c>
      <c r="AS130" s="27" t="n">
        <v>0</v>
      </c>
      <c r="AT130" s="27" t="n">
        <v>0</v>
      </c>
      <c r="AU130" s="27" t="n">
        <v>0</v>
      </c>
      <c r="AV130" s="27" t="n">
        <v>0</v>
      </c>
      <c r="AW130" s="27" t="n">
        <v>0</v>
      </c>
      <c r="AX130" s="27" t="n">
        <v>0</v>
      </c>
      <c r="AY130" s="27" t="n">
        <v>0</v>
      </c>
      <c r="AZ130" s="27" t="n">
        <v>0</v>
      </c>
      <c r="BA130" s="27" t="n">
        <v>0</v>
      </c>
      <c r="BB130" s="27" t="n">
        <v>0</v>
      </c>
      <c r="BC130" s="27" t="n">
        <v>0</v>
      </c>
      <c r="BD130" s="27" t="n">
        <v>0</v>
      </c>
      <c r="BE130" s="27" t="n">
        <v>0</v>
      </c>
      <c r="BF130" s="27" t="n">
        <v>0</v>
      </c>
      <c r="BG130" s="27" t="n">
        <v>0</v>
      </c>
      <c r="BH130" s="27" t="n">
        <v>0</v>
      </c>
      <c r="BI130" s="27" t="n">
        <v>0</v>
      </c>
      <c r="BJ130" s="27" t="n">
        <v>0</v>
      </c>
      <c r="BK130" s="27" t="n">
        <v>0</v>
      </c>
      <c r="BL130" s="27" t="n">
        <v>0</v>
      </c>
      <c r="BM130" s="27" t="n">
        <v>0</v>
      </c>
      <c r="BN130" s="27" t="n">
        <v>0</v>
      </c>
      <c r="BO130" s="27" t="n">
        <v>0</v>
      </c>
      <c r="BP130" s="27" t="n">
        <v>0</v>
      </c>
      <c r="BQ130" s="27" t="n">
        <v>0</v>
      </c>
      <c r="BR130" s="27" t="n">
        <v>0</v>
      </c>
      <c r="BS130" s="27" t="n">
        <v>0</v>
      </c>
      <c r="BT130" s="27" t="n">
        <v>0</v>
      </c>
      <c r="BU130" s="27" t="n">
        <v>0</v>
      </c>
      <c r="BV130" s="27" t="n">
        <v>0</v>
      </c>
      <c r="BW130" s="27" t="n">
        <v>0</v>
      </c>
      <c r="BX130" s="27" t="n">
        <v>0</v>
      </c>
      <c r="BY130" s="27" t="n">
        <v>0</v>
      </c>
      <c r="BZ130" s="27" t="n">
        <v>0</v>
      </c>
      <c r="CA130" s="27" t="n">
        <v>0</v>
      </c>
      <c r="CB130" s="27" t="n">
        <v>0</v>
      </c>
      <c r="CC130" s="27" t="n">
        <v>0</v>
      </c>
      <c r="CD130" s="27" t="n">
        <v>0</v>
      </c>
      <c r="CE130" s="27" t="n">
        <v>0</v>
      </c>
      <c r="CF130" s="27" t="n">
        <v>0</v>
      </c>
      <c r="CG130" s="27" t="n">
        <v>0</v>
      </c>
      <c r="CH130" s="27" t="n">
        <v>0</v>
      </c>
      <c r="CI130" s="27" t="n">
        <v>0</v>
      </c>
      <c r="CJ130" s="27" t="n">
        <v>0</v>
      </c>
      <c r="CK130" s="27" t="n">
        <v>0</v>
      </c>
      <c r="CL130" s="27" t="n">
        <v>0</v>
      </c>
      <c r="CM130" s="27" t="n">
        <v>0</v>
      </c>
      <c r="CN130" s="27" t="n">
        <v>0</v>
      </c>
      <c r="CO130" s="27" t="n">
        <v>0</v>
      </c>
      <c r="CP130" s="27" t="n">
        <v>0</v>
      </c>
      <c r="CQ130" s="27" t="n">
        <v>0</v>
      </c>
      <c r="CR130" s="27" t="n">
        <v>0</v>
      </c>
      <c r="CS130" s="27" t="n">
        <v>0</v>
      </c>
      <c r="CT130" s="27" t="n">
        <v>0</v>
      </c>
      <c r="CU130" s="27" t="n">
        <v>0</v>
      </c>
      <c r="CV130" s="27" t="n">
        <v>0</v>
      </c>
      <c r="CW130" s="27" t="n">
        <v>0</v>
      </c>
      <c r="CX130" s="27" t="n">
        <v>0</v>
      </c>
      <c r="CY130" s="27" t="n">
        <v>0</v>
      </c>
      <c r="CZ130" s="27" t="n">
        <v>0</v>
      </c>
      <c r="DA130" s="27" t="n">
        <v>0</v>
      </c>
    </row>
    <row r="131">
      <c r="A131" t="inlineStr">
        <is>
          <t>F2210</t>
        </is>
      </c>
      <c r="B131" s="27" t="n">
        <v>0</v>
      </c>
      <c r="C131" s="27" t="n">
        <v>0</v>
      </c>
      <c r="D131" s="27" t="n">
        <v>0</v>
      </c>
      <c r="E131" s="27" t="n">
        <v>0</v>
      </c>
      <c r="F131" s="27" t="n">
        <v>0</v>
      </c>
      <c r="G131" s="27" t="n">
        <v>0</v>
      </c>
      <c r="H131" s="27" t="n">
        <v>0</v>
      </c>
      <c r="I131" s="27" t="n">
        <v>0</v>
      </c>
      <c r="J131" s="27" t="n">
        <v>0</v>
      </c>
      <c r="K131" s="27" t="n">
        <v>0</v>
      </c>
      <c r="L131" s="27" t="n">
        <v>0</v>
      </c>
      <c r="M131" s="27" t="n">
        <v>0</v>
      </c>
      <c r="N131" s="27" t="n">
        <v>0</v>
      </c>
      <c r="O131" s="27" t="n">
        <v>0</v>
      </c>
      <c r="P131" s="27" t="n">
        <v>0</v>
      </c>
      <c r="Q131" s="27" t="n">
        <v>0</v>
      </c>
      <c r="R131" s="27" t="n">
        <v>0</v>
      </c>
      <c r="S131" s="27" t="n">
        <v>0</v>
      </c>
      <c r="T131" s="27" t="n">
        <v>0</v>
      </c>
      <c r="U131" s="27" t="n">
        <v>0</v>
      </c>
      <c r="V131" s="27" t="n">
        <v>0</v>
      </c>
      <c r="W131" s="27" t="n">
        <v>0</v>
      </c>
      <c r="X131" s="27" t="n">
        <v>0</v>
      </c>
      <c r="Y131" s="27" t="n">
        <v>0</v>
      </c>
      <c r="Z131" s="27" t="n">
        <v>0</v>
      </c>
      <c r="AA131" s="27" t="n">
        <v>0</v>
      </c>
      <c r="AB131" s="27" t="n">
        <v>0</v>
      </c>
      <c r="AC131" s="27" t="n">
        <v>0</v>
      </c>
      <c r="AD131" s="27" t="n">
        <v>0</v>
      </c>
      <c r="AE131" s="27" t="n">
        <v>0</v>
      </c>
      <c r="AF131" s="27" t="n">
        <v>0</v>
      </c>
      <c r="AG131" s="27" t="n">
        <v>0</v>
      </c>
      <c r="AH131" s="27" t="n">
        <v>0</v>
      </c>
      <c r="AI131" s="27" t="n">
        <v>0</v>
      </c>
      <c r="AJ131" s="27" t="n">
        <v>0</v>
      </c>
      <c r="AK131" s="27" t="n">
        <v>0</v>
      </c>
      <c r="AL131" s="27" t="n">
        <v>0</v>
      </c>
      <c r="AM131" s="27" t="n">
        <v>0</v>
      </c>
      <c r="AN131" s="27" t="n">
        <v>0</v>
      </c>
      <c r="AO131" s="27" t="n">
        <v>0</v>
      </c>
      <c r="AP131" s="27" t="n">
        <v>0</v>
      </c>
      <c r="AQ131" s="27" t="n">
        <v>0</v>
      </c>
      <c r="AR131" s="27" t="n">
        <v>0</v>
      </c>
      <c r="AS131" s="27" t="n">
        <v>0</v>
      </c>
      <c r="AT131" s="27" t="n">
        <v>0</v>
      </c>
      <c r="AU131" s="27" t="n">
        <v>0</v>
      </c>
      <c r="AV131" s="27" t="n">
        <v>0</v>
      </c>
      <c r="AW131" s="27" t="n">
        <v>0</v>
      </c>
      <c r="AX131" s="27" t="n">
        <v>0</v>
      </c>
      <c r="AY131" s="27" t="n">
        <v>0</v>
      </c>
      <c r="AZ131" s="27" t="n">
        <v>0</v>
      </c>
      <c r="BA131" s="27" t="n">
        <v>0</v>
      </c>
      <c r="BB131" s="27" t="n">
        <v>0</v>
      </c>
      <c r="BC131" s="27" t="n">
        <v>0</v>
      </c>
      <c r="BD131" s="27" t="n">
        <v>0</v>
      </c>
      <c r="BE131" s="27" t="n">
        <v>0</v>
      </c>
      <c r="BF131" s="27" t="n">
        <v>0</v>
      </c>
      <c r="BG131" s="27" t="n">
        <v>0</v>
      </c>
      <c r="BH131" s="27" t="n">
        <v>0</v>
      </c>
      <c r="BI131" s="27" t="n">
        <v>0</v>
      </c>
      <c r="BJ131" s="27" t="n">
        <v>0</v>
      </c>
      <c r="BK131" s="27" t="n">
        <v>0</v>
      </c>
      <c r="BL131" s="27" t="n">
        <v>0</v>
      </c>
      <c r="BM131" s="27" t="n">
        <v>0</v>
      </c>
      <c r="BN131" s="27" t="n">
        <v>0</v>
      </c>
      <c r="BO131" s="27" t="n">
        <v>0</v>
      </c>
      <c r="BP131" s="27" t="n">
        <v>0</v>
      </c>
      <c r="BQ131" s="27" t="n">
        <v>0</v>
      </c>
      <c r="BR131" s="27" t="n">
        <v>0</v>
      </c>
      <c r="BS131" s="27" t="n">
        <v>0</v>
      </c>
      <c r="BT131" s="27" t="n">
        <v>0</v>
      </c>
      <c r="BU131" s="27" t="n">
        <v>0</v>
      </c>
      <c r="BV131" s="27" t="n">
        <v>0</v>
      </c>
      <c r="BW131" s="27" t="n">
        <v>0</v>
      </c>
      <c r="BX131" s="27" t="n">
        <v>0</v>
      </c>
      <c r="BY131" s="27" t="n">
        <v>0</v>
      </c>
      <c r="BZ131" s="27" t="n">
        <v>0</v>
      </c>
      <c r="CA131" s="27" t="n">
        <v>0</v>
      </c>
      <c r="CB131" s="27" t="n">
        <v>0</v>
      </c>
      <c r="CC131" s="27" t="n">
        <v>0</v>
      </c>
      <c r="CD131" s="27" t="n">
        <v>0</v>
      </c>
      <c r="CE131" s="27" t="n">
        <v>0</v>
      </c>
      <c r="CF131" s="27" t="n">
        <v>0</v>
      </c>
      <c r="CG131" s="27" t="n">
        <v>0</v>
      </c>
      <c r="CH131" s="27" t="n">
        <v>0</v>
      </c>
      <c r="CI131" s="27" t="n">
        <v>0</v>
      </c>
      <c r="CJ131" s="27" t="n">
        <v>0</v>
      </c>
      <c r="CK131" s="27" t="n">
        <v>0</v>
      </c>
      <c r="CL131" s="27" t="n">
        <v>0</v>
      </c>
      <c r="CM131" s="27" t="n">
        <v>0</v>
      </c>
      <c r="CN131" s="27" t="n">
        <v>0</v>
      </c>
      <c r="CO131" s="27" t="n">
        <v>0</v>
      </c>
      <c r="CP131" s="27" t="n">
        <v>0</v>
      </c>
      <c r="CQ131" s="27" t="n">
        <v>0</v>
      </c>
      <c r="CR131" s="27" t="n">
        <v>0</v>
      </c>
      <c r="CS131" s="27" t="n">
        <v>0</v>
      </c>
      <c r="CT131" s="27" t="n">
        <v>0</v>
      </c>
      <c r="CU131" s="27" t="n">
        <v>0</v>
      </c>
      <c r="CV131" s="27" t="n">
        <v>0</v>
      </c>
      <c r="CW131" s="27" t="n">
        <v>0</v>
      </c>
      <c r="CX131" s="27" t="n">
        <v>0</v>
      </c>
      <c r="CY131" s="27" t="n">
        <v>0</v>
      </c>
      <c r="CZ131" s="27" t="n">
        <v>0</v>
      </c>
      <c r="DA131" s="27" t="n">
        <v>0</v>
      </c>
    </row>
    <row r="132">
      <c r="A132" t="inlineStr">
        <is>
          <t>F2350</t>
        </is>
      </c>
      <c r="B132" s="27" t="n">
        <v>0</v>
      </c>
      <c r="C132" s="27" t="n">
        <v>0</v>
      </c>
      <c r="D132" s="27" t="n">
        <v>0</v>
      </c>
      <c r="E132" s="27" t="n">
        <v>0</v>
      </c>
      <c r="F132" s="27" t="n">
        <v>0</v>
      </c>
      <c r="G132" s="27" t="n">
        <v>0</v>
      </c>
      <c r="H132" s="27" t="n">
        <v>0</v>
      </c>
      <c r="I132" s="27" t="n">
        <v>0</v>
      </c>
      <c r="J132" s="27" t="n">
        <v>0</v>
      </c>
      <c r="K132" s="27" t="n">
        <v>0</v>
      </c>
      <c r="L132" s="27" t="n">
        <v>0</v>
      </c>
      <c r="M132" s="27" t="n">
        <v>0</v>
      </c>
      <c r="N132" s="27" t="n">
        <v>0</v>
      </c>
      <c r="O132" s="27" t="n">
        <v>0</v>
      </c>
      <c r="P132" s="27" t="n">
        <v>0</v>
      </c>
      <c r="Q132" s="27" t="n">
        <v>0</v>
      </c>
      <c r="R132" s="27" t="n">
        <v>0</v>
      </c>
      <c r="S132" s="27" t="n">
        <v>0</v>
      </c>
      <c r="T132" s="27" t="n">
        <v>0</v>
      </c>
      <c r="U132" s="27" t="n">
        <v>0</v>
      </c>
      <c r="V132" s="27" t="n">
        <v>0</v>
      </c>
      <c r="W132" s="27" t="n">
        <v>0</v>
      </c>
      <c r="X132" s="27" t="n">
        <v>0</v>
      </c>
      <c r="Y132" s="27" t="n">
        <v>0</v>
      </c>
      <c r="Z132" s="27" t="n">
        <v>0</v>
      </c>
      <c r="AA132" s="27" t="n">
        <v>0</v>
      </c>
      <c r="AB132" s="27" t="n">
        <v>0</v>
      </c>
      <c r="AC132" s="27" t="n">
        <v>0</v>
      </c>
      <c r="AD132" s="27" t="n">
        <v>0</v>
      </c>
      <c r="AE132" s="27" t="n">
        <v>0</v>
      </c>
      <c r="AF132" s="27" t="n">
        <v>0</v>
      </c>
      <c r="AG132" s="27" t="n">
        <v>0</v>
      </c>
      <c r="AH132" s="27" t="n">
        <v>0</v>
      </c>
      <c r="AI132" s="27" t="n">
        <v>0</v>
      </c>
      <c r="AJ132" s="27" t="n">
        <v>0</v>
      </c>
      <c r="AK132" s="27" t="n">
        <v>0</v>
      </c>
      <c r="AL132" s="27" t="n">
        <v>0</v>
      </c>
      <c r="AM132" s="27" t="n">
        <v>0</v>
      </c>
      <c r="AN132" s="27" t="n">
        <v>0</v>
      </c>
      <c r="AO132" s="27" t="n">
        <v>0</v>
      </c>
      <c r="AP132" s="27" t="n">
        <v>0</v>
      </c>
      <c r="AQ132" s="27" t="n">
        <v>0</v>
      </c>
      <c r="AR132" s="27" t="n">
        <v>0</v>
      </c>
      <c r="AS132" s="27" t="n">
        <v>0</v>
      </c>
      <c r="AT132" s="27" t="n">
        <v>0</v>
      </c>
      <c r="AU132" s="27" t="n">
        <v>0</v>
      </c>
      <c r="AV132" s="27" t="n">
        <v>0</v>
      </c>
      <c r="AW132" s="27" t="n">
        <v>0</v>
      </c>
      <c r="AX132" s="27" t="n">
        <v>0</v>
      </c>
      <c r="AY132" s="27" t="n">
        <v>0</v>
      </c>
      <c r="AZ132" s="27" t="n">
        <v>0</v>
      </c>
      <c r="BA132" s="27" t="n">
        <v>0</v>
      </c>
      <c r="BB132" s="27" t="n">
        <v>0</v>
      </c>
      <c r="BC132" s="27" t="n">
        <v>0</v>
      </c>
      <c r="BD132" s="27" t="n">
        <v>0</v>
      </c>
      <c r="BE132" s="27" t="n">
        <v>0</v>
      </c>
      <c r="BF132" s="27" t="n">
        <v>0</v>
      </c>
      <c r="BG132" s="27" t="n">
        <v>0</v>
      </c>
      <c r="BH132" s="27" t="n">
        <v>0</v>
      </c>
      <c r="BI132" s="27" t="n">
        <v>0</v>
      </c>
      <c r="BJ132" s="27" t="n">
        <v>0</v>
      </c>
      <c r="BK132" s="27" t="n">
        <v>0</v>
      </c>
      <c r="BL132" s="27" t="n">
        <v>0</v>
      </c>
      <c r="BM132" s="27" t="n">
        <v>0</v>
      </c>
      <c r="BN132" s="27" t="n">
        <v>0</v>
      </c>
      <c r="BO132" s="27" t="n">
        <v>0</v>
      </c>
      <c r="BP132" s="27" t="n">
        <v>0</v>
      </c>
      <c r="BQ132" s="27" t="n">
        <v>0</v>
      </c>
      <c r="BR132" s="27" t="n">
        <v>0</v>
      </c>
      <c r="BS132" s="27" t="n">
        <v>0</v>
      </c>
      <c r="BT132" s="27" t="n">
        <v>0</v>
      </c>
      <c r="BU132" s="27" t="n">
        <v>0</v>
      </c>
      <c r="BV132" s="27" t="n">
        <v>0</v>
      </c>
      <c r="BW132" s="27" t="n">
        <v>0</v>
      </c>
      <c r="BX132" s="27" t="n">
        <v>0</v>
      </c>
      <c r="BY132" s="27" t="n">
        <v>0</v>
      </c>
      <c r="BZ132" s="27" t="n">
        <v>0</v>
      </c>
      <c r="CA132" s="27" t="n">
        <v>0</v>
      </c>
      <c r="CB132" s="27" t="n">
        <v>0</v>
      </c>
      <c r="CC132" s="27" t="n">
        <v>0</v>
      </c>
      <c r="CD132" s="27" t="n">
        <v>0</v>
      </c>
      <c r="CE132" s="27" t="n">
        <v>0</v>
      </c>
      <c r="CF132" s="27" t="n">
        <v>0</v>
      </c>
      <c r="CG132" s="27" t="n">
        <v>0</v>
      </c>
      <c r="CH132" s="27" t="n">
        <v>0</v>
      </c>
      <c r="CI132" s="27" t="n">
        <v>0</v>
      </c>
      <c r="CJ132" s="27" t="n">
        <v>0</v>
      </c>
      <c r="CK132" s="27" t="n">
        <v>0</v>
      </c>
      <c r="CL132" s="27" t="n">
        <v>0</v>
      </c>
      <c r="CM132" s="27" t="n">
        <v>0</v>
      </c>
      <c r="CN132" s="27" t="n">
        <v>0</v>
      </c>
      <c r="CO132" s="27" t="n">
        <v>0</v>
      </c>
      <c r="CP132" s="27" t="n">
        <v>0</v>
      </c>
      <c r="CQ132" s="27" t="n">
        <v>0</v>
      </c>
      <c r="CR132" s="27" t="n">
        <v>0</v>
      </c>
      <c r="CS132" s="27" t="n">
        <v>0</v>
      </c>
      <c r="CT132" s="27" t="n">
        <v>0</v>
      </c>
      <c r="CU132" s="27" t="n">
        <v>0</v>
      </c>
      <c r="CV132" s="27" t="n">
        <v>0</v>
      </c>
      <c r="CW132" s="27" t="n">
        <v>0</v>
      </c>
      <c r="CX132" s="27" t="n">
        <v>0</v>
      </c>
      <c r="CY132" s="27" t="n">
        <v>0</v>
      </c>
      <c r="CZ132" s="27" t="n">
        <v>0</v>
      </c>
      <c r="DA132" s="27" t="n">
        <v>0</v>
      </c>
    </row>
    <row r="133">
      <c r="A133" t="inlineStr">
        <is>
          <t>F3060</t>
        </is>
      </c>
      <c r="B133" s="27" t="n">
        <v>0</v>
      </c>
      <c r="C133" s="27" t="n">
        <v>0</v>
      </c>
      <c r="D133" s="27" t="n">
        <v>0</v>
      </c>
      <c r="E133" s="27" t="n">
        <v>0</v>
      </c>
      <c r="F133" s="27" t="n">
        <v>0</v>
      </c>
      <c r="G133" s="27" t="n">
        <v>0</v>
      </c>
      <c r="H133" s="27" t="n">
        <v>0</v>
      </c>
      <c r="I133" s="27" t="n">
        <v>0</v>
      </c>
      <c r="J133" s="27" t="n">
        <v>0</v>
      </c>
      <c r="K133" s="27" t="n">
        <v>0</v>
      </c>
      <c r="L133" s="27" t="n">
        <v>0</v>
      </c>
      <c r="M133" s="27" t="n">
        <v>0</v>
      </c>
      <c r="N133" s="27" t="n">
        <v>0</v>
      </c>
      <c r="O133" s="27" t="n">
        <v>0</v>
      </c>
      <c r="P133" s="27" t="n">
        <v>0</v>
      </c>
      <c r="Q133" s="27" t="n">
        <v>0</v>
      </c>
      <c r="R133" s="27" t="n">
        <v>0</v>
      </c>
      <c r="S133" s="27" t="n">
        <v>0</v>
      </c>
      <c r="T133" s="27" t="n">
        <v>0</v>
      </c>
      <c r="U133" s="27" t="n">
        <v>0</v>
      </c>
      <c r="V133" s="27" t="n">
        <v>0</v>
      </c>
      <c r="W133" s="27" t="n">
        <v>0</v>
      </c>
      <c r="X133" s="27" t="n">
        <v>0</v>
      </c>
      <c r="Y133" s="27" t="n">
        <v>0</v>
      </c>
      <c r="Z133" s="27" t="n">
        <v>0</v>
      </c>
      <c r="AA133" s="27" t="n">
        <v>0</v>
      </c>
      <c r="AB133" s="27" t="n">
        <v>0</v>
      </c>
      <c r="AC133" s="27" t="n">
        <v>0</v>
      </c>
      <c r="AD133" s="27" t="n">
        <v>0</v>
      </c>
      <c r="AE133" s="27" t="n">
        <v>0</v>
      </c>
      <c r="AF133" s="27" t="n">
        <v>0</v>
      </c>
      <c r="AG133" s="27" t="n">
        <v>0</v>
      </c>
      <c r="AH133" s="27" t="n">
        <v>0</v>
      </c>
      <c r="AI133" s="27" t="n">
        <v>0</v>
      </c>
      <c r="AJ133" s="27" t="n">
        <v>0</v>
      </c>
      <c r="AK133" s="27" t="n">
        <v>0</v>
      </c>
      <c r="AL133" s="27" t="n">
        <v>0</v>
      </c>
      <c r="AM133" s="27" t="n">
        <v>0</v>
      </c>
      <c r="AN133" s="27" t="n">
        <v>0</v>
      </c>
      <c r="AO133" s="27" t="n">
        <v>0</v>
      </c>
      <c r="AP133" s="27" t="n">
        <v>0</v>
      </c>
      <c r="AQ133" s="27" t="n">
        <v>0</v>
      </c>
      <c r="AR133" s="27" t="n">
        <v>0</v>
      </c>
      <c r="AS133" s="27" t="n">
        <v>0</v>
      </c>
      <c r="AT133" s="27" t="n">
        <v>0</v>
      </c>
      <c r="AU133" s="27" t="n">
        <v>0</v>
      </c>
      <c r="AV133" s="27" t="n">
        <v>0</v>
      </c>
      <c r="AW133" s="27" t="n">
        <v>0</v>
      </c>
      <c r="AX133" s="27" t="n">
        <v>0</v>
      </c>
      <c r="AY133" s="27" t="n">
        <v>0</v>
      </c>
      <c r="AZ133" s="27" t="n">
        <v>0</v>
      </c>
      <c r="BA133" s="27" t="n">
        <v>0</v>
      </c>
      <c r="BB133" s="27" t="n">
        <v>0</v>
      </c>
      <c r="BC133" s="27" t="n">
        <v>0</v>
      </c>
      <c r="BD133" s="27" t="n">
        <v>0</v>
      </c>
      <c r="BE133" s="27" t="n">
        <v>0</v>
      </c>
      <c r="BF133" s="27" t="n">
        <v>0</v>
      </c>
      <c r="BG133" s="27" t="n">
        <v>0</v>
      </c>
      <c r="BH133" s="27" t="n">
        <v>0</v>
      </c>
      <c r="BI133" s="27" t="n">
        <v>0</v>
      </c>
      <c r="BJ133" s="27" t="n">
        <v>0</v>
      </c>
      <c r="BK133" s="27" t="n">
        <v>0</v>
      </c>
      <c r="BL133" s="27" t="n">
        <v>0</v>
      </c>
      <c r="BM133" s="27" t="n">
        <v>0</v>
      </c>
      <c r="BN133" s="27" t="n">
        <v>0</v>
      </c>
      <c r="BO133" s="27" t="n">
        <v>0</v>
      </c>
      <c r="BP133" s="27" t="n">
        <v>0</v>
      </c>
      <c r="BQ133" s="27" t="n">
        <v>0</v>
      </c>
      <c r="BR133" s="27" t="n">
        <v>0</v>
      </c>
      <c r="BS133" s="27" t="n">
        <v>0</v>
      </c>
      <c r="BT133" s="27" t="n">
        <v>0</v>
      </c>
      <c r="BU133" s="27" t="n">
        <v>0</v>
      </c>
      <c r="BV133" s="27" t="n">
        <v>0</v>
      </c>
      <c r="BW133" s="27" t="n">
        <v>0</v>
      </c>
      <c r="BX133" s="27" t="n">
        <v>0</v>
      </c>
      <c r="BY133" s="27" t="n">
        <v>0</v>
      </c>
      <c r="BZ133" s="27" t="n">
        <v>0</v>
      </c>
      <c r="CA133" s="27" t="n">
        <v>0</v>
      </c>
      <c r="CB133" s="27" t="n">
        <v>0</v>
      </c>
      <c r="CC133" s="27" t="n">
        <v>0</v>
      </c>
      <c r="CD133" s="27" t="n">
        <v>0</v>
      </c>
      <c r="CE133" s="27" t="n">
        <v>0</v>
      </c>
      <c r="CF133" s="27" t="n">
        <v>0</v>
      </c>
      <c r="CG133" s="27" t="n">
        <v>0</v>
      </c>
      <c r="CH133" s="27" t="n">
        <v>0</v>
      </c>
      <c r="CI133" s="27" t="n">
        <v>0</v>
      </c>
      <c r="CJ133" s="27" t="n">
        <v>0</v>
      </c>
      <c r="CK133" s="27" t="n">
        <v>0</v>
      </c>
      <c r="CL133" s="27" t="n">
        <v>0</v>
      </c>
      <c r="CM133" s="27" t="n">
        <v>0</v>
      </c>
      <c r="CN133" s="27" t="n">
        <v>0</v>
      </c>
      <c r="CO133" s="27" t="n">
        <v>0</v>
      </c>
      <c r="CP133" s="27" t="n">
        <v>0</v>
      </c>
      <c r="CQ133" s="27" t="n">
        <v>0</v>
      </c>
      <c r="CR133" s="27" t="n">
        <v>0</v>
      </c>
      <c r="CS133" s="27" t="n">
        <v>0</v>
      </c>
      <c r="CT133" s="27" t="n">
        <v>0</v>
      </c>
      <c r="CU133" s="27" t="n">
        <v>0</v>
      </c>
      <c r="CV133" s="27" t="n">
        <v>0</v>
      </c>
      <c r="CW133" s="27" t="n">
        <v>0</v>
      </c>
      <c r="CX133" s="27" t="n">
        <v>0</v>
      </c>
      <c r="CY133" s="27" t="n">
        <v>0</v>
      </c>
      <c r="CZ133" s="27" t="n">
        <v>0</v>
      </c>
      <c r="DA133" s="27" t="n">
        <v>0</v>
      </c>
    </row>
    <row r="134">
      <c r="A134" t="inlineStr">
        <is>
          <t>K0030</t>
        </is>
      </c>
      <c r="B134" s="27" t="n">
        <v>0</v>
      </c>
      <c r="C134" s="27" t="n">
        <v>0</v>
      </c>
      <c r="D134" s="27" t="n">
        <v>0</v>
      </c>
      <c r="E134" s="27" t="n">
        <v>0</v>
      </c>
      <c r="F134" s="27" t="n">
        <v>0</v>
      </c>
      <c r="G134" s="27" t="n">
        <v>0</v>
      </c>
      <c r="H134" s="27" t="n">
        <v>0</v>
      </c>
      <c r="I134" s="27" t="n">
        <v>0</v>
      </c>
      <c r="J134" s="27" t="n">
        <v>0</v>
      </c>
      <c r="K134" s="27" t="n">
        <v>0</v>
      </c>
      <c r="L134" s="27" t="n">
        <v>0</v>
      </c>
      <c r="M134" s="27" t="n">
        <v>0</v>
      </c>
      <c r="N134" s="27" t="n">
        <v>0</v>
      </c>
      <c r="O134" s="27" t="n">
        <v>0</v>
      </c>
      <c r="P134" s="27" t="n">
        <v>0</v>
      </c>
      <c r="Q134" s="27" t="n">
        <v>0</v>
      </c>
      <c r="R134" s="27" t="n">
        <v>0</v>
      </c>
      <c r="S134" s="27" t="n">
        <v>0</v>
      </c>
      <c r="T134" s="27" t="n">
        <v>0</v>
      </c>
      <c r="U134" s="27" t="n">
        <v>0</v>
      </c>
      <c r="V134" s="27" t="n">
        <v>0</v>
      </c>
      <c r="W134" s="27" t="n">
        <v>0</v>
      </c>
      <c r="X134" s="27" t="n">
        <v>0</v>
      </c>
      <c r="Y134" s="27" t="n">
        <v>0</v>
      </c>
      <c r="Z134" s="27" t="n">
        <v>0</v>
      </c>
      <c r="AA134" s="27" t="n">
        <v>0</v>
      </c>
      <c r="AB134" s="27" t="n">
        <v>0</v>
      </c>
      <c r="AC134" s="27" t="n">
        <v>0</v>
      </c>
      <c r="AD134" s="27" t="n">
        <v>0</v>
      </c>
      <c r="AE134" s="27" t="n">
        <v>0</v>
      </c>
      <c r="AF134" s="27" t="n">
        <v>0</v>
      </c>
      <c r="AG134" s="27" t="n">
        <v>0</v>
      </c>
      <c r="AH134" s="27" t="n">
        <v>0</v>
      </c>
      <c r="AI134" s="27" t="n">
        <v>0</v>
      </c>
      <c r="AJ134" s="27" t="n">
        <v>0</v>
      </c>
      <c r="AK134" s="27" t="n">
        <v>0</v>
      </c>
      <c r="AL134" s="27" t="n">
        <v>0</v>
      </c>
      <c r="AM134" s="27" t="n">
        <v>0</v>
      </c>
      <c r="AN134" s="27" t="n">
        <v>0</v>
      </c>
      <c r="AO134" s="27" t="n">
        <v>0</v>
      </c>
      <c r="AP134" s="27" t="n">
        <v>0</v>
      </c>
      <c r="AQ134" s="27" t="n">
        <v>0</v>
      </c>
      <c r="AR134" s="27" t="n">
        <v>0</v>
      </c>
      <c r="AS134" s="27" t="n">
        <v>0</v>
      </c>
      <c r="AT134" s="27" t="n">
        <v>0</v>
      </c>
      <c r="AU134" s="27" t="n">
        <v>0</v>
      </c>
      <c r="AV134" s="27" t="n">
        <v>0</v>
      </c>
      <c r="AW134" s="27" t="n">
        <v>0</v>
      </c>
      <c r="AX134" s="27" t="n">
        <v>0</v>
      </c>
      <c r="AY134" s="27" t="n">
        <v>0</v>
      </c>
      <c r="AZ134" s="27" t="n">
        <v>0</v>
      </c>
      <c r="BA134" s="27" t="n">
        <v>0</v>
      </c>
      <c r="BB134" s="27" t="n">
        <v>0</v>
      </c>
      <c r="BC134" s="27" t="n">
        <v>0</v>
      </c>
      <c r="BD134" s="27" t="n">
        <v>0</v>
      </c>
      <c r="BE134" s="27" t="n">
        <v>0</v>
      </c>
      <c r="BF134" s="27" t="n">
        <v>0</v>
      </c>
      <c r="BG134" s="27" t="n">
        <v>0</v>
      </c>
      <c r="BH134" s="27" t="n">
        <v>0</v>
      </c>
      <c r="BI134" s="27" t="n">
        <v>0</v>
      </c>
      <c r="BJ134" s="27" t="n">
        <v>0</v>
      </c>
      <c r="BK134" s="27" t="n">
        <v>0</v>
      </c>
      <c r="BL134" s="27" t="n">
        <v>0</v>
      </c>
      <c r="BM134" s="27" t="n">
        <v>0</v>
      </c>
      <c r="BN134" s="27" t="n">
        <v>0</v>
      </c>
      <c r="BO134" s="27" t="n">
        <v>0</v>
      </c>
      <c r="BP134" s="27" t="n">
        <v>0</v>
      </c>
      <c r="BQ134" s="27" t="n">
        <v>0</v>
      </c>
      <c r="BR134" s="27" t="n">
        <v>0</v>
      </c>
      <c r="BS134" s="27" t="n">
        <v>0</v>
      </c>
      <c r="BT134" s="27" t="n">
        <v>0</v>
      </c>
      <c r="BU134" s="27" t="n">
        <v>0</v>
      </c>
      <c r="BV134" s="27" t="n">
        <v>0</v>
      </c>
      <c r="BW134" s="27" t="n">
        <v>0</v>
      </c>
      <c r="BX134" s="27" t="n">
        <v>0</v>
      </c>
      <c r="BY134" s="27" t="n">
        <v>0</v>
      </c>
      <c r="BZ134" s="27" t="n">
        <v>0</v>
      </c>
      <c r="CA134" s="27" t="n">
        <v>0</v>
      </c>
      <c r="CB134" s="27" t="n">
        <v>0</v>
      </c>
      <c r="CC134" s="27" t="n">
        <v>0</v>
      </c>
      <c r="CD134" s="27" t="n">
        <v>0</v>
      </c>
      <c r="CE134" s="27" t="n">
        <v>0</v>
      </c>
      <c r="CF134" s="27" t="n">
        <v>0</v>
      </c>
      <c r="CG134" s="27" t="n">
        <v>0</v>
      </c>
      <c r="CH134" s="27" t="n">
        <v>0</v>
      </c>
      <c r="CI134" s="27" t="n">
        <v>0</v>
      </c>
      <c r="CJ134" s="27" t="n">
        <v>0</v>
      </c>
      <c r="CK134" s="27" t="n">
        <v>0</v>
      </c>
      <c r="CL134" s="27" t="n">
        <v>0</v>
      </c>
      <c r="CM134" s="27" t="n">
        <v>0</v>
      </c>
      <c r="CN134" s="27" t="n">
        <v>0</v>
      </c>
      <c r="CO134" s="27" t="n">
        <v>0</v>
      </c>
      <c r="CP134" s="27" t="n">
        <v>0</v>
      </c>
      <c r="CQ134" s="27" t="n">
        <v>0</v>
      </c>
      <c r="CR134" s="27" t="n">
        <v>0</v>
      </c>
      <c r="CS134" s="27" t="n">
        <v>0</v>
      </c>
      <c r="CT134" s="27" t="n">
        <v>0</v>
      </c>
      <c r="CU134" s="27" t="n">
        <v>0</v>
      </c>
      <c r="CV134" s="27" t="n">
        <v>0</v>
      </c>
      <c r="CW134" s="27" t="n">
        <v>0</v>
      </c>
      <c r="CX134" s="27" t="n">
        <v>0</v>
      </c>
      <c r="CY134" s="27" t="n">
        <v>0</v>
      </c>
      <c r="CZ134" s="27" t="n">
        <v>0</v>
      </c>
      <c r="DA134" s="27" t="n">
        <v>0</v>
      </c>
    </row>
    <row r="135">
      <c r="A135" t="inlineStr">
        <is>
          <t>TSP-1555</t>
        </is>
      </c>
      <c r="B135" s="27" t="n">
        <v>0</v>
      </c>
      <c r="C135" s="27" t="n">
        <v>0</v>
      </c>
      <c r="D135" s="27" t="n">
        <v>0</v>
      </c>
      <c r="E135" s="27" t="n">
        <v>0</v>
      </c>
      <c r="F135" s="27" t="n">
        <v>0</v>
      </c>
      <c r="G135" s="27" t="n">
        <v>0</v>
      </c>
      <c r="H135" s="27" t="n">
        <v>0</v>
      </c>
      <c r="I135" s="27" t="n">
        <v>0</v>
      </c>
      <c r="J135" s="27" t="n">
        <v>0</v>
      </c>
      <c r="K135" s="27" t="n">
        <v>0</v>
      </c>
      <c r="L135" s="27" t="n">
        <v>0</v>
      </c>
      <c r="M135" s="27" t="n">
        <v>0</v>
      </c>
      <c r="N135" s="27" t="n">
        <v>0</v>
      </c>
      <c r="O135" s="27" t="n">
        <v>0</v>
      </c>
      <c r="P135" s="27" t="n">
        <v>0</v>
      </c>
      <c r="Q135" s="27" t="n">
        <v>0</v>
      </c>
      <c r="R135" s="27" t="n">
        <v>0</v>
      </c>
      <c r="S135" s="27" t="n">
        <v>0</v>
      </c>
      <c r="T135" s="27" t="n">
        <v>0</v>
      </c>
      <c r="U135" s="27" t="n">
        <v>0</v>
      </c>
      <c r="V135" s="27" t="n">
        <v>0</v>
      </c>
      <c r="W135" s="27" t="n">
        <v>0</v>
      </c>
      <c r="X135" s="27" t="n">
        <v>0</v>
      </c>
      <c r="Y135" s="27" t="n">
        <v>0</v>
      </c>
      <c r="Z135" s="27" t="n">
        <v>0</v>
      </c>
      <c r="AA135" s="27" t="n">
        <v>0</v>
      </c>
      <c r="AB135" s="27" t="n">
        <v>0</v>
      </c>
      <c r="AC135" s="27" t="n">
        <v>0</v>
      </c>
      <c r="AD135" s="27" t="n">
        <v>0</v>
      </c>
      <c r="AE135" s="27" t="n">
        <v>0</v>
      </c>
      <c r="AF135" s="27" t="n">
        <v>0</v>
      </c>
      <c r="AG135" s="27" t="n">
        <v>0</v>
      </c>
      <c r="AH135" s="27" t="n">
        <v>0</v>
      </c>
      <c r="AI135" s="27" t="n">
        <v>0</v>
      </c>
      <c r="AJ135" s="27" t="n">
        <v>0</v>
      </c>
      <c r="AK135" s="27" t="n">
        <v>0</v>
      </c>
      <c r="AL135" s="27" t="n">
        <v>0</v>
      </c>
      <c r="AM135" s="27" t="n">
        <v>0</v>
      </c>
      <c r="AN135" s="27" t="n">
        <v>0</v>
      </c>
      <c r="AO135" s="27" t="n">
        <v>0</v>
      </c>
      <c r="AP135" s="27" t="n">
        <v>0</v>
      </c>
      <c r="AQ135" s="27" t="n">
        <v>0</v>
      </c>
      <c r="AR135" s="27" t="n">
        <v>0</v>
      </c>
      <c r="AS135" s="27" t="n">
        <v>0</v>
      </c>
      <c r="AT135" s="27" t="n">
        <v>0</v>
      </c>
      <c r="AU135" s="27" t="n">
        <v>0</v>
      </c>
      <c r="AV135" s="27" t="n">
        <v>0</v>
      </c>
      <c r="AW135" s="27" t="n">
        <v>0</v>
      </c>
      <c r="AX135" s="27" t="n">
        <v>0</v>
      </c>
      <c r="AY135" s="27" t="n">
        <v>0</v>
      </c>
      <c r="AZ135" s="27" t="n">
        <v>0</v>
      </c>
      <c r="BA135" s="27" t="n">
        <v>0</v>
      </c>
      <c r="BB135" s="27" t="n">
        <v>0</v>
      </c>
      <c r="BC135" s="27" t="n">
        <v>0</v>
      </c>
      <c r="BD135" s="27" t="n">
        <v>0</v>
      </c>
      <c r="BE135" s="27" t="n">
        <v>0</v>
      </c>
      <c r="BF135" s="27" t="n">
        <v>0</v>
      </c>
      <c r="BG135" s="27" t="n">
        <v>0</v>
      </c>
      <c r="BH135" s="27" t="n">
        <v>0</v>
      </c>
      <c r="BI135" s="27" t="n">
        <v>0</v>
      </c>
      <c r="BJ135" s="27" t="n">
        <v>0</v>
      </c>
      <c r="BK135" s="27" t="n">
        <v>0</v>
      </c>
      <c r="BL135" s="27" t="n">
        <v>0</v>
      </c>
      <c r="BM135" s="27" t="n">
        <v>0</v>
      </c>
      <c r="BN135" s="27" t="n">
        <v>0</v>
      </c>
      <c r="BO135" s="27" t="n">
        <v>0</v>
      </c>
      <c r="BP135" s="27" t="n">
        <v>0</v>
      </c>
      <c r="BQ135" s="27" t="n">
        <v>0</v>
      </c>
      <c r="BR135" s="27" t="n">
        <v>0</v>
      </c>
      <c r="BS135" s="27" t="n">
        <v>0</v>
      </c>
      <c r="BT135" s="27" t="n">
        <v>0</v>
      </c>
      <c r="BU135" s="27" t="n">
        <v>0</v>
      </c>
      <c r="BV135" s="27" t="n">
        <v>0</v>
      </c>
      <c r="BW135" s="27" t="n">
        <v>0</v>
      </c>
      <c r="BX135" s="27" t="n">
        <v>0</v>
      </c>
      <c r="BY135" s="27" t="n">
        <v>0</v>
      </c>
      <c r="BZ135" s="27" t="n">
        <v>0</v>
      </c>
      <c r="CA135" s="27" t="n">
        <v>0</v>
      </c>
      <c r="CB135" s="27" t="n">
        <v>0</v>
      </c>
      <c r="CC135" s="27" t="n">
        <v>0</v>
      </c>
      <c r="CD135" s="27" t="n">
        <v>0</v>
      </c>
      <c r="CE135" s="27" t="n">
        <v>0</v>
      </c>
      <c r="CF135" s="27" t="n">
        <v>0</v>
      </c>
      <c r="CG135" s="27" t="n">
        <v>0</v>
      </c>
      <c r="CH135" s="27" t="n">
        <v>0</v>
      </c>
      <c r="CI135" s="27" t="n">
        <v>0</v>
      </c>
      <c r="CJ135" s="27" t="n">
        <v>0</v>
      </c>
      <c r="CK135" s="27" t="n">
        <v>0</v>
      </c>
      <c r="CL135" s="27" t="n">
        <v>0</v>
      </c>
      <c r="CM135" s="27" t="n">
        <v>0</v>
      </c>
      <c r="CN135" s="27" t="n">
        <v>0</v>
      </c>
      <c r="CO135" s="27" t="n">
        <v>0</v>
      </c>
      <c r="CP135" s="27" t="n">
        <v>0</v>
      </c>
      <c r="CQ135" s="27" t="n">
        <v>0</v>
      </c>
      <c r="CR135" s="27" t="n">
        <v>0</v>
      </c>
      <c r="CS135" s="27" t="n">
        <v>0</v>
      </c>
      <c r="CT135" s="27" t="n">
        <v>0</v>
      </c>
      <c r="CU135" s="27" t="n">
        <v>0</v>
      </c>
      <c r="CV135" s="27" t="n">
        <v>0</v>
      </c>
      <c r="CW135" s="27" t="n">
        <v>0</v>
      </c>
      <c r="CX135" s="27" t="n">
        <v>0</v>
      </c>
      <c r="CY135" s="27" t="n">
        <v>0</v>
      </c>
      <c r="CZ135" s="27" t="n">
        <v>0</v>
      </c>
      <c r="DA135" s="27" t="n">
        <v>0</v>
      </c>
    </row>
    <row r="136">
      <c r="A136" t="inlineStr">
        <is>
          <t>V14</t>
        </is>
      </c>
      <c r="B136" s="27" t="n">
        <v>0</v>
      </c>
      <c r="C136" s="27" t="n">
        <v>0</v>
      </c>
      <c r="D136" s="27" t="n">
        <v>0</v>
      </c>
      <c r="E136" s="27" t="n">
        <v>0</v>
      </c>
      <c r="F136" s="27" t="n">
        <v>0</v>
      </c>
      <c r="G136" s="27" t="n">
        <v>0</v>
      </c>
      <c r="H136" s="27" t="n">
        <v>0</v>
      </c>
      <c r="I136" s="27" t="n">
        <v>0</v>
      </c>
      <c r="J136" s="27" t="n">
        <v>0</v>
      </c>
      <c r="K136" s="27" t="n">
        <v>0</v>
      </c>
      <c r="L136" s="27" t="n">
        <v>0</v>
      </c>
      <c r="M136" s="27" t="n">
        <v>0</v>
      </c>
      <c r="N136" s="27" t="n">
        <v>0</v>
      </c>
      <c r="O136" s="27" t="n">
        <v>0</v>
      </c>
      <c r="P136" s="27" t="n">
        <v>0</v>
      </c>
      <c r="Q136" s="27" t="n">
        <v>0</v>
      </c>
      <c r="R136" s="27" t="n">
        <v>0</v>
      </c>
      <c r="S136" s="27" t="n">
        <v>0</v>
      </c>
      <c r="T136" s="27" t="n">
        <v>0</v>
      </c>
      <c r="U136" s="27" t="n">
        <v>0</v>
      </c>
      <c r="V136" s="27" t="n">
        <v>0</v>
      </c>
      <c r="W136" s="27" t="n">
        <v>0</v>
      </c>
      <c r="X136" s="27" t="n">
        <v>0</v>
      </c>
      <c r="Y136" s="27" t="n">
        <v>0</v>
      </c>
      <c r="Z136" s="27" t="n">
        <v>0</v>
      </c>
      <c r="AA136" s="27" t="n">
        <v>0</v>
      </c>
      <c r="AB136" s="27" t="n">
        <v>0</v>
      </c>
      <c r="AC136" s="27" t="n">
        <v>0</v>
      </c>
      <c r="AD136" s="27" t="n">
        <v>0</v>
      </c>
      <c r="AE136" s="27" t="n">
        <v>0</v>
      </c>
      <c r="AF136" s="27" t="n">
        <v>0</v>
      </c>
      <c r="AG136" s="27" t="n">
        <v>0</v>
      </c>
      <c r="AH136" s="27" t="n">
        <v>0</v>
      </c>
      <c r="AI136" s="27" t="n">
        <v>0</v>
      </c>
      <c r="AJ136" s="27" t="n">
        <v>0</v>
      </c>
      <c r="AK136" s="27" t="n">
        <v>0</v>
      </c>
      <c r="AL136" s="27" t="n">
        <v>0</v>
      </c>
      <c r="AM136" s="27" t="n">
        <v>0</v>
      </c>
      <c r="AN136" s="27" t="n">
        <v>0</v>
      </c>
      <c r="AO136" s="27" t="n">
        <v>0</v>
      </c>
      <c r="AP136" s="27" t="n">
        <v>0</v>
      </c>
      <c r="AQ136" s="27" t="n">
        <v>0</v>
      </c>
      <c r="AR136" s="27" t="n">
        <v>0</v>
      </c>
      <c r="AS136" s="27" t="n">
        <v>0</v>
      </c>
      <c r="AT136" s="27" t="n">
        <v>0</v>
      </c>
      <c r="AU136" s="27" t="n">
        <v>0</v>
      </c>
      <c r="AV136" s="27" t="n">
        <v>0</v>
      </c>
      <c r="AW136" s="27" t="n">
        <v>0</v>
      </c>
      <c r="AX136" s="27" t="n">
        <v>0</v>
      </c>
      <c r="AY136" s="27" t="n">
        <v>0</v>
      </c>
      <c r="AZ136" s="27" t="n">
        <v>0</v>
      </c>
      <c r="BA136" s="27" t="n">
        <v>0</v>
      </c>
      <c r="BB136" s="27" t="n">
        <v>0</v>
      </c>
      <c r="BC136" s="27" t="n">
        <v>0</v>
      </c>
      <c r="BD136" s="27" t="n">
        <v>0</v>
      </c>
      <c r="BE136" s="27" t="n">
        <v>0</v>
      </c>
      <c r="BF136" s="27" t="n">
        <v>0</v>
      </c>
      <c r="BG136" s="27" t="n">
        <v>0</v>
      </c>
      <c r="BH136" s="27" t="n">
        <v>0</v>
      </c>
      <c r="BI136" s="27" t="n">
        <v>0</v>
      </c>
      <c r="BJ136" s="27" t="n">
        <v>0</v>
      </c>
      <c r="BK136" s="27" t="n">
        <v>0</v>
      </c>
      <c r="BL136" s="27" t="n">
        <v>0</v>
      </c>
      <c r="BM136" s="27" t="n">
        <v>0</v>
      </c>
      <c r="BN136" s="27" t="n">
        <v>0</v>
      </c>
      <c r="BO136" s="27" t="n">
        <v>0</v>
      </c>
      <c r="BP136" s="27" t="n">
        <v>0</v>
      </c>
      <c r="BQ136" s="27" t="n">
        <v>0</v>
      </c>
      <c r="BR136" s="27" t="n">
        <v>0</v>
      </c>
      <c r="BS136" s="27" t="n">
        <v>0</v>
      </c>
      <c r="BT136" s="27" t="n">
        <v>0</v>
      </c>
      <c r="BU136" s="27" t="n">
        <v>0</v>
      </c>
      <c r="BV136" s="27" t="n">
        <v>0</v>
      </c>
      <c r="BW136" s="27" t="n">
        <v>0</v>
      </c>
      <c r="BX136" s="27" t="n">
        <v>0</v>
      </c>
      <c r="BY136" s="27" t="n">
        <v>0</v>
      </c>
      <c r="BZ136" s="27" t="n">
        <v>0</v>
      </c>
      <c r="CA136" s="27" t="n">
        <v>0</v>
      </c>
      <c r="CB136" s="27" t="n">
        <v>0</v>
      </c>
      <c r="CC136" s="27" t="n">
        <v>0</v>
      </c>
      <c r="CD136" s="27" t="n">
        <v>0</v>
      </c>
      <c r="CE136" s="27" t="n">
        <v>0</v>
      </c>
      <c r="CF136" s="27" t="n">
        <v>0</v>
      </c>
      <c r="CG136" s="27" t="n">
        <v>0</v>
      </c>
      <c r="CH136" s="27" t="n">
        <v>0</v>
      </c>
      <c r="CI136" s="27" t="n">
        <v>0</v>
      </c>
      <c r="CJ136" s="27" t="n">
        <v>0</v>
      </c>
      <c r="CK136" s="27" t="n">
        <v>0</v>
      </c>
      <c r="CL136" s="27" t="n">
        <v>0</v>
      </c>
      <c r="CM136" s="27" t="n">
        <v>0</v>
      </c>
      <c r="CN136" s="27" t="n">
        <v>0</v>
      </c>
      <c r="CO136" s="27" t="n">
        <v>0</v>
      </c>
      <c r="CP136" s="27" t="n">
        <v>0</v>
      </c>
      <c r="CQ136" s="27" t="n">
        <v>0</v>
      </c>
      <c r="CR136" s="27" t="n">
        <v>0</v>
      </c>
      <c r="CS136" s="27" t="n">
        <v>0</v>
      </c>
      <c r="CT136" s="27" t="n">
        <v>0</v>
      </c>
      <c r="CU136" s="27" t="n">
        <v>0</v>
      </c>
      <c r="CV136" s="27" t="n">
        <v>0</v>
      </c>
      <c r="CW136" s="27" t="n">
        <v>0</v>
      </c>
      <c r="CX136" s="27" t="n">
        <v>0</v>
      </c>
      <c r="CY136" s="27" t="n">
        <v>0</v>
      </c>
      <c r="CZ136" s="27" t="n">
        <v>0</v>
      </c>
      <c r="DA136" s="27" t="n">
        <v>0</v>
      </c>
    </row>
    <row r="137">
      <c r="A137" t="inlineStr">
        <is>
          <t>V17</t>
        </is>
      </c>
      <c r="B137" s="27" t="n">
        <v>0</v>
      </c>
      <c r="C137" s="27" t="n">
        <v>0</v>
      </c>
      <c r="D137" s="27" t="n">
        <v>0</v>
      </c>
      <c r="E137" s="27" t="n">
        <v>0</v>
      </c>
      <c r="F137" s="27" t="n">
        <v>0</v>
      </c>
      <c r="G137" s="27" t="n">
        <v>0</v>
      </c>
      <c r="H137" s="27" t="n">
        <v>0</v>
      </c>
      <c r="I137" s="27" t="n">
        <v>0</v>
      </c>
      <c r="J137" s="27" t="n">
        <v>0</v>
      </c>
      <c r="K137" s="27" t="n">
        <v>0</v>
      </c>
      <c r="L137" s="27" t="n">
        <v>0</v>
      </c>
      <c r="M137" s="27" t="n">
        <v>0</v>
      </c>
      <c r="N137" s="27" t="n">
        <v>0</v>
      </c>
      <c r="O137" s="27" t="n">
        <v>0</v>
      </c>
      <c r="P137" s="27" t="n">
        <v>0</v>
      </c>
      <c r="Q137" s="27" t="n">
        <v>0</v>
      </c>
      <c r="R137" s="27" t="n">
        <v>0</v>
      </c>
      <c r="S137" s="27" t="n">
        <v>0</v>
      </c>
      <c r="T137" s="27" t="n">
        <v>0</v>
      </c>
      <c r="U137" s="27" t="n">
        <v>0</v>
      </c>
      <c r="V137" s="27" t="n">
        <v>0</v>
      </c>
      <c r="W137" s="27" t="n">
        <v>0</v>
      </c>
      <c r="X137" s="27" t="n">
        <v>0</v>
      </c>
      <c r="Y137" s="27" t="n">
        <v>0</v>
      </c>
      <c r="Z137" s="27" t="n">
        <v>0</v>
      </c>
      <c r="AA137" s="27" t="n">
        <v>0</v>
      </c>
      <c r="AB137" s="27" t="n">
        <v>0</v>
      </c>
      <c r="AC137" s="27" t="n">
        <v>0</v>
      </c>
      <c r="AD137" s="27" t="n">
        <v>0</v>
      </c>
      <c r="AE137" s="27" t="n">
        <v>0</v>
      </c>
      <c r="AF137" s="27" t="n">
        <v>0</v>
      </c>
      <c r="AG137" s="27" t="n">
        <v>0</v>
      </c>
      <c r="AH137" s="27" t="n">
        <v>0</v>
      </c>
      <c r="AI137" s="27" t="n">
        <v>0</v>
      </c>
      <c r="AJ137" s="27" t="n">
        <v>0</v>
      </c>
      <c r="AK137" s="27" t="n">
        <v>0</v>
      </c>
      <c r="AL137" s="27" t="n">
        <v>0</v>
      </c>
      <c r="AM137" s="27" t="n">
        <v>0</v>
      </c>
      <c r="AN137" s="27" t="n">
        <v>0</v>
      </c>
      <c r="AO137" s="27" t="n">
        <v>0</v>
      </c>
      <c r="AP137" s="27" t="n">
        <v>0</v>
      </c>
      <c r="AQ137" s="27" t="n">
        <v>0</v>
      </c>
      <c r="AR137" s="27" t="n">
        <v>0</v>
      </c>
      <c r="AS137" s="27" t="n">
        <v>0</v>
      </c>
      <c r="AT137" s="27" t="n">
        <v>0</v>
      </c>
      <c r="AU137" s="27" t="n">
        <v>0</v>
      </c>
      <c r="AV137" s="27" t="n">
        <v>0</v>
      </c>
      <c r="AW137" s="27" t="n">
        <v>0</v>
      </c>
      <c r="AX137" s="27" t="n">
        <v>0</v>
      </c>
      <c r="AY137" s="27" t="n">
        <v>0</v>
      </c>
      <c r="AZ137" s="27" t="n">
        <v>0</v>
      </c>
      <c r="BA137" s="27" t="n">
        <v>0</v>
      </c>
      <c r="BB137" s="27" t="n">
        <v>0</v>
      </c>
      <c r="BC137" s="27" t="n">
        <v>0</v>
      </c>
      <c r="BD137" s="27" t="n">
        <v>0</v>
      </c>
      <c r="BE137" s="27" t="n">
        <v>0</v>
      </c>
      <c r="BF137" s="27" t="n">
        <v>0</v>
      </c>
      <c r="BG137" s="27" t="n">
        <v>0</v>
      </c>
      <c r="BH137" s="27" t="n">
        <v>0</v>
      </c>
      <c r="BI137" s="27" t="n">
        <v>0</v>
      </c>
      <c r="BJ137" s="27" t="n">
        <v>0</v>
      </c>
      <c r="BK137" s="27" t="n">
        <v>0</v>
      </c>
      <c r="BL137" s="27" t="n">
        <v>0</v>
      </c>
      <c r="BM137" s="27" t="n">
        <v>0</v>
      </c>
      <c r="BN137" s="27" t="n">
        <v>0</v>
      </c>
      <c r="BO137" s="27" t="n">
        <v>0</v>
      </c>
      <c r="BP137" s="27" t="n">
        <v>0</v>
      </c>
      <c r="BQ137" s="27" t="n">
        <v>0</v>
      </c>
      <c r="BR137" s="27" t="n">
        <v>0</v>
      </c>
      <c r="BS137" s="27" t="n">
        <v>0</v>
      </c>
      <c r="BT137" s="27" t="n">
        <v>0</v>
      </c>
      <c r="BU137" s="27" t="n">
        <v>0</v>
      </c>
      <c r="BV137" s="27" t="n">
        <v>0</v>
      </c>
      <c r="BW137" s="27" t="n">
        <v>0</v>
      </c>
      <c r="BX137" s="27" t="n">
        <v>0</v>
      </c>
      <c r="BY137" s="27" t="n">
        <v>0</v>
      </c>
      <c r="BZ137" s="27" t="n">
        <v>0</v>
      </c>
      <c r="CA137" s="27" t="n">
        <v>0</v>
      </c>
      <c r="CB137" s="27" t="n">
        <v>0</v>
      </c>
      <c r="CC137" s="27" t="n">
        <v>0</v>
      </c>
      <c r="CD137" s="27" t="n">
        <v>0</v>
      </c>
      <c r="CE137" s="27" t="n">
        <v>0</v>
      </c>
      <c r="CF137" s="27" t="n">
        <v>0</v>
      </c>
      <c r="CG137" s="27" t="n">
        <v>0</v>
      </c>
      <c r="CH137" s="27" t="n">
        <v>0</v>
      </c>
      <c r="CI137" s="27" t="n">
        <v>0</v>
      </c>
      <c r="CJ137" s="27" t="n">
        <v>0</v>
      </c>
      <c r="CK137" s="27" t="n">
        <v>0</v>
      </c>
      <c r="CL137" s="27" t="n">
        <v>0</v>
      </c>
      <c r="CM137" s="27" t="n">
        <v>0</v>
      </c>
      <c r="CN137" s="27" t="n">
        <v>0</v>
      </c>
      <c r="CO137" s="27" t="n">
        <v>0</v>
      </c>
      <c r="CP137" s="27" t="n">
        <v>0</v>
      </c>
      <c r="CQ137" s="27" t="n">
        <v>0</v>
      </c>
      <c r="CR137" s="27" t="n">
        <v>0</v>
      </c>
      <c r="CS137" s="27" t="n">
        <v>0</v>
      </c>
      <c r="CT137" s="27" t="n">
        <v>0</v>
      </c>
      <c r="CU137" s="27" t="n">
        <v>0</v>
      </c>
      <c r="CV137" s="27" t="n">
        <v>0</v>
      </c>
      <c r="CW137" s="27" t="n">
        <v>0</v>
      </c>
      <c r="CX137" s="27" t="n">
        <v>0</v>
      </c>
      <c r="CY137" s="27" t="n">
        <v>0</v>
      </c>
      <c r="CZ137" s="27" t="n">
        <v>0</v>
      </c>
      <c r="DA137" s="27" t="n">
        <v>0</v>
      </c>
    </row>
    <row r="138">
      <c r="A138" t="inlineStr">
        <is>
          <t>V18</t>
        </is>
      </c>
      <c r="B138" s="27" t="n">
        <v>0</v>
      </c>
      <c r="C138" s="27" t="n">
        <v>0</v>
      </c>
      <c r="D138" s="27" t="n">
        <v>0</v>
      </c>
      <c r="E138" s="27" t="n">
        <v>0</v>
      </c>
      <c r="F138" s="27" t="n">
        <v>0</v>
      </c>
      <c r="G138" s="27" t="n">
        <v>0</v>
      </c>
      <c r="H138" s="27" t="n">
        <v>0</v>
      </c>
      <c r="I138" s="27" t="n">
        <v>0</v>
      </c>
      <c r="J138" s="27" t="n">
        <v>0</v>
      </c>
      <c r="K138" s="27" t="n">
        <v>0</v>
      </c>
      <c r="L138" s="27" t="n">
        <v>0</v>
      </c>
      <c r="M138" s="27" t="n">
        <v>0</v>
      </c>
      <c r="N138" s="27" t="n">
        <v>0</v>
      </c>
      <c r="O138" s="27" t="n">
        <v>0</v>
      </c>
      <c r="P138" s="27" t="n">
        <v>0</v>
      </c>
      <c r="Q138" s="27" t="n">
        <v>0</v>
      </c>
      <c r="R138" s="27" t="n">
        <v>0</v>
      </c>
      <c r="S138" s="27" t="n">
        <v>0</v>
      </c>
      <c r="T138" s="27" t="n">
        <v>0</v>
      </c>
      <c r="U138" s="27" t="n">
        <v>0</v>
      </c>
      <c r="V138" s="27" t="n">
        <v>0</v>
      </c>
      <c r="W138" s="27" t="n">
        <v>0</v>
      </c>
      <c r="X138" s="27" t="n">
        <v>0</v>
      </c>
      <c r="Y138" s="27" t="n">
        <v>0</v>
      </c>
      <c r="Z138" s="27" t="n">
        <v>0</v>
      </c>
      <c r="AA138" s="27" t="n">
        <v>0</v>
      </c>
      <c r="AB138" s="27" t="n">
        <v>0</v>
      </c>
      <c r="AC138" s="27" t="n">
        <v>0</v>
      </c>
      <c r="AD138" s="27" t="n">
        <v>0</v>
      </c>
      <c r="AE138" s="27" t="n">
        <v>0</v>
      </c>
      <c r="AF138" s="27" t="n">
        <v>0</v>
      </c>
      <c r="AG138" s="27" t="n">
        <v>0</v>
      </c>
      <c r="AH138" s="27" t="n">
        <v>0</v>
      </c>
      <c r="AI138" s="27" t="n">
        <v>0</v>
      </c>
      <c r="AJ138" s="27" t="n">
        <v>0</v>
      </c>
      <c r="AK138" s="27" t="n">
        <v>0</v>
      </c>
      <c r="AL138" s="27" t="n">
        <v>0</v>
      </c>
      <c r="AM138" s="27" t="n">
        <v>0</v>
      </c>
      <c r="AN138" s="27" t="n">
        <v>0</v>
      </c>
      <c r="AO138" s="27" t="n">
        <v>0</v>
      </c>
      <c r="AP138" s="27" t="n">
        <v>0</v>
      </c>
      <c r="AQ138" s="27" t="n">
        <v>0</v>
      </c>
      <c r="AR138" s="27" t="n">
        <v>0</v>
      </c>
      <c r="AS138" s="27" t="n">
        <v>0</v>
      </c>
      <c r="AT138" s="27" t="n">
        <v>0</v>
      </c>
      <c r="AU138" s="27" t="n">
        <v>0</v>
      </c>
      <c r="AV138" s="27" t="n">
        <v>0</v>
      </c>
      <c r="AW138" s="27" t="n">
        <v>0</v>
      </c>
      <c r="AX138" s="27" t="n">
        <v>0</v>
      </c>
      <c r="AY138" s="27" t="n">
        <v>0</v>
      </c>
      <c r="AZ138" s="27" t="n">
        <v>0</v>
      </c>
      <c r="BA138" s="27" t="n">
        <v>0</v>
      </c>
      <c r="BB138" s="27" t="n">
        <v>0</v>
      </c>
      <c r="BC138" s="27" t="n">
        <v>0</v>
      </c>
      <c r="BD138" s="27" t="n">
        <v>0</v>
      </c>
      <c r="BE138" s="27" t="n">
        <v>0</v>
      </c>
      <c r="BF138" s="27" t="n">
        <v>0</v>
      </c>
      <c r="BG138" s="27" t="n">
        <v>0</v>
      </c>
      <c r="BH138" s="27" t="n">
        <v>0</v>
      </c>
      <c r="BI138" s="27" t="n">
        <v>0</v>
      </c>
      <c r="BJ138" s="27" t="n">
        <v>0</v>
      </c>
      <c r="BK138" s="27" t="n">
        <v>0</v>
      </c>
      <c r="BL138" s="27" t="n">
        <v>0</v>
      </c>
      <c r="BM138" s="27" t="n">
        <v>0</v>
      </c>
      <c r="BN138" s="27" t="n">
        <v>0</v>
      </c>
      <c r="BO138" s="27" t="n">
        <v>0</v>
      </c>
      <c r="BP138" s="27" t="n">
        <v>0</v>
      </c>
      <c r="BQ138" s="27" t="n">
        <v>0</v>
      </c>
      <c r="BR138" s="27" t="n">
        <v>0</v>
      </c>
      <c r="BS138" s="27" t="n">
        <v>0</v>
      </c>
      <c r="BT138" s="27" t="n">
        <v>0</v>
      </c>
      <c r="BU138" s="27" t="n">
        <v>0</v>
      </c>
      <c r="BV138" s="27" t="n">
        <v>0</v>
      </c>
      <c r="BW138" s="27" t="n">
        <v>0</v>
      </c>
      <c r="BX138" s="27" t="n">
        <v>0</v>
      </c>
      <c r="BY138" s="27" t="n">
        <v>0</v>
      </c>
      <c r="BZ138" s="27" t="n">
        <v>0</v>
      </c>
      <c r="CA138" s="27" t="n">
        <v>0</v>
      </c>
      <c r="CB138" s="27" t="n">
        <v>0</v>
      </c>
      <c r="CC138" s="27" t="n">
        <v>0</v>
      </c>
      <c r="CD138" s="27" t="n">
        <v>0</v>
      </c>
      <c r="CE138" s="27" t="n">
        <v>0</v>
      </c>
      <c r="CF138" s="27" t="n">
        <v>0</v>
      </c>
      <c r="CG138" s="27" t="n">
        <v>0</v>
      </c>
      <c r="CH138" s="27" t="n">
        <v>0</v>
      </c>
      <c r="CI138" s="27" t="n">
        <v>0</v>
      </c>
      <c r="CJ138" s="27" t="n">
        <v>0</v>
      </c>
      <c r="CK138" s="27" t="n">
        <v>0</v>
      </c>
      <c r="CL138" s="27" t="n">
        <v>0</v>
      </c>
      <c r="CM138" s="27" t="n">
        <v>0</v>
      </c>
      <c r="CN138" s="27" t="n">
        <v>0</v>
      </c>
      <c r="CO138" s="27" t="n">
        <v>0</v>
      </c>
      <c r="CP138" s="27" t="n">
        <v>0</v>
      </c>
      <c r="CQ138" s="27" t="n">
        <v>0</v>
      </c>
      <c r="CR138" s="27" t="n">
        <v>0</v>
      </c>
      <c r="CS138" s="27" t="n">
        <v>0</v>
      </c>
      <c r="CT138" s="27" t="n">
        <v>0</v>
      </c>
      <c r="CU138" s="27" t="n">
        <v>0</v>
      </c>
      <c r="CV138" s="27" t="n">
        <v>0</v>
      </c>
      <c r="CW138" s="27" t="n">
        <v>0</v>
      </c>
      <c r="CX138" s="27" t="n">
        <v>0</v>
      </c>
      <c r="CY138" s="27" t="n">
        <v>0</v>
      </c>
      <c r="CZ138" s="27" t="n">
        <v>0</v>
      </c>
      <c r="DA138" s="27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5" t="inlineStr">
        <is>
          <t>AnchorYear</t>
        </is>
      </c>
      <c r="B1" s="27" t="n">
        <v>2026</v>
      </c>
    </row>
    <row r="3">
      <c r="A3" s="6" t="inlineStr">
        <is>
          <t>WeekIndex</t>
        </is>
      </c>
      <c r="B3" s="6" t="inlineStr">
        <is>
          <t>WeekStart</t>
        </is>
      </c>
      <c r="C3" s="6" t="inlineStr">
        <is>
          <t>Year</t>
        </is>
      </c>
      <c r="D3" s="6" t="inlineStr">
        <is>
          <t>WeekOfYear</t>
        </is>
      </c>
      <c r="E3" s="6" t="inlineStr">
        <is>
          <t>Label</t>
        </is>
      </c>
      <c r="F3" s="6" t="inlineStr">
        <is>
          <t>WeekEnd</t>
        </is>
      </c>
      <c r="G3" s="6" t="inlineStr">
        <is>
          <t>MonthYearLabel</t>
        </is>
      </c>
    </row>
    <row r="4">
      <c r="A4" t="n">
        <v>1</v>
      </c>
      <c r="B4" s="24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24">
        <f>B4+6</f>
        <v/>
      </c>
      <c r="G4">
        <f>TEXT(B4,"mmm-yy")</f>
        <v/>
      </c>
    </row>
    <row r="5">
      <c r="A5" t="n">
        <v>2</v>
      </c>
      <c r="B5" s="24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24">
        <f>B5+6</f>
        <v/>
      </c>
      <c r="G5">
        <f>TEXT(B5,"mmm-yy")</f>
        <v/>
      </c>
    </row>
    <row r="6">
      <c r="A6" t="n">
        <v>3</v>
      </c>
      <c r="B6" s="24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24">
        <f>B6+6</f>
        <v/>
      </c>
      <c r="G6">
        <f>TEXT(B6,"mmm-yy")</f>
        <v/>
      </c>
    </row>
    <row r="7">
      <c r="A7" t="n">
        <v>4</v>
      </c>
      <c r="B7" s="24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24">
        <f>B7+6</f>
        <v/>
      </c>
      <c r="G7">
        <f>TEXT(B7,"mmm-yy")</f>
        <v/>
      </c>
    </row>
    <row r="8">
      <c r="A8" t="n">
        <v>5</v>
      </c>
      <c r="B8" s="24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24">
        <f>B8+6</f>
        <v/>
      </c>
      <c r="G8">
        <f>TEXT(B8,"mmm-yy")</f>
        <v/>
      </c>
    </row>
    <row r="9">
      <c r="A9" t="n">
        <v>6</v>
      </c>
      <c r="B9" s="24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24">
        <f>B9+6</f>
        <v/>
      </c>
      <c r="G9">
        <f>TEXT(B9,"mmm-yy")</f>
        <v/>
      </c>
    </row>
    <row r="10">
      <c r="A10" t="n">
        <v>7</v>
      </c>
      <c r="B10" s="24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24">
        <f>B10+6</f>
        <v/>
      </c>
      <c r="G10">
        <f>TEXT(B10,"mmm-yy")</f>
        <v/>
      </c>
    </row>
    <row r="11">
      <c r="A11" t="n">
        <v>8</v>
      </c>
      <c r="B11" s="24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24">
        <f>B11+6</f>
        <v/>
      </c>
      <c r="G11">
        <f>TEXT(B11,"mmm-yy")</f>
        <v/>
      </c>
    </row>
    <row r="12">
      <c r="A12" t="n">
        <v>9</v>
      </c>
      <c r="B12" s="24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24">
        <f>B12+6</f>
        <v/>
      </c>
      <c r="G12">
        <f>TEXT(B12,"mmm-yy")</f>
        <v/>
      </c>
    </row>
    <row r="13">
      <c r="A13" t="n">
        <v>10</v>
      </c>
      <c r="B13" s="24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24">
        <f>B13+6</f>
        <v/>
      </c>
      <c r="G13">
        <f>TEXT(B13,"mmm-yy")</f>
        <v/>
      </c>
    </row>
    <row r="14">
      <c r="A14" t="n">
        <v>11</v>
      </c>
      <c r="B14" s="24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24">
        <f>B14+6</f>
        <v/>
      </c>
      <c r="G14">
        <f>TEXT(B14,"mmm-yy")</f>
        <v/>
      </c>
    </row>
    <row r="15">
      <c r="A15" t="n">
        <v>12</v>
      </c>
      <c r="B15" s="24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24">
        <f>B15+6</f>
        <v/>
      </c>
      <c r="G15">
        <f>TEXT(B15,"mmm-yy")</f>
        <v/>
      </c>
    </row>
    <row r="16">
      <c r="A16" t="n">
        <v>13</v>
      </c>
      <c r="B16" s="24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24">
        <f>B16+6</f>
        <v/>
      </c>
      <c r="G16">
        <f>TEXT(B16,"mmm-yy")</f>
        <v/>
      </c>
    </row>
    <row r="17">
      <c r="A17" t="n">
        <v>14</v>
      </c>
      <c r="B17" s="24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24">
        <f>B17+6</f>
        <v/>
      </c>
      <c r="G17">
        <f>TEXT(B17,"mmm-yy")</f>
        <v/>
      </c>
    </row>
    <row r="18">
      <c r="A18" t="n">
        <v>15</v>
      </c>
      <c r="B18" s="24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24">
        <f>B18+6</f>
        <v/>
      </c>
      <c r="G18">
        <f>TEXT(B18,"mmm-yy")</f>
        <v/>
      </c>
    </row>
    <row r="19">
      <c r="A19" t="n">
        <v>16</v>
      </c>
      <c r="B19" s="24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24">
        <f>B19+6</f>
        <v/>
      </c>
      <c r="G19">
        <f>TEXT(B19,"mmm-yy")</f>
        <v/>
      </c>
    </row>
    <row r="20">
      <c r="A20" t="n">
        <v>17</v>
      </c>
      <c r="B20" s="24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24">
        <f>B20+6</f>
        <v/>
      </c>
      <c r="G20">
        <f>TEXT(B20,"mmm-yy")</f>
        <v/>
      </c>
    </row>
    <row r="21">
      <c r="A21" t="n">
        <v>18</v>
      </c>
      <c r="B21" s="24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24">
        <f>B21+6</f>
        <v/>
      </c>
      <c r="G21">
        <f>TEXT(B21,"mmm-yy")</f>
        <v/>
      </c>
    </row>
    <row r="22">
      <c r="A22" t="n">
        <v>19</v>
      </c>
      <c r="B22" s="24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24">
        <f>B22+6</f>
        <v/>
      </c>
      <c r="G22">
        <f>TEXT(B22,"mmm-yy")</f>
        <v/>
      </c>
    </row>
    <row r="23">
      <c r="A23" t="n">
        <v>20</v>
      </c>
      <c r="B23" s="24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24">
        <f>B23+6</f>
        <v/>
      </c>
      <c r="G23">
        <f>TEXT(B23,"mmm-yy")</f>
        <v/>
      </c>
    </row>
    <row r="24">
      <c r="A24" t="n">
        <v>21</v>
      </c>
      <c r="B24" s="24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24">
        <f>B24+6</f>
        <v/>
      </c>
      <c r="G24">
        <f>TEXT(B24,"mmm-yy")</f>
        <v/>
      </c>
    </row>
    <row r="25">
      <c r="A25" t="n">
        <v>22</v>
      </c>
      <c r="B25" s="24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24">
        <f>B25+6</f>
        <v/>
      </c>
      <c r="G25">
        <f>TEXT(B25,"mmm-yy")</f>
        <v/>
      </c>
    </row>
    <row r="26">
      <c r="A26" t="n">
        <v>23</v>
      </c>
      <c r="B26" s="24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24">
        <f>B26+6</f>
        <v/>
      </c>
      <c r="G26">
        <f>TEXT(B26,"mmm-yy")</f>
        <v/>
      </c>
    </row>
    <row r="27">
      <c r="A27" t="n">
        <v>24</v>
      </c>
      <c r="B27" s="24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24">
        <f>B27+6</f>
        <v/>
      </c>
      <c r="G27">
        <f>TEXT(B27,"mmm-yy")</f>
        <v/>
      </c>
    </row>
    <row r="28">
      <c r="A28" t="n">
        <v>25</v>
      </c>
      <c r="B28" s="24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24">
        <f>B28+6</f>
        <v/>
      </c>
      <c r="G28">
        <f>TEXT(B28,"mmm-yy")</f>
        <v/>
      </c>
    </row>
    <row r="29">
      <c r="A29" t="n">
        <v>26</v>
      </c>
      <c r="B29" s="24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24">
        <f>B29+6</f>
        <v/>
      </c>
      <c r="G29">
        <f>TEXT(B29,"mmm-yy")</f>
        <v/>
      </c>
    </row>
    <row r="30">
      <c r="A30" t="n">
        <v>27</v>
      </c>
      <c r="B30" s="24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24">
        <f>B30+6</f>
        <v/>
      </c>
      <c r="G30">
        <f>TEXT(B30,"mmm-yy")</f>
        <v/>
      </c>
    </row>
    <row r="31">
      <c r="A31" t="n">
        <v>28</v>
      </c>
      <c r="B31" s="24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24">
        <f>B31+6</f>
        <v/>
      </c>
      <c r="G31">
        <f>TEXT(B31,"mmm-yy")</f>
        <v/>
      </c>
    </row>
    <row r="32">
      <c r="A32" t="n">
        <v>29</v>
      </c>
      <c r="B32" s="24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24">
        <f>B32+6</f>
        <v/>
      </c>
      <c r="G32">
        <f>TEXT(B32,"mmm-yy")</f>
        <v/>
      </c>
    </row>
    <row r="33">
      <c r="A33" t="n">
        <v>30</v>
      </c>
      <c r="B33" s="24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24">
        <f>B33+6</f>
        <v/>
      </c>
      <c r="G33">
        <f>TEXT(B33,"mmm-yy")</f>
        <v/>
      </c>
    </row>
    <row r="34">
      <c r="A34" t="n">
        <v>31</v>
      </c>
      <c r="B34" s="24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24">
        <f>B34+6</f>
        <v/>
      </c>
      <c r="G34">
        <f>TEXT(B34,"mmm-yy")</f>
        <v/>
      </c>
    </row>
    <row r="35">
      <c r="A35" t="n">
        <v>32</v>
      </c>
      <c r="B35" s="24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24">
        <f>B35+6</f>
        <v/>
      </c>
      <c r="G35">
        <f>TEXT(B35,"mmm-yy")</f>
        <v/>
      </c>
    </row>
    <row r="36">
      <c r="A36" t="n">
        <v>33</v>
      </c>
      <c r="B36" s="24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24">
        <f>B36+6</f>
        <v/>
      </c>
      <c r="G36">
        <f>TEXT(B36,"mmm-yy")</f>
        <v/>
      </c>
    </row>
    <row r="37">
      <c r="A37" t="n">
        <v>34</v>
      </c>
      <c r="B37" s="24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24">
        <f>B37+6</f>
        <v/>
      </c>
      <c r="G37">
        <f>TEXT(B37,"mmm-yy")</f>
        <v/>
      </c>
    </row>
    <row r="38">
      <c r="A38" t="n">
        <v>35</v>
      </c>
      <c r="B38" s="24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24">
        <f>B38+6</f>
        <v/>
      </c>
      <c r="G38">
        <f>TEXT(B38,"mmm-yy")</f>
        <v/>
      </c>
    </row>
    <row r="39">
      <c r="A39" t="n">
        <v>36</v>
      </c>
      <c r="B39" s="24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24">
        <f>B39+6</f>
        <v/>
      </c>
      <c r="G39">
        <f>TEXT(B39,"mmm-yy")</f>
        <v/>
      </c>
    </row>
    <row r="40">
      <c r="A40" t="n">
        <v>37</v>
      </c>
      <c r="B40" s="24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24">
        <f>B40+6</f>
        <v/>
      </c>
      <c r="G40">
        <f>TEXT(B40,"mmm-yy")</f>
        <v/>
      </c>
    </row>
    <row r="41">
      <c r="A41" t="n">
        <v>38</v>
      </c>
      <c r="B41" s="24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24">
        <f>B41+6</f>
        <v/>
      </c>
      <c r="G41">
        <f>TEXT(B41,"mmm-yy")</f>
        <v/>
      </c>
    </row>
    <row r="42">
      <c r="A42" t="n">
        <v>39</v>
      </c>
      <c r="B42" s="24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24">
        <f>B42+6</f>
        <v/>
      </c>
      <c r="G42">
        <f>TEXT(B42,"mmm-yy")</f>
        <v/>
      </c>
    </row>
    <row r="43">
      <c r="A43" t="n">
        <v>40</v>
      </c>
      <c r="B43" s="24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24">
        <f>B43+6</f>
        <v/>
      </c>
      <c r="G43">
        <f>TEXT(B43,"mmm-yy")</f>
        <v/>
      </c>
    </row>
    <row r="44">
      <c r="A44" t="n">
        <v>41</v>
      </c>
      <c r="B44" s="24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24">
        <f>B44+6</f>
        <v/>
      </c>
      <c r="G44">
        <f>TEXT(B44,"mmm-yy")</f>
        <v/>
      </c>
    </row>
    <row r="45">
      <c r="A45" t="n">
        <v>42</v>
      </c>
      <c r="B45" s="24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24">
        <f>B45+6</f>
        <v/>
      </c>
      <c r="G45">
        <f>TEXT(B45,"mmm-yy")</f>
        <v/>
      </c>
    </row>
    <row r="46">
      <c r="A46" t="n">
        <v>43</v>
      </c>
      <c r="B46" s="24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24">
        <f>B46+6</f>
        <v/>
      </c>
      <c r="G46">
        <f>TEXT(B46,"mmm-yy")</f>
        <v/>
      </c>
    </row>
    <row r="47">
      <c r="A47" t="n">
        <v>44</v>
      </c>
      <c r="B47" s="24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24">
        <f>B47+6</f>
        <v/>
      </c>
      <c r="G47">
        <f>TEXT(B47,"mmm-yy")</f>
        <v/>
      </c>
    </row>
    <row r="48">
      <c r="A48" t="n">
        <v>45</v>
      </c>
      <c r="B48" s="24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24">
        <f>B48+6</f>
        <v/>
      </c>
      <c r="G48">
        <f>TEXT(B48,"mmm-yy")</f>
        <v/>
      </c>
    </row>
    <row r="49">
      <c r="A49" t="n">
        <v>46</v>
      </c>
      <c r="B49" s="24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24">
        <f>B49+6</f>
        <v/>
      </c>
      <c r="G49">
        <f>TEXT(B49,"mmm-yy")</f>
        <v/>
      </c>
    </row>
    <row r="50">
      <c r="A50" t="n">
        <v>47</v>
      </c>
      <c r="B50" s="24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24">
        <f>B50+6</f>
        <v/>
      </c>
      <c r="G50">
        <f>TEXT(B50,"mmm-yy")</f>
        <v/>
      </c>
    </row>
    <row r="51">
      <c r="A51" t="n">
        <v>48</v>
      </c>
      <c r="B51" s="24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24">
        <f>B51+6</f>
        <v/>
      </c>
      <c r="G51">
        <f>TEXT(B51,"mmm-yy")</f>
        <v/>
      </c>
    </row>
    <row r="52">
      <c r="A52" t="n">
        <v>49</v>
      </c>
      <c r="B52" s="24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24">
        <f>B52+6</f>
        <v/>
      </c>
      <c r="G52">
        <f>TEXT(B52,"mmm-yy")</f>
        <v/>
      </c>
    </row>
    <row r="53">
      <c r="A53" t="n">
        <v>50</v>
      </c>
      <c r="B53" s="24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24">
        <f>B53+6</f>
        <v/>
      </c>
      <c r="G53">
        <f>TEXT(B53,"mmm-yy")</f>
        <v/>
      </c>
    </row>
    <row r="54">
      <c r="A54" t="n">
        <v>51</v>
      </c>
      <c r="B54" s="24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24">
        <f>B54+6</f>
        <v/>
      </c>
      <c r="G54">
        <f>TEXT(B54,"mmm-yy")</f>
        <v/>
      </c>
    </row>
    <row r="55">
      <c r="A55" t="n">
        <v>52</v>
      </c>
      <c r="B55" s="24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24">
        <f>B55+6</f>
        <v/>
      </c>
      <c r="G55">
        <f>TEXT(B55,"mmm-yy")</f>
        <v/>
      </c>
    </row>
    <row r="56">
      <c r="A56" t="n">
        <v>53</v>
      </c>
      <c r="B56" s="24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24">
        <f>B56+6</f>
        <v/>
      </c>
      <c r="G56">
        <f>TEXT(B56,"mmm-yy")</f>
        <v/>
      </c>
    </row>
    <row r="57">
      <c r="A57" t="n">
        <v>54</v>
      </c>
      <c r="B57" s="24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24">
        <f>B57+6</f>
        <v/>
      </c>
      <c r="G57">
        <f>TEXT(B57,"mmm-yy")</f>
        <v/>
      </c>
    </row>
    <row r="58">
      <c r="A58" t="n">
        <v>55</v>
      </c>
      <c r="B58" s="24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24">
        <f>B58+6</f>
        <v/>
      </c>
      <c r="G58">
        <f>TEXT(B58,"mmm-yy")</f>
        <v/>
      </c>
    </row>
    <row r="59">
      <c r="A59" t="n">
        <v>56</v>
      </c>
      <c r="B59" s="24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24">
        <f>B59+6</f>
        <v/>
      </c>
      <c r="G59">
        <f>TEXT(B59,"mmm-yy")</f>
        <v/>
      </c>
    </row>
    <row r="60">
      <c r="A60" t="n">
        <v>57</v>
      </c>
      <c r="B60" s="24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24">
        <f>B60+6</f>
        <v/>
      </c>
      <c r="G60">
        <f>TEXT(B60,"mmm-yy")</f>
        <v/>
      </c>
    </row>
    <row r="61">
      <c r="A61" t="n">
        <v>58</v>
      </c>
      <c r="B61" s="24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24">
        <f>B61+6</f>
        <v/>
      </c>
      <c r="G61">
        <f>TEXT(B61,"mmm-yy")</f>
        <v/>
      </c>
    </row>
    <row r="62">
      <c r="A62" t="n">
        <v>59</v>
      </c>
      <c r="B62" s="24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24">
        <f>B62+6</f>
        <v/>
      </c>
      <c r="G62">
        <f>TEXT(B62,"mmm-yy")</f>
        <v/>
      </c>
    </row>
    <row r="63">
      <c r="A63" t="n">
        <v>60</v>
      </c>
      <c r="B63" s="24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24">
        <f>B63+6</f>
        <v/>
      </c>
      <c r="G63">
        <f>TEXT(B63,"mmm-yy")</f>
        <v/>
      </c>
    </row>
    <row r="64">
      <c r="A64" t="n">
        <v>61</v>
      </c>
      <c r="B64" s="24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24">
        <f>B64+6</f>
        <v/>
      </c>
      <c r="G64">
        <f>TEXT(B64,"mmm-yy")</f>
        <v/>
      </c>
    </row>
    <row r="65">
      <c r="A65" t="n">
        <v>62</v>
      </c>
      <c r="B65" s="24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24">
        <f>B65+6</f>
        <v/>
      </c>
      <c r="G65">
        <f>TEXT(B65,"mmm-yy")</f>
        <v/>
      </c>
    </row>
    <row r="66">
      <c r="A66" t="n">
        <v>63</v>
      </c>
      <c r="B66" s="24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24">
        <f>B66+6</f>
        <v/>
      </c>
      <c r="G66">
        <f>TEXT(B66,"mmm-yy")</f>
        <v/>
      </c>
    </row>
    <row r="67">
      <c r="A67" t="n">
        <v>64</v>
      </c>
      <c r="B67" s="24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24">
        <f>B67+6</f>
        <v/>
      </c>
      <c r="G67">
        <f>TEXT(B67,"mmm-yy")</f>
        <v/>
      </c>
    </row>
    <row r="68">
      <c r="A68" t="n">
        <v>65</v>
      </c>
      <c r="B68" s="24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24">
        <f>B68+6</f>
        <v/>
      </c>
      <c r="G68">
        <f>TEXT(B68,"mmm-yy")</f>
        <v/>
      </c>
    </row>
    <row r="69">
      <c r="A69" t="n">
        <v>66</v>
      </c>
      <c r="B69" s="24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24">
        <f>B69+6</f>
        <v/>
      </c>
      <c r="G69">
        <f>TEXT(B69,"mmm-yy")</f>
        <v/>
      </c>
    </row>
    <row r="70">
      <c r="A70" t="n">
        <v>67</v>
      </c>
      <c r="B70" s="24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24">
        <f>B70+6</f>
        <v/>
      </c>
      <c r="G70">
        <f>TEXT(B70,"mmm-yy")</f>
        <v/>
      </c>
    </row>
    <row r="71">
      <c r="A71" t="n">
        <v>68</v>
      </c>
      <c r="B71" s="24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24">
        <f>B71+6</f>
        <v/>
      </c>
      <c r="G71">
        <f>TEXT(B71,"mmm-yy")</f>
        <v/>
      </c>
    </row>
    <row r="72">
      <c r="A72" t="n">
        <v>69</v>
      </c>
      <c r="B72" s="24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24">
        <f>B72+6</f>
        <v/>
      </c>
      <c r="G72">
        <f>TEXT(B72,"mmm-yy")</f>
        <v/>
      </c>
    </row>
    <row r="73">
      <c r="A73" t="n">
        <v>70</v>
      </c>
      <c r="B73" s="24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24">
        <f>B73+6</f>
        <v/>
      </c>
      <c r="G73">
        <f>TEXT(B73,"mmm-yy")</f>
        <v/>
      </c>
    </row>
    <row r="74">
      <c r="A74" t="n">
        <v>71</v>
      </c>
      <c r="B74" s="24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24">
        <f>B74+6</f>
        <v/>
      </c>
      <c r="G74">
        <f>TEXT(B74,"mmm-yy")</f>
        <v/>
      </c>
    </row>
    <row r="75">
      <c r="A75" t="n">
        <v>72</v>
      </c>
      <c r="B75" s="24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24">
        <f>B75+6</f>
        <v/>
      </c>
      <c r="G75">
        <f>TEXT(B75,"mmm-yy")</f>
        <v/>
      </c>
    </row>
    <row r="76">
      <c r="A76" t="n">
        <v>73</v>
      </c>
      <c r="B76" s="24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24">
        <f>B76+6</f>
        <v/>
      </c>
      <c r="G76">
        <f>TEXT(B76,"mmm-yy")</f>
        <v/>
      </c>
    </row>
    <row r="77">
      <c r="A77" t="n">
        <v>74</v>
      </c>
      <c r="B77" s="24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24">
        <f>B77+6</f>
        <v/>
      </c>
      <c r="G77">
        <f>TEXT(B77,"mmm-yy")</f>
        <v/>
      </c>
    </row>
    <row r="78">
      <c r="A78" t="n">
        <v>75</v>
      </c>
      <c r="B78" s="24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24">
        <f>B78+6</f>
        <v/>
      </c>
      <c r="G78">
        <f>TEXT(B78,"mmm-yy")</f>
        <v/>
      </c>
    </row>
    <row r="79">
      <c r="A79" t="n">
        <v>76</v>
      </c>
      <c r="B79" s="24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24">
        <f>B79+6</f>
        <v/>
      </c>
      <c r="G79">
        <f>TEXT(B79,"mmm-yy")</f>
        <v/>
      </c>
    </row>
    <row r="80">
      <c r="A80" t="n">
        <v>77</v>
      </c>
      <c r="B80" s="24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24">
        <f>B80+6</f>
        <v/>
      </c>
      <c r="G80">
        <f>TEXT(B80,"mmm-yy")</f>
        <v/>
      </c>
    </row>
    <row r="81">
      <c r="A81" t="n">
        <v>78</v>
      </c>
      <c r="B81" s="24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24">
        <f>B81+6</f>
        <v/>
      </c>
      <c r="G81">
        <f>TEXT(B81,"mmm-yy")</f>
        <v/>
      </c>
    </row>
    <row r="82">
      <c r="A82" t="n">
        <v>79</v>
      </c>
      <c r="B82" s="24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24">
        <f>B82+6</f>
        <v/>
      </c>
      <c r="G82">
        <f>TEXT(B82,"mmm-yy")</f>
        <v/>
      </c>
    </row>
    <row r="83">
      <c r="A83" t="n">
        <v>80</v>
      </c>
      <c r="B83" s="24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24">
        <f>B83+6</f>
        <v/>
      </c>
      <c r="G83">
        <f>TEXT(B83,"mmm-yy")</f>
        <v/>
      </c>
    </row>
    <row r="84">
      <c r="A84" t="n">
        <v>81</v>
      </c>
      <c r="B84" s="24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24">
        <f>B84+6</f>
        <v/>
      </c>
      <c r="G84">
        <f>TEXT(B84,"mmm-yy")</f>
        <v/>
      </c>
    </row>
    <row r="85">
      <c r="A85" t="n">
        <v>82</v>
      </c>
      <c r="B85" s="24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24">
        <f>B85+6</f>
        <v/>
      </c>
      <c r="G85">
        <f>TEXT(B85,"mmm-yy")</f>
        <v/>
      </c>
    </row>
    <row r="86">
      <c r="A86" t="n">
        <v>83</v>
      </c>
      <c r="B86" s="24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24">
        <f>B86+6</f>
        <v/>
      </c>
      <c r="G86">
        <f>TEXT(B86,"mmm-yy")</f>
        <v/>
      </c>
    </row>
    <row r="87">
      <c r="A87" t="n">
        <v>84</v>
      </c>
      <c r="B87" s="24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24">
        <f>B87+6</f>
        <v/>
      </c>
      <c r="G87">
        <f>TEXT(B87,"mmm-yy")</f>
        <v/>
      </c>
    </row>
    <row r="88">
      <c r="A88" t="n">
        <v>85</v>
      </c>
      <c r="B88" s="24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24">
        <f>B88+6</f>
        <v/>
      </c>
      <c r="G88">
        <f>TEXT(B88,"mmm-yy")</f>
        <v/>
      </c>
    </row>
    <row r="89">
      <c r="A89" t="n">
        <v>86</v>
      </c>
      <c r="B89" s="24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24">
        <f>B89+6</f>
        <v/>
      </c>
      <c r="G89">
        <f>TEXT(B89,"mmm-yy")</f>
        <v/>
      </c>
    </row>
    <row r="90">
      <c r="A90" t="n">
        <v>87</v>
      </c>
      <c r="B90" s="24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24">
        <f>B90+6</f>
        <v/>
      </c>
      <c r="G90">
        <f>TEXT(B90,"mmm-yy")</f>
        <v/>
      </c>
    </row>
    <row r="91">
      <c r="A91" t="n">
        <v>88</v>
      </c>
      <c r="B91" s="24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24">
        <f>B91+6</f>
        <v/>
      </c>
      <c r="G91">
        <f>TEXT(B91,"mmm-yy")</f>
        <v/>
      </c>
    </row>
    <row r="92">
      <c r="A92" t="n">
        <v>89</v>
      </c>
      <c r="B92" s="24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24">
        <f>B92+6</f>
        <v/>
      </c>
      <c r="G92">
        <f>TEXT(B92,"mmm-yy")</f>
        <v/>
      </c>
    </row>
    <row r="93">
      <c r="A93" t="n">
        <v>90</v>
      </c>
      <c r="B93" s="24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24">
        <f>B93+6</f>
        <v/>
      </c>
      <c r="G93">
        <f>TEXT(B93,"mmm-yy")</f>
        <v/>
      </c>
    </row>
    <row r="94">
      <c r="A94" t="n">
        <v>91</v>
      </c>
      <c r="B94" s="24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24">
        <f>B94+6</f>
        <v/>
      </c>
      <c r="G94">
        <f>TEXT(B94,"mmm-yy")</f>
        <v/>
      </c>
    </row>
    <row r="95">
      <c r="A95" t="n">
        <v>92</v>
      </c>
      <c r="B95" s="24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24">
        <f>B95+6</f>
        <v/>
      </c>
      <c r="G95">
        <f>TEXT(B95,"mmm-yy")</f>
        <v/>
      </c>
    </row>
    <row r="96">
      <c r="A96" t="n">
        <v>93</v>
      </c>
      <c r="B96" s="24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24">
        <f>B96+6</f>
        <v/>
      </c>
      <c r="G96">
        <f>TEXT(B96,"mmm-yy")</f>
        <v/>
      </c>
    </row>
    <row r="97">
      <c r="A97" t="n">
        <v>94</v>
      </c>
      <c r="B97" s="24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24">
        <f>B97+6</f>
        <v/>
      </c>
      <c r="G97">
        <f>TEXT(B97,"mmm-yy")</f>
        <v/>
      </c>
    </row>
    <row r="98">
      <c r="A98" t="n">
        <v>95</v>
      </c>
      <c r="B98" s="24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24">
        <f>B98+6</f>
        <v/>
      </c>
      <c r="G98">
        <f>TEXT(B98,"mmm-yy")</f>
        <v/>
      </c>
    </row>
    <row r="99">
      <c r="A99" t="n">
        <v>96</v>
      </c>
      <c r="B99" s="24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24">
        <f>B99+6</f>
        <v/>
      </c>
      <c r="G99">
        <f>TEXT(B99,"mmm-yy")</f>
        <v/>
      </c>
    </row>
    <row r="100">
      <c r="A100" t="n">
        <v>97</v>
      </c>
      <c r="B100" s="24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24">
        <f>B100+6</f>
        <v/>
      </c>
      <c r="G100">
        <f>TEXT(B100,"mmm-yy")</f>
        <v/>
      </c>
    </row>
    <row r="101">
      <c r="A101" t="n">
        <v>98</v>
      </c>
      <c r="B101" s="24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24">
        <f>B101+6</f>
        <v/>
      </c>
      <c r="G101">
        <f>TEXT(B101,"mmm-yy")</f>
        <v/>
      </c>
    </row>
    <row r="102">
      <c r="A102" t="n">
        <v>99</v>
      </c>
      <c r="B102" s="24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24">
        <f>B102+6</f>
        <v/>
      </c>
      <c r="G102">
        <f>TEXT(B102,"mmm-yy")</f>
        <v/>
      </c>
    </row>
    <row r="103">
      <c r="A103" t="n">
        <v>100</v>
      </c>
      <c r="B103" s="24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24">
        <f>B103+6</f>
        <v/>
      </c>
      <c r="G103">
        <f>TEXT(B103,"mmm-yy")</f>
        <v/>
      </c>
    </row>
    <row r="104">
      <c r="A104" t="n">
        <v>101</v>
      </c>
      <c r="B104" s="24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24">
        <f>B104+6</f>
        <v/>
      </c>
      <c r="G104">
        <f>TEXT(B104,"mmm-yy")</f>
        <v/>
      </c>
    </row>
    <row r="105">
      <c r="A105" t="n">
        <v>102</v>
      </c>
      <c r="B105" s="24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24">
        <f>B105+6</f>
        <v/>
      </c>
      <c r="G105">
        <f>TEXT(B105,"mmm-yy")</f>
        <v/>
      </c>
    </row>
    <row r="106">
      <c r="A106" t="n">
        <v>103</v>
      </c>
      <c r="B106" s="24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24">
        <f>B106+6</f>
        <v/>
      </c>
      <c r="G106">
        <f>TEXT(B106,"mmm-yy")</f>
        <v/>
      </c>
    </row>
    <row r="107">
      <c r="A107" t="n">
        <v>104</v>
      </c>
      <c r="B107" s="24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24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6" t="inlineStr">
        <is>
          <t>Intermediate</t>
        </is>
      </c>
      <c r="B1" s="6" t="inlineStr">
        <is>
          <t>Type</t>
        </is>
      </c>
      <c r="C1" s="6" t="inlineStr">
        <is>
          <t>PGM</t>
        </is>
      </c>
      <c r="D1" s="6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TSZ-938</t>
        </is>
      </c>
      <c r="B54" t="inlineStr">
        <is>
          <t>Slurry</t>
        </is>
      </c>
      <c r="C54" t="inlineStr"/>
      <c r="D54" t="n">
        <v>65</v>
      </c>
    </row>
    <row r="55">
      <c r="A55" t="inlineStr">
        <is>
          <t>TVS-267</t>
        </is>
      </c>
      <c r="B55" t="inlineStr">
        <is>
          <t>Slurry</t>
        </is>
      </c>
      <c r="C55" t="inlineStr">
        <is>
          <t>Pd</t>
        </is>
      </c>
      <c r="D55" t="n">
        <v>301.9999999999999</v>
      </c>
    </row>
    <row r="56">
      <c r="A56" t="inlineStr">
        <is>
          <t>TVS-500</t>
        </is>
      </c>
      <c r="B56" t="inlineStr">
        <is>
          <t>Slurry</t>
        </is>
      </c>
      <c r="C56" t="inlineStr">
        <is>
          <t>Pd</t>
        </is>
      </c>
      <c r="D56" t="n">
        <v>303</v>
      </c>
    </row>
    <row r="57">
      <c r="A57" t="inlineStr">
        <is>
          <t>TVS-664</t>
        </is>
      </c>
      <c r="B57" t="inlineStr">
        <is>
          <t>Slurry</t>
        </is>
      </c>
      <c r="C57" t="inlineStr">
        <is>
          <t>Pd</t>
        </is>
      </c>
      <c r="D57" t="n">
        <v>323</v>
      </c>
    </row>
    <row r="58">
      <c r="A58" t="inlineStr">
        <is>
          <t>TVS-833</t>
        </is>
      </c>
      <c r="B58" t="inlineStr">
        <is>
          <t>Slurry</t>
        </is>
      </c>
      <c r="C58" t="inlineStr">
        <is>
          <t>Pd</t>
        </is>
      </c>
      <c r="D58" t="n">
        <v>300</v>
      </c>
    </row>
    <row r="59">
      <c r="A59" t="inlineStr">
        <is>
          <t>VSP-600</t>
        </is>
      </c>
      <c r="B59" t="inlineStr">
        <is>
          <t>Slurry</t>
        </is>
      </c>
      <c r="C59" t="inlineStr">
        <is>
          <t>Pd-VW</t>
        </is>
      </c>
      <c r="D59" t="n">
        <v>112</v>
      </c>
    </row>
    <row r="60">
      <c r="A60" t="inlineStr">
        <is>
          <t>VSP-601</t>
        </is>
      </c>
      <c r="B60" t="inlineStr">
        <is>
          <t>Slurry</t>
        </is>
      </c>
      <c r="C60" t="inlineStr">
        <is>
          <t>Pd-VW</t>
        </is>
      </c>
      <c r="D60" t="n">
        <v>104.895</v>
      </c>
    </row>
    <row r="61">
      <c r="A61" t="inlineStr">
        <is>
          <t>VSP-602</t>
        </is>
      </c>
      <c r="B61" t="inlineStr">
        <is>
          <t>Slurry</t>
        </is>
      </c>
      <c r="C61" t="inlineStr">
        <is>
          <t>Rh-VW</t>
        </is>
      </c>
      <c r="D61" t="n">
        <v>105.6</v>
      </c>
    </row>
    <row r="62">
      <c r="A62" t="inlineStr">
        <is>
          <t>VSP-820</t>
        </is>
      </c>
      <c r="B62" t="inlineStr">
        <is>
          <t>Slurry</t>
        </is>
      </c>
      <c r="C62" t="inlineStr">
        <is>
          <t>Pd-VW</t>
        </is>
      </c>
      <c r="D62" t="n">
        <v>134.97</v>
      </c>
    </row>
    <row r="63">
      <c r="A63" t="inlineStr">
        <is>
          <t>VSP-822</t>
        </is>
      </c>
      <c r="B63" t="inlineStr">
        <is>
          <t>Slurry</t>
        </is>
      </c>
      <c r="C63" t="inlineStr">
        <is>
          <t>Rh-VW</t>
        </is>
      </c>
      <c r="D63" t="n">
        <v>113.85</v>
      </c>
    </row>
    <row r="64">
      <c r="A64" t="inlineStr">
        <is>
          <t>VSP-910</t>
        </is>
      </c>
      <c r="B64" t="inlineStr">
        <is>
          <t>Slurry</t>
        </is>
      </c>
      <c r="C64" t="inlineStr">
        <is>
          <t>Rh-VW</t>
        </is>
      </c>
      <c r="D64" t="n">
        <v>91.8</v>
      </c>
    </row>
    <row r="65">
      <c r="A65" t="inlineStr">
        <is>
          <t>VSP-989</t>
        </is>
      </c>
      <c r="B65" t="inlineStr">
        <is>
          <t>Slurry</t>
        </is>
      </c>
      <c r="C65" t="inlineStr">
        <is>
          <t>Pd-VW</t>
        </is>
      </c>
      <c r="D65" t="n">
        <v>94.5</v>
      </c>
    </row>
    <row r="66">
      <c r="A66" t="inlineStr">
        <is>
          <t>VSP-990</t>
        </is>
      </c>
      <c r="B66" t="inlineStr">
        <is>
          <t>Slurry</t>
        </is>
      </c>
      <c r="C66" t="inlineStr">
        <is>
          <t>Rh-VW</t>
        </is>
      </c>
      <c r="D66" t="n">
        <v>81</v>
      </c>
    </row>
    <row r="67">
      <c r="A67" t="inlineStr">
        <is>
          <t>TPP-103</t>
        </is>
      </c>
      <c r="B67" t="inlineStr">
        <is>
          <t>Powder</t>
        </is>
      </c>
      <c r="C67" t="inlineStr">
        <is>
          <t>Pd</t>
        </is>
      </c>
      <c r="D67" t="n">
        <v>69.45</v>
      </c>
    </row>
    <row r="68">
      <c r="A68" t="inlineStr">
        <is>
          <t>TPP-1367</t>
        </is>
      </c>
      <c r="B68" t="inlineStr">
        <is>
          <t>Powder</t>
        </is>
      </c>
      <c r="C68" t="inlineStr">
        <is>
          <t>SCH</t>
        </is>
      </c>
      <c r="D68" t="n">
        <v>26.54</v>
      </c>
    </row>
    <row r="69">
      <c r="A69" t="inlineStr">
        <is>
          <t>TPP-1368</t>
        </is>
      </c>
      <c r="B69" t="inlineStr">
        <is>
          <t>Powder</t>
        </is>
      </c>
      <c r="C69" t="inlineStr">
        <is>
          <t>Rh</t>
        </is>
      </c>
      <c r="D69" t="n">
        <v>27.79</v>
      </c>
    </row>
    <row r="70">
      <c r="A70" t="inlineStr">
        <is>
          <t>TPP-1369</t>
        </is>
      </c>
      <c r="B70" t="inlineStr">
        <is>
          <t>Powder</t>
        </is>
      </c>
      <c r="C70" t="inlineStr">
        <is>
          <t>Rh</t>
        </is>
      </c>
      <c r="D70" t="n">
        <v>30.72</v>
      </c>
    </row>
    <row r="71">
      <c r="A71" t="inlineStr">
        <is>
          <t>TPP-1378</t>
        </is>
      </c>
      <c r="B71" t="inlineStr">
        <is>
          <t>Powder</t>
        </is>
      </c>
      <c r="C71" t="inlineStr">
        <is>
          <t>Rh</t>
        </is>
      </c>
      <c r="D71" t="n">
        <v>19.22</v>
      </c>
    </row>
    <row r="72">
      <c r="A72" t="inlineStr">
        <is>
          <t>TPP-1379</t>
        </is>
      </c>
      <c r="B72" t="inlineStr">
        <is>
          <t>Powder</t>
        </is>
      </c>
      <c r="C72" t="inlineStr">
        <is>
          <t>Rh</t>
        </is>
      </c>
      <c r="D72" t="n">
        <v>19.63</v>
      </c>
    </row>
    <row r="73">
      <c r="A73" t="inlineStr">
        <is>
          <t>TPP-358</t>
        </is>
      </c>
      <c r="B73" t="inlineStr">
        <is>
          <t>Powder</t>
        </is>
      </c>
      <c r="C73" t="inlineStr">
        <is>
          <t>Rh</t>
        </is>
      </c>
      <c r="D73" t="n">
        <v>64.40000000000001</v>
      </c>
    </row>
    <row r="74">
      <c r="A74" t="inlineStr">
        <is>
          <t>TPP-533</t>
        </is>
      </c>
      <c r="B74" t="inlineStr">
        <is>
          <t>Powder</t>
        </is>
      </c>
      <c r="C74" t="inlineStr">
        <is>
          <t>Rh</t>
        </is>
      </c>
      <c r="D74" t="n">
        <v>58.6938775510204</v>
      </c>
    </row>
    <row r="75">
      <c r="A75" t="inlineStr">
        <is>
          <t>TPP-611</t>
        </is>
      </c>
      <c r="B75" t="inlineStr">
        <is>
          <t>Powder</t>
        </is>
      </c>
      <c r="C75" t="inlineStr">
        <is>
          <t>Rh</t>
        </is>
      </c>
      <c r="D75" t="n">
        <v>17.88</v>
      </c>
    </row>
    <row r="76">
      <c r="A76" t="inlineStr">
        <is>
          <t>TPP-613</t>
        </is>
      </c>
      <c r="B76" t="inlineStr">
        <is>
          <t>Powder</t>
        </is>
      </c>
      <c r="C76" t="inlineStr">
        <is>
          <t>Rh</t>
        </is>
      </c>
      <c r="D76" t="n">
        <v>17.82</v>
      </c>
    </row>
    <row r="77">
      <c r="A77" t="inlineStr">
        <is>
          <t>TPP-635</t>
        </is>
      </c>
      <c r="B77" t="inlineStr">
        <is>
          <t>Powder</t>
        </is>
      </c>
      <c r="C77" t="inlineStr">
        <is>
          <t>Rh</t>
        </is>
      </c>
      <c r="D77" t="n">
        <v>44.26</v>
      </c>
    </row>
    <row r="78">
      <c r="A78" t="inlineStr">
        <is>
          <t>TPP-649</t>
        </is>
      </c>
      <c r="B78" t="inlineStr">
        <is>
          <t>Powder</t>
        </is>
      </c>
      <c r="C78" t="inlineStr">
        <is>
          <t>Rh</t>
        </is>
      </c>
      <c r="D78" t="n">
        <v>32.24</v>
      </c>
    </row>
    <row r="79">
      <c r="A79" t="inlineStr">
        <is>
          <t>TPP-650</t>
        </is>
      </c>
      <c r="B79" t="inlineStr">
        <is>
          <t>Powder</t>
        </is>
      </c>
      <c r="C79" t="inlineStr">
        <is>
          <t>Pd</t>
        </is>
      </c>
      <c r="D79" t="n">
        <v>58.21</v>
      </c>
    </row>
    <row r="80">
      <c r="A80" t="inlineStr">
        <is>
          <t>TPP-699</t>
        </is>
      </c>
      <c r="B80" t="inlineStr">
        <is>
          <t>Powder</t>
        </is>
      </c>
      <c r="C80" t="inlineStr">
        <is>
          <t>Pt</t>
        </is>
      </c>
      <c r="D80" t="n">
        <v>38.85</v>
      </c>
    </row>
    <row r="81">
      <c r="A81" t="inlineStr">
        <is>
          <t>TPP-700</t>
        </is>
      </c>
      <c r="B81" t="inlineStr">
        <is>
          <t>Powder</t>
        </is>
      </c>
      <c r="C81" t="inlineStr">
        <is>
          <t>Pt</t>
        </is>
      </c>
      <c r="D81" t="n">
        <v>36.03</v>
      </c>
    </row>
    <row r="82">
      <c r="A82" t="inlineStr">
        <is>
          <t>TPP-701</t>
        </is>
      </c>
      <c r="B82" t="inlineStr">
        <is>
          <t>Powder</t>
        </is>
      </c>
      <c r="C82" t="inlineStr">
        <is>
          <t>Pt</t>
        </is>
      </c>
      <c r="D82" t="n">
        <v>36.61</v>
      </c>
    </row>
    <row r="83">
      <c r="A83" t="inlineStr">
        <is>
          <t>TPP-825</t>
        </is>
      </c>
      <c r="B83" t="inlineStr">
        <is>
          <t>Powder</t>
        </is>
      </c>
      <c r="C83" t="inlineStr">
        <is>
          <t>Pt</t>
        </is>
      </c>
      <c r="D83" t="n">
        <v>29.82</v>
      </c>
    </row>
    <row r="84">
      <c r="A84" t="inlineStr">
        <is>
          <t>TPP-911</t>
        </is>
      </c>
      <c r="B84" t="inlineStr">
        <is>
          <t>Powder</t>
        </is>
      </c>
      <c r="C84" t="inlineStr">
        <is>
          <t>Pd</t>
        </is>
      </c>
      <c r="D84" t="n">
        <v>52.15</v>
      </c>
    </row>
    <row r="85">
      <c r="A85" t="inlineStr">
        <is>
          <t>TPP-912</t>
        </is>
      </c>
      <c r="B85" t="inlineStr">
        <is>
          <t>Powder</t>
        </is>
      </c>
      <c r="C85" t="inlineStr">
        <is>
          <t>Pd</t>
        </is>
      </c>
      <c r="D85" t="n">
        <v>51.73</v>
      </c>
    </row>
    <row r="86">
      <c r="A86" t="inlineStr">
        <is>
          <t>TPP-914</t>
        </is>
      </c>
      <c r="B86" t="inlineStr">
        <is>
          <t>Powder</t>
        </is>
      </c>
      <c r="C86" t="inlineStr">
        <is>
          <t>Rh</t>
        </is>
      </c>
      <c r="D86" t="n">
        <v>25.69</v>
      </c>
    </row>
    <row r="87">
      <c r="A87" t="inlineStr">
        <is>
          <t>TPP-915</t>
        </is>
      </c>
      <c r="B87" t="inlineStr">
        <is>
          <t>Powder</t>
        </is>
      </c>
      <c r="C87" t="inlineStr">
        <is>
          <t>Rh</t>
        </is>
      </c>
      <c r="D87" t="n">
        <v>25.35</v>
      </c>
    </row>
    <row r="88">
      <c r="A88" t="inlineStr">
        <is>
          <t>TPP-916</t>
        </is>
      </c>
      <c r="B88" t="inlineStr">
        <is>
          <t>Powder</t>
        </is>
      </c>
      <c r="C88" t="inlineStr">
        <is>
          <t>Rh</t>
        </is>
      </c>
      <c r="D88" t="n">
        <v>25.91</v>
      </c>
    </row>
    <row r="89">
      <c r="A89" t="inlineStr">
        <is>
          <t>TPP-917</t>
        </is>
      </c>
      <c r="B89" t="inlineStr">
        <is>
          <t>Powder</t>
        </is>
      </c>
      <c r="C89" t="inlineStr">
        <is>
          <t>Rh</t>
        </is>
      </c>
      <c r="D89" t="n">
        <v>25.89</v>
      </c>
    </row>
    <row r="90">
      <c r="A90" t="inlineStr">
        <is>
          <t>TPP-919</t>
        </is>
      </c>
      <c r="B90" t="inlineStr">
        <is>
          <t>Powder</t>
        </is>
      </c>
      <c r="C90" t="inlineStr">
        <is>
          <t>Rh</t>
        </is>
      </c>
      <c r="D90" t="n">
        <v>17.44</v>
      </c>
    </row>
    <row r="91">
      <c r="A91" t="inlineStr">
        <is>
          <t>TPP-920</t>
        </is>
      </c>
      <c r="B91" t="inlineStr">
        <is>
          <t>Powder</t>
        </is>
      </c>
      <c r="C91" t="inlineStr">
        <is>
          <t>Rh</t>
        </is>
      </c>
      <c r="D91" t="n">
        <v>18.05</v>
      </c>
    </row>
    <row r="92">
      <c r="A92" t="inlineStr">
        <is>
          <t>TPP-922</t>
        </is>
      </c>
      <c r="B92" t="inlineStr">
        <is>
          <t>Powder</t>
        </is>
      </c>
      <c r="C92" t="inlineStr">
        <is>
          <t>Rh</t>
        </is>
      </c>
      <c r="D92" t="n">
        <v>17.69</v>
      </c>
    </row>
    <row r="93">
      <c r="A93" t="inlineStr">
        <is>
          <t>TPP-923</t>
        </is>
      </c>
      <c r="B93" t="inlineStr">
        <is>
          <t>Powder</t>
        </is>
      </c>
      <c r="C93" t="inlineStr">
        <is>
          <t>Rh</t>
        </is>
      </c>
      <c r="D93" t="n">
        <v>17.67</v>
      </c>
    </row>
    <row r="94">
      <c r="A94" t="inlineStr">
        <is>
          <t>TPP-968</t>
        </is>
      </c>
      <c r="B94" t="inlineStr">
        <is>
          <t>Powder</t>
        </is>
      </c>
      <c r="C94" t="inlineStr">
        <is>
          <t>Rh</t>
        </is>
      </c>
      <c r="D94" t="n">
        <v>22.38</v>
      </c>
    </row>
    <row r="95">
      <c r="A95" t="inlineStr">
        <is>
          <t>SOL-20P</t>
        </is>
      </c>
      <c r="B95" t="inlineStr">
        <is>
          <t>Solution</t>
        </is>
      </c>
      <c r="C95" t="inlineStr">
        <is>
          <t>Pt</t>
        </is>
      </c>
      <c r="D95" t="n">
        <v>200</v>
      </c>
    </row>
    <row r="96">
      <c r="A96" t="inlineStr">
        <is>
          <t>SOL-250D</t>
        </is>
      </c>
      <c r="B96" t="inlineStr">
        <is>
          <t>Solution</t>
        </is>
      </c>
      <c r="C96" t="inlineStr">
        <is>
          <t>Pd</t>
        </is>
      </c>
      <c r="D96" t="n">
        <v>69.2300023753583</v>
      </c>
    </row>
    <row r="97">
      <c r="A97" t="inlineStr">
        <is>
          <t>SOL-85D</t>
        </is>
      </c>
      <c r="B97" t="inlineStr">
        <is>
          <t>Solution</t>
        </is>
      </c>
      <c r="C97" t="inlineStr">
        <is>
          <t>Pd</t>
        </is>
      </c>
      <c r="D97" t="n">
        <v>115.380000184608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0Q110</t>
        </is>
      </c>
      <c r="B101" t="inlineStr">
        <is>
          <t>Cat</t>
        </is>
      </c>
      <c r="C101" t="inlineStr"/>
      <c r="D101" t="n">
        <v>1</v>
      </c>
    </row>
    <row r="102">
      <c r="A102" t="inlineStr">
        <is>
          <t>0Q120</t>
        </is>
      </c>
      <c r="B102" t="inlineStr">
        <is>
          <t>Cat</t>
        </is>
      </c>
      <c r="C102" t="inlineStr"/>
      <c r="D102" t="n">
        <v>1</v>
      </c>
    </row>
    <row r="103">
      <c r="A103" t="inlineStr">
        <is>
          <t>0TA30</t>
        </is>
      </c>
      <c r="B103" t="inlineStr">
        <is>
          <t>Cat</t>
        </is>
      </c>
      <c r="C103" t="inlineStr"/>
      <c r="D103" t="n">
        <v>1</v>
      </c>
    </row>
    <row r="104">
      <c r="A104" t="inlineStr">
        <is>
          <t>Ester Film</t>
        </is>
      </c>
      <c r="B104" t="inlineStr">
        <is>
          <t>Cat</t>
        </is>
      </c>
      <c r="C104" t="inlineStr"/>
      <c r="D104" t="n">
        <v>1</v>
      </c>
    </row>
    <row r="105">
      <c r="A105" t="inlineStr">
        <is>
          <t>F2090</t>
        </is>
      </c>
      <c r="B105" t="inlineStr">
        <is>
          <t>Cat</t>
        </is>
      </c>
      <c r="C105" t="inlineStr"/>
      <c r="D105" t="n">
        <v>1</v>
      </c>
    </row>
    <row r="106">
      <c r="A106" t="inlineStr">
        <is>
          <t>F2290</t>
        </is>
      </c>
      <c r="B106" t="inlineStr">
        <is>
          <t>Cat</t>
        </is>
      </c>
      <c r="C106" t="inlineStr"/>
      <c r="D106" t="n">
        <v>1</v>
      </c>
    </row>
    <row r="107">
      <c r="A107" t="inlineStr">
        <is>
          <t>K0050</t>
        </is>
      </c>
      <c r="B107" t="inlineStr">
        <is>
          <t>Cat</t>
        </is>
      </c>
      <c r="C107" t="inlineStr"/>
      <c r="D107" t="n">
        <v>1</v>
      </c>
    </row>
    <row r="108">
      <c r="A108" t="inlineStr">
        <is>
          <t>PP Film</t>
        </is>
      </c>
      <c r="B108" t="inlineStr">
        <is>
          <t>Cat</t>
        </is>
      </c>
      <c r="C108" t="inlineStr"/>
      <c r="D108" t="n">
        <v>1</v>
      </c>
    </row>
    <row r="109">
      <c r="A109" t="inlineStr">
        <is>
          <t>0T150</t>
        </is>
      </c>
      <c r="B109" t="inlineStr">
        <is>
          <t>Cat</t>
        </is>
      </c>
      <c r="C109" t="inlineStr"/>
      <c r="D109" t="n">
        <v>1</v>
      </c>
    </row>
    <row r="110">
      <c r="A110" t="inlineStr">
        <is>
          <t>0T160</t>
        </is>
      </c>
      <c r="B110" t="inlineStr">
        <is>
          <t>Cat</t>
        </is>
      </c>
      <c r="C110" t="inlineStr"/>
      <c r="D110" t="n">
        <v>1</v>
      </c>
    </row>
    <row r="111">
      <c r="A111" t="inlineStr">
        <is>
          <t>0T410</t>
        </is>
      </c>
      <c r="B111" t="inlineStr">
        <is>
          <t>Cat</t>
        </is>
      </c>
      <c r="C111" t="inlineStr"/>
      <c r="D111" t="n">
        <v>1</v>
      </c>
    </row>
    <row r="112">
      <c r="A112" t="inlineStr">
        <is>
          <t>0T420</t>
        </is>
      </c>
      <c r="B112" t="inlineStr">
        <is>
          <t>Cat</t>
        </is>
      </c>
      <c r="C112" t="inlineStr"/>
      <c r="D112" t="n">
        <v>1</v>
      </c>
    </row>
    <row r="113">
      <c r="A113" t="inlineStr">
        <is>
          <t>0T470</t>
        </is>
      </c>
      <c r="B113" t="inlineStr">
        <is>
          <t>Cat</t>
        </is>
      </c>
      <c r="C113" t="inlineStr"/>
      <c r="D113" t="n">
        <v>1</v>
      </c>
    </row>
    <row r="114">
      <c r="A114" t="inlineStr">
        <is>
          <t>0T480</t>
        </is>
      </c>
      <c r="B114" t="inlineStr">
        <is>
          <t>Cat</t>
        </is>
      </c>
      <c r="C114" t="inlineStr"/>
      <c r="D114" t="n">
        <v>1</v>
      </c>
    </row>
    <row r="115">
      <c r="A115" t="inlineStr">
        <is>
          <t>0T490</t>
        </is>
      </c>
      <c r="B115" t="inlineStr">
        <is>
          <t>Cat</t>
        </is>
      </c>
      <c r="C115" t="inlineStr"/>
      <c r="D115" t="n">
        <v>1</v>
      </c>
    </row>
    <row r="116">
      <c r="A116" t="inlineStr">
        <is>
          <t>0T500</t>
        </is>
      </c>
      <c r="B116" t="inlineStr">
        <is>
          <t>Cat</t>
        </is>
      </c>
      <c r="C116" t="inlineStr"/>
      <c r="D116" t="n">
        <v>1</v>
      </c>
    </row>
    <row r="117">
      <c r="A117" t="inlineStr">
        <is>
          <t>0T690</t>
        </is>
      </c>
      <c r="B117" t="inlineStr">
        <is>
          <t>Cat</t>
        </is>
      </c>
      <c r="C117" t="inlineStr"/>
      <c r="D117" t="n">
        <v>1</v>
      </c>
    </row>
    <row r="118">
      <c r="A118" t="inlineStr">
        <is>
          <t>0T720</t>
        </is>
      </c>
      <c r="B118" t="inlineStr">
        <is>
          <t>Cat</t>
        </is>
      </c>
      <c r="C118" t="inlineStr"/>
      <c r="D118" t="n">
        <v>1</v>
      </c>
    </row>
    <row r="119">
      <c r="A119" t="inlineStr">
        <is>
          <t>0T740</t>
        </is>
      </c>
      <c r="B119" t="inlineStr">
        <is>
          <t>Cat</t>
        </is>
      </c>
      <c r="C119" t="inlineStr"/>
      <c r="D119" t="n">
        <v>1</v>
      </c>
    </row>
    <row r="120">
      <c r="A120" t="inlineStr">
        <is>
          <t>0T750</t>
        </is>
      </c>
      <c r="B120" t="inlineStr">
        <is>
          <t>Cat</t>
        </is>
      </c>
      <c r="C120" t="inlineStr"/>
      <c r="D120" t="n">
        <v>1</v>
      </c>
    </row>
    <row r="121">
      <c r="A121" t="inlineStr">
        <is>
          <t>0T860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0T870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0T880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0TA40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0W750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0W780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0Y460</t>
        </is>
      </c>
      <c r="B127" t="inlineStr">
        <is>
          <t>Cat</t>
        </is>
      </c>
      <c r="C127" t="inlineStr"/>
      <c r="D127" t="n">
        <v>1</v>
      </c>
    </row>
    <row r="128">
      <c r="A128" t="inlineStr">
        <is>
          <t>F0220</t>
        </is>
      </c>
      <c r="B128" t="inlineStr">
        <is>
          <t>Cat</t>
        </is>
      </c>
      <c r="C128" t="inlineStr"/>
      <c r="D128" t="n">
        <v>1</v>
      </c>
    </row>
    <row r="129">
      <c r="A129" t="inlineStr">
        <is>
          <t>F2100</t>
        </is>
      </c>
      <c r="B129" t="inlineStr">
        <is>
          <t>Cat</t>
        </is>
      </c>
      <c r="C129" t="inlineStr"/>
      <c r="D129" t="n">
        <v>1</v>
      </c>
    </row>
    <row r="130">
      <c r="A130" t="inlineStr">
        <is>
          <t>F2180</t>
        </is>
      </c>
      <c r="B130" t="inlineStr">
        <is>
          <t>Cat</t>
        </is>
      </c>
      <c r="C130" t="inlineStr"/>
      <c r="D130" t="n">
        <v>1</v>
      </c>
    </row>
    <row r="131">
      <c r="A131" t="inlineStr">
        <is>
          <t>F2210</t>
        </is>
      </c>
      <c r="B131" t="inlineStr">
        <is>
          <t>Cat</t>
        </is>
      </c>
      <c r="C131" t="inlineStr"/>
      <c r="D131" t="n">
        <v>1</v>
      </c>
    </row>
    <row r="132">
      <c r="A132" t="inlineStr">
        <is>
          <t>F2350</t>
        </is>
      </c>
      <c r="B132" t="inlineStr">
        <is>
          <t>Cat</t>
        </is>
      </c>
      <c r="C132" t="inlineStr"/>
      <c r="D132" t="n">
        <v>1</v>
      </c>
    </row>
    <row r="133">
      <c r="A133" t="inlineStr">
        <is>
          <t>F3060</t>
        </is>
      </c>
      <c r="B133" t="inlineStr">
        <is>
          <t>Cat</t>
        </is>
      </c>
      <c r="C133" t="inlineStr"/>
      <c r="D133" t="n">
        <v>1</v>
      </c>
    </row>
    <row r="134">
      <c r="A134" t="inlineStr">
        <is>
          <t>K0030</t>
        </is>
      </c>
      <c r="B134" t="inlineStr">
        <is>
          <t>Cat</t>
        </is>
      </c>
      <c r="C134" t="inlineStr"/>
      <c r="D134" t="n">
        <v>1</v>
      </c>
    </row>
    <row r="135">
      <c r="A135" t="inlineStr">
        <is>
          <t>TSP-1555</t>
        </is>
      </c>
      <c r="B135" t="inlineStr">
        <is>
          <t>Slurry</t>
        </is>
      </c>
      <c r="C135" t="inlineStr"/>
      <c r="D135" t="n">
        <v>121.5</v>
      </c>
    </row>
    <row r="136">
      <c r="A136" t="inlineStr">
        <is>
          <t>V14</t>
        </is>
      </c>
      <c r="B136" t="inlineStr">
        <is>
          <t>Cat</t>
        </is>
      </c>
      <c r="C136" t="inlineStr"/>
      <c r="D136" t="n">
        <v>1</v>
      </c>
    </row>
    <row r="137">
      <c r="A137" t="inlineStr">
        <is>
          <t>V17</t>
        </is>
      </c>
      <c r="B137" t="inlineStr">
        <is>
          <t>Cat</t>
        </is>
      </c>
      <c r="C137" t="inlineStr"/>
      <c r="D137" t="n">
        <v>1</v>
      </c>
    </row>
    <row r="138">
      <c r="A138" t="inlineStr">
        <is>
          <t>V18</t>
        </is>
      </c>
      <c r="B138" t="inlineStr">
        <is>
          <t>Cat</t>
        </is>
      </c>
      <c r="C138" t="inlineStr"/>
      <c r="D138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6" t="inlineStr">
        <is>
          <t>Intermediate</t>
        </is>
      </c>
      <c r="B1" s="6" t="inlineStr">
        <is>
          <t>Product_Code</t>
        </is>
      </c>
    </row>
    <row r="2">
      <c r="A2" t="inlineStr">
        <is>
          <t>TPP-103</t>
        </is>
      </c>
      <c r="B2" t="inlineStr">
        <is>
          <t>0T150</t>
        </is>
      </c>
    </row>
    <row r="3">
      <c r="A3" t="inlineStr">
        <is>
          <t>TPP-358</t>
        </is>
      </c>
      <c r="B3" t="inlineStr">
        <is>
          <t>0T420</t>
        </is>
      </c>
    </row>
    <row r="4">
      <c r="A4" t="inlineStr">
        <is>
          <t>TPP-358</t>
        </is>
      </c>
      <c r="B4" t="inlineStr">
        <is>
          <t>0T470</t>
        </is>
      </c>
    </row>
    <row r="5">
      <c r="A5" t="inlineStr">
        <is>
          <t>TPP-358</t>
        </is>
      </c>
      <c r="B5" t="inlineStr">
        <is>
          <t>0T490</t>
        </is>
      </c>
    </row>
    <row r="6">
      <c r="A6" t="inlineStr">
        <is>
          <t>TPP-358</t>
        </is>
      </c>
      <c r="B6" t="inlineStr">
        <is>
          <t>0T500</t>
        </is>
      </c>
    </row>
    <row r="7">
      <c r="A7" t="inlineStr">
        <is>
          <t>TPP-533</t>
        </is>
      </c>
      <c r="B7" t="inlineStr">
        <is>
          <t>0T480</t>
        </is>
      </c>
    </row>
    <row r="8">
      <c r="A8" t="inlineStr">
        <is>
          <t>TPP-611</t>
        </is>
      </c>
      <c r="B8" t="inlineStr">
        <is>
          <t>F2100</t>
        </is>
      </c>
    </row>
    <row r="9">
      <c r="A9" t="inlineStr">
        <is>
          <t>TPP-613</t>
        </is>
      </c>
      <c r="B9" t="inlineStr">
        <is>
          <t>F0220</t>
        </is>
      </c>
    </row>
    <row r="10">
      <c r="A10" t="inlineStr">
        <is>
          <t>TPP-635</t>
        </is>
      </c>
      <c r="B10" t="inlineStr">
        <is>
          <t>0T730</t>
        </is>
      </c>
    </row>
    <row r="11">
      <c r="A11" t="inlineStr">
        <is>
          <t>TPP-649</t>
        </is>
      </c>
      <c r="B11" t="inlineStr">
        <is>
          <t>0Q110</t>
        </is>
      </c>
    </row>
    <row r="12">
      <c r="A12" t="inlineStr">
        <is>
          <t>TPP-649</t>
        </is>
      </c>
      <c r="B12" t="inlineStr">
        <is>
          <t>0Y460</t>
        </is>
      </c>
    </row>
    <row r="13">
      <c r="A13" t="inlineStr">
        <is>
          <t>TPP-649</t>
        </is>
      </c>
      <c r="B13" t="inlineStr">
        <is>
          <t>F2090</t>
        </is>
      </c>
    </row>
    <row r="14">
      <c r="A14" t="inlineStr">
        <is>
          <t>TPP-650</t>
        </is>
      </c>
      <c r="B14" t="inlineStr">
        <is>
          <t>0Q110</t>
        </is>
      </c>
    </row>
    <row r="15">
      <c r="A15" t="inlineStr">
        <is>
          <t>TPP-650</t>
        </is>
      </c>
      <c r="B15" t="inlineStr">
        <is>
          <t>0Y460</t>
        </is>
      </c>
    </row>
    <row r="16">
      <c r="A16" t="inlineStr">
        <is>
          <t>TPP-650</t>
        </is>
      </c>
      <c r="B16" t="inlineStr">
        <is>
          <t>F2090</t>
        </is>
      </c>
    </row>
    <row r="17">
      <c r="A17" t="inlineStr">
        <is>
          <t>TPP-699</t>
        </is>
      </c>
      <c r="B17" t="inlineStr">
        <is>
          <t>0T510</t>
        </is>
      </c>
    </row>
    <row r="18">
      <c r="A18" t="inlineStr">
        <is>
          <t>TPP-699</t>
        </is>
      </c>
      <c r="B18" t="inlineStr">
        <is>
          <t>0T520</t>
        </is>
      </c>
    </row>
    <row r="19">
      <c r="A19" t="inlineStr">
        <is>
          <t>TPP-700</t>
        </is>
      </c>
      <c r="B19" t="inlineStr">
        <is>
          <t>0T430</t>
        </is>
      </c>
    </row>
    <row r="20">
      <c r="A20" t="inlineStr">
        <is>
          <t>TPP-701</t>
        </is>
      </c>
      <c r="B20" t="inlineStr">
        <is>
          <t>0Y230</t>
        </is>
      </c>
    </row>
    <row r="21">
      <c r="A21" t="inlineStr">
        <is>
          <t>TPP-825</t>
        </is>
      </c>
      <c r="B21" t="inlineStr">
        <is>
          <t>0T730</t>
        </is>
      </c>
    </row>
    <row r="22">
      <c r="A22" t="inlineStr">
        <is>
          <t>TPP-911</t>
        </is>
      </c>
      <c r="B22" t="inlineStr">
        <is>
          <t>K0030</t>
        </is>
      </c>
    </row>
    <row r="23">
      <c r="A23" t="inlineStr">
        <is>
          <t>TPP-911</t>
        </is>
      </c>
      <c r="B23" t="inlineStr">
        <is>
          <t>0T690</t>
        </is>
      </c>
    </row>
    <row r="24">
      <c r="A24" t="inlineStr">
        <is>
          <t>TPP-911</t>
        </is>
      </c>
      <c r="B24" t="inlineStr">
        <is>
          <t>0T720</t>
        </is>
      </c>
    </row>
    <row r="25">
      <c r="A25" t="inlineStr">
        <is>
          <t>TPP-911</t>
        </is>
      </c>
      <c r="B25" t="inlineStr">
        <is>
          <t>0T740</t>
        </is>
      </c>
    </row>
    <row r="26">
      <c r="A26" t="inlineStr">
        <is>
          <t>TPP-911</t>
        </is>
      </c>
      <c r="B26" t="inlineStr">
        <is>
          <t>F2180</t>
        </is>
      </c>
    </row>
    <row r="27">
      <c r="A27" t="inlineStr">
        <is>
          <t>TPP-911</t>
        </is>
      </c>
      <c r="B27" t="inlineStr">
        <is>
          <t>F2210</t>
        </is>
      </c>
    </row>
    <row r="28">
      <c r="A28" t="inlineStr">
        <is>
          <t>TPP-912</t>
        </is>
      </c>
      <c r="B28" t="inlineStr">
        <is>
          <t>0T750</t>
        </is>
      </c>
    </row>
    <row r="29">
      <c r="A29" t="inlineStr">
        <is>
          <t>TPP-914</t>
        </is>
      </c>
      <c r="B29" t="inlineStr">
        <is>
          <t>F2180</t>
        </is>
      </c>
    </row>
    <row r="30">
      <c r="A30" t="inlineStr">
        <is>
          <t>TPP-914</t>
        </is>
      </c>
      <c r="B30" t="inlineStr">
        <is>
          <t>F2210</t>
        </is>
      </c>
    </row>
    <row r="31">
      <c r="A31" t="inlineStr">
        <is>
          <t>TPP-915</t>
        </is>
      </c>
      <c r="B31" t="inlineStr">
        <is>
          <t>K0030</t>
        </is>
      </c>
    </row>
    <row r="32">
      <c r="A32" t="inlineStr">
        <is>
          <t>TPP-915</t>
        </is>
      </c>
      <c r="B32" t="inlineStr">
        <is>
          <t>0T690</t>
        </is>
      </c>
    </row>
    <row r="33">
      <c r="A33" t="inlineStr">
        <is>
          <t>TPP-915</t>
        </is>
      </c>
      <c r="B33" t="inlineStr">
        <is>
          <t>0T720</t>
        </is>
      </c>
    </row>
    <row r="34">
      <c r="A34" t="inlineStr">
        <is>
          <t>TPP-916</t>
        </is>
      </c>
      <c r="B34" t="inlineStr">
        <is>
          <t>0T740</t>
        </is>
      </c>
    </row>
    <row r="35">
      <c r="A35" t="inlineStr">
        <is>
          <t>TPP-917</t>
        </is>
      </c>
      <c r="B35" t="inlineStr">
        <is>
          <t>0T750</t>
        </is>
      </c>
    </row>
    <row r="36">
      <c r="A36" t="inlineStr">
        <is>
          <t>TPP-919</t>
        </is>
      </c>
      <c r="B36" t="inlineStr">
        <is>
          <t>F2180</t>
        </is>
      </c>
    </row>
    <row r="37">
      <c r="A37" t="inlineStr">
        <is>
          <t>TPP-919</t>
        </is>
      </c>
      <c r="B37" t="inlineStr">
        <is>
          <t>F2210</t>
        </is>
      </c>
    </row>
    <row r="38">
      <c r="A38" t="inlineStr">
        <is>
          <t>TPP-920</t>
        </is>
      </c>
      <c r="B38" t="inlineStr">
        <is>
          <t>K0030</t>
        </is>
      </c>
    </row>
    <row r="39">
      <c r="A39" t="inlineStr">
        <is>
          <t>TPP-920</t>
        </is>
      </c>
      <c r="B39" t="inlineStr">
        <is>
          <t>0T690</t>
        </is>
      </c>
    </row>
    <row r="40">
      <c r="A40" t="inlineStr">
        <is>
          <t>TPP-920</t>
        </is>
      </c>
      <c r="B40" t="inlineStr">
        <is>
          <t>0T720</t>
        </is>
      </c>
    </row>
    <row r="41">
      <c r="A41" t="inlineStr">
        <is>
          <t>TPP-922</t>
        </is>
      </c>
      <c r="B41" t="inlineStr">
        <is>
          <t>0T740</t>
        </is>
      </c>
    </row>
    <row r="42">
      <c r="A42" t="inlineStr">
        <is>
          <t>TPP-923</t>
        </is>
      </c>
      <c r="B42" t="inlineStr">
        <is>
          <t>0T750</t>
        </is>
      </c>
    </row>
    <row r="43">
      <c r="A43" t="inlineStr">
        <is>
          <t>TPP-968</t>
        </is>
      </c>
      <c r="B43" t="inlineStr">
        <is>
          <t>K0050</t>
        </is>
      </c>
    </row>
    <row r="44">
      <c r="A44" t="inlineStr">
        <is>
          <t>TPP-968</t>
        </is>
      </c>
      <c r="B44" t="inlineStr">
        <is>
          <t>0Q120</t>
        </is>
      </c>
    </row>
    <row r="45">
      <c r="A45" t="inlineStr">
        <is>
          <t>TPP-1367</t>
        </is>
      </c>
      <c r="B45" t="inlineStr">
        <is>
          <t>F3060</t>
        </is>
      </c>
    </row>
    <row r="46">
      <c r="A46" t="inlineStr">
        <is>
          <t>TPP-1367</t>
        </is>
      </c>
      <c r="B46" t="inlineStr">
        <is>
          <t>F2350</t>
        </is>
      </c>
    </row>
    <row r="47">
      <c r="A47" t="inlineStr">
        <is>
          <t>TPP-1378</t>
        </is>
      </c>
      <c r="B47" t="inlineStr">
        <is>
          <t>F3060</t>
        </is>
      </c>
    </row>
    <row r="48">
      <c r="A48" t="inlineStr">
        <is>
          <t>TPP-1378</t>
        </is>
      </c>
      <c r="B48" t="inlineStr">
        <is>
          <t>F2350</t>
        </is>
      </c>
    </row>
    <row r="49">
      <c r="A49" t="inlineStr">
        <is>
          <t>TPP-1378</t>
        </is>
      </c>
      <c r="B49" t="inlineStr">
        <is>
          <t>A045</t>
        </is>
      </c>
    </row>
    <row r="50">
      <c r="A50" t="inlineStr">
        <is>
          <t>TPP-1369</t>
        </is>
      </c>
      <c r="B50" t="inlineStr">
        <is>
          <t>F3060</t>
        </is>
      </c>
    </row>
    <row r="51">
      <c r="A51" t="inlineStr">
        <is>
          <t>TPP-1369</t>
        </is>
      </c>
      <c r="B51" t="inlineStr">
        <is>
          <t>OT880</t>
        </is>
      </c>
    </row>
    <row r="52">
      <c r="A52" t="inlineStr">
        <is>
          <t>TPP-1379</t>
        </is>
      </c>
      <c r="B52" t="inlineStr">
        <is>
          <t>F3060</t>
        </is>
      </c>
    </row>
    <row r="53">
      <c r="A53" t="inlineStr">
        <is>
          <t>TPP-1379</t>
        </is>
      </c>
      <c r="B53" t="inlineStr">
        <is>
          <t>OT860</t>
        </is>
      </c>
    </row>
    <row r="54">
      <c r="A54" t="inlineStr">
        <is>
          <t>TPP-1379</t>
        </is>
      </c>
      <c r="B54" t="inlineStr">
        <is>
          <t>OT870</t>
        </is>
      </c>
    </row>
    <row r="55">
      <c r="A55" t="inlineStr">
        <is>
          <t>TPP-1379</t>
        </is>
      </c>
      <c r="B55" t="inlineStr">
        <is>
          <t>OT880</t>
        </is>
      </c>
    </row>
    <row r="56">
      <c r="A56" t="inlineStr">
        <is>
          <t>TPP-1368</t>
        </is>
      </c>
      <c r="B56" t="inlineStr">
        <is>
          <t>F3060</t>
        </is>
      </c>
    </row>
    <row r="57">
      <c r="A57" t="inlineStr">
        <is>
          <t>TPP-1368</t>
        </is>
      </c>
      <c r="B57" t="inlineStr">
        <is>
          <t>OT860</t>
        </is>
      </c>
    </row>
    <row r="58">
      <c r="A58" t="inlineStr">
        <is>
          <t>TPP-1368</t>
        </is>
      </c>
      <c r="B58" t="inlineStr">
        <is>
          <t>OT870</t>
        </is>
      </c>
    </row>
    <row r="59">
      <c r="A59" t="inlineStr">
        <is>
          <t>TPP-1368</t>
        </is>
      </c>
      <c r="B59" t="inlineStr">
        <is>
          <t>A045</t>
        </is>
      </c>
    </row>
    <row r="60">
      <c r="A60" t="inlineStr">
        <is>
          <t>TSP-049</t>
        </is>
      </c>
      <c r="B60" t="inlineStr">
        <is>
          <t>0T180</t>
        </is>
      </c>
    </row>
    <row r="61">
      <c r="A61" t="inlineStr">
        <is>
          <t>TSP-049</t>
        </is>
      </c>
      <c r="B61" t="inlineStr">
        <is>
          <t>0T410</t>
        </is>
      </c>
    </row>
    <row r="62">
      <c r="A62" t="inlineStr">
        <is>
          <t>TSP-049</t>
        </is>
      </c>
      <c r="B62" t="inlineStr">
        <is>
          <t>0W750</t>
        </is>
      </c>
    </row>
    <row r="63">
      <c r="A63" t="inlineStr">
        <is>
          <t>TSP-050</t>
        </is>
      </c>
      <c r="B63" t="inlineStr">
        <is>
          <t>0T180</t>
        </is>
      </c>
    </row>
    <row r="64">
      <c r="A64" t="inlineStr">
        <is>
          <t>TSP-050</t>
        </is>
      </c>
      <c r="B64" t="inlineStr">
        <is>
          <t>0T410</t>
        </is>
      </c>
    </row>
    <row r="65">
      <c r="A65" t="inlineStr">
        <is>
          <t>TSP-050</t>
        </is>
      </c>
      <c r="B65" t="inlineStr">
        <is>
          <t>0W750</t>
        </is>
      </c>
    </row>
    <row r="66">
      <c r="A66" t="inlineStr">
        <is>
          <t>TSP-067</t>
        </is>
      </c>
      <c r="B66" t="inlineStr">
        <is>
          <t>0T160</t>
        </is>
      </c>
    </row>
    <row r="67">
      <c r="A67" t="inlineStr">
        <is>
          <t>TSP-069</t>
        </is>
      </c>
      <c r="B67" t="inlineStr">
        <is>
          <t>0W770</t>
        </is>
      </c>
    </row>
    <row r="68">
      <c r="A68" t="inlineStr">
        <is>
          <t>TSP-078</t>
        </is>
      </c>
      <c r="B68" t="inlineStr">
        <is>
          <t>0T160</t>
        </is>
      </c>
    </row>
    <row r="69">
      <c r="A69" t="inlineStr">
        <is>
          <t>TSP-080</t>
        </is>
      </c>
      <c r="B69" t="inlineStr">
        <is>
          <t>0W770</t>
        </is>
      </c>
    </row>
    <row r="70">
      <c r="A70" t="inlineStr">
        <is>
          <t>TSP-104</t>
        </is>
      </c>
      <c r="B70" t="inlineStr">
        <is>
          <t>0T150</t>
        </is>
      </c>
    </row>
    <row r="71">
      <c r="A71" t="inlineStr">
        <is>
          <t>TSP-105</t>
        </is>
      </c>
      <c r="B71" t="inlineStr">
        <is>
          <t>0T150</t>
        </is>
      </c>
    </row>
    <row r="72">
      <c r="A72" t="inlineStr">
        <is>
          <t>TSP-199</t>
        </is>
      </c>
      <c r="B72" t="inlineStr">
        <is>
          <t>0W780</t>
        </is>
      </c>
    </row>
    <row r="73">
      <c r="A73" t="inlineStr">
        <is>
          <t>TSP-205</t>
        </is>
      </c>
      <c r="B73" t="inlineStr">
        <is>
          <t>0W780</t>
        </is>
      </c>
    </row>
    <row r="74">
      <c r="A74" t="inlineStr">
        <is>
          <t>TSP-206</t>
        </is>
      </c>
      <c r="B74" t="inlineStr">
        <is>
          <t>0W780</t>
        </is>
      </c>
    </row>
    <row r="75">
      <c r="A75" t="inlineStr">
        <is>
          <t>TSP-224</t>
        </is>
      </c>
      <c r="B75" t="inlineStr">
        <is>
          <t>0M060</t>
        </is>
      </c>
    </row>
    <row r="76">
      <c r="A76" t="inlineStr">
        <is>
          <t>TSP-224</t>
        </is>
      </c>
      <c r="B76" t="inlineStr">
        <is>
          <t>0P340</t>
        </is>
      </c>
    </row>
    <row r="77">
      <c r="A77" t="inlineStr">
        <is>
          <t>TSP-224</t>
        </is>
      </c>
      <c r="B77" t="inlineStr">
        <is>
          <t>0V250</t>
        </is>
      </c>
    </row>
    <row r="78">
      <c r="A78" t="inlineStr">
        <is>
          <t>TSP-225</t>
        </is>
      </c>
      <c r="B78" t="inlineStr">
        <is>
          <t>0M060</t>
        </is>
      </c>
    </row>
    <row r="79">
      <c r="A79" t="inlineStr">
        <is>
          <t>TSP-225</t>
        </is>
      </c>
      <c r="B79" t="inlineStr">
        <is>
          <t>0P340</t>
        </is>
      </c>
    </row>
    <row r="80">
      <c r="A80" t="inlineStr">
        <is>
          <t>TSP-225</t>
        </is>
      </c>
      <c r="B80" t="inlineStr">
        <is>
          <t>0V250</t>
        </is>
      </c>
    </row>
    <row r="81">
      <c r="A81" t="inlineStr">
        <is>
          <t>TSP-360</t>
        </is>
      </c>
      <c r="B81" t="inlineStr">
        <is>
          <t>0T490</t>
        </is>
      </c>
    </row>
    <row r="82">
      <c r="A82" t="inlineStr">
        <is>
          <t>TSP-360</t>
        </is>
      </c>
      <c r="B82" t="inlineStr">
        <is>
          <t>0T500</t>
        </is>
      </c>
    </row>
    <row r="83">
      <c r="A83" t="inlineStr">
        <is>
          <t>TSP-367</t>
        </is>
      </c>
      <c r="B83" t="inlineStr">
        <is>
          <t>0T420</t>
        </is>
      </c>
    </row>
    <row r="84">
      <c r="A84" t="inlineStr">
        <is>
          <t>TSP-367</t>
        </is>
      </c>
      <c r="B84" t="inlineStr">
        <is>
          <t>0T470</t>
        </is>
      </c>
    </row>
    <row r="85">
      <c r="A85" t="inlineStr">
        <is>
          <t>TSP-367</t>
        </is>
      </c>
      <c r="B85" t="inlineStr">
        <is>
          <t>0T480</t>
        </is>
      </c>
    </row>
    <row r="86">
      <c r="A86" t="inlineStr">
        <is>
          <t>TSP-367</t>
        </is>
      </c>
      <c r="B86" t="inlineStr">
        <is>
          <t>0T490</t>
        </is>
      </c>
    </row>
    <row r="87">
      <c r="A87" t="inlineStr">
        <is>
          <t>TSP-367</t>
        </is>
      </c>
      <c r="B87" t="inlineStr">
        <is>
          <t>0T500</t>
        </is>
      </c>
    </row>
    <row r="88">
      <c r="A88" t="inlineStr">
        <is>
          <t>TSP-369</t>
        </is>
      </c>
      <c r="B88" t="inlineStr">
        <is>
          <t>0T420</t>
        </is>
      </c>
    </row>
    <row r="89">
      <c r="A89" t="inlineStr">
        <is>
          <t>TSP-369</t>
        </is>
      </c>
      <c r="B89" t="inlineStr">
        <is>
          <t>0T470</t>
        </is>
      </c>
    </row>
    <row r="90">
      <c r="A90" t="inlineStr">
        <is>
          <t>TSP-369</t>
        </is>
      </c>
      <c r="B90" t="inlineStr">
        <is>
          <t>0T490</t>
        </is>
      </c>
    </row>
    <row r="91">
      <c r="A91" t="inlineStr">
        <is>
          <t>TSP-369</t>
        </is>
      </c>
      <c r="B91" t="inlineStr">
        <is>
          <t>0T500</t>
        </is>
      </c>
    </row>
    <row r="92">
      <c r="A92" t="inlineStr">
        <is>
          <t>TSP-402</t>
        </is>
      </c>
      <c r="B92" t="inlineStr">
        <is>
          <t>0T520</t>
        </is>
      </c>
    </row>
    <row r="93">
      <c r="A93" t="inlineStr">
        <is>
          <t>TSP-403</t>
        </is>
      </c>
      <c r="B93" t="inlineStr">
        <is>
          <t>0T510</t>
        </is>
      </c>
    </row>
    <row r="94">
      <c r="A94" t="inlineStr">
        <is>
          <t>TSP-404</t>
        </is>
      </c>
      <c r="B94" t="inlineStr">
        <is>
          <t>0T430</t>
        </is>
      </c>
    </row>
    <row r="95">
      <c r="A95" t="inlineStr">
        <is>
          <t>TSP-405</t>
        </is>
      </c>
      <c r="B95" t="inlineStr">
        <is>
          <t>0P390</t>
        </is>
      </c>
    </row>
    <row r="96">
      <c r="A96" t="inlineStr">
        <is>
          <t>TSP-405</t>
        </is>
      </c>
      <c r="B96" t="inlineStr">
        <is>
          <t>0Y230</t>
        </is>
      </c>
    </row>
    <row r="97">
      <c r="A97" t="inlineStr">
        <is>
          <t>TSP-544</t>
        </is>
      </c>
      <c r="B97" t="inlineStr">
        <is>
          <t>0T480</t>
        </is>
      </c>
    </row>
    <row r="98">
      <c r="A98" t="inlineStr">
        <is>
          <t>TSP-558</t>
        </is>
      </c>
      <c r="B98" t="inlineStr">
        <is>
          <t>0T480</t>
        </is>
      </c>
    </row>
    <row r="99">
      <c r="A99" t="inlineStr">
        <is>
          <t>TSP-618</t>
        </is>
      </c>
      <c r="B99" t="inlineStr">
        <is>
          <t>F0220</t>
        </is>
      </c>
    </row>
    <row r="100">
      <c r="A100" t="inlineStr">
        <is>
          <t>TSP-618</t>
        </is>
      </c>
      <c r="B100" t="inlineStr">
        <is>
          <t>F2100</t>
        </is>
      </c>
    </row>
    <row r="101">
      <c r="A101" t="inlineStr">
        <is>
          <t>TSP-620</t>
        </is>
      </c>
      <c r="B101" t="inlineStr">
        <is>
          <t>F2100</t>
        </is>
      </c>
    </row>
    <row r="102">
      <c r="A102" t="inlineStr">
        <is>
          <t>TSP-623</t>
        </is>
      </c>
      <c r="B102" t="inlineStr">
        <is>
          <t>F0220</t>
        </is>
      </c>
    </row>
    <row r="103">
      <c r="A103" t="inlineStr">
        <is>
          <t>TSP-655</t>
        </is>
      </c>
      <c r="B103" t="inlineStr">
        <is>
          <t>0Q110</t>
        </is>
      </c>
    </row>
    <row r="104">
      <c r="A104" t="inlineStr">
        <is>
          <t>TSP-655</t>
        </is>
      </c>
      <c r="B104" t="inlineStr">
        <is>
          <t>0Y460</t>
        </is>
      </c>
    </row>
    <row r="105">
      <c r="A105" t="inlineStr">
        <is>
          <t>TSP-655</t>
        </is>
      </c>
      <c r="B105" t="inlineStr">
        <is>
          <t>F2090</t>
        </is>
      </c>
    </row>
    <row r="106">
      <c r="A106" t="inlineStr">
        <is>
          <t>TSP-656</t>
        </is>
      </c>
      <c r="B106" t="inlineStr">
        <is>
          <t>0Q110</t>
        </is>
      </c>
    </row>
    <row r="107">
      <c r="A107" t="inlineStr">
        <is>
          <t>TSP-656</t>
        </is>
      </c>
      <c r="B107" t="inlineStr">
        <is>
          <t>0Y460</t>
        </is>
      </c>
    </row>
    <row r="108">
      <c r="A108" t="inlineStr">
        <is>
          <t>TSP-656</t>
        </is>
      </c>
      <c r="B108" t="inlineStr">
        <is>
          <t>F2090</t>
        </is>
      </c>
    </row>
    <row r="109">
      <c r="A109" t="inlineStr">
        <is>
          <t>TSP-668</t>
        </is>
      </c>
      <c r="B109" t="inlineStr">
        <is>
          <t>0T510</t>
        </is>
      </c>
    </row>
    <row r="110">
      <c r="A110" t="inlineStr">
        <is>
          <t>TSP-668</t>
        </is>
      </c>
      <c r="B110" t="inlineStr">
        <is>
          <t>0T520</t>
        </is>
      </c>
    </row>
    <row r="111">
      <c r="A111" t="inlineStr">
        <is>
          <t>TSP-669</t>
        </is>
      </c>
      <c r="B111" t="inlineStr">
        <is>
          <t>0T430</t>
        </is>
      </c>
    </row>
    <row r="112">
      <c r="A112" t="inlineStr">
        <is>
          <t>TSP-670</t>
        </is>
      </c>
      <c r="B112" t="inlineStr">
        <is>
          <t>0Y230</t>
        </is>
      </c>
    </row>
    <row r="113">
      <c r="A113" t="inlineStr">
        <is>
          <t>TSP-710</t>
        </is>
      </c>
      <c r="B113" t="inlineStr">
        <is>
          <t>0T420</t>
        </is>
      </c>
    </row>
    <row r="114">
      <c r="A114" t="inlineStr">
        <is>
          <t>TSP-710</t>
        </is>
      </c>
      <c r="B114" t="inlineStr">
        <is>
          <t>0T470</t>
        </is>
      </c>
    </row>
    <row r="115">
      <c r="A115" t="inlineStr">
        <is>
          <t>TSP-828</t>
        </is>
      </c>
      <c r="B115" t="inlineStr">
        <is>
          <t>0T730</t>
        </is>
      </c>
    </row>
    <row r="116">
      <c r="A116" t="inlineStr">
        <is>
          <t>TSP-903</t>
        </is>
      </c>
      <c r="B116" t="inlineStr">
        <is>
          <t>0T730</t>
        </is>
      </c>
    </row>
    <row r="117">
      <c r="A117" t="inlineStr">
        <is>
          <t>TSP-924</t>
        </is>
      </c>
      <c r="B117" t="inlineStr">
        <is>
          <t>0T720</t>
        </is>
      </c>
    </row>
    <row r="118">
      <c r="A118" t="inlineStr">
        <is>
          <t>TSP-924</t>
        </is>
      </c>
      <c r="B118" t="inlineStr">
        <is>
          <t>0T740</t>
        </is>
      </c>
    </row>
    <row r="119">
      <c r="A119" t="inlineStr">
        <is>
          <t>TSP-924</t>
        </is>
      </c>
      <c r="B119" t="inlineStr">
        <is>
          <t>F2180</t>
        </is>
      </c>
    </row>
    <row r="120">
      <c r="A120" t="inlineStr">
        <is>
          <t>TSP-924</t>
        </is>
      </c>
      <c r="B120" t="inlineStr">
        <is>
          <t>F2210</t>
        </is>
      </c>
    </row>
    <row r="121">
      <c r="A121" t="inlineStr">
        <is>
          <t>TSP-924</t>
        </is>
      </c>
      <c r="B121" t="inlineStr">
        <is>
          <t>K0030</t>
        </is>
      </c>
    </row>
    <row r="122">
      <c r="A122" t="inlineStr">
        <is>
          <t>TSP-925</t>
        </is>
      </c>
      <c r="B122" t="inlineStr">
        <is>
          <t>0T750</t>
        </is>
      </c>
    </row>
    <row r="123">
      <c r="A123" t="inlineStr">
        <is>
          <t>TSP-927</t>
        </is>
      </c>
      <c r="B123" t="inlineStr">
        <is>
          <t>F2180</t>
        </is>
      </c>
    </row>
    <row r="124">
      <c r="A124" t="inlineStr">
        <is>
          <t>TSP-927</t>
        </is>
      </c>
      <c r="B124" t="inlineStr">
        <is>
          <t>F2210</t>
        </is>
      </c>
    </row>
    <row r="125">
      <c r="A125" t="inlineStr">
        <is>
          <t>TSP-928</t>
        </is>
      </c>
      <c r="B125" t="inlineStr">
        <is>
          <t>K0030</t>
        </is>
      </c>
    </row>
    <row r="126">
      <c r="A126" t="inlineStr">
        <is>
          <t>TSP-928</t>
        </is>
      </c>
      <c r="B126" t="inlineStr">
        <is>
          <t>0T720</t>
        </is>
      </c>
    </row>
    <row r="127">
      <c r="A127" t="inlineStr">
        <is>
          <t>TSP-928</t>
        </is>
      </c>
      <c r="B127" t="inlineStr">
        <is>
          <t>OT690</t>
        </is>
      </c>
    </row>
    <row r="128">
      <c r="A128" t="inlineStr">
        <is>
          <t>TSP-929</t>
        </is>
      </c>
      <c r="B128" t="inlineStr">
        <is>
          <t>0T740</t>
        </is>
      </c>
    </row>
    <row r="129">
      <c r="A129" t="inlineStr">
        <is>
          <t>TSP-930</t>
        </is>
      </c>
      <c r="B129" t="inlineStr">
        <is>
          <t>0T750</t>
        </is>
      </c>
    </row>
    <row r="130">
      <c r="A130" t="inlineStr">
        <is>
          <t>TSP-934</t>
        </is>
      </c>
      <c r="B130" t="inlineStr">
        <is>
          <t>F2180</t>
        </is>
      </c>
    </row>
    <row r="131">
      <c r="A131" t="inlineStr">
        <is>
          <t>TSP-934</t>
        </is>
      </c>
      <c r="B131" t="inlineStr">
        <is>
          <t>F2210</t>
        </is>
      </c>
    </row>
    <row r="132">
      <c r="A132" t="inlineStr">
        <is>
          <t>TSP-934</t>
        </is>
      </c>
      <c r="B132" t="inlineStr">
        <is>
          <t>OT690</t>
        </is>
      </c>
    </row>
    <row r="133">
      <c r="A133" t="inlineStr">
        <is>
          <t>TSP-935</t>
        </is>
      </c>
      <c r="B133" t="inlineStr">
        <is>
          <t>0T720</t>
        </is>
      </c>
    </row>
    <row r="134">
      <c r="A134" t="inlineStr">
        <is>
          <t>TSP-935</t>
        </is>
      </c>
      <c r="B134" t="inlineStr">
        <is>
          <t>K0030</t>
        </is>
      </c>
    </row>
    <row r="135">
      <c r="A135" t="inlineStr">
        <is>
          <t>TSP-936</t>
        </is>
      </c>
      <c r="B135" t="inlineStr">
        <is>
          <t>0T740</t>
        </is>
      </c>
    </row>
    <row r="136">
      <c r="A136" t="inlineStr">
        <is>
          <t>TSP-937</t>
        </is>
      </c>
      <c r="B136" t="inlineStr">
        <is>
          <t>0T750</t>
        </is>
      </c>
    </row>
    <row r="137">
      <c r="A137" t="inlineStr">
        <is>
          <t>TSP-959</t>
        </is>
      </c>
      <c r="B137" t="inlineStr">
        <is>
          <t>0Q120</t>
        </is>
      </c>
    </row>
    <row r="138">
      <c r="A138" t="inlineStr">
        <is>
          <t>TSP-959</t>
        </is>
      </c>
      <c r="B138" t="inlineStr">
        <is>
          <t>K0050</t>
        </is>
      </c>
    </row>
    <row r="139">
      <c r="A139" t="inlineStr">
        <is>
          <t>TSP-966</t>
        </is>
      </c>
      <c r="B139" t="inlineStr">
        <is>
          <t>0Q120</t>
        </is>
      </c>
    </row>
    <row r="140">
      <c r="A140" t="inlineStr">
        <is>
          <t>TSP-966</t>
        </is>
      </c>
      <c r="B140" t="inlineStr">
        <is>
          <t>K0050</t>
        </is>
      </c>
    </row>
    <row r="141">
      <c r="A141" t="inlineStr">
        <is>
          <t>TSP-1388</t>
        </is>
      </c>
      <c r="B141" t="inlineStr">
        <is>
          <t>0T860</t>
        </is>
      </c>
    </row>
    <row r="142">
      <c r="A142" t="inlineStr">
        <is>
          <t>TSP-1388</t>
        </is>
      </c>
      <c r="B142" t="inlineStr">
        <is>
          <t>F2350</t>
        </is>
      </c>
    </row>
    <row r="143">
      <c r="A143" t="inlineStr">
        <is>
          <t>TSP-1388</t>
        </is>
      </c>
      <c r="B143" t="inlineStr">
        <is>
          <t>F3060</t>
        </is>
      </c>
    </row>
    <row r="144">
      <c r="A144" t="inlineStr">
        <is>
          <t>TSP-1444</t>
        </is>
      </c>
      <c r="B144" t="inlineStr">
        <is>
          <t>F2350</t>
        </is>
      </c>
    </row>
    <row r="145">
      <c r="A145" t="inlineStr">
        <is>
          <t>TSP-1444</t>
        </is>
      </c>
      <c r="B145" t="inlineStr">
        <is>
          <t>F3060</t>
        </is>
      </c>
    </row>
    <row r="146">
      <c r="A146" t="inlineStr">
        <is>
          <t>TSP-1448</t>
        </is>
      </c>
      <c r="B146" t="inlineStr">
        <is>
          <t>F2350</t>
        </is>
      </c>
    </row>
    <row r="147">
      <c r="A147" t="inlineStr">
        <is>
          <t>TSP-1448</t>
        </is>
      </c>
      <c r="B147" t="inlineStr">
        <is>
          <t>F3060</t>
        </is>
      </c>
    </row>
    <row r="148">
      <c r="A148" t="inlineStr">
        <is>
          <t>TSP-1445</t>
        </is>
      </c>
      <c r="B148" t="inlineStr">
        <is>
          <t>0T860</t>
        </is>
      </c>
    </row>
    <row r="149">
      <c r="A149" t="inlineStr">
        <is>
          <t>TSP-1446</t>
        </is>
      </c>
      <c r="B149" t="inlineStr">
        <is>
          <t>0T880</t>
        </is>
      </c>
    </row>
    <row r="150">
      <c r="A150" t="inlineStr">
        <is>
          <t>TSP-1449</t>
        </is>
      </c>
      <c r="B150" t="inlineStr">
        <is>
          <t>0T880</t>
        </is>
      </c>
    </row>
    <row r="151">
      <c r="A151" t="inlineStr">
        <is>
          <t>TSP-1449</t>
        </is>
      </c>
      <c r="B151" t="inlineStr">
        <is>
          <t>0T860</t>
        </is>
      </c>
    </row>
    <row r="152">
      <c r="A152" t="inlineStr">
        <is>
          <t>TVS-267</t>
        </is>
      </c>
      <c r="B152" t="inlineStr">
        <is>
          <t>0T750</t>
        </is>
      </c>
    </row>
    <row r="153">
      <c r="A153" t="inlineStr">
        <is>
          <t>TVS-500</t>
        </is>
      </c>
      <c r="B153" t="inlineStr">
        <is>
          <t>0T740</t>
        </is>
      </c>
    </row>
    <row r="154">
      <c r="A154" t="inlineStr">
        <is>
          <t>TVS-664</t>
        </is>
      </c>
      <c r="B154" t="inlineStr">
        <is>
          <t>F2180</t>
        </is>
      </c>
    </row>
    <row r="155">
      <c r="A155" t="inlineStr">
        <is>
          <t>TVS-664</t>
        </is>
      </c>
      <c r="B155" t="inlineStr">
        <is>
          <t>F2210</t>
        </is>
      </c>
    </row>
    <row r="156">
      <c r="A156" t="inlineStr">
        <is>
          <t>TVS-664</t>
        </is>
      </c>
      <c r="B156" t="inlineStr">
        <is>
          <t>K0030</t>
        </is>
      </c>
    </row>
    <row r="157">
      <c r="A157" t="inlineStr">
        <is>
          <t>TVS-833</t>
        </is>
      </c>
      <c r="B157" t="inlineStr">
        <is>
          <t>0T720</t>
        </is>
      </c>
    </row>
    <row r="158">
      <c r="A158" t="inlineStr">
        <is>
          <t>VSP-600</t>
        </is>
      </c>
      <c r="B158" t="inlineStr">
        <is>
          <t>V02</t>
        </is>
      </c>
    </row>
    <row r="159">
      <c r="A159" t="inlineStr">
        <is>
          <t>VSP-601</t>
        </is>
      </c>
      <c r="B159" t="inlineStr">
        <is>
          <t>V02</t>
        </is>
      </c>
    </row>
    <row r="160">
      <c r="A160" t="inlineStr">
        <is>
          <t>VSP-602</t>
        </is>
      </c>
      <c r="B160" t="inlineStr">
        <is>
          <t>V02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VSP-910</t>
        </is>
      </c>
      <c r="B164" t="inlineStr">
        <is>
          <t>V17</t>
        </is>
      </c>
    </row>
    <row r="165">
      <c r="A165" t="inlineStr">
        <is>
          <t>VSP-989</t>
        </is>
      </c>
      <c r="B165" t="inlineStr">
        <is>
          <t>V18</t>
        </is>
      </c>
    </row>
    <row r="166">
      <c r="A166" t="inlineStr">
        <is>
          <t>VSP-990</t>
        </is>
      </c>
      <c r="B166" t="inlineStr">
        <is>
          <t>V18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SUMPRODUCT((M_BOM[Part Name]=$A2)*M_BOM[RM_Qty_Per_Batch]*IFERROR(INDEX(PP_Grid[#Data],M_BOM[PPGridRow],2),0))+IFERROR(INDEX(M_RawMaterials[固定週次消費量_要入力],MATCH($A2,M_RawMaterials[Part Name],0)),0)</f>
        <v/>
      </c>
      <c r="C2">
        <f>SUMPRODUCT((M_BOM[Part Name]=$A2)*M_BOM[RM_Qty_Per_Batch]*IFERROR(INDEX(PP_Grid[#Data],M_BOM[PPGridRow],3),0))+IFERROR(INDEX(M_RawMaterials[固定週次消費量_要入力],MATCH($A2,M_RawMaterials[Part Name],0)),0)</f>
        <v/>
      </c>
      <c r="D2">
        <f>SUMPRODUCT((M_BOM[Part Name]=$A2)*M_BOM[RM_Qty_Per_Batch]*IFERROR(INDEX(PP_Grid[#Data],M_BOM[PPGridRow],4),0))+IFERROR(INDEX(M_RawMaterials[固定週次消費量_要入力],MATCH($A2,M_RawMaterials[Part Name],0)),0)</f>
        <v/>
      </c>
      <c r="E2">
        <f>SUMPRODUCT((M_BOM[Part Name]=$A2)*M_BOM[RM_Qty_Per_Batch]*IFERROR(INDEX(PP_Grid[#Data],M_BOM[PPGridRow],5),0))+IFERROR(INDEX(M_RawMaterials[固定週次消費量_要入力],MATCH($A2,M_RawMaterials[Part Name],0)),0)</f>
        <v/>
      </c>
      <c r="F2">
        <f>SUMPRODUCT((M_BOM[Part Name]=$A2)*M_BOM[RM_Qty_Per_Batch]*IFERROR(INDEX(PP_Grid[#Data],M_BOM[PPGridRow],6),0))+IFERROR(INDEX(M_RawMaterials[固定週次消費量_要入力],MATCH($A2,M_RawMaterials[Part Name],0)),0)</f>
        <v/>
      </c>
      <c r="G2">
        <f>SUMPRODUCT((M_BOM[Part Name]=$A2)*M_BOM[RM_Qty_Per_Batch]*IFERROR(INDEX(PP_Grid[#Data],M_BOM[PPGridRow],7),0))+IFERROR(INDEX(M_RawMaterials[固定週次消費量_要入力],MATCH($A2,M_RawMaterials[Part Name],0)),0)</f>
        <v/>
      </c>
      <c r="H2">
        <f>SUMPRODUCT((M_BOM[Part Name]=$A2)*M_BOM[RM_Qty_Per_Batch]*IFERROR(INDEX(PP_Grid[#Data],M_BOM[PPGridRow],8),0))+IFERROR(INDEX(M_RawMaterials[固定週次消費量_要入力],MATCH($A2,M_RawMaterials[Part Name],0)),0)</f>
        <v/>
      </c>
      <c r="I2">
        <f>SUMPRODUCT((M_BOM[Part Name]=$A2)*M_BOM[RM_Qty_Per_Batch]*IFERROR(INDEX(PP_Grid[#Data],M_BOM[PPGridRow],9),0))+IFERROR(INDEX(M_RawMaterials[固定週次消費量_要入力],MATCH($A2,M_RawMaterials[Part Name],0)),0)</f>
        <v/>
      </c>
      <c r="J2">
        <f>SUMPRODUCT((M_BOM[Part Name]=$A2)*M_BOM[RM_Qty_Per_Batch]*IFERROR(INDEX(PP_Grid[#Data],M_BOM[PPGridRow],10),0))+IFERROR(INDEX(M_RawMaterials[固定週次消費量_要入力],MATCH($A2,M_RawMaterials[Part Name],0)),0)</f>
        <v/>
      </c>
      <c r="K2">
        <f>SUMPRODUCT((M_BOM[Part Name]=$A2)*M_BOM[RM_Qty_Per_Batch]*IFERROR(INDEX(PP_Grid[#Data],M_BOM[PPGridRow],11),0))+IFERROR(INDEX(M_RawMaterials[固定週次消費量_要入力],MATCH($A2,M_RawMaterials[Part Name],0)),0)</f>
        <v/>
      </c>
      <c r="L2">
        <f>SUMPRODUCT((M_BOM[Part Name]=$A2)*M_BOM[RM_Qty_Per_Batch]*IFERROR(INDEX(PP_Grid[#Data],M_BOM[PPGridRow],12),0))+IFERROR(INDEX(M_RawMaterials[固定週次消費量_要入力],MATCH($A2,M_RawMaterials[Part Name],0)),0)</f>
        <v/>
      </c>
      <c r="M2">
        <f>SUMPRODUCT((M_BOM[Part Name]=$A2)*M_BOM[RM_Qty_Per_Batch]*IFERROR(INDEX(PP_Grid[#Data],M_BOM[PPGridRow],13),0))+IFERROR(INDEX(M_RawMaterials[固定週次消費量_要入力],MATCH($A2,M_RawMaterials[Part Name],0)),0)</f>
        <v/>
      </c>
      <c r="N2">
        <f>SUMPRODUCT((M_BOM[Part Name]=$A2)*M_BOM[RM_Qty_Per_Batch]*IFERROR(INDEX(PP_Grid[#Data],M_BOM[PPGridRow],14),0))+IFERROR(INDEX(M_RawMaterials[固定週次消費量_要入力],MATCH($A2,M_RawMaterials[Part Name],0)),0)</f>
        <v/>
      </c>
      <c r="O2">
        <f>SUMPRODUCT((M_BOM[Part Name]=$A2)*M_BOM[RM_Qty_Per_Batch]*IFERROR(INDEX(PP_Grid[#Data],M_BOM[PPGridRow],15),0))+IFERROR(INDEX(M_RawMaterials[固定週次消費量_要入力],MATCH($A2,M_RawMaterials[Part Name],0)),0)</f>
        <v/>
      </c>
      <c r="P2">
        <f>SUMPRODUCT((M_BOM[Part Name]=$A2)*M_BOM[RM_Qty_Per_Batch]*IFERROR(INDEX(PP_Grid[#Data],M_BOM[PPGridRow],16),0))+IFERROR(INDEX(M_RawMaterials[固定週次消費量_要入力],MATCH($A2,M_RawMaterials[Part Name],0)),0)</f>
        <v/>
      </c>
      <c r="Q2">
        <f>SUMPRODUCT((M_BOM[Part Name]=$A2)*M_BOM[RM_Qty_Per_Batch]*IFERROR(INDEX(PP_Grid[#Data],M_BOM[PPGridRow],17),0))+IFERROR(INDEX(M_RawMaterials[固定週次消費量_要入力],MATCH($A2,M_RawMaterials[Part Name],0)),0)</f>
        <v/>
      </c>
      <c r="R2">
        <f>SUMPRODUCT((M_BOM[Part Name]=$A2)*M_BOM[RM_Qty_Per_Batch]*IFERROR(INDEX(PP_Grid[#Data],M_BOM[PPGridRow],18),0))+IFERROR(INDEX(M_RawMaterials[固定週次消費量_要入力],MATCH($A2,M_RawMaterials[Part Name],0)),0)</f>
        <v/>
      </c>
      <c r="S2">
        <f>SUMPRODUCT((M_BOM[Part Name]=$A2)*M_BOM[RM_Qty_Per_Batch]*IFERROR(INDEX(PP_Grid[#Data],M_BOM[PPGridRow],19),0))+IFERROR(INDEX(M_RawMaterials[固定週次消費量_要入力],MATCH($A2,M_RawMaterials[Part Name],0)),0)</f>
        <v/>
      </c>
      <c r="T2">
        <f>SUMPRODUCT((M_BOM[Part Name]=$A2)*M_BOM[RM_Qty_Per_Batch]*IFERROR(INDEX(PP_Grid[#Data],M_BOM[PPGridRow],20),0))+IFERROR(INDEX(M_RawMaterials[固定週次消費量_要入力],MATCH($A2,M_RawMaterials[Part Name],0)),0)</f>
        <v/>
      </c>
      <c r="U2">
        <f>SUMPRODUCT((M_BOM[Part Name]=$A2)*M_BOM[RM_Qty_Per_Batch]*IFERROR(INDEX(PP_Grid[#Data],M_BOM[PPGridRow],21),0))+IFERROR(INDEX(M_RawMaterials[固定週次消費量_要入力],MATCH($A2,M_RawMaterials[Part Name],0)),0)</f>
        <v/>
      </c>
      <c r="V2">
        <f>SUMPRODUCT((M_BOM[Part Name]=$A2)*M_BOM[RM_Qty_Per_Batch]*IFERROR(INDEX(PP_Grid[#Data],M_BOM[PPGridRow],22),0))+IFERROR(INDEX(M_RawMaterials[固定週次消費量_要入力],MATCH($A2,M_RawMaterials[Part Name],0)),0)</f>
        <v/>
      </c>
      <c r="W2">
        <f>SUMPRODUCT((M_BOM[Part Name]=$A2)*M_BOM[RM_Qty_Per_Batch]*IFERROR(INDEX(PP_Grid[#Data],M_BOM[PPGridRow],23),0))+IFERROR(INDEX(M_RawMaterials[固定週次消費量_要入力],MATCH($A2,M_RawMaterials[Part Name],0)),0)</f>
        <v/>
      </c>
      <c r="X2">
        <f>SUMPRODUCT((M_BOM[Part Name]=$A2)*M_BOM[RM_Qty_Per_Batch]*IFERROR(INDEX(PP_Grid[#Data],M_BOM[PPGridRow],24),0))+IFERROR(INDEX(M_RawMaterials[固定週次消費量_要入力],MATCH($A2,M_RawMaterials[Part Name],0)),0)</f>
        <v/>
      </c>
      <c r="Y2">
        <f>SUMPRODUCT((M_BOM[Part Name]=$A2)*M_BOM[RM_Qty_Per_Batch]*IFERROR(INDEX(PP_Grid[#Data],M_BOM[PPGridRow],25),0))+IFERROR(INDEX(M_RawMaterials[固定週次消費量_要入力],MATCH($A2,M_RawMaterials[Part Name],0)),0)</f>
        <v/>
      </c>
      <c r="Z2">
        <f>SUMPRODUCT((M_BOM[Part Name]=$A2)*M_BOM[RM_Qty_Per_Batch]*IFERROR(INDEX(PP_Grid[#Data],M_BOM[PPGridRow],26),0))+IFERROR(INDEX(M_RawMaterials[固定週次消費量_要入力],MATCH($A2,M_RawMaterials[Part Name],0)),0)</f>
        <v/>
      </c>
      <c r="AA2">
        <f>SUMPRODUCT((M_BOM[Part Name]=$A2)*M_BOM[RM_Qty_Per_Batch]*IFERROR(INDEX(PP_Grid[#Data],M_BOM[PPGridRow],27),0))+IFERROR(INDEX(M_RawMaterials[固定週次消費量_要入力],MATCH($A2,M_RawMaterials[Part Name],0)),0)</f>
        <v/>
      </c>
      <c r="AB2">
        <f>SUMPRODUCT((M_BOM[Part Name]=$A2)*M_BOM[RM_Qty_Per_Batch]*IFERROR(INDEX(PP_Grid[#Data],M_BOM[PPGridRow],28),0))+IFERROR(INDEX(M_RawMaterials[固定週次消費量_要入力],MATCH($A2,M_RawMaterials[Part Name],0)),0)</f>
        <v/>
      </c>
      <c r="AC2">
        <f>SUMPRODUCT((M_BOM[Part Name]=$A2)*M_BOM[RM_Qty_Per_Batch]*IFERROR(INDEX(PP_Grid[#Data],M_BOM[PPGridRow],29),0))+IFERROR(INDEX(M_RawMaterials[固定週次消費量_要入力],MATCH($A2,M_RawMaterials[Part Name],0)),0)</f>
        <v/>
      </c>
      <c r="AD2">
        <f>SUMPRODUCT((M_BOM[Part Name]=$A2)*M_BOM[RM_Qty_Per_Batch]*IFERROR(INDEX(PP_Grid[#Data],M_BOM[PPGridRow],30),0))+IFERROR(INDEX(M_RawMaterials[固定週次消費量_要入力],MATCH($A2,M_RawMaterials[Part Name],0)),0)</f>
        <v/>
      </c>
      <c r="AE2">
        <f>SUMPRODUCT((M_BOM[Part Name]=$A2)*M_BOM[RM_Qty_Per_Batch]*IFERROR(INDEX(PP_Grid[#Data],M_BOM[PPGridRow],31),0))+IFERROR(INDEX(M_RawMaterials[固定週次消費量_要入力],MATCH($A2,M_RawMaterials[Part Name],0)),0)</f>
        <v/>
      </c>
      <c r="AF2">
        <f>SUMPRODUCT((M_BOM[Part Name]=$A2)*M_BOM[RM_Qty_Per_Batch]*IFERROR(INDEX(PP_Grid[#Data],M_BOM[PPGridRow],32),0))+IFERROR(INDEX(M_RawMaterials[固定週次消費量_要入力],MATCH($A2,M_RawMaterials[Part Name],0)),0)</f>
        <v/>
      </c>
      <c r="AG2">
        <f>SUMPRODUCT((M_BOM[Part Name]=$A2)*M_BOM[RM_Qty_Per_Batch]*IFERROR(INDEX(PP_Grid[#Data],M_BOM[PPGridRow],33),0))+IFERROR(INDEX(M_RawMaterials[固定週次消費量_要入力],MATCH($A2,M_RawMaterials[Part Name],0)),0)</f>
        <v/>
      </c>
      <c r="AH2">
        <f>SUMPRODUCT((M_BOM[Part Name]=$A2)*M_BOM[RM_Qty_Per_Batch]*IFERROR(INDEX(PP_Grid[#Data],M_BOM[PPGridRow],34),0))+IFERROR(INDEX(M_RawMaterials[固定週次消費量_要入力],MATCH($A2,M_RawMaterials[Part Name],0)),0)</f>
        <v/>
      </c>
      <c r="AI2">
        <f>SUMPRODUCT((M_BOM[Part Name]=$A2)*M_BOM[RM_Qty_Per_Batch]*IFERROR(INDEX(PP_Grid[#Data],M_BOM[PPGridRow],35),0))+IFERROR(INDEX(M_RawMaterials[固定週次消費量_要入力],MATCH($A2,M_RawMaterials[Part Name],0)),0)</f>
        <v/>
      </c>
      <c r="AJ2">
        <f>SUMPRODUCT((M_BOM[Part Name]=$A2)*M_BOM[RM_Qty_Per_Batch]*IFERROR(INDEX(PP_Grid[#Data],M_BOM[PPGridRow],36),0))+IFERROR(INDEX(M_RawMaterials[固定週次消費量_要入力],MATCH($A2,M_RawMaterials[Part Name],0)),0)</f>
        <v/>
      </c>
      <c r="AK2">
        <f>SUMPRODUCT((M_BOM[Part Name]=$A2)*M_BOM[RM_Qty_Per_Batch]*IFERROR(INDEX(PP_Grid[#Data],M_BOM[PPGridRow],37),0))+IFERROR(INDEX(M_RawMaterials[固定週次消費量_要入力],MATCH($A2,M_RawMaterials[Part Name],0)),0)</f>
        <v/>
      </c>
      <c r="AL2">
        <f>SUMPRODUCT((M_BOM[Part Name]=$A2)*M_BOM[RM_Qty_Per_Batch]*IFERROR(INDEX(PP_Grid[#Data],M_BOM[PPGridRow],38),0))+IFERROR(INDEX(M_RawMaterials[固定週次消費量_要入力],MATCH($A2,M_RawMaterials[Part Name],0)),0)</f>
        <v/>
      </c>
      <c r="AM2">
        <f>SUMPRODUCT((M_BOM[Part Name]=$A2)*M_BOM[RM_Qty_Per_Batch]*IFERROR(INDEX(PP_Grid[#Data],M_BOM[PPGridRow],39),0))+IFERROR(INDEX(M_RawMaterials[固定週次消費量_要入力],MATCH($A2,M_RawMaterials[Part Name],0)),0)</f>
        <v/>
      </c>
      <c r="AN2">
        <f>SUMPRODUCT((M_BOM[Part Name]=$A2)*M_BOM[RM_Qty_Per_Batch]*IFERROR(INDEX(PP_Grid[#Data],M_BOM[PPGridRow],40),0))+IFERROR(INDEX(M_RawMaterials[固定週次消費量_要入力],MATCH($A2,M_RawMaterials[Part Name],0)),0)</f>
        <v/>
      </c>
      <c r="AO2">
        <f>SUMPRODUCT((M_BOM[Part Name]=$A2)*M_BOM[RM_Qty_Per_Batch]*IFERROR(INDEX(PP_Grid[#Data],M_BOM[PPGridRow],41),0))+IFERROR(INDEX(M_RawMaterials[固定週次消費量_要入力],MATCH($A2,M_RawMaterials[Part Name],0)),0)</f>
        <v/>
      </c>
      <c r="AP2">
        <f>SUMPRODUCT((M_BOM[Part Name]=$A2)*M_BOM[RM_Qty_Per_Batch]*IFERROR(INDEX(PP_Grid[#Data],M_BOM[PPGridRow],42),0))+IFERROR(INDEX(M_RawMaterials[固定週次消費量_要入力],MATCH($A2,M_RawMaterials[Part Name],0)),0)</f>
        <v/>
      </c>
      <c r="AQ2">
        <f>SUMPRODUCT((M_BOM[Part Name]=$A2)*M_BOM[RM_Qty_Per_Batch]*IFERROR(INDEX(PP_Grid[#Data],M_BOM[PPGridRow],43),0))+IFERROR(INDEX(M_RawMaterials[固定週次消費量_要入力],MATCH($A2,M_RawMaterials[Part Name],0)),0)</f>
        <v/>
      </c>
      <c r="AR2">
        <f>SUMPRODUCT((M_BOM[Part Name]=$A2)*M_BOM[RM_Qty_Per_Batch]*IFERROR(INDEX(PP_Grid[#Data],M_BOM[PPGridRow],44),0))+IFERROR(INDEX(M_RawMaterials[固定週次消費量_要入力],MATCH($A2,M_RawMaterials[Part Name],0)),0)</f>
        <v/>
      </c>
      <c r="AS2">
        <f>SUMPRODUCT((M_BOM[Part Name]=$A2)*M_BOM[RM_Qty_Per_Batch]*IFERROR(INDEX(PP_Grid[#Data],M_BOM[PPGridRow],45),0))+IFERROR(INDEX(M_RawMaterials[固定週次消費量_要入力],MATCH($A2,M_RawMaterials[Part Name],0)),0)</f>
        <v/>
      </c>
      <c r="AT2">
        <f>SUMPRODUCT((M_BOM[Part Name]=$A2)*M_BOM[RM_Qty_Per_Batch]*IFERROR(INDEX(PP_Grid[#Data],M_BOM[PPGridRow],46),0))+IFERROR(INDEX(M_RawMaterials[固定週次消費量_要入力],MATCH($A2,M_RawMaterials[Part Name],0)),0)</f>
        <v/>
      </c>
      <c r="AU2">
        <f>SUMPRODUCT((M_BOM[Part Name]=$A2)*M_BOM[RM_Qty_Per_Batch]*IFERROR(INDEX(PP_Grid[#Data],M_BOM[PPGridRow],47),0))+IFERROR(INDEX(M_RawMaterials[固定週次消費量_要入力],MATCH($A2,M_RawMaterials[Part Name],0)),0)</f>
        <v/>
      </c>
      <c r="AV2">
        <f>SUMPRODUCT((M_BOM[Part Name]=$A2)*M_BOM[RM_Qty_Per_Batch]*IFERROR(INDEX(PP_Grid[#Data],M_BOM[PPGridRow],48),0))+IFERROR(INDEX(M_RawMaterials[固定週次消費量_要入力],MATCH($A2,M_RawMaterials[Part Name],0)),0)</f>
        <v/>
      </c>
      <c r="AW2">
        <f>SUMPRODUCT((M_BOM[Part Name]=$A2)*M_BOM[RM_Qty_Per_Batch]*IFERROR(INDEX(PP_Grid[#Data],M_BOM[PPGridRow],49),0))+IFERROR(INDEX(M_RawMaterials[固定週次消費量_要入力],MATCH($A2,M_RawMaterials[Part Name],0)),0)</f>
        <v/>
      </c>
      <c r="AX2">
        <f>SUMPRODUCT((M_BOM[Part Name]=$A2)*M_BOM[RM_Qty_Per_Batch]*IFERROR(INDEX(PP_Grid[#Data],M_BOM[PPGridRow],50),0))+IFERROR(INDEX(M_RawMaterials[固定週次消費量_要入力],MATCH($A2,M_RawMaterials[Part Name],0)),0)</f>
        <v/>
      </c>
      <c r="AY2">
        <f>SUMPRODUCT((M_BOM[Part Name]=$A2)*M_BOM[RM_Qty_Per_Batch]*IFERROR(INDEX(PP_Grid[#Data],M_BOM[PPGridRow],51),0))+IFERROR(INDEX(M_RawMaterials[固定週次消費量_要入力],MATCH($A2,M_RawMaterials[Part Name],0)),0)</f>
        <v/>
      </c>
      <c r="AZ2">
        <f>SUMPRODUCT((M_BOM[Part Name]=$A2)*M_BOM[RM_Qty_Per_Batch]*IFERROR(INDEX(PP_Grid[#Data],M_BOM[PPGridRow],52),0))+IFERROR(INDEX(M_RawMaterials[固定週次消費量_要入力],MATCH($A2,M_RawMaterials[Part Name],0)),0)</f>
        <v/>
      </c>
      <c r="BA2">
        <f>SUMPRODUCT((M_BOM[Part Name]=$A2)*M_BOM[RM_Qty_Per_Batch]*IFERROR(INDEX(PP_Grid[#Data],M_BOM[PPGridRow],53),0))+IFERROR(INDEX(M_RawMaterials[固定週次消費量_要入力],MATCH($A2,M_RawMaterials[Part Name],0)),0)</f>
        <v/>
      </c>
      <c r="BB2">
        <f>SUMPRODUCT((M_BOM[Part Name]=$A2)*M_BOM[RM_Qty_Per_Batch]*IFERROR(INDEX(PP_Grid[#Data],M_BOM[PPGridRow],54),0))+IFERROR(INDEX(M_RawMaterials[固定週次消費量_要入力],MATCH($A2,M_RawMaterials[Part Name],0)),0)</f>
        <v/>
      </c>
      <c r="BC2">
        <f>SUMPRODUCT((M_BOM[Part Name]=$A2)*M_BOM[RM_Qty_Per_Batch]*IFERROR(INDEX(PP_Grid[#Data],M_BOM[PPGridRow],55),0))+IFERROR(INDEX(M_RawMaterials[固定週次消費量_要入力],MATCH($A2,M_RawMaterials[Part Name],0)),0)</f>
        <v/>
      </c>
      <c r="BD2">
        <f>SUMPRODUCT((M_BOM[Part Name]=$A2)*M_BOM[RM_Qty_Per_Batch]*IFERROR(INDEX(PP_Grid[#Data],M_BOM[PPGridRow],56),0))+IFERROR(INDEX(M_RawMaterials[固定週次消費量_要入力],MATCH($A2,M_RawMaterials[Part Name],0)),0)</f>
        <v/>
      </c>
      <c r="BE2">
        <f>SUMPRODUCT((M_BOM[Part Name]=$A2)*M_BOM[RM_Qty_Per_Batch]*IFERROR(INDEX(PP_Grid[#Data],M_BOM[PPGridRow],57),0))+IFERROR(INDEX(M_RawMaterials[固定週次消費量_要入力],MATCH($A2,M_RawMaterials[Part Name],0)),0)</f>
        <v/>
      </c>
      <c r="BF2">
        <f>SUMPRODUCT((M_BOM[Part Name]=$A2)*M_BOM[RM_Qty_Per_Batch]*IFERROR(INDEX(PP_Grid[#Data],M_BOM[PPGridRow],58),0))+IFERROR(INDEX(M_RawMaterials[固定週次消費量_要入力],MATCH($A2,M_RawMaterials[Part Name],0)),0)</f>
        <v/>
      </c>
      <c r="BG2">
        <f>SUMPRODUCT((M_BOM[Part Name]=$A2)*M_BOM[RM_Qty_Per_Batch]*IFERROR(INDEX(PP_Grid[#Data],M_BOM[PPGridRow],59),0))+IFERROR(INDEX(M_RawMaterials[固定週次消費量_要入力],MATCH($A2,M_RawMaterials[Part Name],0)),0)</f>
        <v/>
      </c>
      <c r="BH2">
        <f>SUMPRODUCT((M_BOM[Part Name]=$A2)*M_BOM[RM_Qty_Per_Batch]*IFERROR(INDEX(PP_Grid[#Data],M_BOM[PPGridRow],60),0))+IFERROR(INDEX(M_RawMaterials[固定週次消費量_要入力],MATCH($A2,M_RawMaterials[Part Name],0)),0)</f>
        <v/>
      </c>
      <c r="BI2">
        <f>SUMPRODUCT((M_BOM[Part Name]=$A2)*M_BOM[RM_Qty_Per_Batch]*IFERROR(INDEX(PP_Grid[#Data],M_BOM[PPGridRow],61),0))+IFERROR(INDEX(M_RawMaterials[固定週次消費量_要入力],MATCH($A2,M_RawMaterials[Part Name],0)),0)</f>
        <v/>
      </c>
      <c r="BJ2">
        <f>SUMPRODUCT((M_BOM[Part Name]=$A2)*M_BOM[RM_Qty_Per_Batch]*IFERROR(INDEX(PP_Grid[#Data],M_BOM[PPGridRow],62),0))+IFERROR(INDEX(M_RawMaterials[固定週次消費量_要入力],MATCH($A2,M_RawMaterials[Part Name],0)),0)</f>
        <v/>
      </c>
      <c r="BK2">
        <f>SUMPRODUCT((M_BOM[Part Name]=$A2)*M_BOM[RM_Qty_Per_Batch]*IFERROR(INDEX(PP_Grid[#Data],M_BOM[PPGridRow],63),0))+IFERROR(INDEX(M_RawMaterials[固定週次消費量_要入力],MATCH($A2,M_RawMaterials[Part Name],0)),0)</f>
        <v/>
      </c>
      <c r="BL2">
        <f>SUMPRODUCT((M_BOM[Part Name]=$A2)*M_BOM[RM_Qty_Per_Batch]*IFERROR(INDEX(PP_Grid[#Data],M_BOM[PPGridRow],64),0))+IFERROR(INDEX(M_RawMaterials[固定週次消費量_要入力],MATCH($A2,M_RawMaterials[Part Name],0)),0)</f>
        <v/>
      </c>
      <c r="BM2">
        <f>SUMPRODUCT((M_BOM[Part Name]=$A2)*M_BOM[RM_Qty_Per_Batch]*IFERROR(INDEX(PP_Grid[#Data],M_BOM[PPGridRow],65),0))+IFERROR(INDEX(M_RawMaterials[固定週次消費量_要入力],MATCH($A2,M_RawMaterials[Part Name],0)),0)</f>
        <v/>
      </c>
      <c r="BN2">
        <f>SUMPRODUCT((M_BOM[Part Name]=$A2)*M_BOM[RM_Qty_Per_Batch]*IFERROR(INDEX(PP_Grid[#Data],M_BOM[PPGridRow],66),0))+IFERROR(INDEX(M_RawMaterials[固定週次消費量_要入力],MATCH($A2,M_RawMaterials[Part Name],0)),0)</f>
        <v/>
      </c>
      <c r="BO2">
        <f>SUMPRODUCT((M_BOM[Part Name]=$A2)*M_BOM[RM_Qty_Per_Batch]*IFERROR(INDEX(PP_Grid[#Data],M_BOM[PPGridRow],67),0))+IFERROR(INDEX(M_RawMaterials[固定週次消費量_要入力],MATCH($A2,M_RawMaterials[Part Name],0)),0)</f>
        <v/>
      </c>
      <c r="BP2">
        <f>SUMPRODUCT((M_BOM[Part Name]=$A2)*M_BOM[RM_Qty_Per_Batch]*IFERROR(INDEX(PP_Grid[#Data],M_BOM[PPGridRow],68),0))+IFERROR(INDEX(M_RawMaterials[固定週次消費量_要入力],MATCH($A2,M_RawMaterials[Part Name],0)),0)</f>
        <v/>
      </c>
      <c r="BQ2">
        <f>SUMPRODUCT((M_BOM[Part Name]=$A2)*M_BOM[RM_Qty_Per_Batch]*IFERROR(INDEX(PP_Grid[#Data],M_BOM[PPGridRow],69),0))+IFERROR(INDEX(M_RawMaterials[固定週次消費量_要入力],MATCH($A2,M_RawMaterials[Part Name],0)),0)</f>
        <v/>
      </c>
      <c r="BR2">
        <f>SUMPRODUCT((M_BOM[Part Name]=$A2)*M_BOM[RM_Qty_Per_Batch]*IFERROR(INDEX(PP_Grid[#Data],M_BOM[PPGridRow],70),0))+IFERROR(INDEX(M_RawMaterials[固定週次消費量_要入力],MATCH($A2,M_RawMaterials[Part Name],0)),0)</f>
        <v/>
      </c>
      <c r="BS2">
        <f>SUMPRODUCT((M_BOM[Part Name]=$A2)*M_BOM[RM_Qty_Per_Batch]*IFERROR(INDEX(PP_Grid[#Data],M_BOM[PPGridRow],71),0))+IFERROR(INDEX(M_RawMaterials[固定週次消費量_要入力],MATCH($A2,M_RawMaterials[Part Name],0)),0)</f>
        <v/>
      </c>
      <c r="BT2">
        <f>SUMPRODUCT((M_BOM[Part Name]=$A2)*M_BOM[RM_Qty_Per_Batch]*IFERROR(INDEX(PP_Grid[#Data],M_BOM[PPGridRow],72),0))+IFERROR(INDEX(M_RawMaterials[固定週次消費量_要入力],MATCH($A2,M_RawMaterials[Part Name],0)),0)</f>
        <v/>
      </c>
      <c r="BU2">
        <f>SUMPRODUCT((M_BOM[Part Name]=$A2)*M_BOM[RM_Qty_Per_Batch]*IFERROR(INDEX(PP_Grid[#Data],M_BOM[PPGridRow],73),0))+IFERROR(INDEX(M_RawMaterials[固定週次消費量_要入力],MATCH($A2,M_RawMaterials[Part Name],0)),0)</f>
        <v/>
      </c>
      <c r="BV2">
        <f>SUMPRODUCT((M_BOM[Part Name]=$A2)*M_BOM[RM_Qty_Per_Batch]*IFERROR(INDEX(PP_Grid[#Data],M_BOM[PPGridRow],74),0))+IFERROR(INDEX(M_RawMaterials[固定週次消費量_要入力],MATCH($A2,M_RawMaterials[Part Name],0)),0)</f>
        <v/>
      </c>
      <c r="BW2">
        <f>SUMPRODUCT((M_BOM[Part Name]=$A2)*M_BOM[RM_Qty_Per_Batch]*IFERROR(INDEX(PP_Grid[#Data],M_BOM[PPGridRow],75),0))+IFERROR(INDEX(M_RawMaterials[固定週次消費量_要入力],MATCH($A2,M_RawMaterials[Part Name],0)),0)</f>
        <v/>
      </c>
      <c r="BX2">
        <f>SUMPRODUCT((M_BOM[Part Name]=$A2)*M_BOM[RM_Qty_Per_Batch]*IFERROR(INDEX(PP_Grid[#Data],M_BOM[PPGridRow],76),0))+IFERROR(INDEX(M_RawMaterials[固定週次消費量_要入力],MATCH($A2,M_RawMaterials[Part Name],0)),0)</f>
        <v/>
      </c>
      <c r="BY2">
        <f>SUMPRODUCT((M_BOM[Part Name]=$A2)*M_BOM[RM_Qty_Per_Batch]*IFERROR(INDEX(PP_Grid[#Data],M_BOM[PPGridRow],77),0))+IFERROR(INDEX(M_RawMaterials[固定週次消費量_要入力],MATCH($A2,M_RawMaterials[Part Name],0)),0)</f>
        <v/>
      </c>
      <c r="BZ2">
        <f>SUMPRODUCT((M_BOM[Part Name]=$A2)*M_BOM[RM_Qty_Per_Batch]*IFERROR(INDEX(PP_Grid[#Data],M_BOM[PPGridRow],78),0))+IFERROR(INDEX(M_RawMaterials[固定週次消費量_要入力],MATCH($A2,M_RawMaterials[Part Name],0)),0)</f>
        <v/>
      </c>
      <c r="CA2">
        <f>SUMPRODUCT((M_BOM[Part Name]=$A2)*M_BOM[RM_Qty_Per_Batch]*IFERROR(INDEX(PP_Grid[#Data],M_BOM[PPGridRow],79),0))+IFERROR(INDEX(M_RawMaterials[固定週次消費量_要入力],MATCH($A2,M_RawMaterials[Part Name],0)),0)</f>
        <v/>
      </c>
      <c r="CB2">
        <f>SUMPRODUCT((M_BOM[Part Name]=$A2)*M_BOM[RM_Qty_Per_Batch]*IFERROR(INDEX(PP_Grid[#Data],M_BOM[PPGridRow],80),0))+IFERROR(INDEX(M_RawMaterials[固定週次消費量_要入力],MATCH($A2,M_RawMaterials[Part Name],0)),0)</f>
        <v/>
      </c>
      <c r="CC2">
        <f>SUMPRODUCT((M_BOM[Part Name]=$A2)*M_BOM[RM_Qty_Per_Batch]*IFERROR(INDEX(PP_Grid[#Data],M_BOM[PPGridRow],81),0))+IFERROR(INDEX(M_RawMaterials[固定週次消費量_要入力],MATCH($A2,M_RawMaterials[Part Name],0)),0)</f>
        <v/>
      </c>
      <c r="CD2">
        <f>SUMPRODUCT((M_BOM[Part Name]=$A2)*M_BOM[RM_Qty_Per_Batch]*IFERROR(INDEX(PP_Grid[#Data],M_BOM[PPGridRow],82),0))+IFERROR(INDEX(M_RawMaterials[固定週次消費量_要入力],MATCH($A2,M_RawMaterials[Part Name],0)),0)</f>
        <v/>
      </c>
      <c r="CE2">
        <f>SUMPRODUCT((M_BOM[Part Name]=$A2)*M_BOM[RM_Qty_Per_Batch]*IFERROR(INDEX(PP_Grid[#Data],M_BOM[PPGridRow],83),0))+IFERROR(INDEX(M_RawMaterials[固定週次消費量_要入力],MATCH($A2,M_RawMaterials[Part Name],0)),0)</f>
        <v/>
      </c>
      <c r="CF2">
        <f>SUMPRODUCT((M_BOM[Part Name]=$A2)*M_BOM[RM_Qty_Per_Batch]*IFERROR(INDEX(PP_Grid[#Data],M_BOM[PPGridRow],84),0))+IFERROR(INDEX(M_RawMaterials[固定週次消費量_要入力],MATCH($A2,M_RawMaterials[Part Name],0)),0)</f>
        <v/>
      </c>
      <c r="CG2">
        <f>SUMPRODUCT((M_BOM[Part Name]=$A2)*M_BOM[RM_Qty_Per_Batch]*IFERROR(INDEX(PP_Grid[#Data],M_BOM[PPGridRow],85),0))+IFERROR(INDEX(M_RawMaterials[固定週次消費量_要入力],MATCH($A2,M_RawMaterials[Part Name],0)),0)</f>
        <v/>
      </c>
      <c r="CH2">
        <f>SUMPRODUCT((M_BOM[Part Name]=$A2)*M_BOM[RM_Qty_Per_Batch]*IFERROR(INDEX(PP_Grid[#Data],M_BOM[PPGridRow],86),0))+IFERROR(INDEX(M_RawMaterials[固定週次消費量_要入力],MATCH($A2,M_RawMaterials[Part Name],0)),0)</f>
        <v/>
      </c>
      <c r="CI2">
        <f>SUMPRODUCT((M_BOM[Part Name]=$A2)*M_BOM[RM_Qty_Per_Batch]*IFERROR(INDEX(PP_Grid[#Data],M_BOM[PPGridRow],87),0))+IFERROR(INDEX(M_RawMaterials[固定週次消費量_要入力],MATCH($A2,M_RawMaterials[Part Name],0)),0)</f>
        <v/>
      </c>
      <c r="CJ2">
        <f>SUMPRODUCT((M_BOM[Part Name]=$A2)*M_BOM[RM_Qty_Per_Batch]*IFERROR(INDEX(PP_Grid[#Data],M_BOM[PPGridRow],88),0))+IFERROR(INDEX(M_RawMaterials[固定週次消費量_要入力],MATCH($A2,M_RawMaterials[Part Name],0)),0)</f>
        <v/>
      </c>
      <c r="CK2">
        <f>SUMPRODUCT((M_BOM[Part Name]=$A2)*M_BOM[RM_Qty_Per_Batch]*IFERROR(INDEX(PP_Grid[#Data],M_BOM[PPGridRow],89),0))+IFERROR(INDEX(M_RawMaterials[固定週次消費量_要入力],MATCH($A2,M_RawMaterials[Part Name],0)),0)</f>
        <v/>
      </c>
      <c r="CL2">
        <f>SUMPRODUCT((M_BOM[Part Name]=$A2)*M_BOM[RM_Qty_Per_Batch]*IFERROR(INDEX(PP_Grid[#Data],M_BOM[PPGridRow],90),0))+IFERROR(INDEX(M_RawMaterials[固定週次消費量_要入力],MATCH($A2,M_RawMaterials[Part Name],0)),0)</f>
        <v/>
      </c>
      <c r="CM2">
        <f>SUMPRODUCT((M_BOM[Part Name]=$A2)*M_BOM[RM_Qty_Per_Batch]*IFERROR(INDEX(PP_Grid[#Data],M_BOM[PPGridRow],91),0))+IFERROR(INDEX(M_RawMaterials[固定週次消費量_要入力],MATCH($A2,M_RawMaterials[Part Name],0)),0)</f>
        <v/>
      </c>
      <c r="CN2">
        <f>SUMPRODUCT((M_BOM[Part Name]=$A2)*M_BOM[RM_Qty_Per_Batch]*IFERROR(INDEX(PP_Grid[#Data],M_BOM[PPGridRow],92),0))+IFERROR(INDEX(M_RawMaterials[固定週次消費量_要入力],MATCH($A2,M_RawMaterials[Part Name],0)),0)</f>
        <v/>
      </c>
      <c r="CO2">
        <f>SUMPRODUCT((M_BOM[Part Name]=$A2)*M_BOM[RM_Qty_Per_Batch]*IFERROR(INDEX(PP_Grid[#Data],M_BOM[PPGridRow],93),0))+IFERROR(INDEX(M_RawMaterials[固定週次消費量_要入力],MATCH($A2,M_RawMaterials[Part Name],0)),0)</f>
        <v/>
      </c>
      <c r="CP2">
        <f>SUMPRODUCT((M_BOM[Part Name]=$A2)*M_BOM[RM_Qty_Per_Batch]*IFERROR(INDEX(PP_Grid[#Data],M_BOM[PPGridRow],94),0))+IFERROR(INDEX(M_RawMaterials[固定週次消費量_要入力],MATCH($A2,M_RawMaterials[Part Name],0)),0)</f>
        <v/>
      </c>
      <c r="CQ2">
        <f>SUMPRODUCT((M_BOM[Part Name]=$A2)*M_BOM[RM_Qty_Per_Batch]*IFERROR(INDEX(PP_Grid[#Data],M_BOM[PPGridRow],95),0))+IFERROR(INDEX(M_RawMaterials[固定週次消費量_要入力],MATCH($A2,M_RawMaterials[Part Name],0)),0)</f>
        <v/>
      </c>
      <c r="CR2">
        <f>SUMPRODUCT((M_BOM[Part Name]=$A2)*M_BOM[RM_Qty_Per_Batch]*IFERROR(INDEX(PP_Grid[#Data],M_BOM[PPGridRow],96),0))+IFERROR(INDEX(M_RawMaterials[固定週次消費量_要入力],MATCH($A2,M_RawMaterials[Part Name],0)),0)</f>
        <v/>
      </c>
      <c r="CS2">
        <f>SUMPRODUCT((M_BOM[Part Name]=$A2)*M_BOM[RM_Qty_Per_Batch]*IFERROR(INDEX(PP_Grid[#Data],M_BOM[PPGridRow],97),0))+IFERROR(INDEX(M_RawMaterials[固定週次消費量_要入力],MATCH($A2,M_RawMaterials[Part Name],0)),0)</f>
        <v/>
      </c>
      <c r="CT2">
        <f>SUMPRODUCT((M_BOM[Part Name]=$A2)*M_BOM[RM_Qty_Per_Batch]*IFERROR(INDEX(PP_Grid[#Data],M_BOM[PPGridRow],98),0))+IFERROR(INDEX(M_RawMaterials[固定週次消費量_要入力],MATCH($A2,M_RawMaterials[Part Name],0)),0)</f>
        <v/>
      </c>
      <c r="CU2">
        <f>SUMPRODUCT((M_BOM[Part Name]=$A2)*M_BOM[RM_Qty_Per_Batch]*IFERROR(INDEX(PP_Grid[#Data],M_BOM[PPGridRow],99),0))+IFERROR(INDEX(M_RawMaterials[固定週次消費量_要入力],MATCH($A2,M_RawMaterials[Part Name],0)),0)</f>
        <v/>
      </c>
      <c r="CV2">
        <f>SUMPRODUCT((M_BOM[Part Name]=$A2)*M_BOM[RM_Qty_Per_Batch]*IFERROR(INDEX(PP_Grid[#Data],M_BOM[PPGridRow],100),0))+IFERROR(INDEX(M_RawMaterials[固定週次消費量_要入力],MATCH($A2,M_RawMaterials[Part Name],0)),0)</f>
        <v/>
      </c>
      <c r="CW2">
        <f>SUMPRODUCT((M_BOM[Part Name]=$A2)*M_BOM[RM_Qty_Per_Batch]*IFERROR(INDEX(PP_Grid[#Data],M_BOM[PPGridRow],101),0))+IFERROR(INDEX(M_RawMaterials[固定週次消費量_要入力],MATCH($A2,M_RawMaterials[Part Name],0)),0)</f>
        <v/>
      </c>
      <c r="CX2">
        <f>SUMPRODUCT((M_BOM[Part Name]=$A2)*M_BOM[RM_Qty_Per_Batch]*IFERROR(INDEX(PP_Grid[#Data],M_BOM[PPGridRow],102),0))+IFERROR(INDEX(M_RawMaterials[固定週次消費量_要入力],MATCH($A2,M_RawMaterials[Part Name],0)),0)</f>
        <v/>
      </c>
      <c r="CY2">
        <f>SUMPRODUCT((M_BOM[Part Name]=$A2)*M_BOM[RM_Qty_Per_Batch]*IFERROR(INDEX(PP_Grid[#Data],M_BOM[PPGridRow],103),0))+IFERROR(INDEX(M_RawMaterials[固定週次消費量_要入力],MATCH($A2,M_RawMaterials[Part Name],0)),0)</f>
        <v/>
      </c>
      <c r="CZ2">
        <f>SUMPRODUCT((M_BOM[Part Name]=$A2)*M_BOM[RM_Qty_Per_Batch]*IFERROR(INDEX(PP_Grid[#Data],M_BOM[PPGridRow],104),0))+IFERROR(INDEX(M_RawMaterials[固定週次消費量_要入力],MATCH($A2,M_RawMaterials[Part Name],0)),0)</f>
        <v/>
      </c>
      <c r="DA2">
        <f>SUMPRODUCT((M_BOM[Part Name]=$A2)*M_BOM[RM_Qty_Per_Batch]*IFERROR(INDEX(PP_Grid[#Data],M_BOM[PPGridRow],105),0))+IFERROR(INDEX(M_RawMaterials[固定週次消費量_要入力],MATCH($A2,M_RawMaterials[Part Name],0)),0)</f>
        <v/>
      </c>
    </row>
    <row r="3">
      <c r="A3" t="inlineStr">
        <is>
          <t>1EK</t>
        </is>
      </c>
      <c r="B3">
        <f>SUMPRODUCT((M_BOM[Part Name]=$A3)*M_BOM[RM_Qty_Per_Batch]*IFERROR(INDEX(PP_Grid[#Data],M_BOM[PPGridRow],2),0))+IFERROR(INDEX(M_RawMaterials[固定週次消費量_要入力],MATCH($A3,M_RawMaterials[Part Name],0)),0)</f>
        <v/>
      </c>
      <c r="C3">
        <f>SUMPRODUCT((M_BOM[Part Name]=$A3)*M_BOM[RM_Qty_Per_Batch]*IFERROR(INDEX(PP_Grid[#Data],M_BOM[PPGridRow],3),0))+IFERROR(INDEX(M_RawMaterials[固定週次消費量_要入力],MATCH($A3,M_RawMaterials[Part Name],0)),0)</f>
        <v/>
      </c>
      <c r="D3">
        <f>SUMPRODUCT((M_BOM[Part Name]=$A3)*M_BOM[RM_Qty_Per_Batch]*IFERROR(INDEX(PP_Grid[#Data],M_BOM[PPGridRow],4),0))+IFERROR(INDEX(M_RawMaterials[固定週次消費量_要入力],MATCH($A3,M_RawMaterials[Part Name],0)),0)</f>
        <v/>
      </c>
      <c r="E3">
        <f>SUMPRODUCT((M_BOM[Part Name]=$A3)*M_BOM[RM_Qty_Per_Batch]*IFERROR(INDEX(PP_Grid[#Data],M_BOM[PPGridRow],5),0))+IFERROR(INDEX(M_RawMaterials[固定週次消費量_要入力],MATCH($A3,M_RawMaterials[Part Name],0)),0)</f>
        <v/>
      </c>
      <c r="F3">
        <f>SUMPRODUCT((M_BOM[Part Name]=$A3)*M_BOM[RM_Qty_Per_Batch]*IFERROR(INDEX(PP_Grid[#Data],M_BOM[PPGridRow],6),0))+IFERROR(INDEX(M_RawMaterials[固定週次消費量_要入力],MATCH($A3,M_RawMaterials[Part Name],0)),0)</f>
        <v/>
      </c>
      <c r="G3">
        <f>SUMPRODUCT((M_BOM[Part Name]=$A3)*M_BOM[RM_Qty_Per_Batch]*IFERROR(INDEX(PP_Grid[#Data],M_BOM[PPGridRow],7),0))+IFERROR(INDEX(M_RawMaterials[固定週次消費量_要入力],MATCH($A3,M_RawMaterials[Part Name],0)),0)</f>
        <v/>
      </c>
      <c r="H3">
        <f>SUMPRODUCT((M_BOM[Part Name]=$A3)*M_BOM[RM_Qty_Per_Batch]*IFERROR(INDEX(PP_Grid[#Data],M_BOM[PPGridRow],8),0))+IFERROR(INDEX(M_RawMaterials[固定週次消費量_要入力],MATCH($A3,M_RawMaterials[Part Name],0)),0)</f>
        <v/>
      </c>
      <c r="I3">
        <f>SUMPRODUCT((M_BOM[Part Name]=$A3)*M_BOM[RM_Qty_Per_Batch]*IFERROR(INDEX(PP_Grid[#Data],M_BOM[PPGridRow],9),0))+IFERROR(INDEX(M_RawMaterials[固定週次消費量_要入力],MATCH($A3,M_RawMaterials[Part Name],0)),0)</f>
        <v/>
      </c>
      <c r="J3">
        <f>SUMPRODUCT((M_BOM[Part Name]=$A3)*M_BOM[RM_Qty_Per_Batch]*IFERROR(INDEX(PP_Grid[#Data],M_BOM[PPGridRow],10),0))+IFERROR(INDEX(M_RawMaterials[固定週次消費量_要入力],MATCH($A3,M_RawMaterials[Part Name],0)),0)</f>
        <v/>
      </c>
      <c r="K3">
        <f>SUMPRODUCT((M_BOM[Part Name]=$A3)*M_BOM[RM_Qty_Per_Batch]*IFERROR(INDEX(PP_Grid[#Data],M_BOM[PPGridRow],11),0))+IFERROR(INDEX(M_RawMaterials[固定週次消費量_要入力],MATCH($A3,M_RawMaterials[Part Name],0)),0)</f>
        <v/>
      </c>
      <c r="L3">
        <f>SUMPRODUCT((M_BOM[Part Name]=$A3)*M_BOM[RM_Qty_Per_Batch]*IFERROR(INDEX(PP_Grid[#Data],M_BOM[PPGridRow],12),0))+IFERROR(INDEX(M_RawMaterials[固定週次消費量_要入力],MATCH($A3,M_RawMaterials[Part Name],0)),0)</f>
        <v/>
      </c>
      <c r="M3">
        <f>SUMPRODUCT((M_BOM[Part Name]=$A3)*M_BOM[RM_Qty_Per_Batch]*IFERROR(INDEX(PP_Grid[#Data],M_BOM[PPGridRow],13),0))+IFERROR(INDEX(M_RawMaterials[固定週次消費量_要入力],MATCH($A3,M_RawMaterials[Part Name],0)),0)</f>
        <v/>
      </c>
      <c r="N3">
        <f>SUMPRODUCT((M_BOM[Part Name]=$A3)*M_BOM[RM_Qty_Per_Batch]*IFERROR(INDEX(PP_Grid[#Data],M_BOM[PPGridRow],14),0))+IFERROR(INDEX(M_RawMaterials[固定週次消費量_要入力],MATCH($A3,M_RawMaterials[Part Name],0)),0)</f>
        <v/>
      </c>
      <c r="O3">
        <f>SUMPRODUCT((M_BOM[Part Name]=$A3)*M_BOM[RM_Qty_Per_Batch]*IFERROR(INDEX(PP_Grid[#Data],M_BOM[PPGridRow],15),0))+IFERROR(INDEX(M_RawMaterials[固定週次消費量_要入力],MATCH($A3,M_RawMaterials[Part Name],0)),0)</f>
        <v/>
      </c>
      <c r="P3">
        <f>SUMPRODUCT((M_BOM[Part Name]=$A3)*M_BOM[RM_Qty_Per_Batch]*IFERROR(INDEX(PP_Grid[#Data],M_BOM[PPGridRow],16),0))+IFERROR(INDEX(M_RawMaterials[固定週次消費量_要入力],MATCH($A3,M_RawMaterials[Part Name],0)),0)</f>
        <v/>
      </c>
      <c r="Q3">
        <f>SUMPRODUCT((M_BOM[Part Name]=$A3)*M_BOM[RM_Qty_Per_Batch]*IFERROR(INDEX(PP_Grid[#Data],M_BOM[PPGridRow],17),0))+IFERROR(INDEX(M_RawMaterials[固定週次消費量_要入力],MATCH($A3,M_RawMaterials[Part Name],0)),0)</f>
        <v/>
      </c>
      <c r="R3">
        <f>SUMPRODUCT((M_BOM[Part Name]=$A3)*M_BOM[RM_Qty_Per_Batch]*IFERROR(INDEX(PP_Grid[#Data],M_BOM[PPGridRow],18),0))+IFERROR(INDEX(M_RawMaterials[固定週次消費量_要入力],MATCH($A3,M_RawMaterials[Part Name],0)),0)</f>
        <v/>
      </c>
      <c r="S3">
        <f>SUMPRODUCT((M_BOM[Part Name]=$A3)*M_BOM[RM_Qty_Per_Batch]*IFERROR(INDEX(PP_Grid[#Data],M_BOM[PPGridRow],19),0))+IFERROR(INDEX(M_RawMaterials[固定週次消費量_要入力],MATCH($A3,M_RawMaterials[Part Name],0)),0)</f>
        <v/>
      </c>
      <c r="T3">
        <f>SUMPRODUCT((M_BOM[Part Name]=$A3)*M_BOM[RM_Qty_Per_Batch]*IFERROR(INDEX(PP_Grid[#Data],M_BOM[PPGridRow],20),0))+IFERROR(INDEX(M_RawMaterials[固定週次消費量_要入力],MATCH($A3,M_RawMaterials[Part Name],0)),0)</f>
        <v/>
      </c>
      <c r="U3">
        <f>SUMPRODUCT((M_BOM[Part Name]=$A3)*M_BOM[RM_Qty_Per_Batch]*IFERROR(INDEX(PP_Grid[#Data],M_BOM[PPGridRow],21),0))+IFERROR(INDEX(M_RawMaterials[固定週次消費量_要入力],MATCH($A3,M_RawMaterials[Part Name],0)),0)</f>
        <v/>
      </c>
      <c r="V3">
        <f>SUMPRODUCT((M_BOM[Part Name]=$A3)*M_BOM[RM_Qty_Per_Batch]*IFERROR(INDEX(PP_Grid[#Data],M_BOM[PPGridRow],22),0))+IFERROR(INDEX(M_RawMaterials[固定週次消費量_要入力],MATCH($A3,M_RawMaterials[Part Name],0)),0)</f>
        <v/>
      </c>
      <c r="W3">
        <f>SUMPRODUCT((M_BOM[Part Name]=$A3)*M_BOM[RM_Qty_Per_Batch]*IFERROR(INDEX(PP_Grid[#Data],M_BOM[PPGridRow],23),0))+IFERROR(INDEX(M_RawMaterials[固定週次消費量_要入力],MATCH($A3,M_RawMaterials[Part Name],0)),0)</f>
        <v/>
      </c>
      <c r="X3">
        <f>SUMPRODUCT((M_BOM[Part Name]=$A3)*M_BOM[RM_Qty_Per_Batch]*IFERROR(INDEX(PP_Grid[#Data],M_BOM[PPGridRow],24),0))+IFERROR(INDEX(M_RawMaterials[固定週次消費量_要入力],MATCH($A3,M_RawMaterials[Part Name],0)),0)</f>
        <v/>
      </c>
      <c r="Y3">
        <f>SUMPRODUCT((M_BOM[Part Name]=$A3)*M_BOM[RM_Qty_Per_Batch]*IFERROR(INDEX(PP_Grid[#Data],M_BOM[PPGridRow],25),0))+IFERROR(INDEX(M_RawMaterials[固定週次消費量_要入力],MATCH($A3,M_RawMaterials[Part Name],0)),0)</f>
        <v/>
      </c>
      <c r="Z3">
        <f>SUMPRODUCT((M_BOM[Part Name]=$A3)*M_BOM[RM_Qty_Per_Batch]*IFERROR(INDEX(PP_Grid[#Data],M_BOM[PPGridRow],26),0))+IFERROR(INDEX(M_RawMaterials[固定週次消費量_要入力],MATCH($A3,M_RawMaterials[Part Name],0)),0)</f>
        <v/>
      </c>
      <c r="AA3">
        <f>SUMPRODUCT((M_BOM[Part Name]=$A3)*M_BOM[RM_Qty_Per_Batch]*IFERROR(INDEX(PP_Grid[#Data],M_BOM[PPGridRow],27),0))+IFERROR(INDEX(M_RawMaterials[固定週次消費量_要入力],MATCH($A3,M_RawMaterials[Part Name],0)),0)</f>
        <v/>
      </c>
      <c r="AB3">
        <f>SUMPRODUCT((M_BOM[Part Name]=$A3)*M_BOM[RM_Qty_Per_Batch]*IFERROR(INDEX(PP_Grid[#Data],M_BOM[PPGridRow],28),0))+IFERROR(INDEX(M_RawMaterials[固定週次消費量_要入力],MATCH($A3,M_RawMaterials[Part Name],0)),0)</f>
        <v/>
      </c>
      <c r="AC3">
        <f>SUMPRODUCT((M_BOM[Part Name]=$A3)*M_BOM[RM_Qty_Per_Batch]*IFERROR(INDEX(PP_Grid[#Data],M_BOM[PPGridRow],29),0))+IFERROR(INDEX(M_RawMaterials[固定週次消費量_要入力],MATCH($A3,M_RawMaterials[Part Name],0)),0)</f>
        <v/>
      </c>
      <c r="AD3">
        <f>SUMPRODUCT((M_BOM[Part Name]=$A3)*M_BOM[RM_Qty_Per_Batch]*IFERROR(INDEX(PP_Grid[#Data],M_BOM[PPGridRow],30),0))+IFERROR(INDEX(M_RawMaterials[固定週次消費量_要入力],MATCH($A3,M_RawMaterials[Part Name],0)),0)</f>
        <v/>
      </c>
      <c r="AE3">
        <f>SUMPRODUCT((M_BOM[Part Name]=$A3)*M_BOM[RM_Qty_Per_Batch]*IFERROR(INDEX(PP_Grid[#Data],M_BOM[PPGridRow],31),0))+IFERROR(INDEX(M_RawMaterials[固定週次消費量_要入力],MATCH($A3,M_RawMaterials[Part Name],0)),0)</f>
        <v/>
      </c>
      <c r="AF3">
        <f>SUMPRODUCT((M_BOM[Part Name]=$A3)*M_BOM[RM_Qty_Per_Batch]*IFERROR(INDEX(PP_Grid[#Data],M_BOM[PPGridRow],32),0))+IFERROR(INDEX(M_RawMaterials[固定週次消費量_要入力],MATCH($A3,M_RawMaterials[Part Name],0)),0)</f>
        <v/>
      </c>
      <c r="AG3">
        <f>SUMPRODUCT((M_BOM[Part Name]=$A3)*M_BOM[RM_Qty_Per_Batch]*IFERROR(INDEX(PP_Grid[#Data],M_BOM[PPGridRow],33),0))+IFERROR(INDEX(M_RawMaterials[固定週次消費量_要入力],MATCH($A3,M_RawMaterials[Part Name],0)),0)</f>
        <v/>
      </c>
      <c r="AH3">
        <f>SUMPRODUCT((M_BOM[Part Name]=$A3)*M_BOM[RM_Qty_Per_Batch]*IFERROR(INDEX(PP_Grid[#Data],M_BOM[PPGridRow],34),0))+IFERROR(INDEX(M_RawMaterials[固定週次消費量_要入力],MATCH($A3,M_RawMaterials[Part Name],0)),0)</f>
        <v/>
      </c>
      <c r="AI3">
        <f>SUMPRODUCT((M_BOM[Part Name]=$A3)*M_BOM[RM_Qty_Per_Batch]*IFERROR(INDEX(PP_Grid[#Data],M_BOM[PPGridRow],35),0))+IFERROR(INDEX(M_RawMaterials[固定週次消費量_要入力],MATCH($A3,M_RawMaterials[Part Name],0)),0)</f>
        <v/>
      </c>
      <c r="AJ3">
        <f>SUMPRODUCT((M_BOM[Part Name]=$A3)*M_BOM[RM_Qty_Per_Batch]*IFERROR(INDEX(PP_Grid[#Data],M_BOM[PPGridRow],36),0))+IFERROR(INDEX(M_RawMaterials[固定週次消費量_要入力],MATCH($A3,M_RawMaterials[Part Name],0)),0)</f>
        <v/>
      </c>
      <c r="AK3">
        <f>SUMPRODUCT((M_BOM[Part Name]=$A3)*M_BOM[RM_Qty_Per_Batch]*IFERROR(INDEX(PP_Grid[#Data],M_BOM[PPGridRow],37),0))+IFERROR(INDEX(M_RawMaterials[固定週次消費量_要入力],MATCH($A3,M_RawMaterials[Part Name],0)),0)</f>
        <v/>
      </c>
      <c r="AL3">
        <f>SUMPRODUCT((M_BOM[Part Name]=$A3)*M_BOM[RM_Qty_Per_Batch]*IFERROR(INDEX(PP_Grid[#Data],M_BOM[PPGridRow],38),0))+IFERROR(INDEX(M_RawMaterials[固定週次消費量_要入力],MATCH($A3,M_RawMaterials[Part Name],0)),0)</f>
        <v/>
      </c>
      <c r="AM3">
        <f>SUMPRODUCT((M_BOM[Part Name]=$A3)*M_BOM[RM_Qty_Per_Batch]*IFERROR(INDEX(PP_Grid[#Data],M_BOM[PPGridRow],39),0))+IFERROR(INDEX(M_RawMaterials[固定週次消費量_要入力],MATCH($A3,M_RawMaterials[Part Name],0)),0)</f>
        <v/>
      </c>
      <c r="AN3">
        <f>SUMPRODUCT((M_BOM[Part Name]=$A3)*M_BOM[RM_Qty_Per_Batch]*IFERROR(INDEX(PP_Grid[#Data],M_BOM[PPGridRow],40),0))+IFERROR(INDEX(M_RawMaterials[固定週次消費量_要入力],MATCH($A3,M_RawMaterials[Part Name],0)),0)</f>
        <v/>
      </c>
      <c r="AO3">
        <f>SUMPRODUCT((M_BOM[Part Name]=$A3)*M_BOM[RM_Qty_Per_Batch]*IFERROR(INDEX(PP_Grid[#Data],M_BOM[PPGridRow],41),0))+IFERROR(INDEX(M_RawMaterials[固定週次消費量_要入力],MATCH($A3,M_RawMaterials[Part Name],0)),0)</f>
        <v/>
      </c>
      <c r="AP3">
        <f>SUMPRODUCT((M_BOM[Part Name]=$A3)*M_BOM[RM_Qty_Per_Batch]*IFERROR(INDEX(PP_Grid[#Data],M_BOM[PPGridRow],42),0))+IFERROR(INDEX(M_RawMaterials[固定週次消費量_要入力],MATCH($A3,M_RawMaterials[Part Name],0)),0)</f>
        <v/>
      </c>
      <c r="AQ3">
        <f>SUMPRODUCT((M_BOM[Part Name]=$A3)*M_BOM[RM_Qty_Per_Batch]*IFERROR(INDEX(PP_Grid[#Data],M_BOM[PPGridRow],43),0))+IFERROR(INDEX(M_RawMaterials[固定週次消費量_要入力],MATCH($A3,M_RawMaterials[Part Name],0)),0)</f>
        <v/>
      </c>
      <c r="AR3">
        <f>SUMPRODUCT((M_BOM[Part Name]=$A3)*M_BOM[RM_Qty_Per_Batch]*IFERROR(INDEX(PP_Grid[#Data],M_BOM[PPGridRow],44),0))+IFERROR(INDEX(M_RawMaterials[固定週次消費量_要入力],MATCH($A3,M_RawMaterials[Part Name],0)),0)</f>
        <v/>
      </c>
      <c r="AS3">
        <f>SUMPRODUCT((M_BOM[Part Name]=$A3)*M_BOM[RM_Qty_Per_Batch]*IFERROR(INDEX(PP_Grid[#Data],M_BOM[PPGridRow],45),0))+IFERROR(INDEX(M_RawMaterials[固定週次消費量_要入力],MATCH($A3,M_RawMaterials[Part Name],0)),0)</f>
        <v/>
      </c>
      <c r="AT3">
        <f>SUMPRODUCT((M_BOM[Part Name]=$A3)*M_BOM[RM_Qty_Per_Batch]*IFERROR(INDEX(PP_Grid[#Data],M_BOM[PPGridRow],46),0))+IFERROR(INDEX(M_RawMaterials[固定週次消費量_要入力],MATCH($A3,M_RawMaterials[Part Name],0)),0)</f>
        <v/>
      </c>
      <c r="AU3">
        <f>SUMPRODUCT((M_BOM[Part Name]=$A3)*M_BOM[RM_Qty_Per_Batch]*IFERROR(INDEX(PP_Grid[#Data],M_BOM[PPGridRow],47),0))+IFERROR(INDEX(M_RawMaterials[固定週次消費量_要入力],MATCH($A3,M_RawMaterials[Part Name],0)),0)</f>
        <v/>
      </c>
      <c r="AV3">
        <f>SUMPRODUCT((M_BOM[Part Name]=$A3)*M_BOM[RM_Qty_Per_Batch]*IFERROR(INDEX(PP_Grid[#Data],M_BOM[PPGridRow],48),0))+IFERROR(INDEX(M_RawMaterials[固定週次消費量_要入力],MATCH($A3,M_RawMaterials[Part Name],0)),0)</f>
        <v/>
      </c>
      <c r="AW3">
        <f>SUMPRODUCT((M_BOM[Part Name]=$A3)*M_BOM[RM_Qty_Per_Batch]*IFERROR(INDEX(PP_Grid[#Data],M_BOM[PPGridRow],49),0))+IFERROR(INDEX(M_RawMaterials[固定週次消費量_要入力],MATCH($A3,M_RawMaterials[Part Name],0)),0)</f>
        <v/>
      </c>
      <c r="AX3">
        <f>SUMPRODUCT((M_BOM[Part Name]=$A3)*M_BOM[RM_Qty_Per_Batch]*IFERROR(INDEX(PP_Grid[#Data],M_BOM[PPGridRow],50),0))+IFERROR(INDEX(M_RawMaterials[固定週次消費量_要入力],MATCH($A3,M_RawMaterials[Part Name],0)),0)</f>
        <v/>
      </c>
      <c r="AY3">
        <f>SUMPRODUCT((M_BOM[Part Name]=$A3)*M_BOM[RM_Qty_Per_Batch]*IFERROR(INDEX(PP_Grid[#Data],M_BOM[PPGridRow],51),0))+IFERROR(INDEX(M_RawMaterials[固定週次消費量_要入力],MATCH($A3,M_RawMaterials[Part Name],0)),0)</f>
        <v/>
      </c>
      <c r="AZ3">
        <f>SUMPRODUCT((M_BOM[Part Name]=$A3)*M_BOM[RM_Qty_Per_Batch]*IFERROR(INDEX(PP_Grid[#Data],M_BOM[PPGridRow],52),0))+IFERROR(INDEX(M_RawMaterials[固定週次消費量_要入力],MATCH($A3,M_RawMaterials[Part Name],0)),0)</f>
        <v/>
      </c>
      <c r="BA3">
        <f>SUMPRODUCT((M_BOM[Part Name]=$A3)*M_BOM[RM_Qty_Per_Batch]*IFERROR(INDEX(PP_Grid[#Data],M_BOM[PPGridRow],53),0))+IFERROR(INDEX(M_RawMaterials[固定週次消費量_要入力],MATCH($A3,M_RawMaterials[Part Name],0)),0)</f>
        <v/>
      </c>
      <c r="BB3">
        <f>SUMPRODUCT((M_BOM[Part Name]=$A3)*M_BOM[RM_Qty_Per_Batch]*IFERROR(INDEX(PP_Grid[#Data],M_BOM[PPGridRow],54),0))+IFERROR(INDEX(M_RawMaterials[固定週次消費量_要入力],MATCH($A3,M_RawMaterials[Part Name],0)),0)</f>
        <v/>
      </c>
      <c r="BC3">
        <f>SUMPRODUCT((M_BOM[Part Name]=$A3)*M_BOM[RM_Qty_Per_Batch]*IFERROR(INDEX(PP_Grid[#Data],M_BOM[PPGridRow],55),0))+IFERROR(INDEX(M_RawMaterials[固定週次消費量_要入力],MATCH($A3,M_RawMaterials[Part Name],0)),0)</f>
        <v/>
      </c>
      <c r="BD3">
        <f>SUMPRODUCT((M_BOM[Part Name]=$A3)*M_BOM[RM_Qty_Per_Batch]*IFERROR(INDEX(PP_Grid[#Data],M_BOM[PPGridRow],56),0))+IFERROR(INDEX(M_RawMaterials[固定週次消費量_要入力],MATCH($A3,M_RawMaterials[Part Name],0)),0)</f>
        <v/>
      </c>
      <c r="BE3">
        <f>SUMPRODUCT((M_BOM[Part Name]=$A3)*M_BOM[RM_Qty_Per_Batch]*IFERROR(INDEX(PP_Grid[#Data],M_BOM[PPGridRow],57),0))+IFERROR(INDEX(M_RawMaterials[固定週次消費量_要入力],MATCH($A3,M_RawMaterials[Part Name],0)),0)</f>
        <v/>
      </c>
      <c r="BF3">
        <f>SUMPRODUCT((M_BOM[Part Name]=$A3)*M_BOM[RM_Qty_Per_Batch]*IFERROR(INDEX(PP_Grid[#Data],M_BOM[PPGridRow],58),0))+IFERROR(INDEX(M_RawMaterials[固定週次消費量_要入力],MATCH($A3,M_RawMaterials[Part Name],0)),0)</f>
        <v/>
      </c>
      <c r="BG3">
        <f>SUMPRODUCT((M_BOM[Part Name]=$A3)*M_BOM[RM_Qty_Per_Batch]*IFERROR(INDEX(PP_Grid[#Data],M_BOM[PPGridRow],59),0))+IFERROR(INDEX(M_RawMaterials[固定週次消費量_要入力],MATCH($A3,M_RawMaterials[Part Name],0)),0)</f>
        <v/>
      </c>
      <c r="BH3">
        <f>SUMPRODUCT((M_BOM[Part Name]=$A3)*M_BOM[RM_Qty_Per_Batch]*IFERROR(INDEX(PP_Grid[#Data],M_BOM[PPGridRow],60),0))+IFERROR(INDEX(M_RawMaterials[固定週次消費量_要入力],MATCH($A3,M_RawMaterials[Part Name],0)),0)</f>
        <v/>
      </c>
      <c r="BI3">
        <f>SUMPRODUCT((M_BOM[Part Name]=$A3)*M_BOM[RM_Qty_Per_Batch]*IFERROR(INDEX(PP_Grid[#Data],M_BOM[PPGridRow],61),0))+IFERROR(INDEX(M_RawMaterials[固定週次消費量_要入力],MATCH($A3,M_RawMaterials[Part Name],0)),0)</f>
        <v/>
      </c>
      <c r="BJ3">
        <f>SUMPRODUCT((M_BOM[Part Name]=$A3)*M_BOM[RM_Qty_Per_Batch]*IFERROR(INDEX(PP_Grid[#Data],M_BOM[PPGridRow],62),0))+IFERROR(INDEX(M_RawMaterials[固定週次消費量_要入力],MATCH($A3,M_RawMaterials[Part Name],0)),0)</f>
        <v/>
      </c>
      <c r="BK3">
        <f>SUMPRODUCT((M_BOM[Part Name]=$A3)*M_BOM[RM_Qty_Per_Batch]*IFERROR(INDEX(PP_Grid[#Data],M_BOM[PPGridRow],63),0))+IFERROR(INDEX(M_RawMaterials[固定週次消費量_要入力],MATCH($A3,M_RawMaterials[Part Name],0)),0)</f>
        <v/>
      </c>
      <c r="BL3">
        <f>SUMPRODUCT((M_BOM[Part Name]=$A3)*M_BOM[RM_Qty_Per_Batch]*IFERROR(INDEX(PP_Grid[#Data],M_BOM[PPGridRow],64),0))+IFERROR(INDEX(M_RawMaterials[固定週次消費量_要入力],MATCH($A3,M_RawMaterials[Part Name],0)),0)</f>
        <v/>
      </c>
      <c r="BM3">
        <f>SUMPRODUCT((M_BOM[Part Name]=$A3)*M_BOM[RM_Qty_Per_Batch]*IFERROR(INDEX(PP_Grid[#Data],M_BOM[PPGridRow],65),0))+IFERROR(INDEX(M_RawMaterials[固定週次消費量_要入力],MATCH($A3,M_RawMaterials[Part Name],0)),0)</f>
        <v/>
      </c>
      <c r="BN3">
        <f>SUMPRODUCT((M_BOM[Part Name]=$A3)*M_BOM[RM_Qty_Per_Batch]*IFERROR(INDEX(PP_Grid[#Data],M_BOM[PPGridRow],66),0))+IFERROR(INDEX(M_RawMaterials[固定週次消費量_要入力],MATCH($A3,M_RawMaterials[Part Name],0)),0)</f>
        <v/>
      </c>
      <c r="BO3">
        <f>SUMPRODUCT((M_BOM[Part Name]=$A3)*M_BOM[RM_Qty_Per_Batch]*IFERROR(INDEX(PP_Grid[#Data],M_BOM[PPGridRow],67),0))+IFERROR(INDEX(M_RawMaterials[固定週次消費量_要入力],MATCH($A3,M_RawMaterials[Part Name],0)),0)</f>
        <v/>
      </c>
      <c r="BP3">
        <f>SUMPRODUCT((M_BOM[Part Name]=$A3)*M_BOM[RM_Qty_Per_Batch]*IFERROR(INDEX(PP_Grid[#Data],M_BOM[PPGridRow],68),0))+IFERROR(INDEX(M_RawMaterials[固定週次消費量_要入力],MATCH($A3,M_RawMaterials[Part Name],0)),0)</f>
        <v/>
      </c>
      <c r="BQ3">
        <f>SUMPRODUCT((M_BOM[Part Name]=$A3)*M_BOM[RM_Qty_Per_Batch]*IFERROR(INDEX(PP_Grid[#Data],M_BOM[PPGridRow],69),0))+IFERROR(INDEX(M_RawMaterials[固定週次消費量_要入力],MATCH($A3,M_RawMaterials[Part Name],0)),0)</f>
        <v/>
      </c>
      <c r="BR3">
        <f>SUMPRODUCT((M_BOM[Part Name]=$A3)*M_BOM[RM_Qty_Per_Batch]*IFERROR(INDEX(PP_Grid[#Data],M_BOM[PPGridRow],70),0))+IFERROR(INDEX(M_RawMaterials[固定週次消費量_要入力],MATCH($A3,M_RawMaterials[Part Name],0)),0)</f>
        <v/>
      </c>
      <c r="BS3">
        <f>SUMPRODUCT((M_BOM[Part Name]=$A3)*M_BOM[RM_Qty_Per_Batch]*IFERROR(INDEX(PP_Grid[#Data],M_BOM[PPGridRow],71),0))+IFERROR(INDEX(M_RawMaterials[固定週次消費量_要入力],MATCH($A3,M_RawMaterials[Part Name],0)),0)</f>
        <v/>
      </c>
      <c r="BT3">
        <f>SUMPRODUCT((M_BOM[Part Name]=$A3)*M_BOM[RM_Qty_Per_Batch]*IFERROR(INDEX(PP_Grid[#Data],M_BOM[PPGridRow],72),0))+IFERROR(INDEX(M_RawMaterials[固定週次消費量_要入力],MATCH($A3,M_RawMaterials[Part Name],0)),0)</f>
        <v/>
      </c>
      <c r="BU3">
        <f>SUMPRODUCT((M_BOM[Part Name]=$A3)*M_BOM[RM_Qty_Per_Batch]*IFERROR(INDEX(PP_Grid[#Data],M_BOM[PPGridRow],73),0))+IFERROR(INDEX(M_RawMaterials[固定週次消費量_要入力],MATCH($A3,M_RawMaterials[Part Name],0)),0)</f>
        <v/>
      </c>
      <c r="BV3">
        <f>SUMPRODUCT((M_BOM[Part Name]=$A3)*M_BOM[RM_Qty_Per_Batch]*IFERROR(INDEX(PP_Grid[#Data],M_BOM[PPGridRow],74),0))+IFERROR(INDEX(M_RawMaterials[固定週次消費量_要入力],MATCH($A3,M_RawMaterials[Part Name],0)),0)</f>
        <v/>
      </c>
      <c r="BW3">
        <f>SUMPRODUCT((M_BOM[Part Name]=$A3)*M_BOM[RM_Qty_Per_Batch]*IFERROR(INDEX(PP_Grid[#Data],M_BOM[PPGridRow],75),0))+IFERROR(INDEX(M_RawMaterials[固定週次消費量_要入力],MATCH($A3,M_RawMaterials[Part Name],0)),0)</f>
        <v/>
      </c>
      <c r="BX3">
        <f>SUMPRODUCT((M_BOM[Part Name]=$A3)*M_BOM[RM_Qty_Per_Batch]*IFERROR(INDEX(PP_Grid[#Data],M_BOM[PPGridRow],76),0))+IFERROR(INDEX(M_RawMaterials[固定週次消費量_要入力],MATCH($A3,M_RawMaterials[Part Name],0)),0)</f>
        <v/>
      </c>
      <c r="BY3">
        <f>SUMPRODUCT((M_BOM[Part Name]=$A3)*M_BOM[RM_Qty_Per_Batch]*IFERROR(INDEX(PP_Grid[#Data],M_BOM[PPGridRow],77),0))+IFERROR(INDEX(M_RawMaterials[固定週次消費量_要入力],MATCH($A3,M_RawMaterials[Part Name],0)),0)</f>
        <v/>
      </c>
      <c r="BZ3">
        <f>SUMPRODUCT((M_BOM[Part Name]=$A3)*M_BOM[RM_Qty_Per_Batch]*IFERROR(INDEX(PP_Grid[#Data],M_BOM[PPGridRow],78),0))+IFERROR(INDEX(M_RawMaterials[固定週次消費量_要入力],MATCH($A3,M_RawMaterials[Part Name],0)),0)</f>
        <v/>
      </c>
      <c r="CA3">
        <f>SUMPRODUCT((M_BOM[Part Name]=$A3)*M_BOM[RM_Qty_Per_Batch]*IFERROR(INDEX(PP_Grid[#Data],M_BOM[PPGridRow],79),0))+IFERROR(INDEX(M_RawMaterials[固定週次消費量_要入力],MATCH($A3,M_RawMaterials[Part Name],0)),0)</f>
        <v/>
      </c>
      <c r="CB3">
        <f>SUMPRODUCT((M_BOM[Part Name]=$A3)*M_BOM[RM_Qty_Per_Batch]*IFERROR(INDEX(PP_Grid[#Data],M_BOM[PPGridRow],80),0))+IFERROR(INDEX(M_RawMaterials[固定週次消費量_要入力],MATCH($A3,M_RawMaterials[Part Name],0)),0)</f>
        <v/>
      </c>
      <c r="CC3">
        <f>SUMPRODUCT((M_BOM[Part Name]=$A3)*M_BOM[RM_Qty_Per_Batch]*IFERROR(INDEX(PP_Grid[#Data],M_BOM[PPGridRow],81),0))+IFERROR(INDEX(M_RawMaterials[固定週次消費量_要入力],MATCH($A3,M_RawMaterials[Part Name],0)),0)</f>
        <v/>
      </c>
      <c r="CD3">
        <f>SUMPRODUCT((M_BOM[Part Name]=$A3)*M_BOM[RM_Qty_Per_Batch]*IFERROR(INDEX(PP_Grid[#Data],M_BOM[PPGridRow],82),0))+IFERROR(INDEX(M_RawMaterials[固定週次消費量_要入力],MATCH($A3,M_RawMaterials[Part Name],0)),0)</f>
        <v/>
      </c>
      <c r="CE3">
        <f>SUMPRODUCT((M_BOM[Part Name]=$A3)*M_BOM[RM_Qty_Per_Batch]*IFERROR(INDEX(PP_Grid[#Data],M_BOM[PPGridRow],83),0))+IFERROR(INDEX(M_RawMaterials[固定週次消費量_要入力],MATCH($A3,M_RawMaterials[Part Name],0)),0)</f>
        <v/>
      </c>
      <c r="CF3">
        <f>SUMPRODUCT((M_BOM[Part Name]=$A3)*M_BOM[RM_Qty_Per_Batch]*IFERROR(INDEX(PP_Grid[#Data],M_BOM[PPGridRow],84),0))+IFERROR(INDEX(M_RawMaterials[固定週次消費量_要入力],MATCH($A3,M_RawMaterials[Part Name],0)),0)</f>
        <v/>
      </c>
      <c r="CG3">
        <f>SUMPRODUCT((M_BOM[Part Name]=$A3)*M_BOM[RM_Qty_Per_Batch]*IFERROR(INDEX(PP_Grid[#Data],M_BOM[PPGridRow],85),0))+IFERROR(INDEX(M_RawMaterials[固定週次消費量_要入力],MATCH($A3,M_RawMaterials[Part Name],0)),0)</f>
        <v/>
      </c>
      <c r="CH3">
        <f>SUMPRODUCT((M_BOM[Part Name]=$A3)*M_BOM[RM_Qty_Per_Batch]*IFERROR(INDEX(PP_Grid[#Data],M_BOM[PPGridRow],86),0))+IFERROR(INDEX(M_RawMaterials[固定週次消費量_要入力],MATCH($A3,M_RawMaterials[Part Name],0)),0)</f>
        <v/>
      </c>
      <c r="CI3">
        <f>SUMPRODUCT((M_BOM[Part Name]=$A3)*M_BOM[RM_Qty_Per_Batch]*IFERROR(INDEX(PP_Grid[#Data],M_BOM[PPGridRow],87),0))+IFERROR(INDEX(M_RawMaterials[固定週次消費量_要入力],MATCH($A3,M_RawMaterials[Part Name],0)),0)</f>
        <v/>
      </c>
      <c r="CJ3">
        <f>SUMPRODUCT((M_BOM[Part Name]=$A3)*M_BOM[RM_Qty_Per_Batch]*IFERROR(INDEX(PP_Grid[#Data],M_BOM[PPGridRow],88),0))+IFERROR(INDEX(M_RawMaterials[固定週次消費量_要入力],MATCH($A3,M_RawMaterials[Part Name],0)),0)</f>
        <v/>
      </c>
      <c r="CK3">
        <f>SUMPRODUCT((M_BOM[Part Name]=$A3)*M_BOM[RM_Qty_Per_Batch]*IFERROR(INDEX(PP_Grid[#Data],M_BOM[PPGridRow],89),0))+IFERROR(INDEX(M_RawMaterials[固定週次消費量_要入力],MATCH($A3,M_RawMaterials[Part Name],0)),0)</f>
        <v/>
      </c>
      <c r="CL3">
        <f>SUMPRODUCT((M_BOM[Part Name]=$A3)*M_BOM[RM_Qty_Per_Batch]*IFERROR(INDEX(PP_Grid[#Data],M_BOM[PPGridRow],90),0))+IFERROR(INDEX(M_RawMaterials[固定週次消費量_要入力],MATCH($A3,M_RawMaterials[Part Name],0)),0)</f>
        <v/>
      </c>
      <c r="CM3">
        <f>SUMPRODUCT((M_BOM[Part Name]=$A3)*M_BOM[RM_Qty_Per_Batch]*IFERROR(INDEX(PP_Grid[#Data],M_BOM[PPGridRow],91),0))+IFERROR(INDEX(M_RawMaterials[固定週次消費量_要入力],MATCH($A3,M_RawMaterials[Part Name],0)),0)</f>
        <v/>
      </c>
      <c r="CN3">
        <f>SUMPRODUCT((M_BOM[Part Name]=$A3)*M_BOM[RM_Qty_Per_Batch]*IFERROR(INDEX(PP_Grid[#Data],M_BOM[PPGridRow],92),0))+IFERROR(INDEX(M_RawMaterials[固定週次消費量_要入力],MATCH($A3,M_RawMaterials[Part Name],0)),0)</f>
        <v/>
      </c>
      <c r="CO3">
        <f>SUMPRODUCT((M_BOM[Part Name]=$A3)*M_BOM[RM_Qty_Per_Batch]*IFERROR(INDEX(PP_Grid[#Data],M_BOM[PPGridRow],93),0))+IFERROR(INDEX(M_RawMaterials[固定週次消費量_要入力],MATCH($A3,M_RawMaterials[Part Name],0)),0)</f>
        <v/>
      </c>
      <c r="CP3">
        <f>SUMPRODUCT((M_BOM[Part Name]=$A3)*M_BOM[RM_Qty_Per_Batch]*IFERROR(INDEX(PP_Grid[#Data],M_BOM[PPGridRow],94),0))+IFERROR(INDEX(M_RawMaterials[固定週次消費量_要入力],MATCH($A3,M_RawMaterials[Part Name],0)),0)</f>
        <v/>
      </c>
      <c r="CQ3">
        <f>SUMPRODUCT((M_BOM[Part Name]=$A3)*M_BOM[RM_Qty_Per_Batch]*IFERROR(INDEX(PP_Grid[#Data],M_BOM[PPGridRow],95),0))+IFERROR(INDEX(M_RawMaterials[固定週次消費量_要入力],MATCH($A3,M_RawMaterials[Part Name],0)),0)</f>
        <v/>
      </c>
      <c r="CR3">
        <f>SUMPRODUCT((M_BOM[Part Name]=$A3)*M_BOM[RM_Qty_Per_Batch]*IFERROR(INDEX(PP_Grid[#Data],M_BOM[PPGridRow],96),0))+IFERROR(INDEX(M_RawMaterials[固定週次消費量_要入力],MATCH($A3,M_RawMaterials[Part Name],0)),0)</f>
        <v/>
      </c>
      <c r="CS3">
        <f>SUMPRODUCT((M_BOM[Part Name]=$A3)*M_BOM[RM_Qty_Per_Batch]*IFERROR(INDEX(PP_Grid[#Data],M_BOM[PPGridRow],97),0))+IFERROR(INDEX(M_RawMaterials[固定週次消費量_要入力],MATCH($A3,M_RawMaterials[Part Name],0)),0)</f>
        <v/>
      </c>
      <c r="CT3">
        <f>SUMPRODUCT((M_BOM[Part Name]=$A3)*M_BOM[RM_Qty_Per_Batch]*IFERROR(INDEX(PP_Grid[#Data],M_BOM[PPGridRow],98),0))+IFERROR(INDEX(M_RawMaterials[固定週次消費量_要入力],MATCH($A3,M_RawMaterials[Part Name],0)),0)</f>
        <v/>
      </c>
      <c r="CU3">
        <f>SUMPRODUCT((M_BOM[Part Name]=$A3)*M_BOM[RM_Qty_Per_Batch]*IFERROR(INDEX(PP_Grid[#Data],M_BOM[PPGridRow],99),0))+IFERROR(INDEX(M_RawMaterials[固定週次消費量_要入力],MATCH($A3,M_RawMaterials[Part Name],0)),0)</f>
        <v/>
      </c>
      <c r="CV3">
        <f>SUMPRODUCT((M_BOM[Part Name]=$A3)*M_BOM[RM_Qty_Per_Batch]*IFERROR(INDEX(PP_Grid[#Data],M_BOM[PPGridRow],100),0))+IFERROR(INDEX(M_RawMaterials[固定週次消費量_要入力],MATCH($A3,M_RawMaterials[Part Name],0)),0)</f>
        <v/>
      </c>
      <c r="CW3">
        <f>SUMPRODUCT((M_BOM[Part Name]=$A3)*M_BOM[RM_Qty_Per_Batch]*IFERROR(INDEX(PP_Grid[#Data],M_BOM[PPGridRow],101),0))+IFERROR(INDEX(M_RawMaterials[固定週次消費量_要入力],MATCH($A3,M_RawMaterials[Part Name],0)),0)</f>
        <v/>
      </c>
      <c r="CX3">
        <f>SUMPRODUCT((M_BOM[Part Name]=$A3)*M_BOM[RM_Qty_Per_Batch]*IFERROR(INDEX(PP_Grid[#Data],M_BOM[PPGridRow],102),0))+IFERROR(INDEX(M_RawMaterials[固定週次消費量_要入力],MATCH($A3,M_RawMaterials[Part Name],0)),0)</f>
        <v/>
      </c>
      <c r="CY3">
        <f>SUMPRODUCT((M_BOM[Part Name]=$A3)*M_BOM[RM_Qty_Per_Batch]*IFERROR(INDEX(PP_Grid[#Data],M_BOM[PPGridRow],103),0))+IFERROR(INDEX(M_RawMaterials[固定週次消費量_要入力],MATCH($A3,M_RawMaterials[Part Name],0)),0)</f>
        <v/>
      </c>
      <c r="CZ3">
        <f>SUMPRODUCT((M_BOM[Part Name]=$A3)*M_BOM[RM_Qty_Per_Batch]*IFERROR(INDEX(PP_Grid[#Data],M_BOM[PPGridRow],104),0))+IFERROR(INDEX(M_RawMaterials[固定週次消費量_要入力],MATCH($A3,M_RawMaterials[Part Name],0)),0)</f>
        <v/>
      </c>
      <c r="DA3">
        <f>SUMPRODUCT((M_BOM[Part Name]=$A3)*M_BOM[RM_Qty_Per_Batch]*IFERROR(INDEX(PP_Grid[#Data],M_BOM[PPGridRow],105),0))+IFERROR(INDEX(M_RawMaterials[固定週次消費量_要入力],MATCH($A3,M_RawMaterials[Part Name],0)),0)</f>
        <v/>
      </c>
    </row>
    <row r="4">
      <c r="A4" t="inlineStr">
        <is>
          <t>4HL</t>
        </is>
      </c>
      <c r="B4">
        <f>SUMPRODUCT((M_BOM[Part Name]=$A4)*M_BOM[RM_Qty_Per_Batch]*IFERROR(INDEX(PP_Grid[#Data],M_BOM[PPGridRow],2),0))+IFERROR(INDEX(M_RawMaterials[固定週次消費量_要入力],MATCH($A4,M_RawMaterials[Part Name],0)),0)</f>
        <v/>
      </c>
      <c r="C4">
        <f>SUMPRODUCT((M_BOM[Part Name]=$A4)*M_BOM[RM_Qty_Per_Batch]*IFERROR(INDEX(PP_Grid[#Data],M_BOM[PPGridRow],3),0))+IFERROR(INDEX(M_RawMaterials[固定週次消費量_要入力],MATCH($A4,M_RawMaterials[Part Name],0)),0)</f>
        <v/>
      </c>
      <c r="D4">
        <f>SUMPRODUCT((M_BOM[Part Name]=$A4)*M_BOM[RM_Qty_Per_Batch]*IFERROR(INDEX(PP_Grid[#Data],M_BOM[PPGridRow],4),0))+IFERROR(INDEX(M_RawMaterials[固定週次消費量_要入力],MATCH($A4,M_RawMaterials[Part Name],0)),0)</f>
        <v/>
      </c>
      <c r="E4">
        <f>SUMPRODUCT((M_BOM[Part Name]=$A4)*M_BOM[RM_Qty_Per_Batch]*IFERROR(INDEX(PP_Grid[#Data],M_BOM[PPGridRow],5),0))+IFERROR(INDEX(M_RawMaterials[固定週次消費量_要入力],MATCH($A4,M_RawMaterials[Part Name],0)),0)</f>
        <v/>
      </c>
      <c r="F4">
        <f>SUMPRODUCT((M_BOM[Part Name]=$A4)*M_BOM[RM_Qty_Per_Batch]*IFERROR(INDEX(PP_Grid[#Data],M_BOM[PPGridRow],6),0))+IFERROR(INDEX(M_RawMaterials[固定週次消費量_要入力],MATCH($A4,M_RawMaterials[Part Name],0)),0)</f>
        <v/>
      </c>
      <c r="G4">
        <f>SUMPRODUCT((M_BOM[Part Name]=$A4)*M_BOM[RM_Qty_Per_Batch]*IFERROR(INDEX(PP_Grid[#Data],M_BOM[PPGridRow],7),0))+IFERROR(INDEX(M_RawMaterials[固定週次消費量_要入力],MATCH($A4,M_RawMaterials[Part Name],0)),0)</f>
        <v/>
      </c>
      <c r="H4">
        <f>SUMPRODUCT((M_BOM[Part Name]=$A4)*M_BOM[RM_Qty_Per_Batch]*IFERROR(INDEX(PP_Grid[#Data],M_BOM[PPGridRow],8),0))+IFERROR(INDEX(M_RawMaterials[固定週次消費量_要入力],MATCH($A4,M_RawMaterials[Part Name],0)),0)</f>
        <v/>
      </c>
      <c r="I4">
        <f>SUMPRODUCT((M_BOM[Part Name]=$A4)*M_BOM[RM_Qty_Per_Batch]*IFERROR(INDEX(PP_Grid[#Data],M_BOM[PPGridRow],9),0))+IFERROR(INDEX(M_RawMaterials[固定週次消費量_要入力],MATCH($A4,M_RawMaterials[Part Name],0)),0)</f>
        <v/>
      </c>
      <c r="J4">
        <f>SUMPRODUCT((M_BOM[Part Name]=$A4)*M_BOM[RM_Qty_Per_Batch]*IFERROR(INDEX(PP_Grid[#Data],M_BOM[PPGridRow],10),0))+IFERROR(INDEX(M_RawMaterials[固定週次消費量_要入力],MATCH($A4,M_RawMaterials[Part Name],0)),0)</f>
        <v/>
      </c>
      <c r="K4">
        <f>SUMPRODUCT((M_BOM[Part Name]=$A4)*M_BOM[RM_Qty_Per_Batch]*IFERROR(INDEX(PP_Grid[#Data],M_BOM[PPGridRow],11),0))+IFERROR(INDEX(M_RawMaterials[固定週次消費量_要入力],MATCH($A4,M_RawMaterials[Part Name],0)),0)</f>
        <v/>
      </c>
      <c r="L4">
        <f>SUMPRODUCT((M_BOM[Part Name]=$A4)*M_BOM[RM_Qty_Per_Batch]*IFERROR(INDEX(PP_Grid[#Data],M_BOM[PPGridRow],12),0))+IFERROR(INDEX(M_RawMaterials[固定週次消費量_要入力],MATCH($A4,M_RawMaterials[Part Name],0)),0)</f>
        <v/>
      </c>
      <c r="M4">
        <f>SUMPRODUCT((M_BOM[Part Name]=$A4)*M_BOM[RM_Qty_Per_Batch]*IFERROR(INDEX(PP_Grid[#Data],M_BOM[PPGridRow],13),0))+IFERROR(INDEX(M_RawMaterials[固定週次消費量_要入力],MATCH($A4,M_RawMaterials[Part Name],0)),0)</f>
        <v/>
      </c>
      <c r="N4">
        <f>SUMPRODUCT((M_BOM[Part Name]=$A4)*M_BOM[RM_Qty_Per_Batch]*IFERROR(INDEX(PP_Grid[#Data],M_BOM[PPGridRow],14),0))+IFERROR(INDEX(M_RawMaterials[固定週次消費量_要入力],MATCH($A4,M_RawMaterials[Part Name],0)),0)</f>
        <v/>
      </c>
      <c r="O4">
        <f>SUMPRODUCT((M_BOM[Part Name]=$A4)*M_BOM[RM_Qty_Per_Batch]*IFERROR(INDEX(PP_Grid[#Data],M_BOM[PPGridRow],15),0))+IFERROR(INDEX(M_RawMaterials[固定週次消費量_要入力],MATCH($A4,M_RawMaterials[Part Name],0)),0)</f>
        <v/>
      </c>
      <c r="P4">
        <f>SUMPRODUCT((M_BOM[Part Name]=$A4)*M_BOM[RM_Qty_Per_Batch]*IFERROR(INDEX(PP_Grid[#Data],M_BOM[PPGridRow],16),0))+IFERROR(INDEX(M_RawMaterials[固定週次消費量_要入力],MATCH($A4,M_RawMaterials[Part Name],0)),0)</f>
        <v/>
      </c>
      <c r="Q4">
        <f>SUMPRODUCT((M_BOM[Part Name]=$A4)*M_BOM[RM_Qty_Per_Batch]*IFERROR(INDEX(PP_Grid[#Data],M_BOM[PPGridRow],17),0))+IFERROR(INDEX(M_RawMaterials[固定週次消費量_要入力],MATCH($A4,M_RawMaterials[Part Name],0)),0)</f>
        <v/>
      </c>
      <c r="R4">
        <f>SUMPRODUCT((M_BOM[Part Name]=$A4)*M_BOM[RM_Qty_Per_Batch]*IFERROR(INDEX(PP_Grid[#Data],M_BOM[PPGridRow],18),0))+IFERROR(INDEX(M_RawMaterials[固定週次消費量_要入力],MATCH($A4,M_RawMaterials[Part Name],0)),0)</f>
        <v/>
      </c>
      <c r="S4">
        <f>SUMPRODUCT((M_BOM[Part Name]=$A4)*M_BOM[RM_Qty_Per_Batch]*IFERROR(INDEX(PP_Grid[#Data],M_BOM[PPGridRow],19),0))+IFERROR(INDEX(M_RawMaterials[固定週次消費量_要入力],MATCH($A4,M_RawMaterials[Part Name],0)),0)</f>
        <v/>
      </c>
      <c r="T4">
        <f>SUMPRODUCT((M_BOM[Part Name]=$A4)*M_BOM[RM_Qty_Per_Batch]*IFERROR(INDEX(PP_Grid[#Data],M_BOM[PPGridRow],20),0))+IFERROR(INDEX(M_RawMaterials[固定週次消費量_要入力],MATCH($A4,M_RawMaterials[Part Name],0)),0)</f>
        <v/>
      </c>
      <c r="U4">
        <f>SUMPRODUCT((M_BOM[Part Name]=$A4)*M_BOM[RM_Qty_Per_Batch]*IFERROR(INDEX(PP_Grid[#Data],M_BOM[PPGridRow],21),0))+IFERROR(INDEX(M_RawMaterials[固定週次消費量_要入力],MATCH($A4,M_RawMaterials[Part Name],0)),0)</f>
        <v/>
      </c>
      <c r="V4">
        <f>SUMPRODUCT((M_BOM[Part Name]=$A4)*M_BOM[RM_Qty_Per_Batch]*IFERROR(INDEX(PP_Grid[#Data],M_BOM[PPGridRow],22),0))+IFERROR(INDEX(M_RawMaterials[固定週次消費量_要入力],MATCH($A4,M_RawMaterials[Part Name],0)),0)</f>
        <v/>
      </c>
      <c r="W4">
        <f>SUMPRODUCT((M_BOM[Part Name]=$A4)*M_BOM[RM_Qty_Per_Batch]*IFERROR(INDEX(PP_Grid[#Data],M_BOM[PPGridRow],23),0))+IFERROR(INDEX(M_RawMaterials[固定週次消費量_要入力],MATCH($A4,M_RawMaterials[Part Name],0)),0)</f>
        <v/>
      </c>
      <c r="X4">
        <f>SUMPRODUCT((M_BOM[Part Name]=$A4)*M_BOM[RM_Qty_Per_Batch]*IFERROR(INDEX(PP_Grid[#Data],M_BOM[PPGridRow],24),0))+IFERROR(INDEX(M_RawMaterials[固定週次消費量_要入力],MATCH($A4,M_RawMaterials[Part Name],0)),0)</f>
        <v/>
      </c>
      <c r="Y4">
        <f>SUMPRODUCT((M_BOM[Part Name]=$A4)*M_BOM[RM_Qty_Per_Batch]*IFERROR(INDEX(PP_Grid[#Data],M_BOM[PPGridRow],25),0))+IFERROR(INDEX(M_RawMaterials[固定週次消費量_要入力],MATCH($A4,M_RawMaterials[Part Name],0)),0)</f>
        <v/>
      </c>
      <c r="Z4">
        <f>SUMPRODUCT((M_BOM[Part Name]=$A4)*M_BOM[RM_Qty_Per_Batch]*IFERROR(INDEX(PP_Grid[#Data],M_BOM[PPGridRow],26),0))+IFERROR(INDEX(M_RawMaterials[固定週次消費量_要入力],MATCH($A4,M_RawMaterials[Part Name],0)),0)</f>
        <v/>
      </c>
      <c r="AA4">
        <f>SUMPRODUCT((M_BOM[Part Name]=$A4)*M_BOM[RM_Qty_Per_Batch]*IFERROR(INDEX(PP_Grid[#Data],M_BOM[PPGridRow],27),0))+IFERROR(INDEX(M_RawMaterials[固定週次消費量_要入力],MATCH($A4,M_RawMaterials[Part Name],0)),0)</f>
        <v/>
      </c>
      <c r="AB4">
        <f>SUMPRODUCT((M_BOM[Part Name]=$A4)*M_BOM[RM_Qty_Per_Batch]*IFERROR(INDEX(PP_Grid[#Data],M_BOM[PPGridRow],28),0))+IFERROR(INDEX(M_RawMaterials[固定週次消費量_要入力],MATCH($A4,M_RawMaterials[Part Name],0)),0)</f>
        <v/>
      </c>
      <c r="AC4">
        <f>SUMPRODUCT((M_BOM[Part Name]=$A4)*M_BOM[RM_Qty_Per_Batch]*IFERROR(INDEX(PP_Grid[#Data],M_BOM[PPGridRow],29),0))+IFERROR(INDEX(M_RawMaterials[固定週次消費量_要入力],MATCH($A4,M_RawMaterials[Part Name],0)),0)</f>
        <v/>
      </c>
      <c r="AD4">
        <f>SUMPRODUCT((M_BOM[Part Name]=$A4)*M_BOM[RM_Qty_Per_Batch]*IFERROR(INDEX(PP_Grid[#Data],M_BOM[PPGridRow],30),0))+IFERROR(INDEX(M_RawMaterials[固定週次消費量_要入力],MATCH($A4,M_RawMaterials[Part Name],0)),0)</f>
        <v/>
      </c>
      <c r="AE4">
        <f>SUMPRODUCT((M_BOM[Part Name]=$A4)*M_BOM[RM_Qty_Per_Batch]*IFERROR(INDEX(PP_Grid[#Data],M_BOM[PPGridRow],31),0))+IFERROR(INDEX(M_RawMaterials[固定週次消費量_要入力],MATCH($A4,M_RawMaterials[Part Name],0)),0)</f>
        <v/>
      </c>
      <c r="AF4">
        <f>SUMPRODUCT((M_BOM[Part Name]=$A4)*M_BOM[RM_Qty_Per_Batch]*IFERROR(INDEX(PP_Grid[#Data],M_BOM[PPGridRow],32),0))+IFERROR(INDEX(M_RawMaterials[固定週次消費量_要入力],MATCH($A4,M_RawMaterials[Part Name],0)),0)</f>
        <v/>
      </c>
      <c r="AG4">
        <f>SUMPRODUCT((M_BOM[Part Name]=$A4)*M_BOM[RM_Qty_Per_Batch]*IFERROR(INDEX(PP_Grid[#Data],M_BOM[PPGridRow],33),0))+IFERROR(INDEX(M_RawMaterials[固定週次消費量_要入力],MATCH($A4,M_RawMaterials[Part Name],0)),0)</f>
        <v/>
      </c>
      <c r="AH4">
        <f>SUMPRODUCT((M_BOM[Part Name]=$A4)*M_BOM[RM_Qty_Per_Batch]*IFERROR(INDEX(PP_Grid[#Data],M_BOM[PPGridRow],34),0))+IFERROR(INDEX(M_RawMaterials[固定週次消費量_要入力],MATCH($A4,M_RawMaterials[Part Name],0)),0)</f>
        <v/>
      </c>
      <c r="AI4">
        <f>SUMPRODUCT((M_BOM[Part Name]=$A4)*M_BOM[RM_Qty_Per_Batch]*IFERROR(INDEX(PP_Grid[#Data],M_BOM[PPGridRow],35),0))+IFERROR(INDEX(M_RawMaterials[固定週次消費量_要入力],MATCH($A4,M_RawMaterials[Part Name],0)),0)</f>
        <v/>
      </c>
      <c r="AJ4">
        <f>SUMPRODUCT((M_BOM[Part Name]=$A4)*M_BOM[RM_Qty_Per_Batch]*IFERROR(INDEX(PP_Grid[#Data],M_BOM[PPGridRow],36),0))+IFERROR(INDEX(M_RawMaterials[固定週次消費量_要入力],MATCH($A4,M_RawMaterials[Part Name],0)),0)</f>
        <v/>
      </c>
      <c r="AK4">
        <f>SUMPRODUCT((M_BOM[Part Name]=$A4)*M_BOM[RM_Qty_Per_Batch]*IFERROR(INDEX(PP_Grid[#Data],M_BOM[PPGridRow],37),0))+IFERROR(INDEX(M_RawMaterials[固定週次消費量_要入力],MATCH($A4,M_RawMaterials[Part Name],0)),0)</f>
        <v/>
      </c>
      <c r="AL4">
        <f>SUMPRODUCT((M_BOM[Part Name]=$A4)*M_BOM[RM_Qty_Per_Batch]*IFERROR(INDEX(PP_Grid[#Data],M_BOM[PPGridRow],38),0))+IFERROR(INDEX(M_RawMaterials[固定週次消費量_要入力],MATCH($A4,M_RawMaterials[Part Name],0)),0)</f>
        <v/>
      </c>
      <c r="AM4">
        <f>SUMPRODUCT((M_BOM[Part Name]=$A4)*M_BOM[RM_Qty_Per_Batch]*IFERROR(INDEX(PP_Grid[#Data],M_BOM[PPGridRow],39),0))+IFERROR(INDEX(M_RawMaterials[固定週次消費量_要入力],MATCH($A4,M_RawMaterials[Part Name],0)),0)</f>
        <v/>
      </c>
      <c r="AN4">
        <f>SUMPRODUCT((M_BOM[Part Name]=$A4)*M_BOM[RM_Qty_Per_Batch]*IFERROR(INDEX(PP_Grid[#Data],M_BOM[PPGridRow],40),0))+IFERROR(INDEX(M_RawMaterials[固定週次消費量_要入力],MATCH($A4,M_RawMaterials[Part Name],0)),0)</f>
        <v/>
      </c>
      <c r="AO4">
        <f>SUMPRODUCT((M_BOM[Part Name]=$A4)*M_BOM[RM_Qty_Per_Batch]*IFERROR(INDEX(PP_Grid[#Data],M_BOM[PPGridRow],41),0))+IFERROR(INDEX(M_RawMaterials[固定週次消費量_要入力],MATCH($A4,M_RawMaterials[Part Name],0)),0)</f>
        <v/>
      </c>
      <c r="AP4">
        <f>SUMPRODUCT((M_BOM[Part Name]=$A4)*M_BOM[RM_Qty_Per_Batch]*IFERROR(INDEX(PP_Grid[#Data],M_BOM[PPGridRow],42),0))+IFERROR(INDEX(M_RawMaterials[固定週次消費量_要入力],MATCH($A4,M_RawMaterials[Part Name],0)),0)</f>
        <v/>
      </c>
      <c r="AQ4">
        <f>SUMPRODUCT((M_BOM[Part Name]=$A4)*M_BOM[RM_Qty_Per_Batch]*IFERROR(INDEX(PP_Grid[#Data],M_BOM[PPGridRow],43),0))+IFERROR(INDEX(M_RawMaterials[固定週次消費量_要入力],MATCH($A4,M_RawMaterials[Part Name],0)),0)</f>
        <v/>
      </c>
      <c r="AR4">
        <f>SUMPRODUCT((M_BOM[Part Name]=$A4)*M_BOM[RM_Qty_Per_Batch]*IFERROR(INDEX(PP_Grid[#Data],M_BOM[PPGridRow],44),0))+IFERROR(INDEX(M_RawMaterials[固定週次消費量_要入力],MATCH($A4,M_RawMaterials[Part Name],0)),0)</f>
        <v/>
      </c>
      <c r="AS4">
        <f>SUMPRODUCT((M_BOM[Part Name]=$A4)*M_BOM[RM_Qty_Per_Batch]*IFERROR(INDEX(PP_Grid[#Data],M_BOM[PPGridRow],45),0))+IFERROR(INDEX(M_RawMaterials[固定週次消費量_要入力],MATCH($A4,M_RawMaterials[Part Name],0)),0)</f>
        <v/>
      </c>
      <c r="AT4">
        <f>SUMPRODUCT((M_BOM[Part Name]=$A4)*M_BOM[RM_Qty_Per_Batch]*IFERROR(INDEX(PP_Grid[#Data],M_BOM[PPGridRow],46),0))+IFERROR(INDEX(M_RawMaterials[固定週次消費量_要入力],MATCH($A4,M_RawMaterials[Part Name],0)),0)</f>
        <v/>
      </c>
      <c r="AU4">
        <f>SUMPRODUCT((M_BOM[Part Name]=$A4)*M_BOM[RM_Qty_Per_Batch]*IFERROR(INDEX(PP_Grid[#Data],M_BOM[PPGridRow],47),0))+IFERROR(INDEX(M_RawMaterials[固定週次消費量_要入力],MATCH($A4,M_RawMaterials[Part Name],0)),0)</f>
        <v/>
      </c>
      <c r="AV4">
        <f>SUMPRODUCT((M_BOM[Part Name]=$A4)*M_BOM[RM_Qty_Per_Batch]*IFERROR(INDEX(PP_Grid[#Data],M_BOM[PPGridRow],48),0))+IFERROR(INDEX(M_RawMaterials[固定週次消費量_要入力],MATCH($A4,M_RawMaterials[Part Name],0)),0)</f>
        <v/>
      </c>
      <c r="AW4">
        <f>SUMPRODUCT((M_BOM[Part Name]=$A4)*M_BOM[RM_Qty_Per_Batch]*IFERROR(INDEX(PP_Grid[#Data],M_BOM[PPGridRow],49),0))+IFERROR(INDEX(M_RawMaterials[固定週次消費量_要入力],MATCH($A4,M_RawMaterials[Part Name],0)),0)</f>
        <v/>
      </c>
      <c r="AX4">
        <f>SUMPRODUCT((M_BOM[Part Name]=$A4)*M_BOM[RM_Qty_Per_Batch]*IFERROR(INDEX(PP_Grid[#Data],M_BOM[PPGridRow],50),0))+IFERROR(INDEX(M_RawMaterials[固定週次消費量_要入力],MATCH($A4,M_RawMaterials[Part Name],0)),0)</f>
        <v/>
      </c>
      <c r="AY4">
        <f>SUMPRODUCT((M_BOM[Part Name]=$A4)*M_BOM[RM_Qty_Per_Batch]*IFERROR(INDEX(PP_Grid[#Data],M_BOM[PPGridRow],51),0))+IFERROR(INDEX(M_RawMaterials[固定週次消費量_要入力],MATCH($A4,M_RawMaterials[Part Name],0)),0)</f>
        <v/>
      </c>
      <c r="AZ4">
        <f>SUMPRODUCT((M_BOM[Part Name]=$A4)*M_BOM[RM_Qty_Per_Batch]*IFERROR(INDEX(PP_Grid[#Data],M_BOM[PPGridRow],52),0))+IFERROR(INDEX(M_RawMaterials[固定週次消費量_要入力],MATCH($A4,M_RawMaterials[Part Name],0)),0)</f>
        <v/>
      </c>
      <c r="BA4">
        <f>SUMPRODUCT((M_BOM[Part Name]=$A4)*M_BOM[RM_Qty_Per_Batch]*IFERROR(INDEX(PP_Grid[#Data],M_BOM[PPGridRow],53),0))+IFERROR(INDEX(M_RawMaterials[固定週次消費量_要入力],MATCH($A4,M_RawMaterials[Part Name],0)),0)</f>
        <v/>
      </c>
      <c r="BB4">
        <f>SUMPRODUCT((M_BOM[Part Name]=$A4)*M_BOM[RM_Qty_Per_Batch]*IFERROR(INDEX(PP_Grid[#Data],M_BOM[PPGridRow],54),0))+IFERROR(INDEX(M_RawMaterials[固定週次消費量_要入力],MATCH($A4,M_RawMaterials[Part Name],0)),0)</f>
        <v/>
      </c>
      <c r="BC4">
        <f>SUMPRODUCT((M_BOM[Part Name]=$A4)*M_BOM[RM_Qty_Per_Batch]*IFERROR(INDEX(PP_Grid[#Data],M_BOM[PPGridRow],55),0))+IFERROR(INDEX(M_RawMaterials[固定週次消費量_要入力],MATCH($A4,M_RawMaterials[Part Name],0)),0)</f>
        <v/>
      </c>
      <c r="BD4">
        <f>SUMPRODUCT((M_BOM[Part Name]=$A4)*M_BOM[RM_Qty_Per_Batch]*IFERROR(INDEX(PP_Grid[#Data],M_BOM[PPGridRow],56),0))+IFERROR(INDEX(M_RawMaterials[固定週次消費量_要入力],MATCH($A4,M_RawMaterials[Part Name],0)),0)</f>
        <v/>
      </c>
      <c r="BE4">
        <f>SUMPRODUCT((M_BOM[Part Name]=$A4)*M_BOM[RM_Qty_Per_Batch]*IFERROR(INDEX(PP_Grid[#Data],M_BOM[PPGridRow],57),0))+IFERROR(INDEX(M_RawMaterials[固定週次消費量_要入力],MATCH($A4,M_RawMaterials[Part Name],0)),0)</f>
        <v/>
      </c>
      <c r="BF4">
        <f>SUMPRODUCT((M_BOM[Part Name]=$A4)*M_BOM[RM_Qty_Per_Batch]*IFERROR(INDEX(PP_Grid[#Data],M_BOM[PPGridRow],58),0))+IFERROR(INDEX(M_RawMaterials[固定週次消費量_要入力],MATCH($A4,M_RawMaterials[Part Name],0)),0)</f>
        <v/>
      </c>
      <c r="BG4">
        <f>SUMPRODUCT((M_BOM[Part Name]=$A4)*M_BOM[RM_Qty_Per_Batch]*IFERROR(INDEX(PP_Grid[#Data],M_BOM[PPGridRow],59),0))+IFERROR(INDEX(M_RawMaterials[固定週次消費量_要入力],MATCH($A4,M_RawMaterials[Part Name],0)),0)</f>
        <v/>
      </c>
      <c r="BH4">
        <f>SUMPRODUCT((M_BOM[Part Name]=$A4)*M_BOM[RM_Qty_Per_Batch]*IFERROR(INDEX(PP_Grid[#Data],M_BOM[PPGridRow],60),0))+IFERROR(INDEX(M_RawMaterials[固定週次消費量_要入力],MATCH($A4,M_RawMaterials[Part Name],0)),0)</f>
        <v/>
      </c>
      <c r="BI4">
        <f>SUMPRODUCT((M_BOM[Part Name]=$A4)*M_BOM[RM_Qty_Per_Batch]*IFERROR(INDEX(PP_Grid[#Data],M_BOM[PPGridRow],61),0))+IFERROR(INDEX(M_RawMaterials[固定週次消費量_要入力],MATCH($A4,M_RawMaterials[Part Name],0)),0)</f>
        <v/>
      </c>
      <c r="BJ4">
        <f>SUMPRODUCT((M_BOM[Part Name]=$A4)*M_BOM[RM_Qty_Per_Batch]*IFERROR(INDEX(PP_Grid[#Data],M_BOM[PPGridRow],62),0))+IFERROR(INDEX(M_RawMaterials[固定週次消費量_要入力],MATCH($A4,M_RawMaterials[Part Name],0)),0)</f>
        <v/>
      </c>
      <c r="BK4">
        <f>SUMPRODUCT((M_BOM[Part Name]=$A4)*M_BOM[RM_Qty_Per_Batch]*IFERROR(INDEX(PP_Grid[#Data],M_BOM[PPGridRow],63),0))+IFERROR(INDEX(M_RawMaterials[固定週次消費量_要入力],MATCH($A4,M_RawMaterials[Part Name],0)),0)</f>
        <v/>
      </c>
      <c r="BL4">
        <f>SUMPRODUCT((M_BOM[Part Name]=$A4)*M_BOM[RM_Qty_Per_Batch]*IFERROR(INDEX(PP_Grid[#Data],M_BOM[PPGridRow],64),0))+IFERROR(INDEX(M_RawMaterials[固定週次消費量_要入力],MATCH($A4,M_RawMaterials[Part Name],0)),0)</f>
        <v/>
      </c>
      <c r="BM4">
        <f>SUMPRODUCT((M_BOM[Part Name]=$A4)*M_BOM[RM_Qty_Per_Batch]*IFERROR(INDEX(PP_Grid[#Data],M_BOM[PPGridRow],65),0))+IFERROR(INDEX(M_RawMaterials[固定週次消費量_要入力],MATCH($A4,M_RawMaterials[Part Name],0)),0)</f>
        <v/>
      </c>
      <c r="BN4">
        <f>SUMPRODUCT((M_BOM[Part Name]=$A4)*M_BOM[RM_Qty_Per_Batch]*IFERROR(INDEX(PP_Grid[#Data],M_BOM[PPGridRow],66),0))+IFERROR(INDEX(M_RawMaterials[固定週次消費量_要入力],MATCH($A4,M_RawMaterials[Part Name],0)),0)</f>
        <v/>
      </c>
      <c r="BO4">
        <f>SUMPRODUCT((M_BOM[Part Name]=$A4)*M_BOM[RM_Qty_Per_Batch]*IFERROR(INDEX(PP_Grid[#Data],M_BOM[PPGridRow],67),0))+IFERROR(INDEX(M_RawMaterials[固定週次消費量_要入力],MATCH($A4,M_RawMaterials[Part Name],0)),0)</f>
        <v/>
      </c>
      <c r="BP4">
        <f>SUMPRODUCT((M_BOM[Part Name]=$A4)*M_BOM[RM_Qty_Per_Batch]*IFERROR(INDEX(PP_Grid[#Data],M_BOM[PPGridRow],68),0))+IFERROR(INDEX(M_RawMaterials[固定週次消費量_要入力],MATCH($A4,M_RawMaterials[Part Name],0)),0)</f>
        <v/>
      </c>
      <c r="BQ4">
        <f>SUMPRODUCT((M_BOM[Part Name]=$A4)*M_BOM[RM_Qty_Per_Batch]*IFERROR(INDEX(PP_Grid[#Data],M_BOM[PPGridRow],69),0))+IFERROR(INDEX(M_RawMaterials[固定週次消費量_要入力],MATCH($A4,M_RawMaterials[Part Name],0)),0)</f>
        <v/>
      </c>
      <c r="BR4">
        <f>SUMPRODUCT((M_BOM[Part Name]=$A4)*M_BOM[RM_Qty_Per_Batch]*IFERROR(INDEX(PP_Grid[#Data],M_BOM[PPGridRow],70),0))+IFERROR(INDEX(M_RawMaterials[固定週次消費量_要入力],MATCH($A4,M_RawMaterials[Part Name],0)),0)</f>
        <v/>
      </c>
      <c r="BS4">
        <f>SUMPRODUCT((M_BOM[Part Name]=$A4)*M_BOM[RM_Qty_Per_Batch]*IFERROR(INDEX(PP_Grid[#Data],M_BOM[PPGridRow],71),0))+IFERROR(INDEX(M_RawMaterials[固定週次消費量_要入力],MATCH($A4,M_RawMaterials[Part Name],0)),0)</f>
        <v/>
      </c>
      <c r="BT4">
        <f>SUMPRODUCT((M_BOM[Part Name]=$A4)*M_BOM[RM_Qty_Per_Batch]*IFERROR(INDEX(PP_Grid[#Data],M_BOM[PPGridRow],72),0))+IFERROR(INDEX(M_RawMaterials[固定週次消費量_要入力],MATCH($A4,M_RawMaterials[Part Name],0)),0)</f>
        <v/>
      </c>
      <c r="BU4">
        <f>SUMPRODUCT((M_BOM[Part Name]=$A4)*M_BOM[RM_Qty_Per_Batch]*IFERROR(INDEX(PP_Grid[#Data],M_BOM[PPGridRow],73),0))+IFERROR(INDEX(M_RawMaterials[固定週次消費量_要入力],MATCH($A4,M_RawMaterials[Part Name],0)),0)</f>
        <v/>
      </c>
      <c r="BV4">
        <f>SUMPRODUCT((M_BOM[Part Name]=$A4)*M_BOM[RM_Qty_Per_Batch]*IFERROR(INDEX(PP_Grid[#Data],M_BOM[PPGridRow],74),0))+IFERROR(INDEX(M_RawMaterials[固定週次消費量_要入力],MATCH($A4,M_RawMaterials[Part Name],0)),0)</f>
        <v/>
      </c>
      <c r="BW4">
        <f>SUMPRODUCT((M_BOM[Part Name]=$A4)*M_BOM[RM_Qty_Per_Batch]*IFERROR(INDEX(PP_Grid[#Data],M_BOM[PPGridRow],75),0))+IFERROR(INDEX(M_RawMaterials[固定週次消費量_要入力],MATCH($A4,M_RawMaterials[Part Name],0)),0)</f>
        <v/>
      </c>
      <c r="BX4">
        <f>SUMPRODUCT((M_BOM[Part Name]=$A4)*M_BOM[RM_Qty_Per_Batch]*IFERROR(INDEX(PP_Grid[#Data],M_BOM[PPGridRow],76),0))+IFERROR(INDEX(M_RawMaterials[固定週次消費量_要入力],MATCH($A4,M_RawMaterials[Part Name],0)),0)</f>
        <v/>
      </c>
      <c r="BY4">
        <f>SUMPRODUCT((M_BOM[Part Name]=$A4)*M_BOM[RM_Qty_Per_Batch]*IFERROR(INDEX(PP_Grid[#Data],M_BOM[PPGridRow],77),0))+IFERROR(INDEX(M_RawMaterials[固定週次消費量_要入力],MATCH($A4,M_RawMaterials[Part Name],0)),0)</f>
        <v/>
      </c>
      <c r="BZ4">
        <f>SUMPRODUCT((M_BOM[Part Name]=$A4)*M_BOM[RM_Qty_Per_Batch]*IFERROR(INDEX(PP_Grid[#Data],M_BOM[PPGridRow],78),0))+IFERROR(INDEX(M_RawMaterials[固定週次消費量_要入力],MATCH($A4,M_RawMaterials[Part Name],0)),0)</f>
        <v/>
      </c>
      <c r="CA4">
        <f>SUMPRODUCT((M_BOM[Part Name]=$A4)*M_BOM[RM_Qty_Per_Batch]*IFERROR(INDEX(PP_Grid[#Data],M_BOM[PPGridRow],79),0))+IFERROR(INDEX(M_RawMaterials[固定週次消費量_要入力],MATCH($A4,M_RawMaterials[Part Name],0)),0)</f>
        <v/>
      </c>
      <c r="CB4">
        <f>SUMPRODUCT((M_BOM[Part Name]=$A4)*M_BOM[RM_Qty_Per_Batch]*IFERROR(INDEX(PP_Grid[#Data],M_BOM[PPGridRow],80),0))+IFERROR(INDEX(M_RawMaterials[固定週次消費量_要入力],MATCH($A4,M_RawMaterials[Part Name],0)),0)</f>
        <v/>
      </c>
      <c r="CC4">
        <f>SUMPRODUCT((M_BOM[Part Name]=$A4)*M_BOM[RM_Qty_Per_Batch]*IFERROR(INDEX(PP_Grid[#Data],M_BOM[PPGridRow],81),0))+IFERROR(INDEX(M_RawMaterials[固定週次消費量_要入力],MATCH($A4,M_RawMaterials[Part Name],0)),0)</f>
        <v/>
      </c>
      <c r="CD4">
        <f>SUMPRODUCT((M_BOM[Part Name]=$A4)*M_BOM[RM_Qty_Per_Batch]*IFERROR(INDEX(PP_Grid[#Data],M_BOM[PPGridRow],82),0))+IFERROR(INDEX(M_RawMaterials[固定週次消費量_要入力],MATCH($A4,M_RawMaterials[Part Name],0)),0)</f>
        <v/>
      </c>
      <c r="CE4">
        <f>SUMPRODUCT((M_BOM[Part Name]=$A4)*M_BOM[RM_Qty_Per_Batch]*IFERROR(INDEX(PP_Grid[#Data],M_BOM[PPGridRow],83),0))+IFERROR(INDEX(M_RawMaterials[固定週次消費量_要入力],MATCH($A4,M_RawMaterials[Part Name],0)),0)</f>
        <v/>
      </c>
      <c r="CF4">
        <f>SUMPRODUCT((M_BOM[Part Name]=$A4)*M_BOM[RM_Qty_Per_Batch]*IFERROR(INDEX(PP_Grid[#Data],M_BOM[PPGridRow],84),0))+IFERROR(INDEX(M_RawMaterials[固定週次消費量_要入力],MATCH($A4,M_RawMaterials[Part Name],0)),0)</f>
        <v/>
      </c>
      <c r="CG4">
        <f>SUMPRODUCT((M_BOM[Part Name]=$A4)*M_BOM[RM_Qty_Per_Batch]*IFERROR(INDEX(PP_Grid[#Data],M_BOM[PPGridRow],85),0))+IFERROR(INDEX(M_RawMaterials[固定週次消費量_要入力],MATCH($A4,M_RawMaterials[Part Name],0)),0)</f>
        <v/>
      </c>
      <c r="CH4">
        <f>SUMPRODUCT((M_BOM[Part Name]=$A4)*M_BOM[RM_Qty_Per_Batch]*IFERROR(INDEX(PP_Grid[#Data],M_BOM[PPGridRow],86),0))+IFERROR(INDEX(M_RawMaterials[固定週次消費量_要入力],MATCH($A4,M_RawMaterials[Part Name],0)),0)</f>
        <v/>
      </c>
      <c r="CI4">
        <f>SUMPRODUCT((M_BOM[Part Name]=$A4)*M_BOM[RM_Qty_Per_Batch]*IFERROR(INDEX(PP_Grid[#Data],M_BOM[PPGridRow],87),0))+IFERROR(INDEX(M_RawMaterials[固定週次消費量_要入力],MATCH($A4,M_RawMaterials[Part Name],0)),0)</f>
        <v/>
      </c>
      <c r="CJ4">
        <f>SUMPRODUCT((M_BOM[Part Name]=$A4)*M_BOM[RM_Qty_Per_Batch]*IFERROR(INDEX(PP_Grid[#Data],M_BOM[PPGridRow],88),0))+IFERROR(INDEX(M_RawMaterials[固定週次消費量_要入力],MATCH($A4,M_RawMaterials[Part Name],0)),0)</f>
        <v/>
      </c>
      <c r="CK4">
        <f>SUMPRODUCT((M_BOM[Part Name]=$A4)*M_BOM[RM_Qty_Per_Batch]*IFERROR(INDEX(PP_Grid[#Data],M_BOM[PPGridRow],89),0))+IFERROR(INDEX(M_RawMaterials[固定週次消費量_要入力],MATCH($A4,M_RawMaterials[Part Name],0)),0)</f>
        <v/>
      </c>
      <c r="CL4">
        <f>SUMPRODUCT((M_BOM[Part Name]=$A4)*M_BOM[RM_Qty_Per_Batch]*IFERROR(INDEX(PP_Grid[#Data],M_BOM[PPGridRow],90),0))+IFERROR(INDEX(M_RawMaterials[固定週次消費量_要入力],MATCH($A4,M_RawMaterials[Part Name],0)),0)</f>
        <v/>
      </c>
      <c r="CM4">
        <f>SUMPRODUCT((M_BOM[Part Name]=$A4)*M_BOM[RM_Qty_Per_Batch]*IFERROR(INDEX(PP_Grid[#Data],M_BOM[PPGridRow],91),0))+IFERROR(INDEX(M_RawMaterials[固定週次消費量_要入力],MATCH($A4,M_RawMaterials[Part Name],0)),0)</f>
        <v/>
      </c>
      <c r="CN4">
        <f>SUMPRODUCT((M_BOM[Part Name]=$A4)*M_BOM[RM_Qty_Per_Batch]*IFERROR(INDEX(PP_Grid[#Data],M_BOM[PPGridRow],92),0))+IFERROR(INDEX(M_RawMaterials[固定週次消費量_要入力],MATCH($A4,M_RawMaterials[Part Name],0)),0)</f>
        <v/>
      </c>
      <c r="CO4">
        <f>SUMPRODUCT((M_BOM[Part Name]=$A4)*M_BOM[RM_Qty_Per_Batch]*IFERROR(INDEX(PP_Grid[#Data],M_BOM[PPGridRow],93),0))+IFERROR(INDEX(M_RawMaterials[固定週次消費量_要入力],MATCH($A4,M_RawMaterials[Part Name],0)),0)</f>
        <v/>
      </c>
      <c r="CP4">
        <f>SUMPRODUCT((M_BOM[Part Name]=$A4)*M_BOM[RM_Qty_Per_Batch]*IFERROR(INDEX(PP_Grid[#Data],M_BOM[PPGridRow],94),0))+IFERROR(INDEX(M_RawMaterials[固定週次消費量_要入力],MATCH($A4,M_RawMaterials[Part Name],0)),0)</f>
        <v/>
      </c>
      <c r="CQ4">
        <f>SUMPRODUCT((M_BOM[Part Name]=$A4)*M_BOM[RM_Qty_Per_Batch]*IFERROR(INDEX(PP_Grid[#Data],M_BOM[PPGridRow],95),0))+IFERROR(INDEX(M_RawMaterials[固定週次消費量_要入力],MATCH($A4,M_RawMaterials[Part Name],0)),0)</f>
        <v/>
      </c>
      <c r="CR4">
        <f>SUMPRODUCT((M_BOM[Part Name]=$A4)*M_BOM[RM_Qty_Per_Batch]*IFERROR(INDEX(PP_Grid[#Data],M_BOM[PPGridRow],96),0))+IFERROR(INDEX(M_RawMaterials[固定週次消費量_要入力],MATCH($A4,M_RawMaterials[Part Name],0)),0)</f>
        <v/>
      </c>
      <c r="CS4">
        <f>SUMPRODUCT((M_BOM[Part Name]=$A4)*M_BOM[RM_Qty_Per_Batch]*IFERROR(INDEX(PP_Grid[#Data],M_BOM[PPGridRow],97),0))+IFERROR(INDEX(M_RawMaterials[固定週次消費量_要入力],MATCH($A4,M_RawMaterials[Part Name],0)),0)</f>
        <v/>
      </c>
      <c r="CT4">
        <f>SUMPRODUCT((M_BOM[Part Name]=$A4)*M_BOM[RM_Qty_Per_Batch]*IFERROR(INDEX(PP_Grid[#Data],M_BOM[PPGridRow],98),0))+IFERROR(INDEX(M_RawMaterials[固定週次消費量_要入力],MATCH($A4,M_RawMaterials[Part Name],0)),0)</f>
        <v/>
      </c>
      <c r="CU4">
        <f>SUMPRODUCT((M_BOM[Part Name]=$A4)*M_BOM[RM_Qty_Per_Batch]*IFERROR(INDEX(PP_Grid[#Data],M_BOM[PPGridRow],99),0))+IFERROR(INDEX(M_RawMaterials[固定週次消費量_要入力],MATCH($A4,M_RawMaterials[Part Name],0)),0)</f>
        <v/>
      </c>
      <c r="CV4">
        <f>SUMPRODUCT((M_BOM[Part Name]=$A4)*M_BOM[RM_Qty_Per_Batch]*IFERROR(INDEX(PP_Grid[#Data],M_BOM[PPGridRow],100),0))+IFERROR(INDEX(M_RawMaterials[固定週次消費量_要入力],MATCH($A4,M_RawMaterials[Part Name],0)),0)</f>
        <v/>
      </c>
      <c r="CW4">
        <f>SUMPRODUCT((M_BOM[Part Name]=$A4)*M_BOM[RM_Qty_Per_Batch]*IFERROR(INDEX(PP_Grid[#Data],M_BOM[PPGridRow],101),0))+IFERROR(INDEX(M_RawMaterials[固定週次消費量_要入力],MATCH($A4,M_RawMaterials[Part Name],0)),0)</f>
        <v/>
      </c>
      <c r="CX4">
        <f>SUMPRODUCT((M_BOM[Part Name]=$A4)*M_BOM[RM_Qty_Per_Batch]*IFERROR(INDEX(PP_Grid[#Data],M_BOM[PPGridRow],102),0))+IFERROR(INDEX(M_RawMaterials[固定週次消費量_要入力],MATCH($A4,M_RawMaterials[Part Name],0)),0)</f>
        <v/>
      </c>
      <c r="CY4">
        <f>SUMPRODUCT((M_BOM[Part Name]=$A4)*M_BOM[RM_Qty_Per_Batch]*IFERROR(INDEX(PP_Grid[#Data],M_BOM[PPGridRow],103),0))+IFERROR(INDEX(M_RawMaterials[固定週次消費量_要入力],MATCH($A4,M_RawMaterials[Part Name],0)),0)</f>
        <v/>
      </c>
      <c r="CZ4">
        <f>SUMPRODUCT((M_BOM[Part Name]=$A4)*M_BOM[RM_Qty_Per_Batch]*IFERROR(INDEX(PP_Grid[#Data],M_BOM[PPGridRow],104),0))+IFERROR(INDEX(M_RawMaterials[固定週次消費量_要入力],MATCH($A4,M_RawMaterials[Part Name],0)),0)</f>
        <v/>
      </c>
      <c r="DA4">
        <f>SUMPRODUCT((M_BOM[Part Name]=$A4)*M_BOM[RM_Qty_Per_Batch]*IFERROR(INDEX(PP_Grid[#Data],M_BOM[PPGridRow],105),0))+IFERROR(INDEX(M_RawMaterials[固定週次消費量_要入力],MATCH($A4,M_RawMaterials[Part Name],0)),0)</f>
        <v/>
      </c>
    </row>
    <row r="5">
      <c r="A5" t="inlineStr">
        <is>
          <t>9RN</t>
        </is>
      </c>
      <c r="B5">
        <f>SUMPRODUCT((M_BOM[Part Name]=$A5)*M_BOM[RM_Qty_Per_Batch]*IFERROR(INDEX(PP_Grid[#Data],M_BOM[PPGridRow],2),0))+IFERROR(INDEX(M_RawMaterials[固定週次消費量_要入力],MATCH($A5,M_RawMaterials[Part Name],0)),0)</f>
        <v/>
      </c>
      <c r="C5">
        <f>SUMPRODUCT((M_BOM[Part Name]=$A5)*M_BOM[RM_Qty_Per_Batch]*IFERROR(INDEX(PP_Grid[#Data],M_BOM[PPGridRow],3),0))+IFERROR(INDEX(M_RawMaterials[固定週次消費量_要入力],MATCH($A5,M_RawMaterials[Part Name],0)),0)</f>
        <v/>
      </c>
      <c r="D5">
        <f>SUMPRODUCT((M_BOM[Part Name]=$A5)*M_BOM[RM_Qty_Per_Batch]*IFERROR(INDEX(PP_Grid[#Data],M_BOM[PPGridRow],4),0))+IFERROR(INDEX(M_RawMaterials[固定週次消費量_要入力],MATCH($A5,M_RawMaterials[Part Name],0)),0)</f>
        <v/>
      </c>
      <c r="E5">
        <f>SUMPRODUCT((M_BOM[Part Name]=$A5)*M_BOM[RM_Qty_Per_Batch]*IFERROR(INDEX(PP_Grid[#Data],M_BOM[PPGridRow],5),0))+IFERROR(INDEX(M_RawMaterials[固定週次消費量_要入力],MATCH($A5,M_RawMaterials[Part Name],0)),0)</f>
        <v/>
      </c>
      <c r="F5">
        <f>SUMPRODUCT((M_BOM[Part Name]=$A5)*M_BOM[RM_Qty_Per_Batch]*IFERROR(INDEX(PP_Grid[#Data],M_BOM[PPGridRow],6),0))+IFERROR(INDEX(M_RawMaterials[固定週次消費量_要入力],MATCH($A5,M_RawMaterials[Part Name],0)),0)</f>
        <v/>
      </c>
      <c r="G5">
        <f>SUMPRODUCT((M_BOM[Part Name]=$A5)*M_BOM[RM_Qty_Per_Batch]*IFERROR(INDEX(PP_Grid[#Data],M_BOM[PPGridRow],7),0))+IFERROR(INDEX(M_RawMaterials[固定週次消費量_要入力],MATCH($A5,M_RawMaterials[Part Name],0)),0)</f>
        <v/>
      </c>
      <c r="H5">
        <f>SUMPRODUCT((M_BOM[Part Name]=$A5)*M_BOM[RM_Qty_Per_Batch]*IFERROR(INDEX(PP_Grid[#Data],M_BOM[PPGridRow],8),0))+IFERROR(INDEX(M_RawMaterials[固定週次消費量_要入力],MATCH($A5,M_RawMaterials[Part Name],0)),0)</f>
        <v/>
      </c>
      <c r="I5">
        <f>SUMPRODUCT((M_BOM[Part Name]=$A5)*M_BOM[RM_Qty_Per_Batch]*IFERROR(INDEX(PP_Grid[#Data],M_BOM[PPGridRow],9),0))+IFERROR(INDEX(M_RawMaterials[固定週次消費量_要入力],MATCH($A5,M_RawMaterials[Part Name],0)),0)</f>
        <v/>
      </c>
      <c r="J5">
        <f>SUMPRODUCT((M_BOM[Part Name]=$A5)*M_BOM[RM_Qty_Per_Batch]*IFERROR(INDEX(PP_Grid[#Data],M_BOM[PPGridRow],10),0))+IFERROR(INDEX(M_RawMaterials[固定週次消費量_要入力],MATCH($A5,M_RawMaterials[Part Name],0)),0)</f>
        <v/>
      </c>
      <c r="K5">
        <f>SUMPRODUCT((M_BOM[Part Name]=$A5)*M_BOM[RM_Qty_Per_Batch]*IFERROR(INDEX(PP_Grid[#Data],M_BOM[PPGridRow],11),0))+IFERROR(INDEX(M_RawMaterials[固定週次消費量_要入力],MATCH($A5,M_RawMaterials[Part Name],0)),0)</f>
        <v/>
      </c>
      <c r="L5">
        <f>SUMPRODUCT((M_BOM[Part Name]=$A5)*M_BOM[RM_Qty_Per_Batch]*IFERROR(INDEX(PP_Grid[#Data],M_BOM[PPGridRow],12),0))+IFERROR(INDEX(M_RawMaterials[固定週次消費量_要入力],MATCH($A5,M_RawMaterials[Part Name],0)),0)</f>
        <v/>
      </c>
      <c r="M5">
        <f>SUMPRODUCT((M_BOM[Part Name]=$A5)*M_BOM[RM_Qty_Per_Batch]*IFERROR(INDEX(PP_Grid[#Data],M_BOM[PPGridRow],13),0))+IFERROR(INDEX(M_RawMaterials[固定週次消費量_要入力],MATCH($A5,M_RawMaterials[Part Name],0)),0)</f>
        <v/>
      </c>
      <c r="N5">
        <f>SUMPRODUCT((M_BOM[Part Name]=$A5)*M_BOM[RM_Qty_Per_Batch]*IFERROR(INDEX(PP_Grid[#Data],M_BOM[PPGridRow],14),0))+IFERROR(INDEX(M_RawMaterials[固定週次消費量_要入力],MATCH($A5,M_RawMaterials[Part Name],0)),0)</f>
        <v/>
      </c>
      <c r="O5">
        <f>SUMPRODUCT((M_BOM[Part Name]=$A5)*M_BOM[RM_Qty_Per_Batch]*IFERROR(INDEX(PP_Grid[#Data],M_BOM[PPGridRow],15),0))+IFERROR(INDEX(M_RawMaterials[固定週次消費量_要入力],MATCH($A5,M_RawMaterials[Part Name],0)),0)</f>
        <v/>
      </c>
      <c r="P5">
        <f>SUMPRODUCT((M_BOM[Part Name]=$A5)*M_BOM[RM_Qty_Per_Batch]*IFERROR(INDEX(PP_Grid[#Data],M_BOM[PPGridRow],16),0))+IFERROR(INDEX(M_RawMaterials[固定週次消費量_要入力],MATCH($A5,M_RawMaterials[Part Name],0)),0)</f>
        <v/>
      </c>
      <c r="Q5">
        <f>SUMPRODUCT((M_BOM[Part Name]=$A5)*M_BOM[RM_Qty_Per_Batch]*IFERROR(INDEX(PP_Grid[#Data],M_BOM[PPGridRow],17),0))+IFERROR(INDEX(M_RawMaterials[固定週次消費量_要入力],MATCH($A5,M_RawMaterials[Part Name],0)),0)</f>
        <v/>
      </c>
      <c r="R5">
        <f>SUMPRODUCT((M_BOM[Part Name]=$A5)*M_BOM[RM_Qty_Per_Batch]*IFERROR(INDEX(PP_Grid[#Data],M_BOM[PPGridRow],18),0))+IFERROR(INDEX(M_RawMaterials[固定週次消費量_要入力],MATCH($A5,M_RawMaterials[Part Name],0)),0)</f>
        <v/>
      </c>
      <c r="S5">
        <f>SUMPRODUCT((M_BOM[Part Name]=$A5)*M_BOM[RM_Qty_Per_Batch]*IFERROR(INDEX(PP_Grid[#Data],M_BOM[PPGridRow],19),0))+IFERROR(INDEX(M_RawMaterials[固定週次消費量_要入力],MATCH($A5,M_RawMaterials[Part Name],0)),0)</f>
        <v/>
      </c>
      <c r="T5">
        <f>SUMPRODUCT((M_BOM[Part Name]=$A5)*M_BOM[RM_Qty_Per_Batch]*IFERROR(INDEX(PP_Grid[#Data],M_BOM[PPGridRow],20),0))+IFERROR(INDEX(M_RawMaterials[固定週次消費量_要入力],MATCH($A5,M_RawMaterials[Part Name],0)),0)</f>
        <v/>
      </c>
      <c r="U5">
        <f>SUMPRODUCT((M_BOM[Part Name]=$A5)*M_BOM[RM_Qty_Per_Batch]*IFERROR(INDEX(PP_Grid[#Data],M_BOM[PPGridRow],21),0))+IFERROR(INDEX(M_RawMaterials[固定週次消費量_要入力],MATCH($A5,M_RawMaterials[Part Name],0)),0)</f>
        <v/>
      </c>
      <c r="V5">
        <f>SUMPRODUCT((M_BOM[Part Name]=$A5)*M_BOM[RM_Qty_Per_Batch]*IFERROR(INDEX(PP_Grid[#Data],M_BOM[PPGridRow],22),0))+IFERROR(INDEX(M_RawMaterials[固定週次消費量_要入力],MATCH($A5,M_RawMaterials[Part Name],0)),0)</f>
        <v/>
      </c>
      <c r="W5">
        <f>SUMPRODUCT((M_BOM[Part Name]=$A5)*M_BOM[RM_Qty_Per_Batch]*IFERROR(INDEX(PP_Grid[#Data],M_BOM[PPGridRow],23),0))+IFERROR(INDEX(M_RawMaterials[固定週次消費量_要入力],MATCH($A5,M_RawMaterials[Part Name],0)),0)</f>
        <v/>
      </c>
      <c r="X5">
        <f>SUMPRODUCT((M_BOM[Part Name]=$A5)*M_BOM[RM_Qty_Per_Batch]*IFERROR(INDEX(PP_Grid[#Data],M_BOM[PPGridRow],24),0))+IFERROR(INDEX(M_RawMaterials[固定週次消費量_要入力],MATCH($A5,M_RawMaterials[Part Name],0)),0)</f>
        <v/>
      </c>
      <c r="Y5">
        <f>SUMPRODUCT((M_BOM[Part Name]=$A5)*M_BOM[RM_Qty_Per_Batch]*IFERROR(INDEX(PP_Grid[#Data],M_BOM[PPGridRow],25),0))+IFERROR(INDEX(M_RawMaterials[固定週次消費量_要入力],MATCH($A5,M_RawMaterials[Part Name],0)),0)</f>
        <v/>
      </c>
      <c r="Z5">
        <f>SUMPRODUCT((M_BOM[Part Name]=$A5)*M_BOM[RM_Qty_Per_Batch]*IFERROR(INDEX(PP_Grid[#Data],M_BOM[PPGridRow],26),0))+IFERROR(INDEX(M_RawMaterials[固定週次消費量_要入力],MATCH($A5,M_RawMaterials[Part Name],0)),0)</f>
        <v/>
      </c>
      <c r="AA5">
        <f>SUMPRODUCT((M_BOM[Part Name]=$A5)*M_BOM[RM_Qty_Per_Batch]*IFERROR(INDEX(PP_Grid[#Data],M_BOM[PPGridRow],27),0))+IFERROR(INDEX(M_RawMaterials[固定週次消費量_要入力],MATCH($A5,M_RawMaterials[Part Name],0)),0)</f>
        <v/>
      </c>
      <c r="AB5">
        <f>SUMPRODUCT((M_BOM[Part Name]=$A5)*M_BOM[RM_Qty_Per_Batch]*IFERROR(INDEX(PP_Grid[#Data],M_BOM[PPGridRow],28),0))+IFERROR(INDEX(M_RawMaterials[固定週次消費量_要入力],MATCH($A5,M_RawMaterials[Part Name],0)),0)</f>
        <v/>
      </c>
      <c r="AC5">
        <f>SUMPRODUCT((M_BOM[Part Name]=$A5)*M_BOM[RM_Qty_Per_Batch]*IFERROR(INDEX(PP_Grid[#Data],M_BOM[PPGridRow],29),0))+IFERROR(INDEX(M_RawMaterials[固定週次消費量_要入力],MATCH($A5,M_RawMaterials[Part Name],0)),0)</f>
        <v/>
      </c>
      <c r="AD5">
        <f>SUMPRODUCT((M_BOM[Part Name]=$A5)*M_BOM[RM_Qty_Per_Batch]*IFERROR(INDEX(PP_Grid[#Data],M_BOM[PPGridRow],30),0))+IFERROR(INDEX(M_RawMaterials[固定週次消費量_要入力],MATCH($A5,M_RawMaterials[Part Name],0)),0)</f>
        <v/>
      </c>
      <c r="AE5">
        <f>SUMPRODUCT((M_BOM[Part Name]=$A5)*M_BOM[RM_Qty_Per_Batch]*IFERROR(INDEX(PP_Grid[#Data],M_BOM[PPGridRow],31),0))+IFERROR(INDEX(M_RawMaterials[固定週次消費量_要入力],MATCH($A5,M_RawMaterials[Part Name],0)),0)</f>
        <v/>
      </c>
      <c r="AF5">
        <f>SUMPRODUCT((M_BOM[Part Name]=$A5)*M_BOM[RM_Qty_Per_Batch]*IFERROR(INDEX(PP_Grid[#Data],M_BOM[PPGridRow],32),0))+IFERROR(INDEX(M_RawMaterials[固定週次消費量_要入力],MATCH($A5,M_RawMaterials[Part Name],0)),0)</f>
        <v/>
      </c>
      <c r="AG5">
        <f>SUMPRODUCT((M_BOM[Part Name]=$A5)*M_BOM[RM_Qty_Per_Batch]*IFERROR(INDEX(PP_Grid[#Data],M_BOM[PPGridRow],33),0))+IFERROR(INDEX(M_RawMaterials[固定週次消費量_要入力],MATCH($A5,M_RawMaterials[Part Name],0)),0)</f>
        <v/>
      </c>
      <c r="AH5">
        <f>SUMPRODUCT((M_BOM[Part Name]=$A5)*M_BOM[RM_Qty_Per_Batch]*IFERROR(INDEX(PP_Grid[#Data],M_BOM[PPGridRow],34),0))+IFERROR(INDEX(M_RawMaterials[固定週次消費量_要入力],MATCH($A5,M_RawMaterials[Part Name],0)),0)</f>
        <v/>
      </c>
      <c r="AI5">
        <f>SUMPRODUCT((M_BOM[Part Name]=$A5)*M_BOM[RM_Qty_Per_Batch]*IFERROR(INDEX(PP_Grid[#Data],M_BOM[PPGridRow],35),0))+IFERROR(INDEX(M_RawMaterials[固定週次消費量_要入力],MATCH($A5,M_RawMaterials[Part Name],0)),0)</f>
        <v/>
      </c>
      <c r="AJ5">
        <f>SUMPRODUCT((M_BOM[Part Name]=$A5)*M_BOM[RM_Qty_Per_Batch]*IFERROR(INDEX(PP_Grid[#Data],M_BOM[PPGridRow],36),0))+IFERROR(INDEX(M_RawMaterials[固定週次消費量_要入力],MATCH($A5,M_RawMaterials[Part Name],0)),0)</f>
        <v/>
      </c>
      <c r="AK5">
        <f>SUMPRODUCT((M_BOM[Part Name]=$A5)*M_BOM[RM_Qty_Per_Batch]*IFERROR(INDEX(PP_Grid[#Data],M_BOM[PPGridRow],37),0))+IFERROR(INDEX(M_RawMaterials[固定週次消費量_要入力],MATCH($A5,M_RawMaterials[Part Name],0)),0)</f>
        <v/>
      </c>
      <c r="AL5">
        <f>SUMPRODUCT((M_BOM[Part Name]=$A5)*M_BOM[RM_Qty_Per_Batch]*IFERROR(INDEX(PP_Grid[#Data],M_BOM[PPGridRow],38),0))+IFERROR(INDEX(M_RawMaterials[固定週次消費量_要入力],MATCH($A5,M_RawMaterials[Part Name],0)),0)</f>
        <v/>
      </c>
      <c r="AM5">
        <f>SUMPRODUCT((M_BOM[Part Name]=$A5)*M_BOM[RM_Qty_Per_Batch]*IFERROR(INDEX(PP_Grid[#Data],M_BOM[PPGridRow],39),0))+IFERROR(INDEX(M_RawMaterials[固定週次消費量_要入力],MATCH($A5,M_RawMaterials[Part Name],0)),0)</f>
        <v/>
      </c>
      <c r="AN5">
        <f>SUMPRODUCT((M_BOM[Part Name]=$A5)*M_BOM[RM_Qty_Per_Batch]*IFERROR(INDEX(PP_Grid[#Data],M_BOM[PPGridRow],40),0))+IFERROR(INDEX(M_RawMaterials[固定週次消費量_要入力],MATCH($A5,M_RawMaterials[Part Name],0)),0)</f>
        <v/>
      </c>
      <c r="AO5">
        <f>SUMPRODUCT((M_BOM[Part Name]=$A5)*M_BOM[RM_Qty_Per_Batch]*IFERROR(INDEX(PP_Grid[#Data],M_BOM[PPGridRow],41),0))+IFERROR(INDEX(M_RawMaterials[固定週次消費量_要入力],MATCH($A5,M_RawMaterials[Part Name],0)),0)</f>
        <v/>
      </c>
      <c r="AP5">
        <f>SUMPRODUCT((M_BOM[Part Name]=$A5)*M_BOM[RM_Qty_Per_Batch]*IFERROR(INDEX(PP_Grid[#Data],M_BOM[PPGridRow],42),0))+IFERROR(INDEX(M_RawMaterials[固定週次消費量_要入力],MATCH($A5,M_RawMaterials[Part Name],0)),0)</f>
        <v/>
      </c>
      <c r="AQ5">
        <f>SUMPRODUCT((M_BOM[Part Name]=$A5)*M_BOM[RM_Qty_Per_Batch]*IFERROR(INDEX(PP_Grid[#Data],M_BOM[PPGridRow],43),0))+IFERROR(INDEX(M_RawMaterials[固定週次消費量_要入力],MATCH($A5,M_RawMaterials[Part Name],0)),0)</f>
        <v/>
      </c>
      <c r="AR5">
        <f>SUMPRODUCT((M_BOM[Part Name]=$A5)*M_BOM[RM_Qty_Per_Batch]*IFERROR(INDEX(PP_Grid[#Data],M_BOM[PPGridRow],44),0))+IFERROR(INDEX(M_RawMaterials[固定週次消費量_要入力],MATCH($A5,M_RawMaterials[Part Name],0)),0)</f>
        <v/>
      </c>
      <c r="AS5">
        <f>SUMPRODUCT((M_BOM[Part Name]=$A5)*M_BOM[RM_Qty_Per_Batch]*IFERROR(INDEX(PP_Grid[#Data],M_BOM[PPGridRow],45),0))+IFERROR(INDEX(M_RawMaterials[固定週次消費量_要入力],MATCH($A5,M_RawMaterials[Part Name],0)),0)</f>
        <v/>
      </c>
      <c r="AT5">
        <f>SUMPRODUCT((M_BOM[Part Name]=$A5)*M_BOM[RM_Qty_Per_Batch]*IFERROR(INDEX(PP_Grid[#Data],M_BOM[PPGridRow],46),0))+IFERROR(INDEX(M_RawMaterials[固定週次消費量_要入力],MATCH($A5,M_RawMaterials[Part Name],0)),0)</f>
        <v/>
      </c>
      <c r="AU5">
        <f>SUMPRODUCT((M_BOM[Part Name]=$A5)*M_BOM[RM_Qty_Per_Batch]*IFERROR(INDEX(PP_Grid[#Data],M_BOM[PPGridRow],47),0))+IFERROR(INDEX(M_RawMaterials[固定週次消費量_要入力],MATCH($A5,M_RawMaterials[Part Name],0)),0)</f>
        <v/>
      </c>
      <c r="AV5">
        <f>SUMPRODUCT((M_BOM[Part Name]=$A5)*M_BOM[RM_Qty_Per_Batch]*IFERROR(INDEX(PP_Grid[#Data],M_BOM[PPGridRow],48),0))+IFERROR(INDEX(M_RawMaterials[固定週次消費量_要入力],MATCH($A5,M_RawMaterials[Part Name],0)),0)</f>
        <v/>
      </c>
      <c r="AW5">
        <f>SUMPRODUCT((M_BOM[Part Name]=$A5)*M_BOM[RM_Qty_Per_Batch]*IFERROR(INDEX(PP_Grid[#Data],M_BOM[PPGridRow],49),0))+IFERROR(INDEX(M_RawMaterials[固定週次消費量_要入力],MATCH($A5,M_RawMaterials[Part Name],0)),0)</f>
        <v/>
      </c>
      <c r="AX5">
        <f>SUMPRODUCT((M_BOM[Part Name]=$A5)*M_BOM[RM_Qty_Per_Batch]*IFERROR(INDEX(PP_Grid[#Data],M_BOM[PPGridRow],50),0))+IFERROR(INDEX(M_RawMaterials[固定週次消費量_要入力],MATCH($A5,M_RawMaterials[Part Name],0)),0)</f>
        <v/>
      </c>
      <c r="AY5">
        <f>SUMPRODUCT((M_BOM[Part Name]=$A5)*M_BOM[RM_Qty_Per_Batch]*IFERROR(INDEX(PP_Grid[#Data],M_BOM[PPGridRow],51),0))+IFERROR(INDEX(M_RawMaterials[固定週次消費量_要入力],MATCH($A5,M_RawMaterials[Part Name],0)),0)</f>
        <v/>
      </c>
      <c r="AZ5">
        <f>SUMPRODUCT((M_BOM[Part Name]=$A5)*M_BOM[RM_Qty_Per_Batch]*IFERROR(INDEX(PP_Grid[#Data],M_BOM[PPGridRow],52),0))+IFERROR(INDEX(M_RawMaterials[固定週次消費量_要入力],MATCH($A5,M_RawMaterials[Part Name],0)),0)</f>
        <v/>
      </c>
      <c r="BA5">
        <f>SUMPRODUCT((M_BOM[Part Name]=$A5)*M_BOM[RM_Qty_Per_Batch]*IFERROR(INDEX(PP_Grid[#Data],M_BOM[PPGridRow],53),0))+IFERROR(INDEX(M_RawMaterials[固定週次消費量_要入力],MATCH($A5,M_RawMaterials[Part Name],0)),0)</f>
        <v/>
      </c>
      <c r="BB5">
        <f>SUMPRODUCT((M_BOM[Part Name]=$A5)*M_BOM[RM_Qty_Per_Batch]*IFERROR(INDEX(PP_Grid[#Data],M_BOM[PPGridRow],54),0))+IFERROR(INDEX(M_RawMaterials[固定週次消費量_要入力],MATCH($A5,M_RawMaterials[Part Name],0)),0)</f>
        <v/>
      </c>
      <c r="BC5">
        <f>SUMPRODUCT((M_BOM[Part Name]=$A5)*M_BOM[RM_Qty_Per_Batch]*IFERROR(INDEX(PP_Grid[#Data],M_BOM[PPGridRow],55),0))+IFERROR(INDEX(M_RawMaterials[固定週次消費量_要入力],MATCH($A5,M_RawMaterials[Part Name],0)),0)</f>
        <v/>
      </c>
      <c r="BD5">
        <f>SUMPRODUCT((M_BOM[Part Name]=$A5)*M_BOM[RM_Qty_Per_Batch]*IFERROR(INDEX(PP_Grid[#Data],M_BOM[PPGridRow],56),0))+IFERROR(INDEX(M_RawMaterials[固定週次消費量_要入力],MATCH($A5,M_RawMaterials[Part Name],0)),0)</f>
        <v/>
      </c>
      <c r="BE5">
        <f>SUMPRODUCT((M_BOM[Part Name]=$A5)*M_BOM[RM_Qty_Per_Batch]*IFERROR(INDEX(PP_Grid[#Data],M_BOM[PPGridRow],57),0))+IFERROR(INDEX(M_RawMaterials[固定週次消費量_要入力],MATCH($A5,M_RawMaterials[Part Name],0)),0)</f>
        <v/>
      </c>
      <c r="BF5">
        <f>SUMPRODUCT((M_BOM[Part Name]=$A5)*M_BOM[RM_Qty_Per_Batch]*IFERROR(INDEX(PP_Grid[#Data],M_BOM[PPGridRow],58),0))+IFERROR(INDEX(M_RawMaterials[固定週次消費量_要入力],MATCH($A5,M_RawMaterials[Part Name],0)),0)</f>
        <v/>
      </c>
      <c r="BG5">
        <f>SUMPRODUCT((M_BOM[Part Name]=$A5)*M_BOM[RM_Qty_Per_Batch]*IFERROR(INDEX(PP_Grid[#Data],M_BOM[PPGridRow],59),0))+IFERROR(INDEX(M_RawMaterials[固定週次消費量_要入力],MATCH($A5,M_RawMaterials[Part Name],0)),0)</f>
        <v/>
      </c>
      <c r="BH5">
        <f>SUMPRODUCT((M_BOM[Part Name]=$A5)*M_BOM[RM_Qty_Per_Batch]*IFERROR(INDEX(PP_Grid[#Data],M_BOM[PPGridRow],60),0))+IFERROR(INDEX(M_RawMaterials[固定週次消費量_要入力],MATCH($A5,M_RawMaterials[Part Name],0)),0)</f>
        <v/>
      </c>
      <c r="BI5">
        <f>SUMPRODUCT((M_BOM[Part Name]=$A5)*M_BOM[RM_Qty_Per_Batch]*IFERROR(INDEX(PP_Grid[#Data],M_BOM[PPGridRow],61),0))+IFERROR(INDEX(M_RawMaterials[固定週次消費量_要入力],MATCH($A5,M_RawMaterials[Part Name],0)),0)</f>
        <v/>
      </c>
      <c r="BJ5">
        <f>SUMPRODUCT((M_BOM[Part Name]=$A5)*M_BOM[RM_Qty_Per_Batch]*IFERROR(INDEX(PP_Grid[#Data],M_BOM[PPGridRow],62),0))+IFERROR(INDEX(M_RawMaterials[固定週次消費量_要入力],MATCH($A5,M_RawMaterials[Part Name],0)),0)</f>
        <v/>
      </c>
      <c r="BK5">
        <f>SUMPRODUCT((M_BOM[Part Name]=$A5)*M_BOM[RM_Qty_Per_Batch]*IFERROR(INDEX(PP_Grid[#Data],M_BOM[PPGridRow],63),0))+IFERROR(INDEX(M_RawMaterials[固定週次消費量_要入力],MATCH($A5,M_RawMaterials[Part Name],0)),0)</f>
        <v/>
      </c>
      <c r="BL5">
        <f>SUMPRODUCT((M_BOM[Part Name]=$A5)*M_BOM[RM_Qty_Per_Batch]*IFERROR(INDEX(PP_Grid[#Data],M_BOM[PPGridRow],64),0))+IFERROR(INDEX(M_RawMaterials[固定週次消費量_要入力],MATCH($A5,M_RawMaterials[Part Name],0)),0)</f>
        <v/>
      </c>
      <c r="BM5">
        <f>SUMPRODUCT((M_BOM[Part Name]=$A5)*M_BOM[RM_Qty_Per_Batch]*IFERROR(INDEX(PP_Grid[#Data],M_BOM[PPGridRow],65),0))+IFERROR(INDEX(M_RawMaterials[固定週次消費量_要入力],MATCH($A5,M_RawMaterials[Part Name],0)),0)</f>
        <v/>
      </c>
      <c r="BN5">
        <f>SUMPRODUCT((M_BOM[Part Name]=$A5)*M_BOM[RM_Qty_Per_Batch]*IFERROR(INDEX(PP_Grid[#Data],M_BOM[PPGridRow],66),0))+IFERROR(INDEX(M_RawMaterials[固定週次消費量_要入力],MATCH($A5,M_RawMaterials[Part Name],0)),0)</f>
        <v/>
      </c>
      <c r="BO5">
        <f>SUMPRODUCT((M_BOM[Part Name]=$A5)*M_BOM[RM_Qty_Per_Batch]*IFERROR(INDEX(PP_Grid[#Data],M_BOM[PPGridRow],67),0))+IFERROR(INDEX(M_RawMaterials[固定週次消費量_要入力],MATCH($A5,M_RawMaterials[Part Name],0)),0)</f>
        <v/>
      </c>
      <c r="BP5">
        <f>SUMPRODUCT((M_BOM[Part Name]=$A5)*M_BOM[RM_Qty_Per_Batch]*IFERROR(INDEX(PP_Grid[#Data],M_BOM[PPGridRow],68),0))+IFERROR(INDEX(M_RawMaterials[固定週次消費量_要入力],MATCH($A5,M_RawMaterials[Part Name],0)),0)</f>
        <v/>
      </c>
      <c r="BQ5">
        <f>SUMPRODUCT((M_BOM[Part Name]=$A5)*M_BOM[RM_Qty_Per_Batch]*IFERROR(INDEX(PP_Grid[#Data],M_BOM[PPGridRow],69),0))+IFERROR(INDEX(M_RawMaterials[固定週次消費量_要入力],MATCH($A5,M_RawMaterials[Part Name],0)),0)</f>
        <v/>
      </c>
      <c r="BR5">
        <f>SUMPRODUCT((M_BOM[Part Name]=$A5)*M_BOM[RM_Qty_Per_Batch]*IFERROR(INDEX(PP_Grid[#Data],M_BOM[PPGridRow],70),0))+IFERROR(INDEX(M_RawMaterials[固定週次消費量_要入力],MATCH($A5,M_RawMaterials[Part Name],0)),0)</f>
        <v/>
      </c>
      <c r="BS5">
        <f>SUMPRODUCT((M_BOM[Part Name]=$A5)*M_BOM[RM_Qty_Per_Batch]*IFERROR(INDEX(PP_Grid[#Data],M_BOM[PPGridRow],71),0))+IFERROR(INDEX(M_RawMaterials[固定週次消費量_要入力],MATCH($A5,M_RawMaterials[Part Name],0)),0)</f>
        <v/>
      </c>
      <c r="BT5">
        <f>SUMPRODUCT((M_BOM[Part Name]=$A5)*M_BOM[RM_Qty_Per_Batch]*IFERROR(INDEX(PP_Grid[#Data],M_BOM[PPGridRow],72),0))+IFERROR(INDEX(M_RawMaterials[固定週次消費量_要入力],MATCH($A5,M_RawMaterials[Part Name],0)),0)</f>
        <v/>
      </c>
      <c r="BU5">
        <f>SUMPRODUCT((M_BOM[Part Name]=$A5)*M_BOM[RM_Qty_Per_Batch]*IFERROR(INDEX(PP_Grid[#Data],M_BOM[PPGridRow],73),0))+IFERROR(INDEX(M_RawMaterials[固定週次消費量_要入力],MATCH($A5,M_RawMaterials[Part Name],0)),0)</f>
        <v/>
      </c>
      <c r="BV5">
        <f>SUMPRODUCT((M_BOM[Part Name]=$A5)*M_BOM[RM_Qty_Per_Batch]*IFERROR(INDEX(PP_Grid[#Data],M_BOM[PPGridRow],74),0))+IFERROR(INDEX(M_RawMaterials[固定週次消費量_要入力],MATCH($A5,M_RawMaterials[Part Name],0)),0)</f>
        <v/>
      </c>
      <c r="BW5">
        <f>SUMPRODUCT((M_BOM[Part Name]=$A5)*M_BOM[RM_Qty_Per_Batch]*IFERROR(INDEX(PP_Grid[#Data],M_BOM[PPGridRow],75),0))+IFERROR(INDEX(M_RawMaterials[固定週次消費量_要入力],MATCH($A5,M_RawMaterials[Part Name],0)),0)</f>
        <v/>
      </c>
      <c r="BX5">
        <f>SUMPRODUCT((M_BOM[Part Name]=$A5)*M_BOM[RM_Qty_Per_Batch]*IFERROR(INDEX(PP_Grid[#Data],M_BOM[PPGridRow],76),0))+IFERROR(INDEX(M_RawMaterials[固定週次消費量_要入力],MATCH($A5,M_RawMaterials[Part Name],0)),0)</f>
        <v/>
      </c>
      <c r="BY5">
        <f>SUMPRODUCT((M_BOM[Part Name]=$A5)*M_BOM[RM_Qty_Per_Batch]*IFERROR(INDEX(PP_Grid[#Data],M_BOM[PPGridRow],77),0))+IFERROR(INDEX(M_RawMaterials[固定週次消費量_要入力],MATCH($A5,M_RawMaterials[Part Name],0)),0)</f>
        <v/>
      </c>
      <c r="BZ5">
        <f>SUMPRODUCT((M_BOM[Part Name]=$A5)*M_BOM[RM_Qty_Per_Batch]*IFERROR(INDEX(PP_Grid[#Data],M_BOM[PPGridRow],78),0))+IFERROR(INDEX(M_RawMaterials[固定週次消費量_要入力],MATCH($A5,M_RawMaterials[Part Name],0)),0)</f>
        <v/>
      </c>
      <c r="CA5">
        <f>SUMPRODUCT((M_BOM[Part Name]=$A5)*M_BOM[RM_Qty_Per_Batch]*IFERROR(INDEX(PP_Grid[#Data],M_BOM[PPGridRow],79),0))+IFERROR(INDEX(M_RawMaterials[固定週次消費量_要入力],MATCH($A5,M_RawMaterials[Part Name],0)),0)</f>
        <v/>
      </c>
      <c r="CB5">
        <f>SUMPRODUCT((M_BOM[Part Name]=$A5)*M_BOM[RM_Qty_Per_Batch]*IFERROR(INDEX(PP_Grid[#Data],M_BOM[PPGridRow],80),0))+IFERROR(INDEX(M_RawMaterials[固定週次消費量_要入力],MATCH($A5,M_RawMaterials[Part Name],0)),0)</f>
        <v/>
      </c>
      <c r="CC5">
        <f>SUMPRODUCT((M_BOM[Part Name]=$A5)*M_BOM[RM_Qty_Per_Batch]*IFERROR(INDEX(PP_Grid[#Data],M_BOM[PPGridRow],81),0))+IFERROR(INDEX(M_RawMaterials[固定週次消費量_要入力],MATCH($A5,M_RawMaterials[Part Name],0)),0)</f>
        <v/>
      </c>
      <c r="CD5">
        <f>SUMPRODUCT((M_BOM[Part Name]=$A5)*M_BOM[RM_Qty_Per_Batch]*IFERROR(INDEX(PP_Grid[#Data],M_BOM[PPGridRow],82),0))+IFERROR(INDEX(M_RawMaterials[固定週次消費量_要入力],MATCH($A5,M_RawMaterials[Part Name],0)),0)</f>
        <v/>
      </c>
      <c r="CE5">
        <f>SUMPRODUCT((M_BOM[Part Name]=$A5)*M_BOM[RM_Qty_Per_Batch]*IFERROR(INDEX(PP_Grid[#Data],M_BOM[PPGridRow],83),0))+IFERROR(INDEX(M_RawMaterials[固定週次消費量_要入力],MATCH($A5,M_RawMaterials[Part Name],0)),0)</f>
        <v/>
      </c>
      <c r="CF5">
        <f>SUMPRODUCT((M_BOM[Part Name]=$A5)*M_BOM[RM_Qty_Per_Batch]*IFERROR(INDEX(PP_Grid[#Data],M_BOM[PPGridRow],84),0))+IFERROR(INDEX(M_RawMaterials[固定週次消費量_要入力],MATCH($A5,M_RawMaterials[Part Name],0)),0)</f>
        <v/>
      </c>
      <c r="CG5">
        <f>SUMPRODUCT((M_BOM[Part Name]=$A5)*M_BOM[RM_Qty_Per_Batch]*IFERROR(INDEX(PP_Grid[#Data],M_BOM[PPGridRow],85),0))+IFERROR(INDEX(M_RawMaterials[固定週次消費量_要入力],MATCH($A5,M_RawMaterials[Part Name],0)),0)</f>
        <v/>
      </c>
      <c r="CH5">
        <f>SUMPRODUCT((M_BOM[Part Name]=$A5)*M_BOM[RM_Qty_Per_Batch]*IFERROR(INDEX(PP_Grid[#Data],M_BOM[PPGridRow],86),0))+IFERROR(INDEX(M_RawMaterials[固定週次消費量_要入力],MATCH($A5,M_RawMaterials[Part Name],0)),0)</f>
        <v/>
      </c>
      <c r="CI5">
        <f>SUMPRODUCT((M_BOM[Part Name]=$A5)*M_BOM[RM_Qty_Per_Batch]*IFERROR(INDEX(PP_Grid[#Data],M_BOM[PPGridRow],87),0))+IFERROR(INDEX(M_RawMaterials[固定週次消費量_要入力],MATCH($A5,M_RawMaterials[Part Name],0)),0)</f>
        <v/>
      </c>
      <c r="CJ5">
        <f>SUMPRODUCT((M_BOM[Part Name]=$A5)*M_BOM[RM_Qty_Per_Batch]*IFERROR(INDEX(PP_Grid[#Data],M_BOM[PPGridRow],88),0))+IFERROR(INDEX(M_RawMaterials[固定週次消費量_要入力],MATCH($A5,M_RawMaterials[Part Name],0)),0)</f>
        <v/>
      </c>
      <c r="CK5">
        <f>SUMPRODUCT((M_BOM[Part Name]=$A5)*M_BOM[RM_Qty_Per_Batch]*IFERROR(INDEX(PP_Grid[#Data],M_BOM[PPGridRow],89),0))+IFERROR(INDEX(M_RawMaterials[固定週次消費量_要入力],MATCH($A5,M_RawMaterials[Part Name],0)),0)</f>
        <v/>
      </c>
      <c r="CL5">
        <f>SUMPRODUCT((M_BOM[Part Name]=$A5)*M_BOM[RM_Qty_Per_Batch]*IFERROR(INDEX(PP_Grid[#Data],M_BOM[PPGridRow],90),0))+IFERROR(INDEX(M_RawMaterials[固定週次消費量_要入力],MATCH($A5,M_RawMaterials[Part Name],0)),0)</f>
        <v/>
      </c>
      <c r="CM5">
        <f>SUMPRODUCT((M_BOM[Part Name]=$A5)*M_BOM[RM_Qty_Per_Batch]*IFERROR(INDEX(PP_Grid[#Data],M_BOM[PPGridRow],91),0))+IFERROR(INDEX(M_RawMaterials[固定週次消費量_要入力],MATCH($A5,M_RawMaterials[Part Name],0)),0)</f>
        <v/>
      </c>
      <c r="CN5">
        <f>SUMPRODUCT((M_BOM[Part Name]=$A5)*M_BOM[RM_Qty_Per_Batch]*IFERROR(INDEX(PP_Grid[#Data],M_BOM[PPGridRow],92),0))+IFERROR(INDEX(M_RawMaterials[固定週次消費量_要入力],MATCH($A5,M_RawMaterials[Part Name],0)),0)</f>
        <v/>
      </c>
      <c r="CO5">
        <f>SUMPRODUCT((M_BOM[Part Name]=$A5)*M_BOM[RM_Qty_Per_Batch]*IFERROR(INDEX(PP_Grid[#Data],M_BOM[PPGridRow],93),0))+IFERROR(INDEX(M_RawMaterials[固定週次消費量_要入力],MATCH($A5,M_RawMaterials[Part Name],0)),0)</f>
        <v/>
      </c>
      <c r="CP5">
        <f>SUMPRODUCT((M_BOM[Part Name]=$A5)*M_BOM[RM_Qty_Per_Batch]*IFERROR(INDEX(PP_Grid[#Data],M_BOM[PPGridRow],94),0))+IFERROR(INDEX(M_RawMaterials[固定週次消費量_要入力],MATCH($A5,M_RawMaterials[Part Name],0)),0)</f>
        <v/>
      </c>
      <c r="CQ5">
        <f>SUMPRODUCT((M_BOM[Part Name]=$A5)*M_BOM[RM_Qty_Per_Batch]*IFERROR(INDEX(PP_Grid[#Data],M_BOM[PPGridRow],95),0))+IFERROR(INDEX(M_RawMaterials[固定週次消費量_要入力],MATCH($A5,M_RawMaterials[Part Name],0)),0)</f>
        <v/>
      </c>
      <c r="CR5">
        <f>SUMPRODUCT((M_BOM[Part Name]=$A5)*M_BOM[RM_Qty_Per_Batch]*IFERROR(INDEX(PP_Grid[#Data],M_BOM[PPGridRow],96),0))+IFERROR(INDEX(M_RawMaterials[固定週次消費量_要入力],MATCH($A5,M_RawMaterials[Part Name],0)),0)</f>
        <v/>
      </c>
      <c r="CS5">
        <f>SUMPRODUCT((M_BOM[Part Name]=$A5)*M_BOM[RM_Qty_Per_Batch]*IFERROR(INDEX(PP_Grid[#Data],M_BOM[PPGridRow],97),0))+IFERROR(INDEX(M_RawMaterials[固定週次消費量_要入力],MATCH($A5,M_RawMaterials[Part Name],0)),0)</f>
        <v/>
      </c>
      <c r="CT5">
        <f>SUMPRODUCT((M_BOM[Part Name]=$A5)*M_BOM[RM_Qty_Per_Batch]*IFERROR(INDEX(PP_Grid[#Data],M_BOM[PPGridRow],98),0))+IFERROR(INDEX(M_RawMaterials[固定週次消費量_要入力],MATCH($A5,M_RawMaterials[Part Name],0)),0)</f>
        <v/>
      </c>
      <c r="CU5">
        <f>SUMPRODUCT((M_BOM[Part Name]=$A5)*M_BOM[RM_Qty_Per_Batch]*IFERROR(INDEX(PP_Grid[#Data],M_BOM[PPGridRow],99),0))+IFERROR(INDEX(M_RawMaterials[固定週次消費量_要入力],MATCH($A5,M_RawMaterials[Part Name],0)),0)</f>
        <v/>
      </c>
      <c r="CV5">
        <f>SUMPRODUCT((M_BOM[Part Name]=$A5)*M_BOM[RM_Qty_Per_Batch]*IFERROR(INDEX(PP_Grid[#Data],M_BOM[PPGridRow],100),0))+IFERROR(INDEX(M_RawMaterials[固定週次消費量_要入力],MATCH($A5,M_RawMaterials[Part Name],0)),0)</f>
        <v/>
      </c>
      <c r="CW5">
        <f>SUMPRODUCT((M_BOM[Part Name]=$A5)*M_BOM[RM_Qty_Per_Batch]*IFERROR(INDEX(PP_Grid[#Data],M_BOM[PPGridRow],101),0))+IFERROR(INDEX(M_RawMaterials[固定週次消費量_要入力],MATCH($A5,M_RawMaterials[Part Name],0)),0)</f>
        <v/>
      </c>
      <c r="CX5">
        <f>SUMPRODUCT((M_BOM[Part Name]=$A5)*M_BOM[RM_Qty_Per_Batch]*IFERROR(INDEX(PP_Grid[#Data],M_BOM[PPGridRow],102),0))+IFERROR(INDEX(M_RawMaterials[固定週次消費量_要入力],MATCH($A5,M_RawMaterials[Part Name],0)),0)</f>
        <v/>
      </c>
      <c r="CY5">
        <f>SUMPRODUCT((M_BOM[Part Name]=$A5)*M_BOM[RM_Qty_Per_Batch]*IFERROR(INDEX(PP_Grid[#Data],M_BOM[PPGridRow],103),0))+IFERROR(INDEX(M_RawMaterials[固定週次消費量_要入力],MATCH($A5,M_RawMaterials[Part Name],0)),0)</f>
        <v/>
      </c>
      <c r="CZ5">
        <f>SUMPRODUCT((M_BOM[Part Name]=$A5)*M_BOM[RM_Qty_Per_Batch]*IFERROR(INDEX(PP_Grid[#Data],M_BOM[PPGridRow],104),0))+IFERROR(INDEX(M_RawMaterials[固定週次消費量_要入力],MATCH($A5,M_RawMaterials[Part Name],0)),0)</f>
        <v/>
      </c>
      <c r="DA5">
        <f>SUMPRODUCT((M_BOM[Part Name]=$A5)*M_BOM[RM_Qty_Per_Batch]*IFERROR(INDEX(PP_Grid[#Data],M_BOM[PPGridRow],105),0))+IFERROR(INDEX(M_RawMaterials[固定週次消費量_要入力],MATCH($A5,M_RawMaterials[Part Name],0)),0)</f>
        <v/>
      </c>
    </row>
    <row r="6">
      <c r="A6" t="inlineStr">
        <is>
          <t>7CL</t>
        </is>
      </c>
      <c r="B6">
        <f>SUMPRODUCT((M_BOM[Part Name]=$A6)*M_BOM[RM_Qty_Per_Batch]*IFERROR(INDEX(PP_Grid[#Data],M_BOM[PPGridRow],2),0))+IFERROR(INDEX(M_RawMaterials[固定週次消費量_要入力],MATCH($A6,M_RawMaterials[Part Name],0)),0)</f>
        <v/>
      </c>
      <c r="C6">
        <f>SUMPRODUCT((M_BOM[Part Name]=$A6)*M_BOM[RM_Qty_Per_Batch]*IFERROR(INDEX(PP_Grid[#Data],M_BOM[PPGridRow],3),0))+IFERROR(INDEX(M_RawMaterials[固定週次消費量_要入力],MATCH($A6,M_RawMaterials[Part Name],0)),0)</f>
        <v/>
      </c>
      <c r="D6">
        <f>SUMPRODUCT((M_BOM[Part Name]=$A6)*M_BOM[RM_Qty_Per_Batch]*IFERROR(INDEX(PP_Grid[#Data],M_BOM[PPGridRow],4),0))+IFERROR(INDEX(M_RawMaterials[固定週次消費量_要入力],MATCH($A6,M_RawMaterials[Part Name],0)),0)</f>
        <v/>
      </c>
      <c r="E6">
        <f>SUMPRODUCT((M_BOM[Part Name]=$A6)*M_BOM[RM_Qty_Per_Batch]*IFERROR(INDEX(PP_Grid[#Data],M_BOM[PPGridRow],5),0))+IFERROR(INDEX(M_RawMaterials[固定週次消費量_要入力],MATCH($A6,M_RawMaterials[Part Name],0)),0)</f>
        <v/>
      </c>
      <c r="F6">
        <f>SUMPRODUCT((M_BOM[Part Name]=$A6)*M_BOM[RM_Qty_Per_Batch]*IFERROR(INDEX(PP_Grid[#Data],M_BOM[PPGridRow],6),0))+IFERROR(INDEX(M_RawMaterials[固定週次消費量_要入力],MATCH($A6,M_RawMaterials[Part Name],0)),0)</f>
        <v/>
      </c>
      <c r="G6">
        <f>SUMPRODUCT((M_BOM[Part Name]=$A6)*M_BOM[RM_Qty_Per_Batch]*IFERROR(INDEX(PP_Grid[#Data],M_BOM[PPGridRow],7),0))+IFERROR(INDEX(M_RawMaterials[固定週次消費量_要入力],MATCH($A6,M_RawMaterials[Part Name],0)),0)</f>
        <v/>
      </c>
      <c r="H6">
        <f>SUMPRODUCT((M_BOM[Part Name]=$A6)*M_BOM[RM_Qty_Per_Batch]*IFERROR(INDEX(PP_Grid[#Data],M_BOM[PPGridRow],8),0))+IFERROR(INDEX(M_RawMaterials[固定週次消費量_要入力],MATCH($A6,M_RawMaterials[Part Name],0)),0)</f>
        <v/>
      </c>
      <c r="I6">
        <f>SUMPRODUCT((M_BOM[Part Name]=$A6)*M_BOM[RM_Qty_Per_Batch]*IFERROR(INDEX(PP_Grid[#Data],M_BOM[PPGridRow],9),0))+IFERROR(INDEX(M_RawMaterials[固定週次消費量_要入力],MATCH($A6,M_RawMaterials[Part Name],0)),0)</f>
        <v/>
      </c>
      <c r="J6">
        <f>SUMPRODUCT((M_BOM[Part Name]=$A6)*M_BOM[RM_Qty_Per_Batch]*IFERROR(INDEX(PP_Grid[#Data],M_BOM[PPGridRow],10),0))+IFERROR(INDEX(M_RawMaterials[固定週次消費量_要入力],MATCH($A6,M_RawMaterials[Part Name],0)),0)</f>
        <v/>
      </c>
      <c r="K6">
        <f>SUMPRODUCT((M_BOM[Part Name]=$A6)*M_BOM[RM_Qty_Per_Batch]*IFERROR(INDEX(PP_Grid[#Data],M_BOM[PPGridRow],11),0))+IFERROR(INDEX(M_RawMaterials[固定週次消費量_要入力],MATCH($A6,M_RawMaterials[Part Name],0)),0)</f>
        <v/>
      </c>
      <c r="L6">
        <f>SUMPRODUCT((M_BOM[Part Name]=$A6)*M_BOM[RM_Qty_Per_Batch]*IFERROR(INDEX(PP_Grid[#Data],M_BOM[PPGridRow],12),0))+IFERROR(INDEX(M_RawMaterials[固定週次消費量_要入力],MATCH($A6,M_RawMaterials[Part Name],0)),0)</f>
        <v/>
      </c>
      <c r="M6">
        <f>SUMPRODUCT((M_BOM[Part Name]=$A6)*M_BOM[RM_Qty_Per_Batch]*IFERROR(INDEX(PP_Grid[#Data],M_BOM[PPGridRow],13),0))+IFERROR(INDEX(M_RawMaterials[固定週次消費量_要入力],MATCH($A6,M_RawMaterials[Part Name],0)),0)</f>
        <v/>
      </c>
      <c r="N6">
        <f>SUMPRODUCT((M_BOM[Part Name]=$A6)*M_BOM[RM_Qty_Per_Batch]*IFERROR(INDEX(PP_Grid[#Data],M_BOM[PPGridRow],14),0))+IFERROR(INDEX(M_RawMaterials[固定週次消費量_要入力],MATCH($A6,M_RawMaterials[Part Name],0)),0)</f>
        <v/>
      </c>
      <c r="O6">
        <f>SUMPRODUCT((M_BOM[Part Name]=$A6)*M_BOM[RM_Qty_Per_Batch]*IFERROR(INDEX(PP_Grid[#Data],M_BOM[PPGridRow],15),0))+IFERROR(INDEX(M_RawMaterials[固定週次消費量_要入力],MATCH($A6,M_RawMaterials[Part Name],0)),0)</f>
        <v/>
      </c>
      <c r="P6">
        <f>SUMPRODUCT((M_BOM[Part Name]=$A6)*M_BOM[RM_Qty_Per_Batch]*IFERROR(INDEX(PP_Grid[#Data],M_BOM[PPGridRow],16),0))+IFERROR(INDEX(M_RawMaterials[固定週次消費量_要入力],MATCH($A6,M_RawMaterials[Part Name],0)),0)</f>
        <v/>
      </c>
      <c r="Q6">
        <f>SUMPRODUCT((M_BOM[Part Name]=$A6)*M_BOM[RM_Qty_Per_Batch]*IFERROR(INDEX(PP_Grid[#Data],M_BOM[PPGridRow],17),0))+IFERROR(INDEX(M_RawMaterials[固定週次消費量_要入力],MATCH($A6,M_RawMaterials[Part Name],0)),0)</f>
        <v/>
      </c>
      <c r="R6">
        <f>SUMPRODUCT((M_BOM[Part Name]=$A6)*M_BOM[RM_Qty_Per_Batch]*IFERROR(INDEX(PP_Grid[#Data],M_BOM[PPGridRow],18),0))+IFERROR(INDEX(M_RawMaterials[固定週次消費量_要入力],MATCH($A6,M_RawMaterials[Part Name],0)),0)</f>
        <v/>
      </c>
      <c r="S6">
        <f>SUMPRODUCT((M_BOM[Part Name]=$A6)*M_BOM[RM_Qty_Per_Batch]*IFERROR(INDEX(PP_Grid[#Data],M_BOM[PPGridRow],19),0))+IFERROR(INDEX(M_RawMaterials[固定週次消費量_要入力],MATCH($A6,M_RawMaterials[Part Name],0)),0)</f>
        <v/>
      </c>
      <c r="T6">
        <f>SUMPRODUCT((M_BOM[Part Name]=$A6)*M_BOM[RM_Qty_Per_Batch]*IFERROR(INDEX(PP_Grid[#Data],M_BOM[PPGridRow],20),0))+IFERROR(INDEX(M_RawMaterials[固定週次消費量_要入力],MATCH($A6,M_RawMaterials[Part Name],0)),0)</f>
        <v/>
      </c>
      <c r="U6">
        <f>SUMPRODUCT((M_BOM[Part Name]=$A6)*M_BOM[RM_Qty_Per_Batch]*IFERROR(INDEX(PP_Grid[#Data],M_BOM[PPGridRow],21),0))+IFERROR(INDEX(M_RawMaterials[固定週次消費量_要入力],MATCH($A6,M_RawMaterials[Part Name],0)),0)</f>
        <v/>
      </c>
      <c r="V6">
        <f>SUMPRODUCT((M_BOM[Part Name]=$A6)*M_BOM[RM_Qty_Per_Batch]*IFERROR(INDEX(PP_Grid[#Data],M_BOM[PPGridRow],22),0))+IFERROR(INDEX(M_RawMaterials[固定週次消費量_要入力],MATCH($A6,M_RawMaterials[Part Name],0)),0)</f>
        <v/>
      </c>
      <c r="W6">
        <f>SUMPRODUCT((M_BOM[Part Name]=$A6)*M_BOM[RM_Qty_Per_Batch]*IFERROR(INDEX(PP_Grid[#Data],M_BOM[PPGridRow],23),0))+IFERROR(INDEX(M_RawMaterials[固定週次消費量_要入力],MATCH($A6,M_RawMaterials[Part Name],0)),0)</f>
        <v/>
      </c>
      <c r="X6">
        <f>SUMPRODUCT((M_BOM[Part Name]=$A6)*M_BOM[RM_Qty_Per_Batch]*IFERROR(INDEX(PP_Grid[#Data],M_BOM[PPGridRow],24),0))+IFERROR(INDEX(M_RawMaterials[固定週次消費量_要入力],MATCH($A6,M_RawMaterials[Part Name],0)),0)</f>
        <v/>
      </c>
      <c r="Y6">
        <f>SUMPRODUCT((M_BOM[Part Name]=$A6)*M_BOM[RM_Qty_Per_Batch]*IFERROR(INDEX(PP_Grid[#Data],M_BOM[PPGridRow],25),0))+IFERROR(INDEX(M_RawMaterials[固定週次消費量_要入力],MATCH($A6,M_RawMaterials[Part Name],0)),0)</f>
        <v/>
      </c>
      <c r="Z6">
        <f>SUMPRODUCT((M_BOM[Part Name]=$A6)*M_BOM[RM_Qty_Per_Batch]*IFERROR(INDEX(PP_Grid[#Data],M_BOM[PPGridRow],26),0))+IFERROR(INDEX(M_RawMaterials[固定週次消費量_要入力],MATCH($A6,M_RawMaterials[Part Name],0)),0)</f>
        <v/>
      </c>
      <c r="AA6">
        <f>SUMPRODUCT((M_BOM[Part Name]=$A6)*M_BOM[RM_Qty_Per_Batch]*IFERROR(INDEX(PP_Grid[#Data],M_BOM[PPGridRow],27),0))+IFERROR(INDEX(M_RawMaterials[固定週次消費量_要入力],MATCH($A6,M_RawMaterials[Part Name],0)),0)</f>
        <v/>
      </c>
      <c r="AB6">
        <f>SUMPRODUCT((M_BOM[Part Name]=$A6)*M_BOM[RM_Qty_Per_Batch]*IFERROR(INDEX(PP_Grid[#Data],M_BOM[PPGridRow],28),0))+IFERROR(INDEX(M_RawMaterials[固定週次消費量_要入力],MATCH($A6,M_RawMaterials[Part Name],0)),0)</f>
        <v/>
      </c>
      <c r="AC6">
        <f>SUMPRODUCT((M_BOM[Part Name]=$A6)*M_BOM[RM_Qty_Per_Batch]*IFERROR(INDEX(PP_Grid[#Data],M_BOM[PPGridRow],29),0))+IFERROR(INDEX(M_RawMaterials[固定週次消費量_要入力],MATCH($A6,M_RawMaterials[Part Name],0)),0)</f>
        <v/>
      </c>
      <c r="AD6">
        <f>SUMPRODUCT((M_BOM[Part Name]=$A6)*M_BOM[RM_Qty_Per_Batch]*IFERROR(INDEX(PP_Grid[#Data],M_BOM[PPGridRow],30),0))+IFERROR(INDEX(M_RawMaterials[固定週次消費量_要入力],MATCH($A6,M_RawMaterials[Part Name],0)),0)</f>
        <v/>
      </c>
      <c r="AE6">
        <f>SUMPRODUCT((M_BOM[Part Name]=$A6)*M_BOM[RM_Qty_Per_Batch]*IFERROR(INDEX(PP_Grid[#Data],M_BOM[PPGridRow],31),0))+IFERROR(INDEX(M_RawMaterials[固定週次消費量_要入力],MATCH($A6,M_RawMaterials[Part Name],0)),0)</f>
        <v/>
      </c>
      <c r="AF6">
        <f>SUMPRODUCT((M_BOM[Part Name]=$A6)*M_BOM[RM_Qty_Per_Batch]*IFERROR(INDEX(PP_Grid[#Data],M_BOM[PPGridRow],32),0))+IFERROR(INDEX(M_RawMaterials[固定週次消費量_要入力],MATCH($A6,M_RawMaterials[Part Name],0)),0)</f>
        <v/>
      </c>
      <c r="AG6">
        <f>SUMPRODUCT((M_BOM[Part Name]=$A6)*M_BOM[RM_Qty_Per_Batch]*IFERROR(INDEX(PP_Grid[#Data],M_BOM[PPGridRow],33),0))+IFERROR(INDEX(M_RawMaterials[固定週次消費量_要入力],MATCH($A6,M_RawMaterials[Part Name],0)),0)</f>
        <v/>
      </c>
      <c r="AH6">
        <f>SUMPRODUCT((M_BOM[Part Name]=$A6)*M_BOM[RM_Qty_Per_Batch]*IFERROR(INDEX(PP_Grid[#Data],M_BOM[PPGridRow],34),0))+IFERROR(INDEX(M_RawMaterials[固定週次消費量_要入力],MATCH($A6,M_RawMaterials[Part Name],0)),0)</f>
        <v/>
      </c>
      <c r="AI6">
        <f>SUMPRODUCT((M_BOM[Part Name]=$A6)*M_BOM[RM_Qty_Per_Batch]*IFERROR(INDEX(PP_Grid[#Data],M_BOM[PPGridRow],35),0))+IFERROR(INDEX(M_RawMaterials[固定週次消費量_要入力],MATCH($A6,M_RawMaterials[Part Name],0)),0)</f>
        <v/>
      </c>
      <c r="AJ6">
        <f>SUMPRODUCT((M_BOM[Part Name]=$A6)*M_BOM[RM_Qty_Per_Batch]*IFERROR(INDEX(PP_Grid[#Data],M_BOM[PPGridRow],36),0))+IFERROR(INDEX(M_RawMaterials[固定週次消費量_要入力],MATCH($A6,M_RawMaterials[Part Name],0)),0)</f>
        <v/>
      </c>
      <c r="AK6">
        <f>SUMPRODUCT((M_BOM[Part Name]=$A6)*M_BOM[RM_Qty_Per_Batch]*IFERROR(INDEX(PP_Grid[#Data],M_BOM[PPGridRow],37),0))+IFERROR(INDEX(M_RawMaterials[固定週次消費量_要入力],MATCH($A6,M_RawMaterials[Part Name],0)),0)</f>
        <v/>
      </c>
      <c r="AL6">
        <f>SUMPRODUCT((M_BOM[Part Name]=$A6)*M_BOM[RM_Qty_Per_Batch]*IFERROR(INDEX(PP_Grid[#Data],M_BOM[PPGridRow],38),0))+IFERROR(INDEX(M_RawMaterials[固定週次消費量_要入力],MATCH($A6,M_RawMaterials[Part Name],0)),0)</f>
        <v/>
      </c>
      <c r="AM6">
        <f>SUMPRODUCT((M_BOM[Part Name]=$A6)*M_BOM[RM_Qty_Per_Batch]*IFERROR(INDEX(PP_Grid[#Data],M_BOM[PPGridRow],39),0))+IFERROR(INDEX(M_RawMaterials[固定週次消費量_要入力],MATCH($A6,M_RawMaterials[Part Name],0)),0)</f>
        <v/>
      </c>
      <c r="AN6">
        <f>SUMPRODUCT((M_BOM[Part Name]=$A6)*M_BOM[RM_Qty_Per_Batch]*IFERROR(INDEX(PP_Grid[#Data],M_BOM[PPGridRow],40),0))+IFERROR(INDEX(M_RawMaterials[固定週次消費量_要入力],MATCH($A6,M_RawMaterials[Part Name],0)),0)</f>
        <v/>
      </c>
      <c r="AO6">
        <f>SUMPRODUCT((M_BOM[Part Name]=$A6)*M_BOM[RM_Qty_Per_Batch]*IFERROR(INDEX(PP_Grid[#Data],M_BOM[PPGridRow],41),0))+IFERROR(INDEX(M_RawMaterials[固定週次消費量_要入力],MATCH($A6,M_RawMaterials[Part Name],0)),0)</f>
        <v/>
      </c>
      <c r="AP6">
        <f>SUMPRODUCT((M_BOM[Part Name]=$A6)*M_BOM[RM_Qty_Per_Batch]*IFERROR(INDEX(PP_Grid[#Data],M_BOM[PPGridRow],42),0))+IFERROR(INDEX(M_RawMaterials[固定週次消費量_要入力],MATCH($A6,M_RawMaterials[Part Name],0)),0)</f>
        <v/>
      </c>
      <c r="AQ6">
        <f>SUMPRODUCT((M_BOM[Part Name]=$A6)*M_BOM[RM_Qty_Per_Batch]*IFERROR(INDEX(PP_Grid[#Data],M_BOM[PPGridRow],43),0))+IFERROR(INDEX(M_RawMaterials[固定週次消費量_要入力],MATCH($A6,M_RawMaterials[Part Name],0)),0)</f>
        <v/>
      </c>
      <c r="AR6">
        <f>SUMPRODUCT((M_BOM[Part Name]=$A6)*M_BOM[RM_Qty_Per_Batch]*IFERROR(INDEX(PP_Grid[#Data],M_BOM[PPGridRow],44),0))+IFERROR(INDEX(M_RawMaterials[固定週次消費量_要入力],MATCH($A6,M_RawMaterials[Part Name],0)),0)</f>
        <v/>
      </c>
      <c r="AS6">
        <f>SUMPRODUCT((M_BOM[Part Name]=$A6)*M_BOM[RM_Qty_Per_Batch]*IFERROR(INDEX(PP_Grid[#Data],M_BOM[PPGridRow],45),0))+IFERROR(INDEX(M_RawMaterials[固定週次消費量_要入力],MATCH($A6,M_RawMaterials[Part Name],0)),0)</f>
        <v/>
      </c>
      <c r="AT6">
        <f>SUMPRODUCT((M_BOM[Part Name]=$A6)*M_BOM[RM_Qty_Per_Batch]*IFERROR(INDEX(PP_Grid[#Data],M_BOM[PPGridRow],46),0))+IFERROR(INDEX(M_RawMaterials[固定週次消費量_要入力],MATCH($A6,M_RawMaterials[Part Name],0)),0)</f>
        <v/>
      </c>
      <c r="AU6">
        <f>SUMPRODUCT((M_BOM[Part Name]=$A6)*M_BOM[RM_Qty_Per_Batch]*IFERROR(INDEX(PP_Grid[#Data],M_BOM[PPGridRow],47),0))+IFERROR(INDEX(M_RawMaterials[固定週次消費量_要入力],MATCH($A6,M_RawMaterials[Part Name],0)),0)</f>
        <v/>
      </c>
      <c r="AV6">
        <f>SUMPRODUCT((M_BOM[Part Name]=$A6)*M_BOM[RM_Qty_Per_Batch]*IFERROR(INDEX(PP_Grid[#Data],M_BOM[PPGridRow],48),0))+IFERROR(INDEX(M_RawMaterials[固定週次消費量_要入力],MATCH($A6,M_RawMaterials[Part Name],0)),0)</f>
        <v/>
      </c>
      <c r="AW6">
        <f>SUMPRODUCT((M_BOM[Part Name]=$A6)*M_BOM[RM_Qty_Per_Batch]*IFERROR(INDEX(PP_Grid[#Data],M_BOM[PPGridRow],49),0))+IFERROR(INDEX(M_RawMaterials[固定週次消費量_要入力],MATCH($A6,M_RawMaterials[Part Name],0)),0)</f>
        <v/>
      </c>
      <c r="AX6">
        <f>SUMPRODUCT((M_BOM[Part Name]=$A6)*M_BOM[RM_Qty_Per_Batch]*IFERROR(INDEX(PP_Grid[#Data],M_BOM[PPGridRow],50),0))+IFERROR(INDEX(M_RawMaterials[固定週次消費量_要入力],MATCH($A6,M_RawMaterials[Part Name],0)),0)</f>
        <v/>
      </c>
      <c r="AY6">
        <f>SUMPRODUCT((M_BOM[Part Name]=$A6)*M_BOM[RM_Qty_Per_Batch]*IFERROR(INDEX(PP_Grid[#Data],M_BOM[PPGridRow],51),0))+IFERROR(INDEX(M_RawMaterials[固定週次消費量_要入力],MATCH($A6,M_RawMaterials[Part Name],0)),0)</f>
        <v/>
      </c>
      <c r="AZ6">
        <f>SUMPRODUCT((M_BOM[Part Name]=$A6)*M_BOM[RM_Qty_Per_Batch]*IFERROR(INDEX(PP_Grid[#Data],M_BOM[PPGridRow],52),0))+IFERROR(INDEX(M_RawMaterials[固定週次消費量_要入力],MATCH($A6,M_RawMaterials[Part Name],0)),0)</f>
        <v/>
      </c>
      <c r="BA6">
        <f>SUMPRODUCT((M_BOM[Part Name]=$A6)*M_BOM[RM_Qty_Per_Batch]*IFERROR(INDEX(PP_Grid[#Data],M_BOM[PPGridRow],53),0))+IFERROR(INDEX(M_RawMaterials[固定週次消費量_要入力],MATCH($A6,M_RawMaterials[Part Name],0)),0)</f>
        <v/>
      </c>
      <c r="BB6">
        <f>SUMPRODUCT((M_BOM[Part Name]=$A6)*M_BOM[RM_Qty_Per_Batch]*IFERROR(INDEX(PP_Grid[#Data],M_BOM[PPGridRow],54),0))+IFERROR(INDEX(M_RawMaterials[固定週次消費量_要入力],MATCH($A6,M_RawMaterials[Part Name],0)),0)</f>
        <v/>
      </c>
      <c r="BC6">
        <f>SUMPRODUCT((M_BOM[Part Name]=$A6)*M_BOM[RM_Qty_Per_Batch]*IFERROR(INDEX(PP_Grid[#Data],M_BOM[PPGridRow],55),0))+IFERROR(INDEX(M_RawMaterials[固定週次消費量_要入力],MATCH($A6,M_RawMaterials[Part Name],0)),0)</f>
        <v/>
      </c>
      <c r="BD6">
        <f>SUMPRODUCT((M_BOM[Part Name]=$A6)*M_BOM[RM_Qty_Per_Batch]*IFERROR(INDEX(PP_Grid[#Data],M_BOM[PPGridRow],56),0))+IFERROR(INDEX(M_RawMaterials[固定週次消費量_要入力],MATCH($A6,M_RawMaterials[Part Name],0)),0)</f>
        <v/>
      </c>
      <c r="BE6">
        <f>SUMPRODUCT((M_BOM[Part Name]=$A6)*M_BOM[RM_Qty_Per_Batch]*IFERROR(INDEX(PP_Grid[#Data],M_BOM[PPGridRow],57),0))+IFERROR(INDEX(M_RawMaterials[固定週次消費量_要入力],MATCH($A6,M_RawMaterials[Part Name],0)),0)</f>
        <v/>
      </c>
      <c r="BF6">
        <f>SUMPRODUCT((M_BOM[Part Name]=$A6)*M_BOM[RM_Qty_Per_Batch]*IFERROR(INDEX(PP_Grid[#Data],M_BOM[PPGridRow],58),0))+IFERROR(INDEX(M_RawMaterials[固定週次消費量_要入力],MATCH($A6,M_RawMaterials[Part Name],0)),0)</f>
        <v/>
      </c>
      <c r="BG6">
        <f>SUMPRODUCT((M_BOM[Part Name]=$A6)*M_BOM[RM_Qty_Per_Batch]*IFERROR(INDEX(PP_Grid[#Data],M_BOM[PPGridRow],59),0))+IFERROR(INDEX(M_RawMaterials[固定週次消費量_要入力],MATCH($A6,M_RawMaterials[Part Name],0)),0)</f>
        <v/>
      </c>
      <c r="BH6">
        <f>SUMPRODUCT((M_BOM[Part Name]=$A6)*M_BOM[RM_Qty_Per_Batch]*IFERROR(INDEX(PP_Grid[#Data],M_BOM[PPGridRow],60),0))+IFERROR(INDEX(M_RawMaterials[固定週次消費量_要入力],MATCH($A6,M_RawMaterials[Part Name],0)),0)</f>
        <v/>
      </c>
      <c r="BI6">
        <f>SUMPRODUCT((M_BOM[Part Name]=$A6)*M_BOM[RM_Qty_Per_Batch]*IFERROR(INDEX(PP_Grid[#Data],M_BOM[PPGridRow],61),0))+IFERROR(INDEX(M_RawMaterials[固定週次消費量_要入力],MATCH($A6,M_RawMaterials[Part Name],0)),0)</f>
        <v/>
      </c>
      <c r="BJ6">
        <f>SUMPRODUCT((M_BOM[Part Name]=$A6)*M_BOM[RM_Qty_Per_Batch]*IFERROR(INDEX(PP_Grid[#Data],M_BOM[PPGridRow],62),0))+IFERROR(INDEX(M_RawMaterials[固定週次消費量_要入力],MATCH($A6,M_RawMaterials[Part Name],0)),0)</f>
        <v/>
      </c>
      <c r="BK6">
        <f>SUMPRODUCT((M_BOM[Part Name]=$A6)*M_BOM[RM_Qty_Per_Batch]*IFERROR(INDEX(PP_Grid[#Data],M_BOM[PPGridRow],63),0))+IFERROR(INDEX(M_RawMaterials[固定週次消費量_要入力],MATCH($A6,M_RawMaterials[Part Name],0)),0)</f>
        <v/>
      </c>
      <c r="BL6">
        <f>SUMPRODUCT((M_BOM[Part Name]=$A6)*M_BOM[RM_Qty_Per_Batch]*IFERROR(INDEX(PP_Grid[#Data],M_BOM[PPGridRow],64),0))+IFERROR(INDEX(M_RawMaterials[固定週次消費量_要入力],MATCH($A6,M_RawMaterials[Part Name],0)),0)</f>
        <v/>
      </c>
      <c r="BM6">
        <f>SUMPRODUCT((M_BOM[Part Name]=$A6)*M_BOM[RM_Qty_Per_Batch]*IFERROR(INDEX(PP_Grid[#Data],M_BOM[PPGridRow],65),0))+IFERROR(INDEX(M_RawMaterials[固定週次消費量_要入力],MATCH($A6,M_RawMaterials[Part Name],0)),0)</f>
        <v/>
      </c>
      <c r="BN6">
        <f>SUMPRODUCT((M_BOM[Part Name]=$A6)*M_BOM[RM_Qty_Per_Batch]*IFERROR(INDEX(PP_Grid[#Data],M_BOM[PPGridRow],66),0))+IFERROR(INDEX(M_RawMaterials[固定週次消費量_要入力],MATCH($A6,M_RawMaterials[Part Name],0)),0)</f>
        <v/>
      </c>
      <c r="BO6">
        <f>SUMPRODUCT((M_BOM[Part Name]=$A6)*M_BOM[RM_Qty_Per_Batch]*IFERROR(INDEX(PP_Grid[#Data],M_BOM[PPGridRow],67),0))+IFERROR(INDEX(M_RawMaterials[固定週次消費量_要入力],MATCH($A6,M_RawMaterials[Part Name],0)),0)</f>
        <v/>
      </c>
      <c r="BP6">
        <f>SUMPRODUCT((M_BOM[Part Name]=$A6)*M_BOM[RM_Qty_Per_Batch]*IFERROR(INDEX(PP_Grid[#Data],M_BOM[PPGridRow],68),0))+IFERROR(INDEX(M_RawMaterials[固定週次消費量_要入力],MATCH($A6,M_RawMaterials[Part Name],0)),0)</f>
        <v/>
      </c>
      <c r="BQ6">
        <f>SUMPRODUCT((M_BOM[Part Name]=$A6)*M_BOM[RM_Qty_Per_Batch]*IFERROR(INDEX(PP_Grid[#Data],M_BOM[PPGridRow],69),0))+IFERROR(INDEX(M_RawMaterials[固定週次消費量_要入力],MATCH($A6,M_RawMaterials[Part Name],0)),0)</f>
        <v/>
      </c>
      <c r="BR6">
        <f>SUMPRODUCT((M_BOM[Part Name]=$A6)*M_BOM[RM_Qty_Per_Batch]*IFERROR(INDEX(PP_Grid[#Data],M_BOM[PPGridRow],70),0))+IFERROR(INDEX(M_RawMaterials[固定週次消費量_要入力],MATCH($A6,M_RawMaterials[Part Name],0)),0)</f>
        <v/>
      </c>
      <c r="BS6">
        <f>SUMPRODUCT((M_BOM[Part Name]=$A6)*M_BOM[RM_Qty_Per_Batch]*IFERROR(INDEX(PP_Grid[#Data],M_BOM[PPGridRow],71),0))+IFERROR(INDEX(M_RawMaterials[固定週次消費量_要入力],MATCH($A6,M_RawMaterials[Part Name],0)),0)</f>
        <v/>
      </c>
      <c r="BT6">
        <f>SUMPRODUCT((M_BOM[Part Name]=$A6)*M_BOM[RM_Qty_Per_Batch]*IFERROR(INDEX(PP_Grid[#Data],M_BOM[PPGridRow],72),0))+IFERROR(INDEX(M_RawMaterials[固定週次消費量_要入力],MATCH($A6,M_RawMaterials[Part Name],0)),0)</f>
        <v/>
      </c>
      <c r="BU6">
        <f>SUMPRODUCT((M_BOM[Part Name]=$A6)*M_BOM[RM_Qty_Per_Batch]*IFERROR(INDEX(PP_Grid[#Data],M_BOM[PPGridRow],73),0))+IFERROR(INDEX(M_RawMaterials[固定週次消費量_要入力],MATCH($A6,M_RawMaterials[Part Name],0)),0)</f>
        <v/>
      </c>
      <c r="BV6">
        <f>SUMPRODUCT((M_BOM[Part Name]=$A6)*M_BOM[RM_Qty_Per_Batch]*IFERROR(INDEX(PP_Grid[#Data],M_BOM[PPGridRow],74),0))+IFERROR(INDEX(M_RawMaterials[固定週次消費量_要入力],MATCH($A6,M_RawMaterials[Part Name],0)),0)</f>
        <v/>
      </c>
      <c r="BW6">
        <f>SUMPRODUCT((M_BOM[Part Name]=$A6)*M_BOM[RM_Qty_Per_Batch]*IFERROR(INDEX(PP_Grid[#Data],M_BOM[PPGridRow],75),0))+IFERROR(INDEX(M_RawMaterials[固定週次消費量_要入力],MATCH($A6,M_RawMaterials[Part Name],0)),0)</f>
        <v/>
      </c>
      <c r="BX6">
        <f>SUMPRODUCT((M_BOM[Part Name]=$A6)*M_BOM[RM_Qty_Per_Batch]*IFERROR(INDEX(PP_Grid[#Data],M_BOM[PPGridRow],76),0))+IFERROR(INDEX(M_RawMaterials[固定週次消費量_要入力],MATCH($A6,M_RawMaterials[Part Name],0)),0)</f>
        <v/>
      </c>
      <c r="BY6">
        <f>SUMPRODUCT((M_BOM[Part Name]=$A6)*M_BOM[RM_Qty_Per_Batch]*IFERROR(INDEX(PP_Grid[#Data],M_BOM[PPGridRow],77),0))+IFERROR(INDEX(M_RawMaterials[固定週次消費量_要入力],MATCH($A6,M_RawMaterials[Part Name],0)),0)</f>
        <v/>
      </c>
      <c r="BZ6">
        <f>SUMPRODUCT((M_BOM[Part Name]=$A6)*M_BOM[RM_Qty_Per_Batch]*IFERROR(INDEX(PP_Grid[#Data],M_BOM[PPGridRow],78),0))+IFERROR(INDEX(M_RawMaterials[固定週次消費量_要入力],MATCH($A6,M_RawMaterials[Part Name],0)),0)</f>
        <v/>
      </c>
      <c r="CA6">
        <f>SUMPRODUCT((M_BOM[Part Name]=$A6)*M_BOM[RM_Qty_Per_Batch]*IFERROR(INDEX(PP_Grid[#Data],M_BOM[PPGridRow],79),0))+IFERROR(INDEX(M_RawMaterials[固定週次消費量_要入力],MATCH($A6,M_RawMaterials[Part Name],0)),0)</f>
        <v/>
      </c>
      <c r="CB6">
        <f>SUMPRODUCT((M_BOM[Part Name]=$A6)*M_BOM[RM_Qty_Per_Batch]*IFERROR(INDEX(PP_Grid[#Data],M_BOM[PPGridRow],80),0))+IFERROR(INDEX(M_RawMaterials[固定週次消費量_要入力],MATCH($A6,M_RawMaterials[Part Name],0)),0)</f>
        <v/>
      </c>
      <c r="CC6">
        <f>SUMPRODUCT((M_BOM[Part Name]=$A6)*M_BOM[RM_Qty_Per_Batch]*IFERROR(INDEX(PP_Grid[#Data],M_BOM[PPGridRow],81),0))+IFERROR(INDEX(M_RawMaterials[固定週次消費量_要入力],MATCH($A6,M_RawMaterials[Part Name],0)),0)</f>
        <v/>
      </c>
      <c r="CD6">
        <f>SUMPRODUCT((M_BOM[Part Name]=$A6)*M_BOM[RM_Qty_Per_Batch]*IFERROR(INDEX(PP_Grid[#Data],M_BOM[PPGridRow],82),0))+IFERROR(INDEX(M_RawMaterials[固定週次消費量_要入力],MATCH($A6,M_RawMaterials[Part Name],0)),0)</f>
        <v/>
      </c>
      <c r="CE6">
        <f>SUMPRODUCT((M_BOM[Part Name]=$A6)*M_BOM[RM_Qty_Per_Batch]*IFERROR(INDEX(PP_Grid[#Data],M_BOM[PPGridRow],83),0))+IFERROR(INDEX(M_RawMaterials[固定週次消費量_要入力],MATCH($A6,M_RawMaterials[Part Name],0)),0)</f>
        <v/>
      </c>
      <c r="CF6">
        <f>SUMPRODUCT((M_BOM[Part Name]=$A6)*M_BOM[RM_Qty_Per_Batch]*IFERROR(INDEX(PP_Grid[#Data],M_BOM[PPGridRow],84),0))+IFERROR(INDEX(M_RawMaterials[固定週次消費量_要入力],MATCH($A6,M_RawMaterials[Part Name],0)),0)</f>
        <v/>
      </c>
      <c r="CG6">
        <f>SUMPRODUCT((M_BOM[Part Name]=$A6)*M_BOM[RM_Qty_Per_Batch]*IFERROR(INDEX(PP_Grid[#Data],M_BOM[PPGridRow],85),0))+IFERROR(INDEX(M_RawMaterials[固定週次消費量_要入力],MATCH($A6,M_RawMaterials[Part Name],0)),0)</f>
        <v/>
      </c>
      <c r="CH6">
        <f>SUMPRODUCT((M_BOM[Part Name]=$A6)*M_BOM[RM_Qty_Per_Batch]*IFERROR(INDEX(PP_Grid[#Data],M_BOM[PPGridRow],86),0))+IFERROR(INDEX(M_RawMaterials[固定週次消費量_要入力],MATCH($A6,M_RawMaterials[Part Name],0)),0)</f>
        <v/>
      </c>
      <c r="CI6">
        <f>SUMPRODUCT((M_BOM[Part Name]=$A6)*M_BOM[RM_Qty_Per_Batch]*IFERROR(INDEX(PP_Grid[#Data],M_BOM[PPGridRow],87),0))+IFERROR(INDEX(M_RawMaterials[固定週次消費量_要入力],MATCH($A6,M_RawMaterials[Part Name],0)),0)</f>
        <v/>
      </c>
      <c r="CJ6">
        <f>SUMPRODUCT((M_BOM[Part Name]=$A6)*M_BOM[RM_Qty_Per_Batch]*IFERROR(INDEX(PP_Grid[#Data],M_BOM[PPGridRow],88),0))+IFERROR(INDEX(M_RawMaterials[固定週次消費量_要入力],MATCH($A6,M_RawMaterials[Part Name],0)),0)</f>
        <v/>
      </c>
      <c r="CK6">
        <f>SUMPRODUCT((M_BOM[Part Name]=$A6)*M_BOM[RM_Qty_Per_Batch]*IFERROR(INDEX(PP_Grid[#Data],M_BOM[PPGridRow],89),0))+IFERROR(INDEX(M_RawMaterials[固定週次消費量_要入力],MATCH($A6,M_RawMaterials[Part Name],0)),0)</f>
        <v/>
      </c>
      <c r="CL6">
        <f>SUMPRODUCT((M_BOM[Part Name]=$A6)*M_BOM[RM_Qty_Per_Batch]*IFERROR(INDEX(PP_Grid[#Data],M_BOM[PPGridRow],90),0))+IFERROR(INDEX(M_RawMaterials[固定週次消費量_要入力],MATCH($A6,M_RawMaterials[Part Name],0)),0)</f>
        <v/>
      </c>
      <c r="CM6">
        <f>SUMPRODUCT((M_BOM[Part Name]=$A6)*M_BOM[RM_Qty_Per_Batch]*IFERROR(INDEX(PP_Grid[#Data],M_BOM[PPGridRow],91),0))+IFERROR(INDEX(M_RawMaterials[固定週次消費量_要入力],MATCH($A6,M_RawMaterials[Part Name],0)),0)</f>
        <v/>
      </c>
      <c r="CN6">
        <f>SUMPRODUCT((M_BOM[Part Name]=$A6)*M_BOM[RM_Qty_Per_Batch]*IFERROR(INDEX(PP_Grid[#Data],M_BOM[PPGridRow],92),0))+IFERROR(INDEX(M_RawMaterials[固定週次消費量_要入力],MATCH($A6,M_RawMaterials[Part Name],0)),0)</f>
        <v/>
      </c>
      <c r="CO6">
        <f>SUMPRODUCT((M_BOM[Part Name]=$A6)*M_BOM[RM_Qty_Per_Batch]*IFERROR(INDEX(PP_Grid[#Data],M_BOM[PPGridRow],93),0))+IFERROR(INDEX(M_RawMaterials[固定週次消費量_要入力],MATCH($A6,M_RawMaterials[Part Name],0)),0)</f>
        <v/>
      </c>
      <c r="CP6">
        <f>SUMPRODUCT((M_BOM[Part Name]=$A6)*M_BOM[RM_Qty_Per_Batch]*IFERROR(INDEX(PP_Grid[#Data],M_BOM[PPGridRow],94),0))+IFERROR(INDEX(M_RawMaterials[固定週次消費量_要入力],MATCH($A6,M_RawMaterials[Part Name],0)),0)</f>
        <v/>
      </c>
      <c r="CQ6">
        <f>SUMPRODUCT((M_BOM[Part Name]=$A6)*M_BOM[RM_Qty_Per_Batch]*IFERROR(INDEX(PP_Grid[#Data],M_BOM[PPGridRow],95),0))+IFERROR(INDEX(M_RawMaterials[固定週次消費量_要入力],MATCH($A6,M_RawMaterials[Part Name],0)),0)</f>
        <v/>
      </c>
      <c r="CR6">
        <f>SUMPRODUCT((M_BOM[Part Name]=$A6)*M_BOM[RM_Qty_Per_Batch]*IFERROR(INDEX(PP_Grid[#Data],M_BOM[PPGridRow],96),0))+IFERROR(INDEX(M_RawMaterials[固定週次消費量_要入力],MATCH($A6,M_RawMaterials[Part Name],0)),0)</f>
        <v/>
      </c>
      <c r="CS6">
        <f>SUMPRODUCT((M_BOM[Part Name]=$A6)*M_BOM[RM_Qty_Per_Batch]*IFERROR(INDEX(PP_Grid[#Data],M_BOM[PPGridRow],97),0))+IFERROR(INDEX(M_RawMaterials[固定週次消費量_要入力],MATCH($A6,M_RawMaterials[Part Name],0)),0)</f>
        <v/>
      </c>
      <c r="CT6">
        <f>SUMPRODUCT((M_BOM[Part Name]=$A6)*M_BOM[RM_Qty_Per_Batch]*IFERROR(INDEX(PP_Grid[#Data],M_BOM[PPGridRow],98),0))+IFERROR(INDEX(M_RawMaterials[固定週次消費量_要入力],MATCH($A6,M_RawMaterials[Part Name],0)),0)</f>
        <v/>
      </c>
      <c r="CU6">
        <f>SUMPRODUCT((M_BOM[Part Name]=$A6)*M_BOM[RM_Qty_Per_Batch]*IFERROR(INDEX(PP_Grid[#Data],M_BOM[PPGridRow],99),0))+IFERROR(INDEX(M_RawMaterials[固定週次消費量_要入力],MATCH($A6,M_RawMaterials[Part Name],0)),0)</f>
        <v/>
      </c>
      <c r="CV6">
        <f>SUMPRODUCT((M_BOM[Part Name]=$A6)*M_BOM[RM_Qty_Per_Batch]*IFERROR(INDEX(PP_Grid[#Data],M_BOM[PPGridRow],100),0))+IFERROR(INDEX(M_RawMaterials[固定週次消費量_要入力],MATCH($A6,M_RawMaterials[Part Name],0)),0)</f>
        <v/>
      </c>
      <c r="CW6">
        <f>SUMPRODUCT((M_BOM[Part Name]=$A6)*M_BOM[RM_Qty_Per_Batch]*IFERROR(INDEX(PP_Grid[#Data],M_BOM[PPGridRow],101),0))+IFERROR(INDEX(M_RawMaterials[固定週次消費量_要入力],MATCH($A6,M_RawMaterials[Part Name],0)),0)</f>
        <v/>
      </c>
      <c r="CX6">
        <f>SUMPRODUCT((M_BOM[Part Name]=$A6)*M_BOM[RM_Qty_Per_Batch]*IFERROR(INDEX(PP_Grid[#Data],M_BOM[PPGridRow],102),0))+IFERROR(INDEX(M_RawMaterials[固定週次消費量_要入力],MATCH($A6,M_RawMaterials[Part Name],0)),0)</f>
        <v/>
      </c>
      <c r="CY6">
        <f>SUMPRODUCT((M_BOM[Part Name]=$A6)*M_BOM[RM_Qty_Per_Batch]*IFERROR(INDEX(PP_Grid[#Data],M_BOM[PPGridRow],103),0))+IFERROR(INDEX(M_RawMaterials[固定週次消費量_要入力],MATCH($A6,M_RawMaterials[Part Name],0)),0)</f>
        <v/>
      </c>
      <c r="CZ6">
        <f>SUMPRODUCT((M_BOM[Part Name]=$A6)*M_BOM[RM_Qty_Per_Batch]*IFERROR(INDEX(PP_Grid[#Data],M_BOM[PPGridRow],104),0))+IFERROR(INDEX(M_RawMaterials[固定週次消費量_要入力],MATCH($A6,M_RawMaterials[Part Name],0)),0)</f>
        <v/>
      </c>
      <c r="DA6">
        <f>SUMPRODUCT((M_BOM[Part Name]=$A6)*M_BOM[RM_Qty_Per_Batch]*IFERROR(INDEX(PP_Grid[#Data],M_BOM[PPGridRow],105),0))+IFERROR(INDEX(M_RawMaterials[固定週次消費量_要入力],MATCH($A6,M_RawMaterials[Part Name],0)),0)</f>
        <v/>
      </c>
    </row>
    <row r="7">
      <c r="A7" t="inlineStr">
        <is>
          <t>OJN</t>
        </is>
      </c>
      <c r="B7">
        <f>SUMPRODUCT((M_BOM[Part Name]=$A7)*M_BOM[RM_Qty_Per_Batch]*IFERROR(INDEX(PP_Grid[#Data],M_BOM[PPGridRow],2),0))+IFERROR(INDEX(M_RawMaterials[固定週次消費量_要入力],MATCH($A7,M_RawMaterials[Part Name],0)),0)</f>
        <v/>
      </c>
      <c r="C7">
        <f>SUMPRODUCT((M_BOM[Part Name]=$A7)*M_BOM[RM_Qty_Per_Batch]*IFERROR(INDEX(PP_Grid[#Data],M_BOM[PPGridRow],3),0))+IFERROR(INDEX(M_RawMaterials[固定週次消費量_要入力],MATCH($A7,M_RawMaterials[Part Name],0)),0)</f>
        <v/>
      </c>
      <c r="D7">
        <f>SUMPRODUCT((M_BOM[Part Name]=$A7)*M_BOM[RM_Qty_Per_Batch]*IFERROR(INDEX(PP_Grid[#Data],M_BOM[PPGridRow],4),0))+IFERROR(INDEX(M_RawMaterials[固定週次消費量_要入力],MATCH($A7,M_RawMaterials[Part Name],0)),0)</f>
        <v/>
      </c>
      <c r="E7">
        <f>SUMPRODUCT((M_BOM[Part Name]=$A7)*M_BOM[RM_Qty_Per_Batch]*IFERROR(INDEX(PP_Grid[#Data],M_BOM[PPGridRow],5),0))+IFERROR(INDEX(M_RawMaterials[固定週次消費量_要入力],MATCH($A7,M_RawMaterials[Part Name],0)),0)</f>
        <v/>
      </c>
      <c r="F7">
        <f>SUMPRODUCT((M_BOM[Part Name]=$A7)*M_BOM[RM_Qty_Per_Batch]*IFERROR(INDEX(PP_Grid[#Data],M_BOM[PPGridRow],6),0))+IFERROR(INDEX(M_RawMaterials[固定週次消費量_要入力],MATCH($A7,M_RawMaterials[Part Name],0)),0)</f>
        <v/>
      </c>
      <c r="G7">
        <f>SUMPRODUCT((M_BOM[Part Name]=$A7)*M_BOM[RM_Qty_Per_Batch]*IFERROR(INDEX(PP_Grid[#Data],M_BOM[PPGridRow],7),0))+IFERROR(INDEX(M_RawMaterials[固定週次消費量_要入力],MATCH($A7,M_RawMaterials[Part Name],0)),0)</f>
        <v/>
      </c>
      <c r="H7">
        <f>SUMPRODUCT((M_BOM[Part Name]=$A7)*M_BOM[RM_Qty_Per_Batch]*IFERROR(INDEX(PP_Grid[#Data],M_BOM[PPGridRow],8),0))+IFERROR(INDEX(M_RawMaterials[固定週次消費量_要入力],MATCH($A7,M_RawMaterials[Part Name],0)),0)</f>
        <v/>
      </c>
      <c r="I7">
        <f>SUMPRODUCT((M_BOM[Part Name]=$A7)*M_BOM[RM_Qty_Per_Batch]*IFERROR(INDEX(PP_Grid[#Data],M_BOM[PPGridRow],9),0))+IFERROR(INDEX(M_RawMaterials[固定週次消費量_要入力],MATCH($A7,M_RawMaterials[Part Name],0)),0)</f>
        <v/>
      </c>
      <c r="J7">
        <f>SUMPRODUCT((M_BOM[Part Name]=$A7)*M_BOM[RM_Qty_Per_Batch]*IFERROR(INDEX(PP_Grid[#Data],M_BOM[PPGridRow],10),0))+IFERROR(INDEX(M_RawMaterials[固定週次消費量_要入力],MATCH($A7,M_RawMaterials[Part Name],0)),0)</f>
        <v/>
      </c>
      <c r="K7">
        <f>SUMPRODUCT((M_BOM[Part Name]=$A7)*M_BOM[RM_Qty_Per_Batch]*IFERROR(INDEX(PP_Grid[#Data],M_BOM[PPGridRow],11),0))+IFERROR(INDEX(M_RawMaterials[固定週次消費量_要入力],MATCH($A7,M_RawMaterials[Part Name],0)),0)</f>
        <v/>
      </c>
      <c r="L7">
        <f>SUMPRODUCT((M_BOM[Part Name]=$A7)*M_BOM[RM_Qty_Per_Batch]*IFERROR(INDEX(PP_Grid[#Data],M_BOM[PPGridRow],12),0))+IFERROR(INDEX(M_RawMaterials[固定週次消費量_要入力],MATCH($A7,M_RawMaterials[Part Name],0)),0)</f>
        <v/>
      </c>
      <c r="M7">
        <f>SUMPRODUCT((M_BOM[Part Name]=$A7)*M_BOM[RM_Qty_Per_Batch]*IFERROR(INDEX(PP_Grid[#Data],M_BOM[PPGridRow],13),0))+IFERROR(INDEX(M_RawMaterials[固定週次消費量_要入力],MATCH($A7,M_RawMaterials[Part Name],0)),0)</f>
        <v/>
      </c>
      <c r="N7">
        <f>SUMPRODUCT((M_BOM[Part Name]=$A7)*M_BOM[RM_Qty_Per_Batch]*IFERROR(INDEX(PP_Grid[#Data],M_BOM[PPGridRow],14),0))+IFERROR(INDEX(M_RawMaterials[固定週次消費量_要入力],MATCH($A7,M_RawMaterials[Part Name],0)),0)</f>
        <v/>
      </c>
      <c r="O7">
        <f>SUMPRODUCT((M_BOM[Part Name]=$A7)*M_BOM[RM_Qty_Per_Batch]*IFERROR(INDEX(PP_Grid[#Data],M_BOM[PPGridRow],15),0))+IFERROR(INDEX(M_RawMaterials[固定週次消費量_要入力],MATCH($A7,M_RawMaterials[Part Name],0)),0)</f>
        <v/>
      </c>
      <c r="P7">
        <f>SUMPRODUCT((M_BOM[Part Name]=$A7)*M_BOM[RM_Qty_Per_Batch]*IFERROR(INDEX(PP_Grid[#Data],M_BOM[PPGridRow],16),0))+IFERROR(INDEX(M_RawMaterials[固定週次消費量_要入力],MATCH($A7,M_RawMaterials[Part Name],0)),0)</f>
        <v/>
      </c>
      <c r="Q7">
        <f>SUMPRODUCT((M_BOM[Part Name]=$A7)*M_BOM[RM_Qty_Per_Batch]*IFERROR(INDEX(PP_Grid[#Data],M_BOM[PPGridRow],17),0))+IFERROR(INDEX(M_RawMaterials[固定週次消費量_要入力],MATCH($A7,M_RawMaterials[Part Name],0)),0)</f>
        <v/>
      </c>
      <c r="R7">
        <f>SUMPRODUCT((M_BOM[Part Name]=$A7)*M_BOM[RM_Qty_Per_Batch]*IFERROR(INDEX(PP_Grid[#Data],M_BOM[PPGridRow],18),0))+IFERROR(INDEX(M_RawMaterials[固定週次消費量_要入力],MATCH($A7,M_RawMaterials[Part Name],0)),0)</f>
        <v/>
      </c>
      <c r="S7">
        <f>SUMPRODUCT((M_BOM[Part Name]=$A7)*M_BOM[RM_Qty_Per_Batch]*IFERROR(INDEX(PP_Grid[#Data],M_BOM[PPGridRow],19),0))+IFERROR(INDEX(M_RawMaterials[固定週次消費量_要入力],MATCH($A7,M_RawMaterials[Part Name],0)),0)</f>
        <v/>
      </c>
      <c r="T7">
        <f>SUMPRODUCT((M_BOM[Part Name]=$A7)*M_BOM[RM_Qty_Per_Batch]*IFERROR(INDEX(PP_Grid[#Data],M_BOM[PPGridRow],20),0))+IFERROR(INDEX(M_RawMaterials[固定週次消費量_要入力],MATCH($A7,M_RawMaterials[Part Name],0)),0)</f>
        <v/>
      </c>
      <c r="U7">
        <f>SUMPRODUCT((M_BOM[Part Name]=$A7)*M_BOM[RM_Qty_Per_Batch]*IFERROR(INDEX(PP_Grid[#Data],M_BOM[PPGridRow],21),0))+IFERROR(INDEX(M_RawMaterials[固定週次消費量_要入力],MATCH($A7,M_RawMaterials[Part Name],0)),0)</f>
        <v/>
      </c>
      <c r="V7">
        <f>SUMPRODUCT((M_BOM[Part Name]=$A7)*M_BOM[RM_Qty_Per_Batch]*IFERROR(INDEX(PP_Grid[#Data],M_BOM[PPGridRow],22),0))+IFERROR(INDEX(M_RawMaterials[固定週次消費量_要入力],MATCH($A7,M_RawMaterials[Part Name],0)),0)</f>
        <v/>
      </c>
      <c r="W7">
        <f>SUMPRODUCT((M_BOM[Part Name]=$A7)*M_BOM[RM_Qty_Per_Batch]*IFERROR(INDEX(PP_Grid[#Data],M_BOM[PPGridRow],23),0))+IFERROR(INDEX(M_RawMaterials[固定週次消費量_要入力],MATCH($A7,M_RawMaterials[Part Name],0)),0)</f>
        <v/>
      </c>
      <c r="X7">
        <f>SUMPRODUCT((M_BOM[Part Name]=$A7)*M_BOM[RM_Qty_Per_Batch]*IFERROR(INDEX(PP_Grid[#Data],M_BOM[PPGridRow],24),0))+IFERROR(INDEX(M_RawMaterials[固定週次消費量_要入力],MATCH($A7,M_RawMaterials[Part Name],0)),0)</f>
        <v/>
      </c>
      <c r="Y7">
        <f>SUMPRODUCT((M_BOM[Part Name]=$A7)*M_BOM[RM_Qty_Per_Batch]*IFERROR(INDEX(PP_Grid[#Data],M_BOM[PPGridRow],25),0))+IFERROR(INDEX(M_RawMaterials[固定週次消費量_要入力],MATCH($A7,M_RawMaterials[Part Name],0)),0)</f>
        <v/>
      </c>
      <c r="Z7">
        <f>SUMPRODUCT((M_BOM[Part Name]=$A7)*M_BOM[RM_Qty_Per_Batch]*IFERROR(INDEX(PP_Grid[#Data],M_BOM[PPGridRow],26),0))+IFERROR(INDEX(M_RawMaterials[固定週次消費量_要入力],MATCH($A7,M_RawMaterials[Part Name],0)),0)</f>
        <v/>
      </c>
      <c r="AA7">
        <f>SUMPRODUCT((M_BOM[Part Name]=$A7)*M_BOM[RM_Qty_Per_Batch]*IFERROR(INDEX(PP_Grid[#Data],M_BOM[PPGridRow],27),0))+IFERROR(INDEX(M_RawMaterials[固定週次消費量_要入力],MATCH($A7,M_RawMaterials[Part Name],0)),0)</f>
        <v/>
      </c>
      <c r="AB7">
        <f>SUMPRODUCT((M_BOM[Part Name]=$A7)*M_BOM[RM_Qty_Per_Batch]*IFERROR(INDEX(PP_Grid[#Data],M_BOM[PPGridRow],28),0))+IFERROR(INDEX(M_RawMaterials[固定週次消費量_要入力],MATCH($A7,M_RawMaterials[Part Name],0)),0)</f>
        <v/>
      </c>
      <c r="AC7">
        <f>SUMPRODUCT((M_BOM[Part Name]=$A7)*M_BOM[RM_Qty_Per_Batch]*IFERROR(INDEX(PP_Grid[#Data],M_BOM[PPGridRow],29),0))+IFERROR(INDEX(M_RawMaterials[固定週次消費量_要入力],MATCH($A7,M_RawMaterials[Part Name],0)),0)</f>
        <v/>
      </c>
      <c r="AD7">
        <f>SUMPRODUCT((M_BOM[Part Name]=$A7)*M_BOM[RM_Qty_Per_Batch]*IFERROR(INDEX(PP_Grid[#Data],M_BOM[PPGridRow],30),0))+IFERROR(INDEX(M_RawMaterials[固定週次消費量_要入力],MATCH($A7,M_RawMaterials[Part Name],0)),0)</f>
        <v/>
      </c>
      <c r="AE7">
        <f>SUMPRODUCT((M_BOM[Part Name]=$A7)*M_BOM[RM_Qty_Per_Batch]*IFERROR(INDEX(PP_Grid[#Data],M_BOM[PPGridRow],31),0))+IFERROR(INDEX(M_RawMaterials[固定週次消費量_要入力],MATCH($A7,M_RawMaterials[Part Name],0)),0)</f>
        <v/>
      </c>
      <c r="AF7">
        <f>SUMPRODUCT((M_BOM[Part Name]=$A7)*M_BOM[RM_Qty_Per_Batch]*IFERROR(INDEX(PP_Grid[#Data],M_BOM[PPGridRow],32),0))+IFERROR(INDEX(M_RawMaterials[固定週次消費量_要入力],MATCH($A7,M_RawMaterials[Part Name],0)),0)</f>
        <v/>
      </c>
      <c r="AG7">
        <f>SUMPRODUCT((M_BOM[Part Name]=$A7)*M_BOM[RM_Qty_Per_Batch]*IFERROR(INDEX(PP_Grid[#Data],M_BOM[PPGridRow],33),0))+IFERROR(INDEX(M_RawMaterials[固定週次消費量_要入力],MATCH($A7,M_RawMaterials[Part Name],0)),0)</f>
        <v/>
      </c>
      <c r="AH7">
        <f>SUMPRODUCT((M_BOM[Part Name]=$A7)*M_BOM[RM_Qty_Per_Batch]*IFERROR(INDEX(PP_Grid[#Data],M_BOM[PPGridRow],34),0))+IFERROR(INDEX(M_RawMaterials[固定週次消費量_要入力],MATCH($A7,M_RawMaterials[Part Name],0)),0)</f>
        <v/>
      </c>
      <c r="AI7">
        <f>SUMPRODUCT((M_BOM[Part Name]=$A7)*M_BOM[RM_Qty_Per_Batch]*IFERROR(INDEX(PP_Grid[#Data],M_BOM[PPGridRow],35),0))+IFERROR(INDEX(M_RawMaterials[固定週次消費量_要入力],MATCH($A7,M_RawMaterials[Part Name],0)),0)</f>
        <v/>
      </c>
      <c r="AJ7">
        <f>SUMPRODUCT((M_BOM[Part Name]=$A7)*M_BOM[RM_Qty_Per_Batch]*IFERROR(INDEX(PP_Grid[#Data],M_BOM[PPGridRow],36),0))+IFERROR(INDEX(M_RawMaterials[固定週次消費量_要入力],MATCH($A7,M_RawMaterials[Part Name],0)),0)</f>
        <v/>
      </c>
      <c r="AK7">
        <f>SUMPRODUCT((M_BOM[Part Name]=$A7)*M_BOM[RM_Qty_Per_Batch]*IFERROR(INDEX(PP_Grid[#Data],M_BOM[PPGridRow],37),0))+IFERROR(INDEX(M_RawMaterials[固定週次消費量_要入力],MATCH($A7,M_RawMaterials[Part Name],0)),0)</f>
        <v/>
      </c>
      <c r="AL7">
        <f>SUMPRODUCT((M_BOM[Part Name]=$A7)*M_BOM[RM_Qty_Per_Batch]*IFERROR(INDEX(PP_Grid[#Data],M_BOM[PPGridRow],38),0))+IFERROR(INDEX(M_RawMaterials[固定週次消費量_要入力],MATCH($A7,M_RawMaterials[Part Name],0)),0)</f>
        <v/>
      </c>
      <c r="AM7">
        <f>SUMPRODUCT((M_BOM[Part Name]=$A7)*M_BOM[RM_Qty_Per_Batch]*IFERROR(INDEX(PP_Grid[#Data],M_BOM[PPGridRow],39),0))+IFERROR(INDEX(M_RawMaterials[固定週次消費量_要入力],MATCH($A7,M_RawMaterials[Part Name],0)),0)</f>
        <v/>
      </c>
      <c r="AN7">
        <f>SUMPRODUCT((M_BOM[Part Name]=$A7)*M_BOM[RM_Qty_Per_Batch]*IFERROR(INDEX(PP_Grid[#Data],M_BOM[PPGridRow],40),0))+IFERROR(INDEX(M_RawMaterials[固定週次消費量_要入力],MATCH($A7,M_RawMaterials[Part Name],0)),0)</f>
        <v/>
      </c>
      <c r="AO7">
        <f>SUMPRODUCT((M_BOM[Part Name]=$A7)*M_BOM[RM_Qty_Per_Batch]*IFERROR(INDEX(PP_Grid[#Data],M_BOM[PPGridRow],41),0))+IFERROR(INDEX(M_RawMaterials[固定週次消費量_要入力],MATCH($A7,M_RawMaterials[Part Name],0)),0)</f>
        <v/>
      </c>
      <c r="AP7">
        <f>SUMPRODUCT((M_BOM[Part Name]=$A7)*M_BOM[RM_Qty_Per_Batch]*IFERROR(INDEX(PP_Grid[#Data],M_BOM[PPGridRow],42),0))+IFERROR(INDEX(M_RawMaterials[固定週次消費量_要入力],MATCH($A7,M_RawMaterials[Part Name],0)),0)</f>
        <v/>
      </c>
      <c r="AQ7">
        <f>SUMPRODUCT((M_BOM[Part Name]=$A7)*M_BOM[RM_Qty_Per_Batch]*IFERROR(INDEX(PP_Grid[#Data],M_BOM[PPGridRow],43),0))+IFERROR(INDEX(M_RawMaterials[固定週次消費量_要入力],MATCH($A7,M_RawMaterials[Part Name],0)),0)</f>
        <v/>
      </c>
      <c r="AR7">
        <f>SUMPRODUCT((M_BOM[Part Name]=$A7)*M_BOM[RM_Qty_Per_Batch]*IFERROR(INDEX(PP_Grid[#Data],M_BOM[PPGridRow],44),0))+IFERROR(INDEX(M_RawMaterials[固定週次消費量_要入力],MATCH($A7,M_RawMaterials[Part Name],0)),0)</f>
        <v/>
      </c>
      <c r="AS7">
        <f>SUMPRODUCT((M_BOM[Part Name]=$A7)*M_BOM[RM_Qty_Per_Batch]*IFERROR(INDEX(PP_Grid[#Data],M_BOM[PPGridRow],45),0))+IFERROR(INDEX(M_RawMaterials[固定週次消費量_要入力],MATCH($A7,M_RawMaterials[Part Name],0)),0)</f>
        <v/>
      </c>
      <c r="AT7">
        <f>SUMPRODUCT((M_BOM[Part Name]=$A7)*M_BOM[RM_Qty_Per_Batch]*IFERROR(INDEX(PP_Grid[#Data],M_BOM[PPGridRow],46),0))+IFERROR(INDEX(M_RawMaterials[固定週次消費量_要入力],MATCH($A7,M_RawMaterials[Part Name],0)),0)</f>
        <v/>
      </c>
      <c r="AU7">
        <f>SUMPRODUCT((M_BOM[Part Name]=$A7)*M_BOM[RM_Qty_Per_Batch]*IFERROR(INDEX(PP_Grid[#Data],M_BOM[PPGridRow],47),0))+IFERROR(INDEX(M_RawMaterials[固定週次消費量_要入力],MATCH($A7,M_RawMaterials[Part Name],0)),0)</f>
        <v/>
      </c>
      <c r="AV7">
        <f>SUMPRODUCT((M_BOM[Part Name]=$A7)*M_BOM[RM_Qty_Per_Batch]*IFERROR(INDEX(PP_Grid[#Data],M_BOM[PPGridRow],48),0))+IFERROR(INDEX(M_RawMaterials[固定週次消費量_要入力],MATCH($A7,M_RawMaterials[Part Name],0)),0)</f>
        <v/>
      </c>
      <c r="AW7">
        <f>SUMPRODUCT((M_BOM[Part Name]=$A7)*M_BOM[RM_Qty_Per_Batch]*IFERROR(INDEX(PP_Grid[#Data],M_BOM[PPGridRow],49),0))+IFERROR(INDEX(M_RawMaterials[固定週次消費量_要入力],MATCH($A7,M_RawMaterials[Part Name],0)),0)</f>
        <v/>
      </c>
      <c r="AX7">
        <f>SUMPRODUCT((M_BOM[Part Name]=$A7)*M_BOM[RM_Qty_Per_Batch]*IFERROR(INDEX(PP_Grid[#Data],M_BOM[PPGridRow],50),0))+IFERROR(INDEX(M_RawMaterials[固定週次消費量_要入力],MATCH($A7,M_RawMaterials[Part Name],0)),0)</f>
        <v/>
      </c>
      <c r="AY7">
        <f>SUMPRODUCT((M_BOM[Part Name]=$A7)*M_BOM[RM_Qty_Per_Batch]*IFERROR(INDEX(PP_Grid[#Data],M_BOM[PPGridRow],51),0))+IFERROR(INDEX(M_RawMaterials[固定週次消費量_要入力],MATCH($A7,M_RawMaterials[Part Name],0)),0)</f>
        <v/>
      </c>
      <c r="AZ7">
        <f>SUMPRODUCT((M_BOM[Part Name]=$A7)*M_BOM[RM_Qty_Per_Batch]*IFERROR(INDEX(PP_Grid[#Data],M_BOM[PPGridRow],52),0))+IFERROR(INDEX(M_RawMaterials[固定週次消費量_要入力],MATCH($A7,M_RawMaterials[Part Name],0)),0)</f>
        <v/>
      </c>
      <c r="BA7">
        <f>SUMPRODUCT((M_BOM[Part Name]=$A7)*M_BOM[RM_Qty_Per_Batch]*IFERROR(INDEX(PP_Grid[#Data],M_BOM[PPGridRow],53),0))+IFERROR(INDEX(M_RawMaterials[固定週次消費量_要入力],MATCH($A7,M_RawMaterials[Part Name],0)),0)</f>
        <v/>
      </c>
      <c r="BB7">
        <f>SUMPRODUCT((M_BOM[Part Name]=$A7)*M_BOM[RM_Qty_Per_Batch]*IFERROR(INDEX(PP_Grid[#Data],M_BOM[PPGridRow],54),0))+IFERROR(INDEX(M_RawMaterials[固定週次消費量_要入力],MATCH($A7,M_RawMaterials[Part Name],0)),0)</f>
        <v/>
      </c>
      <c r="BC7">
        <f>SUMPRODUCT((M_BOM[Part Name]=$A7)*M_BOM[RM_Qty_Per_Batch]*IFERROR(INDEX(PP_Grid[#Data],M_BOM[PPGridRow],55),0))+IFERROR(INDEX(M_RawMaterials[固定週次消費量_要入力],MATCH($A7,M_RawMaterials[Part Name],0)),0)</f>
        <v/>
      </c>
      <c r="BD7">
        <f>SUMPRODUCT((M_BOM[Part Name]=$A7)*M_BOM[RM_Qty_Per_Batch]*IFERROR(INDEX(PP_Grid[#Data],M_BOM[PPGridRow],56),0))+IFERROR(INDEX(M_RawMaterials[固定週次消費量_要入力],MATCH($A7,M_RawMaterials[Part Name],0)),0)</f>
        <v/>
      </c>
      <c r="BE7">
        <f>SUMPRODUCT((M_BOM[Part Name]=$A7)*M_BOM[RM_Qty_Per_Batch]*IFERROR(INDEX(PP_Grid[#Data],M_BOM[PPGridRow],57),0))+IFERROR(INDEX(M_RawMaterials[固定週次消費量_要入力],MATCH($A7,M_RawMaterials[Part Name],0)),0)</f>
        <v/>
      </c>
      <c r="BF7">
        <f>SUMPRODUCT((M_BOM[Part Name]=$A7)*M_BOM[RM_Qty_Per_Batch]*IFERROR(INDEX(PP_Grid[#Data],M_BOM[PPGridRow],58),0))+IFERROR(INDEX(M_RawMaterials[固定週次消費量_要入力],MATCH($A7,M_RawMaterials[Part Name],0)),0)</f>
        <v/>
      </c>
      <c r="BG7">
        <f>SUMPRODUCT((M_BOM[Part Name]=$A7)*M_BOM[RM_Qty_Per_Batch]*IFERROR(INDEX(PP_Grid[#Data],M_BOM[PPGridRow],59),0))+IFERROR(INDEX(M_RawMaterials[固定週次消費量_要入力],MATCH($A7,M_RawMaterials[Part Name],0)),0)</f>
        <v/>
      </c>
      <c r="BH7">
        <f>SUMPRODUCT((M_BOM[Part Name]=$A7)*M_BOM[RM_Qty_Per_Batch]*IFERROR(INDEX(PP_Grid[#Data],M_BOM[PPGridRow],60),0))+IFERROR(INDEX(M_RawMaterials[固定週次消費量_要入力],MATCH($A7,M_RawMaterials[Part Name],0)),0)</f>
        <v/>
      </c>
      <c r="BI7">
        <f>SUMPRODUCT((M_BOM[Part Name]=$A7)*M_BOM[RM_Qty_Per_Batch]*IFERROR(INDEX(PP_Grid[#Data],M_BOM[PPGridRow],61),0))+IFERROR(INDEX(M_RawMaterials[固定週次消費量_要入力],MATCH($A7,M_RawMaterials[Part Name],0)),0)</f>
        <v/>
      </c>
      <c r="BJ7">
        <f>SUMPRODUCT((M_BOM[Part Name]=$A7)*M_BOM[RM_Qty_Per_Batch]*IFERROR(INDEX(PP_Grid[#Data],M_BOM[PPGridRow],62),0))+IFERROR(INDEX(M_RawMaterials[固定週次消費量_要入力],MATCH($A7,M_RawMaterials[Part Name],0)),0)</f>
        <v/>
      </c>
      <c r="BK7">
        <f>SUMPRODUCT((M_BOM[Part Name]=$A7)*M_BOM[RM_Qty_Per_Batch]*IFERROR(INDEX(PP_Grid[#Data],M_BOM[PPGridRow],63),0))+IFERROR(INDEX(M_RawMaterials[固定週次消費量_要入力],MATCH($A7,M_RawMaterials[Part Name],0)),0)</f>
        <v/>
      </c>
      <c r="BL7">
        <f>SUMPRODUCT((M_BOM[Part Name]=$A7)*M_BOM[RM_Qty_Per_Batch]*IFERROR(INDEX(PP_Grid[#Data],M_BOM[PPGridRow],64),0))+IFERROR(INDEX(M_RawMaterials[固定週次消費量_要入力],MATCH($A7,M_RawMaterials[Part Name],0)),0)</f>
        <v/>
      </c>
      <c r="BM7">
        <f>SUMPRODUCT((M_BOM[Part Name]=$A7)*M_BOM[RM_Qty_Per_Batch]*IFERROR(INDEX(PP_Grid[#Data],M_BOM[PPGridRow],65),0))+IFERROR(INDEX(M_RawMaterials[固定週次消費量_要入力],MATCH($A7,M_RawMaterials[Part Name],0)),0)</f>
        <v/>
      </c>
      <c r="BN7">
        <f>SUMPRODUCT((M_BOM[Part Name]=$A7)*M_BOM[RM_Qty_Per_Batch]*IFERROR(INDEX(PP_Grid[#Data],M_BOM[PPGridRow],66),0))+IFERROR(INDEX(M_RawMaterials[固定週次消費量_要入力],MATCH($A7,M_RawMaterials[Part Name],0)),0)</f>
        <v/>
      </c>
      <c r="BO7">
        <f>SUMPRODUCT((M_BOM[Part Name]=$A7)*M_BOM[RM_Qty_Per_Batch]*IFERROR(INDEX(PP_Grid[#Data],M_BOM[PPGridRow],67),0))+IFERROR(INDEX(M_RawMaterials[固定週次消費量_要入力],MATCH($A7,M_RawMaterials[Part Name],0)),0)</f>
        <v/>
      </c>
      <c r="BP7">
        <f>SUMPRODUCT((M_BOM[Part Name]=$A7)*M_BOM[RM_Qty_Per_Batch]*IFERROR(INDEX(PP_Grid[#Data],M_BOM[PPGridRow],68),0))+IFERROR(INDEX(M_RawMaterials[固定週次消費量_要入力],MATCH($A7,M_RawMaterials[Part Name],0)),0)</f>
        <v/>
      </c>
      <c r="BQ7">
        <f>SUMPRODUCT((M_BOM[Part Name]=$A7)*M_BOM[RM_Qty_Per_Batch]*IFERROR(INDEX(PP_Grid[#Data],M_BOM[PPGridRow],69),0))+IFERROR(INDEX(M_RawMaterials[固定週次消費量_要入力],MATCH($A7,M_RawMaterials[Part Name],0)),0)</f>
        <v/>
      </c>
      <c r="BR7">
        <f>SUMPRODUCT((M_BOM[Part Name]=$A7)*M_BOM[RM_Qty_Per_Batch]*IFERROR(INDEX(PP_Grid[#Data],M_BOM[PPGridRow],70),0))+IFERROR(INDEX(M_RawMaterials[固定週次消費量_要入力],MATCH($A7,M_RawMaterials[Part Name],0)),0)</f>
        <v/>
      </c>
      <c r="BS7">
        <f>SUMPRODUCT((M_BOM[Part Name]=$A7)*M_BOM[RM_Qty_Per_Batch]*IFERROR(INDEX(PP_Grid[#Data],M_BOM[PPGridRow],71),0))+IFERROR(INDEX(M_RawMaterials[固定週次消費量_要入力],MATCH($A7,M_RawMaterials[Part Name],0)),0)</f>
        <v/>
      </c>
      <c r="BT7">
        <f>SUMPRODUCT((M_BOM[Part Name]=$A7)*M_BOM[RM_Qty_Per_Batch]*IFERROR(INDEX(PP_Grid[#Data],M_BOM[PPGridRow],72),0))+IFERROR(INDEX(M_RawMaterials[固定週次消費量_要入力],MATCH($A7,M_RawMaterials[Part Name],0)),0)</f>
        <v/>
      </c>
      <c r="BU7">
        <f>SUMPRODUCT((M_BOM[Part Name]=$A7)*M_BOM[RM_Qty_Per_Batch]*IFERROR(INDEX(PP_Grid[#Data],M_BOM[PPGridRow],73),0))+IFERROR(INDEX(M_RawMaterials[固定週次消費量_要入力],MATCH($A7,M_RawMaterials[Part Name],0)),0)</f>
        <v/>
      </c>
      <c r="BV7">
        <f>SUMPRODUCT((M_BOM[Part Name]=$A7)*M_BOM[RM_Qty_Per_Batch]*IFERROR(INDEX(PP_Grid[#Data],M_BOM[PPGridRow],74),0))+IFERROR(INDEX(M_RawMaterials[固定週次消費量_要入力],MATCH($A7,M_RawMaterials[Part Name],0)),0)</f>
        <v/>
      </c>
      <c r="BW7">
        <f>SUMPRODUCT((M_BOM[Part Name]=$A7)*M_BOM[RM_Qty_Per_Batch]*IFERROR(INDEX(PP_Grid[#Data],M_BOM[PPGridRow],75),0))+IFERROR(INDEX(M_RawMaterials[固定週次消費量_要入力],MATCH($A7,M_RawMaterials[Part Name],0)),0)</f>
        <v/>
      </c>
      <c r="BX7">
        <f>SUMPRODUCT((M_BOM[Part Name]=$A7)*M_BOM[RM_Qty_Per_Batch]*IFERROR(INDEX(PP_Grid[#Data],M_BOM[PPGridRow],76),0))+IFERROR(INDEX(M_RawMaterials[固定週次消費量_要入力],MATCH($A7,M_RawMaterials[Part Name],0)),0)</f>
        <v/>
      </c>
      <c r="BY7">
        <f>SUMPRODUCT((M_BOM[Part Name]=$A7)*M_BOM[RM_Qty_Per_Batch]*IFERROR(INDEX(PP_Grid[#Data],M_BOM[PPGridRow],77),0))+IFERROR(INDEX(M_RawMaterials[固定週次消費量_要入力],MATCH($A7,M_RawMaterials[Part Name],0)),0)</f>
        <v/>
      </c>
      <c r="BZ7">
        <f>SUMPRODUCT((M_BOM[Part Name]=$A7)*M_BOM[RM_Qty_Per_Batch]*IFERROR(INDEX(PP_Grid[#Data],M_BOM[PPGridRow],78),0))+IFERROR(INDEX(M_RawMaterials[固定週次消費量_要入力],MATCH($A7,M_RawMaterials[Part Name],0)),0)</f>
        <v/>
      </c>
      <c r="CA7">
        <f>SUMPRODUCT((M_BOM[Part Name]=$A7)*M_BOM[RM_Qty_Per_Batch]*IFERROR(INDEX(PP_Grid[#Data],M_BOM[PPGridRow],79),0))+IFERROR(INDEX(M_RawMaterials[固定週次消費量_要入力],MATCH($A7,M_RawMaterials[Part Name],0)),0)</f>
        <v/>
      </c>
      <c r="CB7">
        <f>SUMPRODUCT((M_BOM[Part Name]=$A7)*M_BOM[RM_Qty_Per_Batch]*IFERROR(INDEX(PP_Grid[#Data],M_BOM[PPGridRow],80),0))+IFERROR(INDEX(M_RawMaterials[固定週次消費量_要入力],MATCH($A7,M_RawMaterials[Part Name],0)),0)</f>
        <v/>
      </c>
      <c r="CC7">
        <f>SUMPRODUCT((M_BOM[Part Name]=$A7)*M_BOM[RM_Qty_Per_Batch]*IFERROR(INDEX(PP_Grid[#Data],M_BOM[PPGridRow],81),0))+IFERROR(INDEX(M_RawMaterials[固定週次消費量_要入力],MATCH($A7,M_RawMaterials[Part Name],0)),0)</f>
        <v/>
      </c>
      <c r="CD7">
        <f>SUMPRODUCT((M_BOM[Part Name]=$A7)*M_BOM[RM_Qty_Per_Batch]*IFERROR(INDEX(PP_Grid[#Data],M_BOM[PPGridRow],82),0))+IFERROR(INDEX(M_RawMaterials[固定週次消費量_要入力],MATCH($A7,M_RawMaterials[Part Name],0)),0)</f>
        <v/>
      </c>
      <c r="CE7">
        <f>SUMPRODUCT((M_BOM[Part Name]=$A7)*M_BOM[RM_Qty_Per_Batch]*IFERROR(INDEX(PP_Grid[#Data],M_BOM[PPGridRow],83),0))+IFERROR(INDEX(M_RawMaterials[固定週次消費量_要入力],MATCH($A7,M_RawMaterials[Part Name],0)),0)</f>
        <v/>
      </c>
      <c r="CF7">
        <f>SUMPRODUCT((M_BOM[Part Name]=$A7)*M_BOM[RM_Qty_Per_Batch]*IFERROR(INDEX(PP_Grid[#Data],M_BOM[PPGridRow],84),0))+IFERROR(INDEX(M_RawMaterials[固定週次消費量_要入力],MATCH($A7,M_RawMaterials[Part Name],0)),0)</f>
        <v/>
      </c>
      <c r="CG7">
        <f>SUMPRODUCT((M_BOM[Part Name]=$A7)*M_BOM[RM_Qty_Per_Batch]*IFERROR(INDEX(PP_Grid[#Data],M_BOM[PPGridRow],85),0))+IFERROR(INDEX(M_RawMaterials[固定週次消費量_要入力],MATCH($A7,M_RawMaterials[Part Name],0)),0)</f>
        <v/>
      </c>
      <c r="CH7">
        <f>SUMPRODUCT((M_BOM[Part Name]=$A7)*M_BOM[RM_Qty_Per_Batch]*IFERROR(INDEX(PP_Grid[#Data],M_BOM[PPGridRow],86),0))+IFERROR(INDEX(M_RawMaterials[固定週次消費量_要入力],MATCH($A7,M_RawMaterials[Part Name],0)),0)</f>
        <v/>
      </c>
      <c r="CI7">
        <f>SUMPRODUCT((M_BOM[Part Name]=$A7)*M_BOM[RM_Qty_Per_Batch]*IFERROR(INDEX(PP_Grid[#Data],M_BOM[PPGridRow],87),0))+IFERROR(INDEX(M_RawMaterials[固定週次消費量_要入力],MATCH($A7,M_RawMaterials[Part Name],0)),0)</f>
        <v/>
      </c>
      <c r="CJ7">
        <f>SUMPRODUCT((M_BOM[Part Name]=$A7)*M_BOM[RM_Qty_Per_Batch]*IFERROR(INDEX(PP_Grid[#Data],M_BOM[PPGridRow],88),0))+IFERROR(INDEX(M_RawMaterials[固定週次消費量_要入力],MATCH($A7,M_RawMaterials[Part Name],0)),0)</f>
        <v/>
      </c>
      <c r="CK7">
        <f>SUMPRODUCT((M_BOM[Part Name]=$A7)*M_BOM[RM_Qty_Per_Batch]*IFERROR(INDEX(PP_Grid[#Data],M_BOM[PPGridRow],89),0))+IFERROR(INDEX(M_RawMaterials[固定週次消費量_要入力],MATCH($A7,M_RawMaterials[Part Name],0)),0)</f>
        <v/>
      </c>
      <c r="CL7">
        <f>SUMPRODUCT((M_BOM[Part Name]=$A7)*M_BOM[RM_Qty_Per_Batch]*IFERROR(INDEX(PP_Grid[#Data],M_BOM[PPGridRow],90),0))+IFERROR(INDEX(M_RawMaterials[固定週次消費量_要入力],MATCH($A7,M_RawMaterials[Part Name],0)),0)</f>
        <v/>
      </c>
      <c r="CM7">
        <f>SUMPRODUCT((M_BOM[Part Name]=$A7)*M_BOM[RM_Qty_Per_Batch]*IFERROR(INDEX(PP_Grid[#Data],M_BOM[PPGridRow],91),0))+IFERROR(INDEX(M_RawMaterials[固定週次消費量_要入力],MATCH($A7,M_RawMaterials[Part Name],0)),0)</f>
        <v/>
      </c>
      <c r="CN7">
        <f>SUMPRODUCT((M_BOM[Part Name]=$A7)*M_BOM[RM_Qty_Per_Batch]*IFERROR(INDEX(PP_Grid[#Data],M_BOM[PPGridRow],92),0))+IFERROR(INDEX(M_RawMaterials[固定週次消費量_要入力],MATCH($A7,M_RawMaterials[Part Name],0)),0)</f>
        <v/>
      </c>
      <c r="CO7">
        <f>SUMPRODUCT((M_BOM[Part Name]=$A7)*M_BOM[RM_Qty_Per_Batch]*IFERROR(INDEX(PP_Grid[#Data],M_BOM[PPGridRow],93),0))+IFERROR(INDEX(M_RawMaterials[固定週次消費量_要入力],MATCH($A7,M_RawMaterials[Part Name],0)),0)</f>
        <v/>
      </c>
      <c r="CP7">
        <f>SUMPRODUCT((M_BOM[Part Name]=$A7)*M_BOM[RM_Qty_Per_Batch]*IFERROR(INDEX(PP_Grid[#Data],M_BOM[PPGridRow],94),0))+IFERROR(INDEX(M_RawMaterials[固定週次消費量_要入力],MATCH($A7,M_RawMaterials[Part Name],0)),0)</f>
        <v/>
      </c>
      <c r="CQ7">
        <f>SUMPRODUCT((M_BOM[Part Name]=$A7)*M_BOM[RM_Qty_Per_Batch]*IFERROR(INDEX(PP_Grid[#Data],M_BOM[PPGridRow],95),0))+IFERROR(INDEX(M_RawMaterials[固定週次消費量_要入力],MATCH($A7,M_RawMaterials[Part Name],0)),0)</f>
        <v/>
      </c>
      <c r="CR7">
        <f>SUMPRODUCT((M_BOM[Part Name]=$A7)*M_BOM[RM_Qty_Per_Batch]*IFERROR(INDEX(PP_Grid[#Data],M_BOM[PPGridRow],96),0))+IFERROR(INDEX(M_RawMaterials[固定週次消費量_要入力],MATCH($A7,M_RawMaterials[Part Name],0)),0)</f>
        <v/>
      </c>
      <c r="CS7">
        <f>SUMPRODUCT((M_BOM[Part Name]=$A7)*M_BOM[RM_Qty_Per_Batch]*IFERROR(INDEX(PP_Grid[#Data],M_BOM[PPGridRow],97),0))+IFERROR(INDEX(M_RawMaterials[固定週次消費量_要入力],MATCH($A7,M_RawMaterials[Part Name],0)),0)</f>
        <v/>
      </c>
      <c r="CT7">
        <f>SUMPRODUCT((M_BOM[Part Name]=$A7)*M_BOM[RM_Qty_Per_Batch]*IFERROR(INDEX(PP_Grid[#Data],M_BOM[PPGridRow],98),0))+IFERROR(INDEX(M_RawMaterials[固定週次消費量_要入力],MATCH($A7,M_RawMaterials[Part Name],0)),0)</f>
        <v/>
      </c>
      <c r="CU7">
        <f>SUMPRODUCT((M_BOM[Part Name]=$A7)*M_BOM[RM_Qty_Per_Batch]*IFERROR(INDEX(PP_Grid[#Data],M_BOM[PPGridRow],99),0))+IFERROR(INDEX(M_RawMaterials[固定週次消費量_要入力],MATCH($A7,M_RawMaterials[Part Name],0)),0)</f>
        <v/>
      </c>
      <c r="CV7">
        <f>SUMPRODUCT((M_BOM[Part Name]=$A7)*M_BOM[RM_Qty_Per_Batch]*IFERROR(INDEX(PP_Grid[#Data],M_BOM[PPGridRow],100),0))+IFERROR(INDEX(M_RawMaterials[固定週次消費量_要入力],MATCH($A7,M_RawMaterials[Part Name],0)),0)</f>
        <v/>
      </c>
      <c r="CW7">
        <f>SUMPRODUCT((M_BOM[Part Name]=$A7)*M_BOM[RM_Qty_Per_Batch]*IFERROR(INDEX(PP_Grid[#Data],M_BOM[PPGridRow],101),0))+IFERROR(INDEX(M_RawMaterials[固定週次消費量_要入力],MATCH($A7,M_RawMaterials[Part Name],0)),0)</f>
        <v/>
      </c>
      <c r="CX7">
        <f>SUMPRODUCT((M_BOM[Part Name]=$A7)*M_BOM[RM_Qty_Per_Batch]*IFERROR(INDEX(PP_Grid[#Data],M_BOM[PPGridRow],102),0))+IFERROR(INDEX(M_RawMaterials[固定週次消費量_要入力],MATCH($A7,M_RawMaterials[Part Name],0)),0)</f>
        <v/>
      </c>
      <c r="CY7">
        <f>SUMPRODUCT((M_BOM[Part Name]=$A7)*M_BOM[RM_Qty_Per_Batch]*IFERROR(INDEX(PP_Grid[#Data],M_BOM[PPGridRow],103),0))+IFERROR(INDEX(M_RawMaterials[固定週次消費量_要入力],MATCH($A7,M_RawMaterials[Part Name],0)),0)</f>
        <v/>
      </c>
      <c r="CZ7">
        <f>SUMPRODUCT((M_BOM[Part Name]=$A7)*M_BOM[RM_Qty_Per_Batch]*IFERROR(INDEX(PP_Grid[#Data],M_BOM[PPGridRow],104),0))+IFERROR(INDEX(M_RawMaterials[固定週次消費量_要入力],MATCH($A7,M_RawMaterials[Part Name],0)),0)</f>
        <v/>
      </c>
      <c r="DA7">
        <f>SUMPRODUCT((M_BOM[Part Name]=$A7)*M_BOM[RM_Qty_Per_Batch]*IFERROR(INDEX(PP_Grid[#Data],M_BOM[PPGridRow],105),0))+IFERROR(INDEX(M_RawMaterials[固定週次消費量_要入力],MATCH($A7,M_RawMaterials[Part Name],0)),0)</f>
        <v/>
      </c>
    </row>
    <row r="8">
      <c r="A8" t="inlineStr">
        <is>
          <t>TDJ</t>
        </is>
      </c>
      <c r="B8">
        <f>SUMPRODUCT((M_BOM[Part Name]=$A8)*M_BOM[RM_Qty_Per_Batch]*IFERROR(INDEX(PP_Grid[#Data],M_BOM[PPGridRow],2),0))+IFERROR(INDEX(M_RawMaterials[固定週次消費量_要入力],MATCH($A8,M_RawMaterials[Part Name],0)),0)</f>
        <v/>
      </c>
      <c r="C8">
        <f>SUMPRODUCT((M_BOM[Part Name]=$A8)*M_BOM[RM_Qty_Per_Batch]*IFERROR(INDEX(PP_Grid[#Data],M_BOM[PPGridRow],3),0))+IFERROR(INDEX(M_RawMaterials[固定週次消費量_要入力],MATCH($A8,M_RawMaterials[Part Name],0)),0)</f>
        <v/>
      </c>
      <c r="D8">
        <f>SUMPRODUCT((M_BOM[Part Name]=$A8)*M_BOM[RM_Qty_Per_Batch]*IFERROR(INDEX(PP_Grid[#Data],M_BOM[PPGridRow],4),0))+IFERROR(INDEX(M_RawMaterials[固定週次消費量_要入力],MATCH($A8,M_RawMaterials[Part Name],0)),0)</f>
        <v/>
      </c>
      <c r="E8">
        <f>SUMPRODUCT((M_BOM[Part Name]=$A8)*M_BOM[RM_Qty_Per_Batch]*IFERROR(INDEX(PP_Grid[#Data],M_BOM[PPGridRow],5),0))+IFERROR(INDEX(M_RawMaterials[固定週次消費量_要入力],MATCH($A8,M_RawMaterials[Part Name],0)),0)</f>
        <v/>
      </c>
      <c r="F8">
        <f>SUMPRODUCT((M_BOM[Part Name]=$A8)*M_BOM[RM_Qty_Per_Batch]*IFERROR(INDEX(PP_Grid[#Data],M_BOM[PPGridRow],6),0))+IFERROR(INDEX(M_RawMaterials[固定週次消費量_要入力],MATCH($A8,M_RawMaterials[Part Name],0)),0)</f>
        <v/>
      </c>
      <c r="G8">
        <f>SUMPRODUCT((M_BOM[Part Name]=$A8)*M_BOM[RM_Qty_Per_Batch]*IFERROR(INDEX(PP_Grid[#Data],M_BOM[PPGridRow],7),0))+IFERROR(INDEX(M_RawMaterials[固定週次消費量_要入力],MATCH($A8,M_RawMaterials[Part Name],0)),0)</f>
        <v/>
      </c>
      <c r="H8">
        <f>SUMPRODUCT((M_BOM[Part Name]=$A8)*M_BOM[RM_Qty_Per_Batch]*IFERROR(INDEX(PP_Grid[#Data],M_BOM[PPGridRow],8),0))+IFERROR(INDEX(M_RawMaterials[固定週次消費量_要入力],MATCH($A8,M_RawMaterials[Part Name],0)),0)</f>
        <v/>
      </c>
      <c r="I8">
        <f>SUMPRODUCT((M_BOM[Part Name]=$A8)*M_BOM[RM_Qty_Per_Batch]*IFERROR(INDEX(PP_Grid[#Data],M_BOM[PPGridRow],9),0))+IFERROR(INDEX(M_RawMaterials[固定週次消費量_要入力],MATCH($A8,M_RawMaterials[Part Name],0)),0)</f>
        <v/>
      </c>
      <c r="J8">
        <f>SUMPRODUCT((M_BOM[Part Name]=$A8)*M_BOM[RM_Qty_Per_Batch]*IFERROR(INDEX(PP_Grid[#Data],M_BOM[PPGridRow],10),0))+IFERROR(INDEX(M_RawMaterials[固定週次消費量_要入力],MATCH($A8,M_RawMaterials[Part Name],0)),0)</f>
        <v/>
      </c>
      <c r="K8">
        <f>SUMPRODUCT((M_BOM[Part Name]=$A8)*M_BOM[RM_Qty_Per_Batch]*IFERROR(INDEX(PP_Grid[#Data],M_BOM[PPGridRow],11),0))+IFERROR(INDEX(M_RawMaterials[固定週次消費量_要入力],MATCH($A8,M_RawMaterials[Part Name],0)),0)</f>
        <v/>
      </c>
      <c r="L8">
        <f>SUMPRODUCT((M_BOM[Part Name]=$A8)*M_BOM[RM_Qty_Per_Batch]*IFERROR(INDEX(PP_Grid[#Data],M_BOM[PPGridRow],12),0))+IFERROR(INDEX(M_RawMaterials[固定週次消費量_要入力],MATCH($A8,M_RawMaterials[Part Name],0)),0)</f>
        <v/>
      </c>
      <c r="M8">
        <f>SUMPRODUCT((M_BOM[Part Name]=$A8)*M_BOM[RM_Qty_Per_Batch]*IFERROR(INDEX(PP_Grid[#Data],M_BOM[PPGridRow],13),0))+IFERROR(INDEX(M_RawMaterials[固定週次消費量_要入力],MATCH($A8,M_RawMaterials[Part Name],0)),0)</f>
        <v/>
      </c>
      <c r="N8">
        <f>SUMPRODUCT((M_BOM[Part Name]=$A8)*M_BOM[RM_Qty_Per_Batch]*IFERROR(INDEX(PP_Grid[#Data],M_BOM[PPGridRow],14),0))+IFERROR(INDEX(M_RawMaterials[固定週次消費量_要入力],MATCH($A8,M_RawMaterials[Part Name],0)),0)</f>
        <v/>
      </c>
      <c r="O8">
        <f>SUMPRODUCT((M_BOM[Part Name]=$A8)*M_BOM[RM_Qty_Per_Batch]*IFERROR(INDEX(PP_Grid[#Data],M_BOM[PPGridRow],15),0))+IFERROR(INDEX(M_RawMaterials[固定週次消費量_要入力],MATCH($A8,M_RawMaterials[Part Name],0)),0)</f>
        <v/>
      </c>
      <c r="P8">
        <f>SUMPRODUCT((M_BOM[Part Name]=$A8)*M_BOM[RM_Qty_Per_Batch]*IFERROR(INDEX(PP_Grid[#Data],M_BOM[PPGridRow],16),0))+IFERROR(INDEX(M_RawMaterials[固定週次消費量_要入力],MATCH($A8,M_RawMaterials[Part Name],0)),0)</f>
        <v/>
      </c>
      <c r="Q8">
        <f>SUMPRODUCT((M_BOM[Part Name]=$A8)*M_BOM[RM_Qty_Per_Batch]*IFERROR(INDEX(PP_Grid[#Data],M_BOM[PPGridRow],17),0))+IFERROR(INDEX(M_RawMaterials[固定週次消費量_要入力],MATCH($A8,M_RawMaterials[Part Name],0)),0)</f>
        <v/>
      </c>
      <c r="R8">
        <f>SUMPRODUCT((M_BOM[Part Name]=$A8)*M_BOM[RM_Qty_Per_Batch]*IFERROR(INDEX(PP_Grid[#Data],M_BOM[PPGridRow],18),0))+IFERROR(INDEX(M_RawMaterials[固定週次消費量_要入力],MATCH($A8,M_RawMaterials[Part Name],0)),0)</f>
        <v/>
      </c>
      <c r="S8">
        <f>SUMPRODUCT((M_BOM[Part Name]=$A8)*M_BOM[RM_Qty_Per_Batch]*IFERROR(INDEX(PP_Grid[#Data],M_BOM[PPGridRow],19),0))+IFERROR(INDEX(M_RawMaterials[固定週次消費量_要入力],MATCH($A8,M_RawMaterials[Part Name],0)),0)</f>
        <v/>
      </c>
      <c r="T8">
        <f>SUMPRODUCT((M_BOM[Part Name]=$A8)*M_BOM[RM_Qty_Per_Batch]*IFERROR(INDEX(PP_Grid[#Data],M_BOM[PPGridRow],20),0))+IFERROR(INDEX(M_RawMaterials[固定週次消費量_要入力],MATCH($A8,M_RawMaterials[Part Name],0)),0)</f>
        <v/>
      </c>
      <c r="U8">
        <f>SUMPRODUCT((M_BOM[Part Name]=$A8)*M_BOM[RM_Qty_Per_Batch]*IFERROR(INDEX(PP_Grid[#Data],M_BOM[PPGridRow],21),0))+IFERROR(INDEX(M_RawMaterials[固定週次消費量_要入力],MATCH($A8,M_RawMaterials[Part Name],0)),0)</f>
        <v/>
      </c>
      <c r="V8">
        <f>SUMPRODUCT((M_BOM[Part Name]=$A8)*M_BOM[RM_Qty_Per_Batch]*IFERROR(INDEX(PP_Grid[#Data],M_BOM[PPGridRow],22),0))+IFERROR(INDEX(M_RawMaterials[固定週次消費量_要入力],MATCH($A8,M_RawMaterials[Part Name],0)),0)</f>
        <v/>
      </c>
      <c r="W8">
        <f>SUMPRODUCT((M_BOM[Part Name]=$A8)*M_BOM[RM_Qty_Per_Batch]*IFERROR(INDEX(PP_Grid[#Data],M_BOM[PPGridRow],23),0))+IFERROR(INDEX(M_RawMaterials[固定週次消費量_要入力],MATCH($A8,M_RawMaterials[Part Name],0)),0)</f>
        <v/>
      </c>
      <c r="X8">
        <f>SUMPRODUCT((M_BOM[Part Name]=$A8)*M_BOM[RM_Qty_Per_Batch]*IFERROR(INDEX(PP_Grid[#Data],M_BOM[PPGridRow],24),0))+IFERROR(INDEX(M_RawMaterials[固定週次消費量_要入力],MATCH($A8,M_RawMaterials[Part Name],0)),0)</f>
        <v/>
      </c>
      <c r="Y8">
        <f>SUMPRODUCT((M_BOM[Part Name]=$A8)*M_BOM[RM_Qty_Per_Batch]*IFERROR(INDEX(PP_Grid[#Data],M_BOM[PPGridRow],25),0))+IFERROR(INDEX(M_RawMaterials[固定週次消費量_要入力],MATCH($A8,M_RawMaterials[Part Name],0)),0)</f>
        <v/>
      </c>
      <c r="Z8">
        <f>SUMPRODUCT((M_BOM[Part Name]=$A8)*M_BOM[RM_Qty_Per_Batch]*IFERROR(INDEX(PP_Grid[#Data],M_BOM[PPGridRow],26),0))+IFERROR(INDEX(M_RawMaterials[固定週次消費量_要入力],MATCH($A8,M_RawMaterials[Part Name],0)),0)</f>
        <v/>
      </c>
      <c r="AA8">
        <f>SUMPRODUCT((M_BOM[Part Name]=$A8)*M_BOM[RM_Qty_Per_Batch]*IFERROR(INDEX(PP_Grid[#Data],M_BOM[PPGridRow],27),0))+IFERROR(INDEX(M_RawMaterials[固定週次消費量_要入力],MATCH($A8,M_RawMaterials[Part Name],0)),0)</f>
        <v/>
      </c>
      <c r="AB8">
        <f>SUMPRODUCT((M_BOM[Part Name]=$A8)*M_BOM[RM_Qty_Per_Batch]*IFERROR(INDEX(PP_Grid[#Data],M_BOM[PPGridRow],28),0))+IFERROR(INDEX(M_RawMaterials[固定週次消費量_要入力],MATCH($A8,M_RawMaterials[Part Name],0)),0)</f>
        <v/>
      </c>
      <c r="AC8">
        <f>SUMPRODUCT((M_BOM[Part Name]=$A8)*M_BOM[RM_Qty_Per_Batch]*IFERROR(INDEX(PP_Grid[#Data],M_BOM[PPGridRow],29),0))+IFERROR(INDEX(M_RawMaterials[固定週次消費量_要入力],MATCH($A8,M_RawMaterials[Part Name],0)),0)</f>
        <v/>
      </c>
      <c r="AD8">
        <f>SUMPRODUCT((M_BOM[Part Name]=$A8)*M_BOM[RM_Qty_Per_Batch]*IFERROR(INDEX(PP_Grid[#Data],M_BOM[PPGridRow],30),0))+IFERROR(INDEX(M_RawMaterials[固定週次消費量_要入力],MATCH($A8,M_RawMaterials[Part Name],0)),0)</f>
        <v/>
      </c>
      <c r="AE8">
        <f>SUMPRODUCT((M_BOM[Part Name]=$A8)*M_BOM[RM_Qty_Per_Batch]*IFERROR(INDEX(PP_Grid[#Data],M_BOM[PPGridRow],31),0))+IFERROR(INDEX(M_RawMaterials[固定週次消費量_要入力],MATCH($A8,M_RawMaterials[Part Name],0)),0)</f>
        <v/>
      </c>
      <c r="AF8">
        <f>SUMPRODUCT((M_BOM[Part Name]=$A8)*M_BOM[RM_Qty_Per_Batch]*IFERROR(INDEX(PP_Grid[#Data],M_BOM[PPGridRow],32),0))+IFERROR(INDEX(M_RawMaterials[固定週次消費量_要入力],MATCH($A8,M_RawMaterials[Part Name],0)),0)</f>
        <v/>
      </c>
      <c r="AG8">
        <f>SUMPRODUCT((M_BOM[Part Name]=$A8)*M_BOM[RM_Qty_Per_Batch]*IFERROR(INDEX(PP_Grid[#Data],M_BOM[PPGridRow],33),0))+IFERROR(INDEX(M_RawMaterials[固定週次消費量_要入力],MATCH($A8,M_RawMaterials[Part Name],0)),0)</f>
        <v/>
      </c>
      <c r="AH8">
        <f>SUMPRODUCT((M_BOM[Part Name]=$A8)*M_BOM[RM_Qty_Per_Batch]*IFERROR(INDEX(PP_Grid[#Data],M_BOM[PPGridRow],34),0))+IFERROR(INDEX(M_RawMaterials[固定週次消費量_要入力],MATCH($A8,M_RawMaterials[Part Name],0)),0)</f>
        <v/>
      </c>
      <c r="AI8">
        <f>SUMPRODUCT((M_BOM[Part Name]=$A8)*M_BOM[RM_Qty_Per_Batch]*IFERROR(INDEX(PP_Grid[#Data],M_BOM[PPGridRow],35),0))+IFERROR(INDEX(M_RawMaterials[固定週次消費量_要入力],MATCH($A8,M_RawMaterials[Part Name],0)),0)</f>
        <v/>
      </c>
      <c r="AJ8">
        <f>SUMPRODUCT((M_BOM[Part Name]=$A8)*M_BOM[RM_Qty_Per_Batch]*IFERROR(INDEX(PP_Grid[#Data],M_BOM[PPGridRow],36),0))+IFERROR(INDEX(M_RawMaterials[固定週次消費量_要入力],MATCH($A8,M_RawMaterials[Part Name],0)),0)</f>
        <v/>
      </c>
      <c r="AK8">
        <f>SUMPRODUCT((M_BOM[Part Name]=$A8)*M_BOM[RM_Qty_Per_Batch]*IFERROR(INDEX(PP_Grid[#Data],M_BOM[PPGridRow],37),0))+IFERROR(INDEX(M_RawMaterials[固定週次消費量_要入力],MATCH($A8,M_RawMaterials[Part Name],0)),0)</f>
        <v/>
      </c>
      <c r="AL8">
        <f>SUMPRODUCT((M_BOM[Part Name]=$A8)*M_BOM[RM_Qty_Per_Batch]*IFERROR(INDEX(PP_Grid[#Data],M_BOM[PPGridRow],38),0))+IFERROR(INDEX(M_RawMaterials[固定週次消費量_要入力],MATCH($A8,M_RawMaterials[Part Name],0)),0)</f>
        <v/>
      </c>
      <c r="AM8">
        <f>SUMPRODUCT((M_BOM[Part Name]=$A8)*M_BOM[RM_Qty_Per_Batch]*IFERROR(INDEX(PP_Grid[#Data],M_BOM[PPGridRow],39),0))+IFERROR(INDEX(M_RawMaterials[固定週次消費量_要入力],MATCH($A8,M_RawMaterials[Part Name],0)),0)</f>
        <v/>
      </c>
      <c r="AN8">
        <f>SUMPRODUCT((M_BOM[Part Name]=$A8)*M_BOM[RM_Qty_Per_Batch]*IFERROR(INDEX(PP_Grid[#Data],M_BOM[PPGridRow],40),0))+IFERROR(INDEX(M_RawMaterials[固定週次消費量_要入力],MATCH($A8,M_RawMaterials[Part Name],0)),0)</f>
        <v/>
      </c>
      <c r="AO8">
        <f>SUMPRODUCT((M_BOM[Part Name]=$A8)*M_BOM[RM_Qty_Per_Batch]*IFERROR(INDEX(PP_Grid[#Data],M_BOM[PPGridRow],41),0))+IFERROR(INDEX(M_RawMaterials[固定週次消費量_要入力],MATCH($A8,M_RawMaterials[Part Name],0)),0)</f>
        <v/>
      </c>
      <c r="AP8">
        <f>SUMPRODUCT((M_BOM[Part Name]=$A8)*M_BOM[RM_Qty_Per_Batch]*IFERROR(INDEX(PP_Grid[#Data],M_BOM[PPGridRow],42),0))+IFERROR(INDEX(M_RawMaterials[固定週次消費量_要入力],MATCH($A8,M_RawMaterials[Part Name],0)),0)</f>
        <v/>
      </c>
      <c r="AQ8">
        <f>SUMPRODUCT((M_BOM[Part Name]=$A8)*M_BOM[RM_Qty_Per_Batch]*IFERROR(INDEX(PP_Grid[#Data],M_BOM[PPGridRow],43),0))+IFERROR(INDEX(M_RawMaterials[固定週次消費量_要入力],MATCH($A8,M_RawMaterials[Part Name],0)),0)</f>
        <v/>
      </c>
      <c r="AR8">
        <f>SUMPRODUCT((M_BOM[Part Name]=$A8)*M_BOM[RM_Qty_Per_Batch]*IFERROR(INDEX(PP_Grid[#Data],M_BOM[PPGridRow],44),0))+IFERROR(INDEX(M_RawMaterials[固定週次消費量_要入力],MATCH($A8,M_RawMaterials[Part Name],0)),0)</f>
        <v/>
      </c>
      <c r="AS8">
        <f>SUMPRODUCT((M_BOM[Part Name]=$A8)*M_BOM[RM_Qty_Per_Batch]*IFERROR(INDEX(PP_Grid[#Data],M_BOM[PPGridRow],45),0))+IFERROR(INDEX(M_RawMaterials[固定週次消費量_要入力],MATCH($A8,M_RawMaterials[Part Name],0)),0)</f>
        <v/>
      </c>
      <c r="AT8">
        <f>SUMPRODUCT((M_BOM[Part Name]=$A8)*M_BOM[RM_Qty_Per_Batch]*IFERROR(INDEX(PP_Grid[#Data],M_BOM[PPGridRow],46),0))+IFERROR(INDEX(M_RawMaterials[固定週次消費量_要入力],MATCH($A8,M_RawMaterials[Part Name],0)),0)</f>
        <v/>
      </c>
      <c r="AU8">
        <f>SUMPRODUCT((M_BOM[Part Name]=$A8)*M_BOM[RM_Qty_Per_Batch]*IFERROR(INDEX(PP_Grid[#Data],M_BOM[PPGridRow],47),0))+IFERROR(INDEX(M_RawMaterials[固定週次消費量_要入力],MATCH($A8,M_RawMaterials[Part Name],0)),0)</f>
        <v/>
      </c>
      <c r="AV8">
        <f>SUMPRODUCT((M_BOM[Part Name]=$A8)*M_BOM[RM_Qty_Per_Batch]*IFERROR(INDEX(PP_Grid[#Data],M_BOM[PPGridRow],48),0))+IFERROR(INDEX(M_RawMaterials[固定週次消費量_要入力],MATCH($A8,M_RawMaterials[Part Name],0)),0)</f>
        <v/>
      </c>
      <c r="AW8">
        <f>SUMPRODUCT((M_BOM[Part Name]=$A8)*M_BOM[RM_Qty_Per_Batch]*IFERROR(INDEX(PP_Grid[#Data],M_BOM[PPGridRow],49),0))+IFERROR(INDEX(M_RawMaterials[固定週次消費量_要入力],MATCH($A8,M_RawMaterials[Part Name],0)),0)</f>
        <v/>
      </c>
      <c r="AX8">
        <f>SUMPRODUCT((M_BOM[Part Name]=$A8)*M_BOM[RM_Qty_Per_Batch]*IFERROR(INDEX(PP_Grid[#Data],M_BOM[PPGridRow],50),0))+IFERROR(INDEX(M_RawMaterials[固定週次消費量_要入力],MATCH($A8,M_RawMaterials[Part Name],0)),0)</f>
        <v/>
      </c>
      <c r="AY8">
        <f>SUMPRODUCT((M_BOM[Part Name]=$A8)*M_BOM[RM_Qty_Per_Batch]*IFERROR(INDEX(PP_Grid[#Data],M_BOM[PPGridRow],51),0))+IFERROR(INDEX(M_RawMaterials[固定週次消費量_要入力],MATCH($A8,M_RawMaterials[Part Name],0)),0)</f>
        <v/>
      </c>
      <c r="AZ8">
        <f>SUMPRODUCT((M_BOM[Part Name]=$A8)*M_BOM[RM_Qty_Per_Batch]*IFERROR(INDEX(PP_Grid[#Data],M_BOM[PPGridRow],52),0))+IFERROR(INDEX(M_RawMaterials[固定週次消費量_要入力],MATCH($A8,M_RawMaterials[Part Name],0)),0)</f>
        <v/>
      </c>
      <c r="BA8">
        <f>SUMPRODUCT((M_BOM[Part Name]=$A8)*M_BOM[RM_Qty_Per_Batch]*IFERROR(INDEX(PP_Grid[#Data],M_BOM[PPGridRow],53),0))+IFERROR(INDEX(M_RawMaterials[固定週次消費量_要入力],MATCH($A8,M_RawMaterials[Part Name],0)),0)</f>
        <v/>
      </c>
      <c r="BB8">
        <f>SUMPRODUCT((M_BOM[Part Name]=$A8)*M_BOM[RM_Qty_Per_Batch]*IFERROR(INDEX(PP_Grid[#Data],M_BOM[PPGridRow],54),0))+IFERROR(INDEX(M_RawMaterials[固定週次消費量_要入力],MATCH($A8,M_RawMaterials[Part Name],0)),0)</f>
        <v/>
      </c>
      <c r="BC8">
        <f>SUMPRODUCT((M_BOM[Part Name]=$A8)*M_BOM[RM_Qty_Per_Batch]*IFERROR(INDEX(PP_Grid[#Data],M_BOM[PPGridRow],55),0))+IFERROR(INDEX(M_RawMaterials[固定週次消費量_要入力],MATCH($A8,M_RawMaterials[Part Name],0)),0)</f>
        <v/>
      </c>
      <c r="BD8">
        <f>SUMPRODUCT((M_BOM[Part Name]=$A8)*M_BOM[RM_Qty_Per_Batch]*IFERROR(INDEX(PP_Grid[#Data],M_BOM[PPGridRow],56),0))+IFERROR(INDEX(M_RawMaterials[固定週次消費量_要入力],MATCH($A8,M_RawMaterials[Part Name],0)),0)</f>
        <v/>
      </c>
      <c r="BE8">
        <f>SUMPRODUCT((M_BOM[Part Name]=$A8)*M_BOM[RM_Qty_Per_Batch]*IFERROR(INDEX(PP_Grid[#Data],M_BOM[PPGridRow],57),0))+IFERROR(INDEX(M_RawMaterials[固定週次消費量_要入力],MATCH($A8,M_RawMaterials[Part Name],0)),0)</f>
        <v/>
      </c>
      <c r="BF8">
        <f>SUMPRODUCT((M_BOM[Part Name]=$A8)*M_BOM[RM_Qty_Per_Batch]*IFERROR(INDEX(PP_Grid[#Data],M_BOM[PPGridRow],58),0))+IFERROR(INDEX(M_RawMaterials[固定週次消費量_要入力],MATCH($A8,M_RawMaterials[Part Name],0)),0)</f>
        <v/>
      </c>
      <c r="BG8">
        <f>SUMPRODUCT((M_BOM[Part Name]=$A8)*M_BOM[RM_Qty_Per_Batch]*IFERROR(INDEX(PP_Grid[#Data],M_BOM[PPGridRow],59),0))+IFERROR(INDEX(M_RawMaterials[固定週次消費量_要入力],MATCH($A8,M_RawMaterials[Part Name],0)),0)</f>
        <v/>
      </c>
      <c r="BH8">
        <f>SUMPRODUCT((M_BOM[Part Name]=$A8)*M_BOM[RM_Qty_Per_Batch]*IFERROR(INDEX(PP_Grid[#Data],M_BOM[PPGridRow],60),0))+IFERROR(INDEX(M_RawMaterials[固定週次消費量_要入力],MATCH($A8,M_RawMaterials[Part Name],0)),0)</f>
        <v/>
      </c>
      <c r="BI8">
        <f>SUMPRODUCT((M_BOM[Part Name]=$A8)*M_BOM[RM_Qty_Per_Batch]*IFERROR(INDEX(PP_Grid[#Data],M_BOM[PPGridRow],61),0))+IFERROR(INDEX(M_RawMaterials[固定週次消費量_要入力],MATCH($A8,M_RawMaterials[Part Name],0)),0)</f>
        <v/>
      </c>
      <c r="BJ8">
        <f>SUMPRODUCT((M_BOM[Part Name]=$A8)*M_BOM[RM_Qty_Per_Batch]*IFERROR(INDEX(PP_Grid[#Data],M_BOM[PPGridRow],62),0))+IFERROR(INDEX(M_RawMaterials[固定週次消費量_要入力],MATCH($A8,M_RawMaterials[Part Name],0)),0)</f>
        <v/>
      </c>
      <c r="BK8">
        <f>SUMPRODUCT((M_BOM[Part Name]=$A8)*M_BOM[RM_Qty_Per_Batch]*IFERROR(INDEX(PP_Grid[#Data],M_BOM[PPGridRow],63),0))+IFERROR(INDEX(M_RawMaterials[固定週次消費量_要入力],MATCH($A8,M_RawMaterials[Part Name],0)),0)</f>
        <v/>
      </c>
      <c r="BL8">
        <f>SUMPRODUCT((M_BOM[Part Name]=$A8)*M_BOM[RM_Qty_Per_Batch]*IFERROR(INDEX(PP_Grid[#Data],M_BOM[PPGridRow],64),0))+IFERROR(INDEX(M_RawMaterials[固定週次消費量_要入力],MATCH($A8,M_RawMaterials[Part Name],0)),0)</f>
        <v/>
      </c>
      <c r="BM8">
        <f>SUMPRODUCT((M_BOM[Part Name]=$A8)*M_BOM[RM_Qty_Per_Batch]*IFERROR(INDEX(PP_Grid[#Data],M_BOM[PPGridRow],65),0))+IFERROR(INDEX(M_RawMaterials[固定週次消費量_要入力],MATCH($A8,M_RawMaterials[Part Name],0)),0)</f>
        <v/>
      </c>
      <c r="BN8">
        <f>SUMPRODUCT((M_BOM[Part Name]=$A8)*M_BOM[RM_Qty_Per_Batch]*IFERROR(INDEX(PP_Grid[#Data],M_BOM[PPGridRow],66),0))+IFERROR(INDEX(M_RawMaterials[固定週次消費量_要入力],MATCH($A8,M_RawMaterials[Part Name],0)),0)</f>
        <v/>
      </c>
      <c r="BO8">
        <f>SUMPRODUCT((M_BOM[Part Name]=$A8)*M_BOM[RM_Qty_Per_Batch]*IFERROR(INDEX(PP_Grid[#Data],M_BOM[PPGridRow],67),0))+IFERROR(INDEX(M_RawMaterials[固定週次消費量_要入力],MATCH($A8,M_RawMaterials[Part Name],0)),0)</f>
        <v/>
      </c>
      <c r="BP8">
        <f>SUMPRODUCT((M_BOM[Part Name]=$A8)*M_BOM[RM_Qty_Per_Batch]*IFERROR(INDEX(PP_Grid[#Data],M_BOM[PPGridRow],68),0))+IFERROR(INDEX(M_RawMaterials[固定週次消費量_要入力],MATCH($A8,M_RawMaterials[Part Name],0)),0)</f>
        <v/>
      </c>
      <c r="BQ8">
        <f>SUMPRODUCT((M_BOM[Part Name]=$A8)*M_BOM[RM_Qty_Per_Batch]*IFERROR(INDEX(PP_Grid[#Data],M_BOM[PPGridRow],69),0))+IFERROR(INDEX(M_RawMaterials[固定週次消費量_要入力],MATCH($A8,M_RawMaterials[Part Name],0)),0)</f>
        <v/>
      </c>
      <c r="BR8">
        <f>SUMPRODUCT((M_BOM[Part Name]=$A8)*M_BOM[RM_Qty_Per_Batch]*IFERROR(INDEX(PP_Grid[#Data],M_BOM[PPGridRow],70),0))+IFERROR(INDEX(M_RawMaterials[固定週次消費量_要入力],MATCH($A8,M_RawMaterials[Part Name],0)),0)</f>
        <v/>
      </c>
      <c r="BS8">
        <f>SUMPRODUCT((M_BOM[Part Name]=$A8)*M_BOM[RM_Qty_Per_Batch]*IFERROR(INDEX(PP_Grid[#Data],M_BOM[PPGridRow],71),0))+IFERROR(INDEX(M_RawMaterials[固定週次消費量_要入力],MATCH($A8,M_RawMaterials[Part Name],0)),0)</f>
        <v/>
      </c>
      <c r="BT8">
        <f>SUMPRODUCT((M_BOM[Part Name]=$A8)*M_BOM[RM_Qty_Per_Batch]*IFERROR(INDEX(PP_Grid[#Data],M_BOM[PPGridRow],72),0))+IFERROR(INDEX(M_RawMaterials[固定週次消費量_要入力],MATCH($A8,M_RawMaterials[Part Name],0)),0)</f>
        <v/>
      </c>
      <c r="BU8">
        <f>SUMPRODUCT((M_BOM[Part Name]=$A8)*M_BOM[RM_Qty_Per_Batch]*IFERROR(INDEX(PP_Grid[#Data],M_BOM[PPGridRow],73),0))+IFERROR(INDEX(M_RawMaterials[固定週次消費量_要入力],MATCH($A8,M_RawMaterials[Part Name],0)),0)</f>
        <v/>
      </c>
      <c r="BV8">
        <f>SUMPRODUCT((M_BOM[Part Name]=$A8)*M_BOM[RM_Qty_Per_Batch]*IFERROR(INDEX(PP_Grid[#Data],M_BOM[PPGridRow],74),0))+IFERROR(INDEX(M_RawMaterials[固定週次消費量_要入力],MATCH($A8,M_RawMaterials[Part Name],0)),0)</f>
        <v/>
      </c>
      <c r="BW8">
        <f>SUMPRODUCT((M_BOM[Part Name]=$A8)*M_BOM[RM_Qty_Per_Batch]*IFERROR(INDEX(PP_Grid[#Data],M_BOM[PPGridRow],75),0))+IFERROR(INDEX(M_RawMaterials[固定週次消費量_要入力],MATCH($A8,M_RawMaterials[Part Name],0)),0)</f>
        <v/>
      </c>
      <c r="BX8">
        <f>SUMPRODUCT((M_BOM[Part Name]=$A8)*M_BOM[RM_Qty_Per_Batch]*IFERROR(INDEX(PP_Grid[#Data],M_BOM[PPGridRow],76),0))+IFERROR(INDEX(M_RawMaterials[固定週次消費量_要入力],MATCH($A8,M_RawMaterials[Part Name],0)),0)</f>
        <v/>
      </c>
      <c r="BY8">
        <f>SUMPRODUCT((M_BOM[Part Name]=$A8)*M_BOM[RM_Qty_Per_Batch]*IFERROR(INDEX(PP_Grid[#Data],M_BOM[PPGridRow],77),0))+IFERROR(INDEX(M_RawMaterials[固定週次消費量_要入力],MATCH($A8,M_RawMaterials[Part Name],0)),0)</f>
        <v/>
      </c>
      <c r="BZ8">
        <f>SUMPRODUCT((M_BOM[Part Name]=$A8)*M_BOM[RM_Qty_Per_Batch]*IFERROR(INDEX(PP_Grid[#Data],M_BOM[PPGridRow],78),0))+IFERROR(INDEX(M_RawMaterials[固定週次消費量_要入力],MATCH($A8,M_RawMaterials[Part Name],0)),0)</f>
        <v/>
      </c>
      <c r="CA8">
        <f>SUMPRODUCT((M_BOM[Part Name]=$A8)*M_BOM[RM_Qty_Per_Batch]*IFERROR(INDEX(PP_Grid[#Data],M_BOM[PPGridRow],79),0))+IFERROR(INDEX(M_RawMaterials[固定週次消費量_要入力],MATCH($A8,M_RawMaterials[Part Name],0)),0)</f>
        <v/>
      </c>
      <c r="CB8">
        <f>SUMPRODUCT((M_BOM[Part Name]=$A8)*M_BOM[RM_Qty_Per_Batch]*IFERROR(INDEX(PP_Grid[#Data],M_BOM[PPGridRow],80),0))+IFERROR(INDEX(M_RawMaterials[固定週次消費量_要入力],MATCH($A8,M_RawMaterials[Part Name],0)),0)</f>
        <v/>
      </c>
      <c r="CC8">
        <f>SUMPRODUCT((M_BOM[Part Name]=$A8)*M_BOM[RM_Qty_Per_Batch]*IFERROR(INDEX(PP_Grid[#Data],M_BOM[PPGridRow],81),0))+IFERROR(INDEX(M_RawMaterials[固定週次消費量_要入力],MATCH($A8,M_RawMaterials[Part Name],0)),0)</f>
        <v/>
      </c>
      <c r="CD8">
        <f>SUMPRODUCT((M_BOM[Part Name]=$A8)*M_BOM[RM_Qty_Per_Batch]*IFERROR(INDEX(PP_Grid[#Data],M_BOM[PPGridRow],82),0))+IFERROR(INDEX(M_RawMaterials[固定週次消費量_要入力],MATCH($A8,M_RawMaterials[Part Name],0)),0)</f>
        <v/>
      </c>
      <c r="CE8">
        <f>SUMPRODUCT((M_BOM[Part Name]=$A8)*M_BOM[RM_Qty_Per_Batch]*IFERROR(INDEX(PP_Grid[#Data],M_BOM[PPGridRow],83),0))+IFERROR(INDEX(M_RawMaterials[固定週次消費量_要入力],MATCH($A8,M_RawMaterials[Part Name],0)),0)</f>
        <v/>
      </c>
      <c r="CF8">
        <f>SUMPRODUCT((M_BOM[Part Name]=$A8)*M_BOM[RM_Qty_Per_Batch]*IFERROR(INDEX(PP_Grid[#Data],M_BOM[PPGridRow],84),0))+IFERROR(INDEX(M_RawMaterials[固定週次消費量_要入力],MATCH($A8,M_RawMaterials[Part Name],0)),0)</f>
        <v/>
      </c>
      <c r="CG8">
        <f>SUMPRODUCT((M_BOM[Part Name]=$A8)*M_BOM[RM_Qty_Per_Batch]*IFERROR(INDEX(PP_Grid[#Data],M_BOM[PPGridRow],85),0))+IFERROR(INDEX(M_RawMaterials[固定週次消費量_要入力],MATCH($A8,M_RawMaterials[Part Name],0)),0)</f>
        <v/>
      </c>
      <c r="CH8">
        <f>SUMPRODUCT((M_BOM[Part Name]=$A8)*M_BOM[RM_Qty_Per_Batch]*IFERROR(INDEX(PP_Grid[#Data],M_BOM[PPGridRow],86),0))+IFERROR(INDEX(M_RawMaterials[固定週次消費量_要入力],MATCH($A8,M_RawMaterials[Part Name],0)),0)</f>
        <v/>
      </c>
      <c r="CI8">
        <f>SUMPRODUCT((M_BOM[Part Name]=$A8)*M_BOM[RM_Qty_Per_Batch]*IFERROR(INDEX(PP_Grid[#Data],M_BOM[PPGridRow],87),0))+IFERROR(INDEX(M_RawMaterials[固定週次消費量_要入力],MATCH($A8,M_RawMaterials[Part Name],0)),0)</f>
        <v/>
      </c>
      <c r="CJ8">
        <f>SUMPRODUCT((M_BOM[Part Name]=$A8)*M_BOM[RM_Qty_Per_Batch]*IFERROR(INDEX(PP_Grid[#Data],M_BOM[PPGridRow],88),0))+IFERROR(INDEX(M_RawMaterials[固定週次消費量_要入力],MATCH($A8,M_RawMaterials[Part Name],0)),0)</f>
        <v/>
      </c>
      <c r="CK8">
        <f>SUMPRODUCT((M_BOM[Part Name]=$A8)*M_BOM[RM_Qty_Per_Batch]*IFERROR(INDEX(PP_Grid[#Data],M_BOM[PPGridRow],89),0))+IFERROR(INDEX(M_RawMaterials[固定週次消費量_要入力],MATCH($A8,M_RawMaterials[Part Name],0)),0)</f>
        <v/>
      </c>
      <c r="CL8">
        <f>SUMPRODUCT((M_BOM[Part Name]=$A8)*M_BOM[RM_Qty_Per_Batch]*IFERROR(INDEX(PP_Grid[#Data],M_BOM[PPGridRow],90),0))+IFERROR(INDEX(M_RawMaterials[固定週次消費量_要入力],MATCH($A8,M_RawMaterials[Part Name],0)),0)</f>
        <v/>
      </c>
      <c r="CM8">
        <f>SUMPRODUCT((M_BOM[Part Name]=$A8)*M_BOM[RM_Qty_Per_Batch]*IFERROR(INDEX(PP_Grid[#Data],M_BOM[PPGridRow],91),0))+IFERROR(INDEX(M_RawMaterials[固定週次消費量_要入力],MATCH($A8,M_RawMaterials[Part Name],0)),0)</f>
        <v/>
      </c>
      <c r="CN8">
        <f>SUMPRODUCT((M_BOM[Part Name]=$A8)*M_BOM[RM_Qty_Per_Batch]*IFERROR(INDEX(PP_Grid[#Data],M_BOM[PPGridRow],92),0))+IFERROR(INDEX(M_RawMaterials[固定週次消費量_要入力],MATCH($A8,M_RawMaterials[Part Name],0)),0)</f>
        <v/>
      </c>
      <c r="CO8">
        <f>SUMPRODUCT((M_BOM[Part Name]=$A8)*M_BOM[RM_Qty_Per_Batch]*IFERROR(INDEX(PP_Grid[#Data],M_BOM[PPGridRow],93),0))+IFERROR(INDEX(M_RawMaterials[固定週次消費量_要入力],MATCH($A8,M_RawMaterials[Part Name],0)),0)</f>
        <v/>
      </c>
      <c r="CP8">
        <f>SUMPRODUCT((M_BOM[Part Name]=$A8)*M_BOM[RM_Qty_Per_Batch]*IFERROR(INDEX(PP_Grid[#Data],M_BOM[PPGridRow],94),0))+IFERROR(INDEX(M_RawMaterials[固定週次消費量_要入力],MATCH($A8,M_RawMaterials[Part Name],0)),0)</f>
        <v/>
      </c>
      <c r="CQ8">
        <f>SUMPRODUCT((M_BOM[Part Name]=$A8)*M_BOM[RM_Qty_Per_Batch]*IFERROR(INDEX(PP_Grid[#Data],M_BOM[PPGridRow],95),0))+IFERROR(INDEX(M_RawMaterials[固定週次消費量_要入力],MATCH($A8,M_RawMaterials[Part Name],0)),0)</f>
        <v/>
      </c>
      <c r="CR8">
        <f>SUMPRODUCT((M_BOM[Part Name]=$A8)*M_BOM[RM_Qty_Per_Batch]*IFERROR(INDEX(PP_Grid[#Data],M_BOM[PPGridRow],96),0))+IFERROR(INDEX(M_RawMaterials[固定週次消費量_要入力],MATCH($A8,M_RawMaterials[Part Name],0)),0)</f>
        <v/>
      </c>
      <c r="CS8">
        <f>SUMPRODUCT((M_BOM[Part Name]=$A8)*M_BOM[RM_Qty_Per_Batch]*IFERROR(INDEX(PP_Grid[#Data],M_BOM[PPGridRow],97),0))+IFERROR(INDEX(M_RawMaterials[固定週次消費量_要入力],MATCH($A8,M_RawMaterials[Part Name],0)),0)</f>
        <v/>
      </c>
      <c r="CT8">
        <f>SUMPRODUCT((M_BOM[Part Name]=$A8)*M_BOM[RM_Qty_Per_Batch]*IFERROR(INDEX(PP_Grid[#Data],M_BOM[PPGridRow],98),0))+IFERROR(INDEX(M_RawMaterials[固定週次消費量_要入力],MATCH($A8,M_RawMaterials[Part Name],0)),0)</f>
        <v/>
      </c>
      <c r="CU8">
        <f>SUMPRODUCT((M_BOM[Part Name]=$A8)*M_BOM[RM_Qty_Per_Batch]*IFERROR(INDEX(PP_Grid[#Data],M_BOM[PPGridRow],99),0))+IFERROR(INDEX(M_RawMaterials[固定週次消費量_要入力],MATCH($A8,M_RawMaterials[Part Name],0)),0)</f>
        <v/>
      </c>
      <c r="CV8">
        <f>SUMPRODUCT((M_BOM[Part Name]=$A8)*M_BOM[RM_Qty_Per_Batch]*IFERROR(INDEX(PP_Grid[#Data],M_BOM[PPGridRow],100),0))+IFERROR(INDEX(M_RawMaterials[固定週次消費量_要入力],MATCH($A8,M_RawMaterials[Part Name],0)),0)</f>
        <v/>
      </c>
      <c r="CW8">
        <f>SUMPRODUCT((M_BOM[Part Name]=$A8)*M_BOM[RM_Qty_Per_Batch]*IFERROR(INDEX(PP_Grid[#Data],M_BOM[PPGridRow],101),0))+IFERROR(INDEX(M_RawMaterials[固定週次消費量_要入力],MATCH($A8,M_RawMaterials[Part Name],0)),0)</f>
        <v/>
      </c>
      <c r="CX8">
        <f>SUMPRODUCT((M_BOM[Part Name]=$A8)*M_BOM[RM_Qty_Per_Batch]*IFERROR(INDEX(PP_Grid[#Data],M_BOM[PPGridRow],102),0))+IFERROR(INDEX(M_RawMaterials[固定週次消費量_要入力],MATCH($A8,M_RawMaterials[Part Name],0)),0)</f>
        <v/>
      </c>
      <c r="CY8">
        <f>SUMPRODUCT((M_BOM[Part Name]=$A8)*M_BOM[RM_Qty_Per_Batch]*IFERROR(INDEX(PP_Grid[#Data],M_BOM[PPGridRow],103),0))+IFERROR(INDEX(M_RawMaterials[固定週次消費量_要入力],MATCH($A8,M_RawMaterials[Part Name],0)),0)</f>
        <v/>
      </c>
      <c r="CZ8">
        <f>SUMPRODUCT((M_BOM[Part Name]=$A8)*M_BOM[RM_Qty_Per_Batch]*IFERROR(INDEX(PP_Grid[#Data],M_BOM[PPGridRow],104),0))+IFERROR(INDEX(M_RawMaterials[固定週次消費量_要入力],MATCH($A8,M_RawMaterials[Part Name],0)),0)</f>
        <v/>
      </c>
      <c r="DA8">
        <f>SUMPRODUCT((M_BOM[Part Name]=$A8)*M_BOM[RM_Qty_Per_Batch]*IFERROR(INDEX(PP_Grid[#Data],M_BOM[PPGridRow],105),0))+IFERROR(INDEX(M_RawMaterials[固定週次消費量_要入力],MATCH($A8,M_RawMaterials[Part Name],0)),0)</f>
        <v/>
      </c>
    </row>
    <row r="9">
      <c r="A9" t="inlineStr">
        <is>
          <t>3TP</t>
        </is>
      </c>
      <c r="B9">
        <f>SUMPRODUCT((M_BOM[Part Name]=$A9)*M_BOM[RM_Qty_Per_Batch]*IFERROR(INDEX(PP_Grid[#Data],M_BOM[PPGridRow],2),0))+IFERROR(INDEX(M_RawMaterials[固定週次消費量_要入力],MATCH($A9,M_RawMaterials[Part Name],0)),0)</f>
        <v/>
      </c>
      <c r="C9">
        <f>SUMPRODUCT((M_BOM[Part Name]=$A9)*M_BOM[RM_Qty_Per_Batch]*IFERROR(INDEX(PP_Grid[#Data],M_BOM[PPGridRow],3),0))+IFERROR(INDEX(M_RawMaterials[固定週次消費量_要入力],MATCH($A9,M_RawMaterials[Part Name],0)),0)</f>
        <v/>
      </c>
      <c r="D9">
        <f>SUMPRODUCT((M_BOM[Part Name]=$A9)*M_BOM[RM_Qty_Per_Batch]*IFERROR(INDEX(PP_Grid[#Data],M_BOM[PPGridRow],4),0))+IFERROR(INDEX(M_RawMaterials[固定週次消費量_要入力],MATCH($A9,M_RawMaterials[Part Name],0)),0)</f>
        <v/>
      </c>
      <c r="E9">
        <f>SUMPRODUCT((M_BOM[Part Name]=$A9)*M_BOM[RM_Qty_Per_Batch]*IFERROR(INDEX(PP_Grid[#Data],M_BOM[PPGridRow],5),0))+IFERROR(INDEX(M_RawMaterials[固定週次消費量_要入力],MATCH($A9,M_RawMaterials[Part Name],0)),0)</f>
        <v/>
      </c>
      <c r="F9">
        <f>SUMPRODUCT((M_BOM[Part Name]=$A9)*M_BOM[RM_Qty_Per_Batch]*IFERROR(INDEX(PP_Grid[#Data],M_BOM[PPGridRow],6),0))+IFERROR(INDEX(M_RawMaterials[固定週次消費量_要入力],MATCH($A9,M_RawMaterials[Part Name],0)),0)</f>
        <v/>
      </c>
      <c r="G9">
        <f>SUMPRODUCT((M_BOM[Part Name]=$A9)*M_BOM[RM_Qty_Per_Batch]*IFERROR(INDEX(PP_Grid[#Data],M_BOM[PPGridRow],7),0))+IFERROR(INDEX(M_RawMaterials[固定週次消費量_要入力],MATCH($A9,M_RawMaterials[Part Name],0)),0)</f>
        <v/>
      </c>
      <c r="H9">
        <f>SUMPRODUCT((M_BOM[Part Name]=$A9)*M_BOM[RM_Qty_Per_Batch]*IFERROR(INDEX(PP_Grid[#Data],M_BOM[PPGridRow],8),0))+IFERROR(INDEX(M_RawMaterials[固定週次消費量_要入力],MATCH($A9,M_RawMaterials[Part Name],0)),0)</f>
        <v/>
      </c>
      <c r="I9">
        <f>SUMPRODUCT((M_BOM[Part Name]=$A9)*M_BOM[RM_Qty_Per_Batch]*IFERROR(INDEX(PP_Grid[#Data],M_BOM[PPGridRow],9),0))+IFERROR(INDEX(M_RawMaterials[固定週次消費量_要入力],MATCH($A9,M_RawMaterials[Part Name],0)),0)</f>
        <v/>
      </c>
      <c r="J9">
        <f>SUMPRODUCT((M_BOM[Part Name]=$A9)*M_BOM[RM_Qty_Per_Batch]*IFERROR(INDEX(PP_Grid[#Data],M_BOM[PPGridRow],10),0))+IFERROR(INDEX(M_RawMaterials[固定週次消費量_要入力],MATCH($A9,M_RawMaterials[Part Name],0)),0)</f>
        <v/>
      </c>
      <c r="K9">
        <f>SUMPRODUCT((M_BOM[Part Name]=$A9)*M_BOM[RM_Qty_Per_Batch]*IFERROR(INDEX(PP_Grid[#Data],M_BOM[PPGridRow],11),0))+IFERROR(INDEX(M_RawMaterials[固定週次消費量_要入力],MATCH($A9,M_RawMaterials[Part Name],0)),0)</f>
        <v/>
      </c>
      <c r="L9">
        <f>SUMPRODUCT((M_BOM[Part Name]=$A9)*M_BOM[RM_Qty_Per_Batch]*IFERROR(INDEX(PP_Grid[#Data],M_BOM[PPGridRow],12),0))+IFERROR(INDEX(M_RawMaterials[固定週次消費量_要入力],MATCH($A9,M_RawMaterials[Part Name],0)),0)</f>
        <v/>
      </c>
      <c r="M9">
        <f>SUMPRODUCT((M_BOM[Part Name]=$A9)*M_BOM[RM_Qty_Per_Batch]*IFERROR(INDEX(PP_Grid[#Data],M_BOM[PPGridRow],13),0))+IFERROR(INDEX(M_RawMaterials[固定週次消費量_要入力],MATCH($A9,M_RawMaterials[Part Name],0)),0)</f>
        <v/>
      </c>
      <c r="N9">
        <f>SUMPRODUCT((M_BOM[Part Name]=$A9)*M_BOM[RM_Qty_Per_Batch]*IFERROR(INDEX(PP_Grid[#Data],M_BOM[PPGridRow],14),0))+IFERROR(INDEX(M_RawMaterials[固定週次消費量_要入力],MATCH($A9,M_RawMaterials[Part Name],0)),0)</f>
        <v/>
      </c>
      <c r="O9">
        <f>SUMPRODUCT((M_BOM[Part Name]=$A9)*M_BOM[RM_Qty_Per_Batch]*IFERROR(INDEX(PP_Grid[#Data],M_BOM[PPGridRow],15),0))+IFERROR(INDEX(M_RawMaterials[固定週次消費量_要入力],MATCH($A9,M_RawMaterials[Part Name],0)),0)</f>
        <v/>
      </c>
      <c r="P9">
        <f>SUMPRODUCT((M_BOM[Part Name]=$A9)*M_BOM[RM_Qty_Per_Batch]*IFERROR(INDEX(PP_Grid[#Data],M_BOM[PPGridRow],16),0))+IFERROR(INDEX(M_RawMaterials[固定週次消費量_要入力],MATCH($A9,M_RawMaterials[Part Name],0)),0)</f>
        <v/>
      </c>
      <c r="Q9">
        <f>SUMPRODUCT((M_BOM[Part Name]=$A9)*M_BOM[RM_Qty_Per_Batch]*IFERROR(INDEX(PP_Grid[#Data],M_BOM[PPGridRow],17),0))+IFERROR(INDEX(M_RawMaterials[固定週次消費量_要入力],MATCH($A9,M_RawMaterials[Part Name],0)),0)</f>
        <v/>
      </c>
      <c r="R9">
        <f>SUMPRODUCT((M_BOM[Part Name]=$A9)*M_BOM[RM_Qty_Per_Batch]*IFERROR(INDEX(PP_Grid[#Data],M_BOM[PPGridRow],18),0))+IFERROR(INDEX(M_RawMaterials[固定週次消費量_要入力],MATCH($A9,M_RawMaterials[Part Name],0)),0)</f>
        <v/>
      </c>
      <c r="S9">
        <f>SUMPRODUCT((M_BOM[Part Name]=$A9)*M_BOM[RM_Qty_Per_Batch]*IFERROR(INDEX(PP_Grid[#Data],M_BOM[PPGridRow],19),0))+IFERROR(INDEX(M_RawMaterials[固定週次消費量_要入力],MATCH($A9,M_RawMaterials[Part Name],0)),0)</f>
        <v/>
      </c>
      <c r="T9">
        <f>SUMPRODUCT((M_BOM[Part Name]=$A9)*M_BOM[RM_Qty_Per_Batch]*IFERROR(INDEX(PP_Grid[#Data],M_BOM[PPGridRow],20),0))+IFERROR(INDEX(M_RawMaterials[固定週次消費量_要入力],MATCH($A9,M_RawMaterials[Part Name],0)),0)</f>
        <v/>
      </c>
      <c r="U9">
        <f>SUMPRODUCT((M_BOM[Part Name]=$A9)*M_BOM[RM_Qty_Per_Batch]*IFERROR(INDEX(PP_Grid[#Data],M_BOM[PPGridRow],21),0))+IFERROR(INDEX(M_RawMaterials[固定週次消費量_要入力],MATCH($A9,M_RawMaterials[Part Name],0)),0)</f>
        <v/>
      </c>
      <c r="V9">
        <f>SUMPRODUCT((M_BOM[Part Name]=$A9)*M_BOM[RM_Qty_Per_Batch]*IFERROR(INDEX(PP_Grid[#Data],M_BOM[PPGridRow],22),0))+IFERROR(INDEX(M_RawMaterials[固定週次消費量_要入力],MATCH($A9,M_RawMaterials[Part Name],0)),0)</f>
        <v/>
      </c>
      <c r="W9">
        <f>SUMPRODUCT((M_BOM[Part Name]=$A9)*M_BOM[RM_Qty_Per_Batch]*IFERROR(INDEX(PP_Grid[#Data],M_BOM[PPGridRow],23),0))+IFERROR(INDEX(M_RawMaterials[固定週次消費量_要入力],MATCH($A9,M_RawMaterials[Part Name],0)),0)</f>
        <v/>
      </c>
      <c r="X9">
        <f>SUMPRODUCT((M_BOM[Part Name]=$A9)*M_BOM[RM_Qty_Per_Batch]*IFERROR(INDEX(PP_Grid[#Data],M_BOM[PPGridRow],24),0))+IFERROR(INDEX(M_RawMaterials[固定週次消費量_要入力],MATCH($A9,M_RawMaterials[Part Name],0)),0)</f>
        <v/>
      </c>
      <c r="Y9">
        <f>SUMPRODUCT((M_BOM[Part Name]=$A9)*M_BOM[RM_Qty_Per_Batch]*IFERROR(INDEX(PP_Grid[#Data],M_BOM[PPGridRow],25),0))+IFERROR(INDEX(M_RawMaterials[固定週次消費量_要入力],MATCH($A9,M_RawMaterials[Part Name],0)),0)</f>
        <v/>
      </c>
      <c r="Z9">
        <f>SUMPRODUCT((M_BOM[Part Name]=$A9)*M_BOM[RM_Qty_Per_Batch]*IFERROR(INDEX(PP_Grid[#Data],M_BOM[PPGridRow],26),0))+IFERROR(INDEX(M_RawMaterials[固定週次消費量_要入力],MATCH($A9,M_RawMaterials[Part Name],0)),0)</f>
        <v/>
      </c>
      <c r="AA9">
        <f>SUMPRODUCT((M_BOM[Part Name]=$A9)*M_BOM[RM_Qty_Per_Batch]*IFERROR(INDEX(PP_Grid[#Data],M_BOM[PPGridRow],27),0))+IFERROR(INDEX(M_RawMaterials[固定週次消費量_要入力],MATCH($A9,M_RawMaterials[Part Name],0)),0)</f>
        <v/>
      </c>
      <c r="AB9">
        <f>SUMPRODUCT((M_BOM[Part Name]=$A9)*M_BOM[RM_Qty_Per_Batch]*IFERROR(INDEX(PP_Grid[#Data],M_BOM[PPGridRow],28),0))+IFERROR(INDEX(M_RawMaterials[固定週次消費量_要入力],MATCH($A9,M_RawMaterials[Part Name],0)),0)</f>
        <v/>
      </c>
      <c r="AC9">
        <f>SUMPRODUCT((M_BOM[Part Name]=$A9)*M_BOM[RM_Qty_Per_Batch]*IFERROR(INDEX(PP_Grid[#Data],M_BOM[PPGridRow],29),0))+IFERROR(INDEX(M_RawMaterials[固定週次消費量_要入力],MATCH($A9,M_RawMaterials[Part Name],0)),0)</f>
        <v/>
      </c>
      <c r="AD9">
        <f>SUMPRODUCT((M_BOM[Part Name]=$A9)*M_BOM[RM_Qty_Per_Batch]*IFERROR(INDEX(PP_Grid[#Data],M_BOM[PPGridRow],30),0))+IFERROR(INDEX(M_RawMaterials[固定週次消費量_要入力],MATCH($A9,M_RawMaterials[Part Name],0)),0)</f>
        <v/>
      </c>
      <c r="AE9">
        <f>SUMPRODUCT((M_BOM[Part Name]=$A9)*M_BOM[RM_Qty_Per_Batch]*IFERROR(INDEX(PP_Grid[#Data],M_BOM[PPGridRow],31),0))+IFERROR(INDEX(M_RawMaterials[固定週次消費量_要入力],MATCH($A9,M_RawMaterials[Part Name],0)),0)</f>
        <v/>
      </c>
      <c r="AF9">
        <f>SUMPRODUCT((M_BOM[Part Name]=$A9)*M_BOM[RM_Qty_Per_Batch]*IFERROR(INDEX(PP_Grid[#Data],M_BOM[PPGridRow],32),0))+IFERROR(INDEX(M_RawMaterials[固定週次消費量_要入力],MATCH($A9,M_RawMaterials[Part Name],0)),0)</f>
        <v/>
      </c>
      <c r="AG9">
        <f>SUMPRODUCT((M_BOM[Part Name]=$A9)*M_BOM[RM_Qty_Per_Batch]*IFERROR(INDEX(PP_Grid[#Data],M_BOM[PPGridRow],33),0))+IFERROR(INDEX(M_RawMaterials[固定週次消費量_要入力],MATCH($A9,M_RawMaterials[Part Name],0)),0)</f>
        <v/>
      </c>
      <c r="AH9">
        <f>SUMPRODUCT((M_BOM[Part Name]=$A9)*M_BOM[RM_Qty_Per_Batch]*IFERROR(INDEX(PP_Grid[#Data],M_BOM[PPGridRow],34),0))+IFERROR(INDEX(M_RawMaterials[固定週次消費量_要入力],MATCH($A9,M_RawMaterials[Part Name],0)),0)</f>
        <v/>
      </c>
      <c r="AI9">
        <f>SUMPRODUCT((M_BOM[Part Name]=$A9)*M_BOM[RM_Qty_Per_Batch]*IFERROR(INDEX(PP_Grid[#Data],M_BOM[PPGridRow],35),0))+IFERROR(INDEX(M_RawMaterials[固定週次消費量_要入力],MATCH($A9,M_RawMaterials[Part Name],0)),0)</f>
        <v/>
      </c>
      <c r="AJ9">
        <f>SUMPRODUCT((M_BOM[Part Name]=$A9)*M_BOM[RM_Qty_Per_Batch]*IFERROR(INDEX(PP_Grid[#Data],M_BOM[PPGridRow],36),0))+IFERROR(INDEX(M_RawMaterials[固定週次消費量_要入力],MATCH($A9,M_RawMaterials[Part Name],0)),0)</f>
        <v/>
      </c>
      <c r="AK9">
        <f>SUMPRODUCT((M_BOM[Part Name]=$A9)*M_BOM[RM_Qty_Per_Batch]*IFERROR(INDEX(PP_Grid[#Data],M_BOM[PPGridRow],37),0))+IFERROR(INDEX(M_RawMaterials[固定週次消費量_要入力],MATCH($A9,M_RawMaterials[Part Name],0)),0)</f>
        <v/>
      </c>
      <c r="AL9">
        <f>SUMPRODUCT((M_BOM[Part Name]=$A9)*M_BOM[RM_Qty_Per_Batch]*IFERROR(INDEX(PP_Grid[#Data],M_BOM[PPGridRow],38),0))+IFERROR(INDEX(M_RawMaterials[固定週次消費量_要入力],MATCH($A9,M_RawMaterials[Part Name],0)),0)</f>
        <v/>
      </c>
      <c r="AM9">
        <f>SUMPRODUCT((M_BOM[Part Name]=$A9)*M_BOM[RM_Qty_Per_Batch]*IFERROR(INDEX(PP_Grid[#Data],M_BOM[PPGridRow],39),0))+IFERROR(INDEX(M_RawMaterials[固定週次消費量_要入力],MATCH($A9,M_RawMaterials[Part Name],0)),0)</f>
        <v/>
      </c>
      <c r="AN9">
        <f>SUMPRODUCT((M_BOM[Part Name]=$A9)*M_BOM[RM_Qty_Per_Batch]*IFERROR(INDEX(PP_Grid[#Data],M_BOM[PPGridRow],40),0))+IFERROR(INDEX(M_RawMaterials[固定週次消費量_要入力],MATCH($A9,M_RawMaterials[Part Name],0)),0)</f>
        <v/>
      </c>
      <c r="AO9">
        <f>SUMPRODUCT((M_BOM[Part Name]=$A9)*M_BOM[RM_Qty_Per_Batch]*IFERROR(INDEX(PP_Grid[#Data],M_BOM[PPGridRow],41),0))+IFERROR(INDEX(M_RawMaterials[固定週次消費量_要入力],MATCH($A9,M_RawMaterials[Part Name],0)),0)</f>
        <v/>
      </c>
      <c r="AP9">
        <f>SUMPRODUCT((M_BOM[Part Name]=$A9)*M_BOM[RM_Qty_Per_Batch]*IFERROR(INDEX(PP_Grid[#Data],M_BOM[PPGridRow],42),0))+IFERROR(INDEX(M_RawMaterials[固定週次消費量_要入力],MATCH($A9,M_RawMaterials[Part Name],0)),0)</f>
        <v/>
      </c>
      <c r="AQ9">
        <f>SUMPRODUCT((M_BOM[Part Name]=$A9)*M_BOM[RM_Qty_Per_Batch]*IFERROR(INDEX(PP_Grid[#Data],M_BOM[PPGridRow],43),0))+IFERROR(INDEX(M_RawMaterials[固定週次消費量_要入力],MATCH($A9,M_RawMaterials[Part Name],0)),0)</f>
        <v/>
      </c>
      <c r="AR9">
        <f>SUMPRODUCT((M_BOM[Part Name]=$A9)*M_BOM[RM_Qty_Per_Batch]*IFERROR(INDEX(PP_Grid[#Data],M_BOM[PPGridRow],44),0))+IFERROR(INDEX(M_RawMaterials[固定週次消費量_要入力],MATCH($A9,M_RawMaterials[Part Name],0)),0)</f>
        <v/>
      </c>
      <c r="AS9">
        <f>SUMPRODUCT((M_BOM[Part Name]=$A9)*M_BOM[RM_Qty_Per_Batch]*IFERROR(INDEX(PP_Grid[#Data],M_BOM[PPGridRow],45),0))+IFERROR(INDEX(M_RawMaterials[固定週次消費量_要入力],MATCH($A9,M_RawMaterials[Part Name],0)),0)</f>
        <v/>
      </c>
      <c r="AT9">
        <f>SUMPRODUCT((M_BOM[Part Name]=$A9)*M_BOM[RM_Qty_Per_Batch]*IFERROR(INDEX(PP_Grid[#Data],M_BOM[PPGridRow],46),0))+IFERROR(INDEX(M_RawMaterials[固定週次消費量_要入力],MATCH($A9,M_RawMaterials[Part Name],0)),0)</f>
        <v/>
      </c>
      <c r="AU9">
        <f>SUMPRODUCT((M_BOM[Part Name]=$A9)*M_BOM[RM_Qty_Per_Batch]*IFERROR(INDEX(PP_Grid[#Data],M_BOM[PPGridRow],47),0))+IFERROR(INDEX(M_RawMaterials[固定週次消費量_要入力],MATCH($A9,M_RawMaterials[Part Name],0)),0)</f>
        <v/>
      </c>
      <c r="AV9">
        <f>SUMPRODUCT((M_BOM[Part Name]=$A9)*M_BOM[RM_Qty_Per_Batch]*IFERROR(INDEX(PP_Grid[#Data],M_BOM[PPGridRow],48),0))+IFERROR(INDEX(M_RawMaterials[固定週次消費量_要入力],MATCH($A9,M_RawMaterials[Part Name],0)),0)</f>
        <v/>
      </c>
      <c r="AW9">
        <f>SUMPRODUCT((M_BOM[Part Name]=$A9)*M_BOM[RM_Qty_Per_Batch]*IFERROR(INDEX(PP_Grid[#Data],M_BOM[PPGridRow],49),0))+IFERROR(INDEX(M_RawMaterials[固定週次消費量_要入力],MATCH($A9,M_RawMaterials[Part Name],0)),0)</f>
        <v/>
      </c>
      <c r="AX9">
        <f>SUMPRODUCT((M_BOM[Part Name]=$A9)*M_BOM[RM_Qty_Per_Batch]*IFERROR(INDEX(PP_Grid[#Data],M_BOM[PPGridRow],50),0))+IFERROR(INDEX(M_RawMaterials[固定週次消費量_要入力],MATCH($A9,M_RawMaterials[Part Name],0)),0)</f>
        <v/>
      </c>
      <c r="AY9">
        <f>SUMPRODUCT((M_BOM[Part Name]=$A9)*M_BOM[RM_Qty_Per_Batch]*IFERROR(INDEX(PP_Grid[#Data],M_BOM[PPGridRow],51),0))+IFERROR(INDEX(M_RawMaterials[固定週次消費量_要入力],MATCH($A9,M_RawMaterials[Part Name],0)),0)</f>
        <v/>
      </c>
      <c r="AZ9">
        <f>SUMPRODUCT((M_BOM[Part Name]=$A9)*M_BOM[RM_Qty_Per_Batch]*IFERROR(INDEX(PP_Grid[#Data],M_BOM[PPGridRow],52),0))+IFERROR(INDEX(M_RawMaterials[固定週次消費量_要入力],MATCH($A9,M_RawMaterials[Part Name],0)),0)</f>
        <v/>
      </c>
      <c r="BA9">
        <f>SUMPRODUCT((M_BOM[Part Name]=$A9)*M_BOM[RM_Qty_Per_Batch]*IFERROR(INDEX(PP_Grid[#Data],M_BOM[PPGridRow],53),0))+IFERROR(INDEX(M_RawMaterials[固定週次消費量_要入力],MATCH($A9,M_RawMaterials[Part Name],0)),0)</f>
        <v/>
      </c>
      <c r="BB9">
        <f>SUMPRODUCT((M_BOM[Part Name]=$A9)*M_BOM[RM_Qty_Per_Batch]*IFERROR(INDEX(PP_Grid[#Data],M_BOM[PPGridRow],54),0))+IFERROR(INDEX(M_RawMaterials[固定週次消費量_要入力],MATCH($A9,M_RawMaterials[Part Name],0)),0)</f>
        <v/>
      </c>
      <c r="BC9">
        <f>SUMPRODUCT((M_BOM[Part Name]=$A9)*M_BOM[RM_Qty_Per_Batch]*IFERROR(INDEX(PP_Grid[#Data],M_BOM[PPGridRow],55),0))+IFERROR(INDEX(M_RawMaterials[固定週次消費量_要入力],MATCH($A9,M_RawMaterials[Part Name],0)),0)</f>
        <v/>
      </c>
      <c r="BD9">
        <f>SUMPRODUCT((M_BOM[Part Name]=$A9)*M_BOM[RM_Qty_Per_Batch]*IFERROR(INDEX(PP_Grid[#Data],M_BOM[PPGridRow],56),0))+IFERROR(INDEX(M_RawMaterials[固定週次消費量_要入力],MATCH($A9,M_RawMaterials[Part Name],0)),0)</f>
        <v/>
      </c>
      <c r="BE9">
        <f>SUMPRODUCT((M_BOM[Part Name]=$A9)*M_BOM[RM_Qty_Per_Batch]*IFERROR(INDEX(PP_Grid[#Data],M_BOM[PPGridRow],57),0))+IFERROR(INDEX(M_RawMaterials[固定週次消費量_要入力],MATCH($A9,M_RawMaterials[Part Name],0)),0)</f>
        <v/>
      </c>
      <c r="BF9">
        <f>SUMPRODUCT((M_BOM[Part Name]=$A9)*M_BOM[RM_Qty_Per_Batch]*IFERROR(INDEX(PP_Grid[#Data],M_BOM[PPGridRow],58),0))+IFERROR(INDEX(M_RawMaterials[固定週次消費量_要入力],MATCH($A9,M_RawMaterials[Part Name],0)),0)</f>
        <v/>
      </c>
      <c r="BG9">
        <f>SUMPRODUCT((M_BOM[Part Name]=$A9)*M_BOM[RM_Qty_Per_Batch]*IFERROR(INDEX(PP_Grid[#Data],M_BOM[PPGridRow],59),0))+IFERROR(INDEX(M_RawMaterials[固定週次消費量_要入力],MATCH($A9,M_RawMaterials[Part Name],0)),0)</f>
        <v/>
      </c>
      <c r="BH9">
        <f>SUMPRODUCT((M_BOM[Part Name]=$A9)*M_BOM[RM_Qty_Per_Batch]*IFERROR(INDEX(PP_Grid[#Data],M_BOM[PPGridRow],60),0))+IFERROR(INDEX(M_RawMaterials[固定週次消費量_要入力],MATCH($A9,M_RawMaterials[Part Name],0)),0)</f>
        <v/>
      </c>
      <c r="BI9">
        <f>SUMPRODUCT((M_BOM[Part Name]=$A9)*M_BOM[RM_Qty_Per_Batch]*IFERROR(INDEX(PP_Grid[#Data],M_BOM[PPGridRow],61),0))+IFERROR(INDEX(M_RawMaterials[固定週次消費量_要入力],MATCH($A9,M_RawMaterials[Part Name],0)),0)</f>
        <v/>
      </c>
      <c r="BJ9">
        <f>SUMPRODUCT((M_BOM[Part Name]=$A9)*M_BOM[RM_Qty_Per_Batch]*IFERROR(INDEX(PP_Grid[#Data],M_BOM[PPGridRow],62),0))+IFERROR(INDEX(M_RawMaterials[固定週次消費量_要入力],MATCH($A9,M_RawMaterials[Part Name],0)),0)</f>
        <v/>
      </c>
      <c r="BK9">
        <f>SUMPRODUCT((M_BOM[Part Name]=$A9)*M_BOM[RM_Qty_Per_Batch]*IFERROR(INDEX(PP_Grid[#Data],M_BOM[PPGridRow],63),0))+IFERROR(INDEX(M_RawMaterials[固定週次消費量_要入力],MATCH($A9,M_RawMaterials[Part Name],0)),0)</f>
        <v/>
      </c>
      <c r="BL9">
        <f>SUMPRODUCT((M_BOM[Part Name]=$A9)*M_BOM[RM_Qty_Per_Batch]*IFERROR(INDEX(PP_Grid[#Data],M_BOM[PPGridRow],64),0))+IFERROR(INDEX(M_RawMaterials[固定週次消費量_要入力],MATCH($A9,M_RawMaterials[Part Name],0)),0)</f>
        <v/>
      </c>
      <c r="BM9">
        <f>SUMPRODUCT((M_BOM[Part Name]=$A9)*M_BOM[RM_Qty_Per_Batch]*IFERROR(INDEX(PP_Grid[#Data],M_BOM[PPGridRow],65),0))+IFERROR(INDEX(M_RawMaterials[固定週次消費量_要入力],MATCH($A9,M_RawMaterials[Part Name],0)),0)</f>
        <v/>
      </c>
      <c r="BN9">
        <f>SUMPRODUCT((M_BOM[Part Name]=$A9)*M_BOM[RM_Qty_Per_Batch]*IFERROR(INDEX(PP_Grid[#Data],M_BOM[PPGridRow],66),0))+IFERROR(INDEX(M_RawMaterials[固定週次消費量_要入力],MATCH($A9,M_RawMaterials[Part Name],0)),0)</f>
        <v/>
      </c>
      <c r="BO9">
        <f>SUMPRODUCT((M_BOM[Part Name]=$A9)*M_BOM[RM_Qty_Per_Batch]*IFERROR(INDEX(PP_Grid[#Data],M_BOM[PPGridRow],67),0))+IFERROR(INDEX(M_RawMaterials[固定週次消費量_要入力],MATCH($A9,M_RawMaterials[Part Name],0)),0)</f>
        <v/>
      </c>
      <c r="BP9">
        <f>SUMPRODUCT((M_BOM[Part Name]=$A9)*M_BOM[RM_Qty_Per_Batch]*IFERROR(INDEX(PP_Grid[#Data],M_BOM[PPGridRow],68),0))+IFERROR(INDEX(M_RawMaterials[固定週次消費量_要入力],MATCH($A9,M_RawMaterials[Part Name],0)),0)</f>
        <v/>
      </c>
      <c r="BQ9">
        <f>SUMPRODUCT((M_BOM[Part Name]=$A9)*M_BOM[RM_Qty_Per_Batch]*IFERROR(INDEX(PP_Grid[#Data],M_BOM[PPGridRow],69),0))+IFERROR(INDEX(M_RawMaterials[固定週次消費量_要入力],MATCH($A9,M_RawMaterials[Part Name],0)),0)</f>
        <v/>
      </c>
      <c r="BR9">
        <f>SUMPRODUCT((M_BOM[Part Name]=$A9)*M_BOM[RM_Qty_Per_Batch]*IFERROR(INDEX(PP_Grid[#Data],M_BOM[PPGridRow],70),0))+IFERROR(INDEX(M_RawMaterials[固定週次消費量_要入力],MATCH($A9,M_RawMaterials[Part Name],0)),0)</f>
        <v/>
      </c>
      <c r="BS9">
        <f>SUMPRODUCT((M_BOM[Part Name]=$A9)*M_BOM[RM_Qty_Per_Batch]*IFERROR(INDEX(PP_Grid[#Data],M_BOM[PPGridRow],71),0))+IFERROR(INDEX(M_RawMaterials[固定週次消費量_要入力],MATCH($A9,M_RawMaterials[Part Name],0)),0)</f>
        <v/>
      </c>
      <c r="BT9">
        <f>SUMPRODUCT((M_BOM[Part Name]=$A9)*M_BOM[RM_Qty_Per_Batch]*IFERROR(INDEX(PP_Grid[#Data],M_BOM[PPGridRow],72),0))+IFERROR(INDEX(M_RawMaterials[固定週次消費量_要入力],MATCH($A9,M_RawMaterials[Part Name],0)),0)</f>
        <v/>
      </c>
      <c r="BU9">
        <f>SUMPRODUCT((M_BOM[Part Name]=$A9)*M_BOM[RM_Qty_Per_Batch]*IFERROR(INDEX(PP_Grid[#Data],M_BOM[PPGridRow],73),0))+IFERROR(INDEX(M_RawMaterials[固定週次消費量_要入力],MATCH($A9,M_RawMaterials[Part Name],0)),0)</f>
        <v/>
      </c>
      <c r="BV9">
        <f>SUMPRODUCT((M_BOM[Part Name]=$A9)*M_BOM[RM_Qty_Per_Batch]*IFERROR(INDEX(PP_Grid[#Data],M_BOM[PPGridRow],74),0))+IFERROR(INDEX(M_RawMaterials[固定週次消費量_要入力],MATCH($A9,M_RawMaterials[Part Name],0)),0)</f>
        <v/>
      </c>
      <c r="BW9">
        <f>SUMPRODUCT((M_BOM[Part Name]=$A9)*M_BOM[RM_Qty_Per_Batch]*IFERROR(INDEX(PP_Grid[#Data],M_BOM[PPGridRow],75),0))+IFERROR(INDEX(M_RawMaterials[固定週次消費量_要入力],MATCH($A9,M_RawMaterials[Part Name],0)),0)</f>
        <v/>
      </c>
      <c r="BX9">
        <f>SUMPRODUCT((M_BOM[Part Name]=$A9)*M_BOM[RM_Qty_Per_Batch]*IFERROR(INDEX(PP_Grid[#Data],M_BOM[PPGridRow],76),0))+IFERROR(INDEX(M_RawMaterials[固定週次消費量_要入力],MATCH($A9,M_RawMaterials[Part Name],0)),0)</f>
        <v/>
      </c>
      <c r="BY9">
        <f>SUMPRODUCT((M_BOM[Part Name]=$A9)*M_BOM[RM_Qty_Per_Batch]*IFERROR(INDEX(PP_Grid[#Data],M_BOM[PPGridRow],77),0))+IFERROR(INDEX(M_RawMaterials[固定週次消費量_要入力],MATCH($A9,M_RawMaterials[Part Name],0)),0)</f>
        <v/>
      </c>
      <c r="BZ9">
        <f>SUMPRODUCT((M_BOM[Part Name]=$A9)*M_BOM[RM_Qty_Per_Batch]*IFERROR(INDEX(PP_Grid[#Data],M_BOM[PPGridRow],78),0))+IFERROR(INDEX(M_RawMaterials[固定週次消費量_要入力],MATCH($A9,M_RawMaterials[Part Name],0)),0)</f>
        <v/>
      </c>
      <c r="CA9">
        <f>SUMPRODUCT((M_BOM[Part Name]=$A9)*M_BOM[RM_Qty_Per_Batch]*IFERROR(INDEX(PP_Grid[#Data],M_BOM[PPGridRow],79),0))+IFERROR(INDEX(M_RawMaterials[固定週次消費量_要入力],MATCH($A9,M_RawMaterials[Part Name],0)),0)</f>
        <v/>
      </c>
      <c r="CB9">
        <f>SUMPRODUCT((M_BOM[Part Name]=$A9)*M_BOM[RM_Qty_Per_Batch]*IFERROR(INDEX(PP_Grid[#Data],M_BOM[PPGridRow],80),0))+IFERROR(INDEX(M_RawMaterials[固定週次消費量_要入力],MATCH($A9,M_RawMaterials[Part Name],0)),0)</f>
        <v/>
      </c>
      <c r="CC9">
        <f>SUMPRODUCT((M_BOM[Part Name]=$A9)*M_BOM[RM_Qty_Per_Batch]*IFERROR(INDEX(PP_Grid[#Data],M_BOM[PPGridRow],81),0))+IFERROR(INDEX(M_RawMaterials[固定週次消費量_要入力],MATCH($A9,M_RawMaterials[Part Name],0)),0)</f>
        <v/>
      </c>
      <c r="CD9">
        <f>SUMPRODUCT((M_BOM[Part Name]=$A9)*M_BOM[RM_Qty_Per_Batch]*IFERROR(INDEX(PP_Grid[#Data],M_BOM[PPGridRow],82),0))+IFERROR(INDEX(M_RawMaterials[固定週次消費量_要入力],MATCH($A9,M_RawMaterials[Part Name],0)),0)</f>
        <v/>
      </c>
      <c r="CE9">
        <f>SUMPRODUCT((M_BOM[Part Name]=$A9)*M_BOM[RM_Qty_Per_Batch]*IFERROR(INDEX(PP_Grid[#Data],M_BOM[PPGridRow],83),0))+IFERROR(INDEX(M_RawMaterials[固定週次消費量_要入力],MATCH($A9,M_RawMaterials[Part Name],0)),0)</f>
        <v/>
      </c>
      <c r="CF9">
        <f>SUMPRODUCT((M_BOM[Part Name]=$A9)*M_BOM[RM_Qty_Per_Batch]*IFERROR(INDEX(PP_Grid[#Data],M_BOM[PPGridRow],84),0))+IFERROR(INDEX(M_RawMaterials[固定週次消費量_要入力],MATCH($A9,M_RawMaterials[Part Name],0)),0)</f>
        <v/>
      </c>
      <c r="CG9">
        <f>SUMPRODUCT((M_BOM[Part Name]=$A9)*M_BOM[RM_Qty_Per_Batch]*IFERROR(INDEX(PP_Grid[#Data],M_BOM[PPGridRow],85),0))+IFERROR(INDEX(M_RawMaterials[固定週次消費量_要入力],MATCH($A9,M_RawMaterials[Part Name],0)),0)</f>
        <v/>
      </c>
      <c r="CH9">
        <f>SUMPRODUCT((M_BOM[Part Name]=$A9)*M_BOM[RM_Qty_Per_Batch]*IFERROR(INDEX(PP_Grid[#Data],M_BOM[PPGridRow],86),0))+IFERROR(INDEX(M_RawMaterials[固定週次消費量_要入力],MATCH($A9,M_RawMaterials[Part Name],0)),0)</f>
        <v/>
      </c>
      <c r="CI9">
        <f>SUMPRODUCT((M_BOM[Part Name]=$A9)*M_BOM[RM_Qty_Per_Batch]*IFERROR(INDEX(PP_Grid[#Data],M_BOM[PPGridRow],87),0))+IFERROR(INDEX(M_RawMaterials[固定週次消費量_要入力],MATCH($A9,M_RawMaterials[Part Name],0)),0)</f>
        <v/>
      </c>
      <c r="CJ9">
        <f>SUMPRODUCT((M_BOM[Part Name]=$A9)*M_BOM[RM_Qty_Per_Batch]*IFERROR(INDEX(PP_Grid[#Data],M_BOM[PPGridRow],88),0))+IFERROR(INDEX(M_RawMaterials[固定週次消費量_要入力],MATCH($A9,M_RawMaterials[Part Name],0)),0)</f>
        <v/>
      </c>
      <c r="CK9">
        <f>SUMPRODUCT((M_BOM[Part Name]=$A9)*M_BOM[RM_Qty_Per_Batch]*IFERROR(INDEX(PP_Grid[#Data],M_BOM[PPGridRow],89),0))+IFERROR(INDEX(M_RawMaterials[固定週次消費量_要入力],MATCH($A9,M_RawMaterials[Part Name],0)),0)</f>
        <v/>
      </c>
      <c r="CL9">
        <f>SUMPRODUCT((M_BOM[Part Name]=$A9)*M_BOM[RM_Qty_Per_Batch]*IFERROR(INDEX(PP_Grid[#Data],M_BOM[PPGridRow],90),0))+IFERROR(INDEX(M_RawMaterials[固定週次消費量_要入力],MATCH($A9,M_RawMaterials[Part Name],0)),0)</f>
        <v/>
      </c>
      <c r="CM9">
        <f>SUMPRODUCT((M_BOM[Part Name]=$A9)*M_BOM[RM_Qty_Per_Batch]*IFERROR(INDEX(PP_Grid[#Data],M_BOM[PPGridRow],91),0))+IFERROR(INDEX(M_RawMaterials[固定週次消費量_要入力],MATCH($A9,M_RawMaterials[Part Name],0)),0)</f>
        <v/>
      </c>
      <c r="CN9">
        <f>SUMPRODUCT((M_BOM[Part Name]=$A9)*M_BOM[RM_Qty_Per_Batch]*IFERROR(INDEX(PP_Grid[#Data],M_BOM[PPGridRow],92),0))+IFERROR(INDEX(M_RawMaterials[固定週次消費量_要入力],MATCH($A9,M_RawMaterials[Part Name],0)),0)</f>
        <v/>
      </c>
      <c r="CO9">
        <f>SUMPRODUCT((M_BOM[Part Name]=$A9)*M_BOM[RM_Qty_Per_Batch]*IFERROR(INDEX(PP_Grid[#Data],M_BOM[PPGridRow],93),0))+IFERROR(INDEX(M_RawMaterials[固定週次消費量_要入力],MATCH($A9,M_RawMaterials[Part Name],0)),0)</f>
        <v/>
      </c>
      <c r="CP9">
        <f>SUMPRODUCT((M_BOM[Part Name]=$A9)*M_BOM[RM_Qty_Per_Batch]*IFERROR(INDEX(PP_Grid[#Data],M_BOM[PPGridRow],94),0))+IFERROR(INDEX(M_RawMaterials[固定週次消費量_要入力],MATCH($A9,M_RawMaterials[Part Name],0)),0)</f>
        <v/>
      </c>
      <c r="CQ9">
        <f>SUMPRODUCT((M_BOM[Part Name]=$A9)*M_BOM[RM_Qty_Per_Batch]*IFERROR(INDEX(PP_Grid[#Data],M_BOM[PPGridRow],95),0))+IFERROR(INDEX(M_RawMaterials[固定週次消費量_要入力],MATCH($A9,M_RawMaterials[Part Name],0)),0)</f>
        <v/>
      </c>
      <c r="CR9">
        <f>SUMPRODUCT((M_BOM[Part Name]=$A9)*M_BOM[RM_Qty_Per_Batch]*IFERROR(INDEX(PP_Grid[#Data],M_BOM[PPGridRow],96),0))+IFERROR(INDEX(M_RawMaterials[固定週次消費量_要入力],MATCH($A9,M_RawMaterials[Part Name],0)),0)</f>
        <v/>
      </c>
      <c r="CS9">
        <f>SUMPRODUCT((M_BOM[Part Name]=$A9)*M_BOM[RM_Qty_Per_Batch]*IFERROR(INDEX(PP_Grid[#Data],M_BOM[PPGridRow],97),0))+IFERROR(INDEX(M_RawMaterials[固定週次消費量_要入力],MATCH($A9,M_RawMaterials[Part Name],0)),0)</f>
        <v/>
      </c>
      <c r="CT9">
        <f>SUMPRODUCT((M_BOM[Part Name]=$A9)*M_BOM[RM_Qty_Per_Batch]*IFERROR(INDEX(PP_Grid[#Data],M_BOM[PPGridRow],98),0))+IFERROR(INDEX(M_RawMaterials[固定週次消費量_要入力],MATCH($A9,M_RawMaterials[Part Name],0)),0)</f>
        <v/>
      </c>
      <c r="CU9">
        <f>SUMPRODUCT((M_BOM[Part Name]=$A9)*M_BOM[RM_Qty_Per_Batch]*IFERROR(INDEX(PP_Grid[#Data],M_BOM[PPGridRow],99),0))+IFERROR(INDEX(M_RawMaterials[固定週次消費量_要入力],MATCH($A9,M_RawMaterials[Part Name],0)),0)</f>
        <v/>
      </c>
      <c r="CV9">
        <f>SUMPRODUCT((M_BOM[Part Name]=$A9)*M_BOM[RM_Qty_Per_Batch]*IFERROR(INDEX(PP_Grid[#Data],M_BOM[PPGridRow],100),0))+IFERROR(INDEX(M_RawMaterials[固定週次消費量_要入力],MATCH($A9,M_RawMaterials[Part Name],0)),0)</f>
        <v/>
      </c>
      <c r="CW9">
        <f>SUMPRODUCT((M_BOM[Part Name]=$A9)*M_BOM[RM_Qty_Per_Batch]*IFERROR(INDEX(PP_Grid[#Data],M_BOM[PPGridRow],101),0))+IFERROR(INDEX(M_RawMaterials[固定週次消費量_要入力],MATCH($A9,M_RawMaterials[Part Name],0)),0)</f>
        <v/>
      </c>
      <c r="CX9">
        <f>SUMPRODUCT((M_BOM[Part Name]=$A9)*M_BOM[RM_Qty_Per_Batch]*IFERROR(INDEX(PP_Grid[#Data],M_BOM[PPGridRow],102),0))+IFERROR(INDEX(M_RawMaterials[固定週次消費量_要入力],MATCH($A9,M_RawMaterials[Part Name],0)),0)</f>
        <v/>
      </c>
      <c r="CY9">
        <f>SUMPRODUCT((M_BOM[Part Name]=$A9)*M_BOM[RM_Qty_Per_Batch]*IFERROR(INDEX(PP_Grid[#Data],M_BOM[PPGridRow],103),0))+IFERROR(INDEX(M_RawMaterials[固定週次消費量_要入力],MATCH($A9,M_RawMaterials[Part Name],0)),0)</f>
        <v/>
      </c>
      <c r="CZ9">
        <f>SUMPRODUCT((M_BOM[Part Name]=$A9)*M_BOM[RM_Qty_Per_Batch]*IFERROR(INDEX(PP_Grid[#Data],M_BOM[PPGridRow],104),0))+IFERROR(INDEX(M_RawMaterials[固定週次消費量_要入力],MATCH($A9,M_RawMaterials[Part Name],0)),0)</f>
        <v/>
      </c>
      <c r="DA9">
        <f>SUMPRODUCT((M_BOM[Part Name]=$A9)*M_BOM[RM_Qty_Per_Batch]*IFERROR(INDEX(PP_Grid[#Data],M_BOM[PPGridRow],105),0))+IFERROR(INDEX(M_RawMaterials[固定週次消費量_要入力],MATCH($A9,M_RawMaterials[Part Name],0)),0)</f>
        <v/>
      </c>
    </row>
    <row r="10">
      <c r="A10" t="inlineStr">
        <is>
          <t>KEJ</t>
        </is>
      </c>
      <c r="B10">
        <f>SUMPRODUCT((M_BOM[Part Name]=$A10)*M_BOM[RM_Qty_Per_Batch]*IFERROR(INDEX(PP_Grid[#Data],M_BOM[PPGridRow],2),0))+IFERROR(INDEX(M_RawMaterials[固定週次消費量_要入力],MATCH($A10,M_RawMaterials[Part Name],0)),0)</f>
        <v/>
      </c>
      <c r="C10">
        <f>SUMPRODUCT((M_BOM[Part Name]=$A10)*M_BOM[RM_Qty_Per_Batch]*IFERROR(INDEX(PP_Grid[#Data],M_BOM[PPGridRow],3),0))+IFERROR(INDEX(M_RawMaterials[固定週次消費量_要入力],MATCH($A10,M_RawMaterials[Part Name],0)),0)</f>
        <v/>
      </c>
      <c r="D10">
        <f>SUMPRODUCT((M_BOM[Part Name]=$A10)*M_BOM[RM_Qty_Per_Batch]*IFERROR(INDEX(PP_Grid[#Data],M_BOM[PPGridRow],4),0))+IFERROR(INDEX(M_RawMaterials[固定週次消費量_要入力],MATCH($A10,M_RawMaterials[Part Name],0)),0)</f>
        <v/>
      </c>
      <c r="E10">
        <f>SUMPRODUCT((M_BOM[Part Name]=$A10)*M_BOM[RM_Qty_Per_Batch]*IFERROR(INDEX(PP_Grid[#Data],M_BOM[PPGridRow],5),0))+IFERROR(INDEX(M_RawMaterials[固定週次消費量_要入力],MATCH($A10,M_RawMaterials[Part Name],0)),0)</f>
        <v/>
      </c>
      <c r="F10">
        <f>SUMPRODUCT((M_BOM[Part Name]=$A10)*M_BOM[RM_Qty_Per_Batch]*IFERROR(INDEX(PP_Grid[#Data],M_BOM[PPGridRow],6),0))+IFERROR(INDEX(M_RawMaterials[固定週次消費量_要入力],MATCH($A10,M_RawMaterials[Part Name],0)),0)</f>
        <v/>
      </c>
      <c r="G10">
        <f>SUMPRODUCT((M_BOM[Part Name]=$A10)*M_BOM[RM_Qty_Per_Batch]*IFERROR(INDEX(PP_Grid[#Data],M_BOM[PPGridRow],7),0))+IFERROR(INDEX(M_RawMaterials[固定週次消費量_要入力],MATCH($A10,M_RawMaterials[Part Name],0)),0)</f>
        <v/>
      </c>
      <c r="H10">
        <f>SUMPRODUCT((M_BOM[Part Name]=$A10)*M_BOM[RM_Qty_Per_Batch]*IFERROR(INDEX(PP_Grid[#Data],M_BOM[PPGridRow],8),0))+IFERROR(INDEX(M_RawMaterials[固定週次消費量_要入力],MATCH($A10,M_RawMaterials[Part Name],0)),0)</f>
        <v/>
      </c>
      <c r="I10">
        <f>SUMPRODUCT((M_BOM[Part Name]=$A10)*M_BOM[RM_Qty_Per_Batch]*IFERROR(INDEX(PP_Grid[#Data],M_BOM[PPGridRow],9),0))+IFERROR(INDEX(M_RawMaterials[固定週次消費量_要入力],MATCH($A10,M_RawMaterials[Part Name],0)),0)</f>
        <v/>
      </c>
      <c r="J10">
        <f>SUMPRODUCT((M_BOM[Part Name]=$A10)*M_BOM[RM_Qty_Per_Batch]*IFERROR(INDEX(PP_Grid[#Data],M_BOM[PPGridRow],10),0))+IFERROR(INDEX(M_RawMaterials[固定週次消費量_要入力],MATCH($A10,M_RawMaterials[Part Name],0)),0)</f>
        <v/>
      </c>
      <c r="K10">
        <f>SUMPRODUCT((M_BOM[Part Name]=$A10)*M_BOM[RM_Qty_Per_Batch]*IFERROR(INDEX(PP_Grid[#Data],M_BOM[PPGridRow],11),0))+IFERROR(INDEX(M_RawMaterials[固定週次消費量_要入力],MATCH($A10,M_RawMaterials[Part Name],0)),0)</f>
        <v/>
      </c>
      <c r="L10">
        <f>SUMPRODUCT((M_BOM[Part Name]=$A10)*M_BOM[RM_Qty_Per_Batch]*IFERROR(INDEX(PP_Grid[#Data],M_BOM[PPGridRow],12),0))+IFERROR(INDEX(M_RawMaterials[固定週次消費量_要入力],MATCH($A10,M_RawMaterials[Part Name],0)),0)</f>
        <v/>
      </c>
      <c r="M10">
        <f>SUMPRODUCT((M_BOM[Part Name]=$A10)*M_BOM[RM_Qty_Per_Batch]*IFERROR(INDEX(PP_Grid[#Data],M_BOM[PPGridRow],13),0))+IFERROR(INDEX(M_RawMaterials[固定週次消費量_要入力],MATCH($A10,M_RawMaterials[Part Name],0)),0)</f>
        <v/>
      </c>
      <c r="N10">
        <f>SUMPRODUCT((M_BOM[Part Name]=$A10)*M_BOM[RM_Qty_Per_Batch]*IFERROR(INDEX(PP_Grid[#Data],M_BOM[PPGridRow],14),0))+IFERROR(INDEX(M_RawMaterials[固定週次消費量_要入力],MATCH($A10,M_RawMaterials[Part Name],0)),0)</f>
        <v/>
      </c>
      <c r="O10">
        <f>SUMPRODUCT((M_BOM[Part Name]=$A10)*M_BOM[RM_Qty_Per_Batch]*IFERROR(INDEX(PP_Grid[#Data],M_BOM[PPGridRow],15),0))+IFERROR(INDEX(M_RawMaterials[固定週次消費量_要入力],MATCH($A10,M_RawMaterials[Part Name],0)),0)</f>
        <v/>
      </c>
      <c r="P10">
        <f>SUMPRODUCT((M_BOM[Part Name]=$A10)*M_BOM[RM_Qty_Per_Batch]*IFERROR(INDEX(PP_Grid[#Data],M_BOM[PPGridRow],16),0))+IFERROR(INDEX(M_RawMaterials[固定週次消費量_要入力],MATCH($A10,M_RawMaterials[Part Name],0)),0)</f>
        <v/>
      </c>
      <c r="Q10">
        <f>SUMPRODUCT((M_BOM[Part Name]=$A10)*M_BOM[RM_Qty_Per_Batch]*IFERROR(INDEX(PP_Grid[#Data],M_BOM[PPGridRow],17),0))+IFERROR(INDEX(M_RawMaterials[固定週次消費量_要入力],MATCH($A10,M_RawMaterials[Part Name],0)),0)</f>
        <v/>
      </c>
      <c r="R10">
        <f>SUMPRODUCT((M_BOM[Part Name]=$A10)*M_BOM[RM_Qty_Per_Batch]*IFERROR(INDEX(PP_Grid[#Data],M_BOM[PPGridRow],18),0))+IFERROR(INDEX(M_RawMaterials[固定週次消費量_要入力],MATCH($A10,M_RawMaterials[Part Name],0)),0)</f>
        <v/>
      </c>
      <c r="S10">
        <f>SUMPRODUCT((M_BOM[Part Name]=$A10)*M_BOM[RM_Qty_Per_Batch]*IFERROR(INDEX(PP_Grid[#Data],M_BOM[PPGridRow],19),0))+IFERROR(INDEX(M_RawMaterials[固定週次消費量_要入力],MATCH($A10,M_RawMaterials[Part Name],0)),0)</f>
        <v/>
      </c>
      <c r="T10">
        <f>SUMPRODUCT((M_BOM[Part Name]=$A10)*M_BOM[RM_Qty_Per_Batch]*IFERROR(INDEX(PP_Grid[#Data],M_BOM[PPGridRow],20),0))+IFERROR(INDEX(M_RawMaterials[固定週次消費量_要入力],MATCH($A10,M_RawMaterials[Part Name],0)),0)</f>
        <v/>
      </c>
      <c r="U10">
        <f>SUMPRODUCT((M_BOM[Part Name]=$A10)*M_BOM[RM_Qty_Per_Batch]*IFERROR(INDEX(PP_Grid[#Data],M_BOM[PPGridRow],21),0))+IFERROR(INDEX(M_RawMaterials[固定週次消費量_要入力],MATCH($A10,M_RawMaterials[Part Name],0)),0)</f>
        <v/>
      </c>
      <c r="V10">
        <f>SUMPRODUCT((M_BOM[Part Name]=$A10)*M_BOM[RM_Qty_Per_Batch]*IFERROR(INDEX(PP_Grid[#Data],M_BOM[PPGridRow],22),0))+IFERROR(INDEX(M_RawMaterials[固定週次消費量_要入力],MATCH($A10,M_RawMaterials[Part Name],0)),0)</f>
        <v/>
      </c>
      <c r="W10">
        <f>SUMPRODUCT((M_BOM[Part Name]=$A10)*M_BOM[RM_Qty_Per_Batch]*IFERROR(INDEX(PP_Grid[#Data],M_BOM[PPGridRow],23),0))+IFERROR(INDEX(M_RawMaterials[固定週次消費量_要入力],MATCH($A10,M_RawMaterials[Part Name],0)),0)</f>
        <v/>
      </c>
      <c r="X10">
        <f>SUMPRODUCT((M_BOM[Part Name]=$A10)*M_BOM[RM_Qty_Per_Batch]*IFERROR(INDEX(PP_Grid[#Data],M_BOM[PPGridRow],24),0))+IFERROR(INDEX(M_RawMaterials[固定週次消費量_要入力],MATCH($A10,M_RawMaterials[Part Name],0)),0)</f>
        <v/>
      </c>
      <c r="Y10">
        <f>SUMPRODUCT((M_BOM[Part Name]=$A10)*M_BOM[RM_Qty_Per_Batch]*IFERROR(INDEX(PP_Grid[#Data],M_BOM[PPGridRow],25),0))+IFERROR(INDEX(M_RawMaterials[固定週次消費量_要入力],MATCH($A10,M_RawMaterials[Part Name],0)),0)</f>
        <v/>
      </c>
      <c r="Z10">
        <f>SUMPRODUCT((M_BOM[Part Name]=$A10)*M_BOM[RM_Qty_Per_Batch]*IFERROR(INDEX(PP_Grid[#Data],M_BOM[PPGridRow],26),0))+IFERROR(INDEX(M_RawMaterials[固定週次消費量_要入力],MATCH($A10,M_RawMaterials[Part Name],0)),0)</f>
        <v/>
      </c>
      <c r="AA10">
        <f>SUMPRODUCT((M_BOM[Part Name]=$A10)*M_BOM[RM_Qty_Per_Batch]*IFERROR(INDEX(PP_Grid[#Data],M_BOM[PPGridRow],27),0))+IFERROR(INDEX(M_RawMaterials[固定週次消費量_要入力],MATCH($A10,M_RawMaterials[Part Name],0)),0)</f>
        <v/>
      </c>
      <c r="AB10">
        <f>SUMPRODUCT((M_BOM[Part Name]=$A10)*M_BOM[RM_Qty_Per_Batch]*IFERROR(INDEX(PP_Grid[#Data],M_BOM[PPGridRow],28),0))+IFERROR(INDEX(M_RawMaterials[固定週次消費量_要入力],MATCH($A10,M_RawMaterials[Part Name],0)),0)</f>
        <v/>
      </c>
      <c r="AC10">
        <f>SUMPRODUCT((M_BOM[Part Name]=$A10)*M_BOM[RM_Qty_Per_Batch]*IFERROR(INDEX(PP_Grid[#Data],M_BOM[PPGridRow],29),0))+IFERROR(INDEX(M_RawMaterials[固定週次消費量_要入力],MATCH($A10,M_RawMaterials[Part Name],0)),0)</f>
        <v/>
      </c>
      <c r="AD10">
        <f>SUMPRODUCT((M_BOM[Part Name]=$A10)*M_BOM[RM_Qty_Per_Batch]*IFERROR(INDEX(PP_Grid[#Data],M_BOM[PPGridRow],30),0))+IFERROR(INDEX(M_RawMaterials[固定週次消費量_要入力],MATCH($A10,M_RawMaterials[Part Name],0)),0)</f>
        <v/>
      </c>
      <c r="AE10">
        <f>SUMPRODUCT((M_BOM[Part Name]=$A10)*M_BOM[RM_Qty_Per_Batch]*IFERROR(INDEX(PP_Grid[#Data],M_BOM[PPGridRow],31),0))+IFERROR(INDEX(M_RawMaterials[固定週次消費量_要入力],MATCH($A10,M_RawMaterials[Part Name],0)),0)</f>
        <v/>
      </c>
      <c r="AF10">
        <f>SUMPRODUCT((M_BOM[Part Name]=$A10)*M_BOM[RM_Qty_Per_Batch]*IFERROR(INDEX(PP_Grid[#Data],M_BOM[PPGridRow],32),0))+IFERROR(INDEX(M_RawMaterials[固定週次消費量_要入力],MATCH($A10,M_RawMaterials[Part Name],0)),0)</f>
        <v/>
      </c>
      <c r="AG10">
        <f>SUMPRODUCT((M_BOM[Part Name]=$A10)*M_BOM[RM_Qty_Per_Batch]*IFERROR(INDEX(PP_Grid[#Data],M_BOM[PPGridRow],33),0))+IFERROR(INDEX(M_RawMaterials[固定週次消費量_要入力],MATCH($A10,M_RawMaterials[Part Name],0)),0)</f>
        <v/>
      </c>
      <c r="AH10">
        <f>SUMPRODUCT((M_BOM[Part Name]=$A10)*M_BOM[RM_Qty_Per_Batch]*IFERROR(INDEX(PP_Grid[#Data],M_BOM[PPGridRow],34),0))+IFERROR(INDEX(M_RawMaterials[固定週次消費量_要入力],MATCH($A10,M_RawMaterials[Part Name],0)),0)</f>
        <v/>
      </c>
      <c r="AI10">
        <f>SUMPRODUCT((M_BOM[Part Name]=$A10)*M_BOM[RM_Qty_Per_Batch]*IFERROR(INDEX(PP_Grid[#Data],M_BOM[PPGridRow],35),0))+IFERROR(INDEX(M_RawMaterials[固定週次消費量_要入力],MATCH($A10,M_RawMaterials[Part Name],0)),0)</f>
        <v/>
      </c>
      <c r="AJ10">
        <f>SUMPRODUCT((M_BOM[Part Name]=$A10)*M_BOM[RM_Qty_Per_Batch]*IFERROR(INDEX(PP_Grid[#Data],M_BOM[PPGridRow],36),0))+IFERROR(INDEX(M_RawMaterials[固定週次消費量_要入力],MATCH($A10,M_RawMaterials[Part Name],0)),0)</f>
        <v/>
      </c>
      <c r="AK10">
        <f>SUMPRODUCT((M_BOM[Part Name]=$A10)*M_BOM[RM_Qty_Per_Batch]*IFERROR(INDEX(PP_Grid[#Data],M_BOM[PPGridRow],37),0))+IFERROR(INDEX(M_RawMaterials[固定週次消費量_要入力],MATCH($A10,M_RawMaterials[Part Name],0)),0)</f>
        <v/>
      </c>
      <c r="AL10">
        <f>SUMPRODUCT((M_BOM[Part Name]=$A10)*M_BOM[RM_Qty_Per_Batch]*IFERROR(INDEX(PP_Grid[#Data],M_BOM[PPGridRow],38),0))+IFERROR(INDEX(M_RawMaterials[固定週次消費量_要入力],MATCH($A10,M_RawMaterials[Part Name],0)),0)</f>
        <v/>
      </c>
      <c r="AM10">
        <f>SUMPRODUCT((M_BOM[Part Name]=$A10)*M_BOM[RM_Qty_Per_Batch]*IFERROR(INDEX(PP_Grid[#Data],M_BOM[PPGridRow],39),0))+IFERROR(INDEX(M_RawMaterials[固定週次消費量_要入力],MATCH($A10,M_RawMaterials[Part Name],0)),0)</f>
        <v/>
      </c>
      <c r="AN10">
        <f>SUMPRODUCT((M_BOM[Part Name]=$A10)*M_BOM[RM_Qty_Per_Batch]*IFERROR(INDEX(PP_Grid[#Data],M_BOM[PPGridRow],40),0))+IFERROR(INDEX(M_RawMaterials[固定週次消費量_要入力],MATCH($A10,M_RawMaterials[Part Name],0)),0)</f>
        <v/>
      </c>
      <c r="AO10">
        <f>SUMPRODUCT((M_BOM[Part Name]=$A10)*M_BOM[RM_Qty_Per_Batch]*IFERROR(INDEX(PP_Grid[#Data],M_BOM[PPGridRow],41),0))+IFERROR(INDEX(M_RawMaterials[固定週次消費量_要入力],MATCH($A10,M_RawMaterials[Part Name],0)),0)</f>
        <v/>
      </c>
      <c r="AP10">
        <f>SUMPRODUCT((M_BOM[Part Name]=$A10)*M_BOM[RM_Qty_Per_Batch]*IFERROR(INDEX(PP_Grid[#Data],M_BOM[PPGridRow],42),0))+IFERROR(INDEX(M_RawMaterials[固定週次消費量_要入力],MATCH($A10,M_RawMaterials[Part Name],0)),0)</f>
        <v/>
      </c>
      <c r="AQ10">
        <f>SUMPRODUCT((M_BOM[Part Name]=$A10)*M_BOM[RM_Qty_Per_Batch]*IFERROR(INDEX(PP_Grid[#Data],M_BOM[PPGridRow],43),0))+IFERROR(INDEX(M_RawMaterials[固定週次消費量_要入力],MATCH($A10,M_RawMaterials[Part Name],0)),0)</f>
        <v/>
      </c>
      <c r="AR10">
        <f>SUMPRODUCT((M_BOM[Part Name]=$A10)*M_BOM[RM_Qty_Per_Batch]*IFERROR(INDEX(PP_Grid[#Data],M_BOM[PPGridRow],44),0))+IFERROR(INDEX(M_RawMaterials[固定週次消費量_要入力],MATCH($A10,M_RawMaterials[Part Name],0)),0)</f>
        <v/>
      </c>
      <c r="AS10">
        <f>SUMPRODUCT((M_BOM[Part Name]=$A10)*M_BOM[RM_Qty_Per_Batch]*IFERROR(INDEX(PP_Grid[#Data],M_BOM[PPGridRow],45),0))+IFERROR(INDEX(M_RawMaterials[固定週次消費量_要入力],MATCH($A10,M_RawMaterials[Part Name],0)),0)</f>
        <v/>
      </c>
      <c r="AT10">
        <f>SUMPRODUCT((M_BOM[Part Name]=$A10)*M_BOM[RM_Qty_Per_Batch]*IFERROR(INDEX(PP_Grid[#Data],M_BOM[PPGridRow],46),0))+IFERROR(INDEX(M_RawMaterials[固定週次消費量_要入力],MATCH($A10,M_RawMaterials[Part Name],0)),0)</f>
        <v/>
      </c>
      <c r="AU10">
        <f>SUMPRODUCT((M_BOM[Part Name]=$A10)*M_BOM[RM_Qty_Per_Batch]*IFERROR(INDEX(PP_Grid[#Data],M_BOM[PPGridRow],47),0))+IFERROR(INDEX(M_RawMaterials[固定週次消費量_要入力],MATCH($A10,M_RawMaterials[Part Name],0)),0)</f>
        <v/>
      </c>
      <c r="AV10">
        <f>SUMPRODUCT((M_BOM[Part Name]=$A10)*M_BOM[RM_Qty_Per_Batch]*IFERROR(INDEX(PP_Grid[#Data],M_BOM[PPGridRow],48),0))+IFERROR(INDEX(M_RawMaterials[固定週次消費量_要入力],MATCH($A10,M_RawMaterials[Part Name],0)),0)</f>
        <v/>
      </c>
      <c r="AW10">
        <f>SUMPRODUCT((M_BOM[Part Name]=$A10)*M_BOM[RM_Qty_Per_Batch]*IFERROR(INDEX(PP_Grid[#Data],M_BOM[PPGridRow],49),0))+IFERROR(INDEX(M_RawMaterials[固定週次消費量_要入力],MATCH($A10,M_RawMaterials[Part Name],0)),0)</f>
        <v/>
      </c>
      <c r="AX10">
        <f>SUMPRODUCT((M_BOM[Part Name]=$A10)*M_BOM[RM_Qty_Per_Batch]*IFERROR(INDEX(PP_Grid[#Data],M_BOM[PPGridRow],50),0))+IFERROR(INDEX(M_RawMaterials[固定週次消費量_要入力],MATCH($A10,M_RawMaterials[Part Name],0)),0)</f>
        <v/>
      </c>
      <c r="AY10">
        <f>SUMPRODUCT((M_BOM[Part Name]=$A10)*M_BOM[RM_Qty_Per_Batch]*IFERROR(INDEX(PP_Grid[#Data],M_BOM[PPGridRow],51),0))+IFERROR(INDEX(M_RawMaterials[固定週次消費量_要入力],MATCH($A10,M_RawMaterials[Part Name],0)),0)</f>
        <v/>
      </c>
      <c r="AZ10">
        <f>SUMPRODUCT((M_BOM[Part Name]=$A10)*M_BOM[RM_Qty_Per_Batch]*IFERROR(INDEX(PP_Grid[#Data],M_BOM[PPGridRow],52),0))+IFERROR(INDEX(M_RawMaterials[固定週次消費量_要入力],MATCH($A10,M_RawMaterials[Part Name],0)),0)</f>
        <v/>
      </c>
      <c r="BA10">
        <f>SUMPRODUCT((M_BOM[Part Name]=$A10)*M_BOM[RM_Qty_Per_Batch]*IFERROR(INDEX(PP_Grid[#Data],M_BOM[PPGridRow],53),0))+IFERROR(INDEX(M_RawMaterials[固定週次消費量_要入力],MATCH($A10,M_RawMaterials[Part Name],0)),0)</f>
        <v/>
      </c>
      <c r="BB10">
        <f>SUMPRODUCT((M_BOM[Part Name]=$A10)*M_BOM[RM_Qty_Per_Batch]*IFERROR(INDEX(PP_Grid[#Data],M_BOM[PPGridRow],54),0))+IFERROR(INDEX(M_RawMaterials[固定週次消費量_要入力],MATCH($A10,M_RawMaterials[Part Name],0)),0)</f>
        <v/>
      </c>
      <c r="BC10">
        <f>SUMPRODUCT((M_BOM[Part Name]=$A10)*M_BOM[RM_Qty_Per_Batch]*IFERROR(INDEX(PP_Grid[#Data],M_BOM[PPGridRow],55),0))+IFERROR(INDEX(M_RawMaterials[固定週次消費量_要入力],MATCH($A10,M_RawMaterials[Part Name],0)),0)</f>
        <v/>
      </c>
      <c r="BD10">
        <f>SUMPRODUCT((M_BOM[Part Name]=$A10)*M_BOM[RM_Qty_Per_Batch]*IFERROR(INDEX(PP_Grid[#Data],M_BOM[PPGridRow],56),0))+IFERROR(INDEX(M_RawMaterials[固定週次消費量_要入力],MATCH($A10,M_RawMaterials[Part Name],0)),0)</f>
        <v/>
      </c>
      <c r="BE10">
        <f>SUMPRODUCT((M_BOM[Part Name]=$A10)*M_BOM[RM_Qty_Per_Batch]*IFERROR(INDEX(PP_Grid[#Data],M_BOM[PPGridRow],57),0))+IFERROR(INDEX(M_RawMaterials[固定週次消費量_要入力],MATCH($A10,M_RawMaterials[Part Name],0)),0)</f>
        <v/>
      </c>
      <c r="BF10">
        <f>SUMPRODUCT((M_BOM[Part Name]=$A10)*M_BOM[RM_Qty_Per_Batch]*IFERROR(INDEX(PP_Grid[#Data],M_BOM[PPGridRow],58),0))+IFERROR(INDEX(M_RawMaterials[固定週次消費量_要入力],MATCH($A10,M_RawMaterials[Part Name],0)),0)</f>
        <v/>
      </c>
      <c r="BG10">
        <f>SUMPRODUCT((M_BOM[Part Name]=$A10)*M_BOM[RM_Qty_Per_Batch]*IFERROR(INDEX(PP_Grid[#Data],M_BOM[PPGridRow],59),0))+IFERROR(INDEX(M_RawMaterials[固定週次消費量_要入力],MATCH($A10,M_RawMaterials[Part Name],0)),0)</f>
        <v/>
      </c>
      <c r="BH10">
        <f>SUMPRODUCT((M_BOM[Part Name]=$A10)*M_BOM[RM_Qty_Per_Batch]*IFERROR(INDEX(PP_Grid[#Data],M_BOM[PPGridRow],60),0))+IFERROR(INDEX(M_RawMaterials[固定週次消費量_要入力],MATCH($A10,M_RawMaterials[Part Name],0)),0)</f>
        <v/>
      </c>
      <c r="BI10">
        <f>SUMPRODUCT((M_BOM[Part Name]=$A10)*M_BOM[RM_Qty_Per_Batch]*IFERROR(INDEX(PP_Grid[#Data],M_BOM[PPGridRow],61),0))+IFERROR(INDEX(M_RawMaterials[固定週次消費量_要入力],MATCH($A10,M_RawMaterials[Part Name],0)),0)</f>
        <v/>
      </c>
      <c r="BJ10">
        <f>SUMPRODUCT((M_BOM[Part Name]=$A10)*M_BOM[RM_Qty_Per_Batch]*IFERROR(INDEX(PP_Grid[#Data],M_BOM[PPGridRow],62),0))+IFERROR(INDEX(M_RawMaterials[固定週次消費量_要入力],MATCH($A10,M_RawMaterials[Part Name],0)),0)</f>
        <v/>
      </c>
      <c r="BK10">
        <f>SUMPRODUCT((M_BOM[Part Name]=$A10)*M_BOM[RM_Qty_Per_Batch]*IFERROR(INDEX(PP_Grid[#Data],M_BOM[PPGridRow],63),0))+IFERROR(INDEX(M_RawMaterials[固定週次消費量_要入力],MATCH($A10,M_RawMaterials[Part Name],0)),0)</f>
        <v/>
      </c>
      <c r="BL10">
        <f>SUMPRODUCT((M_BOM[Part Name]=$A10)*M_BOM[RM_Qty_Per_Batch]*IFERROR(INDEX(PP_Grid[#Data],M_BOM[PPGridRow],64),0))+IFERROR(INDEX(M_RawMaterials[固定週次消費量_要入力],MATCH($A10,M_RawMaterials[Part Name],0)),0)</f>
        <v/>
      </c>
      <c r="BM10">
        <f>SUMPRODUCT((M_BOM[Part Name]=$A10)*M_BOM[RM_Qty_Per_Batch]*IFERROR(INDEX(PP_Grid[#Data],M_BOM[PPGridRow],65),0))+IFERROR(INDEX(M_RawMaterials[固定週次消費量_要入力],MATCH($A10,M_RawMaterials[Part Name],0)),0)</f>
        <v/>
      </c>
      <c r="BN10">
        <f>SUMPRODUCT((M_BOM[Part Name]=$A10)*M_BOM[RM_Qty_Per_Batch]*IFERROR(INDEX(PP_Grid[#Data],M_BOM[PPGridRow],66),0))+IFERROR(INDEX(M_RawMaterials[固定週次消費量_要入力],MATCH($A10,M_RawMaterials[Part Name],0)),0)</f>
        <v/>
      </c>
      <c r="BO10">
        <f>SUMPRODUCT((M_BOM[Part Name]=$A10)*M_BOM[RM_Qty_Per_Batch]*IFERROR(INDEX(PP_Grid[#Data],M_BOM[PPGridRow],67),0))+IFERROR(INDEX(M_RawMaterials[固定週次消費量_要入力],MATCH($A10,M_RawMaterials[Part Name],0)),0)</f>
        <v/>
      </c>
      <c r="BP10">
        <f>SUMPRODUCT((M_BOM[Part Name]=$A10)*M_BOM[RM_Qty_Per_Batch]*IFERROR(INDEX(PP_Grid[#Data],M_BOM[PPGridRow],68),0))+IFERROR(INDEX(M_RawMaterials[固定週次消費量_要入力],MATCH($A10,M_RawMaterials[Part Name],0)),0)</f>
        <v/>
      </c>
      <c r="BQ10">
        <f>SUMPRODUCT((M_BOM[Part Name]=$A10)*M_BOM[RM_Qty_Per_Batch]*IFERROR(INDEX(PP_Grid[#Data],M_BOM[PPGridRow],69),0))+IFERROR(INDEX(M_RawMaterials[固定週次消費量_要入力],MATCH($A10,M_RawMaterials[Part Name],0)),0)</f>
        <v/>
      </c>
      <c r="BR10">
        <f>SUMPRODUCT((M_BOM[Part Name]=$A10)*M_BOM[RM_Qty_Per_Batch]*IFERROR(INDEX(PP_Grid[#Data],M_BOM[PPGridRow],70),0))+IFERROR(INDEX(M_RawMaterials[固定週次消費量_要入力],MATCH($A10,M_RawMaterials[Part Name],0)),0)</f>
        <v/>
      </c>
      <c r="BS10">
        <f>SUMPRODUCT((M_BOM[Part Name]=$A10)*M_BOM[RM_Qty_Per_Batch]*IFERROR(INDEX(PP_Grid[#Data],M_BOM[PPGridRow],71),0))+IFERROR(INDEX(M_RawMaterials[固定週次消費量_要入力],MATCH($A10,M_RawMaterials[Part Name],0)),0)</f>
        <v/>
      </c>
      <c r="BT10">
        <f>SUMPRODUCT((M_BOM[Part Name]=$A10)*M_BOM[RM_Qty_Per_Batch]*IFERROR(INDEX(PP_Grid[#Data],M_BOM[PPGridRow],72),0))+IFERROR(INDEX(M_RawMaterials[固定週次消費量_要入力],MATCH($A10,M_RawMaterials[Part Name],0)),0)</f>
        <v/>
      </c>
      <c r="BU10">
        <f>SUMPRODUCT((M_BOM[Part Name]=$A10)*M_BOM[RM_Qty_Per_Batch]*IFERROR(INDEX(PP_Grid[#Data],M_BOM[PPGridRow],73),0))+IFERROR(INDEX(M_RawMaterials[固定週次消費量_要入力],MATCH($A10,M_RawMaterials[Part Name],0)),0)</f>
        <v/>
      </c>
      <c r="BV10">
        <f>SUMPRODUCT((M_BOM[Part Name]=$A10)*M_BOM[RM_Qty_Per_Batch]*IFERROR(INDEX(PP_Grid[#Data],M_BOM[PPGridRow],74),0))+IFERROR(INDEX(M_RawMaterials[固定週次消費量_要入力],MATCH($A10,M_RawMaterials[Part Name],0)),0)</f>
        <v/>
      </c>
      <c r="BW10">
        <f>SUMPRODUCT((M_BOM[Part Name]=$A10)*M_BOM[RM_Qty_Per_Batch]*IFERROR(INDEX(PP_Grid[#Data],M_BOM[PPGridRow],75),0))+IFERROR(INDEX(M_RawMaterials[固定週次消費量_要入力],MATCH($A10,M_RawMaterials[Part Name],0)),0)</f>
        <v/>
      </c>
      <c r="BX10">
        <f>SUMPRODUCT((M_BOM[Part Name]=$A10)*M_BOM[RM_Qty_Per_Batch]*IFERROR(INDEX(PP_Grid[#Data],M_BOM[PPGridRow],76),0))+IFERROR(INDEX(M_RawMaterials[固定週次消費量_要入力],MATCH($A10,M_RawMaterials[Part Name],0)),0)</f>
        <v/>
      </c>
      <c r="BY10">
        <f>SUMPRODUCT((M_BOM[Part Name]=$A10)*M_BOM[RM_Qty_Per_Batch]*IFERROR(INDEX(PP_Grid[#Data],M_BOM[PPGridRow],77),0))+IFERROR(INDEX(M_RawMaterials[固定週次消費量_要入力],MATCH($A10,M_RawMaterials[Part Name],0)),0)</f>
        <v/>
      </c>
      <c r="BZ10">
        <f>SUMPRODUCT((M_BOM[Part Name]=$A10)*M_BOM[RM_Qty_Per_Batch]*IFERROR(INDEX(PP_Grid[#Data],M_BOM[PPGridRow],78),0))+IFERROR(INDEX(M_RawMaterials[固定週次消費量_要入力],MATCH($A10,M_RawMaterials[Part Name],0)),0)</f>
        <v/>
      </c>
      <c r="CA10">
        <f>SUMPRODUCT((M_BOM[Part Name]=$A10)*M_BOM[RM_Qty_Per_Batch]*IFERROR(INDEX(PP_Grid[#Data],M_BOM[PPGridRow],79),0))+IFERROR(INDEX(M_RawMaterials[固定週次消費量_要入力],MATCH($A10,M_RawMaterials[Part Name],0)),0)</f>
        <v/>
      </c>
      <c r="CB10">
        <f>SUMPRODUCT((M_BOM[Part Name]=$A10)*M_BOM[RM_Qty_Per_Batch]*IFERROR(INDEX(PP_Grid[#Data],M_BOM[PPGridRow],80),0))+IFERROR(INDEX(M_RawMaterials[固定週次消費量_要入力],MATCH($A10,M_RawMaterials[Part Name],0)),0)</f>
        <v/>
      </c>
      <c r="CC10">
        <f>SUMPRODUCT((M_BOM[Part Name]=$A10)*M_BOM[RM_Qty_Per_Batch]*IFERROR(INDEX(PP_Grid[#Data],M_BOM[PPGridRow],81),0))+IFERROR(INDEX(M_RawMaterials[固定週次消費量_要入力],MATCH($A10,M_RawMaterials[Part Name],0)),0)</f>
        <v/>
      </c>
      <c r="CD10">
        <f>SUMPRODUCT((M_BOM[Part Name]=$A10)*M_BOM[RM_Qty_Per_Batch]*IFERROR(INDEX(PP_Grid[#Data],M_BOM[PPGridRow],82),0))+IFERROR(INDEX(M_RawMaterials[固定週次消費量_要入力],MATCH($A10,M_RawMaterials[Part Name],0)),0)</f>
        <v/>
      </c>
      <c r="CE10">
        <f>SUMPRODUCT((M_BOM[Part Name]=$A10)*M_BOM[RM_Qty_Per_Batch]*IFERROR(INDEX(PP_Grid[#Data],M_BOM[PPGridRow],83),0))+IFERROR(INDEX(M_RawMaterials[固定週次消費量_要入力],MATCH($A10,M_RawMaterials[Part Name],0)),0)</f>
        <v/>
      </c>
      <c r="CF10">
        <f>SUMPRODUCT((M_BOM[Part Name]=$A10)*M_BOM[RM_Qty_Per_Batch]*IFERROR(INDEX(PP_Grid[#Data],M_BOM[PPGridRow],84),0))+IFERROR(INDEX(M_RawMaterials[固定週次消費量_要入力],MATCH($A10,M_RawMaterials[Part Name],0)),0)</f>
        <v/>
      </c>
      <c r="CG10">
        <f>SUMPRODUCT((M_BOM[Part Name]=$A10)*M_BOM[RM_Qty_Per_Batch]*IFERROR(INDEX(PP_Grid[#Data],M_BOM[PPGridRow],85),0))+IFERROR(INDEX(M_RawMaterials[固定週次消費量_要入力],MATCH($A10,M_RawMaterials[Part Name],0)),0)</f>
        <v/>
      </c>
      <c r="CH10">
        <f>SUMPRODUCT((M_BOM[Part Name]=$A10)*M_BOM[RM_Qty_Per_Batch]*IFERROR(INDEX(PP_Grid[#Data],M_BOM[PPGridRow],86),0))+IFERROR(INDEX(M_RawMaterials[固定週次消費量_要入力],MATCH($A10,M_RawMaterials[Part Name],0)),0)</f>
        <v/>
      </c>
      <c r="CI10">
        <f>SUMPRODUCT((M_BOM[Part Name]=$A10)*M_BOM[RM_Qty_Per_Batch]*IFERROR(INDEX(PP_Grid[#Data],M_BOM[PPGridRow],87),0))+IFERROR(INDEX(M_RawMaterials[固定週次消費量_要入力],MATCH($A10,M_RawMaterials[Part Name],0)),0)</f>
        <v/>
      </c>
      <c r="CJ10">
        <f>SUMPRODUCT((M_BOM[Part Name]=$A10)*M_BOM[RM_Qty_Per_Batch]*IFERROR(INDEX(PP_Grid[#Data],M_BOM[PPGridRow],88),0))+IFERROR(INDEX(M_RawMaterials[固定週次消費量_要入力],MATCH($A10,M_RawMaterials[Part Name],0)),0)</f>
        <v/>
      </c>
      <c r="CK10">
        <f>SUMPRODUCT((M_BOM[Part Name]=$A10)*M_BOM[RM_Qty_Per_Batch]*IFERROR(INDEX(PP_Grid[#Data],M_BOM[PPGridRow],89),0))+IFERROR(INDEX(M_RawMaterials[固定週次消費量_要入力],MATCH($A10,M_RawMaterials[Part Name],0)),0)</f>
        <v/>
      </c>
      <c r="CL10">
        <f>SUMPRODUCT((M_BOM[Part Name]=$A10)*M_BOM[RM_Qty_Per_Batch]*IFERROR(INDEX(PP_Grid[#Data],M_BOM[PPGridRow],90),0))+IFERROR(INDEX(M_RawMaterials[固定週次消費量_要入力],MATCH($A10,M_RawMaterials[Part Name],0)),0)</f>
        <v/>
      </c>
      <c r="CM10">
        <f>SUMPRODUCT((M_BOM[Part Name]=$A10)*M_BOM[RM_Qty_Per_Batch]*IFERROR(INDEX(PP_Grid[#Data],M_BOM[PPGridRow],91),0))+IFERROR(INDEX(M_RawMaterials[固定週次消費量_要入力],MATCH($A10,M_RawMaterials[Part Name],0)),0)</f>
        <v/>
      </c>
      <c r="CN10">
        <f>SUMPRODUCT((M_BOM[Part Name]=$A10)*M_BOM[RM_Qty_Per_Batch]*IFERROR(INDEX(PP_Grid[#Data],M_BOM[PPGridRow],92),0))+IFERROR(INDEX(M_RawMaterials[固定週次消費量_要入力],MATCH($A10,M_RawMaterials[Part Name],0)),0)</f>
        <v/>
      </c>
      <c r="CO10">
        <f>SUMPRODUCT((M_BOM[Part Name]=$A10)*M_BOM[RM_Qty_Per_Batch]*IFERROR(INDEX(PP_Grid[#Data],M_BOM[PPGridRow],93),0))+IFERROR(INDEX(M_RawMaterials[固定週次消費量_要入力],MATCH($A10,M_RawMaterials[Part Name],0)),0)</f>
        <v/>
      </c>
      <c r="CP10">
        <f>SUMPRODUCT((M_BOM[Part Name]=$A10)*M_BOM[RM_Qty_Per_Batch]*IFERROR(INDEX(PP_Grid[#Data],M_BOM[PPGridRow],94),0))+IFERROR(INDEX(M_RawMaterials[固定週次消費量_要入力],MATCH($A10,M_RawMaterials[Part Name],0)),0)</f>
        <v/>
      </c>
      <c r="CQ10">
        <f>SUMPRODUCT((M_BOM[Part Name]=$A10)*M_BOM[RM_Qty_Per_Batch]*IFERROR(INDEX(PP_Grid[#Data],M_BOM[PPGridRow],95),0))+IFERROR(INDEX(M_RawMaterials[固定週次消費量_要入力],MATCH($A10,M_RawMaterials[Part Name],0)),0)</f>
        <v/>
      </c>
      <c r="CR10">
        <f>SUMPRODUCT((M_BOM[Part Name]=$A10)*M_BOM[RM_Qty_Per_Batch]*IFERROR(INDEX(PP_Grid[#Data],M_BOM[PPGridRow],96),0))+IFERROR(INDEX(M_RawMaterials[固定週次消費量_要入力],MATCH($A10,M_RawMaterials[Part Name],0)),0)</f>
        <v/>
      </c>
      <c r="CS10">
        <f>SUMPRODUCT((M_BOM[Part Name]=$A10)*M_BOM[RM_Qty_Per_Batch]*IFERROR(INDEX(PP_Grid[#Data],M_BOM[PPGridRow],97),0))+IFERROR(INDEX(M_RawMaterials[固定週次消費量_要入力],MATCH($A10,M_RawMaterials[Part Name],0)),0)</f>
        <v/>
      </c>
      <c r="CT10">
        <f>SUMPRODUCT((M_BOM[Part Name]=$A10)*M_BOM[RM_Qty_Per_Batch]*IFERROR(INDEX(PP_Grid[#Data],M_BOM[PPGridRow],98),0))+IFERROR(INDEX(M_RawMaterials[固定週次消費量_要入力],MATCH($A10,M_RawMaterials[Part Name],0)),0)</f>
        <v/>
      </c>
      <c r="CU10">
        <f>SUMPRODUCT((M_BOM[Part Name]=$A10)*M_BOM[RM_Qty_Per_Batch]*IFERROR(INDEX(PP_Grid[#Data],M_BOM[PPGridRow],99),0))+IFERROR(INDEX(M_RawMaterials[固定週次消費量_要入力],MATCH($A10,M_RawMaterials[Part Name],0)),0)</f>
        <v/>
      </c>
      <c r="CV10">
        <f>SUMPRODUCT((M_BOM[Part Name]=$A10)*M_BOM[RM_Qty_Per_Batch]*IFERROR(INDEX(PP_Grid[#Data],M_BOM[PPGridRow],100),0))+IFERROR(INDEX(M_RawMaterials[固定週次消費量_要入力],MATCH($A10,M_RawMaterials[Part Name],0)),0)</f>
        <v/>
      </c>
      <c r="CW10">
        <f>SUMPRODUCT((M_BOM[Part Name]=$A10)*M_BOM[RM_Qty_Per_Batch]*IFERROR(INDEX(PP_Grid[#Data],M_BOM[PPGridRow],101),0))+IFERROR(INDEX(M_RawMaterials[固定週次消費量_要入力],MATCH($A10,M_RawMaterials[Part Name],0)),0)</f>
        <v/>
      </c>
      <c r="CX10">
        <f>SUMPRODUCT((M_BOM[Part Name]=$A10)*M_BOM[RM_Qty_Per_Batch]*IFERROR(INDEX(PP_Grid[#Data],M_BOM[PPGridRow],102),0))+IFERROR(INDEX(M_RawMaterials[固定週次消費量_要入力],MATCH($A10,M_RawMaterials[Part Name],0)),0)</f>
        <v/>
      </c>
      <c r="CY10">
        <f>SUMPRODUCT((M_BOM[Part Name]=$A10)*M_BOM[RM_Qty_Per_Batch]*IFERROR(INDEX(PP_Grid[#Data],M_BOM[PPGridRow],103),0))+IFERROR(INDEX(M_RawMaterials[固定週次消費量_要入力],MATCH($A10,M_RawMaterials[Part Name],0)),0)</f>
        <v/>
      </c>
      <c r="CZ10">
        <f>SUMPRODUCT((M_BOM[Part Name]=$A10)*M_BOM[RM_Qty_Per_Batch]*IFERROR(INDEX(PP_Grid[#Data],M_BOM[PPGridRow],104),0))+IFERROR(INDEX(M_RawMaterials[固定週次消費量_要入力],MATCH($A10,M_RawMaterials[Part Name],0)),0)</f>
        <v/>
      </c>
      <c r="DA10">
        <f>SUMPRODUCT((M_BOM[Part Name]=$A10)*M_BOM[RM_Qty_Per_Batch]*IFERROR(INDEX(PP_Grid[#Data],M_BOM[PPGridRow],105),0))+IFERROR(INDEX(M_RawMaterials[固定週次消費量_要入力],MATCH($A10,M_RawMaterials[Part Name],0)),0)</f>
        <v/>
      </c>
    </row>
    <row r="11">
      <c r="A11" t="inlineStr">
        <is>
          <t>JEJ</t>
        </is>
      </c>
      <c r="B11">
        <f>SUMPRODUCT((M_BOM[Part Name]=$A11)*M_BOM[RM_Qty_Per_Batch]*IFERROR(INDEX(PP_Grid[#Data],M_BOM[PPGridRow],2),0))+IFERROR(INDEX(M_RawMaterials[固定週次消費量_要入力],MATCH($A11,M_RawMaterials[Part Name],0)),0)</f>
        <v/>
      </c>
      <c r="C11">
        <f>SUMPRODUCT((M_BOM[Part Name]=$A11)*M_BOM[RM_Qty_Per_Batch]*IFERROR(INDEX(PP_Grid[#Data],M_BOM[PPGridRow],3),0))+IFERROR(INDEX(M_RawMaterials[固定週次消費量_要入力],MATCH($A11,M_RawMaterials[Part Name],0)),0)</f>
        <v/>
      </c>
      <c r="D11">
        <f>SUMPRODUCT((M_BOM[Part Name]=$A11)*M_BOM[RM_Qty_Per_Batch]*IFERROR(INDEX(PP_Grid[#Data],M_BOM[PPGridRow],4),0))+IFERROR(INDEX(M_RawMaterials[固定週次消費量_要入力],MATCH($A11,M_RawMaterials[Part Name],0)),0)</f>
        <v/>
      </c>
      <c r="E11">
        <f>SUMPRODUCT((M_BOM[Part Name]=$A11)*M_BOM[RM_Qty_Per_Batch]*IFERROR(INDEX(PP_Grid[#Data],M_BOM[PPGridRow],5),0))+IFERROR(INDEX(M_RawMaterials[固定週次消費量_要入力],MATCH($A11,M_RawMaterials[Part Name],0)),0)</f>
        <v/>
      </c>
      <c r="F11">
        <f>SUMPRODUCT((M_BOM[Part Name]=$A11)*M_BOM[RM_Qty_Per_Batch]*IFERROR(INDEX(PP_Grid[#Data],M_BOM[PPGridRow],6),0))+IFERROR(INDEX(M_RawMaterials[固定週次消費量_要入力],MATCH($A11,M_RawMaterials[Part Name],0)),0)</f>
        <v/>
      </c>
      <c r="G11">
        <f>SUMPRODUCT((M_BOM[Part Name]=$A11)*M_BOM[RM_Qty_Per_Batch]*IFERROR(INDEX(PP_Grid[#Data],M_BOM[PPGridRow],7),0))+IFERROR(INDEX(M_RawMaterials[固定週次消費量_要入力],MATCH($A11,M_RawMaterials[Part Name],0)),0)</f>
        <v/>
      </c>
      <c r="H11">
        <f>SUMPRODUCT((M_BOM[Part Name]=$A11)*M_BOM[RM_Qty_Per_Batch]*IFERROR(INDEX(PP_Grid[#Data],M_BOM[PPGridRow],8),0))+IFERROR(INDEX(M_RawMaterials[固定週次消費量_要入力],MATCH($A11,M_RawMaterials[Part Name],0)),0)</f>
        <v/>
      </c>
      <c r="I11">
        <f>SUMPRODUCT((M_BOM[Part Name]=$A11)*M_BOM[RM_Qty_Per_Batch]*IFERROR(INDEX(PP_Grid[#Data],M_BOM[PPGridRow],9),0))+IFERROR(INDEX(M_RawMaterials[固定週次消費量_要入力],MATCH($A11,M_RawMaterials[Part Name],0)),0)</f>
        <v/>
      </c>
      <c r="J11">
        <f>SUMPRODUCT((M_BOM[Part Name]=$A11)*M_BOM[RM_Qty_Per_Batch]*IFERROR(INDEX(PP_Grid[#Data],M_BOM[PPGridRow],10),0))+IFERROR(INDEX(M_RawMaterials[固定週次消費量_要入力],MATCH($A11,M_RawMaterials[Part Name],0)),0)</f>
        <v/>
      </c>
      <c r="K11">
        <f>SUMPRODUCT((M_BOM[Part Name]=$A11)*M_BOM[RM_Qty_Per_Batch]*IFERROR(INDEX(PP_Grid[#Data],M_BOM[PPGridRow],11),0))+IFERROR(INDEX(M_RawMaterials[固定週次消費量_要入力],MATCH($A11,M_RawMaterials[Part Name],0)),0)</f>
        <v/>
      </c>
      <c r="L11">
        <f>SUMPRODUCT((M_BOM[Part Name]=$A11)*M_BOM[RM_Qty_Per_Batch]*IFERROR(INDEX(PP_Grid[#Data],M_BOM[PPGridRow],12),0))+IFERROR(INDEX(M_RawMaterials[固定週次消費量_要入力],MATCH($A11,M_RawMaterials[Part Name],0)),0)</f>
        <v/>
      </c>
      <c r="M11">
        <f>SUMPRODUCT((M_BOM[Part Name]=$A11)*M_BOM[RM_Qty_Per_Batch]*IFERROR(INDEX(PP_Grid[#Data],M_BOM[PPGridRow],13),0))+IFERROR(INDEX(M_RawMaterials[固定週次消費量_要入力],MATCH($A11,M_RawMaterials[Part Name],0)),0)</f>
        <v/>
      </c>
      <c r="N11">
        <f>SUMPRODUCT((M_BOM[Part Name]=$A11)*M_BOM[RM_Qty_Per_Batch]*IFERROR(INDEX(PP_Grid[#Data],M_BOM[PPGridRow],14),0))+IFERROR(INDEX(M_RawMaterials[固定週次消費量_要入力],MATCH($A11,M_RawMaterials[Part Name],0)),0)</f>
        <v/>
      </c>
      <c r="O11">
        <f>SUMPRODUCT((M_BOM[Part Name]=$A11)*M_BOM[RM_Qty_Per_Batch]*IFERROR(INDEX(PP_Grid[#Data],M_BOM[PPGridRow],15),0))+IFERROR(INDEX(M_RawMaterials[固定週次消費量_要入力],MATCH($A11,M_RawMaterials[Part Name],0)),0)</f>
        <v/>
      </c>
      <c r="P11">
        <f>SUMPRODUCT((M_BOM[Part Name]=$A11)*M_BOM[RM_Qty_Per_Batch]*IFERROR(INDEX(PP_Grid[#Data],M_BOM[PPGridRow],16),0))+IFERROR(INDEX(M_RawMaterials[固定週次消費量_要入力],MATCH($A11,M_RawMaterials[Part Name],0)),0)</f>
        <v/>
      </c>
      <c r="Q11">
        <f>SUMPRODUCT((M_BOM[Part Name]=$A11)*M_BOM[RM_Qty_Per_Batch]*IFERROR(INDEX(PP_Grid[#Data],M_BOM[PPGridRow],17),0))+IFERROR(INDEX(M_RawMaterials[固定週次消費量_要入力],MATCH($A11,M_RawMaterials[Part Name],0)),0)</f>
        <v/>
      </c>
      <c r="R11">
        <f>SUMPRODUCT((M_BOM[Part Name]=$A11)*M_BOM[RM_Qty_Per_Batch]*IFERROR(INDEX(PP_Grid[#Data],M_BOM[PPGridRow],18),0))+IFERROR(INDEX(M_RawMaterials[固定週次消費量_要入力],MATCH($A11,M_RawMaterials[Part Name],0)),0)</f>
        <v/>
      </c>
      <c r="S11">
        <f>SUMPRODUCT((M_BOM[Part Name]=$A11)*M_BOM[RM_Qty_Per_Batch]*IFERROR(INDEX(PP_Grid[#Data],M_BOM[PPGridRow],19),0))+IFERROR(INDEX(M_RawMaterials[固定週次消費量_要入力],MATCH($A11,M_RawMaterials[Part Name],0)),0)</f>
        <v/>
      </c>
      <c r="T11">
        <f>SUMPRODUCT((M_BOM[Part Name]=$A11)*M_BOM[RM_Qty_Per_Batch]*IFERROR(INDEX(PP_Grid[#Data],M_BOM[PPGridRow],20),0))+IFERROR(INDEX(M_RawMaterials[固定週次消費量_要入力],MATCH($A11,M_RawMaterials[Part Name],0)),0)</f>
        <v/>
      </c>
      <c r="U11">
        <f>SUMPRODUCT((M_BOM[Part Name]=$A11)*M_BOM[RM_Qty_Per_Batch]*IFERROR(INDEX(PP_Grid[#Data],M_BOM[PPGridRow],21),0))+IFERROR(INDEX(M_RawMaterials[固定週次消費量_要入力],MATCH($A11,M_RawMaterials[Part Name],0)),0)</f>
        <v/>
      </c>
      <c r="V11">
        <f>SUMPRODUCT((M_BOM[Part Name]=$A11)*M_BOM[RM_Qty_Per_Batch]*IFERROR(INDEX(PP_Grid[#Data],M_BOM[PPGridRow],22),0))+IFERROR(INDEX(M_RawMaterials[固定週次消費量_要入力],MATCH($A11,M_RawMaterials[Part Name],0)),0)</f>
        <v/>
      </c>
      <c r="W11">
        <f>SUMPRODUCT((M_BOM[Part Name]=$A11)*M_BOM[RM_Qty_Per_Batch]*IFERROR(INDEX(PP_Grid[#Data],M_BOM[PPGridRow],23),0))+IFERROR(INDEX(M_RawMaterials[固定週次消費量_要入力],MATCH($A11,M_RawMaterials[Part Name],0)),0)</f>
        <v/>
      </c>
      <c r="X11">
        <f>SUMPRODUCT((M_BOM[Part Name]=$A11)*M_BOM[RM_Qty_Per_Batch]*IFERROR(INDEX(PP_Grid[#Data],M_BOM[PPGridRow],24),0))+IFERROR(INDEX(M_RawMaterials[固定週次消費量_要入力],MATCH($A11,M_RawMaterials[Part Name],0)),0)</f>
        <v/>
      </c>
      <c r="Y11">
        <f>SUMPRODUCT((M_BOM[Part Name]=$A11)*M_BOM[RM_Qty_Per_Batch]*IFERROR(INDEX(PP_Grid[#Data],M_BOM[PPGridRow],25),0))+IFERROR(INDEX(M_RawMaterials[固定週次消費量_要入力],MATCH($A11,M_RawMaterials[Part Name],0)),0)</f>
        <v/>
      </c>
      <c r="Z11">
        <f>SUMPRODUCT((M_BOM[Part Name]=$A11)*M_BOM[RM_Qty_Per_Batch]*IFERROR(INDEX(PP_Grid[#Data],M_BOM[PPGridRow],26),0))+IFERROR(INDEX(M_RawMaterials[固定週次消費量_要入力],MATCH($A11,M_RawMaterials[Part Name],0)),0)</f>
        <v/>
      </c>
      <c r="AA11">
        <f>SUMPRODUCT((M_BOM[Part Name]=$A11)*M_BOM[RM_Qty_Per_Batch]*IFERROR(INDEX(PP_Grid[#Data],M_BOM[PPGridRow],27),0))+IFERROR(INDEX(M_RawMaterials[固定週次消費量_要入力],MATCH($A11,M_RawMaterials[Part Name],0)),0)</f>
        <v/>
      </c>
      <c r="AB11">
        <f>SUMPRODUCT((M_BOM[Part Name]=$A11)*M_BOM[RM_Qty_Per_Batch]*IFERROR(INDEX(PP_Grid[#Data],M_BOM[PPGridRow],28),0))+IFERROR(INDEX(M_RawMaterials[固定週次消費量_要入力],MATCH($A11,M_RawMaterials[Part Name],0)),0)</f>
        <v/>
      </c>
      <c r="AC11">
        <f>SUMPRODUCT((M_BOM[Part Name]=$A11)*M_BOM[RM_Qty_Per_Batch]*IFERROR(INDEX(PP_Grid[#Data],M_BOM[PPGridRow],29),0))+IFERROR(INDEX(M_RawMaterials[固定週次消費量_要入力],MATCH($A11,M_RawMaterials[Part Name],0)),0)</f>
        <v/>
      </c>
      <c r="AD11">
        <f>SUMPRODUCT((M_BOM[Part Name]=$A11)*M_BOM[RM_Qty_Per_Batch]*IFERROR(INDEX(PP_Grid[#Data],M_BOM[PPGridRow],30),0))+IFERROR(INDEX(M_RawMaterials[固定週次消費量_要入力],MATCH($A11,M_RawMaterials[Part Name],0)),0)</f>
        <v/>
      </c>
      <c r="AE11">
        <f>SUMPRODUCT((M_BOM[Part Name]=$A11)*M_BOM[RM_Qty_Per_Batch]*IFERROR(INDEX(PP_Grid[#Data],M_BOM[PPGridRow],31),0))+IFERROR(INDEX(M_RawMaterials[固定週次消費量_要入力],MATCH($A11,M_RawMaterials[Part Name],0)),0)</f>
        <v/>
      </c>
      <c r="AF11">
        <f>SUMPRODUCT((M_BOM[Part Name]=$A11)*M_BOM[RM_Qty_Per_Batch]*IFERROR(INDEX(PP_Grid[#Data],M_BOM[PPGridRow],32),0))+IFERROR(INDEX(M_RawMaterials[固定週次消費量_要入力],MATCH($A11,M_RawMaterials[Part Name],0)),0)</f>
        <v/>
      </c>
      <c r="AG11">
        <f>SUMPRODUCT((M_BOM[Part Name]=$A11)*M_BOM[RM_Qty_Per_Batch]*IFERROR(INDEX(PP_Grid[#Data],M_BOM[PPGridRow],33),0))+IFERROR(INDEX(M_RawMaterials[固定週次消費量_要入力],MATCH($A11,M_RawMaterials[Part Name],0)),0)</f>
        <v/>
      </c>
      <c r="AH11">
        <f>SUMPRODUCT((M_BOM[Part Name]=$A11)*M_BOM[RM_Qty_Per_Batch]*IFERROR(INDEX(PP_Grid[#Data],M_BOM[PPGridRow],34),0))+IFERROR(INDEX(M_RawMaterials[固定週次消費量_要入力],MATCH($A11,M_RawMaterials[Part Name],0)),0)</f>
        <v/>
      </c>
      <c r="AI11">
        <f>SUMPRODUCT((M_BOM[Part Name]=$A11)*M_BOM[RM_Qty_Per_Batch]*IFERROR(INDEX(PP_Grid[#Data],M_BOM[PPGridRow],35),0))+IFERROR(INDEX(M_RawMaterials[固定週次消費量_要入力],MATCH($A11,M_RawMaterials[Part Name],0)),0)</f>
        <v/>
      </c>
      <c r="AJ11">
        <f>SUMPRODUCT((M_BOM[Part Name]=$A11)*M_BOM[RM_Qty_Per_Batch]*IFERROR(INDEX(PP_Grid[#Data],M_BOM[PPGridRow],36),0))+IFERROR(INDEX(M_RawMaterials[固定週次消費量_要入力],MATCH($A11,M_RawMaterials[Part Name],0)),0)</f>
        <v/>
      </c>
      <c r="AK11">
        <f>SUMPRODUCT((M_BOM[Part Name]=$A11)*M_BOM[RM_Qty_Per_Batch]*IFERROR(INDEX(PP_Grid[#Data],M_BOM[PPGridRow],37),0))+IFERROR(INDEX(M_RawMaterials[固定週次消費量_要入力],MATCH($A11,M_RawMaterials[Part Name],0)),0)</f>
        <v/>
      </c>
      <c r="AL11">
        <f>SUMPRODUCT((M_BOM[Part Name]=$A11)*M_BOM[RM_Qty_Per_Batch]*IFERROR(INDEX(PP_Grid[#Data],M_BOM[PPGridRow],38),0))+IFERROR(INDEX(M_RawMaterials[固定週次消費量_要入力],MATCH($A11,M_RawMaterials[Part Name],0)),0)</f>
        <v/>
      </c>
      <c r="AM11">
        <f>SUMPRODUCT((M_BOM[Part Name]=$A11)*M_BOM[RM_Qty_Per_Batch]*IFERROR(INDEX(PP_Grid[#Data],M_BOM[PPGridRow],39),0))+IFERROR(INDEX(M_RawMaterials[固定週次消費量_要入力],MATCH($A11,M_RawMaterials[Part Name],0)),0)</f>
        <v/>
      </c>
      <c r="AN11">
        <f>SUMPRODUCT((M_BOM[Part Name]=$A11)*M_BOM[RM_Qty_Per_Batch]*IFERROR(INDEX(PP_Grid[#Data],M_BOM[PPGridRow],40),0))+IFERROR(INDEX(M_RawMaterials[固定週次消費量_要入力],MATCH($A11,M_RawMaterials[Part Name],0)),0)</f>
        <v/>
      </c>
      <c r="AO11">
        <f>SUMPRODUCT((M_BOM[Part Name]=$A11)*M_BOM[RM_Qty_Per_Batch]*IFERROR(INDEX(PP_Grid[#Data],M_BOM[PPGridRow],41),0))+IFERROR(INDEX(M_RawMaterials[固定週次消費量_要入力],MATCH($A11,M_RawMaterials[Part Name],0)),0)</f>
        <v/>
      </c>
      <c r="AP11">
        <f>SUMPRODUCT((M_BOM[Part Name]=$A11)*M_BOM[RM_Qty_Per_Batch]*IFERROR(INDEX(PP_Grid[#Data],M_BOM[PPGridRow],42),0))+IFERROR(INDEX(M_RawMaterials[固定週次消費量_要入力],MATCH($A11,M_RawMaterials[Part Name],0)),0)</f>
        <v/>
      </c>
      <c r="AQ11">
        <f>SUMPRODUCT((M_BOM[Part Name]=$A11)*M_BOM[RM_Qty_Per_Batch]*IFERROR(INDEX(PP_Grid[#Data],M_BOM[PPGridRow],43),0))+IFERROR(INDEX(M_RawMaterials[固定週次消費量_要入力],MATCH($A11,M_RawMaterials[Part Name],0)),0)</f>
        <v/>
      </c>
      <c r="AR11">
        <f>SUMPRODUCT((M_BOM[Part Name]=$A11)*M_BOM[RM_Qty_Per_Batch]*IFERROR(INDEX(PP_Grid[#Data],M_BOM[PPGridRow],44),0))+IFERROR(INDEX(M_RawMaterials[固定週次消費量_要入力],MATCH($A11,M_RawMaterials[Part Name],0)),0)</f>
        <v/>
      </c>
      <c r="AS11">
        <f>SUMPRODUCT((M_BOM[Part Name]=$A11)*M_BOM[RM_Qty_Per_Batch]*IFERROR(INDEX(PP_Grid[#Data],M_BOM[PPGridRow],45),0))+IFERROR(INDEX(M_RawMaterials[固定週次消費量_要入力],MATCH($A11,M_RawMaterials[Part Name],0)),0)</f>
        <v/>
      </c>
      <c r="AT11">
        <f>SUMPRODUCT((M_BOM[Part Name]=$A11)*M_BOM[RM_Qty_Per_Batch]*IFERROR(INDEX(PP_Grid[#Data],M_BOM[PPGridRow],46),0))+IFERROR(INDEX(M_RawMaterials[固定週次消費量_要入力],MATCH($A11,M_RawMaterials[Part Name],0)),0)</f>
        <v/>
      </c>
      <c r="AU11">
        <f>SUMPRODUCT((M_BOM[Part Name]=$A11)*M_BOM[RM_Qty_Per_Batch]*IFERROR(INDEX(PP_Grid[#Data],M_BOM[PPGridRow],47),0))+IFERROR(INDEX(M_RawMaterials[固定週次消費量_要入力],MATCH($A11,M_RawMaterials[Part Name],0)),0)</f>
        <v/>
      </c>
      <c r="AV11">
        <f>SUMPRODUCT((M_BOM[Part Name]=$A11)*M_BOM[RM_Qty_Per_Batch]*IFERROR(INDEX(PP_Grid[#Data],M_BOM[PPGridRow],48),0))+IFERROR(INDEX(M_RawMaterials[固定週次消費量_要入力],MATCH($A11,M_RawMaterials[Part Name],0)),0)</f>
        <v/>
      </c>
      <c r="AW11">
        <f>SUMPRODUCT((M_BOM[Part Name]=$A11)*M_BOM[RM_Qty_Per_Batch]*IFERROR(INDEX(PP_Grid[#Data],M_BOM[PPGridRow],49),0))+IFERROR(INDEX(M_RawMaterials[固定週次消費量_要入力],MATCH($A11,M_RawMaterials[Part Name],0)),0)</f>
        <v/>
      </c>
      <c r="AX11">
        <f>SUMPRODUCT((M_BOM[Part Name]=$A11)*M_BOM[RM_Qty_Per_Batch]*IFERROR(INDEX(PP_Grid[#Data],M_BOM[PPGridRow],50),0))+IFERROR(INDEX(M_RawMaterials[固定週次消費量_要入力],MATCH($A11,M_RawMaterials[Part Name],0)),0)</f>
        <v/>
      </c>
      <c r="AY11">
        <f>SUMPRODUCT((M_BOM[Part Name]=$A11)*M_BOM[RM_Qty_Per_Batch]*IFERROR(INDEX(PP_Grid[#Data],M_BOM[PPGridRow],51),0))+IFERROR(INDEX(M_RawMaterials[固定週次消費量_要入力],MATCH($A11,M_RawMaterials[Part Name],0)),0)</f>
        <v/>
      </c>
      <c r="AZ11">
        <f>SUMPRODUCT((M_BOM[Part Name]=$A11)*M_BOM[RM_Qty_Per_Batch]*IFERROR(INDEX(PP_Grid[#Data],M_BOM[PPGridRow],52),0))+IFERROR(INDEX(M_RawMaterials[固定週次消費量_要入力],MATCH($A11,M_RawMaterials[Part Name],0)),0)</f>
        <v/>
      </c>
      <c r="BA11">
        <f>SUMPRODUCT((M_BOM[Part Name]=$A11)*M_BOM[RM_Qty_Per_Batch]*IFERROR(INDEX(PP_Grid[#Data],M_BOM[PPGridRow],53),0))+IFERROR(INDEX(M_RawMaterials[固定週次消費量_要入力],MATCH($A11,M_RawMaterials[Part Name],0)),0)</f>
        <v/>
      </c>
      <c r="BB11">
        <f>SUMPRODUCT((M_BOM[Part Name]=$A11)*M_BOM[RM_Qty_Per_Batch]*IFERROR(INDEX(PP_Grid[#Data],M_BOM[PPGridRow],54),0))+IFERROR(INDEX(M_RawMaterials[固定週次消費量_要入力],MATCH($A11,M_RawMaterials[Part Name],0)),0)</f>
        <v/>
      </c>
      <c r="BC11">
        <f>SUMPRODUCT((M_BOM[Part Name]=$A11)*M_BOM[RM_Qty_Per_Batch]*IFERROR(INDEX(PP_Grid[#Data],M_BOM[PPGridRow],55),0))+IFERROR(INDEX(M_RawMaterials[固定週次消費量_要入力],MATCH($A11,M_RawMaterials[Part Name],0)),0)</f>
        <v/>
      </c>
      <c r="BD11">
        <f>SUMPRODUCT((M_BOM[Part Name]=$A11)*M_BOM[RM_Qty_Per_Batch]*IFERROR(INDEX(PP_Grid[#Data],M_BOM[PPGridRow],56),0))+IFERROR(INDEX(M_RawMaterials[固定週次消費量_要入力],MATCH($A11,M_RawMaterials[Part Name],0)),0)</f>
        <v/>
      </c>
      <c r="BE11">
        <f>SUMPRODUCT((M_BOM[Part Name]=$A11)*M_BOM[RM_Qty_Per_Batch]*IFERROR(INDEX(PP_Grid[#Data],M_BOM[PPGridRow],57),0))+IFERROR(INDEX(M_RawMaterials[固定週次消費量_要入力],MATCH($A11,M_RawMaterials[Part Name],0)),0)</f>
        <v/>
      </c>
      <c r="BF11">
        <f>SUMPRODUCT((M_BOM[Part Name]=$A11)*M_BOM[RM_Qty_Per_Batch]*IFERROR(INDEX(PP_Grid[#Data],M_BOM[PPGridRow],58),0))+IFERROR(INDEX(M_RawMaterials[固定週次消費量_要入力],MATCH($A11,M_RawMaterials[Part Name],0)),0)</f>
        <v/>
      </c>
      <c r="BG11">
        <f>SUMPRODUCT((M_BOM[Part Name]=$A11)*M_BOM[RM_Qty_Per_Batch]*IFERROR(INDEX(PP_Grid[#Data],M_BOM[PPGridRow],59),0))+IFERROR(INDEX(M_RawMaterials[固定週次消費量_要入力],MATCH($A11,M_RawMaterials[Part Name],0)),0)</f>
        <v/>
      </c>
      <c r="BH11">
        <f>SUMPRODUCT((M_BOM[Part Name]=$A11)*M_BOM[RM_Qty_Per_Batch]*IFERROR(INDEX(PP_Grid[#Data],M_BOM[PPGridRow],60),0))+IFERROR(INDEX(M_RawMaterials[固定週次消費量_要入力],MATCH($A11,M_RawMaterials[Part Name],0)),0)</f>
        <v/>
      </c>
      <c r="BI11">
        <f>SUMPRODUCT((M_BOM[Part Name]=$A11)*M_BOM[RM_Qty_Per_Batch]*IFERROR(INDEX(PP_Grid[#Data],M_BOM[PPGridRow],61),0))+IFERROR(INDEX(M_RawMaterials[固定週次消費量_要入力],MATCH($A11,M_RawMaterials[Part Name],0)),0)</f>
        <v/>
      </c>
      <c r="BJ11">
        <f>SUMPRODUCT((M_BOM[Part Name]=$A11)*M_BOM[RM_Qty_Per_Batch]*IFERROR(INDEX(PP_Grid[#Data],M_BOM[PPGridRow],62),0))+IFERROR(INDEX(M_RawMaterials[固定週次消費量_要入力],MATCH($A11,M_RawMaterials[Part Name],0)),0)</f>
        <v/>
      </c>
      <c r="BK11">
        <f>SUMPRODUCT((M_BOM[Part Name]=$A11)*M_BOM[RM_Qty_Per_Batch]*IFERROR(INDEX(PP_Grid[#Data],M_BOM[PPGridRow],63),0))+IFERROR(INDEX(M_RawMaterials[固定週次消費量_要入力],MATCH($A11,M_RawMaterials[Part Name],0)),0)</f>
        <v/>
      </c>
      <c r="BL11">
        <f>SUMPRODUCT((M_BOM[Part Name]=$A11)*M_BOM[RM_Qty_Per_Batch]*IFERROR(INDEX(PP_Grid[#Data],M_BOM[PPGridRow],64),0))+IFERROR(INDEX(M_RawMaterials[固定週次消費量_要入力],MATCH($A11,M_RawMaterials[Part Name],0)),0)</f>
        <v/>
      </c>
      <c r="BM11">
        <f>SUMPRODUCT((M_BOM[Part Name]=$A11)*M_BOM[RM_Qty_Per_Batch]*IFERROR(INDEX(PP_Grid[#Data],M_BOM[PPGridRow],65),0))+IFERROR(INDEX(M_RawMaterials[固定週次消費量_要入力],MATCH($A11,M_RawMaterials[Part Name],0)),0)</f>
        <v/>
      </c>
      <c r="BN11">
        <f>SUMPRODUCT((M_BOM[Part Name]=$A11)*M_BOM[RM_Qty_Per_Batch]*IFERROR(INDEX(PP_Grid[#Data],M_BOM[PPGridRow],66),0))+IFERROR(INDEX(M_RawMaterials[固定週次消費量_要入力],MATCH($A11,M_RawMaterials[Part Name],0)),0)</f>
        <v/>
      </c>
      <c r="BO11">
        <f>SUMPRODUCT((M_BOM[Part Name]=$A11)*M_BOM[RM_Qty_Per_Batch]*IFERROR(INDEX(PP_Grid[#Data],M_BOM[PPGridRow],67),0))+IFERROR(INDEX(M_RawMaterials[固定週次消費量_要入力],MATCH($A11,M_RawMaterials[Part Name],0)),0)</f>
        <v/>
      </c>
      <c r="BP11">
        <f>SUMPRODUCT((M_BOM[Part Name]=$A11)*M_BOM[RM_Qty_Per_Batch]*IFERROR(INDEX(PP_Grid[#Data],M_BOM[PPGridRow],68),0))+IFERROR(INDEX(M_RawMaterials[固定週次消費量_要入力],MATCH($A11,M_RawMaterials[Part Name],0)),0)</f>
        <v/>
      </c>
      <c r="BQ11">
        <f>SUMPRODUCT((M_BOM[Part Name]=$A11)*M_BOM[RM_Qty_Per_Batch]*IFERROR(INDEX(PP_Grid[#Data],M_BOM[PPGridRow],69),0))+IFERROR(INDEX(M_RawMaterials[固定週次消費量_要入力],MATCH($A11,M_RawMaterials[Part Name],0)),0)</f>
        <v/>
      </c>
      <c r="BR11">
        <f>SUMPRODUCT((M_BOM[Part Name]=$A11)*M_BOM[RM_Qty_Per_Batch]*IFERROR(INDEX(PP_Grid[#Data],M_BOM[PPGridRow],70),0))+IFERROR(INDEX(M_RawMaterials[固定週次消費量_要入力],MATCH($A11,M_RawMaterials[Part Name],0)),0)</f>
        <v/>
      </c>
      <c r="BS11">
        <f>SUMPRODUCT((M_BOM[Part Name]=$A11)*M_BOM[RM_Qty_Per_Batch]*IFERROR(INDEX(PP_Grid[#Data],M_BOM[PPGridRow],71),0))+IFERROR(INDEX(M_RawMaterials[固定週次消費量_要入力],MATCH($A11,M_RawMaterials[Part Name],0)),0)</f>
        <v/>
      </c>
      <c r="BT11">
        <f>SUMPRODUCT((M_BOM[Part Name]=$A11)*M_BOM[RM_Qty_Per_Batch]*IFERROR(INDEX(PP_Grid[#Data],M_BOM[PPGridRow],72),0))+IFERROR(INDEX(M_RawMaterials[固定週次消費量_要入力],MATCH($A11,M_RawMaterials[Part Name],0)),0)</f>
        <v/>
      </c>
      <c r="BU11">
        <f>SUMPRODUCT((M_BOM[Part Name]=$A11)*M_BOM[RM_Qty_Per_Batch]*IFERROR(INDEX(PP_Grid[#Data],M_BOM[PPGridRow],73),0))+IFERROR(INDEX(M_RawMaterials[固定週次消費量_要入力],MATCH($A11,M_RawMaterials[Part Name],0)),0)</f>
        <v/>
      </c>
      <c r="BV11">
        <f>SUMPRODUCT((M_BOM[Part Name]=$A11)*M_BOM[RM_Qty_Per_Batch]*IFERROR(INDEX(PP_Grid[#Data],M_BOM[PPGridRow],74),0))+IFERROR(INDEX(M_RawMaterials[固定週次消費量_要入力],MATCH($A11,M_RawMaterials[Part Name],0)),0)</f>
        <v/>
      </c>
      <c r="BW11">
        <f>SUMPRODUCT((M_BOM[Part Name]=$A11)*M_BOM[RM_Qty_Per_Batch]*IFERROR(INDEX(PP_Grid[#Data],M_BOM[PPGridRow],75),0))+IFERROR(INDEX(M_RawMaterials[固定週次消費量_要入力],MATCH($A11,M_RawMaterials[Part Name],0)),0)</f>
        <v/>
      </c>
      <c r="BX11">
        <f>SUMPRODUCT((M_BOM[Part Name]=$A11)*M_BOM[RM_Qty_Per_Batch]*IFERROR(INDEX(PP_Grid[#Data],M_BOM[PPGridRow],76),0))+IFERROR(INDEX(M_RawMaterials[固定週次消費量_要入力],MATCH($A11,M_RawMaterials[Part Name],0)),0)</f>
        <v/>
      </c>
      <c r="BY11">
        <f>SUMPRODUCT((M_BOM[Part Name]=$A11)*M_BOM[RM_Qty_Per_Batch]*IFERROR(INDEX(PP_Grid[#Data],M_BOM[PPGridRow],77),0))+IFERROR(INDEX(M_RawMaterials[固定週次消費量_要入力],MATCH($A11,M_RawMaterials[Part Name],0)),0)</f>
        <v/>
      </c>
      <c r="BZ11">
        <f>SUMPRODUCT((M_BOM[Part Name]=$A11)*M_BOM[RM_Qty_Per_Batch]*IFERROR(INDEX(PP_Grid[#Data],M_BOM[PPGridRow],78),0))+IFERROR(INDEX(M_RawMaterials[固定週次消費量_要入力],MATCH($A11,M_RawMaterials[Part Name],0)),0)</f>
        <v/>
      </c>
      <c r="CA11">
        <f>SUMPRODUCT((M_BOM[Part Name]=$A11)*M_BOM[RM_Qty_Per_Batch]*IFERROR(INDEX(PP_Grid[#Data],M_BOM[PPGridRow],79),0))+IFERROR(INDEX(M_RawMaterials[固定週次消費量_要入力],MATCH($A11,M_RawMaterials[Part Name],0)),0)</f>
        <v/>
      </c>
      <c r="CB11">
        <f>SUMPRODUCT((M_BOM[Part Name]=$A11)*M_BOM[RM_Qty_Per_Batch]*IFERROR(INDEX(PP_Grid[#Data],M_BOM[PPGridRow],80),0))+IFERROR(INDEX(M_RawMaterials[固定週次消費量_要入力],MATCH($A11,M_RawMaterials[Part Name],0)),0)</f>
        <v/>
      </c>
      <c r="CC11">
        <f>SUMPRODUCT((M_BOM[Part Name]=$A11)*M_BOM[RM_Qty_Per_Batch]*IFERROR(INDEX(PP_Grid[#Data],M_BOM[PPGridRow],81),0))+IFERROR(INDEX(M_RawMaterials[固定週次消費量_要入力],MATCH($A11,M_RawMaterials[Part Name],0)),0)</f>
        <v/>
      </c>
      <c r="CD11">
        <f>SUMPRODUCT((M_BOM[Part Name]=$A11)*M_BOM[RM_Qty_Per_Batch]*IFERROR(INDEX(PP_Grid[#Data],M_BOM[PPGridRow],82),0))+IFERROR(INDEX(M_RawMaterials[固定週次消費量_要入力],MATCH($A11,M_RawMaterials[Part Name],0)),0)</f>
        <v/>
      </c>
      <c r="CE11">
        <f>SUMPRODUCT((M_BOM[Part Name]=$A11)*M_BOM[RM_Qty_Per_Batch]*IFERROR(INDEX(PP_Grid[#Data],M_BOM[PPGridRow],83),0))+IFERROR(INDEX(M_RawMaterials[固定週次消費量_要入力],MATCH($A11,M_RawMaterials[Part Name],0)),0)</f>
        <v/>
      </c>
      <c r="CF11">
        <f>SUMPRODUCT((M_BOM[Part Name]=$A11)*M_BOM[RM_Qty_Per_Batch]*IFERROR(INDEX(PP_Grid[#Data],M_BOM[PPGridRow],84),0))+IFERROR(INDEX(M_RawMaterials[固定週次消費量_要入力],MATCH($A11,M_RawMaterials[Part Name],0)),0)</f>
        <v/>
      </c>
      <c r="CG11">
        <f>SUMPRODUCT((M_BOM[Part Name]=$A11)*M_BOM[RM_Qty_Per_Batch]*IFERROR(INDEX(PP_Grid[#Data],M_BOM[PPGridRow],85),0))+IFERROR(INDEX(M_RawMaterials[固定週次消費量_要入力],MATCH($A11,M_RawMaterials[Part Name],0)),0)</f>
        <v/>
      </c>
      <c r="CH11">
        <f>SUMPRODUCT((M_BOM[Part Name]=$A11)*M_BOM[RM_Qty_Per_Batch]*IFERROR(INDEX(PP_Grid[#Data],M_BOM[PPGridRow],86),0))+IFERROR(INDEX(M_RawMaterials[固定週次消費量_要入力],MATCH($A11,M_RawMaterials[Part Name],0)),0)</f>
        <v/>
      </c>
      <c r="CI11">
        <f>SUMPRODUCT((M_BOM[Part Name]=$A11)*M_BOM[RM_Qty_Per_Batch]*IFERROR(INDEX(PP_Grid[#Data],M_BOM[PPGridRow],87),0))+IFERROR(INDEX(M_RawMaterials[固定週次消費量_要入力],MATCH($A11,M_RawMaterials[Part Name],0)),0)</f>
        <v/>
      </c>
      <c r="CJ11">
        <f>SUMPRODUCT((M_BOM[Part Name]=$A11)*M_BOM[RM_Qty_Per_Batch]*IFERROR(INDEX(PP_Grid[#Data],M_BOM[PPGridRow],88),0))+IFERROR(INDEX(M_RawMaterials[固定週次消費量_要入力],MATCH($A11,M_RawMaterials[Part Name],0)),0)</f>
        <v/>
      </c>
      <c r="CK11">
        <f>SUMPRODUCT((M_BOM[Part Name]=$A11)*M_BOM[RM_Qty_Per_Batch]*IFERROR(INDEX(PP_Grid[#Data],M_BOM[PPGridRow],89),0))+IFERROR(INDEX(M_RawMaterials[固定週次消費量_要入力],MATCH($A11,M_RawMaterials[Part Name],0)),0)</f>
        <v/>
      </c>
      <c r="CL11">
        <f>SUMPRODUCT((M_BOM[Part Name]=$A11)*M_BOM[RM_Qty_Per_Batch]*IFERROR(INDEX(PP_Grid[#Data],M_BOM[PPGridRow],90),0))+IFERROR(INDEX(M_RawMaterials[固定週次消費量_要入力],MATCH($A11,M_RawMaterials[Part Name],0)),0)</f>
        <v/>
      </c>
      <c r="CM11">
        <f>SUMPRODUCT((M_BOM[Part Name]=$A11)*M_BOM[RM_Qty_Per_Batch]*IFERROR(INDEX(PP_Grid[#Data],M_BOM[PPGridRow],91),0))+IFERROR(INDEX(M_RawMaterials[固定週次消費量_要入力],MATCH($A11,M_RawMaterials[Part Name],0)),0)</f>
        <v/>
      </c>
      <c r="CN11">
        <f>SUMPRODUCT((M_BOM[Part Name]=$A11)*M_BOM[RM_Qty_Per_Batch]*IFERROR(INDEX(PP_Grid[#Data],M_BOM[PPGridRow],92),0))+IFERROR(INDEX(M_RawMaterials[固定週次消費量_要入力],MATCH($A11,M_RawMaterials[Part Name],0)),0)</f>
        <v/>
      </c>
      <c r="CO11">
        <f>SUMPRODUCT((M_BOM[Part Name]=$A11)*M_BOM[RM_Qty_Per_Batch]*IFERROR(INDEX(PP_Grid[#Data],M_BOM[PPGridRow],93),0))+IFERROR(INDEX(M_RawMaterials[固定週次消費量_要入力],MATCH($A11,M_RawMaterials[Part Name],0)),0)</f>
        <v/>
      </c>
      <c r="CP11">
        <f>SUMPRODUCT((M_BOM[Part Name]=$A11)*M_BOM[RM_Qty_Per_Batch]*IFERROR(INDEX(PP_Grid[#Data],M_BOM[PPGridRow],94),0))+IFERROR(INDEX(M_RawMaterials[固定週次消費量_要入力],MATCH($A11,M_RawMaterials[Part Name],0)),0)</f>
        <v/>
      </c>
      <c r="CQ11">
        <f>SUMPRODUCT((M_BOM[Part Name]=$A11)*M_BOM[RM_Qty_Per_Batch]*IFERROR(INDEX(PP_Grid[#Data],M_BOM[PPGridRow],95),0))+IFERROR(INDEX(M_RawMaterials[固定週次消費量_要入力],MATCH($A11,M_RawMaterials[Part Name],0)),0)</f>
        <v/>
      </c>
      <c r="CR11">
        <f>SUMPRODUCT((M_BOM[Part Name]=$A11)*M_BOM[RM_Qty_Per_Batch]*IFERROR(INDEX(PP_Grid[#Data],M_BOM[PPGridRow],96),0))+IFERROR(INDEX(M_RawMaterials[固定週次消費量_要入力],MATCH($A11,M_RawMaterials[Part Name],0)),0)</f>
        <v/>
      </c>
      <c r="CS11">
        <f>SUMPRODUCT((M_BOM[Part Name]=$A11)*M_BOM[RM_Qty_Per_Batch]*IFERROR(INDEX(PP_Grid[#Data],M_BOM[PPGridRow],97),0))+IFERROR(INDEX(M_RawMaterials[固定週次消費量_要入力],MATCH($A11,M_RawMaterials[Part Name],0)),0)</f>
        <v/>
      </c>
      <c r="CT11">
        <f>SUMPRODUCT((M_BOM[Part Name]=$A11)*M_BOM[RM_Qty_Per_Batch]*IFERROR(INDEX(PP_Grid[#Data],M_BOM[PPGridRow],98),0))+IFERROR(INDEX(M_RawMaterials[固定週次消費量_要入力],MATCH($A11,M_RawMaterials[Part Name],0)),0)</f>
        <v/>
      </c>
      <c r="CU11">
        <f>SUMPRODUCT((M_BOM[Part Name]=$A11)*M_BOM[RM_Qty_Per_Batch]*IFERROR(INDEX(PP_Grid[#Data],M_BOM[PPGridRow],99),0))+IFERROR(INDEX(M_RawMaterials[固定週次消費量_要入力],MATCH($A11,M_RawMaterials[Part Name],0)),0)</f>
        <v/>
      </c>
      <c r="CV11">
        <f>SUMPRODUCT((M_BOM[Part Name]=$A11)*M_BOM[RM_Qty_Per_Batch]*IFERROR(INDEX(PP_Grid[#Data],M_BOM[PPGridRow],100),0))+IFERROR(INDEX(M_RawMaterials[固定週次消費量_要入力],MATCH($A11,M_RawMaterials[Part Name],0)),0)</f>
        <v/>
      </c>
      <c r="CW11">
        <f>SUMPRODUCT((M_BOM[Part Name]=$A11)*M_BOM[RM_Qty_Per_Batch]*IFERROR(INDEX(PP_Grid[#Data],M_BOM[PPGridRow],101),0))+IFERROR(INDEX(M_RawMaterials[固定週次消費量_要入力],MATCH($A11,M_RawMaterials[Part Name],0)),0)</f>
        <v/>
      </c>
      <c r="CX11">
        <f>SUMPRODUCT((M_BOM[Part Name]=$A11)*M_BOM[RM_Qty_Per_Batch]*IFERROR(INDEX(PP_Grid[#Data],M_BOM[PPGridRow],102),0))+IFERROR(INDEX(M_RawMaterials[固定週次消費量_要入力],MATCH($A11,M_RawMaterials[Part Name],0)),0)</f>
        <v/>
      </c>
      <c r="CY11">
        <f>SUMPRODUCT((M_BOM[Part Name]=$A11)*M_BOM[RM_Qty_Per_Batch]*IFERROR(INDEX(PP_Grid[#Data],M_BOM[PPGridRow],103),0))+IFERROR(INDEX(M_RawMaterials[固定週次消費量_要入力],MATCH($A11,M_RawMaterials[Part Name],0)),0)</f>
        <v/>
      </c>
      <c r="CZ11">
        <f>SUMPRODUCT((M_BOM[Part Name]=$A11)*M_BOM[RM_Qty_Per_Batch]*IFERROR(INDEX(PP_Grid[#Data],M_BOM[PPGridRow],104),0))+IFERROR(INDEX(M_RawMaterials[固定週次消費量_要入力],MATCH($A11,M_RawMaterials[Part Name],0)),0)</f>
        <v/>
      </c>
      <c r="DA11">
        <f>SUMPRODUCT((M_BOM[Part Name]=$A11)*M_BOM[RM_Qty_Per_Batch]*IFERROR(INDEX(PP_Grid[#Data],M_BOM[PPGridRow],105),0))+IFERROR(INDEX(M_RawMaterials[固定週次消費量_要入力],MATCH($A11,M_RawMaterials[Part Name],0)),0)</f>
        <v/>
      </c>
    </row>
    <row r="12">
      <c r="A12" t="inlineStr">
        <is>
          <t>YAN</t>
        </is>
      </c>
      <c r="B12">
        <f>SUMPRODUCT((M_BOM[Part Name]=$A12)*M_BOM[RM_Qty_Per_Batch]*IFERROR(INDEX(PP_Grid[#Data],M_BOM[PPGridRow],2),0))+IFERROR(INDEX(M_RawMaterials[固定週次消費量_要入力],MATCH($A12,M_RawMaterials[Part Name],0)),0)</f>
        <v/>
      </c>
      <c r="C12">
        <f>SUMPRODUCT((M_BOM[Part Name]=$A12)*M_BOM[RM_Qty_Per_Batch]*IFERROR(INDEX(PP_Grid[#Data],M_BOM[PPGridRow],3),0))+IFERROR(INDEX(M_RawMaterials[固定週次消費量_要入力],MATCH($A12,M_RawMaterials[Part Name],0)),0)</f>
        <v/>
      </c>
      <c r="D12">
        <f>SUMPRODUCT((M_BOM[Part Name]=$A12)*M_BOM[RM_Qty_Per_Batch]*IFERROR(INDEX(PP_Grid[#Data],M_BOM[PPGridRow],4),0))+IFERROR(INDEX(M_RawMaterials[固定週次消費量_要入力],MATCH($A12,M_RawMaterials[Part Name],0)),0)</f>
        <v/>
      </c>
      <c r="E12">
        <f>SUMPRODUCT((M_BOM[Part Name]=$A12)*M_BOM[RM_Qty_Per_Batch]*IFERROR(INDEX(PP_Grid[#Data],M_BOM[PPGridRow],5),0))+IFERROR(INDEX(M_RawMaterials[固定週次消費量_要入力],MATCH($A12,M_RawMaterials[Part Name],0)),0)</f>
        <v/>
      </c>
      <c r="F12">
        <f>SUMPRODUCT((M_BOM[Part Name]=$A12)*M_BOM[RM_Qty_Per_Batch]*IFERROR(INDEX(PP_Grid[#Data],M_BOM[PPGridRow],6),0))+IFERROR(INDEX(M_RawMaterials[固定週次消費量_要入力],MATCH($A12,M_RawMaterials[Part Name],0)),0)</f>
        <v/>
      </c>
      <c r="G12">
        <f>SUMPRODUCT((M_BOM[Part Name]=$A12)*M_BOM[RM_Qty_Per_Batch]*IFERROR(INDEX(PP_Grid[#Data],M_BOM[PPGridRow],7),0))+IFERROR(INDEX(M_RawMaterials[固定週次消費量_要入力],MATCH($A12,M_RawMaterials[Part Name],0)),0)</f>
        <v/>
      </c>
      <c r="H12">
        <f>SUMPRODUCT((M_BOM[Part Name]=$A12)*M_BOM[RM_Qty_Per_Batch]*IFERROR(INDEX(PP_Grid[#Data],M_BOM[PPGridRow],8),0))+IFERROR(INDEX(M_RawMaterials[固定週次消費量_要入力],MATCH($A12,M_RawMaterials[Part Name],0)),0)</f>
        <v/>
      </c>
      <c r="I12">
        <f>SUMPRODUCT((M_BOM[Part Name]=$A12)*M_BOM[RM_Qty_Per_Batch]*IFERROR(INDEX(PP_Grid[#Data],M_BOM[PPGridRow],9),0))+IFERROR(INDEX(M_RawMaterials[固定週次消費量_要入力],MATCH($A12,M_RawMaterials[Part Name],0)),0)</f>
        <v/>
      </c>
      <c r="J12">
        <f>SUMPRODUCT((M_BOM[Part Name]=$A12)*M_BOM[RM_Qty_Per_Batch]*IFERROR(INDEX(PP_Grid[#Data],M_BOM[PPGridRow],10),0))+IFERROR(INDEX(M_RawMaterials[固定週次消費量_要入力],MATCH($A12,M_RawMaterials[Part Name],0)),0)</f>
        <v/>
      </c>
      <c r="K12">
        <f>SUMPRODUCT((M_BOM[Part Name]=$A12)*M_BOM[RM_Qty_Per_Batch]*IFERROR(INDEX(PP_Grid[#Data],M_BOM[PPGridRow],11),0))+IFERROR(INDEX(M_RawMaterials[固定週次消費量_要入力],MATCH($A12,M_RawMaterials[Part Name],0)),0)</f>
        <v/>
      </c>
      <c r="L12">
        <f>SUMPRODUCT((M_BOM[Part Name]=$A12)*M_BOM[RM_Qty_Per_Batch]*IFERROR(INDEX(PP_Grid[#Data],M_BOM[PPGridRow],12),0))+IFERROR(INDEX(M_RawMaterials[固定週次消費量_要入力],MATCH($A12,M_RawMaterials[Part Name],0)),0)</f>
        <v/>
      </c>
      <c r="M12">
        <f>SUMPRODUCT((M_BOM[Part Name]=$A12)*M_BOM[RM_Qty_Per_Batch]*IFERROR(INDEX(PP_Grid[#Data],M_BOM[PPGridRow],13),0))+IFERROR(INDEX(M_RawMaterials[固定週次消費量_要入力],MATCH($A12,M_RawMaterials[Part Name],0)),0)</f>
        <v/>
      </c>
      <c r="N12">
        <f>SUMPRODUCT((M_BOM[Part Name]=$A12)*M_BOM[RM_Qty_Per_Batch]*IFERROR(INDEX(PP_Grid[#Data],M_BOM[PPGridRow],14),0))+IFERROR(INDEX(M_RawMaterials[固定週次消費量_要入力],MATCH($A12,M_RawMaterials[Part Name],0)),0)</f>
        <v/>
      </c>
      <c r="O12">
        <f>SUMPRODUCT((M_BOM[Part Name]=$A12)*M_BOM[RM_Qty_Per_Batch]*IFERROR(INDEX(PP_Grid[#Data],M_BOM[PPGridRow],15),0))+IFERROR(INDEX(M_RawMaterials[固定週次消費量_要入力],MATCH($A12,M_RawMaterials[Part Name],0)),0)</f>
        <v/>
      </c>
      <c r="P12">
        <f>SUMPRODUCT((M_BOM[Part Name]=$A12)*M_BOM[RM_Qty_Per_Batch]*IFERROR(INDEX(PP_Grid[#Data],M_BOM[PPGridRow],16),0))+IFERROR(INDEX(M_RawMaterials[固定週次消費量_要入力],MATCH($A12,M_RawMaterials[Part Name],0)),0)</f>
        <v/>
      </c>
      <c r="Q12">
        <f>SUMPRODUCT((M_BOM[Part Name]=$A12)*M_BOM[RM_Qty_Per_Batch]*IFERROR(INDEX(PP_Grid[#Data],M_BOM[PPGridRow],17),0))+IFERROR(INDEX(M_RawMaterials[固定週次消費量_要入力],MATCH($A12,M_RawMaterials[Part Name],0)),0)</f>
        <v/>
      </c>
      <c r="R12">
        <f>SUMPRODUCT((M_BOM[Part Name]=$A12)*M_BOM[RM_Qty_Per_Batch]*IFERROR(INDEX(PP_Grid[#Data],M_BOM[PPGridRow],18),0))+IFERROR(INDEX(M_RawMaterials[固定週次消費量_要入力],MATCH($A12,M_RawMaterials[Part Name],0)),0)</f>
        <v/>
      </c>
      <c r="S12">
        <f>SUMPRODUCT((M_BOM[Part Name]=$A12)*M_BOM[RM_Qty_Per_Batch]*IFERROR(INDEX(PP_Grid[#Data],M_BOM[PPGridRow],19),0))+IFERROR(INDEX(M_RawMaterials[固定週次消費量_要入力],MATCH($A12,M_RawMaterials[Part Name],0)),0)</f>
        <v/>
      </c>
      <c r="T12">
        <f>SUMPRODUCT((M_BOM[Part Name]=$A12)*M_BOM[RM_Qty_Per_Batch]*IFERROR(INDEX(PP_Grid[#Data],M_BOM[PPGridRow],20),0))+IFERROR(INDEX(M_RawMaterials[固定週次消費量_要入力],MATCH($A12,M_RawMaterials[Part Name],0)),0)</f>
        <v/>
      </c>
      <c r="U12">
        <f>SUMPRODUCT((M_BOM[Part Name]=$A12)*M_BOM[RM_Qty_Per_Batch]*IFERROR(INDEX(PP_Grid[#Data],M_BOM[PPGridRow],21),0))+IFERROR(INDEX(M_RawMaterials[固定週次消費量_要入力],MATCH($A12,M_RawMaterials[Part Name],0)),0)</f>
        <v/>
      </c>
      <c r="V12">
        <f>SUMPRODUCT((M_BOM[Part Name]=$A12)*M_BOM[RM_Qty_Per_Batch]*IFERROR(INDEX(PP_Grid[#Data],M_BOM[PPGridRow],22),0))+IFERROR(INDEX(M_RawMaterials[固定週次消費量_要入力],MATCH($A12,M_RawMaterials[Part Name],0)),0)</f>
        <v/>
      </c>
      <c r="W12">
        <f>SUMPRODUCT((M_BOM[Part Name]=$A12)*M_BOM[RM_Qty_Per_Batch]*IFERROR(INDEX(PP_Grid[#Data],M_BOM[PPGridRow],23),0))+IFERROR(INDEX(M_RawMaterials[固定週次消費量_要入力],MATCH($A12,M_RawMaterials[Part Name],0)),0)</f>
        <v/>
      </c>
      <c r="X12">
        <f>SUMPRODUCT((M_BOM[Part Name]=$A12)*M_BOM[RM_Qty_Per_Batch]*IFERROR(INDEX(PP_Grid[#Data],M_BOM[PPGridRow],24),0))+IFERROR(INDEX(M_RawMaterials[固定週次消費量_要入力],MATCH($A12,M_RawMaterials[Part Name],0)),0)</f>
        <v/>
      </c>
      <c r="Y12">
        <f>SUMPRODUCT((M_BOM[Part Name]=$A12)*M_BOM[RM_Qty_Per_Batch]*IFERROR(INDEX(PP_Grid[#Data],M_BOM[PPGridRow],25),0))+IFERROR(INDEX(M_RawMaterials[固定週次消費量_要入力],MATCH($A12,M_RawMaterials[Part Name],0)),0)</f>
        <v/>
      </c>
      <c r="Z12">
        <f>SUMPRODUCT((M_BOM[Part Name]=$A12)*M_BOM[RM_Qty_Per_Batch]*IFERROR(INDEX(PP_Grid[#Data],M_BOM[PPGridRow],26),0))+IFERROR(INDEX(M_RawMaterials[固定週次消費量_要入力],MATCH($A12,M_RawMaterials[Part Name],0)),0)</f>
        <v/>
      </c>
      <c r="AA12">
        <f>SUMPRODUCT((M_BOM[Part Name]=$A12)*M_BOM[RM_Qty_Per_Batch]*IFERROR(INDEX(PP_Grid[#Data],M_BOM[PPGridRow],27),0))+IFERROR(INDEX(M_RawMaterials[固定週次消費量_要入力],MATCH($A12,M_RawMaterials[Part Name],0)),0)</f>
        <v/>
      </c>
      <c r="AB12">
        <f>SUMPRODUCT((M_BOM[Part Name]=$A12)*M_BOM[RM_Qty_Per_Batch]*IFERROR(INDEX(PP_Grid[#Data],M_BOM[PPGridRow],28),0))+IFERROR(INDEX(M_RawMaterials[固定週次消費量_要入力],MATCH($A12,M_RawMaterials[Part Name],0)),0)</f>
        <v/>
      </c>
      <c r="AC12">
        <f>SUMPRODUCT((M_BOM[Part Name]=$A12)*M_BOM[RM_Qty_Per_Batch]*IFERROR(INDEX(PP_Grid[#Data],M_BOM[PPGridRow],29),0))+IFERROR(INDEX(M_RawMaterials[固定週次消費量_要入力],MATCH($A12,M_RawMaterials[Part Name],0)),0)</f>
        <v/>
      </c>
      <c r="AD12">
        <f>SUMPRODUCT((M_BOM[Part Name]=$A12)*M_BOM[RM_Qty_Per_Batch]*IFERROR(INDEX(PP_Grid[#Data],M_BOM[PPGridRow],30),0))+IFERROR(INDEX(M_RawMaterials[固定週次消費量_要入力],MATCH($A12,M_RawMaterials[Part Name],0)),0)</f>
        <v/>
      </c>
      <c r="AE12">
        <f>SUMPRODUCT((M_BOM[Part Name]=$A12)*M_BOM[RM_Qty_Per_Batch]*IFERROR(INDEX(PP_Grid[#Data],M_BOM[PPGridRow],31),0))+IFERROR(INDEX(M_RawMaterials[固定週次消費量_要入力],MATCH($A12,M_RawMaterials[Part Name],0)),0)</f>
        <v/>
      </c>
      <c r="AF12">
        <f>SUMPRODUCT((M_BOM[Part Name]=$A12)*M_BOM[RM_Qty_Per_Batch]*IFERROR(INDEX(PP_Grid[#Data],M_BOM[PPGridRow],32),0))+IFERROR(INDEX(M_RawMaterials[固定週次消費量_要入力],MATCH($A12,M_RawMaterials[Part Name],0)),0)</f>
        <v/>
      </c>
      <c r="AG12">
        <f>SUMPRODUCT((M_BOM[Part Name]=$A12)*M_BOM[RM_Qty_Per_Batch]*IFERROR(INDEX(PP_Grid[#Data],M_BOM[PPGridRow],33),0))+IFERROR(INDEX(M_RawMaterials[固定週次消費量_要入力],MATCH($A12,M_RawMaterials[Part Name],0)),0)</f>
        <v/>
      </c>
      <c r="AH12">
        <f>SUMPRODUCT((M_BOM[Part Name]=$A12)*M_BOM[RM_Qty_Per_Batch]*IFERROR(INDEX(PP_Grid[#Data],M_BOM[PPGridRow],34),0))+IFERROR(INDEX(M_RawMaterials[固定週次消費量_要入力],MATCH($A12,M_RawMaterials[Part Name],0)),0)</f>
        <v/>
      </c>
      <c r="AI12">
        <f>SUMPRODUCT((M_BOM[Part Name]=$A12)*M_BOM[RM_Qty_Per_Batch]*IFERROR(INDEX(PP_Grid[#Data],M_BOM[PPGridRow],35),0))+IFERROR(INDEX(M_RawMaterials[固定週次消費量_要入力],MATCH($A12,M_RawMaterials[Part Name],0)),0)</f>
        <v/>
      </c>
      <c r="AJ12">
        <f>SUMPRODUCT((M_BOM[Part Name]=$A12)*M_BOM[RM_Qty_Per_Batch]*IFERROR(INDEX(PP_Grid[#Data],M_BOM[PPGridRow],36),0))+IFERROR(INDEX(M_RawMaterials[固定週次消費量_要入力],MATCH($A12,M_RawMaterials[Part Name],0)),0)</f>
        <v/>
      </c>
      <c r="AK12">
        <f>SUMPRODUCT((M_BOM[Part Name]=$A12)*M_BOM[RM_Qty_Per_Batch]*IFERROR(INDEX(PP_Grid[#Data],M_BOM[PPGridRow],37),0))+IFERROR(INDEX(M_RawMaterials[固定週次消費量_要入力],MATCH($A12,M_RawMaterials[Part Name],0)),0)</f>
        <v/>
      </c>
      <c r="AL12">
        <f>SUMPRODUCT((M_BOM[Part Name]=$A12)*M_BOM[RM_Qty_Per_Batch]*IFERROR(INDEX(PP_Grid[#Data],M_BOM[PPGridRow],38),0))+IFERROR(INDEX(M_RawMaterials[固定週次消費量_要入力],MATCH($A12,M_RawMaterials[Part Name],0)),0)</f>
        <v/>
      </c>
      <c r="AM12">
        <f>SUMPRODUCT((M_BOM[Part Name]=$A12)*M_BOM[RM_Qty_Per_Batch]*IFERROR(INDEX(PP_Grid[#Data],M_BOM[PPGridRow],39),0))+IFERROR(INDEX(M_RawMaterials[固定週次消費量_要入力],MATCH($A12,M_RawMaterials[Part Name],0)),0)</f>
        <v/>
      </c>
      <c r="AN12">
        <f>SUMPRODUCT((M_BOM[Part Name]=$A12)*M_BOM[RM_Qty_Per_Batch]*IFERROR(INDEX(PP_Grid[#Data],M_BOM[PPGridRow],40),0))+IFERROR(INDEX(M_RawMaterials[固定週次消費量_要入力],MATCH($A12,M_RawMaterials[Part Name],0)),0)</f>
        <v/>
      </c>
      <c r="AO12">
        <f>SUMPRODUCT((M_BOM[Part Name]=$A12)*M_BOM[RM_Qty_Per_Batch]*IFERROR(INDEX(PP_Grid[#Data],M_BOM[PPGridRow],41),0))+IFERROR(INDEX(M_RawMaterials[固定週次消費量_要入力],MATCH($A12,M_RawMaterials[Part Name],0)),0)</f>
        <v/>
      </c>
      <c r="AP12">
        <f>SUMPRODUCT((M_BOM[Part Name]=$A12)*M_BOM[RM_Qty_Per_Batch]*IFERROR(INDEX(PP_Grid[#Data],M_BOM[PPGridRow],42),0))+IFERROR(INDEX(M_RawMaterials[固定週次消費量_要入力],MATCH($A12,M_RawMaterials[Part Name],0)),0)</f>
        <v/>
      </c>
      <c r="AQ12">
        <f>SUMPRODUCT((M_BOM[Part Name]=$A12)*M_BOM[RM_Qty_Per_Batch]*IFERROR(INDEX(PP_Grid[#Data],M_BOM[PPGridRow],43),0))+IFERROR(INDEX(M_RawMaterials[固定週次消費量_要入力],MATCH($A12,M_RawMaterials[Part Name],0)),0)</f>
        <v/>
      </c>
      <c r="AR12">
        <f>SUMPRODUCT((M_BOM[Part Name]=$A12)*M_BOM[RM_Qty_Per_Batch]*IFERROR(INDEX(PP_Grid[#Data],M_BOM[PPGridRow],44),0))+IFERROR(INDEX(M_RawMaterials[固定週次消費量_要入力],MATCH($A12,M_RawMaterials[Part Name],0)),0)</f>
        <v/>
      </c>
      <c r="AS12">
        <f>SUMPRODUCT((M_BOM[Part Name]=$A12)*M_BOM[RM_Qty_Per_Batch]*IFERROR(INDEX(PP_Grid[#Data],M_BOM[PPGridRow],45),0))+IFERROR(INDEX(M_RawMaterials[固定週次消費量_要入力],MATCH($A12,M_RawMaterials[Part Name],0)),0)</f>
        <v/>
      </c>
      <c r="AT12">
        <f>SUMPRODUCT((M_BOM[Part Name]=$A12)*M_BOM[RM_Qty_Per_Batch]*IFERROR(INDEX(PP_Grid[#Data],M_BOM[PPGridRow],46),0))+IFERROR(INDEX(M_RawMaterials[固定週次消費量_要入力],MATCH($A12,M_RawMaterials[Part Name],0)),0)</f>
        <v/>
      </c>
      <c r="AU12">
        <f>SUMPRODUCT((M_BOM[Part Name]=$A12)*M_BOM[RM_Qty_Per_Batch]*IFERROR(INDEX(PP_Grid[#Data],M_BOM[PPGridRow],47),0))+IFERROR(INDEX(M_RawMaterials[固定週次消費量_要入力],MATCH($A12,M_RawMaterials[Part Name],0)),0)</f>
        <v/>
      </c>
      <c r="AV12">
        <f>SUMPRODUCT((M_BOM[Part Name]=$A12)*M_BOM[RM_Qty_Per_Batch]*IFERROR(INDEX(PP_Grid[#Data],M_BOM[PPGridRow],48),0))+IFERROR(INDEX(M_RawMaterials[固定週次消費量_要入力],MATCH($A12,M_RawMaterials[Part Name],0)),0)</f>
        <v/>
      </c>
      <c r="AW12">
        <f>SUMPRODUCT((M_BOM[Part Name]=$A12)*M_BOM[RM_Qty_Per_Batch]*IFERROR(INDEX(PP_Grid[#Data],M_BOM[PPGridRow],49),0))+IFERROR(INDEX(M_RawMaterials[固定週次消費量_要入力],MATCH($A12,M_RawMaterials[Part Name],0)),0)</f>
        <v/>
      </c>
      <c r="AX12">
        <f>SUMPRODUCT((M_BOM[Part Name]=$A12)*M_BOM[RM_Qty_Per_Batch]*IFERROR(INDEX(PP_Grid[#Data],M_BOM[PPGridRow],50),0))+IFERROR(INDEX(M_RawMaterials[固定週次消費量_要入力],MATCH($A12,M_RawMaterials[Part Name],0)),0)</f>
        <v/>
      </c>
      <c r="AY12">
        <f>SUMPRODUCT((M_BOM[Part Name]=$A12)*M_BOM[RM_Qty_Per_Batch]*IFERROR(INDEX(PP_Grid[#Data],M_BOM[PPGridRow],51),0))+IFERROR(INDEX(M_RawMaterials[固定週次消費量_要入力],MATCH($A12,M_RawMaterials[Part Name],0)),0)</f>
        <v/>
      </c>
      <c r="AZ12">
        <f>SUMPRODUCT((M_BOM[Part Name]=$A12)*M_BOM[RM_Qty_Per_Batch]*IFERROR(INDEX(PP_Grid[#Data],M_BOM[PPGridRow],52),0))+IFERROR(INDEX(M_RawMaterials[固定週次消費量_要入力],MATCH($A12,M_RawMaterials[Part Name],0)),0)</f>
        <v/>
      </c>
      <c r="BA12">
        <f>SUMPRODUCT((M_BOM[Part Name]=$A12)*M_BOM[RM_Qty_Per_Batch]*IFERROR(INDEX(PP_Grid[#Data],M_BOM[PPGridRow],53),0))+IFERROR(INDEX(M_RawMaterials[固定週次消費量_要入力],MATCH($A12,M_RawMaterials[Part Name],0)),0)</f>
        <v/>
      </c>
      <c r="BB12">
        <f>SUMPRODUCT((M_BOM[Part Name]=$A12)*M_BOM[RM_Qty_Per_Batch]*IFERROR(INDEX(PP_Grid[#Data],M_BOM[PPGridRow],54),0))+IFERROR(INDEX(M_RawMaterials[固定週次消費量_要入力],MATCH($A12,M_RawMaterials[Part Name],0)),0)</f>
        <v/>
      </c>
      <c r="BC12">
        <f>SUMPRODUCT((M_BOM[Part Name]=$A12)*M_BOM[RM_Qty_Per_Batch]*IFERROR(INDEX(PP_Grid[#Data],M_BOM[PPGridRow],55),0))+IFERROR(INDEX(M_RawMaterials[固定週次消費量_要入力],MATCH($A12,M_RawMaterials[Part Name],0)),0)</f>
        <v/>
      </c>
      <c r="BD12">
        <f>SUMPRODUCT((M_BOM[Part Name]=$A12)*M_BOM[RM_Qty_Per_Batch]*IFERROR(INDEX(PP_Grid[#Data],M_BOM[PPGridRow],56),0))+IFERROR(INDEX(M_RawMaterials[固定週次消費量_要入力],MATCH($A12,M_RawMaterials[Part Name],0)),0)</f>
        <v/>
      </c>
      <c r="BE12">
        <f>SUMPRODUCT((M_BOM[Part Name]=$A12)*M_BOM[RM_Qty_Per_Batch]*IFERROR(INDEX(PP_Grid[#Data],M_BOM[PPGridRow],57),0))+IFERROR(INDEX(M_RawMaterials[固定週次消費量_要入力],MATCH($A12,M_RawMaterials[Part Name],0)),0)</f>
        <v/>
      </c>
      <c r="BF12">
        <f>SUMPRODUCT((M_BOM[Part Name]=$A12)*M_BOM[RM_Qty_Per_Batch]*IFERROR(INDEX(PP_Grid[#Data],M_BOM[PPGridRow],58),0))+IFERROR(INDEX(M_RawMaterials[固定週次消費量_要入力],MATCH($A12,M_RawMaterials[Part Name],0)),0)</f>
        <v/>
      </c>
      <c r="BG12">
        <f>SUMPRODUCT((M_BOM[Part Name]=$A12)*M_BOM[RM_Qty_Per_Batch]*IFERROR(INDEX(PP_Grid[#Data],M_BOM[PPGridRow],59),0))+IFERROR(INDEX(M_RawMaterials[固定週次消費量_要入力],MATCH($A12,M_RawMaterials[Part Name],0)),0)</f>
        <v/>
      </c>
      <c r="BH12">
        <f>SUMPRODUCT((M_BOM[Part Name]=$A12)*M_BOM[RM_Qty_Per_Batch]*IFERROR(INDEX(PP_Grid[#Data],M_BOM[PPGridRow],60),0))+IFERROR(INDEX(M_RawMaterials[固定週次消費量_要入力],MATCH($A12,M_RawMaterials[Part Name],0)),0)</f>
        <v/>
      </c>
      <c r="BI12">
        <f>SUMPRODUCT((M_BOM[Part Name]=$A12)*M_BOM[RM_Qty_Per_Batch]*IFERROR(INDEX(PP_Grid[#Data],M_BOM[PPGridRow],61),0))+IFERROR(INDEX(M_RawMaterials[固定週次消費量_要入力],MATCH($A12,M_RawMaterials[Part Name],0)),0)</f>
        <v/>
      </c>
      <c r="BJ12">
        <f>SUMPRODUCT((M_BOM[Part Name]=$A12)*M_BOM[RM_Qty_Per_Batch]*IFERROR(INDEX(PP_Grid[#Data],M_BOM[PPGridRow],62),0))+IFERROR(INDEX(M_RawMaterials[固定週次消費量_要入力],MATCH($A12,M_RawMaterials[Part Name],0)),0)</f>
        <v/>
      </c>
      <c r="BK12">
        <f>SUMPRODUCT((M_BOM[Part Name]=$A12)*M_BOM[RM_Qty_Per_Batch]*IFERROR(INDEX(PP_Grid[#Data],M_BOM[PPGridRow],63),0))+IFERROR(INDEX(M_RawMaterials[固定週次消費量_要入力],MATCH($A12,M_RawMaterials[Part Name],0)),0)</f>
        <v/>
      </c>
      <c r="BL12">
        <f>SUMPRODUCT((M_BOM[Part Name]=$A12)*M_BOM[RM_Qty_Per_Batch]*IFERROR(INDEX(PP_Grid[#Data],M_BOM[PPGridRow],64),0))+IFERROR(INDEX(M_RawMaterials[固定週次消費量_要入力],MATCH($A12,M_RawMaterials[Part Name],0)),0)</f>
        <v/>
      </c>
      <c r="BM12">
        <f>SUMPRODUCT((M_BOM[Part Name]=$A12)*M_BOM[RM_Qty_Per_Batch]*IFERROR(INDEX(PP_Grid[#Data],M_BOM[PPGridRow],65),0))+IFERROR(INDEX(M_RawMaterials[固定週次消費量_要入力],MATCH($A12,M_RawMaterials[Part Name],0)),0)</f>
        <v/>
      </c>
      <c r="BN12">
        <f>SUMPRODUCT((M_BOM[Part Name]=$A12)*M_BOM[RM_Qty_Per_Batch]*IFERROR(INDEX(PP_Grid[#Data],M_BOM[PPGridRow],66),0))+IFERROR(INDEX(M_RawMaterials[固定週次消費量_要入力],MATCH($A12,M_RawMaterials[Part Name],0)),0)</f>
        <v/>
      </c>
      <c r="BO12">
        <f>SUMPRODUCT((M_BOM[Part Name]=$A12)*M_BOM[RM_Qty_Per_Batch]*IFERROR(INDEX(PP_Grid[#Data],M_BOM[PPGridRow],67),0))+IFERROR(INDEX(M_RawMaterials[固定週次消費量_要入力],MATCH($A12,M_RawMaterials[Part Name],0)),0)</f>
        <v/>
      </c>
      <c r="BP12">
        <f>SUMPRODUCT((M_BOM[Part Name]=$A12)*M_BOM[RM_Qty_Per_Batch]*IFERROR(INDEX(PP_Grid[#Data],M_BOM[PPGridRow],68),0))+IFERROR(INDEX(M_RawMaterials[固定週次消費量_要入力],MATCH($A12,M_RawMaterials[Part Name],0)),0)</f>
        <v/>
      </c>
      <c r="BQ12">
        <f>SUMPRODUCT((M_BOM[Part Name]=$A12)*M_BOM[RM_Qty_Per_Batch]*IFERROR(INDEX(PP_Grid[#Data],M_BOM[PPGridRow],69),0))+IFERROR(INDEX(M_RawMaterials[固定週次消費量_要入力],MATCH($A12,M_RawMaterials[Part Name],0)),0)</f>
        <v/>
      </c>
      <c r="BR12">
        <f>SUMPRODUCT((M_BOM[Part Name]=$A12)*M_BOM[RM_Qty_Per_Batch]*IFERROR(INDEX(PP_Grid[#Data],M_BOM[PPGridRow],70),0))+IFERROR(INDEX(M_RawMaterials[固定週次消費量_要入力],MATCH($A12,M_RawMaterials[Part Name],0)),0)</f>
        <v/>
      </c>
      <c r="BS12">
        <f>SUMPRODUCT((M_BOM[Part Name]=$A12)*M_BOM[RM_Qty_Per_Batch]*IFERROR(INDEX(PP_Grid[#Data],M_BOM[PPGridRow],71),0))+IFERROR(INDEX(M_RawMaterials[固定週次消費量_要入力],MATCH($A12,M_RawMaterials[Part Name],0)),0)</f>
        <v/>
      </c>
      <c r="BT12">
        <f>SUMPRODUCT((M_BOM[Part Name]=$A12)*M_BOM[RM_Qty_Per_Batch]*IFERROR(INDEX(PP_Grid[#Data],M_BOM[PPGridRow],72),0))+IFERROR(INDEX(M_RawMaterials[固定週次消費量_要入力],MATCH($A12,M_RawMaterials[Part Name],0)),0)</f>
        <v/>
      </c>
      <c r="BU12">
        <f>SUMPRODUCT((M_BOM[Part Name]=$A12)*M_BOM[RM_Qty_Per_Batch]*IFERROR(INDEX(PP_Grid[#Data],M_BOM[PPGridRow],73),0))+IFERROR(INDEX(M_RawMaterials[固定週次消費量_要入力],MATCH($A12,M_RawMaterials[Part Name],0)),0)</f>
        <v/>
      </c>
      <c r="BV12">
        <f>SUMPRODUCT((M_BOM[Part Name]=$A12)*M_BOM[RM_Qty_Per_Batch]*IFERROR(INDEX(PP_Grid[#Data],M_BOM[PPGridRow],74),0))+IFERROR(INDEX(M_RawMaterials[固定週次消費量_要入力],MATCH($A12,M_RawMaterials[Part Name],0)),0)</f>
        <v/>
      </c>
      <c r="BW12">
        <f>SUMPRODUCT((M_BOM[Part Name]=$A12)*M_BOM[RM_Qty_Per_Batch]*IFERROR(INDEX(PP_Grid[#Data],M_BOM[PPGridRow],75),0))+IFERROR(INDEX(M_RawMaterials[固定週次消費量_要入力],MATCH($A12,M_RawMaterials[Part Name],0)),0)</f>
        <v/>
      </c>
      <c r="BX12">
        <f>SUMPRODUCT((M_BOM[Part Name]=$A12)*M_BOM[RM_Qty_Per_Batch]*IFERROR(INDEX(PP_Grid[#Data],M_BOM[PPGridRow],76),0))+IFERROR(INDEX(M_RawMaterials[固定週次消費量_要入力],MATCH($A12,M_RawMaterials[Part Name],0)),0)</f>
        <v/>
      </c>
      <c r="BY12">
        <f>SUMPRODUCT((M_BOM[Part Name]=$A12)*M_BOM[RM_Qty_Per_Batch]*IFERROR(INDEX(PP_Grid[#Data],M_BOM[PPGridRow],77),0))+IFERROR(INDEX(M_RawMaterials[固定週次消費量_要入力],MATCH($A12,M_RawMaterials[Part Name],0)),0)</f>
        <v/>
      </c>
      <c r="BZ12">
        <f>SUMPRODUCT((M_BOM[Part Name]=$A12)*M_BOM[RM_Qty_Per_Batch]*IFERROR(INDEX(PP_Grid[#Data],M_BOM[PPGridRow],78),0))+IFERROR(INDEX(M_RawMaterials[固定週次消費量_要入力],MATCH($A12,M_RawMaterials[Part Name],0)),0)</f>
        <v/>
      </c>
      <c r="CA12">
        <f>SUMPRODUCT((M_BOM[Part Name]=$A12)*M_BOM[RM_Qty_Per_Batch]*IFERROR(INDEX(PP_Grid[#Data],M_BOM[PPGridRow],79),0))+IFERROR(INDEX(M_RawMaterials[固定週次消費量_要入力],MATCH($A12,M_RawMaterials[Part Name],0)),0)</f>
        <v/>
      </c>
      <c r="CB12">
        <f>SUMPRODUCT((M_BOM[Part Name]=$A12)*M_BOM[RM_Qty_Per_Batch]*IFERROR(INDEX(PP_Grid[#Data],M_BOM[PPGridRow],80),0))+IFERROR(INDEX(M_RawMaterials[固定週次消費量_要入力],MATCH($A12,M_RawMaterials[Part Name],0)),0)</f>
        <v/>
      </c>
      <c r="CC12">
        <f>SUMPRODUCT((M_BOM[Part Name]=$A12)*M_BOM[RM_Qty_Per_Batch]*IFERROR(INDEX(PP_Grid[#Data],M_BOM[PPGridRow],81),0))+IFERROR(INDEX(M_RawMaterials[固定週次消費量_要入力],MATCH($A12,M_RawMaterials[Part Name],0)),0)</f>
        <v/>
      </c>
      <c r="CD12">
        <f>SUMPRODUCT((M_BOM[Part Name]=$A12)*M_BOM[RM_Qty_Per_Batch]*IFERROR(INDEX(PP_Grid[#Data],M_BOM[PPGridRow],82),0))+IFERROR(INDEX(M_RawMaterials[固定週次消費量_要入力],MATCH($A12,M_RawMaterials[Part Name],0)),0)</f>
        <v/>
      </c>
      <c r="CE12">
        <f>SUMPRODUCT((M_BOM[Part Name]=$A12)*M_BOM[RM_Qty_Per_Batch]*IFERROR(INDEX(PP_Grid[#Data],M_BOM[PPGridRow],83),0))+IFERROR(INDEX(M_RawMaterials[固定週次消費量_要入力],MATCH($A12,M_RawMaterials[Part Name],0)),0)</f>
        <v/>
      </c>
      <c r="CF12">
        <f>SUMPRODUCT((M_BOM[Part Name]=$A12)*M_BOM[RM_Qty_Per_Batch]*IFERROR(INDEX(PP_Grid[#Data],M_BOM[PPGridRow],84),0))+IFERROR(INDEX(M_RawMaterials[固定週次消費量_要入力],MATCH($A12,M_RawMaterials[Part Name],0)),0)</f>
        <v/>
      </c>
      <c r="CG12">
        <f>SUMPRODUCT((M_BOM[Part Name]=$A12)*M_BOM[RM_Qty_Per_Batch]*IFERROR(INDEX(PP_Grid[#Data],M_BOM[PPGridRow],85),0))+IFERROR(INDEX(M_RawMaterials[固定週次消費量_要入力],MATCH($A12,M_RawMaterials[Part Name],0)),0)</f>
        <v/>
      </c>
      <c r="CH12">
        <f>SUMPRODUCT((M_BOM[Part Name]=$A12)*M_BOM[RM_Qty_Per_Batch]*IFERROR(INDEX(PP_Grid[#Data],M_BOM[PPGridRow],86),0))+IFERROR(INDEX(M_RawMaterials[固定週次消費量_要入力],MATCH($A12,M_RawMaterials[Part Name],0)),0)</f>
        <v/>
      </c>
      <c r="CI12">
        <f>SUMPRODUCT((M_BOM[Part Name]=$A12)*M_BOM[RM_Qty_Per_Batch]*IFERROR(INDEX(PP_Grid[#Data],M_BOM[PPGridRow],87),0))+IFERROR(INDEX(M_RawMaterials[固定週次消費量_要入力],MATCH($A12,M_RawMaterials[Part Name],0)),0)</f>
        <v/>
      </c>
      <c r="CJ12">
        <f>SUMPRODUCT((M_BOM[Part Name]=$A12)*M_BOM[RM_Qty_Per_Batch]*IFERROR(INDEX(PP_Grid[#Data],M_BOM[PPGridRow],88),0))+IFERROR(INDEX(M_RawMaterials[固定週次消費量_要入力],MATCH($A12,M_RawMaterials[Part Name],0)),0)</f>
        <v/>
      </c>
      <c r="CK12">
        <f>SUMPRODUCT((M_BOM[Part Name]=$A12)*M_BOM[RM_Qty_Per_Batch]*IFERROR(INDEX(PP_Grid[#Data],M_BOM[PPGridRow],89),0))+IFERROR(INDEX(M_RawMaterials[固定週次消費量_要入力],MATCH($A12,M_RawMaterials[Part Name],0)),0)</f>
        <v/>
      </c>
      <c r="CL12">
        <f>SUMPRODUCT((M_BOM[Part Name]=$A12)*M_BOM[RM_Qty_Per_Batch]*IFERROR(INDEX(PP_Grid[#Data],M_BOM[PPGridRow],90),0))+IFERROR(INDEX(M_RawMaterials[固定週次消費量_要入力],MATCH($A12,M_RawMaterials[Part Name],0)),0)</f>
        <v/>
      </c>
      <c r="CM12">
        <f>SUMPRODUCT((M_BOM[Part Name]=$A12)*M_BOM[RM_Qty_Per_Batch]*IFERROR(INDEX(PP_Grid[#Data],M_BOM[PPGridRow],91),0))+IFERROR(INDEX(M_RawMaterials[固定週次消費量_要入力],MATCH($A12,M_RawMaterials[Part Name],0)),0)</f>
        <v/>
      </c>
      <c r="CN12">
        <f>SUMPRODUCT((M_BOM[Part Name]=$A12)*M_BOM[RM_Qty_Per_Batch]*IFERROR(INDEX(PP_Grid[#Data],M_BOM[PPGridRow],92),0))+IFERROR(INDEX(M_RawMaterials[固定週次消費量_要入力],MATCH($A12,M_RawMaterials[Part Name],0)),0)</f>
        <v/>
      </c>
      <c r="CO12">
        <f>SUMPRODUCT((M_BOM[Part Name]=$A12)*M_BOM[RM_Qty_Per_Batch]*IFERROR(INDEX(PP_Grid[#Data],M_BOM[PPGridRow],93),0))+IFERROR(INDEX(M_RawMaterials[固定週次消費量_要入力],MATCH($A12,M_RawMaterials[Part Name],0)),0)</f>
        <v/>
      </c>
      <c r="CP12">
        <f>SUMPRODUCT((M_BOM[Part Name]=$A12)*M_BOM[RM_Qty_Per_Batch]*IFERROR(INDEX(PP_Grid[#Data],M_BOM[PPGridRow],94),0))+IFERROR(INDEX(M_RawMaterials[固定週次消費量_要入力],MATCH($A12,M_RawMaterials[Part Name],0)),0)</f>
        <v/>
      </c>
      <c r="CQ12">
        <f>SUMPRODUCT((M_BOM[Part Name]=$A12)*M_BOM[RM_Qty_Per_Batch]*IFERROR(INDEX(PP_Grid[#Data],M_BOM[PPGridRow],95),0))+IFERROR(INDEX(M_RawMaterials[固定週次消費量_要入力],MATCH($A12,M_RawMaterials[Part Name],0)),0)</f>
        <v/>
      </c>
      <c r="CR12">
        <f>SUMPRODUCT((M_BOM[Part Name]=$A12)*M_BOM[RM_Qty_Per_Batch]*IFERROR(INDEX(PP_Grid[#Data],M_BOM[PPGridRow],96),0))+IFERROR(INDEX(M_RawMaterials[固定週次消費量_要入力],MATCH($A12,M_RawMaterials[Part Name],0)),0)</f>
        <v/>
      </c>
      <c r="CS12">
        <f>SUMPRODUCT((M_BOM[Part Name]=$A12)*M_BOM[RM_Qty_Per_Batch]*IFERROR(INDEX(PP_Grid[#Data],M_BOM[PPGridRow],97),0))+IFERROR(INDEX(M_RawMaterials[固定週次消費量_要入力],MATCH($A12,M_RawMaterials[Part Name],0)),0)</f>
        <v/>
      </c>
      <c r="CT12">
        <f>SUMPRODUCT((M_BOM[Part Name]=$A12)*M_BOM[RM_Qty_Per_Batch]*IFERROR(INDEX(PP_Grid[#Data],M_BOM[PPGridRow],98),0))+IFERROR(INDEX(M_RawMaterials[固定週次消費量_要入力],MATCH($A12,M_RawMaterials[Part Name],0)),0)</f>
        <v/>
      </c>
      <c r="CU12">
        <f>SUMPRODUCT((M_BOM[Part Name]=$A12)*M_BOM[RM_Qty_Per_Batch]*IFERROR(INDEX(PP_Grid[#Data],M_BOM[PPGridRow],99),0))+IFERROR(INDEX(M_RawMaterials[固定週次消費量_要入力],MATCH($A12,M_RawMaterials[Part Name],0)),0)</f>
        <v/>
      </c>
      <c r="CV12">
        <f>SUMPRODUCT((M_BOM[Part Name]=$A12)*M_BOM[RM_Qty_Per_Batch]*IFERROR(INDEX(PP_Grid[#Data],M_BOM[PPGridRow],100),0))+IFERROR(INDEX(M_RawMaterials[固定週次消費量_要入力],MATCH($A12,M_RawMaterials[Part Name],0)),0)</f>
        <v/>
      </c>
      <c r="CW12">
        <f>SUMPRODUCT((M_BOM[Part Name]=$A12)*M_BOM[RM_Qty_Per_Batch]*IFERROR(INDEX(PP_Grid[#Data],M_BOM[PPGridRow],101),0))+IFERROR(INDEX(M_RawMaterials[固定週次消費量_要入力],MATCH($A12,M_RawMaterials[Part Name],0)),0)</f>
        <v/>
      </c>
      <c r="CX12">
        <f>SUMPRODUCT((M_BOM[Part Name]=$A12)*M_BOM[RM_Qty_Per_Batch]*IFERROR(INDEX(PP_Grid[#Data],M_BOM[PPGridRow],102),0))+IFERROR(INDEX(M_RawMaterials[固定週次消費量_要入力],MATCH($A12,M_RawMaterials[Part Name],0)),0)</f>
        <v/>
      </c>
      <c r="CY12">
        <f>SUMPRODUCT((M_BOM[Part Name]=$A12)*M_BOM[RM_Qty_Per_Batch]*IFERROR(INDEX(PP_Grid[#Data],M_BOM[PPGridRow],103),0))+IFERROR(INDEX(M_RawMaterials[固定週次消費量_要入力],MATCH($A12,M_RawMaterials[Part Name],0)),0)</f>
        <v/>
      </c>
      <c r="CZ12">
        <f>SUMPRODUCT((M_BOM[Part Name]=$A12)*M_BOM[RM_Qty_Per_Batch]*IFERROR(INDEX(PP_Grid[#Data],M_BOM[PPGridRow],104),0))+IFERROR(INDEX(M_RawMaterials[固定週次消費量_要入力],MATCH($A12,M_RawMaterials[Part Name],0)),0)</f>
        <v/>
      </c>
      <c r="DA12">
        <f>SUMPRODUCT((M_BOM[Part Name]=$A12)*M_BOM[RM_Qty_Per_Batch]*IFERROR(INDEX(PP_Grid[#Data],M_BOM[PPGridRow],105),0))+IFERROR(INDEX(M_RawMaterials[固定週次消費量_要入力],MATCH($A12,M_RawMaterials[Part Name],0)),0)</f>
        <v/>
      </c>
    </row>
    <row r="13">
      <c r="A13" t="inlineStr">
        <is>
          <t>ABN</t>
        </is>
      </c>
      <c r="B13">
        <f>SUMPRODUCT((M_BOM[Part Name]=$A13)*M_BOM[RM_Qty_Per_Batch]*IFERROR(INDEX(PP_Grid[#Data],M_BOM[PPGridRow],2),0))+IFERROR(INDEX(M_RawMaterials[固定週次消費量_要入力],MATCH($A13,M_RawMaterials[Part Name],0)),0)</f>
        <v/>
      </c>
      <c r="C13">
        <f>SUMPRODUCT((M_BOM[Part Name]=$A13)*M_BOM[RM_Qty_Per_Batch]*IFERROR(INDEX(PP_Grid[#Data],M_BOM[PPGridRow],3),0))+IFERROR(INDEX(M_RawMaterials[固定週次消費量_要入力],MATCH($A13,M_RawMaterials[Part Name],0)),0)</f>
        <v/>
      </c>
      <c r="D13">
        <f>SUMPRODUCT((M_BOM[Part Name]=$A13)*M_BOM[RM_Qty_Per_Batch]*IFERROR(INDEX(PP_Grid[#Data],M_BOM[PPGridRow],4),0))+IFERROR(INDEX(M_RawMaterials[固定週次消費量_要入力],MATCH($A13,M_RawMaterials[Part Name],0)),0)</f>
        <v/>
      </c>
      <c r="E13">
        <f>SUMPRODUCT((M_BOM[Part Name]=$A13)*M_BOM[RM_Qty_Per_Batch]*IFERROR(INDEX(PP_Grid[#Data],M_BOM[PPGridRow],5),0))+IFERROR(INDEX(M_RawMaterials[固定週次消費量_要入力],MATCH($A13,M_RawMaterials[Part Name],0)),0)</f>
        <v/>
      </c>
      <c r="F13">
        <f>SUMPRODUCT((M_BOM[Part Name]=$A13)*M_BOM[RM_Qty_Per_Batch]*IFERROR(INDEX(PP_Grid[#Data],M_BOM[PPGridRow],6),0))+IFERROR(INDEX(M_RawMaterials[固定週次消費量_要入力],MATCH($A13,M_RawMaterials[Part Name],0)),0)</f>
        <v/>
      </c>
      <c r="G13">
        <f>SUMPRODUCT((M_BOM[Part Name]=$A13)*M_BOM[RM_Qty_Per_Batch]*IFERROR(INDEX(PP_Grid[#Data],M_BOM[PPGridRow],7),0))+IFERROR(INDEX(M_RawMaterials[固定週次消費量_要入力],MATCH($A13,M_RawMaterials[Part Name],0)),0)</f>
        <v/>
      </c>
      <c r="H13">
        <f>SUMPRODUCT((M_BOM[Part Name]=$A13)*M_BOM[RM_Qty_Per_Batch]*IFERROR(INDEX(PP_Grid[#Data],M_BOM[PPGridRow],8),0))+IFERROR(INDEX(M_RawMaterials[固定週次消費量_要入力],MATCH($A13,M_RawMaterials[Part Name],0)),0)</f>
        <v/>
      </c>
      <c r="I13">
        <f>SUMPRODUCT((M_BOM[Part Name]=$A13)*M_BOM[RM_Qty_Per_Batch]*IFERROR(INDEX(PP_Grid[#Data],M_BOM[PPGridRow],9),0))+IFERROR(INDEX(M_RawMaterials[固定週次消費量_要入力],MATCH($A13,M_RawMaterials[Part Name],0)),0)</f>
        <v/>
      </c>
      <c r="J13">
        <f>SUMPRODUCT((M_BOM[Part Name]=$A13)*M_BOM[RM_Qty_Per_Batch]*IFERROR(INDEX(PP_Grid[#Data],M_BOM[PPGridRow],10),0))+IFERROR(INDEX(M_RawMaterials[固定週次消費量_要入力],MATCH($A13,M_RawMaterials[Part Name],0)),0)</f>
        <v/>
      </c>
      <c r="K13">
        <f>SUMPRODUCT((M_BOM[Part Name]=$A13)*M_BOM[RM_Qty_Per_Batch]*IFERROR(INDEX(PP_Grid[#Data],M_BOM[PPGridRow],11),0))+IFERROR(INDEX(M_RawMaterials[固定週次消費量_要入力],MATCH($A13,M_RawMaterials[Part Name],0)),0)</f>
        <v/>
      </c>
      <c r="L13">
        <f>SUMPRODUCT((M_BOM[Part Name]=$A13)*M_BOM[RM_Qty_Per_Batch]*IFERROR(INDEX(PP_Grid[#Data],M_BOM[PPGridRow],12),0))+IFERROR(INDEX(M_RawMaterials[固定週次消費量_要入力],MATCH($A13,M_RawMaterials[Part Name],0)),0)</f>
        <v/>
      </c>
      <c r="M13">
        <f>SUMPRODUCT((M_BOM[Part Name]=$A13)*M_BOM[RM_Qty_Per_Batch]*IFERROR(INDEX(PP_Grid[#Data],M_BOM[PPGridRow],13),0))+IFERROR(INDEX(M_RawMaterials[固定週次消費量_要入力],MATCH($A13,M_RawMaterials[Part Name],0)),0)</f>
        <v/>
      </c>
      <c r="N13">
        <f>SUMPRODUCT((M_BOM[Part Name]=$A13)*M_BOM[RM_Qty_Per_Batch]*IFERROR(INDEX(PP_Grid[#Data],M_BOM[PPGridRow],14),0))+IFERROR(INDEX(M_RawMaterials[固定週次消費量_要入力],MATCH($A13,M_RawMaterials[Part Name],0)),0)</f>
        <v/>
      </c>
      <c r="O13">
        <f>SUMPRODUCT((M_BOM[Part Name]=$A13)*M_BOM[RM_Qty_Per_Batch]*IFERROR(INDEX(PP_Grid[#Data],M_BOM[PPGridRow],15),0))+IFERROR(INDEX(M_RawMaterials[固定週次消費量_要入力],MATCH($A13,M_RawMaterials[Part Name],0)),0)</f>
        <v/>
      </c>
      <c r="P13">
        <f>SUMPRODUCT((M_BOM[Part Name]=$A13)*M_BOM[RM_Qty_Per_Batch]*IFERROR(INDEX(PP_Grid[#Data],M_BOM[PPGridRow],16),0))+IFERROR(INDEX(M_RawMaterials[固定週次消費量_要入力],MATCH($A13,M_RawMaterials[Part Name],0)),0)</f>
        <v/>
      </c>
      <c r="Q13">
        <f>SUMPRODUCT((M_BOM[Part Name]=$A13)*M_BOM[RM_Qty_Per_Batch]*IFERROR(INDEX(PP_Grid[#Data],M_BOM[PPGridRow],17),0))+IFERROR(INDEX(M_RawMaterials[固定週次消費量_要入力],MATCH($A13,M_RawMaterials[Part Name],0)),0)</f>
        <v/>
      </c>
      <c r="R13">
        <f>SUMPRODUCT((M_BOM[Part Name]=$A13)*M_BOM[RM_Qty_Per_Batch]*IFERROR(INDEX(PP_Grid[#Data],M_BOM[PPGridRow],18),0))+IFERROR(INDEX(M_RawMaterials[固定週次消費量_要入力],MATCH($A13,M_RawMaterials[Part Name],0)),0)</f>
        <v/>
      </c>
      <c r="S13">
        <f>SUMPRODUCT((M_BOM[Part Name]=$A13)*M_BOM[RM_Qty_Per_Batch]*IFERROR(INDEX(PP_Grid[#Data],M_BOM[PPGridRow],19),0))+IFERROR(INDEX(M_RawMaterials[固定週次消費量_要入力],MATCH($A13,M_RawMaterials[Part Name],0)),0)</f>
        <v/>
      </c>
      <c r="T13">
        <f>SUMPRODUCT((M_BOM[Part Name]=$A13)*M_BOM[RM_Qty_Per_Batch]*IFERROR(INDEX(PP_Grid[#Data],M_BOM[PPGridRow],20),0))+IFERROR(INDEX(M_RawMaterials[固定週次消費量_要入力],MATCH($A13,M_RawMaterials[Part Name],0)),0)</f>
        <v/>
      </c>
      <c r="U13">
        <f>SUMPRODUCT((M_BOM[Part Name]=$A13)*M_BOM[RM_Qty_Per_Batch]*IFERROR(INDEX(PP_Grid[#Data],M_BOM[PPGridRow],21),0))+IFERROR(INDEX(M_RawMaterials[固定週次消費量_要入力],MATCH($A13,M_RawMaterials[Part Name],0)),0)</f>
        <v/>
      </c>
      <c r="V13">
        <f>SUMPRODUCT((M_BOM[Part Name]=$A13)*M_BOM[RM_Qty_Per_Batch]*IFERROR(INDEX(PP_Grid[#Data],M_BOM[PPGridRow],22),0))+IFERROR(INDEX(M_RawMaterials[固定週次消費量_要入力],MATCH($A13,M_RawMaterials[Part Name],0)),0)</f>
        <v/>
      </c>
      <c r="W13">
        <f>SUMPRODUCT((M_BOM[Part Name]=$A13)*M_BOM[RM_Qty_Per_Batch]*IFERROR(INDEX(PP_Grid[#Data],M_BOM[PPGridRow],23),0))+IFERROR(INDEX(M_RawMaterials[固定週次消費量_要入力],MATCH($A13,M_RawMaterials[Part Name],0)),0)</f>
        <v/>
      </c>
      <c r="X13">
        <f>SUMPRODUCT((M_BOM[Part Name]=$A13)*M_BOM[RM_Qty_Per_Batch]*IFERROR(INDEX(PP_Grid[#Data],M_BOM[PPGridRow],24),0))+IFERROR(INDEX(M_RawMaterials[固定週次消費量_要入力],MATCH($A13,M_RawMaterials[Part Name],0)),0)</f>
        <v/>
      </c>
      <c r="Y13">
        <f>SUMPRODUCT((M_BOM[Part Name]=$A13)*M_BOM[RM_Qty_Per_Batch]*IFERROR(INDEX(PP_Grid[#Data],M_BOM[PPGridRow],25),0))+IFERROR(INDEX(M_RawMaterials[固定週次消費量_要入力],MATCH($A13,M_RawMaterials[Part Name],0)),0)</f>
        <v/>
      </c>
      <c r="Z13">
        <f>SUMPRODUCT((M_BOM[Part Name]=$A13)*M_BOM[RM_Qty_Per_Batch]*IFERROR(INDEX(PP_Grid[#Data],M_BOM[PPGridRow],26),0))+IFERROR(INDEX(M_RawMaterials[固定週次消費量_要入力],MATCH($A13,M_RawMaterials[Part Name],0)),0)</f>
        <v/>
      </c>
      <c r="AA13">
        <f>SUMPRODUCT((M_BOM[Part Name]=$A13)*M_BOM[RM_Qty_Per_Batch]*IFERROR(INDEX(PP_Grid[#Data],M_BOM[PPGridRow],27),0))+IFERROR(INDEX(M_RawMaterials[固定週次消費量_要入力],MATCH($A13,M_RawMaterials[Part Name],0)),0)</f>
        <v/>
      </c>
      <c r="AB13">
        <f>SUMPRODUCT((M_BOM[Part Name]=$A13)*M_BOM[RM_Qty_Per_Batch]*IFERROR(INDEX(PP_Grid[#Data],M_BOM[PPGridRow],28),0))+IFERROR(INDEX(M_RawMaterials[固定週次消費量_要入力],MATCH($A13,M_RawMaterials[Part Name],0)),0)</f>
        <v/>
      </c>
      <c r="AC13">
        <f>SUMPRODUCT((M_BOM[Part Name]=$A13)*M_BOM[RM_Qty_Per_Batch]*IFERROR(INDEX(PP_Grid[#Data],M_BOM[PPGridRow],29),0))+IFERROR(INDEX(M_RawMaterials[固定週次消費量_要入力],MATCH($A13,M_RawMaterials[Part Name],0)),0)</f>
        <v/>
      </c>
      <c r="AD13">
        <f>SUMPRODUCT((M_BOM[Part Name]=$A13)*M_BOM[RM_Qty_Per_Batch]*IFERROR(INDEX(PP_Grid[#Data],M_BOM[PPGridRow],30),0))+IFERROR(INDEX(M_RawMaterials[固定週次消費量_要入力],MATCH($A13,M_RawMaterials[Part Name],0)),0)</f>
        <v/>
      </c>
      <c r="AE13">
        <f>SUMPRODUCT((M_BOM[Part Name]=$A13)*M_BOM[RM_Qty_Per_Batch]*IFERROR(INDEX(PP_Grid[#Data],M_BOM[PPGridRow],31),0))+IFERROR(INDEX(M_RawMaterials[固定週次消費量_要入力],MATCH($A13,M_RawMaterials[Part Name],0)),0)</f>
        <v/>
      </c>
      <c r="AF13">
        <f>SUMPRODUCT((M_BOM[Part Name]=$A13)*M_BOM[RM_Qty_Per_Batch]*IFERROR(INDEX(PP_Grid[#Data],M_BOM[PPGridRow],32),0))+IFERROR(INDEX(M_RawMaterials[固定週次消費量_要入力],MATCH($A13,M_RawMaterials[Part Name],0)),0)</f>
        <v/>
      </c>
      <c r="AG13">
        <f>SUMPRODUCT((M_BOM[Part Name]=$A13)*M_BOM[RM_Qty_Per_Batch]*IFERROR(INDEX(PP_Grid[#Data],M_BOM[PPGridRow],33),0))+IFERROR(INDEX(M_RawMaterials[固定週次消費量_要入力],MATCH($A13,M_RawMaterials[Part Name],0)),0)</f>
        <v/>
      </c>
      <c r="AH13">
        <f>SUMPRODUCT((M_BOM[Part Name]=$A13)*M_BOM[RM_Qty_Per_Batch]*IFERROR(INDEX(PP_Grid[#Data],M_BOM[PPGridRow],34),0))+IFERROR(INDEX(M_RawMaterials[固定週次消費量_要入力],MATCH($A13,M_RawMaterials[Part Name],0)),0)</f>
        <v/>
      </c>
      <c r="AI13">
        <f>SUMPRODUCT((M_BOM[Part Name]=$A13)*M_BOM[RM_Qty_Per_Batch]*IFERROR(INDEX(PP_Grid[#Data],M_BOM[PPGridRow],35),0))+IFERROR(INDEX(M_RawMaterials[固定週次消費量_要入力],MATCH($A13,M_RawMaterials[Part Name],0)),0)</f>
        <v/>
      </c>
      <c r="AJ13">
        <f>SUMPRODUCT((M_BOM[Part Name]=$A13)*M_BOM[RM_Qty_Per_Batch]*IFERROR(INDEX(PP_Grid[#Data],M_BOM[PPGridRow],36),0))+IFERROR(INDEX(M_RawMaterials[固定週次消費量_要入力],MATCH($A13,M_RawMaterials[Part Name],0)),0)</f>
        <v/>
      </c>
      <c r="AK13">
        <f>SUMPRODUCT((M_BOM[Part Name]=$A13)*M_BOM[RM_Qty_Per_Batch]*IFERROR(INDEX(PP_Grid[#Data],M_BOM[PPGridRow],37),0))+IFERROR(INDEX(M_RawMaterials[固定週次消費量_要入力],MATCH($A13,M_RawMaterials[Part Name],0)),0)</f>
        <v/>
      </c>
      <c r="AL13">
        <f>SUMPRODUCT((M_BOM[Part Name]=$A13)*M_BOM[RM_Qty_Per_Batch]*IFERROR(INDEX(PP_Grid[#Data],M_BOM[PPGridRow],38),0))+IFERROR(INDEX(M_RawMaterials[固定週次消費量_要入力],MATCH($A13,M_RawMaterials[Part Name],0)),0)</f>
        <v/>
      </c>
      <c r="AM13">
        <f>SUMPRODUCT((M_BOM[Part Name]=$A13)*M_BOM[RM_Qty_Per_Batch]*IFERROR(INDEX(PP_Grid[#Data],M_BOM[PPGridRow],39),0))+IFERROR(INDEX(M_RawMaterials[固定週次消費量_要入力],MATCH($A13,M_RawMaterials[Part Name],0)),0)</f>
        <v/>
      </c>
      <c r="AN13">
        <f>SUMPRODUCT((M_BOM[Part Name]=$A13)*M_BOM[RM_Qty_Per_Batch]*IFERROR(INDEX(PP_Grid[#Data],M_BOM[PPGridRow],40),0))+IFERROR(INDEX(M_RawMaterials[固定週次消費量_要入力],MATCH($A13,M_RawMaterials[Part Name],0)),0)</f>
        <v/>
      </c>
      <c r="AO13">
        <f>SUMPRODUCT((M_BOM[Part Name]=$A13)*M_BOM[RM_Qty_Per_Batch]*IFERROR(INDEX(PP_Grid[#Data],M_BOM[PPGridRow],41),0))+IFERROR(INDEX(M_RawMaterials[固定週次消費量_要入力],MATCH($A13,M_RawMaterials[Part Name],0)),0)</f>
        <v/>
      </c>
      <c r="AP13">
        <f>SUMPRODUCT((M_BOM[Part Name]=$A13)*M_BOM[RM_Qty_Per_Batch]*IFERROR(INDEX(PP_Grid[#Data],M_BOM[PPGridRow],42),0))+IFERROR(INDEX(M_RawMaterials[固定週次消費量_要入力],MATCH($A13,M_RawMaterials[Part Name],0)),0)</f>
        <v/>
      </c>
      <c r="AQ13">
        <f>SUMPRODUCT((M_BOM[Part Name]=$A13)*M_BOM[RM_Qty_Per_Batch]*IFERROR(INDEX(PP_Grid[#Data],M_BOM[PPGridRow],43),0))+IFERROR(INDEX(M_RawMaterials[固定週次消費量_要入力],MATCH($A13,M_RawMaterials[Part Name],0)),0)</f>
        <v/>
      </c>
      <c r="AR13">
        <f>SUMPRODUCT((M_BOM[Part Name]=$A13)*M_BOM[RM_Qty_Per_Batch]*IFERROR(INDEX(PP_Grid[#Data],M_BOM[PPGridRow],44),0))+IFERROR(INDEX(M_RawMaterials[固定週次消費量_要入力],MATCH($A13,M_RawMaterials[Part Name],0)),0)</f>
        <v/>
      </c>
      <c r="AS13">
        <f>SUMPRODUCT((M_BOM[Part Name]=$A13)*M_BOM[RM_Qty_Per_Batch]*IFERROR(INDEX(PP_Grid[#Data],M_BOM[PPGridRow],45),0))+IFERROR(INDEX(M_RawMaterials[固定週次消費量_要入力],MATCH($A13,M_RawMaterials[Part Name],0)),0)</f>
        <v/>
      </c>
      <c r="AT13">
        <f>SUMPRODUCT((M_BOM[Part Name]=$A13)*M_BOM[RM_Qty_Per_Batch]*IFERROR(INDEX(PP_Grid[#Data],M_BOM[PPGridRow],46),0))+IFERROR(INDEX(M_RawMaterials[固定週次消費量_要入力],MATCH($A13,M_RawMaterials[Part Name],0)),0)</f>
        <v/>
      </c>
      <c r="AU13">
        <f>SUMPRODUCT((M_BOM[Part Name]=$A13)*M_BOM[RM_Qty_Per_Batch]*IFERROR(INDEX(PP_Grid[#Data],M_BOM[PPGridRow],47),0))+IFERROR(INDEX(M_RawMaterials[固定週次消費量_要入力],MATCH($A13,M_RawMaterials[Part Name],0)),0)</f>
        <v/>
      </c>
      <c r="AV13">
        <f>SUMPRODUCT((M_BOM[Part Name]=$A13)*M_BOM[RM_Qty_Per_Batch]*IFERROR(INDEX(PP_Grid[#Data],M_BOM[PPGridRow],48),0))+IFERROR(INDEX(M_RawMaterials[固定週次消費量_要入力],MATCH($A13,M_RawMaterials[Part Name],0)),0)</f>
        <v/>
      </c>
      <c r="AW13">
        <f>SUMPRODUCT((M_BOM[Part Name]=$A13)*M_BOM[RM_Qty_Per_Batch]*IFERROR(INDEX(PP_Grid[#Data],M_BOM[PPGridRow],49),0))+IFERROR(INDEX(M_RawMaterials[固定週次消費量_要入力],MATCH($A13,M_RawMaterials[Part Name],0)),0)</f>
        <v/>
      </c>
      <c r="AX13">
        <f>SUMPRODUCT((M_BOM[Part Name]=$A13)*M_BOM[RM_Qty_Per_Batch]*IFERROR(INDEX(PP_Grid[#Data],M_BOM[PPGridRow],50),0))+IFERROR(INDEX(M_RawMaterials[固定週次消費量_要入力],MATCH($A13,M_RawMaterials[Part Name],0)),0)</f>
        <v/>
      </c>
      <c r="AY13">
        <f>SUMPRODUCT((M_BOM[Part Name]=$A13)*M_BOM[RM_Qty_Per_Batch]*IFERROR(INDEX(PP_Grid[#Data],M_BOM[PPGridRow],51),0))+IFERROR(INDEX(M_RawMaterials[固定週次消費量_要入力],MATCH($A13,M_RawMaterials[Part Name],0)),0)</f>
        <v/>
      </c>
      <c r="AZ13">
        <f>SUMPRODUCT((M_BOM[Part Name]=$A13)*M_BOM[RM_Qty_Per_Batch]*IFERROR(INDEX(PP_Grid[#Data],M_BOM[PPGridRow],52),0))+IFERROR(INDEX(M_RawMaterials[固定週次消費量_要入力],MATCH($A13,M_RawMaterials[Part Name],0)),0)</f>
        <v/>
      </c>
      <c r="BA13">
        <f>SUMPRODUCT((M_BOM[Part Name]=$A13)*M_BOM[RM_Qty_Per_Batch]*IFERROR(INDEX(PP_Grid[#Data],M_BOM[PPGridRow],53),0))+IFERROR(INDEX(M_RawMaterials[固定週次消費量_要入力],MATCH($A13,M_RawMaterials[Part Name],0)),0)</f>
        <v/>
      </c>
      <c r="BB13">
        <f>SUMPRODUCT((M_BOM[Part Name]=$A13)*M_BOM[RM_Qty_Per_Batch]*IFERROR(INDEX(PP_Grid[#Data],M_BOM[PPGridRow],54),0))+IFERROR(INDEX(M_RawMaterials[固定週次消費量_要入力],MATCH($A13,M_RawMaterials[Part Name],0)),0)</f>
        <v/>
      </c>
      <c r="BC13">
        <f>SUMPRODUCT((M_BOM[Part Name]=$A13)*M_BOM[RM_Qty_Per_Batch]*IFERROR(INDEX(PP_Grid[#Data],M_BOM[PPGridRow],55),0))+IFERROR(INDEX(M_RawMaterials[固定週次消費量_要入力],MATCH($A13,M_RawMaterials[Part Name],0)),0)</f>
        <v/>
      </c>
      <c r="BD13">
        <f>SUMPRODUCT((M_BOM[Part Name]=$A13)*M_BOM[RM_Qty_Per_Batch]*IFERROR(INDEX(PP_Grid[#Data],M_BOM[PPGridRow],56),0))+IFERROR(INDEX(M_RawMaterials[固定週次消費量_要入力],MATCH($A13,M_RawMaterials[Part Name],0)),0)</f>
        <v/>
      </c>
      <c r="BE13">
        <f>SUMPRODUCT((M_BOM[Part Name]=$A13)*M_BOM[RM_Qty_Per_Batch]*IFERROR(INDEX(PP_Grid[#Data],M_BOM[PPGridRow],57),0))+IFERROR(INDEX(M_RawMaterials[固定週次消費量_要入力],MATCH($A13,M_RawMaterials[Part Name],0)),0)</f>
        <v/>
      </c>
      <c r="BF13">
        <f>SUMPRODUCT((M_BOM[Part Name]=$A13)*M_BOM[RM_Qty_Per_Batch]*IFERROR(INDEX(PP_Grid[#Data],M_BOM[PPGridRow],58),0))+IFERROR(INDEX(M_RawMaterials[固定週次消費量_要入力],MATCH($A13,M_RawMaterials[Part Name],0)),0)</f>
        <v/>
      </c>
      <c r="BG13">
        <f>SUMPRODUCT((M_BOM[Part Name]=$A13)*M_BOM[RM_Qty_Per_Batch]*IFERROR(INDEX(PP_Grid[#Data],M_BOM[PPGridRow],59),0))+IFERROR(INDEX(M_RawMaterials[固定週次消費量_要入力],MATCH($A13,M_RawMaterials[Part Name],0)),0)</f>
        <v/>
      </c>
      <c r="BH13">
        <f>SUMPRODUCT((M_BOM[Part Name]=$A13)*M_BOM[RM_Qty_Per_Batch]*IFERROR(INDEX(PP_Grid[#Data],M_BOM[PPGridRow],60),0))+IFERROR(INDEX(M_RawMaterials[固定週次消費量_要入力],MATCH($A13,M_RawMaterials[Part Name],0)),0)</f>
        <v/>
      </c>
      <c r="BI13">
        <f>SUMPRODUCT((M_BOM[Part Name]=$A13)*M_BOM[RM_Qty_Per_Batch]*IFERROR(INDEX(PP_Grid[#Data],M_BOM[PPGridRow],61),0))+IFERROR(INDEX(M_RawMaterials[固定週次消費量_要入力],MATCH($A13,M_RawMaterials[Part Name],0)),0)</f>
        <v/>
      </c>
      <c r="BJ13">
        <f>SUMPRODUCT((M_BOM[Part Name]=$A13)*M_BOM[RM_Qty_Per_Batch]*IFERROR(INDEX(PP_Grid[#Data],M_BOM[PPGridRow],62),0))+IFERROR(INDEX(M_RawMaterials[固定週次消費量_要入力],MATCH($A13,M_RawMaterials[Part Name],0)),0)</f>
        <v/>
      </c>
      <c r="BK13">
        <f>SUMPRODUCT((M_BOM[Part Name]=$A13)*M_BOM[RM_Qty_Per_Batch]*IFERROR(INDEX(PP_Grid[#Data],M_BOM[PPGridRow],63),0))+IFERROR(INDEX(M_RawMaterials[固定週次消費量_要入力],MATCH($A13,M_RawMaterials[Part Name],0)),0)</f>
        <v/>
      </c>
      <c r="BL13">
        <f>SUMPRODUCT((M_BOM[Part Name]=$A13)*M_BOM[RM_Qty_Per_Batch]*IFERROR(INDEX(PP_Grid[#Data],M_BOM[PPGridRow],64),0))+IFERROR(INDEX(M_RawMaterials[固定週次消費量_要入力],MATCH($A13,M_RawMaterials[Part Name],0)),0)</f>
        <v/>
      </c>
      <c r="BM13">
        <f>SUMPRODUCT((M_BOM[Part Name]=$A13)*M_BOM[RM_Qty_Per_Batch]*IFERROR(INDEX(PP_Grid[#Data],M_BOM[PPGridRow],65),0))+IFERROR(INDEX(M_RawMaterials[固定週次消費量_要入力],MATCH($A13,M_RawMaterials[Part Name],0)),0)</f>
        <v/>
      </c>
      <c r="BN13">
        <f>SUMPRODUCT((M_BOM[Part Name]=$A13)*M_BOM[RM_Qty_Per_Batch]*IFERROR(INDEX(PP_Grid[#Data],M_BOM[PPGridRow],66),0))+IFERROR(INDEX(M_RawMaterials[固定週次消費量_要入力],MATCH($A13,M_RawMaterials[Part Name],0)),0)</f>
        <v/>
      </c>
      <c r="BO13">
        <f>SUMPRODUCT((M_BOM[Part Name]=$A13)*M_BOM[RM_Qty_Per_Batch]*IFERROR(INDEX(PP_Grid[#Data],M_BOM[PPGridRow],67),0))+IFERROR(INDEX(M_RawMaterials[固定週次消費量_要入力],MATCH($A13,M_RawMaterials[Part Name],0)),0)</f>
        <v/>
      </c>
      <c r="BP13">
        <f>SUMPRODUCT((M_BOM[Part Name]=$A13)*M_BOM[RM_Qty_Per_Batch]*IFERROR(INDEX(PP_Grid[#Data],M_BOM[PPGridRow],68),0))+IFERROR(INDEX(M_RawMaterials[固定週次消費量_要入力],MATCH($A13,M_RawMaterials[Part Name],0)),0)</f>
        <v/>
      </c>
      <c r="BQ13">
        <f>SUMPRODUCT((M_BOM[Part Name]=$A13)*M_BOM[RM_Qty_Per_Batch]*IFERROR(INDEX(PP_Grid[#Data],M_BOM[PPGridRow],69),0))+IFERROR(INDEX(M_RawMaterials[固定週次消費量_要入力],MATCH($A13,M_RawMaterials[Part Name],0)),0)</f>
        <v/>
      </c>
      <c r="BR13">
        <f>SUMPRODUCT((M_BOM[Part Name]=$A13)*M_BOM[RM_Qty_Per_Batch]*IFERROR(INDEX(PP_Grid[#Data],M_BOM[PPGridRow],70),0))+IFERROR(INDEX(M_RawMaterials[固定週次消費量_要入力],MATCH($A13,M_RawMaterials[Part Name],0)),0)</f>
        <v/>
      </c>
      <c r="BS13">
        <f>SUMPRODUCT((M_BOM[Part Name]=$A13)*M_BOM[RM_Qty_Per_Batch]*IFERROR(INDEX(PP_Grid[#Data],M_BOM[PPGridRow],71),0))+IFERROR(INDEX(M_RawMaterials[固定週次消費量_要入力],MATCH($A13,M_RawMaterials[Part Name],0)),0)</f>
        <v/>
      </c>
      <c r="BT13">
        <f>SUMPRODUCT((M_BOM[Part Name]=$A13)*M_BOM[RM_Qty_Per_Batch]*IFERROR(INDEX(PP_Grid[#Data],M_BOM[PPGridRow],72),0))+IFERROR(INDEX(M_RawMaterials[固定週次消費量_要入力],MATCH($A13,M_RawMaterials[Part Name],0)),0)</f>
        <v/>
      </c>
      <c r="BU13">
        <f>SUMPRODUCT((M_BOM[Part Name]=$A13)*M_BOM[RM_Qty_Per_Batch]*IFERROR(INDEX(PP_Grid[#Data],M_BOM[PPGridRow],73),0))+IFERROR(INDEX(M_RawMaterials[固定週次消費量_要入力],MATCH($A13,M_RawMaterials[Part Name],0)),0)</f>
        <v/>
      </c>
      <c r="BV13">
        <f>SUMPRODUCT((M_BOM[Part Name]=$A13)*M_BOM[RM_Qty_Per_Batch]*IFERROR(INDEX(PP_Grid[#Data],M_BOM[PPGridRow],74),0))+IFERROR(INDEX(M_RawMaterials[固定週次消費量_要入力],MATCH($A13,M_RawMaterials[Part Name],0)),0)</f>
        <v/>
      </c>
      <c r="BW13">
        <f>SUMPRODUCT((M_BOM[Part Name]=$A13)*M_BOM[RM_Qty_Per_Batch]*IFERROR(INDEX(PP_Grid[#Data],M_BOM[PPGridRow],75),0))+IFERROR(INDEX(M_RawMaterials[固定週次消費量_要入力],MATCH($A13,M_RawMaterials[Part Name],0)),0)</f>
        <v/>
      </c>
      <c r="BX13">
        <f>SUMPRODUCT((M_BOM[Part Name]=$A13)*M_BOM[RM_Qty_Per_Batch]*IFERROR(INDEX(PP_Grid[#Data],M_BOM[PPGridRow],76),0))+IFERROR(INDEX(M_RawMaterials[固定週次消費量_要入力],MATCH($A13,M_RawMaterials[Part Name],0)),0)</f>
        <v/>
      </c>
      <c r="BY13">
        <f>SUMPRODUCT((M_BOM[Part Name]=$A13)*M_BOM[RM_Qty_Per_Batch]*IFERROR(INDEX(PP_Grid[#Data],M_BOM[PPGridRow],77),0))+IFERROR(INDEX(M_RawMaterials[固定週次消費量_要入力],MATCH($A13,M_RawMaterials[Part Name],0)),0)</f>
        <v/>
      </c>
      <c r="BZ13">
        <f>SUMPRODUCT((M_BOM[Part Name]=$A13)*M_BOM[RM_Qty_Per_Batch]*IFERROR(INDEX(PP_Grid[#Data],M_BOM[PPGridRow],78),0))+IFERROR(INDEX(M_RawMaterials[固定週次消費量_要入力],MATCH($A13,M_RawMaterials[Part Name],0)),0)</f>
        <v/>
      </c>
      <c r="CA13">
        <f>SUMPRODUCT((M_BOM[Part Name]=$A13)*M_BOM[RM_Qty_Per_Batch]*IFERROR(INDEX(PP_Grid[#Data],M_BOM[PPGridRow],79),0))+IFERROR(INDEX(M_RawMaterials[固定週次消費量_要入力],MATCH($A13,M_RawMaterials[Part Name],0)),0)</f>
        <v/>
      </c>
      <c r="CB13">
        <f>SUMPRODUCT((M_BOM[Part Name]=$A13)*M_BOM[RM_Qty_Per_Batch]*IFERROR(INDEX(PP_Grid[#Data],M_BOM[PPGridRow],80),0))+IFERROR(INDEX(M_RawMaterials[固定週次消費量_要入力],MATCH($A13,M_RawMaterials[Part Name],0)),0)</f>
        <v/>
      </c>
      <c r="CC13">
        <f>SUMPRODUCT((M_BOM[Part Name]=$A13)*M_BOM[RM_Qty_Per_Batch]*IFERROR(INDEX(PP_Grid[#Data],M_BOM[PPGridRow],81),0))+IFERROR(INDEX(M_RawMaterials[固定週次消費量_要入力],MATCH($A13,M_RawMaterials[Part Name],0)),0)</f>
        <v/>
      </c>
      <c r="CD13">
        <f>SUMPRODUCT((M_BOM[Part Name]=$A13)*M_BOM[RM_Qty_Per_Batch]*IFERROR(INDEX(PP_Grid[#Data],M_BOM[PPGridRow],82),0))+IFERROR(INDEX(M_RawMaterials[固定週次消費量_要入力],MATCH($A13,M_RawMaterials[Part Name],0)),0)</f>
        <v/>
      </c>
      <c r="CE13">
        <f>SUMPRODUCT((M_BOM[Part Name]=$A13)*M_BOM[RM_Qty_Per_Batch]*IFERROR(INDEX(PP_Grid[#Data],M_BOM[PPGridRow],83),0))+IFERROR(INDEX(M_RawMaterials[固定週次消費量_要入力],MATCH($A13,M_RawMaterials[Part Name],0)),0)</f>
        <v/>
      </c>
      <c r="CF13">
        <f>SUMPRODUCT((M_BOM[Part Name]=$A13)*M_BOM[RM_Qty_Per_Batch]*IFERROR(INDEX(PP_Grid[#Data],M_BOM[PPGridRow],84),0))+IFERROR(INDEX(M_RawMaterials[固定週次消費量_要入力],MATCH($A13,M_RawMaterials[Part Name],0)),0)</f>
        <v/>
      </c>
      <c r="CG13">
        <f>SUMPRODUCT((M_BOM[Part Name]=$A13)*M_BOM[RM_Qty_Per_Batch]*IFERROR(INDEX(PP_Grid[#Data],M_BOM[PPGridRow],85),0))+IFERROR(INDEX(M_RawMaterials[固定週次消費量_要入力],MATCH($A13,M_RawMaterials[Part Name],0)),0)</f>
        <v/>
      </c>
      <c r="CH13">
        <f>SUMPRODUCT((M_BOM[Part Name]=$A13)*M_BOM[RM_Qty_Per_Batch]*IFERROR(INDEX(PP_Grid[#Data],M_BOM[PPGridRow],86),0))+IFERROR(INDEX(M_RawMaterials[固定週次消費量_要入力],MATCH($A13,M_RawMaterials[Part Name],0)),0)</f>
        <v/>
      </c>
      <c r="CI13">
        <f>SUMPRODUCT((M_BOM[Part Name]=$A13)*M_BOM[RM_Qty_Per_Batch]*IFERROR(INDEX(PP_Grid[#Data],M_BOM[PPGridRow],87),0))+IFERROR(INDEX(M_RawMaterials[固定週次消費量_要入力],MATCH($A13,M_RawMaterials[Part Name],0)),0)</f>
        <v/>
      </c>
      <c r="CJ13">
        <f>SUMPRODUCT((M_BOM[Part Name]=$A13)*M_BOM[RM_Qty_Per_Batch]*IFERROR(INDEX(PP_Grid[#Data],M_BOM[PPGridRow],88),0))+IFERROR(INDEX(M_RawMaterials[固定週次消費量_要入力],MATCH($A13,M_RawMaterials[Part Name],0)),0)</f>
        <v/>
      </c>
      <c r="CK13">
        <f>SUMPRODUCT((M_BOM[Part Name]=$A13)*M_BOM[RM_Qty_Per_Batch]*IFERROR(INDEX(PP_Grid[#Data],M_BOM[PPGridRow],89),0))+IFERROR(INDEX(M_RawMaterials[固定週次消費量_要入力],MATCH($A13,M_RawMaterials[Part Name],0)),0)</f>
        <v/>
      </c>
      <c r="CL13">
        <f>SUMPRODUCT((M_BOM[Part Name]=$A13)*M_BOM[RM_Qty_Per_Batch]*IFERROR(INDEX(PP_Grid[#Data],M_BOM[PPGridRow],90),0))+IFERROR(INDEX(M_RawMaterials[固定週次消費量_要入力],MATCH($A13,M_RawMaterials[Part Name],0)),0)</f>
        <v/>
      </c>
      <c r="CM13">
        <f>SUMPRODUCT((M_BOM[Part Name]=$A13)*M_BOM[RM_Qty_Per_Batch]*IFERROR(INDEX(PP_Grid[#Data],M_BOM[PPGridRow],91),0))+IFERROR(INDEX(M_RawMaterials[固定週次消費量_要入力],MATCH($A13,M_RawMaterials[Part Name],0)),0)</f>
        <v/>
      </c>
      <c r="CN13">
        <f>SUMPRODUCT((M_BOM[Part Name]=$A13)*M_BOM[RM_Qty_Per_Batch]*IFERROR(INDEX(PP_Grid[#Data],M_BOM[PPGridRow],92),0))+IFERROR(INDEX(M_RawMaterials[固定週次消費量_要入力],MATCH($A13,M_RawMaterials[Part Name],0)),0)</f>
        <v/>
      </c>
      <c r="CO13">
        <f>SUMPRODUCT((M_BOM[Part Name]=$A13)*M_BOM[RM_Qty_Per_Batch]*IFERROR(INDEX(PP_Grid[#Data],M_BOM[PPGridRow],93),0))+IFERROR(INDEX(M_RawMaterials[固定週次消費量_要入力],MATCH($A13,M_RawMaterials[Part Name],0)),0)</f>
        <v/>
      </c>
      <c r="CP13">
        <f>SUMPRODUCT((M_BOM[Part Name]=$A13)*M_BOM[RM_Qty_Per_Batch]*IFERROR(INDEX(PP_Grid[#Data],M_BOM[PPGridRow],94),0))+IFERROR(INDEX(M_RawMaterials[固定週次消費量_要入力],MATCH($A13,M_RawMaterials[Part Name],0)),0)</f>
        <v/>
      </c>
      <c r="CQ13">
        <f>SUMPRODUCT((M_BOM[Part Name]=$A13)*M_BOM[RM_Qty_Per_Batch]*IFERROR(INDEX(PP_Grid[#Data],M_BOM[PPGridRow],95),0))+IFERROR(INDEX(M_RawMaterials[固定週次消費量_要入力],MATCH($A13,M_RawMaterials[Part Name],0)),0)</f>
        <v/>
      </c>
      <c r="CR13">
        <f>SUMPRODUCT((M_BOM[Part Name]=$A13)*M_BOM[RM_Qty_Per_Batch]*IFERROR(INDEX(PP_Grid[#Data],M_BOM[PPGridRow],96),0))+IFERROR(INDEX(M_RawMaterials[固定週次消費量_要入力],MATCH($A13,M_RawMaterials[Part Name],0)),0)</f>
        <v/>
      </c>
      <c r="CS13">
        <f>SUMPRODUCT((M_BOM[Part Name]=$A13)*M_BOM[RM_Qty_Per_Batch]*IFERROR(INDEX(PP_Grid[#Data],M_BOM[PPGridRow],97),0))+IFERROR(INDEX(M_RawMaterials[固定週次消費量_要入力],MATCH($A13,M_RawMaterials[Part Name],0)),0)</f>
        <v/>
      </c>
      <c r="CT13">
        <f>SUMPRODUCT((M_BOM[Part Name]=$A13)*M_BOM[RM_Qty_Per_Batch]*IFERROR(INDEX(PP_Grid[#Data],M_BOM[PPGridRow],98),0))+IFERROR(INDEX(M_RawMaterials[固定週次消費量_要入力],MATCH($A13,M_RawMaterials[Part Name],0)),0)</f>
        <v/>
      </c>
      <c r="CU13">
        <f>SUMPRODUCT((M_BOM[Part Name]=$A13)*M_BOM[RM_Qty_Per_Batch]*IFERROR(INDEX(PP_Grid[#Data],M_BOM[PPGridRow],99),0))+IFERROR(INDEX(M_RawMaterials[固定週次消費量_要入力],MATCH($A13,M_RawMaterials[Part Name],0)),0)</f>
        <v/>
      </c>
      <c r="CV13">
        <f>SUMPRODUCT((M_BOM[Part Name]=$A13)*M_BOM[RM_Qty_Per_Batch]*IFERROR(INDEX(PP_Grid[#Data],M_BOM[PPGridRow],100),0))+IFERROR(INDEX(M_RawMaterials[固定週次消費量_要入力],MATCH($A13,M_RawMaterials[Part Name],0)),0)</f>
        <v/>
      </c>
      <c r="CW13">
        <f>SUMPRODUCT((M_BOM[Part Name]=$A13)*M_BOM[RM_Qty_Per_Batch]*IFERROR(INDEX(PP_Grid[#Data],M_BOM[PPGridRow],101),0))+IFERROR(INDEX(M_RawMaterials[固定週次消費量_要入力],MATCH($A13,M_RawMaterials[Part Name],0)),0)</f>
        <v/>
      </c>
      <c r="CX13">
        <f>SUMPRODUCT((M_BOM[Part Name]=$A13)*M_BOM[RM_Qty_Per_Batch]*IFERROR(INDEX(PP_Grid[#Data],M_BOM[PPGridRow],102),0))+IFERROR(INDEX(M_RawMaterials[固定週次消費量_要入力],MATCH($A13,M_RawMaterials[Part Name],0)),0)</f>
        <v/>
      </c>
      <c r="CY13">
        <f>SUMPRODUCT((M_BOM[Part Name]=$A13)*M_BOM[RM_Qty_Per_Batch]*IFERROR(INDEX(PP_Grid[#Data],M_BOM[PPGridRow],103),0))+IFERROR(INDEX(M_RawMaterials[固定週次消費量_要入力],MATCH($A13,M_RawMaterials[Part Name],0)),0)</f>
        <v/>
      </c>
      <c r="CZ13">
        <f>SUMPRODUCT((M_BOM[Part Name]=$A13)*M_BOM[RM_Qty_Per_Batch]*IFERROR(INDEX(PP_Grid[#Data],M_BOM[PPGridRow],104),0))+IFERROR(INDEX(M_RawMaterials[固定週次消費量_要入力],MATCH($A13,M_RawMaterials[Part Name],0)),0)</f>
        <v/>
      </c>
      <c r="DA13">
        <f>SUMPRODUCT((M_BOM[Part Name]=$A13)*M_BOM[RM_Qty_Per_Batch]*IFERROR(INDEX(PP_Grid[#Data],M_BOM[PPGridRow],105),0))+IFERROR(INDEX(M_RawMaterials[固定週次消費量_要入力],MATCH($A13,M_RawMaterials[Part Name],0)),0)</f>
        <v/>
      </c>
    </row>
    <row r="14">
      <c r="A14" t="inlineStr">
        <is>
          <t>OLJ</t>
        </is>
      </c>
      <c r="B14">
        <f>SUMPRODUCT((M_BOM[Part Name]=$A14)*M_BOM[RM_Qty_Per_Batch]*IFERROR(INDEX(PP_Grid[#Data],M_BOM[PPGridRow],2),0))+IFERROR(INDEX(M_RawMaterials[固定週次消費量_要入力],MATCH($A14,M_RawMaterials[Part Name],0)),0)</f>
        <v/>
      </c>
      <c r="C14">
        <f>SUMPRODUCT((M_BOM[Part Name]=$A14)*M_BOM[RM_Qty_Per_Batch]*IFERROR(INDEX(PP_Grid[#Data],M_BOM[PPGridRow],3),0))+IFERROR(INDEX(M_RawMaterials[固定週次消費量_要入力],MATCH($A14,M_RawMaterials[Part Name],0)),0)</f>
        <v/>
      </c>
      <c r="D14">
        <f>SUMPRODUCT((M_BOM[Part Name]=$A14)*M_BOM[RM_Qty_Per_Batch]*IFERROR(INDEX(PP_Grid[#Data],M_BOM[PPGridRow],4),0))+IFERROR(INDEX(M_RawMaterials[固定週次消費量_要入力],MATCH($A14,M_RawMaterials[Part Name],0)),0)</f>
        <v/>
      </c>
      <c r="E14">
        <f>SUMPRODUCT((M_BOM[Part Name]=$A14)*M_BOM[RM_Qty_Per_Batch]*IFERROR(INDEX(PP_Grid[#Data],M_BOM[PPGridRow],5),0))+IFERROR(INDEX(M_RawMaterials[固定週次消費量_要入力],MATCH($A14,M_RawMaterials[Part Name],0)),0)</f>
        <v/>
      </c>
      <c r="F14">
        <f>SUMPRODUCT((M_BOM[Part Name]=$A14)*M_BOM[RM_Qty_Per_Batch]*IFERROR(INDEX(PP_Grid[#Data],M_BOM[PPGridRow],6),0))+IFERROR(INDEX(M_RawMaterials[固定週次消費量_要入力],MATCH($A14,M_RawMaterials[Part Name],0)),0)</f>
        <v/>
      </c>
      <c r="G14">
        <f>SUMPRODUCT((M_BOM[Part Name]=$A14)*M_BOM[RM_Qty_Per_Batch]*IFERROR(INDEX(PP_Grid[#Data],M_BOM[PPGridRow],7),0))+IFERROR(INDEX(M_RawMaterials[固定週次消費量_要入力],MATCH($A14,M_RawMaterials[Part Name],0)),0)</f>
        <v/>
      </c>
      <c r="H14">
        <f>SUMPRODUCT((M_BOM[Part Name]=$A14)*M_BOM[RM_Qty_Per_Batch]*IFERROR(INDEX(PP_Grid[#Data],M_BOM[PPGridRow],8),0))+IFERROR(INDEX(M_RawMaterials[固定週次消費量_要入力],MATCH($A14,M_RawMaterials[Part Name],0)),0)</f>
        <v/>
      </c>
      <c r="I14">
        <f>SUMPRODUCT((M_BOM[Part Name]=$A14)*M_BOM[RM_Qty_Per_Batch]*IFERROR(INDEX(PP_Grid[#Data],M_BOM[PPGridRow],9),0))+IFERROR(INDEX(M_RawMaterials[固定週次消費量_要入力],MATCH($A14,M_RawMaterials[Part Name],0)),0)</f>
        <v/>
      </c>
      <c r="J14">
        <f>SUMPRODUCT((M_BOM[Part Name]=$A14)*M_BOM[RM_Qty_Per_Batch]*IFERROR(INDEX(PP_Grid[#Data],M_BOM[PPGridRow],10),0))+IFERROR(INDEX(M_RawMaterials[固定週次消費量_要入力],MATCH($A14,M_RawMaterials[Part Name],0)),0)</f>
        <v/>
      </c>
      <c r="K14">
        <f>SUMPRODUCT((M_BOM[Part Name]=$A14)*M_BOM[RM_Qty_Per_Batch]*IFERROR(INDEX(PP_Grid[#Data],M_BOM[PPGridRow],11),0))+IFERROR(INDEX(M_RawMaterials[固定週次消費量_要入力],MATCH($A14,M_RawMaterials[Part Name],0)),0)</f>
        <v/>
      </c>
      <c r="L14">
        <f>SUMPRODUCT((M_BOM[Part Name]=$A14)*M_BOM[RM_Qty_Per_Batch]*IFERROR(INDEX(PP_Grid[#Data],M_BOM[PPGridRow],12),0))+IFERROR(INDEX(M_RawMaterials[固定週次消費量_要入力],MATCH($A14,M_RawMaterials[Part Name],0)),0)</f>
        <v/>
      </c>
      <c r="M14">
        <f>SUMPRODUCT((M_BOM[Part Name]=$A14)*M_BOM[RM_Qty_Per_Batch]*IFERROR(INDEX(PP_Grid[#Data],M_BOM[PPGridRow],13),0))+IFERROR(INDEX(M_RawMaterials[固定週次消費量_要入力],MATCH($A14,M_RawMaterials[Part Name],0)),0)</f>
        <v/>
      </c>
      <c r="N14">
        <f>SUMPRODUCT((M_BOM[Part Name]=$A14)*M_BOM[RM_Qty_Per_Batch]*IFERROR(INDEX(PP_Grid[#Data],M_BOM[PPGridRow],14),0))+IFERROR(INDEX(M_RawMaterials[固定週次消費量_要入力],MATCH($A14,M_RawMaterials[Part Name],0)),0)</f>
        <v/>
      </c>
      <c r="O14">
        <f>SUMPRODUCT((M_BOM[Part Name]=$A14)*M_BOM[RM_Qty_Per_Batch]*IFERROR(INDEX(PP_Grid[#Data],M_BOM[PPGridRow],15),0))+IFERROR(INDEX(M_RawMaterials[固定週次消費量_要入力],MATCH($A14,M_RawMaterials[Part Name],0)),0)</f>
        <v/>
      </c>
      <c r="P14">
        <f>SUMPRODUCT((M_BOM[Part Name]=$A14)*M_BOM[RM_Qty_Per_Batch]*IFERROR(INDEX(PP_Grid[#Data],M_BOM[PPGridRow],16),0))+IFERROR(INDEX(M_RawMaterials[固定週次消費量_要入力],MATCH($A14,M_RawMaterials[Part Name],0)),0)</f>
        <v/>
      </c>
      <c r="Q14">
        <f>SUMPRODUCT((M_BOM[Part Name]=$A14)*M_BOM[RM_Qty_Per_Batch]*IFERROR(INDEX(PP_Grid[#Data],M_BOM[PPGridRow],17),0))+IFERROR(INDEX(M_RawMaterials[固定週次消費量_要入力],MATCH($A14,M_RawMaterials[Part Name],0)),0)</f>
        <v/>
      </c>
      <c r="R14">
        <f>SUMPRODUCT((M_BOM[Part Name]=$A14)*M_BOM[RM_Qty_Per_Batch]*IFERROR(INDEX(PP_Grid[#Data],M_BOM[PPGridRow],18),0))+IFERROR(INDEX(M_RawMaterials[固定週次消費量_要入力],MATCH($A14,M_RawMaterials[Part Name],0)),0)</f>
        <v/>
      </c>
      <c r="S14">
        <f>SUMPRODUCT((M_BOM[Part Name]=$A14)*M_BOM[RM_Qty_Per_Batch]*IFERROR(INDEX(PP_Grid[#Data],M_BOM[PPGridRow],19),0))+IFERROR(INDEX(M_RawMaterials[固定週次消費量_要入力],MATCH($A14,M_RawMaterials[Part Name],0)),0)</f>
        <v/>
      </c>
      <c r="T14">
        <f>SUMPRODUCT((M_BOM[Part Name]=$A14)*M_BOM[RM_Qty_Per_Batch]*IFERROR(INDEX(PP_Grid[#Data],M_BOM[PPGridRow],20),0))+IFERROR(INDEX(M_RawMaterials[固定週次消費量_要入力],MATCH($A14,M_RawMaterials[Part Name],0)),0)</f>
        <v/>
      </c>
      <c r="U14">
        <f>SUMPRODUCT((M_BOM[Part Name]=$A14)*M_BOM[RM_Qty_Per_Batch]*IFERROR(INDEX(PP_Grid[#Data],M_BOM[PPGridRow],21),0))+IFERROR(INDEX(M_RawMaterials[固定週次消費量_要入力],MATCH($A14,M_RawMaterials[Part Name],0)),0)</f>
        <v/>
      </c>
      <c r="V14">
        <f>SUMPRODUCT((M_BOM[Part Name]=$A14)*M_BOM[RM_Qty_Per_Batch]*IFERROR(INDEX(PP_Grid[#Data],M_BOM[PPGridRow],22),0))+IFERROR(INDEX(M_RawMaterials[固定週次消費量_要入力],MATCH($A14,M_RawMaterials[Part Name],0)),0)</f>
        <v/>
      </c>
      <c r="W14">
        <f>SUMPRODUCT((M_BOM[Part Name]=$A14)*M_BOM[RM_Qty_Per_Batch]*IFERROR(INDEX(PP_Grid[#Data],M_BOM[PPGridRow],23),0))+IFERROR(INDEX(M_RawMaterials[固定週次消費量_要入力],MATCH($A14,M_RawMaterials[Part Name],0)),0)</f>
        <v/>
      </c>
      <c r="X14">
        <f>SUMPRODUCT((M_BOM[Part Name]=$A14)*M_BOM[RM_Qty_Per_Batch]*IFERROR(INDEX(PP_Grid[#Data],M_BOM[PPGridRow],24),0))+IFERROR(INDEX(M_RawMaterials[固定週次消費量_要入力],MATCH($A14,M_RawMaterials[Part Name],0)),0)</f>
        <v/>
      </c>
      <c r="Y14">
        <f>SUMPRODUCT((M_BOM[Part Name]=$A14)*M_BOM[RM_Qty_Per_Batch]*IFERROR(INDEX(PP_Grid[#Data],M_BOM[PPGridRow],25),0))+IFERROR(INDEX(M_RawMaterials[固定週次消費量_要入力],MATCH($A14,M_RawMaterials[Part Name],0)),0)</f>
        <v/>
      </c>
      <c r="Z14">
        <f>SUMPRODUCT((M_BOM[Part Name]=$A14)*M_BOM[RM_Qty_Per_Batch]*IFERROR(INDEX(PP_Grid[#Data],M_BOM[PPGridRow],26),0))+IFERROR(INDEX(M_RawMaterials[固定週次消費量_要入力],MATCH($A14,M_RawMaterials[Part Name],0)),0)</f>
        <v/>
      </c>
      <c r="AA14">
        <f>SUMPRODUCT((M_BOM[Part Name]=$A14)*M_BOM[RM_Qty_Per_Batch]*IFERROR(INDEX(PP_Grid[#Data],M_BOM[PPGridRow],27),0))+IFERROR(INDEX(M_RawMaterials[固定週次消費量_要入力],MATCH($A14,M_RawMaterials[Part Name],0)),0)</f>
        <v/>
      </c>
      <c r="AB14">
        <f>SUMPRODUCT((M_BOM[Part Name]=$A14)*M_BOM[RM_Qty_Per_Batch]*IFERROR(INDEX(PP_Grid[#Data],M_BOM[PPGridRow],28),0))+IFERROR(INDEX(M_RawMaterials[固定週次消費量_要入力],MATCH($A14,M_RawMaterials[Part Name],0)),0)</f>
        <v/>
      </c>
      <c r="AC14">
        <f>SUMPRODUCT((M_BOM[Part Name]=$A14)*M_BOM[RM_Qty_Per_Batch]*IFERROR(INDEX(PP_Grid[#Data],M_BOM[PPGridRow],29),0))+IFERROR(INDEX(M_RawMaterials[固定週次消費量_要入力],MATCH($A14,M_RawMaterials[Part Name],0)),0)</f>
        <v/>
      </c>
      <c r="AD14">
        <f>SUMPRODUCT((M_BOM[Part Name]=$A14)*M_BOM[RM_Qty_Per_Batch]*IFERROR(INDEX(PP_Grid[#Data],M_BOM[PPGridRow],30),0))+IFERROR(INDEX(M_RawMaterials[固定週次消費量_要入力],MATCH($A14,M_RawMaterials[Part Name],0)),0)</f>
        <v/>
      </c>
      <c r="AE14">
        <f>SUMPRODUCT((M_BOM[Part Name]=$A14)*M_BOM[RM_Qty_Per_Batch]*IFERROR(INDEX(PP_Grid[#Data],M_BOM[PPGridRow],31),0))+IFERROR(INDEX(M_RawMaterials[固定週次消費量_要入力],MATCH($A14,M_RawMaterials[Part Name],0)),0)</f>
        <v/>
      </c>
      <c r="AF14">
        <f>SUMPRODUCT((M_BOM[Part Name]=$A14)*M_BOM[RM_Qty_Per_Batch]*IFERROR(INDEX(PP_Grid[#Data],M_BOM[PPGridRow],32),0))+IFERROR(INDEX(M_RawMaterials[固定週次消費量_要入力],MATCH($A14,M_RawMaterials[Part Name],0)),0)</f>
        <v/>
      </c>
      <c r="AG14">
        <f>SUMPRODUCT((M_BOM[Part Name]=$A14)*M_BOM[RM_Qty_Per_Batch]*IFERROR(INDEX(PP_Grid[#Data],M_BOM[PPGridRow],33),0))+IFERROR(INDEX(M_RawMaterials[固定週次消費量_要入力],MATCH($A14,M_RawMaterials[Part Name],0)),0)</f>
        <v/>
      </c>
      <c r="AH14">
        <f>SUMPRODUCT((M_BOM[Part Name]=$A14)*M_BOM[RM_Qty_Per_Batch]*IFERROR(INDEX(PP_Grid[#Data],M_BOM[PPGridRow],34),0))+IFERROR(INDEX(M_RawMaterials[固定週次消費量_要入力],MATCH($A14,M_RawMaterials[Part Name],0)),0)</f>
        <v/>
      </c>
      <c r="AI14">
        <f>SUMPRODUCT((M_BOM[Part Name]=$A14)*M_BOM[RM_Qty_Per_Batch]*IFERROR(INDEX(PP_Grid[#Data],M_BOM[PPGridRow],35),0))+IFERROR(INDEX(M_RawMaterials[固定週次消費量_要入力],MATCH($A14,M_RawMaterials[Part Name],0)),0)</f>
        <v/>
      </c>
      <c r="AJ14">
        <f>SUMPRODUCT((M_BOM[Part Name]=$A14)*M_BOM[RM_Qty_Per_Batch]*IFERROR(INDEX(PP_Grid[#Data],M_BOM[PPGridRow],36),0))+IFERROR(INDEX(M_RawMaterials[固定週次消費量_要入力],MATCH($A14,M_RawMaterials[Part Name],0)),0)</f>
        <v/>
      </c>
      <c r="AK14">
        <f>SUMPRODUCT((M_BOM[Part Name]=$A14)*M_BOM[RM_Qty_Per_Batch]*IFERROR(INDEX(PP_Grid[#Data],M_BOM[PPGridRow],37),0))+IFERROR(INDEX(M_RawMaterials[固定週次消費量_要入力],MATCH($A14,M_RawMaterials[Part Name],0)),0)</f>
        <v/>
      </c>
      <c r="AL14">
        <f>SUMPRODUCT((M_BOM[Part Name]=$A14)*M_BOM[RM_Qty_Per_Batch]*IFERROR(INDEX(PP_Grid[#Data],M_BOM[PPGridRow],38),0))+IFERROR(INDEX(M_RawMaterials[固定週次消費量_要入力],MATCH($A14,M_RawMaterials[Part Name],0)),0)</f>
        <v/>
      </c>
      <c r="AM14">
        <f>SUMPRODUCT((M_BOM[Part Name]=$A14)*M_BOM[RM_Qty_Per_Batch]*IFERROR(INDEX(PP_Grid[#Data],M_BOM[PPGridRow],39),0))+IFERROR(INDEX(M_RawMaterials[固定週次消費量_要入力],MATCH($A14,M_RawMaterials[Part Name],0)),0)</f>
        <v/>
      </c>
      <c r="AN14">
        <f>SUMPRODUCT((M_BOM[Part Name]=$A14)*M_BOM[RM_Qty_Per_Batch]*IFERROR(INDEX(PP_Grid[#Data],M_BOM[PPGridRow],40),0))+IFERROR(INDEX(M_RawMaterials[固定週次消費量_要入力],MATCH($A14,M_RawMaterials[Part Name],0)),0)</f>
        <v/>
      </c>
      <c r="AO14">
        <f>SUMPRODUCT((M_BOM[Part Name]=$A14)*M_BOM[RM_Qty_Per_Batch]*IFERROR(INDEX(PP_Grid[#Data],M_BOM[PPGridRow],41),0))+IFERROR(INDEX(M_RawMaterials[固定週次消費量_要入力],MATCH($A14,M_RawMaterials[Part Name],0)),0)</f>
        <v/>
      </c>
      <c r="AP14">
        <f>SUMPRODUCT((M_BOM[Part Name]=$A14)*M_BOM[RM_Qty_Per_Batch]*IFERROR(INDEX(PP_Grid[#Data],M_BOM[PPGridRow],42),0))+IFERROR(INDEX(M_RawMaterials[固定週次消費量_要入力],MATCH($A14,M_RawMaterials[Part Name],0)),0)</f>
        <v/>
      </c>
      <c r="AQ14">
        <f>SUMPRODUCT((M_BOM[Part Name]=$A14)*M_BOM[RM_Qty_Per_Batch]*IFERROR(INDEX(PP_Grid[#Data],M_BOM[PPGridRow],43),0))+IFERROR(INDEX(M_RawMaterials[固定週次消費量_要入力],MATCH($A14,M_RawMaterials[Part Name],0)),0)</f>
        <v/>
      </c>
      <c r="AR14">
        <f>SUMPRODUCT((M_BOM[Part Name]=$A14)*M_BOM[RM_Qty_Per_Batch]*IFERROR(INDEX(PP_Grid[#Data],M_BOM[PPGridRow],44),0))+IFERROR(INDEX(M_RawMaterials[固定週次消費量_要入力],MATCH($A14,M_RawMaterials[Part Name],0)),0)</f>
        <v/>
      </c>
      <c r="AS14">
        <f>SUMPRODUCT((M_BOM[Part Name]=$A14)*M_BOM[RM_Qty_Per_Batch]*IFERROR(INDEX(PP_Grid[#Data],M_BOM[PPGridRow],45),0))+IFERROR(INDEX(M_RawMaterials[固定週次消費量_要入力],MATCH($A14,M_RawMaterials[Part Name],0)),0)</f>
        <v/>
      </c>
      <c r="AT14">
        <f>SUMPRODUCT((M_BOM[Part Name]=$A14)*M_BOM[RM_Qty_Per_Batch]*IFERROR(INDEX(PP_Grid[#Data],M_BOM[PPGridRow],46),0))+IFERROR(INDEX(M_RawMaterials[固定週次消費量_要入力],MATCH($A14,M_RawMaterials[Part Name],0)),0)</f>
        <v/>
      </c>
      <c r="AU14">
        <f>SUMPRODUCT((M_BOM[Part Name]=$A14)*M_BOM[RM_Qty_Per_Batch]*IFERROR(INDEX(PP_Grid[#Data],M_BOM[PPGridRow],47),0))+IFERROR(INDEX(M_RawMaterials[固定週次消費量_要入力],MATCH($A14,M_RawMaterials[Part Name],0)),0)</f>
        <v/>
      </c>
      <c r="AV14">
        <f>SUMPRODUCT((M_BOM[Part Name]=$A14)*M_BOM[RM_Qty_Per_Batch]*IFERROR(INDEX(PP_Grid[#Data],M_BOM[PPGridRow],48),0))+IFERROR(INDEX(M_RawMaterials[固定週次消費量_要入力],MATCH($A14,M_RawMaterials[Part Name],0)),0)</f>
        <v/>
      </c>
      <c r="AW14">
        <f>SUMPRODUCT((M_BOM[Part Name]=$A14)*M_BOM[RM_Qty_Per_Batch]*IFERROR(INDEX(PP_Grid[#Data],M_BOM[PPGridRow],49),0))+IFERROR(INDEX(M_RawMaterials[固定週次消費量_要入力],MATCH($A14,M_RawMaterials[Part Name],0)),0)</f>
        <v/>
      </c>
      <c r="AX14">
        <f>SUMPRODUCT((M_BOM[Part Name]=$A14)*M_BOM[RM_Qty_Per_Batch]*IFERROR(INDEX(PP_Grid[#Data],M_BOM[PPGridRow],50),0))+IFERROR(INDEX(M_RawMaterials[固定週次消費量_要入力],MATCH($A14,M_RawMaterials[Part Name],0)),0)</f>
        <v/>
      </c>
      <c r="AY14">
        <f>SUMPRODUCT((M_BOM[Part Name]=$A14)*M_BOM[RM_Qty_Per_Batch]*IFERROR(INDEX(PP_Grid[#Data],M_BOM[PPGridRow],51),0))+IFERROR(INDEX(M_RawMaterials[固定週次消費量_要入力],MATCH($A14,M_RawMaterials[Part Name],0)),0)</f>
        <v/>
      </c>
      <c r="AZ14">
        <f>SUMPRODUCT((M_BOM[Part Name]=$A14)*M_BOM[RM_Qty_Per_Batch]*IFERROR(INDEX(PP_Grid[#Data],M_BOM[PPGridRow],52),0))+IFERROR(INDEX(M_RawMaterials[固定週次消費量_要入力],MATCH($A14,M_RawMaterials[Part Name],0)),0)</f>
        <v/>
      </c>
      <c r="BA14">
        <f>SUMPRODUCT((M_BOM[Part Name]=$A14)*M_BOM[RM_Qty_Per_Batch]*IFERROR(INDEX(PP_Grid[#Data],M_BOM[PPGridRow],53),0))+IFERROR(INDEX(M_RawMaterials[固定週次消費量_要入力],MATCH($A14,M_RawMaterials[Part Name],0)),0)</f>
        <v/>
      </c>
      <c r="BB14">
        <f>SUMPRODUCT((M_BOM[Part Name]=$A14)*M_BOM[RM_Qty_Per_Batch]*IFERROR(INDEX(PP_Grid[#Data],M_BOM[PPGridRow],54),0))+IFERROR(INDEX(M_RawMaterials[固定週次消費量_要入力],MATCH($A14,M_RawMaterials[Part Name],0)),0)</f>
        <v/>
      </c>
      <c r="BC14">
        <f>SUMPRODUCT((M_BOM[Part Name]=$A14)*M_BOM[RM_Qty_Per_Batch]*IFERROR(INDEX(PP_Grid[#Data],M_BOM[PPGridRow],55),0))+IFERROR(INDEX(M_RawMaterials[固定週次消費量_要入力],MATCH($A14,M_RawMaterials[Part Name],0)),0)</f>
        <v/>
      </c>
      <c r="BD14">
        <f>SUMPRODUCT((M_BOM[Part Name]=$A14)*M_BOM[RM_Qty_Per_Batch]*IFERROR(INDEX(PP_Grid[#Data],M_BOM[PPGridRow],56),0))+IFERROR(INDEX(M_RawMaterials[固定週次消費量_要入力],MATCH($A14,M_RawMaterials[Part Name],0)),0)</f>
        <v/>
      </c>
      <c r="BE14">
        <f>SUMPRODUCT((M_BOM[Part Name]=$A14)*M_BOM[RM_Qty_Per_Batch]*IFERROR(INDEX(PP_Grid[#Data],M_BOM[PPGridRow],57),0))+IFERROR(INDEX(M_RawMaterials[固定週次消費量_要入力],MATCH($A14,M_RawMaterials[Part Name],0)),0)</f>
        <v/>
      </c>
      <c r="BF14">
        <f>SUMPRODUCT((M_BOM[Part Name]=$A14)*M_BOM[RM_Qty_Per_Batch]*IFERROR(INDEX(PP_Grid[#Data],M_BOM[PPGridRow],58),0))+IFERROR(INDEX(M_RawMaterials[固定週次消費量_要入力],MATCH($A14,M_RawMaterials[Part Name],0)),0)</f>
        <v/>
      </c>
      <c r="BG14">
        <f>SUMPRODUCT((M_BOM[Part Name]=$A14)*M_BOM[RM_Qty_Per_Batch]*IFERROR(INDEX(PP_Grid[#Data],M_BOM[PPGridRow],59),0))+IFERROR(INDEX(M_RawMaterials[固定週次消費量_要入力],MATCH($A14,M_RawMaterials[Part Name],0)),0)</f>
        <v/>
      </c>
      <c r="BH14">
        <f>SUMPRODUCT((M_BOM[Part Name]=$A14)*M_BOM[RM_Qty_Per_Batch]*IFERROR(INDEX(PP_Grid[#Data],M_BOM[PPGridRow],60),0))+IFERROR(INDEX(M_RawMaterials[固定週次消費量_要入力],MATCH($A14,M_RawMaterials[Part Name],0)),0)</f>
        <v/>
      </c>
      <c r="BI14">
        <f>SUMPRODUCT((M_BOM[Part Name]=$A14)*M_BOM[RM_Qty_Per_Batch]*IFERROR(INDEX(PP_Grid[#Data],M_BOM[PPGridRow],61),0))+IFERROR(INDEX(M_RawMaterials[固定週次消費量_要入力],MATCH($A14,M_RawMaterials[Part Name],0)),0)</f>
        <v/>
      </c>
      <c r="BJ14">
        <f>SUMPRODUCT((M_BOM[Part Name]=$A14)*M_BOM[RM_Qty_Per_Batch]*IFERROR(INDEX(PP_Grid[#Data],M_BOM[PPGridRow],62),0))+IFERROR(INDEX(M_RawMaterials[固定週次消費量_要入力],MATCH($A14,M_RawMaterials[Part Name],0)),0)</f>
        <v/>
      </c>
      <c r="BK14">
        <f>SUMPRODUCT((M_BOM[Part Name]=$A14)*M_BOM[RM_Qty_Per_Batch]*IFERROR(INDEX(PP_Grid[#Data],M_BOM[PPGridRow],63),0))+IFERROR(INDEX(M_RawMaterials[固定週次消費量_要入力],MATCH($A14,M_RawMaterials[Part Name],0)),0)</f>
        <v/>
      </c>
      <c r="BL14">
        <f>SUMPRODUCT((M_BOM[Part Name]=$A14)*M_BOM[RM_Qty_Per_Batch]*IFERROR(INDEX(PP_Grid[#Data],M_BOM[PPGridRow],64),0))+IFERROR(INDEX(M_RawMaterials[固定週次消費量_要入力],MATCH($A14,M_RawMaterials[Part Name],0)),0)</f>
        <v/>
      </c>
      <c r="BM14">
        <f>SUMPRODUCT((M_BOM[Part Name]=$A14)*M_BOM[RM_Qty_Per_Batch]*IFERROR(INDEX(PP_Grid[#Data],M_BOM[PPGridRow],65),0))+IFERROR(INDEX(M_RawMaterials[固定週次消費量_要入力],MATCH($A14,M_RawMaterials[Part Name],0)),0)</f>
        <v/>
      </c>
      <c r="BN14">
        <f>SUMPRODUCT((M_BOM[Part Name]=$A14)*M_BOM[RM_Qty_Per_Batch]*IFERROR(INDEX(PP_Grid[#Data],M_BOM[PPGridRow],66),0))+IFERROR(INDEX(M_RawMaterials[固定週次消費量_要入力],MATCH($A14,M_RawMaterials[Part Name],0)),0)</f>
        <v/>
      </c>
      <c r="BO14">
        <f>SUMPRODUCT((M_BOM[Part Name]=$A14)*M_BOM[RM_Qty_Per_Batch]*IFERROR(INDEX(PP_Grid[#Data],M_BOM[PPGridRow],67),0))+IFERROR(INDEX(M_RawMaterials[固定週次消費量_要入力],MATCH($A14,M_RawMaterials[Part Name],0)),0)</f>
        <v/>
      </c>
      <c r="BP14">
        <f>SUMPRODUCT((M_BOM[Part Name]=$A14)*M_BOM[RM_Qty_Per_Batch]*IFERROR(INDEX(PP_Grid[#Data],M_BOM[PPGridRow],68),0))+IFERROR(INDEX(M_RawMaterials[固定週次消費量_要入力],MATCH($A14,M_RawMaterials[Part Name],0)),0)</f>
        <v/>
      </c>
      <c r="BQ14">
        <f>SUMPRODUCT((M_BOM[Part Name]=$A14)*M_BOM[RM_Qty_Per_Batch]*IFERROR(INDEX(PP_Grid[#Data],M_BOM[PPGridRow],69),0))+IFERROR(INDEX(M_RawMaterials[固定週次消費量_要入力],MATCH($A14,M_RawMaterials[Part Name],0)),0)</f>
        <v/>
      </c>
      <c r="BR14">
        <f>SUMPRODUCT((M_BOM[Part Name]=$A14)*M_BOM[RM_Qty_Per_Batch]*IFERROR(INDEX(PP_Grid[#Data],M_BOM[PPGridRow],70),0))+IFERROR(INDEX(M_RawMaterials[固定週次消費量_要入力],MATCH($A14,M_RawMaterials[Part Name],0)),0)</f>
        <v/>
      </c>
      <c r="BS14">
        <f>SUMPRODUCT((M_BOM[Part Name]=$A14)*M_BOM[RM_Qty_Per_Batch]*IFERROR(INDEX(PP_Grid[#Data],M_BOM[PPGridRow],71),0))+IFERROR(INDEX(M_RawMaterials[固定週次消費量_要入力],MATCH($A14,M_RawMaterials[Part Name],0)),0)</f>
        <v/>
      </c>
      <c r="BT14">
        <f>SUMPRODUCT((M_BOM[Part Name]=$A14)*M_BOM[RM_Qty_Per_Batch]*IFERROR(INDEX(PP_Grid[#Data],M_BOM[PPGridRow],72),0))+IFERROR(INDEX(M_RawMaterials[固定週次消費量_要入力],MATCH($A14,M_RawMaterials[Part Name],0)),0)</f>
        <v/>
      </c>
      <c r="BU14">
        <f>SUMPRODUCT((M_BOM[Part Name]=$A14)*M_BOM[RM_Qty_Per_Batch]*IFERROR(INDEX(PP_Grid[#Data],M_BOM[PPGridRow],73),0))+IFERROR(INDEX(M_RawMaterials[固定週次消費量_要入力],MATCH($A14,M_RawMaterials[Part Name],0)),0)</f>
        <v/>
      </c>
      <c r="BV14">
        <f>SUMPRODUCT((M_BOM[Part Name]=$A14)*M_BOM[RM_Qty_Per_Batch]*IFERROR(INDEX(PP_Grid[#Data],M_BOM[PPGridRow],74),0))+IFERROR(INDEX(M_RawMaterials[固定週次消費量_要入力],MATCH($A14,M_RawMaterials[Part Name],0)),0)</f>
        <v/>
      </c>
      <c r="BW14">
        <f>SUMPRODUCT((M_BOM[Part Name]=$A14)*M_BOM[RM_Qty_Per_Batch]*IFERROR(INDEX(PP_Grid[#Data],M_BOM[PPGridRow],75),0))+IFERROR(INDEX(M_RawMaterials[固定週次消費量_要入力],MATCH($A14,M_RawMaterials[Part Name],0)),0)</f>
        <v/>
      </c>
      <c r="BX14">
        <f>SUMPRODUCT((M_BOM[Part Name]=$A14)*M_BOM[RM_Qty_Per_Batch]*IFERROR(INDEX(PP_Grid[#Data],M_BOM[PPGridRow],76),0))+IFERROR(INDEX(M_RawMaterials[固定週次消費量_要入力],MATCH($A14,M_RawMaterials[Part Name],0)),0)</f>
        <v/>
      </c>
      <c r="BY14">
        <f>SUMPRODUCT((M_BOM[Part Name]=$A14)*M_BOM[RM_Qty_Per_Batch]*IFERROR(INDEX(PP_Grid[#Data],M_BOM[PPGridRow],77),0))+IFERROR(INDEX(M_RawMaterials[固定週次消費量_要入力],MATCH($A14,M_RawMaterials[Part Name],0)),0)</f>
        <v/>
      </c>
      <c r="BZ14">
        <f>SUMPRODUCT((M_BOM[Part Name]=$A14)*M_BOM[RM_Qty_Per_Batch]*IFERROR(INDEX(PP_Grid[#Data],M_BOM[PPGridRow],78),0))+IFERROR(INDEX(M_RawMaterials[固定週次消費量_要入力],MATCH($A14,M_RawMaterials[Part Name],0)),0)</f>
        <v/>
      </c>
      <c r="CA14">
        <f>SUMPRODUCT((M_BOM[Part Name]=$A14)*M_BOM[RM_Qty_Per_Batch]*IFERROR(INDEX(PP_Grid[#Data],M_BOM[PPGridRow],79),0))+IFERROR(INDEX(M_RawMaterials[固定週次消費量_要入力],MATCH($A14,M_RawMaterials[Part Name],0)),0)</f>
        <v/>
      </c>
      <c r="CB14">
        <f>SUMPRODUCT((M_BOM[Part Name]=$A14)*M_BOM[RM_Qty_Per_Batch]*IFERROR(INDEX(PP_Grid[#Data],M_BOM[PPGridRow],80),0))+IFERROR(INDEX(M_RawMaterials[固定週次消費量_要入力],MATCH($A14,M_RawMaterials[Part Name],0)),0)</f>
        <v/>
      </c>
      <c r="CC14">
        <f>SUMPRODUCT((M_BOM[Part Name]=$A14)*M_BOM[RM_Qty_Per_Batch]*IFERROR(INDEX(PP_Grid[#Data],M_BOM[PPGridRow],81),0))+IFERROR(INDEX(M_RawMaterials[固定週次消費量_要入力],MATCH($A14,M_RawMaterials[Part Name],0)),0)</f>
        <v/>
      </c>
      <c r="CD14">
        <f>SUMPRODUCT((M_BOM[Part Name]=$A14)*M_BOM[RM_Qty_Per_Batch]*IFERROR(INDEX(PP_Grid[#Data],M_BOM[PPGridRow],82),0))+IFERROR(INDEX(M_RawMaterials[固定週次消費量_要入力],MATCH($A14,M_RawMaterials[Part Name],0)),0)</f>
        <v/>
      </c>
      <c r="CE14">
        <f>SUMPRODUCT((M_BOM[Part Name]=$A14)*M_BOM[RM_Qty_Per_Batch]*IFERROR(INDEX(PP_Grid[#Data],M_BOM[PPGridRow],83),0))+IFERROR(INDEX(M_RawMaterials[固定週次消費量_要入力],MATCH($A14,M_RawMaterials[Part Name],0)),0)</f>
        <v/>
      </c>
      <c r="CF14">
        <f>SUMPRODUCT((M_BOM[Part Name]=$A14)*M_BOM[RM_Qty_Per_Batch]*IFERROR(INDEX(PP_Grid[#Data],M_BOM[PPGridRow],84),0))+IFERROR(INDEX(M_RawMaterials[固定週次消費量_要入力],MATCH($A14,M_RawMaterials[Part Name],0)),0)</f>
        <v/>
      </c>
      <c r="CG14">
        <f>SUMPRODUCT((M_BOM[Part Name]=$A14)*M_BOM[RM_Qty_Per_Batch]*IFERROR(INDEX(PP_Grid[#Data],M_BOM[PPGridRow],85),0))+IFERROR(INDEX(M_RawMaterials[固定週次消費量_要入力],MATCH($A14,M_RawMaterials[Part Name],0)),0)</f>
        <v/>
      </c>
      <c r="CH14">
        <f>SUMPRODUCT((M_BOM[Part Name]=$A14)*M_BOM[RM_Qty_Per_Batch]*IFERROR(INDEX(PP_Grid[#Data],M_BOM[PPGridRow],86),0))+IFERROR(INDEX(M_RawMaterials[固定週次消費量_要入力],MATCH($A14,M_RawMaterials[Part Name],0)),0)</f>
        <v/>
      </c>
      <c r="CI14">
        <f>SUMPRODUCT((M_BOM[Part Name]=$A14)*M_BOM[RM_Qty_Per_Batch]*IFERROR(INDEX(PP_Grid[#Data],M_BOM[PPGridRow],87),0))+IFERROR(INDEX(M_RawMaterials[固定週次消費量_要入力],MATCH($A14,M_RawMaterials[Part Name],0)),0)</f>
        <v/>
      </c>
      <c r="CJ14">
        <f>SUMPRODUCT((M_BOM[Part Name]=$A14)*M_BOM[RM_Qty_Per_Batch]*IFERROR(INDEX(PP_Grid[#Data],M_BOM[PPGridRow],88),0))+IFERROR(INDEX(M_RawMaterials[固定週次消費量_要入力],MATCH($A14,M_RawMaterials[Part Name],0)),0)</f>
        <v/>
      </c>
      <c r="CK14">
        <f>SUMPRODUCT((M_BOM[Part Name]=$A14)*M_BOM[RM_Qty_Per_Batch]*IFERROR(INDEX(PP_Grid[#Data],M_BOM[PPGridRow],89),0))+IFERROR(INDEX(M_RawMaterials[固定週次消費量_要入力],MATCH($A14,M_RawMaterials[Part Name],0)),0)</f>
        <v/>
      </c>
      <c r="CL14">
        <f>SUMPRODUCT((M_BOM[Part Name]=$A14)*M_BOM[RM_Qty_Per_Batch]*IFERROR(INDEX(PP_Grid[#Data],M_BOM[PPGridRow],90),0))+IFERROR(INDEX(M_RawMaterials[固定週次消費量_要入力],MATCH($A14,M_RawMaterials[Part Name],0)),0)</f>
        <v/>
      </c>
      <c r="CM14">
        <f>SUMPRODUCT((M_BOM[Part Name]=$A14)*M_BOM[RM_Qty_Per_Batch]*IFERROR(INDEX(PP_Grid[#Data],M_BOM[PPGridRow],91),0))+IFERROR(INDEX(M_RawMaterials[固定週次消費量_要入力],MATCH($A14,M_RawMaterials[Part Name],0)),0)</f>
        <v/>
      </c>
      <c r="CN14">
        <f>SUMPRODUCT((M_BOM[Part Name]=$A14)*M_BOM[RM_Qty_Per_Batch]*IFERROR(INDEX(PP_Grid[#Data],M_BOM[PPGridRow],92),0))+IFERROR(INDEX(M_RawMaterials[固定週次消費量_要入力],MATCH($A14,M_RawMaterials[Part Name],0)),0)</f>
        <v/>
      </c>
      <c r="CO14">
        <f>SUMPRODUCT((M_BOM[Part Name]=$A14)*M_BOM[RM_Qty_Per_Batch]*IFERROR(INDEX(PP_Grid[#Data],M_BOM[PPGridRow],93),0))+IFERROR(INDEX(M_RawMaterials[固定週次消費量_要入力],MATCH($A14,M_RawMaterials[Part Name],0)),0)</f>
        <v/>
      </c>
      <c r="CP14">
        <f>SUMPRODUCT((M_BOM[Part Name]=$A14)*M_BOM[RM_Qty_Per_Batch]*IFERROR(INDEX(PP_Grid[#Data],M_BOM[PPGridRow],94),0))+IFERROR(INDEX(M_RawMaterials[固定週次消費量_要入力],MATCH($A14,M_RawMaterials[Part Name],0)),0)</f>
        <v/>
      </c>
      <c r="CQ14">
        <f>SUMPRODUCT((M_BOM[Part Name]=$A14)*M_BOM[RM_Qty_Per_Batch]*IFERROR(INDEX(PP_Grid[#Data],M_BOM[PPGridRow],95),0))+IFERROR(INDEX(M_RawMaterials[固定週次消費量_要入力],MATCH($A14,M_RawMaterials[Part Name],0)),0)</f>
        <v/>
      </c>
      <c r="CR14">
        <f>SUMPRODUCT((M_BOM[Part Name]=$A14)*M_BOM[RM_Qty_Per_Batch]*IFERROR(INDEX(PP_Grid[#Data],M_BOM[PPGridRow],96),0))+IFERROR(INDEX(M_RawMaterials[固定週次消費量_要入力],MATCH($A14,M_RawMaterials[Part Name],0)),0)</f>
        <v/>
      </c>
      <c r="CS14">
        <f>SUMPRODUCT((M_BOM[Part Name]=$A14)*M_BOM[RM_Qty_Per_Batch]*IFERROR(INDEX(PP_Grid[#Data],M_BOM[PPGridRow],97),0))+IFERROR(INDEX(M_RawMaterials[固定週次消費量_要入力],MATCH($A14,M_RawMaterials[Part Name],0)),0)</f>
        <v/>
      </c>
      <c r="CT14">
        <f>SUMPRODUCT((M_BOM[Part Name]=$A14)*M_BOM[RM_Qty_Per_Batch]*IFERROR(INDEX(PP_Grid[#Data],M_BOM[PPGridRow],98),0))+IFERROR(INDEX(M_RawMaterials[固定週次消費量_要入力],MATCH($A14,M_RawMaterials[Part Name],0)),0)</f>
        <v/>
      </c>
      <c r="CU14">
        <f>SUMPRODUCT((M_BOM[Part Name]=$A14)*M_BOM[RM_Qty_Per_Batch]*IFERROR(INDEX(PP_Grid[#Data],M_BOM[PPGridRow],99),0))+IFERROR(INDEX(M_RawMaterials[固定週次消費量_要入力],MATCH($A14,M_RawMaterials[Part Name],0)),0)</f>
        <v/>
      </c>
      <c r="CV14">
        <f>SUMPRODUCT((M_BOM[Part Name]=$A14)*M_BOM[RM_Qty_Per_Batch]*IFERROR(INDEX(PP_Grid[#Data],M_BOM[PPGridRow],100),0))+IFERROR(INDEX(M_RawMaterials[固定週次消費量_要入力],MATCH($A14,M_RawMaterials[Part Name],0)),0)</f>
        <v/>
      </c>
      <c r="CW14">
        <f>SUMPRODUCT((M_BOM[Part Name]=$A14)*M_BOM[RM_Qty_Per_Batch]*IFERROR(INDEX(PP_Grid[#Data],M_BOM[PPGridRow],101),0))+IFERROR(INDEX(M_RawMaterials[固定週次消費量_要入力],MATCH($A14,M_RawMaterials[Part Name],0)),0)</f>
        <v/>
      </c>
      <c r="CX14">
        <f>SUMPRODUCT((M_BOM[Part Name]=$A14)*M_BOM[RM_Qty_Per_Batch]*IFERROR(INDEX(PP_Grid[#Data],M_BOM[PPGridRow],102),0))+IFERROR(INDEX(M_RawMaterials[固定週次消費量_要入力],MATCH($A14,M_RawMaterials[Part Name],0)),0)</f>
        <v/>
      </c>
      <c r="CY14">
        <f>SUMPRODUCT((M_BOM[Part Name]=$A14)*M_BOM[RM_Qty_Per_Batch]*IFERROR(INDEX(PP_Grid[#Data],M_BOM[PPGridRow],103),0))+IFERROR(INDEX(M_RawMaterials[固定週次消費量_要入力],MATCH($A14,M_RawMaterials[Part Name],0)),0)</f>
        <v/>
      </c>
      <c r="CZ14">
        <f>SUMPRODUCT((M_BOM[Part Name]=$A14)*M_BOM[RM_Qty_Per_Batch]*IFERROR(INDEX(PP_Grid[#Data],M_BOM[PPGridRow],104),0))+IFERROR(INDEX(M_RawMaterials[固定週次消費量_要入力],MATCH($A14,M_RawMaterials[Part Name],0)),0)</f>
        <v/>
      </c>
      <c r="DA14">
        <f>SUMPRODUCT((M_BOM[Part Name]=$A14)*M_BOM[RM_Qty_Per_Batch]*IFERROR(INDEX(PP_Grid[#Data],M_BOM[PPGridRow],105),0))+IFERROR(INDEX(M_RawMaterials[固定週次消費量_要入力],MATCH($A14,M_RawMaterials[Part Name],0)),0)</f>
        <v/>
      </c>
    </row>
    <row r="15">
      <c r="A15" t="inlineStr">
        <is>
          <t>5SN</t>
        </is>
      </c>
      <c r="B15">
        <f>SUMPRODUCT((M_BOM[Part Name]=$A15)*M_BOM[RM_Qty_Per_Batch]*IFERROR(INDEX(PP_Grid[#Data],M_BOM[PPGridRow],2),0))+IFERROR(INDEX(M_RawMaterials[固定週次消費量_要入力],MATCH($A15,M_RawMaterials[Part Name],0)),0)</f>
        <v/>
      </c>
      <c r="C15">
        <f>SUMPRODUCT((M_BOM[Part Name]=$A15)*M_BOM[RM_Qty_Per_Batch]*IFERROR(INDEX(PP_Grid[#Data],M_BOM[PPGridRow],3),0))+IFERROR(INDEX(M_RawMaterials[固定週次消費量_要入力],MATCH($A15,M_RawMaterials[Part Name],0)),0)</f>
        <v/>
      </c>
      <c r="D15">
        <f>SUMPRODUCT((M_BOM[Part Name]=$A15)*M_BOM[RM_Qty_Per_Batch]*IFERROR(INDEX(PP_Grid[#Data],M_BOM[PPGridRow],4),0))+IFERROR(INDEX(M_RawMaterials[固定週次消費量_要入力],MATCH($A15,M_RawMaterials[Part Name],0)),0)</f>
        <v/>
      </c>
      <c r="E15">
        <f>SUMPRODUCT((M_BOM[Part Name]=$A15)*M_BOM[RM_Qty_Per_Batch]*IFERROR(INDEX(PP_Grid[#Data],M_BOM[PPGridRow],5),0))+IFERROR(INDEX(M_RawMaterials[固定週次消費量_要入力],MATCH($A15,M_RawMaterials[Part Name],0)),0)</f>
        <v/>
      </c>
      <c r="F15">
        <f>SUMPRODUCT((M_BOM[Part Name]=$A15)*M_BOM[RM_Qty_Per_Batch]*IFERROR(INDEX(PP_Grid[#Data],M_BOM[PPGridRow],6),0))+IFERROR(INDEX(M_RawMaterials[固定週次消費量_要入力],MATCH($A15,M_RawMaterials[Part Name],0)),0)</f>
        <v/>
      </c>
      <c r="G15">
        <f>SUMPRODUCT((M_BOM[Part Name]=$A15)*M_BOM[RM_Qty_Per_Batch]*IFERROR(INDEX(PP_Grid[#Data],M_BOM[PPGridRow],7),0))+IFERROR(INDEX(M_RawMaterials[固定週次消費量_要入力],MATCH($A15,M_RawMaterials[Part Name],0)),0)</f>
        <v/>
      </c>
      <c r="H15">
        <f>SUMPRODUCT((M_BOM[Part Name]=$A15)*M_BOM[RM_Qty_Per_Batch]*IFERROR(INDEX(PP_Grid[#Data],M_BOM[PPGridRow],8),0))+IFERROR(INDEX(M_RawMaterials[固定週次消費量_要入力],MATCH($A15,M_RawMaterials[Part Name],0)),0)</f>
        <v/>
      </c>
      <c r="I15">
        <f>SUMPRODUCT((M_BOM[Part Name]=$A15)*M_BOM[RM_Qty_Per_Batch]*IFERROR(INDEX(PP_Grid[#Data],M_BOM[PPGridRow],9),0))+IFERROR(INDEX(M_RawMaterials[固定週次消費量_要入力],MATCH($A15,M_RawMaterials[Part Name],0)),0)</f>
        <v/>
      </c>
      <c r="J15">
        <f>SUMPRODUCT((M_BOM[Part Name]=$A15)*M_BOM[RM_Qty_Per_Batch]*IFERROR(INDEX(PP_Grid[#Data],M_BOM[PPGridRow],10),0))+IFERROR(INDEX(M_RawMaterials[固定週次消費量_要入力],MATCH($A15,M_RawMaterials[Part Name],0)),0)</f>
        <v/>
      </c>
      <c r="K15">
        <f>SUMPRODUCT((M_BOM[Part Name]=$A15)*M_BOM[RM_Qty_Per_Batch]*IFERROR(INDEX(PP_Grid[#Data],M_BOM[PPGridRow],11),0))+IFERROR(INDEX(M_RawMaterials[固定週次消費量_要入力],MATCH($A15,M_RawMaterials[Part Name],0)),0)</f>
        <v/>
      </c>
      <c r="L15">
        <f>SUMPRODUCT((M_BOM[Part Name]=$A15)*M_BOM[RM_Qty_Per_Batch]*IFERROR(INDEX(PP_Grid[#Data],M_BOM[PPGridRow],12),0))+IFERROR(INDEX(M_RawMaterials[固定週次消費量_要入力],MATCH($A15,M_RawMaterials[Part Name],0)),0)</f>
        <v/>
      </c>
      <c r="M15">
        <f>SUMPRODUCT((M_BOM[Part Name]=$A15)*M_BOM[RM_Qty_Per_Batch]*IFERROR(INDEX(PP_Grid[#Data],M_BOM[PPGridRow],13),0))+IFERROR(INDEX(M_RawMaterials[固定週次消費量_要入力],MATCH($A15,M_RawMaterials[Part Name],0)),0)</f>
        <v/>
      </c>
      <c r="N15">
        <f>SUMPRODUCT((M_BOM[Part Name]=$A15)*M_BOM[RM_Qty_Per_Batch]*IFERROR(INDEX(PP_Grid[#Data],M_BOM[PPGridRow],14),0))+IFERROR(INDEX(M_RawMaterials[固定週次消費量_要入力],MATCH($A15,M_RawMaterials[Part Name],0)),0)</f>
        <v/>
      </c>
      <c r="O15">
        <f>SUMPRODUCT((M_BOM[Part Name]=$A15)*M_BOM[RM_Qty_Per_Batch]*IFERROR(INDEX(PP_Grid[#Data],M_BOM[PPGridRow],15),0))+IFERROR(INDEX(M_RawMaterials[固定週次消費量_要入力],MATCH($A15,M_RawMaterials[Part Name],0)),0)</f>
        <v/>
      </c>
      <c r="P15">
        <f>SUMPRODUCT((M_BOM[Part Name]=$A15)*M_BOM[RM_Qty_Per_Batch]*IFERROR(INDEX(PP_Grid[#Data],M_BOM[PPGridRow],16),0))+IFERROR(INDEX(M_RawMaterials[固定週次消費量_要入力],MATCH($A15,M_RawMaterials[Part Name],0)),0)</f>
        <v/>
      </c>
      <c r="Q15">
        <f>SUMPRODUCT((M_BOM[Part Name]=$A15)*M_BOM[RM_Qty_Per_Batch]*IFERROR(INDEX(PP_Grid[#Data],M_BOM[PPGridRow],17),0))+IFERROR(INDEX(M_RawMaterials[固定週次消費量_要入力],MATCH($A15,M_RawMaterials[Part Name],0)),0)</f>
        <v/>
      </c>
      <c r="R15">
        <f>SUMPRODUCT((M_BOM[Part Name]=$A15)*M_BOM[RM_Qty_Per_Batch]*IFERROR(INDEX(PP_Grid[#Data],M_BOM[PPGridRow],18),0))+IFERROR(INDEX(M_RawMaterials[固定週次消費量_要入力],MATCH($A15,M_RawMaterials[Part Name],0)),0)</f>
        <v/>
      </c>
      <c r="S15">
        <f>SUMPRODUCT((M_BOM[Part Name]=$A15)*M_BOM[RM_Qty_Per_Batch]*IFERROR(INDEX(PP_Grid[#Data],M_BOM[PPGridRow],19),0))+IFERROR(INDEX(M_RawMaterials[固定週次消費量_要入力],MATCH($A15,M_RawMaterials[Part Name],0)),0)</f>
        <v/>
      </c>
      <c r="T15">
        <f>SUMPRODUCT((M_BOM[Part Name]=$A15)*M_BOM[RM_Qty_Per_Batch]*IFERROR(INDEX(PP_Grid[#Data],M_BOM[PPGridRow],20),0))+IFERROR(INDEX(M_RawMaterials[固定週次消費量_要入力],MATCH($A15,M_RawMaterials[Part Name],0)),0)</f>
        <v/>
      </c>
      <c r="U15">
        <f>SUMPRODUCT((M_BOM[Part Name]=$A15)*M_BOM[RM_Qty_Per_Batch]*IFERROR(INDEX(PP_Grid[#Data],M_BOM[PPGridRow],21),0))+IFERROR(INDEX(M_RawMaterials[固定週次消費量_要入力],MATCH($A15,M_RawMaterials[Part Name],0)),0)</f>
        <v/>
      </c>
      <c r="V15">
        <f>SUMPRODUCT((M_BOM[Part Name]=$A15)*M_BOM[RM_Qty_Per_Batch]*IFERROR(INDEX(PP_Grid[#Data],M_BOM[PPGridRow],22),0))+IFERROR(INDEX(M_RawMaterials[固定週次消費量_要入力],MATCH($A15,M_RawMaterials[Part Name],0)),0)</f>
        <v/>
      </c>
      <c r="W15">
        <f>SUMPRODUCT((M_BOM[Part Name]=$A15)*M_BOM[RM_Qty_Per_Batch]*IFERROR(INDEX(PP_Grid[#Data],M_BOM[PPGridRow],23),0))+IFERROR(INDEX(M_RawMaterials[固定週次消費量_要入力],MATCH($A15,M_RawMaterials[Part Name],0)),0)</f>
        <v/>
      </c>
      <c r="X15">
        <f>SUMPRODUCT((M_BOM[Part Name]=$A15)*M_BOM[RM_Qty_Per_Batch]*IFERROR(INDEX(PP_Grid[#Data],M_BOM[PPGridRow],24),0))+IFERROR(INDEX(M_RawMaterials[固定週次消費量_要入力],MATCH($A15,M_RawMaterials[Part Name],0)),0)</f>
        <v/>
      </c>
      <c r="Y15">
        <f>SUMPRODUCT((M_BOM[Part Name]=$A15)*M_BOM[RM_Qty_Per_Batch]*IFERROR(INDEX(PP_Grid[#Data],M_BOM[PPGridRow],25),0))+IFERROR(INDEX(M_RawMaterials[固定週次消費量_要入力],MATCH($A15,M_RawMaterials[Part Name],0)),0)</f>
        <v/>
      </c>
      <c r="Z15">
        <f>SUMPRODUCT((M_BOM[Part Name]=$A15)*M_BOM[RM_Qty_Per_Batch]*IFERROR(INDEX(PP_Grid[#Data],M_BOM[PPGridRow],26),0))+IFERROR(INDEX(M_RawMaterials[固定週次消費量_要入力],MATCH($A15,M_RawMaterials[Part Name],0)),0)</f>
        <v/>
      </c>
      <c r="AA15">
        <f>SUMPRODUCT((M_BOM[Part Name]=$A15)*M_BOM[RM_Qty_Per_Batch]*IFERROR(INDEX(PP_Grid[#Data],M_BOM[PPGridRow],27),0))+IFERROR(INDEX(M_RawMaterials[固定週次消費量_要入力],MATCH($A15,M_RawMaterials[Part Name],0)),0)</f>
        <v/>
      </c>
      <c r="AB15">
        <f>SUMPRODUCT((M_BOM[Part Name]=$A15)*M_BOM[RM_Qty_Per_Batch]*IFERROR(INDEX(PP_Grid[#Data],M_BOM[PPGridRow],28),0))+IFERROR(INDEX(M_RawMaterials[固定週次消費量_要入力],MATCH($A15,M_RawMaterials[Part Name],0)),0)</f>
        <v/>
      </c>
      <c r="AC15">
        <f>SUMPRODUCT((M_BOM[Part Name]=$A15)*M_BOM[RM_Qty_Per_Batch]*IFERROR(INDEX(PP_Grid[#Data],M_BOM[PPGridRow],29),0))+IFERROR(INDEX(M_RawMaterials[固定週次消費量_要入力],MATCH($A15,M_RawMaterials[Part Name],0)),0)</f>
        <v/>
      </c>
      <c r="AD15">
        <f>SUMPRODUCT((M_BOM[Part Name]=$A15)*M_BOM[RM_Qty_Per_Batch]*IFERROR(INDEX(PP_Grid[#Data],M_BOM[PPGridRow],30),0))+IFERROR(INDEX(M_RawMaterials[固定週次消費量_要入力],MATCH($A15,M_RawMaterials[Part Name],0)),0)</f>
        <v/>
      </c>
      <c r="AE15">
        <f>SUMPRODUCT((M_BOM[Part Name]=$A15)*M_BOM[RM_Qty_Per_Batch]*IFERROR(INDEX(PP_Grid[#Data],M_BOM[PPGridRow],31),0))+IFERROR(INDEX(M_RawMaterials[固定週次消費量_要入力],MATCH($A15,M_RawMaterials[Part Name],0)),0)</f>
        <v/>
      </c>
      <c r="AF15">
        <f>SUMPRODUCT((M_BOM[Part Name]=$A15)*M_BOM[RM_Qty_Per_Batch]*IFERROR(INDEX(PP_Grid[#Data],M_BOM[PPGridRow],32),0))+IFERROR(INDEX(M_RawMaterials[固定週次消費量_要入力],MATCH($A15,M_RawMaterials[Part Name],0)),0)</f>
        <v/>
      </c>
      <c r="AG15">
        <f>SUMPRODUCT((M_BOM[Part Name]=$A15)*M_BOM[RM_Qty_Per_Batch]*IFERROR(INDEX(PP_Grid[#Data],M_BOM[PPGridRow],33),0))+IFERROR(INDEX(M_RawMaterials[固定週次消費量_要入力],MATCH($A15,M_RawMaterials[Part Name],0)),0)</f>
        <v/>
      </c>
      <c r="AH15">
        <f>SUMPRODUCT((M_BOM[Part Name]=$A15)*M_BOM[RM_Qty_Per_Batch]*IFERROR(INDEX(PP_Grid[#Data],M_BOM[PPGridRow],34),0))+IFERROR(INDEX(M_RawMaterials[固定週次消費量_要入力],MATCH($A15,M_RawMaterials[Part Name],0)),0)</f>
        <v/>
      </c>
      <c r="AI15">
        <f>SUMPRODUCT((M_BOM[Part Name]=$A15)*M_BOM[RM_Qty_Per_Batch]*IFERROR(INDEX(PP_Grid[#Data],M_BOM[PPGridRow],35),0))+IFERROR(INDEX(M_RawMaterials[固定週次消費量_要入力],MATCH($A15,M_RawMaterials[Part Name],0)),0)</f>
        <v/>
      </c>
      <c r="AJ15">
        <f>SUMPRODUCT((M_BOM[Part Name]=$A15)*M_BOM[RM_Qty_Per_Batch]*IFERROR(INDEX(PP_Grid[#Data],M_BOM[PPGridRow],36),0))+IFERROR(INDEX(M_RawMaterials[固定週次消費量_要入力],MATCH($A15,M_RawMaterials[Part Name],0)),0)</f>
        <v/>
      </c>
      <c r="AK15">
        <f>SUMPRODUCT((M_BOM[Part Name]=$A15)*M_BOM[RM_Qty_Per_Batch]*IFERROR(INDEX(PP_Grid[#Data],M_BOM[PPGridRow],37),0))+IFERROR(INDEX(M_RawMaterials[固定週次消費量_要入力],MATCH($A15,M_RawMaterials[Part Name],0)),0)</f>
        <v/>
      </c>
      <c r="AL15">
        <f>SUMPRODUCT((M_BOM[Part Name]=$A15)*M_BOM[RM_Qty_Per_Batch]*IFERROR(INDEX(PP_Grid[#Data],M_BOM[PPGridRow],38),0))+IFERROR(INDEX(M_RawMaterials[固定週次消費量_要入力],MATCH($A15,M_RawMaterials[Part Name],0)),0)</f>
        <v/>
      </c>
      <c r="AM15">
        <f>SUMPRODUCT((M_BOM[Part Name]=$A15)*M_BOM[RM_Qty_Per_Batch]*IFERROR(INDEX(PP_Grid[#Data],M_BOM[PPGridRow],39),0))+IFERROR(INDEX(M_RawMaterials[固定週次消費量_要入力],MATCH($A15,M_RawMaterials[Part Name],0)),0)</f>
        <v/>
      </c>
      <c r="AN15">
        <f>SUMPRODUCT((M_BOM[Part Name]=$A15)*M_BOM[RM_Qty_Per_Batch]*IFERROR(INDEX(PP_Grid[#Data],M_BOM[PPGridRow],40),0))+IFERROR(INDEX(M_RawMaterials[固定週次消費量_要入力],MATCH($A15,M_RawMaterials[Part Name],0)),0)</f>
        <v/>
      </c>
      <c r="AO15">
        <f>SUMPRODUCT((M_BOM[Part Name]=$A15)*M_BOM[RM_Qty_Per_Batch]*IFERROR(INDEX(PP_Grid[#Data],M_BOM[PPGridRow],41),0))+IFERROR(INDEX(M_RawMaterials[固定週次消費量_要入力],MATCH($A15,M_RawMaterials[Part Name],0)),0)</f>
        <v/>
      </c>
      <c r="AP15">
        <f>SUMPRODUCT((M_BOM[Part Name]=$A15)*M_BOM[RM_Qty_Per_Batch]*IFERROR(INDEX(PP_Grid[#Data],M_BOM[PPGridRow],42),0))+IFERROR(INDEX(M_RawMaterials[固定週次消費量_要入力],MATCH($A15,M_RawMaterials[Part Name],0)),0)</f>
        <v/>
      </c>
      <c r="AQ15">
        <f>SUMPRODUCT((M_BOM[Part Name]=$A15)*M_BOM[RM_Qty_Per_Batch]*IFERROR(INDEX(PP_Grid[#Data],M_BOM[PPGridRow],43),0))+IFERROR(INDEX(M_RawMaterials[固定週次消費量_要入力],MATCH($A15,M_RawMaterials[Part Name],0)),0)</f>
        <v/>
      </c>
      <c r="AR15">
        <f>SUMPRODUCT((M_BOM[Part Name]=$A15)*M_BOM[RM_Qty_Per_Batch]*IFERROR(INDEX(PP_Grid[#Data],M_BOM[PPGridRow],44),0))+IFERROR(INDEX(M_RawMaterials[固定週次消費量_要入力],MATCH($A15,M_RawMaterials[Part Name],0)),0)</f>
        <v/>
      </c>
      <c r="AS15">
        <f>SUMPRODUCT((M_BOM[Part Name]=$A15)*M_BOM[RM_Qty_Per_Batch]*IFERROR(INDEX(PP_Grid[#Data],M_BOM[PPGridRow],45),0))+IFERROR(INDEX(M_RawMaterials[固定週次消費量_要入力],MATCH($A15,M_RawMaterials[Part Name],0)),0)</f>
        <v/>
      </c>
      <c r="AT15">
        <f>SUMPRODUCT((M_BOM[Part Name]=$A15)*M_BOM[RM_Qty_Per_Batch]*IFERROR(INDEX(PP_Grid[#Data],M_BOM[PPGridRow],46),0))+IFERROR(INDEX(M_RawMaterials[固定週次消費量_要入力],MATCH($A15,M_RawMaterials[Part Name],0)),0)</f>
        <v/>
      </c>
      <c r="AU15">
        <f>SUMPRODUCT((M_BOM[Part Name]=$A15)*M_BOM[RM_Qty_Per_Batch]*IFERROR(INDEX(PP_Grid[#Data],M_BOM[PPGridRow],47),0))+IFERROR(INDEX(M_RawMaterials[固定週次消費量_要入力],MATCH($A15,M_RawMaterials[Part Name],0)),0)</f>
        <v/>
      </c>
      <c r="AV15">
        <f>SUMPRODUCT((M_BOM[Part Name]=$A15)*M_BOM[RM_Qty_Per_Batch]*IFERROR(INDEX(PP_Grid[#Data],M_BOM[PPGridRow],48),0))+IFERROR(INDEX(M_RawMaterials[固定週次消費量_要入力],MATCH($A15,M_RawMaterials[Part Name],0)),0)</f>
        <v/>
      </c>
      <c r="AW15">
        <f>SUMPRODUCT((M_BOM[Part Name]=$A15)*M_BOM[RM_Qty_Per_Batch]*IFERROR(INDEX(PP_Grid[#Data],M_BOM[PPGridRow],49),0))+IFERROR(INDEX(M_RawMaterials[固定週次消費量_要入力],MATCH($A15,M_RawMaterials[Part Name],0)),0)</f>
        <v/>
      </c>
      <c r="AX15">
        <f>SUMPRODUCT((M_BOM[Part Name]=$A15)*M_BOM[RM_Qty_Per_Batch]*IFERROR(INDEX(PP_Grid[#Data],M_BOM[PPGridRow],50),0))+IFERROR(INDEX(M_RawMaterials[固定週次消費量_要入力],MATCH($A15,M_RawMaterials[Part Name],0)),0)</f>
        <v/>
      </c>
      <c r="AY15">
        <f>SUMPRODUCT((M_BOM[Part Name]=$A15)*M_BOM[RM_Qty_Per_Batch]*IFERROR(INDEX(PP_Grid[#Data],M_BOM[PPGridRow],51),0))+IFERROR(INDEX(M_RawMaterials[固定週次消費量_要入力],MATCH($A15,M_RawMaterials[Part Name],0)),0)</f>
        <v/>
      </c>
      <c r="AZ15">
        <f>SUMPRODUCT((M_BOM[Part Name]=$A15)*M_BOM[RM_Qty_Per_Batch]*IFERROR(INDEX(PP_Grid[#Data],M_BOM[PPGridRow],52),0))+IFERROR(INDEX(M_RawMaterials[固定週次消費量_要入力],MATCH($A15,M_RawMaterials[Part Name],0)),0)</f>
        <v/>
      </c>
      <c r="BA15">
        <f>SUMPRODUCT((M_BOM[Part Name]=$A15)*M_BOM[RM_Qty_Per_Batch]*IFERROR(INDEX(PP_Grid[#Data],M_BOM[PPGridRow],53),0))+IFERROR(INDEX(M_RawMaterials[固定週次消費量_要入力],MATCH($A15,M_RawMaterials[Part Name],0)),0)</f>
        <v/>
      </c>
      <c r="BB15">
        <f>SUMPRODUCT((M_BOM[Part Name]=$A15)*M_BOM[RM_Qty_Per_Batch]*IFERROR(INDEX(PP_Grid[#Data],M_BOM[PPGridRow],54),0))+IFERROR(INDEX(M_RawMaterials[固定週次消費量_要入力],MATCH($A15,M_RawMaterials[Part Name],0)),0)</f>
        <v/>
      </c>
      <c r="BC15">
        <f>SUMPRODUCT((M_BOM[Part Name]=$A15)*M_BOM[RM_Qty_Per_Batch]*IFERROR(INDEX(PP_Grid[#Data],M_BOM[PPGridRow],55),0))+IFERROR(INDEX(M_RawMaterials[固定週次消費量_要入力],MATCH($A15,M_RawMaterials[Part Name],0)),0)</f>
        <v/>
      </c>
      <c r="BD15">
        <f>SUMPRODUCT((M_BOM[Part Name]=$A15)*M_BOM[RM_Qty_Per_Batch]*IFERROR(INDEX(PP_Grid[#Data],M_BOM[PPGridRow],56),0))+IFERROR(INDEX(M_RawMaterials[固定週次消費量_要入力],MATCH($A15,M_RawMaterials[Part Name],0)),0)</f>
        <v/>
      </c>
      <c r="BE15">
        <f>SUMPRODUCT((M_BOM[Part Name]=$A15)*M_BOM[RM_Qty_Per_Batch]*IFERROR(INDEX(PP_Grid[#Data],M_BOM[PPGridRow],57),0))+IFERROR(INDEX(M_RawMaterials[固定週次消費量_要入力],MATCH($A15,M_RawMaterials[Part Name],0)),0)</f>
        <v/>
      </c>
      <c r="BF15">
        <f>SUMPRODUCT((M_BOM[Part Name]=$A15)*M_BOM[RM_Qty_Per_Batch]*IFERROR(INDEX(PP_Grid[#Data],M_BOM[PPGridRow],58),0))+IFERROR(INDEX(M_RawMaterials[固定週次消費量_要入力],MATCH($A15,M_RawMaterials[Part Name],0)),0)</f>
        <v/>
      </c>
      <c r="BG15">
        <f>SUMPRODUCT((M_BOM[Part Name]=$A15)*M_BOM[RM_Qty_Per_Batch]*IFERROR(INDEX(PP_Grid[#Data],M_BOM[PPGridRow],59),0))+IFERROR(INDEX(M_RawMaterials[固定週次消費量_要入力],MATCH($A15,M_RawMaterials[Part Name],0)),0)</f>
        <v/>
      </c>
      <c r="BH15">
        <f>SUMPRODUCT((M_BOM[Part Name]=$A15)*M_BOM[RM_Qty_Per_Batch]*IFERROR(INDEX(PP_Grid[#Data],M_BOM[PPGridRow],60),0))+IFERROR(INDEX(M_RawMaterials[固定週次消費量_要入力],MATCH($A15,M_RawMaterials[Part Name],0)),0)</f>
        <v/>
      </c>
      <c r="BI15">
        <f>SUMPRODUCT((M_BOM[Part Name]=$A15)*M_BOM[RM_Qty_Per_Batch]*IFERROR(INDEX(PP_Grid[#Data],M_BOM[PPGridRow],61),0))+IFERROR(INDEX(M_RawMaterials[固定週次消費量_要入力],MATCH($A15,M_RawMaterials[Part Name],0)),0)</f>
        <v/>
      </c>
      <c r="BJ15">
        <f>SUMPRODUCT((M_BOM[Part Name]=$A15)*M_BOM[RM_Qty_Per_Batch]*IFERROR(INDEX(PP_Grid[#Data],M_BOM[PPGridRow],62),0))+IFERROR(INDEX(M_RawMaterials[固定週次消費量_要入力],MATCH($A15,M_RawMaterials[Part Name],0)),0)</f>
        <v/>
      </c>
      <c r="BK15">
        <f>SUMPRODUCT((M_BOM[Part Name]=$A15)*M_BOM[RM_Qty_Per_Batch]*IFERROR(INDEX(PP_Grid[#Data],M_BOM[PPGridRow],63),0))+IFERROR(INDEX(M_RawMaterials[固定週次消費量_要入力],MATCH($A15,M_RawMaterials[Part Name],0)),0)</f>
        <v/>
      </c>
      <c r="BL15">
        <f>SUMPRODUCT((M_BOM[Part Name]=$A15)*M_BOM[RM_Qty_Per_Batch]*IFERROR(INDEX(PP_Grid[#Data],M_BOM[PPGridRow],64),0))+IFERROR(INDEX(M_RawMaterials[固定週次消費量_要入力],MATCH($A15,M_RawMaterials[Part Name],0)),0)</f>
        <v/>
      </c>
      <c r="BM15">
        <f>SUMPRODUCT((M_BOM[Part Name]=$A15)*M_BOM[RM_Qty_Per_Batch]*IFERROR(INDEX(PP_Grid[#Data],M_BOM[PPGridRow],65),0))+IFERROR(INDEX(M_RawMaterials[固定週次消費量_要入力],MATCH($A15,M_RawMaterials[Part Name],0)),0)</f>
        <v/>
      </c>
      <c r="BN15">
        <f>SUMPRODUCT((M_BOM[Part Name]=$A15)*M_BOM[RM_Qty_Per_Batch]*IFERROR(INDEX(PP_Grid[#Data],M_BOM[PPGridRow],66),0))+IFERROR(INDEX(M_RawMaterials[固定週次消費量_要入力],MATCH($A15,M_RawMaterials[Part Name],0)),0)</f>
        <v/>
      </c>
      <c r="BO15">
        <f>SUMPRODUCT((M_BOM[Part Name]=$A15)*M_BOM[RM_Qty_Per_Batch]*IFERROR(INDEX(PP_Grid[#Data],M_BOM[PPGridRow],67),0))+IFERROR(INDEX(M_RawMaterials[固定週次消費量_要入力],MATCH($A15,M_RawMaterials[Part Name],0)),0)</f>
        <v/>
      </c>
      <c r="BP15">
        <f>SUMPRODUCT((M_BOM[Part Name]=$A15)*M_BOM[RM_Qty_Per_Batch]*IFERROR(INDEX(PP_Grid[#Data],M_BOM[PPGridRow],68),0))+IFERROR(INDEX(M_RawMaterials[固定週次消費量_要入力],MATCH($A15,M_RawMaterials[Part Name],0)),0)</f>
        <v/>
      </c>
      <c r="BQ15">
        <f>SUMPRODUCT((M_BOM[Part Name]=$A15)*M_BOM[RM_Qty_Per_Batch]*IFERROR(INDEX(PP_Grid[#Data],M_BOM[PPGridRow],69),0))+IFERROR(INDEX(M_RawMaterials[固定週次消費量_要入力],MATCH($A15,M_RawMaterials[Part Name],0)),0)</f>
        <v/>
      </c>
      <c r="BR15">
        <f>SUMPRODUCT((M_BOM[Part Name]=$A15)*M_BOM[RM_Qty_Per_Batch]*IFERROR(INDEX(PP_Grid[#Data],M_BOM[PPGridRow],70),0))+IFERROR(INDEX(M_RawMaterials[固定週次消費量_要入力],MATCH($A15,M_RawMaterials[Part Name],0)),0)</f>
        <v/>
      </c>
      <c r="BS15">
        <f>SUMPRODUCT((M_BOM[Part Name]=$A15)*M_BOM[RM_Qty_Per_Batch]*IFERROR(INDEX(PP_Grid[#Data],M_BOM[PPGridRow],71),0))+IFERROR(INDEX(M_RawMaterials[固定週次消費量_要入力],MATCH($A15,M_RawMaterials[Part Name],0)),0)</f>
        <v/>
      </c>
      <c r="BT15">
        <f>SUMPRODUCT((M_BOM[Part Name]=$A15)*M_BOM[RM_Qty_Per_Batch]*IFERROR(INDEX(PP_Grid[#Data],M_BOM[PPGridRow],72),0))+IFERROR(INDEX(M_RawMaterials[固定週次消費量_要入力],MATCH($A15,M_RawMaterials[Part Name],0)),0)</f>
        <v/>
      </c>
      <c r="BU15">
        <f>SUMPRODUCT((M_BOM[Part Name]=$A15)*M_BOM[RM_Qty_Per_Batch]*IFERROR(INDEX(PP_Grid[#Data],M_BOM[PPGridRow],73),0))+IFERROR(INDEX(M_RawMaterials[固定週次消費量_要入力],MATCH($A15,M_RawMaterials[Part Name],0)),0)</f>
        <v/>
      </c>
      <c r="BV15">
        <f>SUMPRODUCT((M_BOM[Part Name]=$A15)*M_BOM[RM_Qty_Per_Batch]*IFERROR(INDEX(PP_Grid[#Data],M_BOM[PPGridRow],74),0))+IFERROR(INDEX(M_RawMaterials[固定週次消費量_要入力],MATCH($A15,M_RawMaterials[Part Name],0)),0)</f>
        <v/>
      </c>
      <c r="BW15">
        <f>SUMPRODUCT((M_BOM[Part Name]=$A15)*M_BOM[RM_Qty_Per_Batch]*IFERROR(INDEX(PP_Grid[#Data],M_BOM[PPGridRow],75),0))+IFERROR(INDEX(M_RawMaterials[固定週次消費量_要入力],MATCH($A15,M_RawMaterials[Part Name],0)),0)</f>
        <v/>
      </c>
      <c r="BX15">
        <f>SUMPRODUCT((M_BOM[Part Name]=$A15)*M_BOM[RM_Qty_Per_Batch]*IFERROR(INDEX(PP_Grid[#Data],M_BOM[PPGridRow],76),0))+IFERROR(INDEX(M_RawMaterials[固定週次消費量_要入力],MATCH($A15,M_RawMaterials[Part Name],0)),0)</f>
        <v/>
      </c>
      <c r="BY15">
        <f>SUMPRODUCT((M_BOM[Part Name]=$A15)*M_BOM[RM_Qty_Per_Batch]*IFERROR(INDEX(PP_Grid[#Data],M_BOM[PPGridRow],77),0))+IFERROR(INDEX(M_RawMaterials[固定週次消費量_要入力],MATCH($A15,M_RawMaterials[Part Name],0)),0)</f>
        <v/>
      </c>
      <c r="BZ15">
        <f>SUMPRODUCT((M_BOM[Part Name]=$A15)*M_BOM[RM_Qty_Per_Batch]*IFERROR(INDEX(PP_Grid[#Data],M_BOM[PPGridRow],78),0))+IFERROR(INDEX(M_RawMaterials[固定週次消費量_要入力],MATCH($A15,M_RawMaterials[Part Name],0)),0)</f>
        <v/>
      </c>
      <c r="CA15">
        <f>SUMPRODUCT((M_BOM[Part Name]=$A15)*M_BOM[RM_Qty_Per_Batch]*IFERROR(INDEX(PP_Grid[#Data],M_BOM[PPGridRow],79),0))+IFERROR(INDEX(M_RawMaterials[固定週次消費量_要入力],MATCH($A15,M_RawMaterials[Part Name],0)),0)</f>
        <v/>
      </c>
      <c r="CB15">
        <f>SUMPRODUCT((M_BOM[Part Name]=$A15)*M_BOM[RM_Qty_Per_Batch]*IFERROR(INDEX(PP_Grid[#Data],M_BOM[PPGridRow],80),0))+IFERROR(INDEX(M_RawMaterials[固定週次消費量_要入力],MATCH($A15,M_RawMaterials[Part Name],0)),0)</f>
        <v/>
      </c>
      <c r="CC15">
        <f>SUMPRODUCT((M_BOM[Part Name]=$A15)*M_BOM[RM_Qty_Per_Batch]*IFERROR(INDEX(PP_Grid[#Data],M_BOM[PPGridRow],81),0))+IFERROR(INDEX(M_RawMaterials[固定週次消費量_要入力],MATCH($A15,M_RawMaterials[Part Name],0)),0)</f>
        <v/>
      </c>
      <c r="CD15">
        <f>SUMPRODUCT((M_BOM[Part Name]=$A15)*M_BOM[RM_Qty_Per_Batch]*IFERROR(INDEX(PP_Grid[#Data],M_BOM[PPGridRow],82),0))+IFERROR(INDEX(M_RawMaterials[固定週次消費量_要入力],MATCH($A15,M_RawMaterials[Part Name],0)),0)</f>
        <v/>
      </c>
      <c r="CE15">
        <f>SUMPRODUCT((M_BOM[Part Name]=$A15)*M_BOM[RM_Qty_Per_Batch]*IFERROR(INDEX(PP_Grid[#Data],M_BOM[PPGridRow],83),0))+IFERROR(INDEX(M_RawMaterials[固定週次消費量_要入力],MATCH($A15,M_RawMaterials[Part Name],0)),0)</f>
        <v/>
      </c>
      <c r="CF15">
        <f>SUMPRODUCT((M_BOM[Part Name]=$A15)*M_BOM[RM_Qty_Per_Batch]*IFERROR(INDEX(PP_Grid[#Data],M_BOM[PPGridRow],84),0))+IFERROR(INDEX(M_RawMaterials[固定週次消費量_要入力],MATCH($A15,M_RawMaterials[Part Name],0)),0)</f>
        <v/>
      </c>
      <c r="CG15">
        <f>SUMPRODUCT((M_BOM[Part Name]=$A15)*M_BOM[RM_Qty_Per_Batch]*IFERROR(INDEX(PP_Grid[#Data],M_BOM[PPGridRow],85),0))+IFERROR(INDEX(M_RawMaterials[固定週次消費量_要入力],MATCH($A15,M_RawMaterials[Part Name],0)),0)</f>
        <v/>
      </c>
      <c r="CH15">
        <f>SUMPRODUCT((M_BOM[Part Name]=$A15)*M_BOM[RM_Qty_Per_Batch]*IFERROR(INDEX(PP_Grid[#Data],M_BOM[PPGridRow],86),0))+IFERROR(INDEX(M_RawMaterials[固定週次消費量_要入力],MATCH($A15,M_RawMaterials[Part Name],0)),0)</f>
        <v/>
      </c>
      <c r="CI15">
        <f>SUMPRODUCT((M_BOM[Part Name]=$A15)*M_BOM[RM_Qty_Per_Batch]*IFERROR(INDEX(PP_Grid[#Data],M_BOM[PPGridRow],87),0))+IFERROR(INDEX(M_RawMaterials[固定週次消費量_要入力],MATCH($A15,M_RawMaterials[Part Name],0)),0)</f>
        <v/>
      </c>
      <c r="CJ15">
        <f>SUMPRODUCT((M_BOM[Part Name]=$A15)*M_BOM[RM_Qty_Per_Batch]*IFERROR(INDEX(PP_Grid[#Data],M_BOM[PPGridRow],88),0))+IFERROR(INDEX(M_RawMaterials[固定週次消費量_要入力],MATCH($A15,M_RawMaterials[Part Name],0)),0)</f>
        <v/>
      </c>
      <c r="CK15">
        <f>SUMPRODUCT((M_BOM[Part Name]=$A15)*M_BOM[RM_Qty_Per_Batch]*IFERROR(INDEX(PP_Grid[#Data],M_BOM[PPGridRow],89),0))+IFERROR(INDEX(M_RawMaterials[固定週次消費量_要入力],MATCH($A15,M_RawMaterials[Part Name],0)),0)</f>
        <v/>
      </c>
      <c r="CL15">
        <f>SUMPRODUCT((M_BOM[Part Name]=$A15)*M_BOM[RM_Qty_Per_Batch]*IFERROR(INDEX(PP_Grid[#Data],M_BOM[PPGridRow],90),0))+IFERROR(INDEX(M_RawMaterials[固定週次消費量_要入力],MATCH($A15,M_RawMaterials[Part Name],0)),0)</f>
        <v/>
      </c>
      <c r="CM15">
        <f>SUMPRODUCT((M_BOM[Part Name]=$A15)*M_BOM[RM_Qty_Per_Batch]*IFERROR(INDEX(PP_Grid[#Data],M_BOM[PPGridRow],91),0))+IFERROR(INDEX(M_RawMaterials[固定週次消費量_要入力],MATCH($A15,M_RawMaterials[Part Name],0)),0)</f>
        <v/>
      </c>
      <c r="CN15">
        <f>SUMPRODUCT((M_BOM[Part Name]=$A15)*M_BOM[RM_Qty_Per_Batch]*IFERROR(INDEX(PP_Grid[#Data],M_BOM[PPGridRow],92),0))+IFERROR(INDEX(M_RawMaterials[固定週次消費量_要入力],MATCH($A15,M_RawMaterials[Part Name],0)),0)</f>
        <v/>
      </c>
      <c r="CO15">
        <f>SUMPRODUCT((M_BOM[Part Name]=$A15)*M_BOM[RM_Qty_Per_Batch]*IFERROR(INDEX(PP_Grid[#Data],M_BOM[PPGridRow],93),0))+IFERROR(INDEX(M_RawMaterials[固定週次消費量_要入力],MATCH($A15,M_RawMaterials[Part Name],0)),0)</f>
        <v/>
      </c>
      <c r="CP15">
        <f>SUMPRODUCT((M_BOM[Part Name]=$A15)*M_BOM[RM_Qty_Per_Batch]*IFERROR(INDEX(PP_Grid[#Data],M_BOM[PPGridRow],94),0))+IFERROR(INDEX(M_RawMaterials[固定週次消費量_要入力],MATCH($A15,M_RawMaterials[Part Name],0)),0)</f>
        <v/>
      </c>
      <c r="CQ15">
        <f>SUMPRODUCT((M_BOM[Part Name]=$A15)*M_BOM[RM_Qty_Per_Batch]*IFERROR(INDEX(PP_Grid[#Data],M_BOM[PPGridRow],95),0))+IFERROR(INDEX(M_RawMaterials[固定週次消費量_要入力],MATCH($A15,M_RawMaterials[Part Name],0)),0)</f>
        <v/>
      </c>
      <c r="CR15">
        <f>SUMPRODUCT((M_BOM[Part Name]=$A15)*M_BOM[RM_Qty_Per_Batch]*IFERROR(INDEX(PP_Grid[#Data],M_BOM[PPGridRow],96),0))+IFERROR(INDEX(M_RawMaterials[固定週次消費量_要入力],MATCH($A15,M_RawMaterials[Part Name],0)),0)</f>
        <v/>
      </c>
      <c r="CS15">
        <f>SUMPRODUCT((M_BOM[Part Name]=$A15)*M_BOM[RM_Qty_Per_Batch]*IFERROR(INDEX(PP_Grid[#Data],M_BOM[PPGridRow],97),0))+IFERROR(INDEX(M_RawMaterials[固定週次消費量_要入力],MATCH($A15,M_RawMaterials[Part Name],0)),0)</f>
        <v/>
      </c>
      <c r="CT15">
        <f>SUMPRODUCT((M_BOM[Part Name]=$A15)*M_BOM[RM_Qty_Per_Batch]*IFERROR(INDEX(PP_Grid[#Data],M_BOM[PPGridRow],98),0))+IFERROR(INDEX(M_RawMaterials[固定週次消費量_要入力],MATCH($A15,M_RawMaterials[Part Name],0)),0)</f>
        <v/>
      </c>
      <c r="CU15">
        <f>SUMPRODUCT((M_BOM[Part Name]=$A15)*M_BOM[RM_Qty_Per_Batch]*IFERROR(INDEX(PP_Grid[#Data],M_BOM[PPGridRow],99),0))+IFERROR(INDEX(M_RawMaterials[固定週次消費量_要入力],MATCH($A15,M_RawMaterials[Part Name],0)),0)</f>
        <v/>
      </c>
      <c r="CV15">
        <f>SUMPRODUCT((M_BOM[Part Name]=$A15)*M_BOM[RM_Qty_Per_Batch]*IFERROR(INDEX(PP_Grid[#Data],M_BOM[PPGridRow],100),0))+IFERROR(INDEX(M_RawMaterials[固定週次消費量_要入力],MATCH($A15,M_RawMaterials[Part Name],0)),0)</f>
        <v/>
      </c>
      <c r="CW15">
        <f>SUMPRODUCT((M_BOM[Part Name]=$A15)*M_BOM[RM_Qty_Per_Batch]*IFERROR(INDEX(PP_Grid[#Data],M_BOM[PPGridRow],101),0))+IFERROR(INDEX(M_RawMaterials[固定週次消費量_要入力],MATCH($A15,M_RawMaterials[Part Name],0)),0)</f>
        <v/>
      </c>
      <c r="CX15">
        <f>SUMPRODUCT((M_BOM[Part Name]=$A15)*M_BOM[RM_Qty_Per_Batch]*IFERROR(INDEX(PP_Grid[#Data],M_BOM[PPGridRow],102),0))+IFERROR(INDEX(M_RawMaterials[固定週次消費量_要入力],MATCH($A15,M_RawMaterials[Part Name],0)),0)</f>
        <v/>
      </c>
      <c r="CY15">
        <f>SUMPRODUCT((M_BOM[Part Name]=$A15)*M_BOM[RM_Qty_Per_Batch]*IFERROR(INDEX(PP_Grid[#Data],M_BOM[PPGridRow],103),0))+IFERROR(INDEX(M_RawMaterials[固定週次消費量_要入力],MATCH($A15,M_RawMaterials[Part Name],0)),0)</f>
        <v/>
      </c>
      <c r="CZ15">
        <f>SUMPRODUCT((M_BOM[Part Name]=$A15)*M_BOM[RM_Qty_Per_Batch]*IFERROR(INDEX(PP_Grid[#Data],M_BOM[PPGridRow],104),0))+IFERROR(INDEX(M_RawMaterials[固定週次消費量_要入力],MATCH($A15,M_RawMaterials[Part Name],0)),0)</f>
        <v/>
      </c>
      <c r="DA15">
        <f>SUMPRODUCT((M_BOM[Part Name]=$A15)*M_BOM[RM_Qty_Per_Batch]*IFERROR(INDEX(PP_Grid[#Data],M_BOM[PPGridRow],105),0))+IFERROR(INDEX(M_RawMaterials[固定週次消費量_要入力],MATCH($A15,M_RawMaterials[Part Name],0)),0)</f>
        <v/>
      </c>
    </row>
    <row r="16">
      <c r="A16" t="inlineStr">
        <is>
          <t>8EN</t>
        </is>
      </c>
      <c r="B16">
        <f>SUMPRODUCT((M_BOM[Part Name]=$A16)*M_BOM[RM_Qty_Per_Batch]*IFERROR(INDEX(PP_Grid[#Data],M_BOM[PPGridRow],2),0))+IFERROR(INDEX(M_RawMaterials[固定週次消費量_要入力],MATCH($A16,M_RawMaterials[Part Name],0)),0)</f>
        <v/>
      </c>
      <c r="C16">
        <f>SUMPRODUCT((M_BOM[Part Name]=$A16)*M_BOM[RM_Qty_Per_Batch]*IFERROR(INDEX(PP_Grid[#Data],M_BOM[PPGridRow],3),0))+IFERROR(INDEX(M_RawMaterials[固定週次消費量_要入力],MATCH($A16,M_RawMaterials[Part Name],0)),0)</f>
        <v/>
      </c>
      <c r="D16">
        <f>SUMPRODUCT((M_BOM[Part Name]=$A16)*M_BOM[RM_Qty_Per_Batch]*IFERROR(INDEX(PP_Grid[#Data],M_BOM[PPGridRow],4),0))+IFERROR(INDEX(M_RawMaterials[固定週次消費量_要入力],MATCH($A16,M_RawMaterials[Part Name],0)),0)</f>
        <v/>
      </c>
      <c r="E16">
        <f>SUMPRODUCT((M_BOM[Part Name]=$A16)*M_BOM[RM_Qty_Per_Batch]*IFERROR(INDEX(PP_Grid[#Data],M_BOM[PPGridRow],5),0))+IFERROR(INDEX(M_RawMaterials[固定週次消費量_要入力],MATCH($A16,M_RawMaterials[Part Name],0)),0)</f>
        <v/>
      </c>
      <c r="F16">
        <f>SUMPRODUCT((M_BOM[Part Name]=$A16)*M_BOM[RM_Qty_Per_Batch]*IFERROR(INDEX(PP_Grid[#Data],M_BOM[PPGridRow],6),0))+IFERROR(INDEX(M_RawMaterials[固定週次消費量_要入力],MATCH($A16,M_RawMaterials[Part Name],0)),0)</f>
        <v/>
      </c>
      <c r="G16">
        <f>SUMPRODUCT((M_BOM[Part Name]=$A16)*M_BOM[RM_Qty_Per_Batch]*IFERROR(INDEX(PP_Grid[#Data],M_BOM[PPGridRow],7),0))+IFERROR(INDEX(M_RawMaterials[固定週次消費量_要入力],MATCH($A16,M_RawMaterials[Part Name],0)),0)</f>
        <v/>
      </c>
      <c r="H16">
        <f>SUMPRODUCT((M_BOM[Part Name]=$A16)*M_BOM[RM_Qty_Per_Batch]*IFERROR(INDEX(PP_Grid[#Data],M_BOM[PPGridRow],8),0))+IFERROR(INDEX(M_RawMaterials[固定週次消費量_要入力],MATCH($A16,M_RawMaterials[Part Name],0)),0)</f>
        <v/>
      </c>
      <c r="I16">
        <f>SUMPRODUCT((M_BOM[Part Name]=$A16)*M_BOM[RM_Qty_Per_Batch]*IFERROR(INDEX(PP_Grid[#Data],M_BOM[PPGridRow],9),0))+IFERROR(INDEX(M_RawMaterials[固定週次消費量_要入力],MATCH($A16,M_RawMaterials[Part Name],0)),0)</f>
        <v/>
      </c>
      <c r="J16">
        <f>SUMPRODUCT((M_BOM[Part Name]=$A16)*M_BOM[RM_Qty_Per_Batch]*IFERROR(INDEX(PP_Grid[#Data],M_BOM[PPGridRow],10),0))+IFERROR(INDEX(M_RawMaterials[固定週次消費量_要入力],MATCH($A16,M_RawMaterials[Part Name],0)),0)</f>
        <v/>
      </c>
      <c r="K16">
        <f>SUMPRODUCT((M_BOM[Part Name]=$A16)*M_BOM[RM_Qty_Per_Batch]*IFERROR(INDEX(PP_Grid[#Data],M_BOM[PPGridRow],11),0))+IFERROR(INDEX(M_RawMaterials[固定週次消費量_要入力],MATCH($A16,M_RawMaterials[Part Name],0)),0)</f>
        <v/>
      </c>
      <c r="L16">
        <f>SUMPRODUCT((M_BOM[Part Name]=$A16)*M_BOM[RM_Qty_Per_Batch]*IFERROR(INDEX(PP_Grid[#Data],M_BOM[PPGridRow],12),0))+IFERROR(INDEX(M_RawMaterials[固定週次消費量_要入力],MATCH($A16,M_RawMaterials[Part Name],0)),0)</f>
        <v/>
      </c>
      <c r="M16">
        <f>SUMPRODUCT((M_BOM[Part Name]=$A16)*M_BOM[RM_Qty_Per_Batch]*IFERROR(INDEX(PP_Grid[#Data],M_BOM[PPGridRow],13),0))+IFERROR(INDEX(M_RawMaterials[固定週次消費量_要入力],MATCH($A16,M_RawMaterials[Part Name],0)),0)</f>
        <v/>
      </c>
      <c r="N16">
        <f>SUMPRODUCT((M_BOM[Part Name]=$A16)*M_BOM[RM_Qty_Per_Batch]*IFERROR(INDEX(PP_Grid[#Data],M_BOM[PPGridRow],14),0))+IFERROR(INDEX(M_RawMaterials[固定週次消費量_要入力],MATCH($A16,M_RawMaterials[Part Name],0)),0)</f>
        <v/>
      </c>
      <c r="O16">
        <f>SUMPRODUCT((M_BOM[Part Name]=$A16)*M_BOM[RM_Qty_Per_Batch]*IFERROR(INDEX(PP_Grid[#Data],M_BOM[PPGridRow],15),0))+IFERROR(INDEX(M_RawMaterials[固定週次消費量_要入力],MATCH($A16,M_RawMaterials[Part Name],0)),0)</f>
        <v/>
      </c>
      <c r="P16">
        <f>SUMPRODUCT((M_BOM[Part Name]=$A16)*M_BOM[RM_Qty_Per_Batch]*IFERROR(INDEX(PP_Grid[#Data],M_BOM[PPGridRow],16),0))+IFERROR(INDEX(M_RawMaterials[固定週次消費量_要入力],MATCH($A16,M_RawMaterials[Part Name],0)),0)</f>
        <v/>
      </c>
      <c r="Q16">
        <f>SUMPRODUCT((M_BOM[Part Name]=$A16)*M_BOM[RM_Qty_Per_Batch]*IFERROR(INDEX(PP_Grid[#Data],M_BOM[PPGridRow],17),0))+IFERROR(INDEX(M_RawMaterials[固定週次消費量_要入力],MATCH($A16,M_RawMaterials[Part Name],0)),0)</f>
        <v/>
      </c>
      <c r="R16">
        <f>SUMPRODUCT((M_BOM[Part Name]=$A16)*M_BOM[RM_Qty_Per_Batch]*IFERROR(INDEX(PP_Grid[#Data],M_BOM[PPGridRow],18),0))+IFERROR(INDEX(M_RawMaterials[固定週次消費量_要入力],MATCH($A16,M_RawMaterials[Part Name],0)),0)</f>
        <v/>
      </c>
      <c r="S16">
        <f>SUMPRODUCT((M_BOM[Part Name]=$A16)*M_BOM[RM_Qty_Per_Batch]*IFERROR(INDEX(PP_Grid[#Data],M_BOM[PPGridRow],19),0))+IFERROR(INDEX(M_RawMaterials[固定週次消費量_要入力],MATCH($A16,M_RawMaterials[Part Name],0)),0)</f>
        <v/>
      </c>
      <c r="T16">
        <f>SUMPRODUCT((M_BOM[Part Name]=$A16)*M_BOM[RM_Qty_Per_Batch]*IFERROR(INDEX(PP_Grid[#Data],M_BOM[PPGridRow],20),0))+IFERROR(INDEX(M_RawMaterials[固定週次消費量_要入力],MATCH($A16,M_RawMaterials[Part Name],0)),0)</f>
        <v/>
      </c>
      <c r="U16">
        <f>SUMPRODUCT((M_BOM[Part Name]=$A16)*M_BOM[RM_Qty_Per_Batch]*IFERROR(INDEX(PP_Grid[#Data],M_BOM[PPGridRow],21),0))+IFERROR(INDEX(M_RawMaterials[固定週次消費量_要入力],MATCH($A16,M_RawMaterials[Part Name],0)),0)</f>
        <v/>
      </c>
      <c r="V16">
        <f>SUMPRODUCT((M_BOM[Part Name]=$A16)*M_BOM[RM_Qty_Per_Batch]*IFERROR(INDEX(PP_Grid[#Data],M_BOM[PPGridRow],22),0))+IFERROR(INDEX(M_RawMaterials[固定週次消費量_要入力],MATCH($A16,M_RawMaterials[Part Name],0)),0)</f>
        <v/>
      </c>
      <c r="W16">
        <f>SUMPRODUCT((M_BOM[Part Name]=$A16)*M_BOM[RM_Qty_Per_Batch]*IFERROR(INDEX(PP_Grid[#Data],M_BOM[PPGridRow],23),0))+IFERROR(INDEX(M_RawMaterials[固定週次消費量_要入力],MATCH($A16,M_RawMaterials[Part Name],0)),0)</f>
        <v/>
      </c>
      <c r="X16">
        <f>SUMPRODUCT((M_BOM[Part Name]=$A16)*M_BOM[RM_Qty_Per_Batch]*IFERROR(INDEX(PP_Grid[#Data],M_BOM[PPGridRow],24),0))+IFERROR(INDEX(M_RawMaterials[固定週次消費量_要入力],MATCH($A16,M_RawMaterials[Part Name],0)),0)</f>
        <v/>
      </c>
      <c r="Y16">
        <f>SUMPRODUCT((M_BOM[Part Name]=$A16)*M_BOM[RM_Qty_Per_Batch]*IFERROR(INDEX(PP_Grid[#Data],M_BOM[PPGridRow],25),0))+IFERROR(INDEX(M_RawMaterials[固定週次消費量_要入力],MATCH($A16,M_RawMaterials[Part Name],0)),0)</f>
        <v/>
      </c>
      <c r="Z16">
        <f>SUMPRODUCT((M_BOM[Part Name]=$A16)*M_BOM[RM_Qty_Per_Batch]*IFERROR(INDEX(PP_Grid[#Data],M_BOM[PPGridRow],26),0))+IFERROR(INDEX(M_RawMaterials[固定週次消費量_要入力],MATCH($A16,M_RawMaterials[Part Name],0)),0)</f>
        <v/>
      </c>
      <c r="AA16">
        <f>SUMPRODUCT((M_BOM[Part Name]=$A16)*M_BOM[RM_Qty_Per_Batch]*IFERROR(INDEX(PP_Grid[#Data],M_BOM[PPGridRow],27),0))+IFERROR(INDEX(M_RawMaterials[固定週次消費量_要入力],MATCH($A16,M_RawMaterials[Part Name],0)),0)</f>
        <v/>
      </c>
      <c r="AB16">
        <f>SUMPRODUCT((M_BOM[Part Name]=$A16)*M_BOM[RM_Qty_Per_Batch]*IFERROR(INDEX(PP_Grid[#Data],M_BOM[PPGridRow],28),0))+IFERROR(INDEX(M_RawMaterials[固定週次消費量_要入力],MATCH($A16,M_RawMaterials[Part Name],0)),0)</f>
        <v/>
      </c>
      <c r="AC16">
        <f>SUMPRODUCT((M_BOM[Part Name]=$A16)*M_BOM[RM_Qty_Per_Batch]*IFERROR(INDEX(PP_Grid[#Data],M_BOM[PPGridRow],29),0))+IFERROR(INDEX(M_RawMaterials[固定週次消費量_要入力],MATCH($A16,M_RawMaterials[Part Name],0)),0)</f>
        <v/>
      </c>
      <c r="AD16">
        <f>SUMPRODUCT((M_BOM[Part Name]=$A16)*M_BOM[RM_Qty_Per_Batch]*IFERROR(INDEX(PP_Grid[#Data],M_BOM[PPGridRow],30),0))+IFERROR(INDEX(M_RawMaterials[固定週次消費量_要入力],MATCH($A16,M_RawMaterials[Part Name],0)),0)</f>
        <v/>
      </c>
      <c r="AE16">
        <f>SUMPRODUCT((M_BOM[Part Name]=$A16)*M_BOM[RM_Qty_Per_Batch]*IFERROR(INDEX(PP_Grid[#Data],M_BOM[PPGridRow],31),0))+IFERROR(INDEX(M_RawMaterials[固定週次消費量_要入力],MATCH($A16,M_RawMaterials[Part Name],0)),0)</f>
        <v/>
      </c>
      <c r="AF16">
        <f>SUMPRODUCT((M_BOM[Part Name]=$A16)*M_BOM[RM_Qty_Per_Batch]*IFERROR(INDEX(PP_Grid[#Data],M_BOM[PPGridRow],32),0))+IFERROR(INDEX(M_RawMaterials[固定週次消費量_要入力],MATCH($A16,M_RawMaterials[Part Name],0)),0)</f>
        <v/>
      </c>
      <c r="AG16">
        <f>SUMPRODUCT((M_BOM[Part Name]=$A16)*M_BOM[RM_Qty_Per_Batch]*IFERROR(INDEX(PP_Grid[#Data],M_BOM[PPGridRow],33),0))+IFERROR(INDEX(M_RawMaterials[固定週次消費量_要入力],MATCH($A16,M_RawMaterials[Part Name],0)),0)</f>
        <v/>
      </c>
      <c r="AH16">
        <f>SUMPRODUCT((M_BOM[Part Name]=$A16)*M_BOM[RM_Qty_Per_Batch]*IFERROR(INDEX(PP_Grid[#Data],M_BOM[PPGridRow],34),0))+IFERROR(INDEX(M_RawMaterials[固定週次消費量_要入力],MATCH($A16,M_RawMaterials[Part Name],0)),0)</f>
        <v/>
      </c>
      <c r="AI16">
        <f>SUMPRODUCT((M_BOM[Part Name]=$A16)*M_BOM[RM_Qty_Per_Batch]*IFERROR(INDEX(PP_Grid[#Data],M_BOM[PPGridRow],35),0))+IFERROR(INDEX(M_RawMaterials[固定週次消費量_要入力],MATCH($A16,M_RawMaterials[Part Name],0)),0)</f>
        <v/>
      </c>
      <c r="AJ16">
        <f>SUMPRODUCT((M_BOM[Part Name]=$A16)*M_BOM[RM_Qty_Per_Batch]*IFERROR(INDEX(PP_Grid[#Data],M_BOM[PPGridRow],36),0))+IFERROR(INDEX(M_RawMaterials[固定週次消費量_要入力],MATCH($A16,M_RawMaterials[Part Name],0)),0)</f>
        <v/>
      </c>
      <c r="AK16">
        <f>SUMPRODUCT((M_BOM[Part Name]=$A16)*M_BOM[RM_Qty_Per_Batch]*IFERROR(INDEX(PP_Grid[#Data],M_BOM[PPGridRow],37),0))+IFERROR(INDEX(M_RawMaterials[固定週次消費量_要入力],MATCH($A16,M_RawMaterials[Part Name],0)),0)</f>
        <v/>
      </c>
      <c r="AL16">
        <f>SUMPRODUCT((M_BOM[Part Name]=$A16)*M_BOM[RM_Qty_Per_Batch]*IFERROR(INDEX(PP_Grid[#Data],M_BOM[PPGridRow],38),0))+IFERROR(INDEX(M_RawMaterials[固定週次消費量_要入力],MATCH($A16,M_RawMaterials[Part Name],0)),0)</f>
        <v/>
      </c>
      <c r="AM16">
        <f>SUMPRODUCT((M_BOM[Part Name]=$A16)*M_BOM[RM_Qty_Per_Batch]*IFERROR(INDEX(PP_Grid[#Data],M_BOM[PPGridRow],39),0))+IFERROR(INDEX(M_RawMaterials[固定週次消費量_要入力],MATCH($A16,M_RawMaterials[Part Name],0)),0)</f>
        <v/>
      </c>
      <c r="AN16">
        <f>SUMPRODUCT((M_BOM[Part Name]=$A16)*M_BOM[RM_Qty_Per_Batch]*IFERROR(INDEX(PP_Grid[#Data],M_BOM[PPGridRow],40),0))+IFERROR(INDEX(M_RawMaterials[固定週次消費量_要入力],MATCH($A16,M_RawMaterials[Part Name],0)),0)</f>
        <v/>
      </c>
      <c r="AO16">
        <f>SUMPRODUCT((M_BOM[Part Name]=$A16)*M_BOM[RM_Qty_Per_Batch]*IFERROR(INDEX(PP_Grid[#Data],M_BOM[PPGridRow],41),0))+IFERROR(INDEX(M_RawMaterials[固定週次消費量_要入力],MATCH($A16,M_RawMaterials[Part Name],0)),0)</f>
        <v/>
      </c>
      <c r="AP16">
        <f>SUMPRODUCT((M_BOM[Part Name]=$A16)*M_BOM[RM_Qty_Per_Batch]*IFERROR(INDEX(PP_Grid[#Data],M_BOM[PPGridRow],42),0))+IFERROR(INDEX(M_RawMaterials[固定週次消費量_要入力],MATCH($A16,M_RawMaterials[Part Name],0)),0)</f>
        <v/>
      </c>
      <c r="AQ16">
        <f>SUMPRODUCT((M_BOM[Part Name]=$A16)*M_BOM[RM_Qty_Per_Batch]*IFERROR(INDEX(PP_Grid[#Data],M_BOM[PPGridRow],43),0))+IFERROR(INDEX(M_RawMaterials[固定週次消費量_要入力],MATCH($A16,M_RawMaterials[Part Name],0)),0)</f>
        <v/>
      </c>
      <c r="AR16">
        <f>SUMPRODUCT((M_BOM[Part Name]=$A16)*M_BOM[RM_Qty_Per_Batch]*IFERROR(INDEX(PP_Grid[#Data],M_BOM[PPGridRow],44),0))+IFERROR(INDEX(M_RawMaterials[固定週次消費量_要入力],MATCH($A16,M_RawMaterials[Part Name],0)),0)</f>
        <v/>
      </c>
      <c r="AS16">
        <f>SUMPRODUCT((M_BOM[Part Name]=$A16)*M_BOM[RM_Qty_Per_Batch]*IFERROR(INDEX(PP_Grid[#Data],M_BOM[PPGridRow],45),0))+IFERROR(INDEX(M_RawMaterials[固定週次消費量_要入力],MATCH($A16,M_RawMaterials[Part Name],0)),0)</f>
        <v/>
      </c>
      <c r="AT16">
        <f>SUMPRODUCT((M_BOM[Part Name]=$A16)*M_BOM[RM_Qty_Per_Batch]*IFERROR(INDEX(PP_Grid[#Data],M_BOM[PPGridRow],46),0))+IFERROR(INDEX(M_RawMaterials[固定週次消費量_要入力],MATCH($A16,M_RawMaterials[Part Name],0)),0)</f>
        <v/>
      </c>
      <c r="AU16">
        <f>SUMPRODUCT((M_BOM[Part Name]=$A16)*M_BOM[RM_Qty_Per_Batch]*IFERROR(INDEX(PP_Grid[#Data],M_BOM[PPGridRow],47),0))+IFERROR(INDEX(M_RawMaterials[固定週次消費量_要入力],MATCH($A16,M_RawMaterials[Part Name],0)),0)</f>
        <v/>
      </c>
      <c r="AV16">
        <f>SUMPRODUCT((M_BOM[Part Name]=$A16)*M_BOM[RM_Qty_Per_Batch]*IFERROR(INDEX(PP_Grid[#Data],M_BOM[PPGridRow],48),0))+IFERROR(INDEX(M_RawMaterials[固定週次消費量_要入力],MATCH($A16,M_RawMaterials[Part Name],0)),0)</f>
        <v/>
      </c>
      <c r="AW16">
        <f>SUMPRODUCT((M_BOM[Part Name]=$A16)*M_BOM[RM_Qty_Per_Batch]*IFERROR(INDEX(PP_Grid[#Data],M_BOM[PPGridRow],49),0))+IFERROR(INDEX(M_RawMaterials[固定週次消費量_要入力],MATCH($A16,M_RawMaterials[Part Name],0)),0)</f>
        <v/>
      </c>
      <c r="AX16">
        <f>SUMPRODUCT((M_BOM[Part Name]=$A16)*M_BOM[RM_Qty_Per_Batch]*IFERROR(INDEX(PP_Grid[#Data],M_BOM[PPGridRow],50),0))+IFERROR(INDEX(M_RawMaterials[固定週次消費量_要入力],MATCH($A16,M_RawMaterials[Part Name],0)),0)</f>
        <v/>
      </c>
      <c r="AY16">
        <f>SUMPRODUCT((M_BOM[Part Name]=$A16)*M_BOM[RM_Qty_Per_Batch]*IFERROR(INDEX(PP_Grid[#Data],M_BOM[PPGridRow],51),0))+IFERROR(INDEX(M_RawMaterials[固定週次消費量_要入力],MATCH($A16,M_RawMaterials[Part Name],0)),0)</f>
        <v/>
      </c>
      <c r="AZ16">
        <f>SUMPRODUCT((M_BOM[Part Name]=$A16)*M_BOM[RM_Qty_Per_Batch]*IFERROR(INDEX(PP_Grid[#Data],M_BOM[PPGridRow],52),0))+IFERROR(INDEX(M_RawMaterials[固定週次消費量_要入力],MATCH($A16,M_RawMaterials[Part Name],0)),0)</f>
        <v/>
      </c>
      <c r="BA16">
        <f>SUMPRODUCT((M_BOM[Part Name]=$A16)*M_BOM[RM_Qty_Per_Batch]*IFERROR(INDEX(PP_Grid[#Data],M_BOM[PPGridRow],53),0))+IFERROR(INDEX(M_RawMaterials[固定週次消費量_要入力],MATCH($A16,M_RawMaterials[Part Name],0)),0)</f>
        <v/>
      </c>
      <c r="BB16">
        <f>SUMPRODUCT((M_BOM[Part Name]=$A16)*M_BOM[RM_Qty_Per_Batch]*IFERROR(INDEX(PP_Grid[#Data],M_BOM[PPGridRow],54),0))+IFERROR(INDEX(M_RawMaterials[固定週次消費量_要入力],MATCH($A16,M_RawMaterials[Part Name],0)),0)</f>
        <v/>
      </c>
      <c r="BC16">
        <f>SUMPRODUCT((M_BOM[Part Name]=$A16)*M_BOM[RM_Qty_Per_Batch]*IFERROR(INDEX(PP_Grid[#Data],M_BOM[PPGridRow],55),0))+IFERROR(INDEX(M_RawMaterials[固定週次消費量_要入力],MATCH($A16,M_RawMaterials[Part Name],0)),0)</f>
        <v/>
      </c>
      <c r="BD16">
        <f>SUMPRODUCT((M_BOM[Part Name]=$A16)*M_BOM[RM_Qty_Per_Batch]*IFERROR(INDEX(PP_Grid[#Data],M_BOM[PPGridRow],56),0))+IFERROR(INDEX(M_RawMaterials[固定週次消費量_要入力],MATCH($A16,M_RawMaterials[Part Name],0)),0)</f>
        <v/>
      </c>
      <c r="BE16">
        <f>SUMPRODUCT((M_BOM[Part Name]=$A16)*M_BOM[RM_Qty_Per_Batch]*IFERROR(INDEX(PP_Grid[#Data],M_BOM[PPGridRow],57),0))+IFERROR(INDEX(M_RawMaterials[固定週次消費量_要入力],MATCH($A16,M_RawMaterials[Part Name],0)),0)</f>
        <v/>
      </c>
      <c r="BF16">
        <f>SUMPRODUCT((M_BOM[Part Name]=$A16)*M_BOM[RM_Qty_Per_Batch]*IFERROR(INDEX(PP_Grid[#Data],M_BOM[PPGridRow],58),0))+IFERROR(INDEX(M_RawMaterials[固定週次消費量_要入力],MATCH($A16,M_RawMaterials[Part Name],0)),0)</f>
        <v/>
      </c>
      <c r="BG16">
        <f>SUMPRODUCT((M_BOM[Part Name]=$A16)*M_BOM[RM_Qty_Per_Batch]*IFERROR(INDEX(PP_Grid[#Data],M_BOM[PPGridRow],59),0))+IFERROR(INDEX(M_RawMaterials[固定週次消費量_要入力],MATCH($A16,M_RawMaterials[Part Name],0)),0)</f>
        <v/>
      </c>
      <c r="BH16">
        <f>SUMPRODUCT((M_BOM[Part Name]=$A16)*M_BOM[RM_Qty_Per_Batch]*IFERROR(INDEX(PP_Grid[#Data],M_BOM[PPGridRow],60),0))+IFERROR(INDEX(M_RawMaterials[固定週次消費量_要入力],MATCH($A16,M_RawMaterials[Part Name],0)),0)</f>
        <v/>
      </c>
      <c r="BI16">
        <f>SUMPRODUCT((M_BOM[Part Name]=$A16)*M_BOM[RM_Qty_Per_Batch]*IFERROR(INDEX(PP_Grid[#Data],M_BOM[PPGridRow],61),0))+IFERROR(INDEX(M_RawMaterials[固定週次消費量_要入力],MATCH($A16,M_RawMaterials[Part Name],0)),0)</f>
        <v/>
      </c>
      <c r="BJ16">
        <f>SUMPRODUCT((M_BOM[Part Name]=$A16)*M_BOM[RM_Qty_Per_Batch]*IFERROR(INDEX(PP_Grid[#Data],M_BOM[PPGridRow],62),0))+IFERROR(INDEX(M_RawMaterials[固定週次消費量_要入力],MATCH($A16,M_RawMaterials[Part Name],0)),0)</f>
        <v/>
      </c>
      <c r="BK16">
        <f>SUMPRODUCT((M_BOM[Part Name]=$A16)*M_BOM[RM_Qty_Per_Batch]*IFERROR(INDEX(PP_Grid[#Data],M_BOM[PPGridRow],63),0))+IFERROR(INDEX(M_RawMaterials[固定週次消費量_要入力],MATCH($A16,M_RawMaterials[Part Name],0)),0)</f>
        <v/>
      </c>
      <c r="BL16">
        <f>SUMPRODUCT((M_BOM[Part Name]=$A16)*M_BOM[RM_Qty_Per_Batch]*IFERROR(INDEX(PP_Grid[#Data],M_BOM[PPGridRow],64),0))+IFERROR(INDEX(M_RawMaterials[固定週次消費量_要入力],MATCH($A16,M_RawMaterials[Part Name],0)),0)</f>
        <v/>
      </c>
      <c r="BM16">
        <f>SUMPRODUCT((M_BOM[Part Name]=$A16)*M_BOM[RM_Qty_Per_Batch]*IFERROR(INDEX(PP_Grid[#Data],M_BOM[PPGridRow],65),0))+IFERROR(INDEX(M_RawMaterials[固定週次消費量_要入力],MATCH($A16,M_RawMaterials[Part Name],0)),0)</f>
        <v/>
      </c>
      <c r="BN16">
        <f>SUMPRODUCT((M_BOM[Part Name]=$A16)*M_BOM[RM_Qty_Per_Batch]*IFERROR(INDEX(PP_Grid[#Data],M_BOM[PPGridRow],66),0))+IFERROR(INDEX(M_RawMaterials[固定週次消費量_要入力],MATCH($A16,M_RawMaterials[Part Name],0)),0)</f>
        <v/>
      </c>
      <c r="BO16">
        <f>SUMPRODUCT((M_BOM[Part Name]=$A16)*M_BOM[RM_Qty_Per_Batch]*IFERROR(INDEX(PP_Grid[#Data],M_BOM[PPGridRow],67),0))+IFERROR(INDEX(M_RawMaterials[固定週次消費量_要入力],MATCH($A16,M_RawMaterials[Part Name],0)),0)</f>
        <v/>
      </c>
      <c r="BP16">
        <f>SUMPRODUCT((M_BOM[Part Name]=$A16)*M_BOM[RM_Qty_Per_Batch]*IFERROR(INDEX(PP_Grid[#Data],M_BOM[PPGridRow],68),0))+IFERROR(INDEX(M_RawMaterials[固定週次消費量_要入力],MATCH($A16,M_RawMaterials[Part Name],0)),0)</f>
        <v/>
      </c>
      <c r="BQ16">
        <f>SUMPRODUCT((M_BOM[Part Name]=$A16)*M_BOM[RM_Qty_Per_Batch]*IFERROR(INDEX(PP_Grid[#Data],M_BOM[PPGridRow],69),0))+IFERROR(INDEX(M_RawMaterials[固定週次消費量_要入力],MATCH($A16,M_RawMaterials[Part Name],0)),0)</f>
        <v/>
      </c>
      <c r="BR16">
        <f>SUMPRODUCT((M_BOM[Part Name]=$A16)*M_BOM[RM_Qty_Per_Batch]*IFERROR(INDEX(PP_Grid[#Data],M_BOM[PPGridRow],70),0))+IFERROR(INDEX(M_RawMaterials[固定週次消費量_要入力],MATCH($A16,M_RawMaterials[Part Name],0)),0)</f>
        <v/>
      </c>
      <c r="BS16">
        <f>SUMPRODUCT((M_BOM[Part Name]=$A16)*M_BOM[RM_Qty_Per_Batch]*IFERROR(INDEX(PP_Grid[#Data],M_BOM[PPGridRow],71),0))+IFERROR(INDEX(M_RawMaterials[固定週次消費量_要入力],MATCH($A16,M_RawMaterials[Part Name],0)),0)</f>
        <v/>
      </c>
      <c r="BT16">
        <f>SUMPRODUCT((M_BOM[Part Name]=$A16)*M_BOM[RM_Qty_Per_Batch]*IFERROR(INDEX(PP_Grid[#Data],M_BOM[PPGridRow],72),0))+IFERROR(INDEX(M_RawMaterials[固定週次消費量_要入力],MATCH($A16,M_RawMaterials[Part Name],0)),0)</f>
        <v/>
      </c>
      <c r="BU16">
        <f>SUMPRODUCT((M_BOM[Part Name]=$A16)*M_BOM[RM_Qty_Per_Batch]*IFERROR(INDEX(PP_Grid[#Data],M_BOM[PPGridRow],73),0))+IFERROR(INDEX(M_RawMaterials[固定週次消費量_要入力],MATCH($A16,M_RawMaterials[Part Name],0)),0)</f>
        <v/>
      </c>
      <c r="BV16">
        <f>SUMPRODUCT((M_BOM[Part Name]=$A16)*M_BOM[RM_Qty_Per_Batch]*IFERROR(INDEX(PP_Grid[#Data],M_BOM[PPGridRow],74),0))+IFERROR(INDEX(M_RawMaterials[固定週次消費量_要入力],MATCH($A16,M_RawMaterials[Part Name],0)),0)</f>
        <v/>
      </c>
      <c r="BW16">
        <f>SUMPRODUCT((M_BOM[Part Name]=$A16)*M_BOM[RM_Qty_Per_Batch]*IFERROR(INDEX(PP_Grid[#Data],M_BOM[PPGridRow],75),0))+IFERROR(INDEX(M_RawMaterials[固定週次消費量_要入力],MATCH($A16,M_RawMaterials[Part Name],0)),0)</f>
        <v/>
      </c>
      <c r="BX16">
        <f>SUMPRODUCT((M_BOM[Part Name]=$A16)*M_BOM[RM_Qty_Per_Batch]*IFERROR(INDEX(PP_Grid[#Data],M_BOM[PPGridRow],76),0))+IFERROR(INDEX(M_RawMaterials[固定週次消費量_要入力],MATCH($A16,M_RawMaterials[Part Name],0)),0)</f>
        <v/>
      </c>
      <c r="BY16">
        <f>SUMPRODUCT((M_BOM[Part Name]=$A16)*M_BOM[RM_Qty_Per_Batch]*IFERROR(INDEX(PP_Grid[#Data],M_BOM[PPGridRow],77),0))+IFERROR(INDEX(M_RawMaterials[固定週次消費量_要入力],MATCH($A16,M_RawMaterials[Part Name],0)),0)</f>
        <v/>
      </c>
      <c r="BZ16">
        <f>SUMPRODUCT((M_BOM[Part Name]=$A16)*M_BOM[RM_Qty_Per_Batch]*IFERROR(INDEX(PP_Grid[#Data],M_BOM[PPGridRow],78),0))+IFERROR(INDEX(M_RawMaterials[固定週次消費量_要入力],MATCH($A16,M_RawMaterials[Part Name],0)),0)</f>
        <v/>
      </c>
      <c r="CA16">
        <f>SUMPRODUCT((M_BOM[Part Name]=$A16)*M_BOM[RM_Qty_Per_Batch]*IFERROR(INDEX(PP_Grid[#Data],M_BOM[PPGridRow],79),0))+IFERROR(INDEX(M_RawMaterials[固定週次消費量_要入力],MATCH($A16,M_RawMaterials[Part Name],0)),0)</f>
        <v/>
      </c>
      <c r="CB16">
        <f>SUMPRODUCT((M_BOM[Part Name]=$A16)*M_BOM[RM_Qty_Per_Batch]*IFERROR(INDEX(PP_Grid[#Data],M_BOM[PPGridRow],80),0))+IFERROR(INDEX(M_RawMaterials[固定週次消費量_要入力],MATCH($A16,M_RawMaterials[Part Name],0)),0)</f>
        <v/>
      </c>
      <c r="CC16">
        <f>SUMPRODUCT((M_BOM[Part Name]=$A16)*M_BOM[RM_Qty_Per_Batch]*IFERROR(INDEX(PP_Grid[#Data],M_BOM[PPGridRow],81),0))+IFERROR(INDEX(M_RawMaterials[固定週次消費量_要入力],MATCH($A16,M_RawMaterials[Part Name],0)),0)</f>
        <v/>
      </c>
      <c r="CD16">
        <f>SUMPRODUCT((M_BOM[Part Name]=$A16)*M_BOM[RM_Qty_Per_Batch]*IFERROR(INDEX(PP_Grid[#Data],M_BOM[PPGridRow],82),0))+IFERROR(INDEX(M_RawMaterials[固定週次消費量_要入力],MATCH($A16,M_RawMaterials[Part Name],0)),0)</f>
        <v/>
      </c>
      <c r="CE16">
        <f>SUMPRODUCT((M_BOM[Part Name]=$A16)*M_BOM[RM_Qty_Per_Batch]*IFERROR(INDEX(PP_Grid[#Data],M_BOM[PPGridRow],83),0))+IFERROR(INDEX(M_RawMaterials[固定週次消費量_要入力],MATCH($A16,M_RawMaterials[Part Name],0)),0)</f>
        <v/>
      </c>
      <c r="CF16">
        <f>SUMPRODUCT((M_BOM[Part Name]=$A16)*M_BOM[RM_Qty_Per_Batch]*IFERROR(INDEX(PP_Grid[#Data],M_BOM[PPGridRow],84),0))+IFERROR(INDEX(M_RawMaterials[固定週次消費量_要入力],MATCH($A16,M_RawMaterials[Part Name],0)),0)</f>
        <v/>
      </c>
      <c r="CG16">
        <f>SUMPRODUCT((M_BOM[Part Name]=$A16)*M_BOM[RM_Qty_Per_Batch]*IFERROR(INDEX(PP_Grid[#Data],M_BOM[PPGridRow],85),0))+IFERROR(INDEX(M_RawMaterials[固定週次消費量_要入力],MATCH($A16,M_RawMaterials[Part Name],0)),0)</f>
        <v/>
      </c>
      <c r="CH16">
        <f>SUMPRODUCT((M_BOM[Part Name]=$A16)*M_BOM[RM_Qty_Per_Batch]*IFERROR(INDEX(PP_Grid[#Data],M_BOM[PPGridRow],86),0))+IFERROR(INDEX(M_RawMaterials[固定週次消費量_要入力],MATCH($A16,M_RawMaterials[Part Name],0)),0)</f>
        <v/>
      </c>
      <c r="CI16">
        <f>SUMPRODUCT((M_BOM[Part Name]=$A16)*M_BOM[RM_Qty_Per_Batch]*IFERROR(INDEX(PP_Grid[#Data],M_BOM[PPGridRow],87),0))+IFERROR(INDEX(M_RawMaterials[固定週次消費量_要入力],MATCH($A16,M_RawMaterials[Part Name],0)),0)</f>
        <v/>
      </c>
      <c r="CJ16">
        <f>SUMPRODUCT((M_BOM[Part Name]=$A16)*M_BOM[RM_Qty_Per_Batch]*IFERROR(INDEX(PP_Grid[#Data],M_BOM[PPGridRow],88),0))+IFERROR(INDEX(M_RawMaterials[固定週次消費量_要入力],MATCH($A16,M_RawMaterials[Part Name],0)),0)</f>
        <v/>
      </c>
      <c r="CK16">
        <f>SUMPRODUCT((M_BOM[Part Name]=$A16)*M_BOM[RM_Qty_Per_Batch]*IFERROR(INDEX(PP_Grid[#Data],M_BOM[PPGridRow],89),0))+IFERROR(INDEX(M_RawMaterials[固定週次消費量_要入力],MATCH($A16,M_RawMaterials[Part Name],0)),0)</f>
        <v/>
      </c>
      <c r="CL16">
        <f>SUMPRODUCT((M_BOM[Part Name]=$A16)*M_BOM[RM_Qty_Per_Batch]*IFERROR(INDEX(PP_Grid[#Data],M_BOM[PPGridRow],90),0))+IFERROR(INDEX(M_RawMaterials[固定週次消費量_要入力],MATCH($A16,M_RawMaterials[Part Name],0)),0)</f>
        <v/>
      </c>
      <c r="CM16">
        <f>SUMPRODUCT((M_BOM[Part Name]=$A16)*M_BOM[RM_Qty_Per_Batch]*IFERROR(INDEX(PP_Grid[#Data],M_BOM[PPGridRow],91),0))+IFERROR(INDEX(M_RawMaterials[固定週次消費量_要入力],MATCH($A16,M_RawMaterials[Part Name],0)),0)</f>
        <v/>
      </c>
      <c r="CN16">
        <f>SUMPRODUCT((M_BOM[Part Name]=$A16)*M_BOM[RM_Qty_Per_Batch]*IFERROR(INDEX(PP_Grid[#Data],M_BOM[PPGridRow],92),0))+IFERROR(INDEX(M_RawMaterials[固定週次消費量_要入力],MATCH($A16,M_RawMaterials[Part Name],0)),0)</f>
        <v/>
      </c>
      <c r="CO16">
        <f>SUMPRODUCT((M_BOM[Part Name]=$A16)*M_BOM[RM_Qty_Per_Batch]*IFERROR(INDEX(PP_Grid[#Data],M_BOM[PPGridRow],93),0))+IFERROR(INDEX(M_RawMaterials[固定週次消費量_要入力],MATCH($A16,M_RawMaterials[Part Name],0)),0)</f>
        <v/>
      </c>
      <c r="CP16">
        <f>SUMPRODUCT((M_BOM[Part Name]=$A16)*M_BOM[RM_Qty_Per_Batch]*IFERROR(INDEX(PP_Grid[#Data],M_BOM[PPGridRow],94),0))+IFERROR(INDEX(M_RawMaterials[固定週次消費量_要入力],MATCH($A16,M_RawMaterials[Part Name],0)),0)</f>
        <v/>
      </c>
      <c r="CQ16">
        <f>SUMPRODUCT((M_BOM[Part Name]=$A16)*M_BOM[RM_Qty_Per_Batch]*IFERROR(INDEX(PP_Grid[#Data],M_BOM[PPGridRow],95),0))+IFERROR(INDEX(M_RawMaterials[固定週次消費量_要入力],MATCH($A16,M_RawMaterials[Part Name],0)),0)</f>
        <v/>
      </c>
      <c r="CR16">
        <f>SUMPRODUCT((M_BOM[Part Name]=$A16)*M_BOM[RM_Qty_Per_Batch]*IFERROR(INDEX(PP_Grid[#Data],M_BOM[PPGridRow],96),0))+IFERROR(INDEX(M_RawMaterials[固定週次消費量_要入力],MATCH($A16,M_RawMaterials[Part Name],0)),0)</f>
        <v/>
      </c>
      <c r="CS16">
        <f>SUMPRODUCT((M_BOM[Part Name]=$A16)*M_BOM[RM_Qty_Per_Batch]*IFERROR(INDEX(PP_Grid[#Data],M_BOM[PPGridRow],97),0))+IFERROR(INDEX(M_RawMaterials[固定週次消費量_要入力],MATCH($A16,M_RawMaterials[Part Name],0)),0)</f>
        <v/>
      </c>
      <c r="CT16">
        <f>SUMPRODUCT((M_BOM[Part Name]=$A16)*M_BOM[RM_Qty_Per_Batch]*IFERROR(INDEX(PP_Grid[#Data],M_BOM[PPGridRow],98),0))+IFERROR(INDEX(M_RawMaterials[固定週次消費量_要入力],MATCH($A16,M_RawMaterials[Part Name],0)),0)</f>
        <v/>
      </c>
      <c r="CU16">
        <f>SUMPRODUCT((M_BOM[Part Name]=$A16)*M_BOM[RM_Qty_Per_Batch]*IFERROR(INDEX(PP_Grid[#Data],M_BOM[PPGridRow],99),0))+IFERROR(INDEX(M_RawMaterials[固定週次消費量_要入力],MATCH($A16,M_RawMaterials[Part Name],0)),0)</f>
        <v/>
      </c>
      <c r="CV16">
        <f>SUMPRODUCT((M_BOM[Part Name]=$A16)*M_BOM[RM_Qty_Per_Batch]*IFERROR(INDEX(PP_Grid[#Data],M_BOM[PPGridRow],100),0))+IFERROR(INDEX(M_RawMaterials[固定週次消費量_要入力],MATCH($A16,M_RawMaterials[Part Name],0)),0)</f>
        <v/>
      </c>
      <c r="CW16">
        <f>SUMPRODUCT((M_BOM[Part Name]=$A16)*M_BOM[RM_Qty_Per_Batch]*IFERROR(INDEX(PP_Grid[#Data],M_BOM[PPGridRow],101),0))+IFERROR(INDEX(M_RawMaterials[固定週次消費量_要入力],MATCH($A16,M_RawMaterials[Part Name],0)),0)</f>
        <v/>
      </c>
      <c r="CX16">
        <f>SUMPRODUCT((M_BOM[Part Name]=$A16)*M_BOM[RM_Qty_Per_Batch]*IFERROR(INDEX(PP_Grid[#Data],M_BOM[PPGridRow],102),0))+IFERROR(INDEX(M_RawMaterials[固定週次消費量_要入力],MATCH($A16,M_RawMaterials[Part Name],0)),0)</f>
        <v/>
      </c>
      <c r="CY16">
        <f>SUMPRODUCT((M_BOM[Part Name]=$A16)*M_BOM[RM_Qty_Per_Batch]*IFERROR(INDEX(PP_Grid[#Data],M_BOM[PPGridRow],103),0))+IFERROR(INDEX(M_RawMaterials[固定週次消費量_要入力],MATCH($A16,M_RawMaterials[Part Name],0)),0)</f>
        <v/>
      </c>
      <c r="CZ16">
        <f>SUMPRODUCT((M_BOM[Part Name]=$A16)*M_BOM[RM_Qty_Per_Batch]*IFERROR(INDEX(PP_Grid[#Data],M_BOM[PPGridRow],104),0))+IFERROR(INDEX(M_RawMaterials[固定週次消費量_要入力],MATCH($A16,M_RawMaterials[Part Name],0)),0)</f>
        <v/>
      </c>
      <c r="DA16">
        <f>SUMPRODUCT((M_BOM[Part Name]=$A16)*M_BOM[RM_Qty_Per_Batch]*IFERROR(INDEX(PP_Grid[#Data],M_BOM[PPGridRow],105),0))+IFERROR(INDEX(M_RawMaterials[固定週次消費量_要入力],MATCH($A16,M_RawMaterials[Part Name],0)),0)</f>
        <v/>
      </c>
    </row>
    <row r="17">
      <c r="A17" t="inlineStr">
        <is>
          <t>9RJ</t>
        </is>
      </c>
      <c r="B17">
        <f>SUMPRODUCT((M_BOM[Part Name]=$A17)*M_BOM[RM_Qty_Per_Batch]*IFERROR(INDEX(PP_Grid[#Data],M_BOM[PPGridRow],2),0))+IFERROR(INDEX(M_RawMaterials[固定週次消費量_要入力],MATCH($A17,M_RawMaterials[Part Name],0)),0)</f>
        <v/>
      </c>
      <c r="C17">
        <f>SUMPRODUCT((M_BOM[Part Name]=$A17)*M_BOM[RM_Qty_Per_Batch]*IFERROR(INDEX(PP_Grid[#Data],M_BOM[PPGridRow],3),0))+IFERROR(INDEX(M_RawMaterials[固定週次消費量_要入力],MATCH($A17,M_RawMaterials[Part Name],0)),0)</f>
        <v/>
      </c>
      <c r="D17">
        <f>SUMPRODUCT((M_BOM[Part Name]=$A17)*M_BOM[RM_Qty_Per_Batch]*IFERROR(INDEX(PP_Grid[#Data],M_BOM[PPGridRow],4),0))+IFERROR(INDEX(M_RawMaterials[固定週次消費量_要入力],MATCH($A17,M_RawMaterials[Part Name],0)),0)</f>
        <v/>
      </c>
      <c r="E17">
        <f>SUMPRODUCT((M_BOM[Part Name]=$A17)*M_BOM[RM_Qty_Per_Batch]*IFERROR(INDEX(PP_Grid[#Data],M_BOM[PPGridRow],5),0))+IFERROR(INDEX(M_RawMaterials[固定週次消費量_要入力],MATCH($A17,M_RawMaterials[Part Name],0)),0)</f>
        <v/>
      </c>
      <c r="F17">
        <f>SUMPRODUCT((M_BOM[Part Name]=$A17)*M_BOM[RM_Qty_Per_Batch]*IFERROR(INDEX(PP_Grid[#Data],M_BOM[PPGridRow],6),0))+IFERROR(INDEX(M_RawMaterials[固定週次消費量_要入力],MATCH($A17,M_RawMaterials[Part Name],0)),0)</f>
        <v/>
      </c>
      <c r="G17">
        <f>SUMPRODUCT((M_BOM[Part Name]=$A17)*M_BOM[RM_Qty_Per_Batch]*IFERROR(INDEX(PP_Grid[#Data],M_BOM[PPGridRow],7),0))+IFERROR(INDEX(M_RawMaterials[固定週次消費量_要入力],MATCH($A17,M_RawMaterials[Part Name],0)),0)</f>
        <v/>
      </c>
      <c r="H17">
        <f>SUMPRODUCT((M_BOM[Part Name]=$A17)*M_BOM[RM_Qty_Per_Batch]*IFERROR(INDEX(PP_Grid[#Data],M_BOM[PPGridRow],8),0))+IFERROR(INDEX(M_RawMaterials[固定週次消費量_要入力],MATCH($A17,M_RawMaterials[Part Name],0)),0)</f>
        <v/>
      </c>
      <c r="I17">
        <f>SUMPRODUCT((M_BOM[Part Name]=$A17)*M_BOM[RM_Qty_Per_Batch]*IFERROR(INDEX(PP_Grid[#Data],M_BOM[PPGridRow],9),0))+IFERROR(INDEX(M_RawMaterials[固定週次消費量_要入力],MATCH($A17,M_RawMaterials[Part Name],0)),0)</f>
        <v/>
      </c>
      <c r="J17">
        <f>SUMPRODUCT((M_BOM[Part Name]=$A17)*M_BOM[RM_Qty_Per_Batch]*IFERROR(INDEX(PP_Grid[#Data],M_BOM[PPGridRow],10),0))+IFERROR(INDEX(M_RawMaterials[固定週次消費量_要入力],MATCH($A17,M_RawMaterials[Part Name],0)),0)</f>
        <v/>
      </c>
      <c r="K17">
        <f>SUMPRODUCT((M_BOM[Part Name]=$A17)*M_BOM[RM_Qty_Per_Batch]*IFERROR(INDEX(PP_Grid[#Data],M_BOM[PPGridRow],11),0))+IFERROR(INDEX(M_RawMaterials[固定週次消費量_要入力],MATCH($A17,M_RawMaterials[Part Name],0)),0)</f>
        <v/>
      </c>
      <c r="L17">
        <f>SUMPRODUCT((M_BOM[Part Name]=$A17)*M_BOM[RM_Qty_Per_Batch]*IFERROR(INDEX(PP_Grid[#Data],M_BOM[PPGridRow],12),0))+IFERROR(INDEX(M_RawMaterials[固定週次消費量_要入力],MATCH($A17,M_RawMaterials[Part Name],0)),0)</f>
        <v/>
      </c>
      <c r="M17">
        <f>SUMPRODUCT((M_BOM[Part Name]=$A17)*M_BOM[RM_Qty_Per_Batch]*IFERROR(INDEX(PP_Grid[#Data],M_BOM[PPGridRow],13),0))+IFERROR(INDEX(M_RawMaterials[固定週次消費量_要入力],MATCH($A17,M_RawMaterials[Part Name],0)),0)</f>
        <v/>
      </c>
      <c r="N17">
        <f>SUMPRODUCT((M_BOM[Part Name]=$A17)*M_BOM[RM_Qty_Per_Batch]*IFERROR(INDEX(PP_Grid[#Data],M_BOM[PPGridRow],14),0))+IFERROR(INDEX(M_RawMaterials[固定週次消費量_要入力],MATCH($A17,M_RawMaterials[Part Name],0)),0)</f>
        <v/>
      </c>
      <c r="O17">
        <f>SUMPRODUCT((M_BOM[Part Name]=$A17)*M_BOM[RM_Qty_Per_Batch]*IFERROR(INDEX(PP_Grid[#Data],M_BOM[PPGridRow],15),0))+IFERROR(INDEX(M_RawMaterials[固定週次消費量_要入力],MATCH($A17,M_RawMaterials[Part Name],0)),0)</f>
        <v/>
      </c>
      <c r="P17">
        <f>SUMPRODUCT((M_BOM[Part Name]=$A17)*M_BOM[RM_Qty_Per_Batch]*IFERROR(INDEX(PP_Grid[#Data],M_BOM[PPGridRow],16),0))+IFERROR(INDEX(M_RawMaterials[固定週次消費量_要入力],MATCH($A17,M_RawMaterials[Part Name],0)),0)</f>
        <v/>
      </c>
      <c r="Q17">
        <f>SUMPRODUCT((M_BOM[Part Name]=$A17)*M_BOM[RM_Qty_Per_Batch]*IFERROR(INDEX(PP_Grid[#Data],M_BOM[PPGridRow],17),0))+IFERROR(INDEX(M_RawMaterials[固定週次消費量_要入力],MATCH($A17,M_RawMaterials[Part Name],0)),0)</f>
        <v/>
      </c>
      <c r="R17">
        <f>SUMPRODUCT((M_BOM[Part Name]=$A17)*M_BOM[RM_Qty_Per_Batch]*IFERROR(INDEX(PP_Grid[#Data],M_BOM[PPGridRow],18),0))+IFERROR(INDEX(M_RawMaterials[固定週次消費量_要入力],MATCH($A17,M_RawMaterials[Part Name],0)),0)</f>
        <v/>
      </c>
      <c r="S17">
        <f>SUMPRODUCT((M_BOM[Part Name]=$A17)*M_BOM[RM_Qty_Per_Batch]*IFERROR(INDEX(PP_Grid[#Data],M_BOM[PPGridRow],19),0))+IFERROR(INDEX(M_RawMaterials[固定週次消費量_要入力],MATCH($A17,M_RawMaterials[Part Name],0)),0)</f>
        <v/>
      </c>
      <c r="T17">
        <f>SUMPRODUCT((M_BOM[Part Name]=$A17)*M_BOM[RM_Qty_Per_Batch]*IFERROR(INDEX(PP_Grid[#Data],M_BOM[PPGridRow],20),0))+IFERROR(INDEX(M_RawMaterials[固定週次消費量_要入力],MATCH($A17,M_RawMaterials[Part Name],0)),0)</f>
        <v/>
      </c>
      <c r="U17">
        <f>SUMPRODUCT((M_BOM[Part Name]=$A17)*M_BOM[RM_Qty_Per_Batch]*IFERROR(INDEX(PP_Grid[#Data],M_BOM[PPGridRow],21),0))+IFERROR(INDEX(M_RawMaterials[固定週次消費量_要入力],MATCH($A17,M_RawMaterials[Part Name],0)),0)</f>
        <v/>
      </c>
      <c r="V17">
        <f>SUMPRODUCT((M_BOM[Part Name]=$A17)*M_BOM[RM_Qty_Per_Batch]*IFERROR(INDEX(PP_Grid[#Data],M_BOM[PPGridRow],22),0))+IFERROR(INDEX(M_RawMaterials[固定週次消費量_要入力],MATCH($A17,M_RawMaterials[Part Name],0)),0)</f>
        <v/>
      </c>
      <c r="W17">
        <f>SUMPRODUCT((M_BOM[Part Name]=$A17)*M_BOM[RM_Qty_Per_Batch]*IFERROR(INDEX(PP_Grid[#Data],M_BOM[PPGridRow],23),0))+IFERROR(INDEX(M_RawMaterials[固定週次消費量_要入力],MATCH($A17,M_RawMaterials[Part Name],0)),0)</f>
        <v/>
      </c>
      <c r="X17">
        <f>SUMPRODUCT((M_BOM[Part Name]=$A17)*M_BOM[RM_Qty_Per_Batch]*IFERROR(INDEX(PP_Grid[#Data],M_BOM[PPGridRow],24),0))+IFERROR(INDEX(M_RawMaterials[固定週次消費量_要入力],MATCH($A17,M_RawMaterials[Part Name],0)),0)</f>
        <v/>
      </c>
      <c r="Y17">
        <f>SUMPRODUCT((M_BOM[Part Name]=$A17)*M_BOM[RM_Qty_Per_Batch]*IFERROR(INDEX(PP_Grid[#Data],M_BOM[PPGridRow],25),0))+IFERROR(INDEX(M_RawMaterials[固定週次消費量_要入力],MATCH($A17,M_RawMaterials[Part Name],0)),0)</f>
        <v/>
      </c>
      <c r="Z17">
        <f>SUMPRODUCT((M_BOM[Part Name]=$A17)*M_BOM[RM_Qty_Per_Batch]*IFERROR(INDEX(PP_Grid[#Data],M_BOM[PPGridRow],26),0))+IFERROR(INDEX(M_RawMaterials[固定週次消費量_要入力],MATCH($A17,M_RawMaterials[Part Name],0)),0)</f>
        <v/>
      </c>
      <c r="AA17">
        <f>SUMPRODUCT((M_BOM[Part Name]=$A17)*M_BOM[RM_Qty_Per_Batch]*IFERROR(INDEX(PP_Grid[#Data],M_BOM[PPGridRow],27),0))+IFERROR(INDEX(M_RawMaterials[固定週次消費量_要入力],MATCH($A17,M_RawMaterials[Part Name],0)),0)</f>
        <v/>
      </c>
      <c r="AB17">
        <f>SUMPRODUCT((M_BOM[Part Name]=$A17)*M_BOM[RM_Qty_Per_Batch]*IFERROR(INDEX(PP_Grid[#Data],M_BOM[PPGridRow],28),0))+IFERROR(INDEX(M_RawMaterials[固定週次消費量_要入力],MATCH($A17,M_RawMaterials[Part Name],0)),0)</f>
        <v/>
      </c>
      <c r="AC17">
        <f>SUMPRODUCT((M_BOM[Part Name]=$A17)*M_BOM[RM_Qty_Per_Batch]*IFERROR(INDEX(PP_Grid[#Data],M_BOM[PPGridRow],29),0))+IFERROR(INDEX(M_RawMaterials[固定週次消費量_要入力],MATCH($A17,M_RawMaterials[Part Name],0)),0)</f>
        <v/>
      </c>
      <c r="AD17">
        <f>SUMPRODUCT((M_BOM[Part Name]=$A17)*M_BOM[RM_Qty_Per_Batch]*IFERROR(INDEX(PP_Grid[#Data],M_BOM[PPGridRow],30),0))+IFERROR(INDEX(M_RawMaterials[固定週次消費量_要入力],MATCH($A17,M_RawMaterials[Part Name],0)),0)</f>
        <v/>
      </c>
      <c r="AE17">
        <f>SUMPRODUCT((M_BOM[Part Name]=$A17)*M_BOM[RM_Qty_Per_Batch]*IFERROR(INDEX(PP_Grid[#Data],M_BOM[PPGridRow],31),0))+IFERROR(INDEX(M_RawMaterials[固定週次消費量_要入力],MATCH($A17,M_RawMaterials[Part Name],0)),0)</f>
        <v/>
      </c>
      <c r="AF17">
        <f>SUMPRODUCT((M_BOM[Part Name]=$A17)*M_BOM[RM_Qty_Per_Batch]*IFERROR(INDEX(PP_Grid[#Data],M_BOM[PPGridRow],32),0))+IFERROR(INDEX(M_RawMaterials[固定週次消費量_要入力],MATCH($A17,M_RawMaterials[Part Name],0)),0)</f>
        <v/>
      </c>
      <c r="AG17">
        <f>SUMPRODUCT((M_BOM[Part Name]=$A17)*M_BOM[RM_Qty_Per_Batch]*IFERROR(INDEX(PP_Grid[#Data],M_BOM[PPGridRow],33),0))+IFERROR(INDEX(M_RawMaterials[固定週次消費量_要入力],MATCH($A17,M_RawMaterials[Part Name],0)),0)</f>
        <v/>
      </c>
      <c r="AH17">
        <f>SUMPRODUCT((M_BOM[Part Name]=$A17)*M_BOM[RM_Qty_Per_Batch]*IFERROR(INDEX(PP_Grid[#Data],M_BOM[PPGridRow],34),0))+IFERROR(INDEX(M_RawMaterials[固定週次消費量_要入力],MATCH($A17,M_RawMaterials[Part Name],0)),0)</f>
        <v/>
      </c>
      <c r="AI17">
        <f>SUMPRODUCT((M_BOM[Part Name]=$A17)*M_BOM[RM_Qty_Per_Batch]*IFERROR(INDEX(PP_Grid[#Data],M_BOM[PPGridRow],35),0))+IFERROR(INDEX(M_RawMaterials[固定週次消費量_要入力],MATCH($A17,M_RawMaterials[Part Name],0)),0)</f>
        <v/>
      </c>
      <c r="AJ17">
        <f>SUMPRODUCT((M_BOM[Part Name]=$A17)*M_BOM[RM_Qty_Per_Batch]*IFERROR(INDEX(PP_Grid[#Data],M_BOM[PPGridRow],36),0))+IFERROR(INDEX(M_RawMaterials[固定週次消費量_要入力],MATCH($A17,M_RawMaterials[Part Name],0)),0)</f>
        <v/>
      </c>
      <c r="AK17">
        <f>SUMPRODUCT((M_BOM[Part Name]=$A17)*M_BOM[RM_Qty_Per_Batch]*IFERROR(INDEX(PP_Grid[#Data],M_BOM[PPGridRow],37),0))+IFERROR(INDEX(M_RawMaterials[固定週次消費量_要入力],MATCH($A17,M_RawMaterials[Part Name],0)),0)</f>
        <v/>
      </c>
      <c r="AL17">
        <f>SUMPRODUCT((M_BOM[Part Name]=$A17)*M_BOM[RM_Qty_Per_Batch]*IFERROR(INDEX(PP_Grid[#Data],M_BOM[PPGridRow],38),0))+IFERROR(INDEX(M_RawMaterials[固定週次消費量_要入力],MATCH($A17,M_RawMaterials[Part Name],0)),0)</f>
        <v/>
      </c>
      <c r="AM17">
        <f>SUMPRODUCT((M_BOM[Part Name]=$A17)*M_BOM[RM_Qty_Per_Batch]*IFERROR(INDEX(PP_Grid[#Data],M_BOM[PPGridRow],39),0))+IFERROR(INDEX(M_RawMaterials[固定週次消費量_要入力],MATCH($A17,M_RawMaterials[Part Name],0)),0)</f>
        <v/>
      </c>
      <c r="AN17">
        <f>SUMPRODUCT((M_BOM[Part Name]=$A17)*M_BOM[RM_Qty_Per_Batch]*IFERROR(INDEX(PP_Grid[#Data],M_BOM[PPGridRow],40),0))+IFERROR(INDEX(M_RawMaterials[固定週次消費量_要入力],MATCH($A17,M_RawMaterials[Part Name],0)),0)</f>
        <v/>
      </c>
      <c r="AO17">
        <f>SUMPRODUCT((M_BOM[Part Name]=$A17)*M_BOM[RM_Qty_Per_Batch]*IFERROR(INDEX(PP_Grid[#Data],M_BOM[PPGridRow],41),0))+IFERROR(INDEX(M_RawMaterials[固定週次消費量_要入力],MATCH($A17,M_RawMaterials[Part Name],0)),0)</f>
        <v/>
      </c>
      <c r="AP17">
        <f>SUMPRODUCT((M_BOM[Part Name]=$A17)*M_BOM[RM_Qty_Per_Batch]*IFERROR(INDEX(PP_Grid[#Data],M_BOM[PPGridRow],42),0))+IFERROR(INDEX(M_RawMaterials[固定週次消費量_要入力],MATCH($A17,M_RawMaterials[Part Name],0)),0)</f>
        <v/>
      </c>
      <c r="AQ17">
        <f>SUMPRODUCT((M_BOM[Part Name]=$A17)*M_BOM[RM_Qty_Per_Batch]*IFERROR(INDEX(PP_Grid[#Data],M_BOM[PPGridRow],43),0))+IFERROR(INDEX(M_RawMaterials[固定週次消費量_要入力],MATCH($A17,M_RawMaterials[Part Name],0)),0)</f>
        <v/>
      </c>
      <c r="AR17">
        <f>SUMPRODUCT((M_BOM[Part Name]=$A17)*M_BOM[RM_Qty_Per_Batch]*IFERROR(INDEX(PP_Grid[#Data],M_BOM[PPGridRow],44),0))+IFERROR(INDEX(M_RawMaterials[固定週次消費量_要入力],MATCH($A17,M_RawMaterials[Part Name],0)),0)</f>
        <v/>
      </c>
      <c r="AS17">
        <f>SUMPRODUCT((M_BOM[Part Name]=$A17)*M_BOM[RM_Qty_Per_Batch]*IFERROR(INDEX(PP_Grid[#Data],M_BOM[PPGridRow],45),0))+IFERROR(INDEX(M_RawMaterials[固定週次消費量_要入力],MATCH($A17,M_RawMaterials[Part Name],0)),0)</f>
        <v/>
      </c>
      <c r="AT17">
        <f>SUMPRODUCT((M_BOM[Part Name]=$A17)*M_BOM[RM_Qty_Per_Batch]*IFERROR(INDEX(PP_Grid[#Data],M_BOM[PPGridRow],46),0))+IFERROR(INDEX(M_RawMaterials[固定週次消費量_要入力],MATCH($A17,M_RawMaterials[Part Name],0)),0)</f>
        <v/>
      </c>
      <c r="AU17">
        <f>SUMPRODUCT((M_BOM[Part Name]=$A17)*M_BOM[RM_Qty_Per_Batch]*IFERROR(INDEX(PP_Grid[#Data],M_BOM[PPGridRow],47),0))+IFERROR(INDEX(M_RawMaterials[固定週次消費量_要入力],MATCH($A17,M_RawMaterials[Part Name],0)),0)</f>
        <v/>
      </c>
      <c r="AV17">
        <f>SUMPRODUCT((M_BOM[Part Name]=$A17)*M_BOM[RM_Qty_Per_Batch]*IFERROR(INDEX(PP_Grid[#Data],M_BOM[PPGridRow],48),0))+IFERROR(INDEX(M_RawMaterials[固定週次消費量_要入力],MATCH($A17,M_RawMaterials[Part Name],0)),0)</f>
        <v/>
      </c>
      <c r="AW17">
        <f>SUMPRODUCT((M_BOM[Part Name]=$A17)*M_BOM[RM_Qty_Per_Batch]*IFERROR(INDEX(PP_Grid[#Data],M_BOM[PPGridRow],49),0))+IFERROR(INDEX(M_RawMaterials[固定週次消費量_要入力],MATCH($A17,M_RawMaterials[Part Name],0)),0)</f>
        <v/>
      </c>
      <c r="AX17">
        <f>SUMPRODUCT((M_BOM[Part Name]=$A17)*M_BOM[RM_Qty_Per_Batch]*IFERROR(INDEX(PP_Grid[#Data],M_BOM[PPGridRow],50),0))+IFERROR(INDEX(M_RawMaterials[固定週次消費量_要入力],MATCH($A17,M_RawMaterials[Part Name],0)),0)</f>
        <v/>
      </c>
      <c r="AY17">
        <f>SUMPRODUCT((M_BOM[Part Name]=$A17)*M_BOM[RM_Qty_Per_Batch]*IFERROR(INDEX(PP_Grid[#Data],M_BOM[PPGridRow],51),0))+IFERROR(INDEX(M_RawMaterials[固定週次消費量_要入力],MATCH($A17,M_RawMaterials[Part Name],0)),0)</f>
        <v/>
      </c>
      <c r="AZ17">
        <f>SUMPRODUCT((M_BOM[Part Name]=$A17)*M_BOM[RM_Qty_Per_Batch]*IFERROR(INDEX(PP_Grid[#Data],M_BOM[PPGridRow],52),0))+IFERROR(INDEX(M_RawMaterials[固定週次消費量_要入力],MATCH($A17,M_RawMaterials[Part Name],0)),0)</f>
        <v/>
      </c>
      <c r="BA17">
        <f>SUMPRODUCT((M_BOM[Part Name]=$A17)*M_BOM[RM_Qty_Per_Batch]*IFERROR(INDEX(PP_Grid[#Data],M_BOM[PPGridRow],53),0))+IFERROR(INDEX(M_RawMaterials[固定週次消費量_要入力],MATCH($A17,M_RawMaterials[Part Name],0)),0)</f>
        <v/>
      </c>
      <c r="BB17">
        <f>SUMPRODUCT((M_BOM[Part Name]=$A17)*M_BOM[RM_Qty_Per_Batch]*IFERROR(INDEX(PP_Grid[#Data],M_BOM[PPGridRow],54),0))+IFERROR(INDEX(M_RawMaterials[固定週次消費量_要入力],MATCH($A17,M_RawMaterials[Part Name],0)),0)</f>
        <v/>
      </c>
      <c r="BC17">
        <f>SUMPRODUCT((M_BOM[Part Name]=$A17)*M_BOM[RM_Qty_Per_Batch]*IFERROR(INDEX(PP_Grid[#Data],M_BOM[PPGridRow],55),0))+IFERROR(INDEX(M_RawMaterials[固定週次消費量_要入力],MATCH($A17,M_RawMaterials[Part Name],0)),0)</f>
        <v/>
      </c>
      <c r="BD17">
        <f>SUMPRODUCT((M_BOM[Part Name]=$A17)*M_BOM[RM_Qty_Per_Batch]*IFERROR(INDEX(PP_Grid[#Data],M_BOM[PPGridRow],56),0))+IFERROR(INDEX(M_RawMaterials[固定週次消費量_要入力],MATCH($A17,M_RawMaterials[Part Name],0)),0)</f>
        <v/>
      </c>
      <c r="BE17">
        <f>SUMPRODUCT((M_BOM[Part Name]=$A17)*M_BOM[RM_Qty_Per_Batch]*IFERROR(INDEX(PP_Grid[#Data],M_BOM[PPGridRow],57),0))+IFERROR(INDEX(M_RawMaterials[固定週次消費量_要入力],MATCH($A17,M_RawMaterials[Part Name],0)),0)</f>
        <v/>
      </c>
      <c r="BF17">
        <f>SUMPRODUCT((M_BOM[Part Name]=$A17)*M_BOM[RM_Qty_Per_Batch]*IFERROR(INDEX(PP_Grid[#Data],M_BOM[PPGridRow],58),0))+IFERROR(INDEX(M_RawMaterials[固定週次消費量_要入力],MATCH($A17,M_RawMaterials[Part Name],0)),0)</f>
        <v/>
      </c>
      <c r="BG17">
        <f>SUMPRODUCT((M_BOM[Part Name]=$A17)*M_BOM[RM_Qty_Per_Batch]*IFERROR(INDEX(PP_Grid[#Data],M_BOM[PPGridRow],59),0))+IFERROR(INDEX(M_RawMaterials[固定週次消費量_要入力],MATCH($A17,M_RawMaterials[Part Name],0)),0)</f>
        <v/>
      </c>
      <c r="BH17">
        <f>SUMPRODUCT((M_BOM[Part Name]=$A17)*M_BOM[RM_Qty_Per_Batch]*IFERROR(INDEX(PP_Grid[#Data],M_BOM[PPGridRow],60),0))+IFERROR(INDEX(M_RawMaterials[固定週次消費量_要入力],MATCH($A17,M_RawMaterials[Part Name],0)),0)</f>
        <v/>
      </c>
      <c r="BI17">
        <f>SUMPRODUCT((M_BOM[Part Name]=$A17)*M_BOM[RM_Qty_Per_Batch]*IFERROR(INDEX(PP_Grid[#Data],M_BOM[PPGridRow],61),0))+IFERROR(INDEX(M_RawMaterials[固定週次消費量_要入力],MATCH($A17,M_RawMaterials[Part Name],0)),0)</f>
        <v/>
      </c>
      <c r="BJ17">
        <f>SUMPRODUCT((M_BOM[Part Name]=$A17)*M_BOM[RM_Qty_Per_Batch]*IFERROR(INDEX(PP_Grid[#Data],M_BOM[PPGridRow],62),0))+IFERROR(INDEX(M_RawMaterials[固定週次消費量_要入力],MATCH($A17,M_RawMaterials[Part Name],0)),0)</f>
        <v/>
      </c>
      <c r="BK17">
        <f>SUMPRODUCT((M_BOM[Part Name]=$A17)*M_BOM[RM_Qty_Per_Batch]*IFERROR(INDEX(PP_Grid[#Data],M_BOM[PPGridRow],63),0))+IFERROR(INDEX(M_RawMaterials[固定週次消費量_要入力],MATCH($A17,M_RawMaterials[Part Name],0)),0)</f>
        <v/>
      </c>
      <c r="BL17">
        <f>SUMPRODUCT((M_BOM[Part Name]=$A17)*M_BOM[RM_Qty_Per_Batch]*IFERROR(INDEX(PP_Grid[#Data],M_BOM[PPGridRow],64),0))+IFERROR(INDEX(M_RawMaterials[固定週次消費量_要入力],MATCH($A17,M_RawMaterials[Part Name],0)),0)</f>
        <v/>
      </c>
      <c r="BM17">
        <f>SUMPRODUCT((M_BOM[Part Name]=$A17)*M_BOM[RM_Qty_Per_Batch]*IFERROR(INDEX(PP_Grid[#Data],M_BOM[PPGridRow],65),0))+IFERROR(INDEX(M_RawMaterials[固定週次消費量_要入力],MATCH($A17,M_RawMaterials[Part Name],0)),0)</f>
        <v/>
      </c>
      <c r="BN17">
        <f>SUMPRODUCT((M_BOM[Part Name]=$A17)*M_BOM[RM_Qty_Per_Batch]*IFERROR(INDEX(PP_Grid[#Data],M_BOM[PPGridRow],66),0))+IFERROR(INDEX(M_RawMaterials[固定週次消費量_要入力],MATCH($A17,M_RawMaterials[Part Name],0)),0)</f>
        <v/>
      </c>
      <c r="BO17">
        <f>SUMPRODUCT((M_BOM[Part Name]=$A17)*M_BOM[RM_Qty_Per_Batch]*IFERROR(INDEX(PP_Grid[#Data],M_BOM[PPGridRow],67),0))+IFERROR(INDEX(M_RawMaterials[固定週次消費量_要入力],MATCH($A17,M_RawMaterials[Part Name],0)),0)</f>
        <v/>
      </c>
      <c r="BP17">
        <f>SUMPRODUCT((M_BOM[Part Name]=$A17)*M_BOM[RM_Qty_Per_Batch]*IFERROR(INDEX(PP_Grid[#Data],M_BOM[PPGridRow],68),0))+IFERROR(INDEX(M_RawMaterials[固定週次消費量_要入力],MATCH($A17,M_RawMaterials[Part Name],0)),0)</f>
        <v/>
      </c>
      <c r="BQ17">
        <f>SUMPRODUCT((M_BOM[Part Name]=$A17)*M_BOM[RM_Qty_Per_Batch]*IFERROR(INDEX(PP_Grid[#Data],M_BOM[PPGridRow],69),0))+IFERROR(INDEX(M_RawMaterials[固定週次消費量_要入力],MATCH($A17,M_RawMaterials[Part Name],0)),0)</f>
        <v/>
      </c>
      <c r="BR17">
        <f>SUMPRODUCT((M_BOM[Part Name]=$A17)*M_BOM[RM_Qty_Per_Batch]*IFERROR(INDEX(PP_Grid[#Data],M_BOM[PPGridRow],70),0))+IFERROR(INDEX(M_RawMaterials[固定週次消費量_要入力],MATCH($A17,M_RawMaterials[Part Name],0)),0)</f>
        <v/>
      </c>
      <c r="BS17">
        <f>SUMPRODUCT((M_BOM[Part Name]=$A17)*M_BOM[RM_Qty_Per_Batch]*IFERROR(INDEX(PP_Grid[#Data],M_BOM[PPGridRow],71),0))+IFERROR(INDEX(M_RawMaterials[固定週次消費量_要入力],MATCH($A17,M_RawMaterials[Part Name],0)),0)</f>
        <v/>
      </c>
      <c r="BT17">
        <f>SUMPRODUCT((M_BOM[Part Name]=$A17)*M_BOM[RM_Qty_Per_Batch]*IFERROR(INDEX(PP_Grid[#Data],M_BOM[PPGridRow],72),0))+IFERROR(INDEX(M_RawMaterials[固定週次消費量_要入力],MATCH($A17,M_RawMaterials[Part Name],0)),0)</f>
        <v/>
      </c>
      <c r="BU17">
        <f>SUMPRODUCT((M_BOM[Part Name]=$A17)*M_BOM[RM_Qty_Per_Batch]*IFERROR(INDEX(PP_Grid[#Data],M_BOM[PPGridRow],73),0))+IFERROR(INDEX(M_RawMaterials[固定週次消費量_要入力],MATCH($A17,M_RawMaterials[Part Name],0)),0)</f>
        <v/>
      </c>
      <c r="BV17">
        <f>SUMPRODUCT((M_BOM[Part Name]=$A17)*M_BOM[RM_Qty_Per_Batch]*IFERROR(INDEX(PP_Grid[#Data],M_BOM[PPGridRow],74),0))+IFERROR(INDEX(M_RawMaterials[固定週次消費量_要入力],MATCH($A17,M_RawMaterials[Part Name],0)),0)</f>
        <v/>
      </c>
      <c r="BW17">
        <f>SUMPRODUCT((M_BOM[Part Name]=$A17)*M_BOM[RM_Qty_Per_Batch]*IFERROR(INDEX(PP_Grid[#Data],M_BOM[PPGridRow],75),0))+IFERROR(INDEX(M_RawMaterials[固定週次消費量_要入力],MATCH($A17,M_RawMaterials[Part Name],0)),0)</f>
        <v/>
      </c>
      <c r="BX17">
        <f>SUMPRODUCT((M_BOM[Part Name]=$A17)*M_BOM[RM_Qty_Per_Batch]*IFERROR(INDEX(PP_Grid[#Data],M_BOM[PPGridRow],76),0))+IFERROR(INDEX(M_RawMaterials[固定週次消費量_要入力],MATCH($A17,M_RawMaterials[Part Name],0)),0)</f>
        <v/>
      </c>
      <c r="BY17">
        <f>SUMPRODUCT((M_BOM[Part Name]=$A17)*M_BOM[RM_Qty_Per_Batch]*IFERROR(INDEX(PP_Grid[#Data],M_BOM[PPGridRow],77),0))+IFERROR(INDEX(M_RawMaterials[固定週次消費量_要入力],MATCH($A17,M_RawMaterials[Part Name],0)),0)</f>
        <v/>
      </c>
      <c r="BZ17">
        <f>SUMPRODUCT((M_BOM[Part Name]=$A17)*M_BOM[RM_Qty_Per_Batch]*IFERROR(INDEX(PP_Grid[#Data],M_BOM[PPGridRow],78),0))+IFERROR(INDEX(M_RawMaterials[固定週次消費量_要入力],MATCH($A17,M_RawMaterials[Part Name],0)),0)</f>
        <v/>
      </c>
      <c r="CA17">
        <f>SUMPRODUCT((M_BOM[Part Name]=$A17)*M_BOM[RM_Qty_Per_Batch]*IFERROR(INDEX(PP_Grid[#Data],M_BOM[PPGridRow],79),0))+IFERROR(INDEX(M_RawMaterials[固定週次消費量_要入力],MATCH($A17,M_RawMaterials[Part Name],0)),0)</f>
        <v/>
      </c>
      <c r="CB17">
        <f>SUMPRODUCT((M_BOM[Part Name]=$A17)*M_BOM[RM_Qty_Per_Batch]*IFERROR(INDEX(PP_Grid[#Data],M_BOM[PPGridRow],80),0))+IFERROR(INDEX(M_RawMaterials[固定週次消費量_要入力],MATCH($A17,M_RawMaterials[Part Name],0)),0)</f>
        <v/>
      </c>
      <c r="CC17">
        <f>SUMPRODUCT((M_BOM[Part Name]=$A17)*M_BOM[RM_Qty_Per_Batch]*IFERROR(INDEX(PP_Grid[#Data],M_BOM[PPGridRow],81),0))+IFERROR(INDEX(M_RawMaterials[固定週次消費量_要入力],MATCH($A17,M_RawMaterials[Part Name],0)),0)</f>
        <v/>
      </c>
      <c r="CD17">
        <f>SUMPRODUCT((M_BOM[Part Name]=$A17)*M_BOM[RM_Qty_Per_Batch]*IFERROR(INDEX(PP_Grid[#Data],M_BOM[PPGridRow],82),0))+IFERROR(INDEX(M_RawMaterials[固定週次消費量_要入力],MATCH($A17,M_RawMaterials[Part Name],0)),0)</f>
        <v/>
      </c>
      <c r="CE17">
        <f>SUMPRODUCT((M_BOM[Part Name]=$A17)*M_BOM[RM_Qty_Per_Batch]*IFERROR(INDEX(PP_Grid[#Data],M_BOM[PPGridRow],83),0))+IFERROR(INDEX(M_RawMaterials[固定週次消費量_要入力],MATCH($A17,M_RawMaterials[Part Name],0)),0)</f>
        <v/>
      </c>
      <c r="CF17">
        <f>SUMPRODUCT((M_BOM[Part Name]=$A17)*M_BOM[RM_Qty_Per_Batch]*IFERROR(INDEX(PP_Grid[#Data],M_BOM[PPGridRow],84),0))+IFERROR(INDEX(M_RawMaterials[固定週次消費量_要入力],MATCH($A17,M_RawMaterials[Part Name],0)),0)</f>
        <v/>
      </c>
      <c r="CG17">
        <f>SUMPRODUCT((M_BOM[Part Name]=$A17)*M_BOM[RM_Qty_Per_Batch]*IFERROR(INDEX(PP_Grid[#Data],M_BOM[PPGridRow],85),0))+IFERROR(INDEX(M_RawMaterials[固定週次消費量_要入力],MATCH($A17,M_RawMaterials[Part Name],0)),0)</f>
        <v/>
      </c>
      <c r="CH17">
        <f>SUMPRODUCT((M_BOM[Part Name]=$A17)*M_BOM[RM_Qty_Per_Batch]*IFERROR(INDEX(PP_Grid[#Data],M_BOM[PPGridRow],86),0))+IFERROR(INDEX(M_RawMaterials[固定週次消費量_要入力],MATCH($A17,M_RawMaterials[Part Name],0)),0)</f>
        <v/>
      </c>
      <c r="CI17">
        <f>SUMPRODUCT((M_BOM[Part Name]=$A17)*M_BOM[RM_Qty_Per_Batch]*IFERROR(INDEX(PP_Grid[#Data],M_BOM[PPGridRow],87),0))+IFERROR(INDEX(M_RawMaterials[固定週次消費量_要入力],MATCH($A17,M_RawMaterials[Part Name],0)),0)</f>
        <v/>
      </c>
      <c r="CJ17">
        <f>SUMPRODUCT((M_BOM[Part Name]=$A17)*M_BOM[RM_Qty_Per_Batch]*IFERROR(INDEX(PP_Grid[#Data],M_BOM[PPGridRow],88),0))+IFERROR(INDEX(M_RawMaterials[固定週次消費量_要入力],MATCH($A17,M_RawMaterials[Part Name],0)),0)</f>
        <v/>
      </c>
      <c r="CK17">
        <f>SUMPRODUCT((M_BOM[Part Name]=$A17)*M_BOM[RM_Qty_Per_Batch]*IFERROR(INDEX(PP_Grid[#Data],M_BOM[PPGridRow],89),0))+IFERROR(INDEX(M_RawMaterials[固定週次消費量_要入力],MATCH($A17,M_RawMaterials[Part Name],0)),0)</f>
        <v/>
      </c>
      <c r="CL17">
        <f>SUMPRODUCT((M_BOM[Part Name]=$A17)*M_BOM[RM_Qty_Per_Batch]*IFERROR(INDEX(PP_Grid[#Data],M_BOM[PPGridRow],90),0))+IFERROR(INDEX(M_RawMaterials[固定週次消費量_要入力],MATCH($A17,M_RawMaterials[Part Name],0)),0)</f>
        <v/>
      </c>
      <c r="CM17">
        <f>SUMPRODUCT((M_BOM[Part Name]=$A17)*M_BOM[RM_Qty_Per_Batch]*IFERROR(INDEX(PP_Grid[#Data],M_BOM[PPGridRow],91),0))+IFERROR(INDEX(M_RawMaterials[固定週次消費量_要入力],MATCH($A17,M_RawMaterials[Part Name],0)),0)</f>
        <v/>
      </c>
      <c r="CN17">
        <f>SUMPRODUCT((M_BOM[Part Name]=$A17)*M_BOM[RM_Qty_Per_Batch]*IFERROR(INDEX(PP_Grid[#Data],M_BOM[PPGridRow],92),0))+IFERROR(INDEX(M_RawMaterials[固定週次消費量_要入力],MATCH($A17,M_RawMaterials[Part Name],0)),0)</f>
        <v/>
      </c>
      <c r="CO17">
        <f>SUMPRODUCT((M_BOM[Part Name]=$A17)*M_BOM[RM_Qty_Per_Batch]*IFERROR(INDEX(PP_Grid[#Data],M_BOM[PPGridRow],93),0))+IFERROR(INDEX(M_RawMaterials[固定週次消費量_要入力],MATCH($A17,M_RawMaterials[Part Name],0)),0)</f>
        <v/>
      </c>
      <c r="CP17">
        <f>SUMPRODUCT((M_BOM[Part Name]=$A17)*M_BOM[RM_Qty_Per_Batch]*IFERROR(INDEX(PP_Grid[#Data],M_BOM[PPGridRow],94),0))+IFERROR(INDEX(M_RawMaterials[固定週次消費量_要入力],MATCH($A17,M_RawMaterials[Part Name],0)),0)</f>
        <v/>
      </c>
      <c r="CQ17">
        <f>SUMPRODUCT((M_BOM[Part Name]=$A17)*M_BOM[RM_Qty_Per_Batch]*IFERROR(INDEX(PP_Grid[#Data],M_BOM[PPGridRow],95),0))+IFERROR(INDEX(M_RawMaterials[固定週次消費量_要入力],MATCH($A17,M_RawMaterials[Part Name],0)),0)</f>
        <v/>
      </c>
      <c r="CR17">
        <f>SUMPRODUCT((M_BOM[Part Name]=$A17)*M_BOM[RM_Qty_Per_Batch]*IFERROR(INDEX(PP_Grid[#Data],M_BOM[PPGridRow],96),0))+IFERROR(INDEX(M_RawMaterials[固定週次消費量_要入力],MATCH($A17,M_RawMaterials[Part Name],0)),0)</f>
        <v/>
      </c>
      <c r="CS17">
        <f>SUMPRODUCT((M_BOM[Part Name]=$A17)*M_BOM[RM_Qty_Per_Batch]*IFERROR(INDEX(PP_Grid[#Data],M_BOM[PPGridRow],97),0))+IFERROR(INDEX(M_RawMaterials[固定週次消費量_要入力],MATCH($A17,M_RawMaterials[Part Name],0)),0)</f>
        <v/>
      </c>
      <c r="CT17">
        <f>SUMPRODUCT((M_BOM[Part Name]=$A17)*M_BOM[RM_Qty_Per_Batch]*IFERROR(INDEX(PP_Grid[#Data],M_BOM[PPGridRow],98),0))+IFERROR(INDEX(M_RawMaterials[固定週次消費量_要入力],MATCH($A17,M_RawMaterials[Part Name],0)),0)</f>
        <v/>
      </c>
      <c r="CU17">
        <f>SUMPRODUCT((M_BOM[Part Name]=$A17)*M_BOM[RM_Qty_Per_Batch]*IFERROR(INDEX(PP_Grid[#Data],M_BOM[PPGridRow],99),0))+IFERROR(INDEX(M_RawMaterials[固定週次消費量_要入力],MATCH($A17,M_RawMaterials[Part Name],0)),0)</f>
        <v/>
      </c>
      <c r="CV17">
        <f>SUMPRODUCT((M_BOM[Part Name]=$A17)*M_BOM[RM_Qty_Per_Batch]*IFERROR(INDEX(PP_Grid[#Data],M_BOM[PPGridRow],100),0))+IFERROR(INDEX(M_RawMaterials[固定週次消費量_要入力],MATCH($A17,M_RawMaterials[Part Name],0)),0)</f>
        <v/>
      </c>
      <c r="CW17">
        <f>SUMPRODUCT((M_BOM[Part Name]=$A17)*M_BOM[RM_Qty_Per_Batch]*IFERROR(INDEX(PP_Grid[#Data],M_BOM[PPGridRow],101),0))+IFERROR(INDEX(M_RawMaterials[固定週次消費量_要入力],MATCH($A17,M_RawMaterials[Part Name],0)),0)</f>
        <v/>
      </c>
      <c r="CX17">
        <f>SUMPRODUCT((M_BOM[Part Name]=$A17)*M_BOM[RM_Qty_Per_Batch]*IFERROR(INDEX(PP_Grid[#Data],M_BOM[PPGridRow],102),0))+IFERROR(INDEX(M_RawMaterials[固定週次消費量_要入力],MATCH($A17,M_RawMaterials[Part Name],0)),0)</f>
        <v/>
      </c>
      <c r="CY17">
        <f>SUMPRODUCT((M_BOM[Part Name]=$A17)*M_BOM[RM_Qty_Per_Batch]*IFERROR(INDEX(PP_Grid[#Data],M_BOM[PPGridRow],103),0))+IFERROR(INDEX(M_RawMaterials[固定週次消費量_要入力],MATCH($A17,M_RawMaterials[Part Name],0)),0)</f>
        <v/>
      </c>
      <c r="CZ17">
        <f>SUMPRODUCT((M_BOM[Part Name]=$A17)*M_BOM[RM_Qty_Per_Batch]*IFERROR(INDEX(PP_Grid[#Data],M_BOM[PPGridRow],104),0))+IFERROR(INDEX(M_RawMaterials[固定週次消費量_要入力],MATCH($A17,M_RawMaterials[Part Name],0)),0)</f>
        <v/>
      </c>
      <c r="DA17">
        <f>SUMPRODUCT((M_BOM[Part Name]=$A17)*M_BOM[RM_Qty_Per_Batch]*IFERROR(INDEX(PP_Grid[#Data],M_BOM[PPGridRow],105),0))+IFERROR(INDEX(M_RawMaterials[固定週次消費量_要入力],MATCH($A17,M_RawMaterials[Part Name],0)),0)</f>
        <v/>
      </c>
    </row>
    <row r="18">
      <c r="A18" t="inlineStr">
        <is>
          <t>5JK</t>
        </is>
      </c>
      <c r="B18">
        <f>SUMPRODUCT((M_BOM[Part Name]=$A18)*M_BOM[RM_Qty_Per_Batch]*IFERROR(INDEX(PP_Grid[#Data],M_BOM[PPGridRow],2),0))+IFERROR(INDEX(M_RawMaterials[固定週次消費量_要入力],MATCH($A18,M_RawMaterials[Part Name],0)),0)</f>
        <v/>
      </c>
      <c r="C18">
        <f>SUMPRODUCT((M_BOM[Part Name]=$A18)*M_BOM[RM_Qty_Per_Batch]*IFERROR(INDEX(PP_Grid[#Data],M_BOM[PPGridRow],3),0))+IFERROR(INDEX(M_RawMaterials[固定週次消費量_要入力],MATCH($A18,M_RawMaterials[Part Name],0)),0)</f>
        <v/>
      </c>
      <c r="D18">
        <f>SUMPRODUCT((M_BOM[Part Name]=$A18)*M_BOM[RM_Qty_Per_Batch]*IFERROR(INDEX(PP_Grid[#Data],M_BOM[PPGridRow],4),0))+IFERROR(INDEX(M_RawMaterials[固定週次消費量_要入力],MATCH($A18,M_RawMaterials[Part Name],0)),0)</f>
        <v/>
      </c>
      <c r="E18">
        <f>SUMPRODUCT((M_BOM[Part Name]=$A18)*M_BOM[RM_Qty_Per_Batch]*IFERROR(INDEX(PP_Grid[#Data],M_BOM[PPGridRow],5),0))+IFERROR(INDEX(M_RawMaterials[固定週次消費量_要入力],MATCH($A18,M_RawMaterials[Part Name],0)),0)</f>
        <v/>
      </c>
      <c r="F18">
        <f>SUMPRODUCT((M_BOM[Part Name]=$A18)*M_BOM[RM_Qty_Per_Batch]*IFERROR(INDEX(PP_Grid[#Data],M_BOM[PPGridRow],6),0))+IFERROR(INDEX(M_RawMaterials[固定週次消費量_要入力],MATCH($A18,M_RawMaterials[Part Name],0)),0)</f>
        <v/>
      </c>
      <c r="G18">
        <f>SUMPRODUCT((M_BOM[Part Name]=$A18)*M_BOM[RM_Qty_Per_Batch]*IFERROR(INDEX(PP_Grid[#Data],M_BOM[PPGridRow],7),0))+IFERROR(INDEX(M_RawMaterials[固定週次消費量_要入力],MATCH($A18,M_RawMaterials[Part Name],0)),0)</f>
        <v/>
      </c>
      <c r="H18">
        <f>SUMPRODUCT((M_BOM[Part Name]=$A18)*M_BOM[RM_Qty_Per_Batch]*IFERROR(INDEX(PP_Grid[#Data],M_BOM[PPGridRow],8),0))+IFERROR(INDEX(M_RawMaterials[固定週次消費量_要入力],MATCH($A18,M_RawMaterials[Part Name],0)),0)</f>
        <v/>
      </c>
      <c r="I18">
        <f>SUMPRODUCT((M_BOM[Part Name]=$A18)*M_BOM[RM_Qty_Per_Batch]*IFERROR(INDEX(PP_Grid[#Data],M_BOM[PPGridRow],9),0))+IFERROR(INDEX(M_RawMaterials[固定週次消費量_要入力],MATCH($A18,M_RawMaterials[Part Name],0)),0)</f>
        <v/>
      </c>
      <c r="J18">
        <f>SUMPRODUCT((M_BOM[Part Name]=$A18)*M_BOM[RM_Qty_Per_Batch]*IFERROR(INDEX(PP_Grid[#Data],M_BOM[PPGridRow],10),0))+IFERROR(INDEX(M_RawMaterials[固定週次消費量_要入力],MATCH($A18,M_RawMaterials[Part Name],0)),0)</f>
        <v/>
      </c>
      <c r="K18">
        <f>SUMPRODUCT((M_BOM[Part Name]=$A18)*M_BOM[RM_Qty_Per_Batch]*IFERROR(INDEX(PP_Grid[#Data],M_BOM[PPGridRow],11),0))+IFERROR(INDEX(M_RawMaterials[固定週次消費量_要入力],MATCH($A18,M_RawMaterials[Part Name],0)),0)</f>
        <v/>
      </c>
      <c r="L18">
        <f>SUMPRODUCT((M_BOM[Part Name]=$A18)*M_BOM[RM_Qty_Per_Batch]*IFERROR(INDEX(PP_Grid[#Data],M_BOM[PPGridRow],12),0))+IFERROR(INDEX(M_RawMaterials[固定週次消費量_要入力],MATCH($A18,M_RawMaterials[Part Name],0)),0)</f>
        <v/>
      </c>
      <c r="M18">
        <f>SUMPRODUCT((M_BOM[Part Name]=$A18)*M_BOM[RM_Qty_Per_Batch]*IFERROR(INDEX(PP_Grid[#Data],M_BOM[PPGridRow],13),0))+IFERROR(INDEX(M_RawMaterials[固定週次消費量_要入力],MATCH($A18,M_RawMaterials[Part Name],0)),0)</f>
        <v/>
      </c>
      <c r="N18">
        <f>SUMPRODUCT((M_BOM[Part Name]=$A18)*M_BOM[RM_Qty_Per_Batch]*IFERROR(INDEX(PP_Grid[#Data],M_BOM[PPGridRow],14),0))+IFERROR(INDEX(M_RawMaterials[固定週次消費量_要入力],MATCH($A18,M_RawMaterials[Part Name],0)),0)</f>
        <v/>
      </c>
      <c r="O18">
        <f>SUMPRODUCT((M_BOM[Part Name]=$A18)*M_BOM[RM_Qty_Per_Batch]*IFERROR(INDEX(PP_Grid[#Data],M_BOM[PPGridRow],15),0))+IFERROR(INDEX(M_RawMaterials[固定週次消費量_要入力],MATCH($A18,M_RawMaterials[Part Name],0)),0)</f>
        <v/>
      </c>
      <c r="P18">
        <f>SUMPRODUCT((M_BOM[Part Name]=$A18)*M_BOM[RM_Qty_Per_Batch]*IFERROR(INDEX(PP_Grid[#Data],M_BOM[PPGridRow],16),0))+IFERROR(INDEX(M_RawMaterials[固定週次消費量_要入力],MATCH($A18,M_RawMaterials[Part Name],0)),0)</f>
        <v/>
      </c>
      <c r="Q18">
        <f>SUMPRODUCT((M_BOM[Part Name]=$A18)*M_BOM[RM_Qty_Per_Batch]*IFERROR(INDEX(PP_Grid[#Data],M_BOM[PPGridRow],17),0))+IFERROR(INDEX(M_RawMaterials[固定週次消費量_要入力],MATCH($A18,M_RawMaterials[Part Name],0)),0)</f>
        <v/>
      </c>
      <c r="R18">
        <f>SUMPRODUCT((M_BOM[Part Name]=$A18)*M_BOM[RM_Qty_Per_Batch]*IFERROR(INDEX(PP_Grid[#Data],M_BOM[PPGridRow],18),0))+IFERROR(INDEX(M_RawMaterials[固定週次消費量_要入力],MATCH($A18,M_RawMaterials[Part Name],0)),0)</f>
        <v/>
      </c>
      <c r="S18">
        <f>SUMPRODUCT((M_BOM[Part Name]=$A18)*M_BOM[RM_Qty_Per_Batch]*IFERROR(INDEX(PP_Grid[#Data],M_BOM[PPGridRow],19),0))+IFERROR(INDEX(M_RawMaterials[固定週次消費量_要入力],MATCH($A18,M_RawMaterials[Part Name],0)),0)</f>
        <v/>
      </c>
      <c r="T18">
        <f>SUMPRODUCT((M_BOM[Part Name]=$A18)*M_BOM[RM_Qty_Per_Batch]*IFERROR(INDEX(PP_Grid[#Data],M_BOM[PPGridRow],20),0))+IFERROR(INDEX(M_RawMaterials[固定週次消費量_要入力],MATCH($A18,M_RawMaterials[Part Name],0)),0)</f>
        <v/>
      </c>
      <c r="U18">
        <f>SUMPRODUCT((M_BOM[Part Name]=$A18)*M_BOM[RM_Qty_Per_Batch]*IFERROR(INDEX(PP_Grid[#Data],M_BOM[PPGridRow],21),0))+IFERROR(INDEX(M_RawMaterials[固定週次消費量_要入力],MATCH($A18,M_RawMaterials[Part Name],0)),0)</f>
        <v/>
      </c>
      <c r="V18">
        <f>SUMPRODUCT((M_BOM[Part Name]=$A18)*M_BOM[RM_Qty_Per_Batch]*IFERROR(INDEX(PP_Grid[#Data],M_BOM[PPGridRow],22),0))+IFERROR(INDEX(M_RawMaterials[固定週次消費量_要入力],MATCH($A18,M_RawMaterials[Part Name],0)),0)</f>
        <v/>
      </c>
      <c r="W18">
        <f>SUMPRODUCT((M_BOM[Part Name]=$A18)*M_BOM[RM_Qty_Per_Batch]*IFERROR(INDEX(PP_Grid[#Data],M_BOM[PPGridRow],23),0))+IFERROR(INDEX(M_RawMaterials[固定週次消費量_要入力],MATCH($A18,M_RawMaterials[Part Name],0)),0)</f>
        <v/>
      </c>
      <c r="X18">
        <f>SUMPRODUCT((M_BOM[Part Name]=$A18)*M_BOM[RM_Qty_Per_Batch]*IFERROR(INDEX(PP_Grid[#Data],M_BOM[PPGridRow],24),0))+IFERROR(INDEX(M_RawMaterials[固定週次消費量_要入力],MATCH($A18,M_RawMaterials[Part Name],0)),0)</f>
        <v/>
      </c>
      <c r="Y18">
        <f>SUMPRODUCT((M_BOM[Part Name]=$A18)*M_BOM[RM_Qty_Per_Batch]*IFERROR(INDEX(PP_Grid[#Data],M_BOM[PPGridRow],25),0))+IFERROR(INDEX(M_RawMaterials[固定週次消費量_要入力],MATCH($A18,M_RawMaterials[Part Name],0)),0)</f>
        <v/>
      </c>
      <c r="Z18">
        <f>SUMPRODUCT((M_BOM[Part Name]=$A18)*M_BOM[RM_Qty_Per_Batch]*IFERROR(INDEX(PP_Grid[#Data],M_BOM[PPGridRow],26),0))+IFERROR(INDEX(M_RawMaterials[固定週次消費量_要入力],MATCH($A18,M_RawMaterials[Part Name],0)),0)</f>
        <v/>
      </c>
      <c r="AA18">
        <f>SUMPRODUCT((M_BOM[Part Name]=$A18)*M_BOM[RM_Qty_Per_Batch]*IFERROR(INDEX(PP_Grid[#Data],M_BOM[PPGridRow],27),0))+IFERROR(INDEX(M_RawMaterials[固定週次消費量_要入力],MATCH($A18,M_RawMaterials[Part Name],0)),0)</f>
        <v/>
      </c>
      <c r="AB18">
        <f>SUMPRODUCT((M_BOM[Part Name]=$A18)*M_BOM[RM_Qty_Per_Batch]*IFERROR(INDEX(PP_Grid[#Data],M_BOM[PPGridRow],28),0))+IFERROR(INDEX(M_RawMaterials[固定週次消費量_要入力],MATCH($A18,M_RawMaterials[Part Name],0)),0)</f>
        <v/>
      </c>
      <c r="AC18">
        <f>SUMPRODUCT((M_BOM[Part Name]=$A18)*M_BOM[RM_Qty_Per_Batch]*IFERROR(INDEX(PP_Grid[#Data],M_BOM[PPGridRow],29),0))+IFERROR(INDEX(M_RawMaterials[固定週次消費量_要入力],MATCH($A18,M_RawMaterials[Part Name],0)),0)</f>
        <v/>
      </c>
      <c r="AD18">
        <f>SUMPRODUCT((M_BOM[Part Name]=$A18)*M_BOM[RM_Qty_Per_Batch]*IFERROR(INDEX(PP_Grid[#Data],M_BOM[PPGridRow],30),0))+IFERROR(INDEX(M_RawMaterials[固定週次消費量_要入力],MATCH($A18,M_RawMaterials[Part Name],0)),0)</f>
        <v/>
      </c>
      <c r="AE18">
        <f>SUMPRODUCT((M_BOM[Part Name]=$A18)*M_BOM[RM_Qty_Per_Batch]*IFERROR(INDEX(PP_Grid[#Data],M_BOM[PPGridRow],31),0))+IFERROR(INDEX(M_RawMaterials[固定週次消費量_要入力],MATCH($A18,M_RawMaterials[Part Name],0)),0)</f>
        <v/>
      </c>
      <c r="AF18">
        <f>SUMPRODUCT((M_BOM[Part Name]=$A18)*M_BOM[RM_Qty_Per_Batch]*IFERROR(INDEX(PP_Grid[#Data],M_BOM[PPGridRow],32),0))+IFERROR(INDEX(M_RawMaterials[固定週次消費量_要入力],MATCH($A18,M_RawMaterials[Part Name],0)),0)</f>
        <v/>
      </c>
      <c r="AG18">
        <f>SUMPRODUCT((M_BOM[Part Name]=$A18)*M_BOM[RM_Qty_Per_Batch]*IFERROR(INDEX(PP_Grid[#Data],M_BOM[PPGridRow],33),0))+IFERROR(INDEX(M_RawMaterials[固定週次消費量_要入力],MATCH($A18,M_RawMaterials[Part Name],0)),0)</f>
        <v/>
      </c>
      <c r="AH18">
        <f>SUMPRODUCT((M_BOM[Part Name]=$A18)*M_BOM[RM_Qty_Per_Batch]*IFERROR(INDEX(PP_Grid[#Data],M_BOM[PPGridRow],34),0))+IFERROR(INDEX(M_RawMaterials[固定週次消費量_要入力],MATCH($A18,M_RawMaterials[Part Name],0)),0)</f>
        <v/>
      </c>
      <c r="AI18">
        <f>SUMPRODUCT((M_BOM[Part Name]=$A18)*M_BOM[RM_Qty_Per_Batch]*IFERROR(INDEX(PP_Grid[#Data],M_BOM[PPGridRow],35),0))+IFERROR(INDEX(M_RawMaterials[固定週次消費量_要入力],MATCH($A18,M_RawMaterials[Part Name],0)),0)</f>
        <v/>
      </c>
      <c r="AJ18">
        <f>SUMPRODUCT((M_BOM[Part Name]=$A18)*M_BOM[RM_Qty_Per_Batch]*IFERROR(INDEX(PP_Grid[#Data],M_BOM[PPGridRow],36),0))+IFERROR(INDEX(M_RawMaterials[固定週次消費量_要入力],MATCH($A18,M_RawMaterials[Part Name],0)),0)</f>
        <v/>
      </c>
      <c r="AK18">
        <f>SUMPRODUCT((M_BOM[Part Name]=$A18)*M_BOM[RM_Qty_Per_Batch]*IFERROR(INDEX(PP_Grid[#Data],M_BOM[PPGridRow],37),0))+IFERROR(INDEX(M_RawMaterials[固定週次消費量_要入力],MATCH($A18,M_RawMaterials[Part Name],0)),0)</f>
        <v/>
      </c>
      <c r="AL18">
        <f>SUMPRODUCT((M_BOM[Part Name]=$A18)*M_BOM[RM_Qty_Per_Batch]*IFERROR(INDEX(PP_Grid[#Data],M_BOM[PPGridRow],38),0))+IFERROR(INDEX(M_RawMaterials[固定週次消費量_要入力],MATCH($A18,M_RawMaterials[Part Name],0)),0)</f>
        <v/>
      </c>
      <c r="AM18">
        <f>SUMPRODUCT((M_BOM[Part Name]=$A18)*M_BOM[RM_Qty_Per_Batch]*IFERROR(INDEX(PP_Grid[#Data],M_BOM[PPGridRow],39),0))+IFERROR(INDEX(M_RawMaterials[固定週次消費量_要入力],MATCH($A18,M_RawMaterials[Part Name],0)),0)</f>
        <v/>
      </c>
      <c r="AN18">
        <f>SUMPRODUCT((M_BOM[Part Name]=$A18)*M_BOM[RM_Qty_Per_Batch]*IFERROR(INDEX(PP_Grid[#Data],M_BOM[PPGridRow],40),0))+IFERROR(INDEX(M_RawMaterials[固定週次消費量_要入力],MATCH($A18,M_RawMaterials[Part Name],0)),0)</f>
        <v/>
      </c>
      <c r="AO18">
        <f>SUMPRODUCT((M_BOM[Part Name]=$A18)*M_BOM[RM_Qty_Per_Batch]*IFERROR(INDEX(PP_Grid[#Data],M_BOM[PPGridRow],41),0))+IFERROR(INDEX(M_RawMaterials[固定週次消費量_要入力],MATCH($A18,M_RawMaterials[Part Name],0)),0)</f>
        <v/>
      </c>
      <c r="AP18">
        <f>SUMPRODUCT((M_BOM[Part Name]=$A18)*M_BOM[RM_Qty_Per_Batch]*IFERROR(INDEX(PP_Grid[#Data],M_BOM[PPGridRow],42),0))+IFERROR(INDEX(M_RawMaterials[固定週次消費量_要入力],MATCH($A18,M_RawMaterials[Part Name],0)),0)</f>
        <v/>
      </c>
      <c r="AQ18">
        <f>SUMPRODUCT((M_BOM[Part Name]=$A18)*M_BOM[RM_Qty_Per_Batch]*IFERROR(INDEX(PP_Grid[#Data],M_BOM[PPGridRow],43),0))+IFERROR(INDEX(M_RawMaterials[固定週次消費量_要入力],MATCH($A18,M_RawMaterials[Part Name],0)),0)</f>
        <v/>
      </c>
      <c r="AR18">
        <f>SUMPRODUCT((M_BOM[Part Name]=$A18)*M_BOM[RM_Qty_Per_Batch]*IFERROR(INDEX(PP_Grid[#Data],M_BOM[PPGridRow],44),0))+IFERROR(INDEX(M_RawMaterials[固定週次消費量_要入力],MATCH($A18,M_RawMaterials[Part Name],0)),0)</f>
        <v/>
      </c>
      <c r="AS18">
        <f>SUMPRODUCT((M_BOM[Part Name]=$A18)*M_BOM[RM_Qty_Per_Batch]*IFERROR(INDEX(PP_Grid[#Data],M_BOM[PPGridRow],45),0))+IFERROR(INDEX(M_RawMaterials[固定週次消費量_要入力],MATCH($A18,M_RawMaterials[Part Name],0)),0)</f>
        <v/>
      </c>
      <c r="AT18">
        <f>SUMPRODUCT((M_BOM[Part Name]=$A18)*M_BOM[RM_Qty_Per_Batch]*IFERROR(INDEX(PP_Grid[#Data],M_BOM[PPGridRow],46),0))+IFERROR(INDEX(M_RawMaterials[固定週次消費量_要入力],MATCH($A18,M_RawMaterials[Part Name],0)),0)</f>
        <v/>
      </c>
      <c r="AU18">
        <f>SUMPRODUCT((M_BOM[Part Name]=$A18)*M_BOM[RM_Qty_Per_Batch]*IFERROR(INDEX(PP_Grid[#Data],M_BOM[PPGridRow],47),0))+IFERROR(INDEX(M_RawMaterials[固定週次消費量_要入力],MATCH($A18,M_RawMaterials[Part Name],0)),0)</f>
        <v/>
      </c>
      <c r="AV18">
        <f>SUMPRODUCT((M_BOM[Part Name]=$A18)*M_BOM[RM_Qty_Per_Batch]*IFERROR(INDEX(PP_Grid[#Data],M_BOM[PPGridRow],48),0))+IFERROR(INDEX(M_RawMaterials[固定週次消費量_要入力],MATCH($A18,M_RawMaterials[Part Name],0)),0)</f>
        <v/>
      </c>
      <c r="AW18">
        <f>SUMPRODUCT((M_BOM[Part Name]=$A18)*M_BOM[RM_Qty_Per_Batch]*IFERROR(INDEX(PP_Grid[#Data],M_BOM[PPGridRow],49),0))+IFERROR(INDEX(M_RawMaterials[固定週次消費量_要入力],MATCH($A18,M_RawMaterials[Part Name],0)),0)</f>
        <v/>
      </c>
      <c r="AX18">
        <f>SUMPRODUCT((M_BOM[Part Name]=$A18)*M_BOM[RM_Qty_Per_Batch]*IFERROR(INDEX(PP_Grid[#Data],M_BOM[PPGridRow],50),0))+IFERROR(INDEX(M_RawMaterials[固定週次消費量_要入力],MATCH($A18,M_RawMaterials[Part Name],0)),0)</f>
        <v/>
      </c>
      <c r="AY18">
        <f>SUMPRODUCT((M_BOM[Part Name]=$A18)*M_BOM[RM_Qty_Per_Batch]*IFERROR(INDEX(PP_Grid[#Data],M_BOM[PPGridRow],51),0))+IFERROR(INDEX(M_RawMaterials[固定週次消費量_要入力],MATCH($A18,M_RawMaterials[Part Name],0)),0)</f>
        <v/>
      </c>
      <c r="AZ18">
        <f>SUMPRODUCT((M_BOM[Part Name]=$A18)*M_BOM[RM_Qty_Per_Batch]*IFERROR(INDEX(PP_Grid[#Data],M_BOM[PPGridRow],52),0))+IFERROR(INDEX(M_RawMaterials[固定週次消費量_要入力],MATCH($A18,M_RawMaterials[Part Name],0)),0)</f>
        <v/>
      </c>
      <c r="BA18">
        <f>SUMPRODUCT((M_BOM[Part Name]=$A18)*M_BOM[RM_Qty_Per_Batch]*IFERROR(INDEX(PP_Grid[#Data],M_BOM[PPGridRow],53),0))+IFERROR(INDEX(M_RawMaterials[固定週次消費量_要入力],MATCH($A18,M_RawMaterials[Part Name],0)),0)</f>
        <v/>
      </c>
      <c r="BB18">
        <f>SUMPRODUCT((M_BOM[Part Name]=$A18)*M_BOM[RM_Qty_Per_Batch]*IFERROR(INDEX(PP_Grid[#Data],M_BOM[PPGridRow],54),0))+IFERROR(INDEX(M_RawMaterials[固定週次消費量_要入力],MATCH($A18,M_RawMaterials[Part Name],0)),0)</f>
        <v/>
      </c>
      <c r="BC18">
        <f>SUMPRODUCT((M_BOM[Part Name]=$A18)*M_BOM[RM_Qty_Per_Batch]*IFERROR(INDEX(PP_Grid[#Data],M_BOM[PPGridRow],55),0))+IFERROR(INDEX(M_RawMaterials[固定週次消費量_要入力],MATCH($A18,M_RawMaterials[Part Name],0)),0)</f>
        <v/>
      </c>
      <c r="BD18">
        <f>SUMPRODUCT((M_BOM[Part Name]=$A18)*M_BOM[RM_Qty_Per_Batch]*IFERROR(INDEX(PP_Grid[#Data],M_BOM[PPGridRow],56),0))+IFERROR(INDEX(M_RawMaterials[固定週次消費量_要入力],MATCH($A18,M_RawMaterials[Part Name],0)),0)</f>
        <v/>
      </c>
      <c r="BE18">
        <f>SUMPRODUCT((M_BOM[Part Name]=$A18)*M_BOM[RM_Qty_Per_Batch]*IFERROR(INDEX(PP_Grid[#Data],M_BOM[PPGridRow],57),0))+IFERROR(INDEX(M_RawMaterials[固定週次消費量_要入力],MATCH($A18,M_RawMaterials[Part Name],0)),0)</f>
        <v/>
      </c>
      <c r="BF18">
        <f>SUMPRODUCT((M_BOM[Part Name]=$A18)*M_BOM[RM_Qty_Per_Batch]*IFERROR(INDEX(PP_Grid[#Data],M_BOM[PPGridRow],58),0))+IFERROR(INDEX(M_RawMaterials[固定週次消費量_要入力],MATCH($A18,M_RawMaterials[Part Name],0)),0)</f>
        <v/>
      </c>
      <c r="BG18">
        <f>SUMPRODUCT((M_BOM[Part Name]=$A18)*M_BOM[RM_Qty_Per_Batch]*IFERROR(INDEX(PP_Grid[#Data],M_BOM[PPGridRow],59),0))+IFERROR(INDEX(M_RawMaterials[固定週次消費量_要入力],MATCH($A18,M_RawMaterials[Part Name],0)),0)</f>
        <v/>
      </c>
      <c r="BH18">
        <f>SUMPRODUCT((M_BOM[Part Name]=$A18)*M_BOM[RM_Qty_Per_Batch]*IFERROR(INDEX(PP_Grid[#Data],M_BOM[PPGridRow],60),0))+IFERROR(INDEX(M_RawMaterials[固定週次消費量_要入力],MATCH($A18,M_RawMaterials[Part Name],0)),0)</f>
        <v/>
      </c>
      <c r="BI18">
        <f>SUMPRODUCT((M_BOM[Part Name]=$A18)*M_BOM[RM_Qty_Per_Batch]*IFERROR(INDEX(PP_Grid[#Data],M_BOM[PPGridRow],61),0))+IFERROR(INDEX(M_RawMaterials[固定週次消費量_要入力],MATCH($A18,M_RawMaterials[Part Name],0)),0)</f>
        <v/>
      </c>
      <c r="BJ18">
        <f>SUMPRODUCT((M_BOM[Part Name]=$A18)*M_BOM[RM_Qty_Per_Batch]*IFERROR(INDEX(PP_Grid[#Data],M_BOM[PPGridRow],62),0))+IFERROR(INDEX(M_RawMaterials[固定週次消費量_要入力],MATCH($A18,M_RawMaterials[Part Name],0)),0)</f>
        <v/>
      </c>
      <c r="BK18">
        <f>SUMPRODUCT((M_BOM[Part Name]=$A18)*M_BOM[RM_Qty_Per_Batch]*IFERROR(INDEX(PP_Grid[#Data],M_BOM[PPGridRow],63),0))+IFERROR(INDEX(M_RawMaterials[固定週次消費量_要入力],MATCH($A18,M_RawMaterials[Part Name],0)),0)</f>
        <v/>
      </c>
      <c r="BL18">
        <f>SUMPRODUCT((M_BOM[Part Name]=$A18)*M_BOM[RM_Qty_Per_Batch]*IFERROR(INDEX(PP_Grid[#Data],M_BOM[PPGridRow],64),0))+IFERROR(INDEX(M_RawMaterials[固定週次消費量_要入力],MATCH($A18,M_RawMaterials[Part Name],0)),0)</f>
        <v/>
      </c>
      <c r="BM18">
        <f>SUMPRODUCT((M_BOM[Part Name]=$A18)*M_BOM[RM_Qty_Per_Batch]*IFERROR(INDEX(PP_Grid[#Data],M_BOM[PPGridRow],65),0))+IFERROR(INDEX(M_RawMaterials[固定週次消費量_要入力],MATCH($A18,M_RawMaterials[Part Name],0)),0)</f>
        <v/>
      </c>
      <c r="BN18">
        <f>SUMPRODUCT((M_BOM[Part Name]=$A18)*M_BOM[RM_Qty_Per_Batch]*IFERROR(INDEX(PP_Grid[#Data],M_BOM[PPGridRow],66),0))+IFERROR(INDEX(M_RawMaterials[固定週次消費量_要入力],MATCH($A18,M_RawMaterials[Part Name],0)),0)</f>
        <v/>
      </c>
      <c r="BO18">
        <f>SUMPRODUCT((M_BOM[Part Name]=$A18)*M_BOM[RM_Qty_Per_Batch]*IFERROR(INDEX(PP_Grid[#Data],M_BOM[PPGridRow],67),0))+IFERROR(INDEX(M_RawMaterials[固定週次消費量_要入力],MATCH($A18,M_RawMaterials[Part Name],0)),0)</f>
        <v/>
      </c>
      <c r="BP18">
        <f>SUMPRODUCT((M_BOM[Part Name]=$A18)*M_BOM[RM_Qty_Per_Batch]*IFERROR(INDEX(PP_Grid[#Data],M_BOM[PPGridRow],68),0))+IFERROR(INDEX(M_RawMaterials[固定週次消費量_要入力],MATCH($A18,M_RawMaterials[Part Name],0)),0)</f>
        <v/>
      </c>
      <c r="BQ18">
        <f>SUMPRODUCT((M_BOM[Part Name]=$A18)*M_BOM[RM_Qty_Per_Batch]*IFERROR(INDEX(PP_Grid[#Data],M_BOM[PPGridRow],69),0))+IFERROR(INDEX(M_RawMaterials[固定週次消費量_要入力],MATCH($A18,M_RawMaterials[Part Name],0)),0)</f>
        <v/>
      </c>
      <c r="BR18">
        <f>SUMPRODUCT((M_BOM[Part Name]=$A18)*M_BOM[RM_Qty_Per_Batch]*IFERROR(INDEX(PP_Grid[#Data],M_BOM[PPGridRow],70),0))+IFERROR(INDEX(M_RawMaterials[固定週次消費量_要入力],MATCH($A18,M_RawMaterials[Part Name],0)),0)</f>
        <v/>
      </c>
      <c r="BS18">
        <f>SUMPRODUCT((M_BOM[Part Name]=$A18)*M_BOM[RM_Qty_Per_Batch]*IFERROR(INDEX(PP_Grid[#Data],M_BOM[PPGridRow],71),0))+IFERROR(INDEX(M_RawMaterials[固定週次消費量_要入力],MATCH($A18,M_RawMaterials[Part Name],0)),0)</f>
        <v/>
      </c>
      <c r="BT18">
        <f>SUMPRODUCT((M_BOM[Part Name]=$A18)*M_BOM[RM_Qty_Per_Batch]*IFERROR(INDEX(PP_Grid[#Data],M_BOM[PPGridRow],72),0))+IFERROR(INDEX(M_RawMaterials[固定週次消費量_要入力],MATCH($A18,M_RawMaterials[Part Name],0)),0)</f>
        <v/>
      </c>
      <c r="BU18">
        <f>SUMPRODUCT((M_BOM[Part Name]=$A18)*M_BOM[RM_Qty_Per_Batch]*IFERROR(INDEX(PP_Grid[#Data],M_BOM[PPGridRow],73),0))+IFERROR(INDEX(M_RawMaterials[固定週次消費量_要入力],MATCH($A18,M_RawMaterials[Part Name],0)),0)</f>
        <v/>
      </c>
      <c r="BV18">
        <f>SUMPRODUCT((M_BOM[Part Name]=$A18)*M_BOM[RM_Qty_Per_Batch]*IFERROR(INDEX(PP_Grid[#Data],M_BOM[PPGridRow],74),0))+IFERROR(INDEX(M_RawMaterials[固定週次消費量_要入力],MATCH($A18,M_RawMaterials[Part Name],0)),0)</f>
        <v/>
      </c>
      <c r="BW18">
        <f>SUMPRODUCT((M_BOM[Part Name]=$A18)*M_BOM[RM_Qty_Per_Batch]*IFERROR(INDEX(PP_Grid[#Data],M_BOM[PPGridRow],75),0))+IFERROR(INDEX(M_RawMaterials[固定週次消費量_要入力],MATCH($A18,M_RawMaterials[Part Name],0)),0)</f>
        <v/>
      </c>
      <c r="BX18">
        <f>SUMPRODUCT((M_BOM[Part Name]=$A18)*M_BOM[RM_Qty_Per_Batch]*IFERROR(INDEX(PP_Grid[#Data],M_BOM[PPGridRow],76),0))+IFERROR(INDEX(M_RawMaterials[固定週次消費量_要入力],MATCH($A18,M_RawMaterials[Part Name],0)),0)</f>
        <v/>
      </c>
      <c r="BY18">
        <f>SUMPRODUCT((M_BOM[Part Name]=$A18)*M_BOM[RM_Qty_Per_Batch]*IFERROR(INDEX(PP_Grid[#Data],M_BOM[PPGridRow],77),0))+IFERROR(INDEX(M_RawMaterials[固定週次消費量_要入力],MATCH($A18,M_RawMaterials[Part Name],0)),0)</f>
        <v/>
      </c>
      <c r="BZ18">
        <f>SUMPRODUCT((M_BOM[Part Name]=$A18)*M_BOM[RM_Qty_Per_Batch]*IFERROR(INDEX(PP_Grid[#Data],M_BOM[PPGridRow],78),0))+IFERROR(INDEX(M_RawMaterials[固定週次消費量_要入力],MATCH($A18,M_RawMaterials[Part Name],0)),0)</f>
        <v/>
      </c>
      <c r="CA18">
        <f>SUMPRODUCT((M_BOM[Part Name]=$A18)*M_BOM[RM_Qty_Per_Batch]*IFERROR(INDEX(PP_Grid[#Data],M_BOM[PPGridRow],79),0))+IFERROR(INDEX(M_RawMaterials[固定週次消費量_要入力],MATCH($A18,M_RawMaterials[Part Name],0)),0)</f>
        <v/>
      </c>
      <c r="CB18">
        <f>SUMPRODUCT((M_BOM[Part Name]=$A18)*M_BOM[RM_Qty_Per_Batch]*IFERROR(INDEX(PP_Grid[#Data],M_BOM[PPGridRow],80),0))+IFERROR(INDEX(M_RawMaterials[固定週次消費量_要入力],MATCH($A18,M_RawMaterials[Part Name],0)),0)</f>
        <v/>
      </c>
      <c r="CC18">
        <f>SUMPRODUCT((M_BOM[Part Name]=$A18)*M_BOM[RM_Qty_Per_Batch]*IFERROR(INDEX(PP_Grid[#Data],M_BOM[PPGridRow],81),0))+IFERROR(INDEX(M_RawMaterials[固定週次消費量_要入力],MATCH($A18,M_RawMaterials[Part Name],0)),0)</f>
        <v/>
      </c>
      <c r="CD18">
        <f>SUMPRODUCT((M_BOM[Part Name]=$A18)*M_BOM[RM_Qty_Per_Batch]*IFERROR(INDEX(PP_Grid[#Data],M_BOM[PPGridRow],82),0))+IFERROR(INDEX(M_RawMaterials[固定週次消費量_要入力],MATCH($A18,M_RawMaterials[Part Name],0)),0)</f>
        <v/>
      </c>
      <c r="CE18">
        <f>SUMPRODUCT((M_BOM[Part Name]=$A18)*M_BOM[RM_Qty_Per_Batch]*IFERROR(INDEX(PP_Grid[#Data],M_BOM[PPGridRow],83),0))+IFERROR(INDEX(M_RawMaterials[固定週次消費量_要入力],MATCH($A18,M_RawMaterials[Part Name],0)),0)</f>
        <v/>
      </c>
      <c r="CF18">
        <f>SUMPRODUCT((M_BOM[Part Name]=$A18)*M_BOM[RM_Qty_Per_Batch]*IFERROR(INDEX(PP_Grid[#Data],M_BOM[PPGridRow],84),0))+IFERROR(INDEX(M_RawMaterials[固定週次消費量_要入力],MATCH($A18,M_RawMaterials[Part Name],0)),0)</f>
        <v/>
      </c>
      <c r="CG18">
        <f>SUMPRODUCT((M_BOM[Part Name]=$A18)*M_BOM[RM_Qty_Per_Batch]*IFERROR(INDEX(PP_Grid[#Data],M_BOM[PPGridRow],85),0))+IFERROR(INDEX(M_RawMaterials[固定週次消費量_要入力],MATCH($A18,M_RawMaterials[Part Name],0)),0)</f>
        <v/>
      </c>
      <c r="CH18">
        <f>SUMPRODUCT((M_BOM[Part Name]=$A18)*M_BOM[RM_Qty_Per_Batch]*IFERROR(INDEX(PP_Grid[#Data],M_BOM[PPGridRow],86),0))+IFERROR(INDEX(M_RawMaterials[固定週次消費量_要入力],MATCH($A18,M_RawMaterials[Part Name],0)),0)</f>
        <v/>
      </c>
      <c r="CI18">
        <f>SUMPRODUCT((M_BOM[Part Name]=$A18)*M_BOM[RM_Qty_Per_Batch]*IFERROR(INDEX(PP_Grid[#Data],M_BOM[PPGridRow],87),0))+IFERROR(INDEX(M_RawMaterials[固定週次消費量_要入力],MATCH($A18,M_RawMaterials[Part Name],0)),0)</f>
        <v/>
      </c>
      <c r="CJ18">
        <f>SUMPRODUCT((M_BOM[Part Name]=$A18)*M_BOM[RM_Qty_Per_Batch]*IFERROR(INDEX(PP_Grid[#Data],M_BOM[PPGridRow],88),0))+IFERROR(INDEX(M_RawMaterials[固定週次消費量_要入力],MATCH($A18,M_RawMaterials[Part Name],0)),0)</f>
        <v/>
      </c>
      <c r="CK18">
        <f>SUMPRODUCT((M_BOM[Part Name]=$A18)*M_BOM[RM_Qty_Per_Batch]*IFERROR(INDEX(PP_Grid[#Data],M_BOM[PPGridRow],89),0))+IFERROR(INDEX(M_RawMaterials[固定週次消費量_要入力],MATCH($A18,M_RawMaterials[Part Name],0)),0)</f>
        <v/>
      </c>
      <c r="CL18">
        <f>SUMPRODUCT((M_BOM[Part Name]=$A18)*M_BOM[RM_Qty_Per_Batch]*IFERROR(INDEX(PP_Grid[#Data],M_BOM[PPGridRow],90),0))+IFERROR(INDEX(M_RawMaterials[固定週次消費量_要入力],MATCH($A18,M_RawMaterials[Part Name],0)),0)</f>
        <v/>
      </c>
      <c r="CM18">
        <f>SUMPRODUCT((M_BOM[Part Name]=$A18)*M_BOM[RM_Qty_Per_Batch]*IFERROR(INDEX(PP_Grid[#Data],M_BOM[PPGridRow],91),0))+IFERROR(INDEX(M_RawMaterials[固定週次消費量_要入力],MATCH($A18,M_RawMaterials[Part Name],0)),0)</f>
        <v/>
      </c>
      <c r="CN18">
        <f>SUMPRODUCT((M_BOM[Part Name]=$A18)*M_BOM[RM_Qty_Per_Batch]*IFERROR(INDEX(PP_Grid[#Data],M_BOM[PPGridRow],92),0))+IFERROR(INDEX(M_RawMaterials[固定週次消費量_要入力],MATCH($A18,M_RawMaterials[Part Name],0)),0)</f>
        <v/>
      </c>
      <c r="CO18">
        <f>SUMPRODUCT((M_BOM[Part Name]=$A18)*M_BOM[RM_Qty_Per_Batch]*IFERROR(INDEX(PP_Grid[#Data],M_BOM[PPGridRow],93),0))+IFERROR(INDEX(M_RawMaterials[固定週次消費量_要入力],MATCH($A18,M_RawMaterials[Part Name],0)),0)</f>
        <v/>
      </c>
      <c r="CP18">
        <f>SUMPRODUCT((M_BOM[Part Name]=$A18)*M_BOM[RM_Qty_Per_Batch]*IFERROR(INDEX(PP_Grid[#Data],M_BOM[PPGridRow],94),0))+IFERROR(INDEX(M_RawMaterials[固定週次消費量_要入力],MATCH($A18,M_RawMaterials[Part Name],0)),0)</f>
        <v/>
      </c>
      <c r="CQ18">
        <f>SUMPRODUCT((M_BOM[Part Name]=$A18)*M_BOM[RM_Qty_Per_Batch]*IFERROR(INDEX(PP_Grid[#Data],M_BOM[PPGridRow],95),0))+IFERROR(INDEX(M_RawMaterials[固定週次消費量_要入力],MATCH($A18,M_RawMaterials[Part Name],0)),0)</f>
        <v/>
      </c>
      <c r="CR18">
        <f>SUMPRODUCT((M_BOM[Part Name]=$A18)*M_BOM[RM_Qty_Per_Batch]*IFERROR(INDEX(PP_Grid[#Data],M_BOM[PPGridRow],96),0))+IFERROR(INDEX(M_RawMaterials[固定週次消費量_要入力],MATCH($A18,M_RawMaterials[Part Name],0)),0)</f>
        <v/>
      </c>
      <c r="CS18">
        <f>SUMPRODUCT((M_BOM[Part Name]=$A18)*M_BOM[RM_Qty_Per_Batch]*IFERROR(INDEX(PP_Grid[#Data],M_BOM[PPGridRow],97),0))+IFERROR(INDEX(M_RawMaterials[固定週次消費量_要入力],MATCH($A18,M_RawMaterials[Part Name],0)),0)</f>
        <v/>
      </c>
      <c r="CT18">
        <f>SUMPRODUCT((M_BOM[Part Name]=$A18)*M_BOM[RM_Qty_Per_Batch]*IFERROR(INDEX(PP_Grid[#Data],M_BOM[PPGridRow],98),0))+IFERROR(INDEX(M_RawMaterials[固定週次消費量_要入力],MATCH($A18,M_RawMaterials[Part Name],0)),0)</f>
        <v/>
      </c>
      <c r="CU18">
        <f>SUMPRODUCT((M_BOM[Part Name]=$A18)*M_BOM[RM_Qty_Per_Batch]*IFERROR(INDEX(PP_Grid[#Data],M_BOM[PPGridRow],99),0))+IFERROR(INDEX(M_RawMaterials[固定週次消費量_要入力],MATCH($A18,M_RawMaterials[Part Name],0)),0)</f>
        <v/>
      </c>
      <c r="CV18">
        <f>SUMPRODUCT((M_BOM[Part Name]=$A18)*M_BOM[RM_Qty_Per_Batch]*IFERROR(INDEX(PP_Grid[#Data],M_BOM[PPGridRow],100),0))+IFERROR(INDEX(M_RawMaterials[固定週次消費量_要入力],MATCH($A18,M_RawMaterials[Part Name],0)),0)</f>
        <v/>
      </c>
      <c r="CW18">
        <f>SUMPRODUCT((M_BOM[Part Name]=$A18)*M_BOM[RM_Qty_Per_Batch]*IFERROR(INDEX(PP_Grid[#Data],M_BOM[PPGridRow],101),0))+IFERROR(INDEX(M_RawMaterials[固定週次消費量_要入力],MATCH($A18,M_RawMaterials[Part Name],0)),0)</f>
        <v/>
      </c>
      <c r="CX18">
        <f>SUMPRODUCT((M_BOM[Part Name]=$A18)*M_BOM[RM_Qty_Per_Batch]*IFERROR(INDEX(PP_Grid[#Data],M_BOM[PPGridRow],102),0))+IFERROR(INDEX(M_RawMaterials[固定週次消費量_要入力],MATCH($A18,M_RawMaterials[Part Name],0)),0)</f>
        <v/>
      </c>
      <c r="CY18">
        <f>SUMPRODUCT((M_BOM[Part Name]=$A18)*M_BOM[RM_Qty_Per_Batch]*IFERROR(INDEX(PP_Grid[#Data],M_BOM[PPGridRow],103),0))+IFERROR(INDEX(M_RawMaterials[固定週次消費量_要入力],MATCH($A18,M_RawMaterials[Part Name],0)),0)</f>
        <v/>
      </c>
      <c r="CZ18">
        <f>SUMPRODUCT((M_BOM[Part Name]=$A18)*M_BOM[RM_Qty_Per_Batch]*IFERROR(INDEX(PP_Grid[#Data],M_BOM[PPGridRow],104),0))+IFERROR(INDEX(M_RawMaterials[固定週次消費量_要入力],MATCH($A18,M_RawMaterials[Part Name],0)),0)</f>
        <v/>
      </c>
      <c r="DA18">
        <f>SUMPRODUCT((M_BOM[Part Name]=$A18)*M_BOM[RM_Qty_Per_Batch]*IFERROR(INDEX(PP_Grid[#Data],M_BOM[PPGridRow],105),0))+IFERROR(INDEX(M_RawMaterials[固定週次消費量_要入力],MATCH($A18,M_RawMaterials[Part Name],0)),0)</f>
        <v/>
      </c>
    </row>
    <row r="19">
      <c r="A19" t="inlineStr">
        <is>
          <t>26F</t>
        </is>
      </c>
      <c r="B19">
        <f>SUMPRODUCT((M_BOM[Part Name]=$A19)*M_BOM[RM_Qty_Per_Batch]*IFERROR(INDEX(PP_Grid[#Data],M_BOM[PPGridRow],2),0))+IFERROR(INDEX(M_RawMaterials[固定週次消費量_要入力],MATCH($A19,M_RawMaterials[Part Name],0)),0)</f>
        <v/>
      </c>
      <c r="C19">
        <f>SUMPRODUCT((M_BOM[Part Name]=$A19)*M_BOM[RM_Qty_Per_Batch]*IFERROR(INDEX(PP_Grid[#Data],M_BOM[PPGridRow],3),0))+IFERROR(INDEX(M_RawMaterials[固定週次消費量_要入力],MATCH($A19,M_RawMaterials[Part Name],0)),0)</f>
        <v/>
      </c>
      <c r="D19">
        <f>SUMPRODUCT((M_BOM[Part Name]=$A19)*M_BOM[RM_Qty_Per_Batch]*IFERROR(INDEX(PP_Grid[#Data],M_BOM[PPGridRow],4),0))+IFERROR(INDEX(M_RawMaterials[固定週次消費量_要入力],MATCH($A19,M_RawMaterials[Part Name],0)),0)</f>
        <v/>
      </c>
      <c r="E19">
        <f>SUMPRODUCT((M_BOM[Part Name]=$A19)*M_BOM[RM_Qty_Per_Batch]*IFERROR(INDEX(PP_Grid[#Data],M_BOM[PPGridRow],5),0))+IFERROR(INDEX(M_RawMaterials[固定週次消費量_要入力],MATCH($A19,M_RawMaterials[Part Name],0)),0)</f>
        <v/>
      </c>
      <c r="F19">
        <f>SUMPRODUCT((M_BOM[Part Name]=$A19)*M_BOM[RM_Qty_Per_Batch]*IFERROR(INDEX(PP_Grid[#Data],M_BOM[PPGridRow],6),0))+IFERROR(INDEX(M_RawMaterials[固定週次消費量_要入力],MATCH($A19,M_RawMaterials[Part Name],0)),0)</f>
        <v/>
      </c>
      <c r="G19">
        <f>SUMPRODUCT((M_BOM[Part Name]=$A19)*M_BOM[RM_Qty_Per_Batch]*IFERROR(INDEX(PP_Grid[#Data],M_BOM[PPGridRow],7),0))+IFERROR(INDEX(M_RawMaterials[固定週次消費量_要入力],MATCH($A19,M_RawMaterials[Part Name],0)),0)</f>
        <v/>
      </c>
      <c r="H19">
        <f>SUMPRODUCT((M_BOM[Part Name]=$A19)*M_BOM[RM_Qty_Per_Batch]*IFERROR(INDEX(PP_Grid[#Data],M_BOM[PPGridRow],8),0))+IFERROR(INDEX(M_RawMaterials[固定週次消費量_要入力],MATCH($A19,M_RawMaterials[Part Name],0)),0)</f>
        <v/>
      </c>
      <c r="I19">
        <f>SUMPRODUCT((M_BOM[Part Name]=$A19)*M_BOM[RM_Qty_Per_Batch]*IFERROR(INDEX(PP_Grid[#Data],M_BOM[PPGridRow],9),0))+IFERROR(INDEX(M_RawMaterials[固定週次消費量_要入力],MATCH($A19,M_RawMaterials[Part Name],0)),0)</f>
        <v/>
      </c>
      <c r="J19">
        <f>SUMPRODUCT((M_BOM[Part Name]=$A19)*M_BOM[RM_Qty_Per_Batch]*IFERROR(INDEX(PP_Grid[#Data],M_BOM[PPGridRow],10),0))+IFERROR(INDEX(M_RawMaterials[固定週次消費量_要入力],MATCH($A19,M_RawMaterials[Part Name],0)),0)</f>
        <v/>
      </c>
      <c r="K19">
        <f>SUMPRODUCT((M_BOM[Part Name]=$A19)*M_BOM[RM_Qty_Per_Batch]*IFERROR(INDEX(PP_Grid[#Data],M_BOM[PPGridRow],11),0))+IFERROR(INDEX(M_RawMaterials[固定週次消費量_要入力],MATCH($A19,M_RawMaterials[Part Name],0)),0)</f>
        <v/>
      </c>
      <c r="L19">
        <f>SUMPRODUCT((M_BOM[Part Name]=$A19)*M_BOM[RM_Qty_Per_Batch]*IFERROR(INDEX(PP_Grid[#Data],M_BOM[PPGridRow],12),0))+IFERROR(INDEX(M_RawMaterials[固定週次消費量_要入力],MATCH($A19,M_RawMaterials[Part Name],0)),0)</f>
        <v/>
      </c>
      <c r="M19">
        <f>SUMPRODUCT((M_BOM[Part Name]=$A19)*M_BOM[RM_Qty_Per_Batch]*IFERROR(INDEX(PP_Grid[#Data],M_BOM[PPGridRow],13),0))+IFERROR(INDEX(M_RawMaterials[固定週次消費量_要入力],MATCH($A19,M_RawMaterials[Part Name],0)),0)</f>
        <v/>
      </c>
      <c r="N19">
        <f>SUMPRODUCT((M_BOM[Part Name]=$A19)*M_BOM[RM_Qty_Per_Batch]*IFERROR(INDEX(PP_Grid[#Data],M_BOM[PPGridRow],14),0))+IFERROR(INDEX(M_RawMaterials[固定週次消費量_要入力],MATCH($A19,M_RawMaterials[Part Name],0)),0)</f>
        <v/>
      </c>
      <c r="O19">
        <f>SUMPRODUCT((M_BOM[Part Name]=$A19)*M_BOM[RM_Qty_Per_Batch]*IFERROR(INDEX(PP_Grid[#Data],M_BOM[PPGridRow],15),0))+IFERROR(INDEX(M_RawMaterials[固定週次消費量_要入力],MATCH($A19,M_RawMaterials[Part Name],0)),0)</f>
        <v/>
      </c>
      <c r="P19">
        <f>SUMPRODUCT((M_BOM[Part Name]=$A19)*M_BOM[RM_Qty_Per_Batch]*IFERROR(INDEX(PP_Grid[#Data],M_BOM[PPGridRow],16),0))+IFERROR(INDEX(M_RawMaterials[固定週次消費量_要入力],MATCH($A19,M_RawMaterials[Part Name],0)),0)</f>
        <v/>
      </c>
      <c r="Q19">
        <f>SUMPRODUCT((M_BOM[Part Name]=$A19)*M_BOM[RM_Qty_Per_Batch]*IFERROR(INDEX(PP_Grid[#Data],M_BOM[PPGridRow],17),0))+IFERROR(INDEX(M_RawMaterials[固定週次消費量_要入力],MATCH($A19,M_RawMaterials[Part Name],0)),0)</f>
        <v/>
      </c>
      <c r="R19">
        <f>SUMPRODUCT((M_BOM[Part Name]=$A19)*M_BOM[RM_Qty_Per_Batch]*IFERROR(INDEX(PP_Grid[#Data],M_BOM[PPGridRow],18),0))+IFERROR(INDEX(M_RawMaterials[固定週次消費量_要入力],MATCH($A19,M_RawMaterials[Part Name],0)),0)</f>
        <v/>
      </c>
      <c r="S19">
        <f>SUMPRODUCT((M_BOM[Part Name]=$A19)*M_BOM[RM_Qty_Per_Batch]*IFERROR(INDEX(PP_Grid[#Data],M_BOM[PPGridRow],19),0))+IFERROR(INDEX(M_RawMaterials[固定週次消費量_要入力],MATCH($A19,M_RawMaterials[Part Name],0)),0)</f>
        <v/>
      </c>
      <c r="T19">
        <f>SUMPRODUCT((M_BOM[Part Name]=$A19)*M_BOM[RM_Qty_Per_Batch]*IFERROR(INDEX(PP_Grid[#Data],M_BOM[PPGridRow],20),0))+IFERROR(INDEX(M_RawMaterials[固定週次消費量_要入力],MATCH($A19,M_RawMaterials[Part Name],0)),0)</f>
        <v/>
      </c>
      <c r="U19">
        <f>SUMPRODUCT((M_BOM[Part Name]=$A19)*M_BOM[RM_Qty_Per_Batch]*IFERROR(INDEX(PP_Grid[#Data],M_BOM[PPGridRow],21),0))+IFERROR(INDEX(M_RawMaterials[固定週次消費量_要入力],MATCH($A19,M_RawMaterials[Part Name],0)),0)</f>
        <v/>
      </c>
      <c r="V19">
        <f>SUMPRODUCT((M_BOM[Part Name]=$A19)*M_BOM[RM_Qty_Per_Batch]*IFERROR(INDEX(PP_Grid[#Data],M_BOM[PPGridRow],22),0))+IFERROR(INDEX(M_RawMaterials[固定週次消費量_要入力],MATCH($A19,M_RawMaterials[Part Name],0)),0)</f>
        <v/>
      </c>
      <c r="W19">
        <f>SUMPRODUCT((M_BOM[Part Name]=$A19)*M_BOM[RM_Qty_Per_Batch]*IFERROR(INDEX(PP_Grid[#Data],M_BOM[PPGridRow],23),0))+IFERROR(INDEX(M_RawMaterials[固定週次消費量_要入力],MATCH($A19,M_RawMaterials[Part Name],0)),0)</f>
        <v/>
      </c>
      <c r="X19">
        <f>SUMPRODUCT((M_BOM[Part Name]=$A19)*M_BOM[RM_Qty_Per_Batch]*IFERROR(INDEX(PP_Grid[#Data],M_BOM[PPGridRow],24),0))+IFERROR(INDEX(M_RawMaterials[固定週次消費量_要入力],MATCH($A19,M_RawMaterials[Part Name],0)),0)</f>
        <v/>
      </c>
      <c r="Y19">
        <f>SUMPRODUCT((M_BOM[Part Name]=$A19)*M_BOM[RM_Qty_Per_Batch]*IFERROR(INDEX(PP_Grid[#Data],M_BOM[PPGridRow],25),0))+IFERROR(INDEX(M_RawMaterials[固定週次消費量_要入力],MATCH($A19,M_RawMaterials[Part Name],0)),0)</f>
        <v/>
      </c>
      <c r="Z19">
        <f>SUMPRODUCT((M_BOM[Part Name]=$A19)*M_BOM[RM_Qty_Per_Batch]*IFERROR(INDEX(PP_Grid[#Data],M_BOM[PPGridRow],26),0))+IFERROR(INDEX(M_RawMaterials[固定週次消費量_要入力],MATCH($A19,M_RawMaterials[Part Name],0)),0)</f>
        <v/>
      </c>
      <c r="AA19">
        <f>SUMPRODUCT((M_BOM[Part Name]=$A19)*M_BOM[RM_Qty_Per_Batch]*IFERROR(INDEX(PP_Grid[#Data],M_BOM[PPGridRow],27),0))+IFERROR(INDEX(M_RawMaterials[固定週次消費量_要入力],MATCH($A19,M_RawMaterials[Part Name],0)),0)</f>
        <v/>
      </c>
      <c r="AB19">
        <f>SUMPRODUCT((M_BOM[Part Name]=$A19)*M_BOM[RM_Qty_Per_Batch]*IFERROR(INDEX(PP_Grid[#Data],M_BOM[PPGridRow],28),0))+IFERROR(INDEX(M_RawMaterials[固定週次消費量_要入力],MATCH($A19,M_RawMaterials[Part Name],0)),0)</f>
        <v/>
      </c>
      <c r="AC19">
        <f>SUMPRODUCT((M_BOM[Part Name]=$A19)*M_BOM[RM_Qty_Per_Batch]*IFERROR(INDEX(PP_Grid[#Data],M_BOM[PPGridRow],29),0))+IFERROR(INDEX(M_RawMaterials[固定週次消費量_要入力],MATCH($A19,M_RawMaterials[Part Name],0)),0)</f>
        <v/>
      </c>
      <c r="AD19">
        <f>SUMPRODUCT((M_BOM[Part Name]=$A19)*M_BOM[RM_Qty_Per_Batch]*IFERROR(INDEX(PP_Grid[#Data],M_BOM[PPGridRow],30),0))+IFERROR(INDEX(M_RawMaterials[固定週次消費量_要入力],MATCH($A19,M_RawMaterials[Part Name],0)),0)</f>
        <v/>
      </c>
      <c r="AE19">
        <f>SUMPRODUCT((M_BOM[Part Name]=$A19)*M_BOM[RM_Qty_Per_Batch]*IFERROR(INDEX(PP_Grid[#Data],M_BOM[PPGridRow],31),0))+IFERROR(INDEX(M_RawMaterials[固定週次消費量_要入力],MATCH($A19,M_RawMaterials[Part Name],0)),0)</f>
        <v/>
      </c>
      <c r="AF19">
        <f>SUMPRODUCT((M_BOM[Part Name]=$A19)*M_BOM[RM_Qty_Per_Batch]*IFERROR(INDEX(PP_Grid[#Data],M_BOM[PPGridRow],32),0))+IFERROR(INDEX(M_RawMaterials[固定週次消費量_要入力],MATCH($A19,M_RawMaterials[Part Name],0)),0)</f>
        <v/>
      </c>
      <c r="AG19">
        <f>SUMPRODUCT((M_BOM[Part Name]=$A19)*M_BOM[RM_Qty_Per_Batch]*IFERROR(INDEX(PP_Grid[#Data],M_BOM[PPGridRow],33),0))+IFERROR(INDEX(M_RawMaterials[固定週次消費量_要入力],MATCH($A19,M_RawMaterials[Part Name],0)),0)</f>
        <v/>
      </c>
      <c r="AH19">
        <f>SUMPRODUCT((M_BOM[Part Name]=$A19)*M_BOM[RM_Qty_Per_Batch]*IFERROR(INDEX(PP_Grid[#Data],M_BOM[PPGridRow],34),0))+IFERROR(INDEX(M_RawMaterials[固定週次消費量_要入力],MATCH($A19,M_RawMaterials[Part Name],0)),0)</f>
        <v/>
      </c>
      <c r="AI19">
        <f>SUMPRODUCT((M_BOM[Part Name]=$A19)*M_BOM[RM_Qty_Per_Batch]*IFERROR(INDEX(PP_Grid[#Data],M_BOM[PPGridRow],35),0))+IFERROR(INDEX(M_RawMaterials[固定週次消費量_要入力],MATCH($A19,M_RawMaterials[Part Name],0)),0)</f>
        <v/>
      </c>
      <c r="AJ19">
        <f>SUMPRODUCT((M_BOM[Part Name]=$A19)*M_BOM[RM_Qty_Per_Batch]*IFERROR(INDEX(PP_Grid[#Data],M_BOM[PPGridRow],36),0))+IFERROR(INDEX(M_RawMaterials[固定週次消費量_要入力],MATCH($A19,M_RawMaterials[Part Name],0)),0)</f>
        <v/>
      </c>
      <c r="AK19">
        <f>SUMPRODUCT((M_BOM[Part Name]=$A19)*M_BOM[RM_Qty_Per_Batch]*IFERROR(INDEX(PP_Grid[#Data],M_BOM[PPGridRow],37),0))+IFERROR(INDEX(M_RawMaterials[固定週次消費量_要入力],MATCH($A19,M_RawMaterials[Part Name],0)),0)</f>
        <v/>
      </c>
      <c r="AL19">
        <f>SUMPRODUCT((M_BOM[Part Name]=$A19)*M_BOM[RM_Qty_Per_Batch]*IFERROR(INDEX(PP_Grid[#Data],M_BOM[PPGridRow],38),0))+IFERROR(INDEX(M_RawMaterials[固定週次消費量_要入力],MATCH($A19,M_RawMaterials[Part Name],0)),0)</f>
        <v/>
      </c>
      <c r="AM19">
        <f>SUMPRODUCT((M_BOM[Part Name]=$A19)*M_BOM[RM_Qty_Per_Batch]*IFERROR(INDEX(PP_Grid[#Data],M_BOM[PPGridRow],39),0))+IFERROR(INDEX(M_RawMaterials[固定週次消費量_要入力],MATCH($A19,M_RawMaterials[Part Name],0)),0)</f>
        <v/>
      </c>
      <c r="AN19">
        <f>SUMPRODUCT((M_BOM[Part Name]=$A19)*M_BOM[RM_Qty_Per_Batch]*IFERROR(INDEX(PP_Grid[#Data],M_BOM[PPGridRow],40),0))+IFERROR(INDEX(M_RawMaterials[固定週次消費量_要入力],MATCH($A19,M_RawMaterials[Part Name],0)),0)</f>
        <v/>
      </c>
      <c r="AO19">
        <f>SUMPRODUCT((M_BOM[Part Name]=$A19)*M_BOM[RM_Qty_Per_Batch]*IFERROR(INDEX(PP_Grid[#Data],M_BOM[PPGridRow],41),0))+IFERROR(INDEX(M_RawMaterials[固定週次消費量_要入力],MATCH($A19,M_RawMaterials[Part Name],0)),0)</f>
        <v/>
      </c>
      <c r="AP19">
        <f>SUMPRODUCT((M_BOM[Part Name]=$A19)*M_BOM[RM_Qty_Per_Batch]*IFERROR(INDEX(PP_Grid[#Data],M_BOM[PPGridRow],42),0))+IFERROR(INDEX(M_RawMaterials[固定週次消費量_要入力],MATCH($A19,M_RawMaterials[Part Name],0)),0)</f>
        <v/>
      </c>
      <c r="AQ19">
        <f>SUMPRODUCT((M_BOM[Part Name]=$A19)*M_BOM[RM_Qty_Per_Batch]*IFERROR(INDEX(PP_Grid[#Data],M_BOM[PPGridRow],43),0))+IFERROR(INDEX(M_RawMaterials[固定週次消費量_要入力],MATCH($A19,M_RawMaterials[Part Name],0)),0)</f>
        <v/>
      </c>
      <c r="AR19">
        <f>SUMPRODUCT((M_BOM[Part Name]=$A19)*M_BOM[RM_Qty_Per_Batch]*IFERROR(INDEX(PP_Grid[#Data],M_BOM[PPGridRow],44),0))+IFERROR(INDEX(M_RawMaterials[固定週次消費量_要入力],MATCH($A19,M_RawMaterials[Part Name],0)),0)</f>
        <v/>
      </c>
      <c r="AS19">
        <f>SUMPRODUCT((M_BOM[Part Name]=$A19)*M_BOM[RM_Qty_Per_Batch]*IFERROR(INDEX(PP_Grid[#Data],M_BOM[PPGridRow],45),0))+IFERROR(INDEX(M_RawMaterials[固定週次消費量_要入力],MATCH($A19,M_RawMaterials[Part Name],0)),0)</f>
        <v/>
      </c>
      <c r="AT19">
        <f>SUMPRODUCT((M_BOM[Part Name]=$A19)*M_BOM[RM_Qty_Per_Batch]*IFERROR(INDEX(PP_Grid[#Data],M_BOM[PPGridRow],46),0))+IFERROR(INDEX(M_RawMaterials[固定週次消費量_要入力],MATCH($A19,M_RawMaterials[Part Name],0)),0)</f>
        <v/>
      </c>
      <c r="AU19">
        <f>SUMPRODUCT((M_BOM[Part Name]=$A19)*M_BOM[RM_Qty_Per_Batch]*IFERROR(INDEX(PP_Grid[#Data],M_BOM[PPGridRow],47),0))+IFERROR(INDEX(M_RawMaterials[固定週次消費量_要入力],MATCH($A19,M_RawMaterials[Part Name],0)),0)</f>
        <v/>
      </c>
      <c r="AV19">
        <f>SUMPRODUCT((M_BOM[Part Name]=$A19)*M_BOM[RM_Qty_Per_Batch]*IFERROR(INDEX(PP_Grid[#Data],M_BOM[PPGridRow],48),0))+IFERROR(INDEX(M_RawMaterials[固定週次消費量_要入力],MATCH($A19,M_RawMaterials[Part Name],0)),0)</f>
        <v/>
      </c>
      <c r="AW19">
        <f>SUMPRODUCT((M_BOM[Part Name]=$A19)*M_BOM[RM_Qty_Per_Batch]*IFERROR(INDEX(PP_Grid[#Data],M_BOM[PPGridRow],49),0))+IFERROR(INDEX(M_RawMaterials[固定週次消費量_要入力],MATCH($A19,M_RawMaterials[Part Name],0)),0)</f>
        <v/>
      </c>
      <c r="AX19">
        <f>SUMPRODUCT((M_BOM[Part Name]=$A19)*M_BOM[RM_Qty_Per_Batch]*IFERROR(INDEX(PP_Grid[#Data],M_BOM[PPGridRow],50),0))+IFERROR(INDEX(M_RawMaterials[固定週次消費量_要入力],MATCH($A19,M_RawMaterials[Part Name],0)),0)</f>
        <v/>
      </c>
      <c r="AY19">
        <f>SUMPRODUCT((M_BOM[Part Name]=$A19)*M_BOM[RM_Qty_Per_Batch]*IFERROR(INDEX(PP_Grid[#Data],M_BOM[PPGridRow],51),0))+IFERROR(INDEX(M_RawMaterials[固定週次消費量_要入力],MATCH($A19,M_RawMaterials[Part Name],0)),0)</f>
        <v/>
      </c>
      <c r="AZ19">
        <f>SUMPRODUCT((M_BOM[Part Name]=$A19)*M_BOM[RM_Qty_Per_Batch]*IFERROR(INDEX(PP_Grid[#Data],M_BOM[PPGridRow],52),0))+IFERROR(INDEX(M_RawMaterials[固定週次消費量_要入力],MATCH($A19,M_RawMaterials[Part Name],0)),0)</f>
        <v/>
      </c>
      <c r="BA19">
        <f>SUMPRODUCT((M_BOM[Part Name]=$A19)*M_BOM[RM_Qty_Per_Batch]*IFERROR(INDEX(PP_Grid[#Data],M_BOM[PPGridRow],53),0))+IFERROR(INDEX(M_RawMaterials[固定週次消費量_要入力],MATCH($A19,M_RawMaterials[Part Name],0)),0)</f>
        <v/>
      </c>
      <c r="BB19">
        <f>SUMPRODUCT((M_BOM[Part Name]=$A19)*M_BOM[RM_Qty_Per_Batch]*IFERROR(INDEX(PP_Grid[#Data],M_BOM[PPGridRow],54),0))+IFERROR(INDEX(M_RawMaterials[固定週次消費量_要入力],MATCH($A19,M_RawMaterials[Part Name],0)),0)</f>
        <v/>
      </c>
      <c r="BC19">
        <f>SUMPRODUCT((M_BOM[Part Name]=$A19)*M_BOM[RM_Qty_Per_Batch]*IFERROR(INDEX(PP_Grid[#Data],M_BOM[PPGridRow],55),0))+IFERROR(INDEX(M_RawMaterials[固定週次消費量_要入力],MATCH($A19,M_RawMaterials[Part Name],0)),0)</f>
        <v/>
      </c>
      <c r="BD19">
        <f>SUMPRODUCT((M_BOM[Part Name]=$A19)*M_BOM[RM_Qty_Per_Batch]*IFERROR(INDEX(PP_Grid[#Data],M_BOM[PPGridRow],56),0))+IFERROR(INDEX(M_RawMaterials[固定週次消費量_要入力],MATCH($A19,M_RawMaterials[Part Name],0)),0)</f>
        <v/>
      </c>
      <c r="BE19">
        <f>SUMPRODUCT((M_BOM[Part Name]=$A19)*M_BOM[RM_Qty_Per_Batch]*IFERROR(INDEX(PP_Grid[#Data],M_BOM[PPGridRow],57),0))+IFERROR(INDEX(M_RawMaterials[固定週次消費量_要入力],MATCH($A19,M_RawMaterials[Part Name],0)),0)</f>
        <v/>
      </c>
      <c r="BF19">
        <f>SUMPRODUCT((M_BOM[Part Name]=$A19)*M_BOM[RM_Qty_Per_Batch]*IFERROR(INDEX(PP_Grid[#Data],M_BOM[PPGridRow],58),0))+IFERROR(INDEX(M_RawMaterials[固定週次消費量_要入力],MATCH($A19,M_RawMaterials[Part Name],0)),0)</f>
        <v/>
      </c>
      <c r="BG19">
        <f>SUMPRODUCT((M_BOM[Part Name]=$A19)*M_BOM[RM_Qty_Per_Batch]*IFERROR(INDEX(PP_Grid[#Data],M_BOM[PPGridRow],59),0))+IFERROR(INDEX(M_RawMaterials[固定週次消費量_要入力],MATCH($A19,M_RawMaterials[Part Name],0)),0)</f>
        <v/>
      </c>
      <c r="BH19">
        <f>SUMPRODUCT((M_BOM[Part Name]=$A19)*M_BOM[RM_Qty_Per_Batch]*IFERROR(INDEX(PP_Grid[#Data],M_BOM[PPGridRow],60),0))+IFERROR(INDEX(M_RawMaterials[固定週次消費量_要入力],MATCH($A19,M_RawMaterials[Part Name],0)),0)</f>
        <v/>
      </c>
      <c r="BI19">
        <f>SUMPRODUCT((M_BOM[Part Name]=$A19)*M_BOM[RM_Qty_Per_Batch]*IFERROR(INDEX(PP_Grid[#Data],M_BOM[PPGridRow],61),0))+IFERROR(INDEX(M_RawMaterials[固定週次消費量_要入力],MATCH($A19,M_RawMaterials[Part Name],0)),0)</f>
        <v/>
      </c>
      <c r="BJ19">
        <f>SUMPRODUCT((M_BOM[Part Name]=$A19)*M_BOM[RM_Qty_Per_Batch]*IFERROR(INDEX(PP_Grid[#Data],M_BOM[PPGridRow],62),0))+IFERROR(INDEX(M_RawMaterials[固定週次消費量_要入力],MATCH($A19,M_RawMaterials[Part Name],0)),0)</f>
        <v/>
      </c>
      <c r="BK19">
        <f>SUMPRODUCT((M_BOM[Part Name]=$A19)*M_BOM[RM_Qty_Per_Batch]*IFERROR(INDEX(PP_Grid[#Data],M_BOM[PPGridRow],63),0))+IFERROR(INDEX(M_RawMaterials[固定週次消費量_要入力],MATCH($A19,M_RawMaterials[Part Name],0)),0)</f>
        <v/>
      </c>
      <c r="BL19">
        <f>SUMPRODUCT((M_BOM[Part Name]=$A19)*M_BOM[RM_Qty_Per_Batch]*IFERROR(INDEX(PP_Grid[#Data],M_BOM[PPGridRow],64),0))+IFERROR(INDEX(M_RawMaterials[固定週次消費量_要入力],MATCH($A19,M_RawMaterials[Part Name],0)),0)</f>
        <v/>
      </c>
      <c r="BM19">
        <f>SUMPRODUCT((M_BOM[Part Name]=$A19)*M_BOM[RM_Qty_Per_Batch]*IFERROR(INDEX(PP_Grid[#Data],M_BOM[PPGridRow],65),0))+IFERROR(INDEX(M_RawMaterials[固定週次消費量_要入力],MATCH($A19,M_RawMaterials[Part Name],0)),0)</f>
        <v/>
      </c>
      <c r="BN19">
        <f>SUMPRODUCT((M_BOM[Part Name]=$A19)*M_BOM[RM_Qty_Per_Batch]*IFERROR(INDEX(PP_Grid[#Data],M_BOM[PPGridRow],66),0))+IFERROR(INDEX(M_RawMaterials[固定週次消費量_要入力],MATCH($A19,M_RawMaterials[Part Name],0)),0)</f>
        <v/>
      </c>
      <c r="BO19">
        <f>SUMPRODUCT((M_BOM[Part Name]=$A19)*M_BOM[RM_Qty_Per_Batch]*IFERROR(INDEX(PP_Grid[#Data],M_BOM[PPGridRow],67),0))+IFERROR(INDEX(M_RawMaterials[固定週次消費量_要入力],MATCH($A19,M_RawMaterials[Part Name],0)),0)</f>
        <v/>
      </c>
      <c r="BP19">
        <f>SUMPRODUCT((M_BOM[Part Name]=$A19)*M_BOM[RM_Qty_Per_Batch]*IFERROR(INDEX(PP_Grid[#Data],M_BOM[PPGridRow],68),0))+IFERROR(INDEX(M_RawMaterials[固定週次消費量_要入力],MATCH($A19,M_RawMaterials[Part Name],0)),0)</f>
        <v/>
      </c>
      <c r="BQ19">
        <f>SUMPRODUCT((M_BOM[Part Name]=$A19)*M_BOM[RM_Qty_Per_Batch]*IFERROR(INDEX(PP_Grid[#Data],M_BOM[PPGridRow],69),0))+IFERROR(INDEX(M_RawMaterials[固定週次消費量_要入力],MATCH($A19,M_RawMaterials[Part Name],0)),0)</f>
        <v/>
      </c>
      <c r="BR19">
        <f>SUMPRODUCT((M_BOM[Part Name]=$A19)*M_BOM[RM_Qty_Per_Batch]*IFERROR(INDEX(PP_Grid[#Data],M_BOM[PPGridRow],70),0))+IFERROR(INDEX(M_RawMaterials[固定週次消費量_要入力],MATCH($A19,M_RawMaterials[Part Name],0)),0)</f>
        <v/>
      </c>
      <c r="BS19">
        <f>SUMPRODUCT((M_BOM[Part Name]=$A19)*M_BOM[RM_Qty_Per_Batch]*IFERROR(INDEX(PP_Grid[#Data],M_BOM[PPGridRow],71),0))+IFERROR(INDEX(M_RawMaterials[固定週次消費量_要入力],MATCH($A19,M_RawMaterials[Part Name],0)),0)</f>
        <v/>
      </c>
      <c r="BT19">
        <f>SUMPRODUCT((M_BOM[Part Name]=$A19)*M_BOM[RM_Qty_Per_Batch]*IFERROR(INDEX(PP_Grid[#Data],M_BOM[PPGridRow],72),0))+IFERROR(INDEX(M_RawMaterials[固定週次消費量_要入力],MATCH($A19,M_RawMaterials[Part Name],0)),0)</f>
        <v/>
      </c>
      <c r="BU19">
        <f>SUMPRODUCT((M_BOM[Part Name]=$A19)*M_BOM[RM_Qty_Per_Batch]*IFERROR(INDEX(PP_Grid[#Data],M_BOM[PPGridRow],73),0))+IFERROR(INDEX(M_RawMaterials[固定週次消費量_要入力],MATCH($A19,M_RawMaterials[Part Name],0)),0)</f>
        <v/>
      </c>
      <c r="BV19">
        <f>SUMPRODUCT((M_BOM[Part Name]=$A19)*M_BOM[RM_Qty_Per_Batch]*IFERROR(INDEX(PP_Grid[#Data],M_BOM[PPGridRow],74),0))+IFERROR(INDEX(M_RawMaterials[固定週次消費量_要入力],MATCH($A19,M_RawMaterials[Part Name],0)),0)</f>
        <v/>
      </c>
      <c r="BW19">
        <f>SUMPRODUCT((M_BOM[Part Name]=$A19)*M_BOM[RM_Qty_Per_Batch]*IFERROR(INDEX(PP_Grid[#Data],M_BOM[PPGridRow],75),0))+IFERROR(INDEX(M_RawMaterials[固定週次消費量_要入力],MATCH($A19,M_RawMaterials[Part Name],0)),0)</f>
        <v/>
      </c>
      <c r="BX19">
        <f>SUMPRODUCT((M_BOM[Part Name]=$A19)*M_BOM[RM_Qty_Per_Batch]*IFERROR(INDEX(PP_Grid[#Data],M_BOM[PPGridRow],76),0))+IFERROR(INDEX(M_RawMaterials[固定週次消費量_要入力],MATCH($A19,M_RawMaterials[Part Name],0)),0)</f>
        <v/>
      </c>
      <c r="BY19">
        <f>SUMPRODUCT((M_BOM[Part Name]=$A19)*M_BOM[RM_Qty_Per_Batch]*IFERROR(INDEX(PP_Grid[#Data],M_BOM[PPGridRow],77),0))+IFERROR(INDEX(M_RawMaterials[固定週次消費量_要入力],MATCH($A19,M_RawMaterials[Part Name],0)),0)</f>
        <v/>
      </c>
      <c r="BZ19">
        <f>SUMPRODUCT((M_BOM[Part Name]=$A19)*M_BOM[RM_Qty_Per_Batch]*IFERROR(INDEX(PP_Grid[#Data],M_BOM[PPGridRow],78),0))+IFERROR(INDEX(M_RawMaterials[固定週次消費量_要入力],MATCH($A19,M_RawMaterials[Part Name],0)),0)</f>
        <v/>
      </c>
      <c r="CA19">
        <f>SUMPRODUCT((M_BOM[Part Name]=$A19)*M_BOM[RM_Qty_Per_Batch]*IFERROR(INDEX(PP_Grid[#Data],M_BOM[PPGridRow],79),0))+IFERROR(INDEX(M_RawMaterials[固定週次消費量_要入力],MATCH($A19,M_RawMaterials[Part Name],0)),0)</f>
        <v/>
      </c>
      <c r="CB19">
        <f>SUMPRODUCT((M_BOM[Part Name]=$A19)*M_BOM[RM_Qty_Per_Batch]*IFERROR(INDEX(PP_Grid[#Data],M_BOM[PPGridRow],80),0))+IFERROR(INDEX(M_RawMaterials[固定週次消費量_要入力],MATCH($A19,M_RawMaterials[Part Name],0)),0)</f>
        <v/>
      </c>
      <c r="CC19">
        <f>SUMPRODUCT((M_BOM[Part Name]=$A19)*M_BOM[RM_Qty_Per_Batch]*IFERROR(INDEX(PP_Grid[#Data],M_BOM[PPGridRow],81),0))+IFERROR(INDEX(M_RawMaterials[固定週次消費量_要入力],MATCH($A19,M_RawMaterials[Part Name],0)),0)</f>
        <v/>
      </c>
      <c r="CD19">
        <f>SUMPRODUCT((M_BOM[Part Name]=$A19)*M_BOM[RM_Qty_Per_Batch]*IFERROR(INDEX(PP_Grid[#Data],M_BOM[PPGridRow],82),0))+IFERROR(INDEX(M_RawMaterials[固定週次消費量_要入力],MATCH($A19,M_RawMaterials[Part Name],0)),0)</f>
        <v/>
      </c>
      <c r="CE19">
        <f>SUMPRODUCT((M_BOM[Part Name]=$A19)*M_BOM[RM_Qty_Per_Batch]*IFERROR(INDEX(PP_Grid[#Data],M_BOM[PPGridRow],83),0))+IFERROR(INDEX(M_RawMaterials[固定週次消費量_要入力],MATCH($A19,M_RawMaterials[Part Name],0)),0)</f>
        <v/>
      </c>
      <c r="CF19">
        <f>SUMPRODUCT((M_BOM[Part Name]=$A19)*M_BOM[RM_Qty_Per_Batch]*IFERROR(INDEX(PP_Grid[#Data],M_BOM[PPGridRow],84),0))+IFERROR(INDEX(M_RawMaterials[固定週次消費量_要入力],MATCH($A19,M_RawMaterials[Part Name],0)),0)</f>
        <v/>
      </c>
      <c r="CG19">
        <f>SUMPRODUCT((M_BOM[Part Name]=$A19)*M_BOM[RM_Qty_Per_Batch]*IFERROR(INDEX(PP_Grid[#Data],M_BOM[PPGridRow],85),0))+IFERROR(INDEX(M_RawMaterials[固定週次消費量_要入力],MATCH($A19,M_RawMaterials[Part Name],0)),0)</f>
        <v/>
      </c>
      <c r="CH19">
        <f>SUMPRODUCT((M_BOM[Part Name]=$A19)*M_BOM[RM_Qty_Per_Batch]*IFERROR(INDEX(PP_Grid[#Data],M_BOM[PPGridRow],86),0))+IFERROR(INDEX(M_RawMaterials[固定週次消費量_要入力],MATCH($A19,M_RawMaterials[Part Name],0)),0)</f>
        <v/>
      </c>
      <c r="CI19">
        <f>SUMPRODUCT((M_BOM[Part Name]=$A19)*M_BOM[RM_Qty_Per_Batch]*IFERROR(INDEX(PP_Grid[#Data],M_BOM[PPGridRow],87),0))+IFERROR(INDEX(M_RawMaterials[固定週次消費量_要入力],MATCH($A19,M_RawMaterials[Part Name],0)),0)</f>
        <v/>
      </c>
      <c r="CJ19">
        <f>SUMPRODUCT((M_BOM[Part Name]=$A19)*M_BOM[RM_Qty_Per_Batch]*IFERROR(INDEX(PP_Grid[#Data],M_BOM[PPGridRow],88),0))+IFERROR(INDEX(M_RawMaterials[固定週次消費量_要入力],MATCH($A19,M_RawMaterials[Part Name],0)),0)</f>
        <v/>
      </c>
      <c r="CK19">
        <f>SUMPRODUCT((M_BOM[Part Name]=$A19)*M_BOM[RM_Qty_Per_Batch]*IFERROR(INDEX(PP_Grid[#Data],M_BOM[PPGridRow],89),0))+IFERROR(INDEX(M_RawMaterials[固定週次消費量_要入力],MATCH($A19,M_RawMaterials[Part Name],0)),0)</f>
        <v/>
      </c>
      <c r="CL19">
        <f>SUMPRODUCT((M_BOM[Part Name]=$A19)*M_BOM[RM_Qty_Per_Batch]*IFERROR(INDEX(PP_Grid[#Data],M_BOM[PPGridRow],90),0))+IFERROR(INDEX(M_RawMaterials[固定週次消費量_要入力],MATCH($A19,M_RawMaterials[Part Name],0)),0)</f>
        <v/>
      </c>
      <c r="CM19">
        <f>SUMPRODUCT((M_BOM[Part Name]=$A19)*M_BOM[RM_Qty_Per_Batch]*IFERROR(INDEX(PP_Grid[#Data],M_BOM[PPGridRow],91),0))+IFERROR(INDEX(M_RawMaterials[固定週次消費量_要入力],MATCH($A19,M_RawMaterials[Part Name],0)),0)</f>
        <v/>
      </c>
      <c r="CN19">
        <f>SUMPRODUCT((M_BOM[Part Name]=$A19)*M_BOM[RM_Qty_Per_Batch]*IFERROR(INDEX(PP_Grid[#Data],M_BOM[PPGridRow],92),0))+IFERROR(INDEX(M_RawMaterials[固定週次消費量_要入力],MATCH($A19,M_RawMaterials[Part Name],0)),0)</f>
        <v/>
      </c>
      <c r="CO19">
        <f>SUMPRODUCT((M_BOM[Part Name]=$A19)*M_BOM[RM_Qty_Per_Batch]*IFERROR(INDEX(PP_Grid[#Data],M_BOM[PPGridRow],93),0))+IFERROR(INDEX(M_RawMaterials[固定週次消費量_要入力],MATCH($A19,M_RawMaterials[Part Name],0)),0)</f>
        <v/>
      </c>
      <c r="CP19">
        <f>SUMPRODUCT((M_BOM[Part Name]=$A19)*M_BOM[RM_Qty_Per_Batch]*IFERROR(INDEX(PP_Grid[#Data],M_BOM[PPGridRow],94),0))+IFERROR(INDEX(M_RawMaterials[固定週次消費量_要入力],MATCH($A19,M_RawMaterials[Part Name],0)),0)</f>
        <v/>
      </c>
      <c r="CQ19">
        <f>SUMPRODUCT((M_BOM[Part Name]=$A19)*M_BOM[RM_Qty_Per_Batch]*IFERROR(INDEX(PP_Grid[#Data],M_BOM[PPGridRow],95),0))+IFERROR(INDEX(M_RawMaterials[固定週次消費量_要入力],MATCH($A19,M_RawMaterials[Part Name],0)),0)</f>
        <v/>
      </c>
      <c r="CR19">
        <f>SUMPRODUCT((M_BOM[Part Name]=$A19)*M_BOM[RM_Qty_Per_Batch]*IFERROR(INDEX(PP_Grid[#Data],M_BOM[PPGridRow],96),0))+IFERROR(INDEX(M_RawMaterials[固定週次消費量_要入力],MATCH($A19,M_RawMaterials[Part Name],0)),0)</f>
        <v/>
      </c>
      <c r="CS19">
        <f>SUMPRODUCT((M_BOM[Part Name]=$A19)*M_BOM[RM_Qty_Per_Batch]*IFERROR(INDEX(PP_Grid[#Data],M_BOM[PPGridRow],97),0))+IFERROR(INDEX(M_RawMaterials[固定週次消費量_要入力],MATCH($A19,M_RawMaterials[Part Name],0)),0)</f>
        <v/>
      </c>
      <c r="CT19">
        <f>SUMPRODUCT((M_BOM[Part Name]=$A19)*M_BOM[RM_Qty_Per_Batch]*IFERROR(INDEX(PP_Grid[#Data],M_BOM[PPGridRow],98),0))+IFERROR(INDEX(M_RawMaterials[固定週次消費量_要入力],MATCH($A19,M_RawMaterials[Part Name],0)),0)</f>
        <v/>
      </c>
      <c r="CU19">
        <f>SUMPRODUCT((M_BOM[Part Name]=$A19)*M_BOM[RM_Qty_Per_Batch]*IFERROR(INDEX(PP_Grid[#Data],M_BOM[PPGridRow],99),0))+IFERROR(INDEX(M_RawMaterials[固定週次消費量_要入力],MATCH($A19,M_RawMaterials[Part Name],0)),0)</f>
        <v/>
      </c>
      <c r="CV19">
        <f>SUMPRODUCT((M_BOM[Part Name]=$A19)*M_BOM[RM_Qty_Per_Batch]*IFERROR(INDEX(PP_Grid[#Data],M_BOM[PPGridRow],100),0))+IFERROR(INDEX(M_RawMaterials[固定週次消費量_要入力],MATCH($A19,M_RawMaterials[Part Name],0)),0)</f>
        <v/>
      </c>
      <c r="CW19">
        <f>SUMPRODUCT((M_BOM[Part Name]=$A19)*M_BOM[RM_Qty_Per_Batch]*IFERROR(INDEX(PP_Grid[#Data],M_BOM[PPGridRow],101),0))+IFERROR(INDEX(M_RawMaterials[固定週次消費量_要入力],MATCH($A19,M_RawMaterials[Part Name],0)),0)</f>
        <v/>
      </c>
      <c r="CX19">
        <f>SUMPRODUCT((M_BOM[Part Name]=$A19)*M_BOM[RM_Qty_Per_Batch]*IFERROR(INDEX(PP_Grid[#Data],M_BOM[PPGridRow],102),0))+IFERROR(INDEX(M_RawMaterials[固定週次消費量_要入力],MATCH($A19,M_RawMaterials[Part Name],0)),0)</f>
        <v/>
      </c>
      <c r="CY19">
        <f>SUMPRODUCT((M_BOM[Part Name]=$A19)*M_BOM[RM_Qty_Per_Batch]*IFERROR(INDEX(PP_Grid[#Data],M_BOM[PPGridRow],103),0))+IFERROR(INDEX(M_RawMaterials[固定週次消費量_要入力],MATCH($A19,M_RawMaterials[Part Name],0)),0)</f>
        <v/>
      </c>
      <c r="CZ19">
        <f>SUMPRODUCT((M_BOM[Part Name]=$A19)*M_BOM[RM_Qty_Per_Batch]*IFERROR(INDEX(PP_Grid[#Data],M_BOM[PPGridRow],104),0))+IFERROR(INDEX(M_RawMaterials[固定週次消費量_要入力],MATCH($A19,M_RawMaterials[Part Name],0)),0)</f>
        <v/>
      </c>
      <c r="DA19">
        <f>SUMPRODUCT((M_BOM[Part Name]=$A19)*M_BOM[RM_Qty_Per_Batch]*IFERROR(INDEX(PP_Grid[#Data],M_BOM[PPGridRow],105),0))+IFERROR(INDEX(M_RawMaterials[固定週次消費量_要入力],MATCH($A19,M_RawMaterials[Part Name],0)),0)</f>
        <v/>
      </c>
    </row>
    <row r="20">
      <c r="A20" t="inlineStr">
        <is>
          <t>73K</t>
        </is>
      </c>
      <c r="B20">
        <f>SUMPRODUCT((M_BOM[Part Name]=$A20)*M_BOM[RM_Qty_Per_Batch]*IFERROR(INDEX(PP_Grid[#Data],M_BOM[PPGridRow],2),0))+IFERROR(INDEX(M_RawMaterials[固定週次消費量_要入力],MATCH($A20,M_RawMaterials[Part Name],0)),0)</f>
        <v/>
      </c>
      <c r="C20">
        <f>SUMPRODUCT((M_BOM[Part Name]=$A20)*M_BOM[RM_Qty_Per_Batch]*IFERROR(INDEX(PP_Grid[#Data],M_BOM[PPGridRow],3),0))+IFERROR(INDEX(M_RawMaterials[固定週次消費量_要入力],MATCH($A20,M_RawMaterials[Part Name],0)),0)</f>
        <v/>
      </c>
      <c r="D20">
        <f>SUMPRODUCT((M_BOM[Part Name]=$A20)*M_BOM[RM_Qty_Per_Batch]*IFERROR(INDEX(PP_Grid[#Data],M_BOM[PPGridRow],4),0))+IFERROR(INDEX(M_RawMaterials[固定週次消費量_要入力],MATCH($A20,M_RawMaterials[Part Name],0)),0)</f>
        <v/>
      </c>
      <c r="E20">
        <f>SUMPRODUCT((M_BOM[Part Name]=$A20)*M_BOM[RM_Qty_Per_Batch]*IFERROR(INDEX(PP_Grid[#Data],M_BOM[PPGridRow],5),0))+IFERROR(INDEX(M_RawMaterials[固定週次消費量_要入力],MATCH($A20,M_RawMaterials[Part Name],0)),0)</f>
        <v/>
      </c>
      <c r="F20">
        <f>SUMPRODUCT((M_BOM[Part Name]=$A20)*M_BOM[RM_Qty_Per_Batch]*IFERROR(INDEX(PP_Grid[#Data],M_BOM[PPGridRow],6),0))+IFERROR(INDEX(M_RawMaterials[固定週次消費量_要入力],MATCH($A20,M_RawMaterials[Part Name],0)),0)</f>
        <v/>
      </c>
      <c r="G20">
        <f>SUMPRODUCT((M_BOM[Part Name]=$A20)*M_BOM[RM_Qty_Per_Batch]*IFERROR(INDEX(PP_Grid[#Data],M_BOM[PPGridRow],7),0))+IFERROR(INDEX(M_RawMaterials[固定週次消費量_要入力],MATCH($A20,M_RawMaterials[Part Name],0)),0)</f>
        <v/>
      </c>
      <c r="H20">
        <f>SUMPRODUCT((M_BOM[Part Name]=$A20)*M_BOM[RM_Qty_Per_Batch]*IFERROR(INDEX(PP_Grid[#Data],M_BOM[PPGridRow],8),0))+IFERROR(INDEX(M_RawMaterials[固定週次消費量_要入力],MATCH($A20,M_RawMaterials[Part Name],0)),0)</f>
        <v/>
      </c>
      <c r="I20">
        <f>SUMPRODUCT((M_BOM[Part Name]=$A20)*M_BOM[RM_Qty_Per_Batch]*IFERROR(INDEX(PP_Grid[#Data],M_BOM[PPGridRow],9),0))+IFERROR(INDEX(M_RawMaterials[固定週次消費量_要入力],MATCH($A20,M_RawMaterials[Part Name],0)),0)</f>
        <v/>
      </c>
      <c r="J20">
        <f>SUMPRODUCT((M_BOM[Part Name]=$A20)*M_BOM[RM_Qty_Per_Batch]*IFERROR(INDEX(PP_Grid[#Data],M_BOM[PPGridRow],10),0))+IFERROR(INDEX(M_RawMaterials[固定週次消費量_要入力],MATCH($A20,M_RawMaterials[Part Name],0)),0)</f>
        <v/>
      </c>
      <c r="K20">
        <f>SUMPRODUCT((M_BOM[Part Name]=$A20)*M_BOM[RM_Qty_Per_Batch]*IFERROR(INDEX(PP_Grid[#Data],M_BOM[PPGridRow],11),0))+IFERROR(INDEX(M_RawMaterials[固定週次消費量_要入力],MATCH($A20,M_RawMaterials[Part Name],0)),0)</f>
        <v/>
      </c>
      <c r="L20">
        <f>SUMPRODUCT((M_BOM[Part Name]=$A20)*M_BOM[RM_Qty_Per_Batch]*IFERROR(INDEX(PP_Grid[#Data],M_BOM[PPGridRow],12),0))+IFERROR(INDEX(M_RawMaterials[固定週次消費量_要入力],MATCH($A20,M_RawMaterials[Part Name],0)),0)</f>
        <v/>
      </c>
      <c r="M20">
        <f>SUMPRODUCT((M_BOM[Part Name]=$A20)*M_BOM[RM_Qty_Per_Batch]*IFERROR(INDEX(PP_Grid[#Data],M_BOM[PPGridRow],13),0))+IFERROR(INDEX(M_RawMaterials[固定週次消費量_要入力],MATCH($A20,M_RawMaterials[Part Name],0)),0)</f>
        <v/>
      </c>
      <c r="N20">
        <f>SUMPRODUCT((M_BOM[Part Name]=$A20)*M_BOM[RM_Qty_Per_Batch]*IFERROR(INDEX(PP_Grid[#Data],M_BOM[PPGridRow],14),0))+IFERROR(INDEX(M_RawMaterials[固定週次消費量_要入力],MATCH($A20,M_RawMaterials[Part Name],0)),0)</f>
        <v/>
      </c>
      <c r="O20">
        <f>SUMPRODUCT((M_BOM[Part Name]=$A20)*M_BOM[RM_Qty_Per_Batch]*IFERROR(INDEX(PP_Grid[#Data],M_BOM[PPGridRow],15),0))+IFERROR(INDEX(M_RawMaterials[固定週次消費量_要入力],MATCH($A20,M_RawMaterials[Part Name],0)),0)</f>
        <v/>
      </c>
      <c r="P20">
        <f>SUMPRODUCT((M_BOM[Part Name]=$A20)*M_BOM[RM_Qty_Per_Batch]*IFERROR(INDEX(PP_Grid[#Data],M_BOM[PPGridRow],16),0))+IFERROR(INDEX(M_RawMaterials[固定週次消費量_要入力],MATCH($A20,M_RawMaterials[Part Name],0)),0)</f>
        <v/>
      </c>
      <c r="Q20">
        <f>SUMPRODUCT((M_BOM[Part Name]=$A20)*M_BOM[RM_Qty_Per_Batch]*IFERROR(INDEX(PP_Grid[#Data],M_BOM[PPGridRow],17),0))+IFERROR(INDEX(M_RawMaterials[固定週次消費量_要入力],MATCH($A20,M_RawMaterials[Part Name],0)),0)</f>
        <v/>
      </c>
      <c r="R20">
        <f>SUMPRODUCT((M_BOM[Part Name]=$A20)*M_BOM[RM_Qty_Per_Batch]*IFERROR(INDEX(PP_Grid[#Data],M_BOM[PPGridRow],18),0))+IFERROR(INDEX(M_RawMaterials[固定週次消費量_要入力],MATCH($A20,M_RawMaterials[Part Name],0)),0)</f>
        <v/>
      </c>
      <c r="S20">
        <f>SUMPRODUCT((M_BOM[Part Name]=$A20)*M_BOM[RM_Qty_Per_Batch]*IFERROR(INDEX(PP_Grid[#Data],M_BOM[PPGridRow],19),0))+IFERROR(INDEX(M_RawMaterials[固定週次消費量_要入力],MATCH($A20,M_RawMaterials[Part Name],0)),0)</f>
        <v/>
      </c>
      <c r="T20">
        <f>SUMPRODUCT((M_BOM[Part Name]=$A20)*M_BOM[RM_Qty_Per_Batch]*IFERROR(INDEX(PP_Grid[#Data],M_BOM[PPGridRow],20),0))+IFERROR(INDEX(M_RawMaterials[固定週次消費量_要入力],MATCH($A20,M_RawMaterials[Part Name],0)),0)</f>
        <v/>
      </c>
      <c r="U20">
        <f>SUMPRODUCT((M_BOM[Part Name]=$A20)*M_BOM[RM_Qty_Per_Batch]*IFERROR(INDEX(PP_Grid[#Data],M_BOM[PPGridRow],21),0))+IFERROR(INDEX(M_RawMaterials[固定週次消費量_要入力],MATCH($A20,M_RawMaterials[Part Name],0)),0)</f>
        <v/>
      </c>
      <c r="V20">
        <f>SUMPRODUCT((M_BOM[Part Name]=$A20)*M_BOM[RM_Qty_Per_Batch]*IFERROR(INDEX(PP_Grid[#Data],M_BOM[PPGridRow],22),0))+IFERROR(INDEX(M_RawMaterials[固定週次消費量_要入力],MATCH($A20,M_RawMaterials[Part Name],0)),0)</f>
        <v/>
      </c>
      <c r="W20">
        <f>SUMPRODUCT((M_BOM[Part Name]=$A20)*M_BOM[RM_Qty_Per_Batch]*IFERROR(INDEX(PP_Grid[#Data],M_BOM[PPGridRow],23),0))+IFERROR(INDEX(M_RawMaterials[固定週次消費量_要入力],MATCH($A20,M_RawMaterials[Part Name],0)),0)</f>
        <v/>
      </c>
      <c r="X20">
        <f>SUMPRODUCT((M_BOM[Part Name]=$A20)*M_BOM[RM_Qty_Per_Batch]*IFERROR(INDEX(PP_Grid[#Data],M_BOM[PPGridRow],24),0))+IFERROR(INDEX(M_RawMaterials[固定週次消費量_要入力],MATCH($A20,M_RawMaterials[Part Name],0)),0)</f>
        <v/>
      </c>
      <c r="Y20">
        <f>SUMPRODUCT((M_BOM[Part Name]=$A20)*M_BOM[RM_Qty_Per_Batch]*IFERROR(INDEX(PP_Grid[#Data],M_BOM[PPGridRow],25),0))+IFERROR(INDEX(M_RawMaterials[固定週次消費量_要入力],MATCH($A20,M_RawMaterials[Part Name],0)),0)</f>
        <v/>
      </c>
      <c r="Z20">
        <f>SUMPRODUCT((M_BOM[Part Name]=$A20)*M_BOM[RM_Qty_Per_Batch]*IFERROR(INDEX(PP_Grid[#Data],M_BOM[PPGridRow],26),0))+IFERROR(INDEX(M_RawMaterials[固定週次消費量_要入力],MATCH($A20,M_RawMaterials[Part Name],0)),0)</f>
        <v/>
      </c>
      <c r="AA20">
        <f>SUMPRODUCT((M_BOM[Part Name]=$A20)*M_BOM[RM_Qty_Per_Batch]*IFERROR(INDEX(PP_Grid[#Data],M_BOM[PPGridRow],27),0))+IFERROR(INDEX(M_RawMaterials[固定週次消費量_要入力],MATCH($A20,M_RawMaterials[Part Name],0)),0)</f>
        <v/>
      </c>
      <c r="AB20">
        <f>SUMPRODUCT((M_BOM[Part Name]=$A20)*M_BOM[RM_Qty_Per_Batch]*IFERROR(INDEX(PP_Grid[#Data],M_BOM[PPGridRow],28),0))+IFERROR(INDEX(M_RawMaterials[固定週次消費量_要入力],MATCH($A20,M_RawMaterials[Part Name],0)),0)</f>
        <v/>
      </c>
      <c r="AC20">
        <f>SUMPRODUCT((M_BOM[Part Name]=$A20)*M_BOM[RM_Qty_Per_Batch]*IFERROR(INDEX(PP_Grid[#Data],M_BOM[PPGridRow],29),0))+IFERROR(INDEX(M_RawMaterials[固定週次消費量_要入力],MATCH($A20,M_RawMaterials[Part Name],0)),0)</f>
        <v/>
      </c>
      <c r="AD20">
        <f>SUMPRODUCT((M_BOM[Part Name]=$A20)*M_BOM[RM_Qty_Per_Batch]*IFERROR(INDEX(PP_Grid[#Data],M_BOM[PPGridRow],30),0))+IFERROR(INDEX(M_RawMaterials[固定週次消費量_要入力],MATCH($A20,M_RawMaterials[Part Name],0)),0)</f>
        <v/>
      </c>
      <c r="AE20">
        <f>SUMPRODUCT((M_BOM[Part Name]=$A20)*M_BOM[RM_Qty_Per_Batch]*IFERROR(INDEX(PP_Grid[#Data],M_BOM[PPGridRow],31),0))+IFERROR(INDEX(M_RawMaterials[固定週次消費量_要入力],MATCH($A20,M_RawMaterials[Part Name],0)),0)</f>
        <v/>
      </c>
      <c r="AF20">
        <f>SUMPRODUCT((M_BOM[Part Name]=$A20)*M_BOM[RM_Qty_Per_Batch]*IFERROR(INDEX(PP_Grid[#Data],M_BOM[PPGridRow],32),0))+IFERROR(INDEX(M_RawMaterials[固定週次消費量_要入力],MATCH($A20,M_RawMaterials[Part Name],0)),0)</f>
        <v/>
      </c>
      <c r="AG20">
        <f>SUMPRODUCT((M_BOM[Part Name]=$A20)*M_BOM[RM_Qty_Per_Batch]*IFERROR(INDEX(PP_Grid[#Data],M_BOM[PPGridRow],33),0))+IFERROR(INDEX(M_RawMaterials[固定週次消費量_要入力],MATCH($A20,M_RawMaterials[Part Name],0)),0)</f>
        <v/>
      </c>
      <c r="AH20">
        <f>SUMPRODUCT((M_BOM[Part Name]=$A20)*M_BOM[RM_Qty_Per_Batch]*IFERROR(INDEX(PP_Grid[#Data],M_BOM[PPGridRow],34),0))+IFERROR(INDEX(M_RawMaterials[固定週次消費量_要入力],MATCH($A20,M_RawMaterials[Part Name],0)),0)</f>
        <v/>
      </c>
      <c r="AI20">
        <f>SUMPRODUCT((M_BOM[Part Name]=$A20)*M_BOM[RM_Qty_Per_Batch]*IFERROR(INDEX(PP_Grid[#Data],M_BOM[PPGridRow],35),0))+IFERROR(INDEX(M_RawMaterials[固定週次消費量_要入力],MATCH($A20,M_RawMaterials[Part Name],0)),0)</f>
        <v/>
      </c>
      <c r="AJ20">
        <f>SUMPRODUCT((M_BOM[Part Name]=$A20)*M_BOM[RM_Qty_Per_Batch]*IFERROR(INDEX(PP_Grid[#Data],M_BOM[PPGridRow],36),0))+IFERROR(INDEX(M_RawMaterials[固定週次消費量_要入力],MATCH($A20,M_RawMaterials[Part Name],0)),0)</f>
        <v/>
      </c>
      <c r="AK20">
        <f>SUMPRODUCT((M_BOM[Part Name]=$A20)*M_BOM[RM_Qty_Per_Batch]*IFERROR(INDEX(PP_Grid[#Data],M_BOM[PPGridRow],37),0))+IFERROR(INDEX(M_RawMaterials[固定週次消費量_要入力],MATCH($A20,M_RawMaterials[Part Name],0)),0)</f>
        <v/>
      </c>
      <c r="AL20">
        <f>SUMPRODUCT((M_BOM[Part Name]=$A20)*M_BOM[RM_Qty_Per_Batch]*IFERROR(INDEX(PP_Grid[#Data],M_BOM[PPGridRow],38),0))+IFERROR(INDEX(M_RawMaterials[固定週次消費量_要入力],MATCH($A20,M_RawMaterials[Part Name],0)),0)</f>
        <v/>
      </c>
      <c r="AM20">
        <f>SUMPRODUCT((M_BOM[Part Name]=$A20)*M_BOM[RM_Qty_Per_Batch]*IFERROR(INDEX(PP_Grid[#Data],M_BOM[PPGridRow],39),0))+IFERROR(INDEX(M_RawMaterials[固定週次消費量_要入力],MATCH($A20,M_RawMaterials[Part Name],0)),0)</f>
        <v/>
      </c>
      <c r="AN20">
        <f>SUMPRODUCT((M_BOM[Part Name]=$A20)*M_BOM[RM_Qty_Per_Batch]*IFERROR(INDEX(PP_Grid[#Data],M_BOM[PPGridRow],40),0))+IFERROR(INDEX(M_RawMaterials[固定週次消費量_要入力],MATCH($A20,M_RawMaterials[Part Name],0)),0)</f>
        <v/>
      </c>
      <c r="AO20">
        <f>SUMPRODUCT((M_BOM[Part Name]=$A20)*M_BOM[RM_Qty_Per_Batch]*IFERROR(INDEX(PP_Grid[#Data],M_BOM[PPGridRow],41),0))+IFERROR(INDEX(M_RawMaterials[固定週次消費量_要入力],MATCH($A20,M_RawMaterials[Part Name],0)),0)</f>
        <v/>
      </c>
      <c r="AP20">
        <f>SUMPRODUCT((M_BOM[Part Name]=$A20)*M_BOM[RM_Qty_Per_Batch]*IFERROR(INDEX(PP_Grid[#Data],M_BOM[PPGridRow],42),0))+IFERROR(INDEX(M_RawMaterials[固定週次消費量_要入力],MATCH($A20,M_RawMaterials[Part Name],0)),0)</f>
        <v/>
      </c>
      <c r="AQ20">
        <f>SUMPRODUCT((M_BOM[Part Name]=$A20)*M_BOM[RM_Qty_Per_Batch]*IFERROR(INDEX(PP_Grid[#Data],M_BOM[PPGridRow],43),0))+IFERROR(INDEX(M_RawMaterials[固定週次消費量_要入力],MATCH($A20,M_RawMaterials[Part Name],0)),0)</f>
        <v/>
      </c>
      <c r="AR20">
        <f>SUMPRODUCT((M_BOM[Part Name]=$A20)*M_BOM[RM_Qty_Per_Batch]*IFERROR(INDEX(PP_Grid[#Data],M_BOM[PPGridRow],44),0))+IFERROR(INDEX(M_RawMaterials[固定週次消費量_要入力],MATCH($A20,M_RawMaterials[Part Name],0)),0)</f>
        <v/>
      </c>
      <c r="AS20">
        <f>SUMPRODUCT((M_BOM[Part Name]=$A20)*M_BOM[RM_Qty_Per_Batch]*IFERROR(INDEX(PP_Grid[#Data],M_BOM[PPGridRow],45),0))+IFERROR(INDEX(M_RawMaterials[固定週次消費量_要入力],MATCH($A20,M_RawMaterials[Part Name],0)),0)</f>
        <v/>
      </c>
      <c r="AT20">
        <f>SUMPRODUCT((M_BOM[Part Name]=$A20)*M_BOM[RM_Qty_Per_Batch]*IFERROR(INDEX(PP_Grid[#Data],M_BOM[PPGridRow],46),0))+IFERROR(INDEX(M_RawMaterials[固定週次消費量_要入力],MATCH($A20,M_RawMaterials[Part Name],0)),0)</f>
        <v/>
      </c>
      <c r="AU20">
        <f>SUMPRODUCT((M_BOM[Part Name]=$A20)*M_BOM[RM_Qty_Per_Batch]*IFERROR(INDEX(PP_Grid[#Data],M_BOM[PPGridRow],47),0))+IFERROR(INDEX(M_RawMaterials[固定週次消費量_要入力],MATCH($A20,M_RawMaterials[Part Name],0)),0)</f>
        <v/>
      </c>
      <c r="AV20">
        <f>SUMPRODUCT((M_BOM[Part Name]=$A20)*M_BOM[RM_Qty_Per_Batch]*IFERROR(INDEX(PP_Grid[#Data],M_BOM[PPGridRow],48),0))+IFERROR(INDEX(M_RawMaterials[固定週次消費量_要入力],MATCH($A20,M_RawMaterials[Part Name],0)),0)</f>
        <v/>
      </c>
      <c r="AW20">
        <f>SUMPRODUCT((M_BOM[Part Name]=$A20)*M_BOM[RM_Qty_Per_Batch]*IFERROR(INDEX(PP_Grid[#Data],M_BOM[PPGridRow],49),0))+IFERROR(INDEX(M_RawMaterials[固定週次消費量_要入力],MATCH($A20,M_RawMaterials[Part Name],0)),0)</f>
        <v/>
      </c>
      <c r="AX20">
        <f>SUMPRODUCT((M_BOM[Part Name]=$A20)*M_BOM[RM_Qty_Per_Batch]*IFERROR(INDEX(PP_Grid[#Data],M_BOM[PPGridRow],50),0))+IFERROR(INDEX(M_RawMaterials[固定週次消費量_要入力],MATCH($A20,M_RawMaterials[Part Name],0)),0)</f>
        <v/>
      </c>
      <c r="AY20">
        <f>SUMPRODUCT((M_BOM[Part Name]=$A20)*M_BOM[RM_Qty_Per_Batch]*IFERROR(INDEX(PP_Grid[#Data],M_BOM[PPGridRow],51),0))+IFERROR(INDEX(M_RawMaterials[固定週次消費量_要入力],MATCH($A20,M_RawMaterials[Part Name],0)),0)</f>
        <v/>
      </c>
      <c r="AZ20">
        <f>SUMPRODUCT((M_BOM[Part Name]=$A20)*M_BOM[RM_Qty_Per_Batch]*IFERROR(INDEX(PP_Grid[#Data],M_BOM[PPGridRow],52),0))+IFERROR(INDEX(M_RawMaterials[固定週次消費量_要入力],MATCH($A20,M_RawMaterials[Part Name],0)),0)</f>
        <v/>
      </c>
      <c r="BA20">
        <f>SUMPRODUCT((M_BOM[Part Name]=$A20)*M_BOM[RM_Qty_Per_Batch]*IFERROR(INDEX(PP_Grid[#Data],M_BOM[PPGridRow],53),0))+IFERROR(INDEX(M_RawMaterials[固定週次消費量_要入力],MATCH($A20,M_RawMaterials[Part Name],0)),0)</f>
        <v/>
      </c>
      <c r="BB20">
        <f>SUMPRODUCT((M_BOM[Part Name]=$A20)*M_BOM[RM_Qty_Per_Batch]*IFERROR(INDEX(PP_Grid[#Data],M_BOM[PPGridRow],54),0))+IFERROR(INDEX(M_RawMaterials[固定週次消費量_要入力],MATCH($A20,M_RawMaterials[Part Name],0)),0)</f>
        <v/>
      </c>
      <c r="BC20">
        <f>SUMPRODUCT((M_BOM[Part Name]=$A20)*M_BOM[RM_Qty_Per_Batch]*IFERROR(INDEX(PP_Grid[#Data],M_BOM[PPGridRow],55),0))+IFERROR(INDEX(M_RawMaterials[固定週次消費量_要入力],MATCH($A20,M_RawMaterials[Part Name],0)),0)</f>
        <v/>
      </c>
      <c r="BD20">
        <f>SUMPRODUCT((M_BOM[Part Name]=$A20)*M_BOM[RM_Qty_Per_Batch]*IFERROR(INDEX(PP_Grid[#Data],M_BOM[PPGridRow],56),0))+IFERROR(INDEX(M_RawMaterials[固定週次消費量_要入力],MATCH($A20,M_RawMaterials[Part Name],0)),0)</f>
        <v/>
      </c>
      <c r="BE20">
        <f>SUMPRODUCT((M_BOM[Part Name]=$A20)*M_BOM[RM_Qty_Per_Batch]*IFERROR(INDEX(PP_Grid[#Data],M_BOM[PPGridRow],57),0))+IFERROR(INDEX(M_RawMaterials[固定週次消費量_要入力],MATCH($A20,M_RawMaterials[Part Name],0)),0)</f>
        <v/>
      </c>
      <c r="BF20">
        <f>SUMPRODUCT((M_BOM[Part Name]=$A20)*M_BOM[RM_Qty_Per_Batch]*IFERROR(INDEX(PP_Grid[#Data],M_BOM[PPGridRow],58),0))+IFERROR(INDEX(M_RawMaterials[固定週次消費量_要入力],MATCH($A20,M_RawMaterials[Part Name],0)),0)</f>
        <v/>
      </c>
      <c r="BG20">
        <f>SUMPRODUCT((M_BOM[Part Name]=$A20)*M_BOM[RM_Qty_Per_Batch]*IFERROR(INDEX(PP_Grid[#Data],M_BOM[PPGridRow],59),0))+IFERROR(INDEX(M_RawMaterials[固定週次消費量_要入力],MATCH($A20,M_RawMaterials[Part Name],0)),0)</f>
        <v/>
      </c>
      <c r="BH20">
        <f>SUMPRODUCT((M_BOM[Part Name]=$A20)*M_BOM[RM_Qty_Per_Batch]*IFERROR(INDEX(PP_Grid[#Data],M_BOM[PPGridRow],60),0))+IFERROR(INDEX(M_RawMaterials[固定週次消費量_要入力],MATCH($A20,M_RawMaterials[Part Name],0)),0)</f>
        <v/>
      </c>
      <c r="BI20">
        <f>SUMPRODUCT((M_BOM[Part Name]=$A20)*M_BOM[RM_Qty_Per_Batch]*IFERROR(INDEX(PP_Grid[#Data],M_BOM[PPGridRow],61),0))+IFERROR(INDEX(M_RawMaterials[固定週次消費量_要入力],MATCH($A20,M_RawMaterials[Part Name],0)),0)</f>
        <v/>
      </c>
      <c r="BJ20">
        <f>SUMPRODUCT((M_BOM[Part Name]=$A20)*M_BOM[RM_Qty_Per_Batch]*IFERROR(INDEX(PP_Grid[#Data],M_BOM[PPGridRow],62),0))+IFERROR(INDEX(M_RawMaterials[固定週次消費量_要入力],MATCH($A20,M_RawMaterials[Part Name],0)),0)</f>
        <v/>
      </c>
      <c r="BK20">
        <f>SUMPRODUCT((M_BOM[Part Name]=$A20)*M_BOM[RM_Qty_Per_Batch]*IFERROR(INDEX(PP_Grid[#Data],M_BOM[PPGridRow],63),0))+IFERROR(INDEX(M_RawMaterials[固定週次消費量_要入力],MATCH($A20,M_RawMaterials[Part Name],0)),0)</f>
        <v/>
      </c>
      <c r="BL20">
        <f>SUMPRODUCT((M_BOM[Part Name]=$A20)*M_BOM[RM_Qty_Per_Batch]*IFERROR(INDEX(PP_Grid[#Data],M_BOM[PPGridRow],64),0))+IFERROR(INDEX(M_RawMaterials[固定週次消費量_要入力],MATCH($A20,M_RawMaterials[Part Name],0)),0)</f>
        <v/>
      </c>
      <c r="BM20">
        <f>SUMPRODUCT((M_BOM[Part Name]=$A20)*M_BOM[RM_Qty_Per_Batch]*IFERROR(INDEX(PP_Grid[#Data],M_BOM[PPGridRow],65),0))+IFERROR(INDEX(M_RawMaterials[固定週次消費量_要入力],MATCH($A20,M_RawMaterials[Part Name],0)),0)</f>
        <v/>
      </c>
      <c r="BN20">
        <f>SUMPRODUCT((M_BOM[Part Name]=$A20)*M_BOM[RM_Qty_Per_Batch]*IFERROR(INDEX(PP_Grid[#Data],M_BOM[PPGridRow],66),0))+IFERROR(INDEX(M_RawMaterials[固定週次消費量_要入力],MATCH($A20,M_RawMaterials[Part Name],0)),0)</f>
        <v/>
      </c>
      <c r="BO20">
        <f>SUMPRODUCT((M_BOM[Part Name]=$A20)*M_BOM[RM_Qty_Per_Batch]*IFERROR(INDEX(PP_Grid[#Data],M_BOM[PPGridRow],67),0))+IFERROR(INDEX(M_RawMaterials[固定週次消費量_要入力],MATCH($A20,M_RawMaterials[Part Name],0)),0)</f>
        <v/>
      </c>
      <c r="BP20">
        <f>SUMPRODUCT((M_BOM[Part Name]=$A20)*M_BOM[RM_Qty_Per_Batch]*IFERROR(INDEX(PP_Grid[#Data],M_BOM[PPGridRow],68),0))+IFERROR(INDEX(M_RawMaterials[固定週次消費量_要入力],MATCH($A20,M_RawMaterials[Part Name],0)),0)</f>
        <v/>
      </c>
      <c r="BQ20">
        <f>SUMPRODUCT((M_BOM[Part Name]=$A20)*M_BOM[RM_Qty_Per_Batch]*IFERROR(INDEX(PP_Grid[#Data],M_BOM[PPGridRow],69),0))+IFERROR(INDEX(M_RawMaterials[固定週次消費量_要入力],MATCH($A20,M_RawMaterials[Part Name],0)),0)</f>
        <v/>
      </c>
      <c r="BR20">
        <f>SUMPRODUCT((M_BOM[Part Name]=$A20)*M_BOM[RM_Qty_Per_Batch]*IFERROR(INDEX(PP_Grid[#Data],M_BOM[PPGridRow],70),0))+IFERROR(INDEX(M_RawMaterials[固定週次消費量_要入力],MATCH($A20,M_RawMaterials[Part Name],0)),0)</f>
        <v/>
      </c>
      <c r="BS20">
        <f>SUMPRODUCT((M_BOM[Part Name]=$A20)*M_BOM[RM_Qty_Per_Batch]*IFERROR(INDEX(PP_Grid[#Data],M_BOM[PPGridRow],71),0))+IFERROR(INDEX(M_RawMaterials[固定週次消費量_要入力],MATCH($A20,M_RawMaterials[Part Name],0)),0)</f>
        <v/>
      </c>
      <c r="BT20">
        <f>SUMPRODUCT((M_BOM[Part Name]=$A20)*M_BOM[RM_Qty_Per_Batch]*IFERROR(INDEX(PP_Grid[#Data],M_BOM[PPGridRow],72),0))+IFERROR(INDEX(M_RawMaterials[固定週次消費量_要入力],MATCH($A20,M_RawMaterials[Part Name],0)),0)</f>
        <v/>
      </c>
      <c r="BU20">
        <f>SUMPRODUCT((M_BOM[Part Name]=$A20)*M_BOM[RM_Qty_Per_Batch]*IFERROR(INDEX(PP_Grid[#Data],M_BOM[PPGridRow],73),0))+IFERROR(INDEX(M_RawMaterials[固定週次消費量_要入力],MATCH($A20,M_RawMaterials[Part Name],0)),0)</f>
        <v/>
      </c>
      <c r="BV20">
        <f>SUMPRODUCT((M_BOM[Part Name]=$A20)*M_BOM[RM_Qty_Per_Batch]*IFERROR(INDEX(PP_Grid[#Data],M_BOM[PPGridRow],74),0))+IFERROR(INDEX(M_RawMaterials[固定週次消費量_要入力],MATCH($A20,M_RawMaterials[Part Name],0)),0)</f>
        <v/>
      </c>
      <c r="BW20">
        <f>SUMPRODUCT((M_BOM[Part Name]=$A20)*M_BOM[RM_Qty_Per_Batch]*IFERROR(INDEX(PP_Grid[#Data],M_BOM[PPGridRow],75),0))+IFERROR(INDEX(M_RawMaterials[固定週次消費量_要入力],MATCH($A20,M_RawMaterials[Part Name],0)),0)</f>
        <v/>
      </c>
      <c r="BX20">
        <f>SUMPRODUCT((M_BOM[Part Name]=$A20)*M_BOM[RM_Qty_Per_Batch]*IFERROR(INDEX(PP_Grid[#Data],M_BOM[PPGridRow],76),0))+IFERROR(INDEX(M_RawMaterials[固定週次消費量_要入力],MATCH($A20,M_RawMaterials[Part Name],0)),0)</f>
        <v/>
      </c>
      <c r="BY20">
        <f>SUMPRODUCT((M_BOM[Part Name]=$A20)*M_BOM[RM_Qty_Per_Batch]*IFERROR(INDEX(PP_Grid[#Data],M_BOM[PPGridRow],77),0))+IFERROR(INDEX(M_RawMaterials[固定週次消費量_要入力],MATCH($A20,M_RawMaterials[Part Name],0)),0)</f>
        <v/>
      </c>
      <c r="BZ20">
        <f>SUMPRODUCT((M_BOM[Part Name]=$A20)*M_BOM[RM_Qty_Per_Batch]*IFERROR(INDEX(PP_Grid[#Data],M_BOM[PPGridRow],78),0))+IFERROR(INDEX(M_RawMaterials[固定週次消費量_要入力],MATCH($A20,M_RawMaterials[Part Name],0)),0)</f>
        <v/>
      </c>
      <c r="CA20">
        <f>SUMPRODUCT((M_BOM[Part Name]=$A20)*M_BOM[RM_Qty_Per_Batch]*IFERROR(INDEX(PP_Grid[#Data],M_BOM[PPGridRow],79),0))+IFERROR(INDEX(M_RawMaterials[固定週次消費量_要入力],MATCH($A20,M_RawMaterials[Part Name],0)),0)</f>
        <v/>
      </c>
      <c r="CB20">
        <f>SUMPRODUCT((M_BOM[Part Name]=$A20)*M_BOM[RM_Qty_Per_Batch]*IFERROR(INDEX(PP_Grid[#Data],M_BOM[PPGridRow],80),0))+IFERROR(INDEX(M_RawMaterials[固定週次消費量_要入力],MATCH($A20,M_RawMaterials[Part Name],0)),0)</f>
        <v/>
      </c>
      <c r="CC20">
        <f>SUMPRODUCT((M_BOM[Part Name]=$A20)*M_BOM[RM_Qty_Per_Batch]*IFERROR(INDEX(PP_Grid[#Data],M_BOM[PPGridRow],81),0))+IFERROR(INDEX(M_RawMaterials[固定週次消費量_要入力],MATCH($A20,M_RawMaterials[Part Name],0)),0)</f>
        <v/>
      </c>
      <c r="CD20">
        <f>SUMPRODUCT((M_BOM[Part Name]=$A20)*M_BOM[RM_Qty_Per_Batch]*IFERROR(INDEX(PP_Grid[#Data],M_BOM[PPGridRow],82),0))+IFERROR(INDEX(M_RawMaterials[固定週次消費量_要入力],MATCH($A20,M_RawMaterials[Part Name],0)),0)</f>
        <v/>
      </c>
      <c r="CE20">
        <f>SUMPRODUCT((M_BOM[Part Name]=$A20)*M_BOM[RM_Qty_Per_Batch]*IFERROR(INDEX(PP_Grid[#Data],M_BOM[PPGridRow],83),0))+IFERROR(INDEX(M_RawMaterials[固定週次消費量_要入力],MATCH($A20,M_RawMaterials[Part Name],0)),0)</f>
        <v/>
      </c>
      <c r="CF20">
        <f>SUMPRODUCT((M_BOM[Part Name]=$A20)*M_BOM[RM_Qty_Per_Batch]*IFERROR(INDEX(PP_Grid[#Data],M_BOM[PPGridRow],84),0))+IFERROR(INDEX(M_RawMaterials[固定週次消費量_要入力],MATCH($A20,M_RawMaterials[Part Name],0)),0)</f>
        <v/>
      </c>
      <c r="CG20">
        <f>SUMPRODUCT((M_BOM[Part Name]=$A20)*M_BOM[RM_Qty_Per_Batch]*IFERROR(INDEX(PP_Grid[#Data],M_BOM[PPGridRow],85),0))+IFERROR(INDEX(M_RawMaterials[固定週次消費量_要入力],MATCH($A20,M_RawMaterials[Part Name],0)),0)</f>
        <v/>
      </c>
      <c r="CH20">
        <f>SUMPRODUCT((M_BOM[Part Name]=$A20)*M_BOM[RM_Qty_Per_Batch]*IFERROR(INDEX(PP_Grid[#Data],M_BOM[PPGridRow],86),0))+IFERROR(INDEX(M_RawMaterials[固定週次消費量_要入力],MATCH($A20,M_RawMaterials[Part Name],0)),0)</f>
        <v/>
      </c>
      <c r="CI20">
        <f>SUMPRODUCT((M_BOM[Part Name]=$A20)*M_BOM[RM_Qty_Per_Batch]*IFERROR(INDEX(PP_Grid[#Data],M_BOM[PPGridRow],87),0))+IFERROR(INDEX(M_RawMaterials[固定週次消費量_要入力],MATCH($A20,M_RawMaterials[Part Name],0)),0)</f>
        <v/>
      </c>
      <c r="CJ20">
        <f>SUMPRODUCT((M_BOM[Part Name]=$A20)*M_BOM[RM_Qty_Per_Batch]*IFERROR(INDEX(PP_Grid[#Data],M_BOM[PPGridRow],88),0))+IFERROR(INDEX(M_RawMaterials[固定週次消費量_要入力],MATCH($A20,M_RawMaterials[Part Name],0)),0)</f>
        <v/>
      </c>
      <c r="CK20">
        <f>SUMPRODUCT((M_BOM[Part Name]=$A20)*M_BOM[RM_Qty_Per_Batch]*IFERROR(INDEX(PP_Grid[#Data],M_BOM[PPGridRow],89),0))+IFERROR(INDEX(M_RawMaterials[固定週次消費量_要入力],MATCH($A20,M_RawMaterials[Part Name],0)),0)</f>
        <v/>
      </c>
      <c r="CL20">
        <f>SUMPRODUCT((M_BOM[Part Name]=$A20)*M_BOM[RM_Qty_Per_Batch]*IFERROR(INDEX(PP_Grid[#Data],M_BOM[PPGridRow],90),0))+IFERROR(INDEX(M_RawMaterials[固定週次消費量_要入力],MATCH($A20,M_RawMaterials[Part Name],0)),0)</f>
        <v/>
      </c>
      <c r="CM20">
        <f>SUMPRODUCT((M_BOM[Part Name]=$A20)*M_BOM[RM_Qty_Per_Batch]*IFERROR(INDEX(PP_Grid[#Data],M_BOM[PPGridRow],91),0))+IFERROR(INDEX(M_RawMaterials[固定週次消費量_要入力],MATCH($A20,M_RawMaterials[Part Name],0)),0)</f>
        <v/>
      </c>
      <c r="CN20">
        <f>SUMPRODUCT((M_BOM[Part Name]=$A20)*M_BOM[RM_Qty_Per_Batch]*IFERROR(INDEX(PP_Grid[#Data],M_BOM[PPGridRow],92),0))+IFERROR(INDEX(M_RawMaterials[固定週次消費量_要入力],MATCH($A20,M_RawMaterials[Part Name],0)),0)</f>
        <v/>
      </c>
      <c r="CO20">
        <f>SUMPRODUCT((M_BOM[Part Name]=$A20)*M_BOM[RM_Qty_Per_Batch]*IFERROR(INDEX(PP_Grid[#Data],M_BOM[PPGridRow],93),0))+IFERROR(INDEX(M_RawMaterials[固定週次消費量_要入力],MATCH($A20,M_RawMaterials[Part Name],0)),0)</f>
        <v/>
      </c>
      <c r="CP20">
        <f>SUMPRODUCT((M_BOM[Part Name]=$A20)*M_BOM[RM_Qty_Per_Batch]*IFERROR(INDEX(PP_Grid[#Data],M_BOM[PPGridRow],94),0))+IFERROR(INDEX(M_RawMaterials[固定週次消費量_要入力],MATCH($A20,M_RawMaterials[Part Name],0)),0)</f>
        <v/>
      </c>
      <c r="CQ20">
        <f>SUMPRODUCT((M_BOM[Part Name]=$A20)*M_BOM[RM_Qty_Per_Batch]*IFERROR(INDEX(PP_Grid[#Data],M_BOM[PPGridRow],95),0))+IFERROR(INDEX(M_RawMaterials[固定週次消費量_要入力],MATCH($A20,M_RawMaterials[Part Name],0)),0)</f>
        <v/>
      </c>
      <c r="CR20">
        <f>SUMPRODUCT((M_BOM[Part Name]=$A20)*M_BOM[RM_Qty_Per_Batch]*IFERROR(INDEX(PP_Grid[#Data],M_BOM[PPGridRow],96),0))+IFERROR(INDEX(M_RawMaterials[固定週次消費量_要入力],MATCH($A20,M_RawMaterials[Part Name],0)),0)</f>
        <v/>
      </c>
      <c r="CS20">
        <f>SUMPRODUCT((M_BOM[Part Name]=$A20)*M_BOM[RM_Qty_Per_Batch]*IFERROR(INDEX(PP_Grid[#Data],M_BOM[PPGridRow],97),0))+IFERROR(INDEX(M_RawMaterials[固定週次消費量_要入力],MATCH($A20,M_RawMaterials[Part Name],0)),0)</f>
        <v/>
      </c>
      <c r="CT20">
        <f>SUMPRODUCT((M_BOM[Part Name]=$A20)*M_BOM[RM_Qty_Per_Batch]*IFERROR(INDEX(PP_Grid[#Data],M_BOM[PPGridRow],98),0))+IFERROR(INDEX(M_RawMaterials[固定週次消費量_要入力],MATCH($A20,M_RawMaterials[Part Name],0)),0)</f>
        <v/>
      </c>
      <c r="CU20">
        <f>SUMPRODUCT((M_BOM[Part Name]=$A20)*M_BOM[RM_Qty_Per_Batch]*IFERROR(INDEX(PP_Grid[#Data],M_BOM[PPGridRow],99),0))+IFERROR(INDEX(M_RawMaterials[固定週次消費量_要入力],MATCH($A20,M_RawMaterials[Part Name],0)),0)</f>
        <v/>
      </c>
      <c r="CV20">
        <f>SUMPRODUCT((M_BOM[Part Name]=$A20)*M_BOM[RM_Qty_Per_Batch]*IFERROR(INDEX(PP_Grid[#Data],M_BOM[PPGridRow],100),0))+IFERROR(INDEX(M_RawMaterials[固定週次消費量_要入力],MATCH($A20,M_RawMaterials[Part Name],0)),0)</f>
        <v/>
      </c>
      <c r="CW20">
        <f>SUMPRODUCT((M_BOM[Part Name]=$A20)*M_BOM[RM_Qty_Per_Batch]*IFERROR(INDEX(PP_Grid[#Data],M_BOM[PPGridRow],101),0))+IFERROR(INDEX(M_RawMaterials[固定週次消費量_要入力],MATCH($A20,M_RawMaterials[Part Name],0)),0)</f>
        <v/>
      </c>
      <c r="CX20">
        <f>SUMPRODUCT((M_BOM[Part Name]=$A20)*M_BOM[RM_Qty_Per_Batch]*IFERROR(INDEX(PP_Grid[#Data],M_BOM[PPGridRow],102),0))+IFERROR(INDEX(M_RawMaterials[固定週次消費量_要入力],MATCH($A20,M_RawMaterials[Part Name],0)),0)</f>
        <v/>
      </c>
      <c r="CY20">
        <f>SUMPRODUCT((M_BOM[Part Name]=$A20)*M_BOM[RM_Qty_Per_Batch]*IFERROR(INDEX(PP_Grid[#Data],M_BOM[PPGridRow],103),0))+IFERROR(INDEX(M_RawMaterials[固定週次消費量_要入力],MATCH($A20,M_RawMaterials[Part Name],0)),0)</f>
        <v/>
      </c>
      <c r="CZ20">
        <f>SUMPRODUCT((M_BOM[Part Name]=$A20)*M_BOM[RM_Qty_Per_Batch]*IFERROR(INDEX(PP_Grid[#Data],M_BOM[PPGridRow],104),0))+IFERROR(INDEX(M_RawMaterials[固定週次消費量_要入力],MATCH($A20,M_RawMaterials[Part Name],0)),0)</f>
        <v/>
      </c>
      <c r="DA20">
        <f>SUMPRODUCT((M_BOM[Part Name]=$A20)*M_BOM[RM_Qty_Per_Batch]*IFERROR(INDEX(PP_Grid[#Data],M_BOM[PPGridRow],105),0))+IFERROR(INDEX(M_RawMaterials[固定週次消費量_要入力],MATCH($A20,M_RawMaterials[Part Name],0)),0)</f>
        <v/>
      </c>
    </row>
    <row r="21">
      <c r="A21" t="inlineStr">
        <is>
          <t>1JN</t>
        </is>
      </c>
      <c r="B21">
        <f>SUMPRODUCT((M_BOM[Part Name]=$A21)*M_BOM[RM_Qty_Per_Batch]*IFERROR(INDEX(PP_Grid[#Data],M_BOM[PPGridRow],2),0))+IFERROR(INDEX(M_RawMaterials[固定週次消費量_要入力],MATCH($A21,M_RawMaterials[Part Name],0)),0)</f>
        <v/>
      </c>
      <c r="C21">
        <f>SUMPRODUCT((M_BOM[Part Name]=$A21)*M_BOM[RM_Qty_Per_Batch]*IFERROR(INDEX(PP_Grid[#Data],M_BOM[PPGridRow],3),0))+IFERROR(INDEX(M_RawMaterials[固定週次消費量_要入力],MATCH($A21,M_RawMaterials[Part Name],0)),0)</f>
        <v/>
      </c>
      <c r="D21">
        <f>SUMPRODUCT((M_BOM[Part Name]=$A21)*M_BOM[RM_Qty_Per_Batch]*IFERROR(INDEX(PP_Grid[#Data],M_BOM[PPGridRow],4),0))+IFERROR(INDEX(M_RawMaterials[固定週次消費量_要入力],MATCH($A21,M_RawMaterials[Part Name],0)),0)</f>
        <v/>
      </c>
      <c r="E21">
        <f>SUMPRODUCT((M_BOM[Part Name]=$A21)*M_BOM[RM_Qty_Per_Batch]*IFERROR(INDEX(PP_Grid[#Data],M_BOM[PPGridRow],5),0))+IFERROR(INDEX(M_RawMaterials[固定週次消費量_要入力],MATCH($A21,M_RawMaterials[Part Name],0)),0)</f>
        <v/>
      </c>
      <c r="F21">
        <f>SUMPRODUCT((M_BOM[Part Name]=$A21)*M_BOM[RM_Qty_Per_Batch]*IFERROR(INDEX(PP_Grid[#Data],M_BOM[PPGridRow],6),0))+IFERROR(INDEX(M_RawMaterials[固定週次消費量_要入力],MATCH($A21,M_RawMaterials[Part Name],0)),0)</f>
        <v/>
      </c>
      <c r="G21">
        <f>SUMPRODUCT((M_BOM[Part Name]=$A21)*M_BOM[RM_Qty_Per_Batch]*IFERROR(INDEX(PP_Grid[#Data],M_BOM[PPGridRow],7),0))+IFERROR(INDEX(M_RawMaterials[固定週次消費量_要入力],MATCH($A21,M_RawMaterials[Part Name],0)),0)</f>
        <v/>
      </c>
      <c r="H21">
        <f>SUMPRODUCT((M_BOM[Part Name]=$A21)*M_BOM[RM_Qty_Per_Batch]*IFERROR(INDEX(PP_Grid[#Data],M_BOM[PPGridRow],8),0))+IFERROR(INDEX(M_RawMaterials[固定週次消費量_要入力],MATCH($A21,M_RawMaterials[Part Name],0)),0)</f>
        <v/>
      </c>
      <c r="I21">
        <f>SUMPRODUCT((M_BOM[Part Name]=$A21)*M_BOM[RM_Qty_Per_Batch]*IFERROR(INDEX(PP_Grid[#Data],M_BOM[PPGridRow],9),0))+IFERROR(INDEX(M_RawMaterials[固定週次消費量_要入力],MATCH($A21,M_RawMaterials[Part Name],0)),0)</f>
        <v/>
      </c>
      <c r="J21">
        <f>SUMPRODUCT((M_BOM[Part Name]=$A21)*M_BOM[RM_Qty_Per_Batch]*IFERROR(INDEX(PP_Grid[#Data],M_BOM[PPGridRow],10),0))+IFERROR(INDEX(M_RawMaterials[固定週次消費量_要入力],MATCH($A21,M_RawMaterials[Part Name],0)),0)</f>
        <v/>
      </c>
      <c r="K21">
        <f>SUMPRODUCT((M_BOM[Part Name]=$A21)*M_BOM[RM_Qty_Per_Batch]*IFERROR(INDEX(PP_Grid[#Data],M_BOM[PPGridRow],11),0))+IFERROR(INDEX(M_RawMaterials[固定週次消費量_要入力],MATCH($A21,M_RawMaterials[Part Name],0)),0)</f>
        <v/>
      </c>
      <c r="L21">
        <f>SUMPRODUCT((M_BOM[Part Name]=$A21)*M_BOM[RM_Qty_Per_Batch]*IFERROR(INDEX(PP_Grid[#Data],M_BOM[PPGridRow],12),0))+IFERROR(INDEX(M_RawMaterials[固定週次消費量_要入力],MATCH($A21,M_RawMaterials[Part Name],0)),0)</f>
        <v/>
      </c>
      <c r="M21">
        <f>SUMPRODUCT((M_BOM[Part Name]=$A21)*M_BOM[RM_Qty_Per_Batch]*IFERROR(INDEX(PP_Grid[#Data],M_BOM[PPGridRow],13),0))+IFERROR(INDEX(M_RawMaterials[固定週次消費量_要入力],MATCH($A21,M_RawMaterials[Part Name],0)),0)</f>
        <v/>
      </c>
      <c r="N21">
        <f>SUMPRODUCT((M_BOM[Part Name]=$A21)*M_BOM[RM_Qty_Per_Batch]*IFERROR(INDEX(PP_Grid[#Data],M_BOM[PPGridRow],14),0))+IFERROR(INDEX(M_RawMaterials[固定週次消費量_要入力],MATCH($A21,M_RawMaterials[Part Name],0)),0)</f>
        <v/>
      </c>
      <c r="O21">
        <f>SUMPRODUCT((M_BOM[Part Name]=$A21)*M_BOM[RM_Qty_Per_Batch]*IFERROR(INDEX(PP_Grid[#Data],M_BOM[PPGridRow],15),0))+IFERROR(INDEX(M_RawMaterials[固定週次消費量_要入力],MATCH($A21,M_RawMaterials[Part Name],0)),0)</f>
        <v/>
      </c>
      <c r="P21">
        <f>SUMPRODUCT((M_BOM[Part Name]=$A21)*M_BOM[RM_Qty_Per_Batch]*IFERROR(INDEX(PP_Grid[#Data],M_BOM[PPGridRow],16),0))+IFERROR(INDEX(M_RawMaterials[固定週次消費量_要入力],MATCH($A21,M_RawMaterials[Part Name],0)),0)</f>
        <v/>
      </c>
      <c r="Q21">
        <f>SUMPRODUCT((M_BOM[Part Name]=$A21)*M_BOM[RM_Qty_Per_Batch]*IFERROR(INDEX(PP_Grid[#Data],M_BOM[PPGridRow],17),0))+IFERROR(INDEX(M_RawMaterials[固定週次消費量_要入力],MATCH($A21,M_RawMaterials[Part Name],0)),0)</f>
        <v/>
      </c>
      <c r="R21">
        <f>SUMPRODUCT((M_BOM[Part Name]=$A21)*M_BOM[RM_Qty_Per_Batch]*IFERROR(INDEX(PP_Grid[#Data],M_BOM[PPGridRow],18),0))+IFERROR(INDEX(M_RawMaterials[固定週次消費量_要入力],MATCH($A21,M_RawMaterials[Part Name],0)),0)</f>
        <v/>
      </c>
      <c r="S21">
        <f>SUMPRODUCT((M_BOM[Part Name]=$A21)*M_BOM[RM_Qty_Per_Batch]*IFERROR(INDEX(PP_Grid[#Data],M_BOM[PPGridRow],19),0))+IFERROR(INDEX(M_RawMaterials[固定週次消費量_要入力],MATCH($A21,M_RawMaterials[Part Name],0)),0)</f>
        <v/>
      </c>
      <c r="T21">
        <f>SUMPRODUCT((M_BOM[Part Name]=$A21)*M_BOM[RM_Qty_Per_Batch]*IFERROR(INDEX(PP_Grid[#Data],M_BOM[PPGridRow],20),0))+IFERROR(INDEX(M_RawMaterials[固定週次消費量_要入力],MATCH($A21,M_RawMaterials[Part Name],0)),0)</f>
        <v/>
      </c>
      <c r="U21">
        <f>SUMPRODUCT((M_BOM[Part Name]=$A21)*M_BOM[RM_Qty_Per_Batch]*IFERROR(INDEX(PP_Grid[#Data],M_BOM[PPGridRow],21),0))+IFERROR(INDEX(M_RawMaterials[固定週次消費量_要入力],MATCH($A21,M_RawMaterials[Part Name],0)),0)</f>
        <v/>
      </c>
      <c r="V21">
        <f>SUMPRODUCT((M_BOM[Part Name]=$A21)*M_BOM[RM_Qty_Per_Batch]*IFERROR(INDEX(PP_Grid[#Data],M_BOM[PPGridRow],22),0))+IFERROR(INDEX(M_RawMaterials[固定週次消費量_要入力],MATCH($A21,M_RawMaterials[Part Name],0)),0)</f>
        <v/>
      </c>
      <c r="W21">
        <f>SUMPRODUCT((M_BOM[Part Name]=$A21)*M_BOM[RM_Qty_Per_Batch]*IFERROR(INDEX(PP_Grid[#Data],M_BOM[PPGridRow],23),0))+IFERROR(INDEX(M_RawMaterials[固定週次消費量_要入力],MATCH($A21,M_RawMaterials[Part Name],0)),0)</f>
        <v/>
      </c>
      <c r="X21">
        <f>SUMPRODUCT((M_BOM[Part Name]=$A21)*M_BOM[RM_Qty_Per_Batch]*IFERROR(INDEX(PP_Grid[#Data],M_BOM[PPGridRow],24),0))+IFERROR(INDEX(M_RawMaterials[固定週次消費量_要入力],MATCH($A21,M_RawMaterials[Part Name],0)),0)</f>
        <v/>
      </c>
      <c r="Y21">
        <f>SUMPRODUCT((M_BOM[Part Name]=$A21)*M_BOM[RM_Qty_Per_Batch]*IFERROR(INDEX(PP_Grid[#Data],M_BOM[PPGridRow],25),0))+IFERROR(INDEX(M_RawMaterials[固定週次消費量_要入力],MATCH($A21,M_RawMaterials[Part Name],0)),0)</f>
        <v/>
      </c>
      <c r="Z21">
        <f>SUMPRODUCT((M_BOM[Part Name]=$A21)*M_BOM[RM_Qty_Per_Batch]*IFERROR(INDEX(PP_Grid[#Data],M_BOM[PPGridRow],26),0))+IFERROR(INDEX(M_RawMaterials[固定週次消費量_要入力],MATCH($A21,M_RawMaterials[Part Name],0)),0)</f>
        <v/>
      </c>
      <c r="AA21">
        <f>SUMPRODUCT((M_BOM[Part Name]=$A21)*M_BOM[RM_Qty_Per_Batch]*IFERROR(INDEX(PP_Grid[#Data],M_BOM[PPGridRow],27),0))+IFERROR(INDEX(M_RawMaterials[固定週次消費量_要入力],MATCH($A21,M_RawMaterials[Part Name],0)),0)</f>
        <v/>
      </c>
      <c r="AB21">
        <f>SUMPRODUCT((M_BOM[Part Name]=$A21)*M_BOM[RM_Qty_Per_Batch]*IFERROR(INDEX(PP_Grid[#Data],M_BOM[PPGridRow],28),0))+IFERROR(INDEX(M_RawMaterials[固定週次消費量_要入力],MATCH($A21,M_RawMaterials[Part Name],0)),0)</f>
        <v/>
      </c>
      <c r="AC21">
        <f>SUMPRODUCT((M_BOM[Part Name]=$A21)*M_BOM[RM_Qty_Per_Batch]*IFERROR(INDEX(PP_Grid[#Data],M_BOM[PPGridRow],29),0))+IFERROR(INDEX(M_RawMaterials[固定週次消費量_要入力],MATCH($A21,M_RawMaterials[Part Name],0)),0)</f>
        <v/>
      </c>
      <c r="AD21">
        <f>SUMPRODUCT((M_BOM[Part Name]=$A21)*M_BOM[RM_Qty_Per_Batch]*IFERROR(INDEX(PP_Grid[#Data],M_BOM[PPGridRow],30),0))+IFERROR(INDEX(M_RawMaterials[固定週次消費量_要入力],MATCH($A21,M_RawMaterials[Part Name],0)),0)</f>
        <v/>
      </c>
      <c r="AE21">
        <f>SUMPRODUCT((M_BOM[Part Name]=$A21)*M_BOM[RM_Qty_Per_Batch]*IFERROR(INDEX(PP_Grid[#Data],M_BOM[PPGridRow],31),0))+IFERROR(INDEX(M_RawMaterials[固定週次消費量_要入力],MATCH($A21,M_RawMaterials[Part Name],0)),0)</f>
        <v/>
      </c>
      <c r="AF21">
        <f>SUMPRODUCT((M_BOM[Part Name]=$A21)*M_BOM[RM_Qty_Per_Batch]*IFERROR(INDEX(PP_Grid[#Data],M_BOM[PPGridRow],32),0))+IFERROR(INDEX(M_RawMaterials[固定週次消費量_要入力],MATCH($A21,M_RawMaterials[Part Name],0)),0)</f>
        <v/>
      </c>
      <c r="AG21">
        <f>SUMPRODUCT((M_BOM[Part Name]=$A21)*M_BOM[RM_Qty_Per_Batch]*IFERROR(INDEX(PP_Grid[#Data],M_BOM[PPGridRow],33),0))+IFERROR(INDEX(M_RawMaterials[固定週次消費量_要入力],MATCH($A21,M_RawMaterials[Part Name],0)),0)</f>
        <v/>
      </c>
      <c r="AH21">
        <f>SUMPRODUCT((M_BOM[Part Name]=$A21)*M_BOM[RM_Qty_Per_Batch]*IFERROR(INDEX(PP_Grid[#Data],M_BOM[PPGridRow],34),0))+IFERROR(INDEX(M_RawMaterials[固定週次消費量_要入力],MATCH($A21,M_RawMaterials[Part Name],0)),0)</f>
        <v/>
      </c>
      <c r="AI21">
        <f>SUMPRODUCT((M_BOM[Part Name]=$A21)*M_BOM[RM_Qty_Per_Batch]*IFERROR(INDEX(PP_Grid[#Data],M_BOM[PPGridRow],35),0))+IFERROR(INDEX(M_RawMaterials[固定週次消費量_要入力],MATCH($A21,M_RawMaterials[Part Name],0)),0)</f>
        <v/>
      </c>
      <c r="AJ21">
        <f>SUMPRODUCT((M_BOM[Part Name]=$A21)*M_BOM[RM_Qty_Per_Batch]*IFERROR(INDEX(PP_Grid[#Data],M_BOM[PPGridRow],36),0))+IFERROR(INDEX(M_RawMaterials[固定週次消費量_要入力],MATCH($A21,M_RawMaterials[Part Name],0)),0)</f>
        <v/>
      </c>
      <c r="AK21">
        <f>SUMPRODUCT((M_BOM[Part Name]=$A21)*M_BOM[RM_Qty_Per_Batch]*IFERROR(INDEX(PP_Grid[#Data],M_BOM[PPGridRow],37),0))+IFERROR(INDEX(M_RawMaterials[固定週次消費量_要入力],MATCH($A21,M_RawMaterials[Part Name],0)),0)</f>
        <v/>
      </c>
      <c r="AL21">
        <f>SUMPRODUCT((M_BOM[Part Name]=$A21)*M_BOM[RM_Qty_Per_Batch]*IFERROR(INDEX(PP_Grid[#Data],M_BOM[PPGridRow],38),0))+IFERROR(INDEX(M_RawMaterials[固定週次消費量_要入力],MATCH($A21,M_RawMaterials[Part Name],0)),0)</f>
        <v/>
      </c>
      <c r="AM21">
        <f>SUMPRODUCT((M_BOM[Part Name]=$A21)*M_BOM[RM_Qty_Per_Batch]*IFERROR(INDEX(PP_Grid[#Data],M_BOM[PPGridRow],39),0))+IFERROR(INDEX(M_RawMaterials[固定週次消費量_要入力],MATCH($A21,M_RawMaterials[Part Name],0)),0)</f>
        <v/>
      </c>
      <c r="AN21">
        <f>SUMPRODUCT((M_BOM[Part Name]=$A21)*M_BOM[RM_Qty_Per_Batch]*IFERROR(INDEX(PP_Grid[#Data],M_BOM[PPGridRow],40),0))+IFERROR(INDEX(M_RawMaterials[固定週次消費量_要入力],MATCH($A21,M_RawMaterials[Part Name],0)),0)</f>
        <v/>
      </c>
      <c r="AO21">
        <f>SUMPRODUCT((M_BOM[Part Name]=$A21)*M_BOM[RM_Qty_Per_Batch]*IFERROR(INDEX(PP_Grid[#Data],M_BOM[PPGridRow],41),0))+IFERROR(INDEX(M_RawMaterials[固定週次消費量_要入力],MATCH($A21,M_RawMaterials[Part Name],0)),0)</f>
        <v/>
      </c>
      <c r="AP21">
        <f>SUMPRODUCT((M_BOM[Part Name]=$A21)*M_BOM[RM_Qty_Per_Batch]*IFERROR(INDEX(PP_Grid[#Data],M_BOM[PPGridRow],42),0))+IFERROR(INDEX(M_RawMaterials[固定週次消費量_要入力],MATCH($A21,M_RawMaterials[Part Name],0)),0)</f>
        <v/>
      </c>
      <c r="AQ21">
        <f>SUMPRODUCT((M_BOM[Part Name]=$A21)*M_BOM[RM_Qty_Per_Batch]*IFERROR(INDEX(PP_Grid[#Data],M_BOM[PPGridRow],43),0))+IFERROR(INDEX(M_RawMaterials[固定週次消費量_要入力],MATCH($A21,M_RawMaterials[Part Name],0)),0)</f>
        <v/>
      </c>
      <c r="AR21">
        <f>SUMPRODUCT((M_BOM[Part Name]=$A21)*M_BOM[RM_Qty_Per_Batch]*IFERROR(INDEX(PP_Grid[#Data],M_BOM[PPGridRow],44),0))+IFERROR(INDEX(M_RawMaterials[固定週次消費量_要入力],MATCH($A21,M_RawMaterials[Part Name],0)),0)</f>
        <v/>
      </c>
      <c r="AS21">
        <f>SUMPRODUCT((M_BOM[Part Name]=$A21)*M_BOM[RM_Qty_Per_Batch]*IFERROR(INDEX(PP_Grid[#Data],M_BOM[PPGridRow],45),0))+IFERROR(INDEX(M_RawMaterials[固定週次消費量_要入力],MATCH($A21,M_RawMaterials[Part Name],0)),0)</f>
        <v/>
      </c>
      <c r="AT21">
        <f>SUMPRODUCT((M_BOM[Part Name]=$A21)*M_BOM[RM_Qty_Per_Batch]*IFERROR(INDEX(PP_Grid[#Data],M_BOM[PPGridRow],46),0))+IFERROR(INDEX(M_RawMaterials[固定週次消費量_要入力],MATCH($A21,M_RawMaterials[Part Name],0)),0)</f>
        <v/>
      </c>
      <c r="AU21">
        <f>SUMPRODUCT((M_BOM[Part Name]=$A21)*M_BOM[RM_Qty_Per_Batch]*IFERROR(INDEX(PP_Grid[#Data],M_BOM[PPGridRow],47),0))+IFERROR(INDEX(M_RawMaterials[固定週次消費量_要入力],MATCH($A21,M_RawMaterials[Part Name],0)),0)</f>
        <v/>
      </c>
      <c r="AV21">
        <f>SUMPRODUCT((M_BOM[Part Name]=$A21)*M_BOM[RM_Qty_Per_Batch]*IFERROR(INDEX(PP_Grid[#Data],M_BOM[PPGridRow],48),0))+IFERROR(INDEX(M_RawMaterials[固定週次消費量_要入力],MATCH($A21,M_RawMaterials[Part Name],0)),0)</f>
        <v/>
      </c>
      <c r="AW21">
        <f>SUMPRODUCT((M_BOM[Part Name]=$A21)*M_BOM[RM_Qty_Per_Batch]*IFERROR(INDEX(PP_Grid[#Data],M_BOM[PPGridRow],49),0))+IFERROR(INDEX(M_RawMaterials[固定週次消費量_要入力],MATCH($A21,M_RawMaterials[Part Name],0)),0)</f>
        <v/>
      </c>
      <c r="AX21">
        <f>SUMPRODUCT((M_BOM[Part Name]=$A21)*M_BOM[RM_Qty_Per_Batch]*IFERROR(INDEX(PP_Grid[#Data],M_BOM[PPGridRow],50),0))+IFERROR(INDEX(M_RawMaterials[固定週次消費量_要入力],MATCH($A21,M_RawMaterials[Part Name],0)),0)</f>
        <v/>
      </c>
      <c r="AY21">
        <f>SUMPRODUCT((M_BOM[Part Name]=$A21)*M_BOM[RM_Qty_Per_Batch]*IFERROR(INDEX(PP_Grid[#Data],M_BOM[PPGridRow],51),0))+IFERROR(INDEX(M_RawMaterials[固定週次消費量_要入力],MATCH($A21,M_RawMaterials[Part Name],0)),0)</f>
        <v/>
      </c>
      <c r="AZ21">
        <f>SUMPRODUCT((M_BOM[Part Name]=$A21)*M_BOM[RM_Qty_Per_Batch]*IFERROR(INDEX(PP_Grid[#Data],M_BOM[PPGridRow],52),0))+IFERROR(INDEX(M_RawMaterials[固定週次消費量_要入力],MATCH($A21,M_RawMaterials[Part Name],0)),0)</f>
        <v/>
      </c>
      <c r="BA21">
        <f>SUMPRODUCT((M_BOM[Part Name]=$A21)*M_BOM[RM_Qty_Per_Batch]*IFERROR(INDEX(PP_Grid[#Data],M_BOM[PPGridRow],53),0))+IFERROR(INDEX(M_RawMaterials[固定週次消費量_要入力],MATCH($A21,M_RawMaterials[Part Name],0)),0)</f>
        <v/>
      </c>
      <c r="BB21">
        <f>SUMPRODUCT((M_BOM[Part Name]=$A21)*M_BOM[RM_Qty_Per_Batch]*IFERROR(INDEX(PP_Grid[#Data],M_BOM[PPGridRow],54),0))+IFERROR(INDEX(M_RawMaterials[固定週次消費量_要入力],MATCH($A21,M_RawMaterials[Part Name],0)),0)</f>
        <v/>
      </c>
      <c r="BC21">
        <f>SUMPRODUCT((M_BOM[Part Name]=$A21)*M_BOM[RM_Qty_Per_Batch]*IFERROR(INDEX(PP_Grid[#Data],M_BOM[PPGridRow],55),0))+IFERROR(INDEX(M_RawMaterials[固定週次消費量_要入力],MATCH($A21,M_RawMaterials[Part Name],0)),0)</f>
        <v/>
      </c>
      <c r="BD21">
        <f>SUMPRODUCT((M_BOM[Part Name]=$A21)*M_BOM[RM_Qty_Per_Batch]*IFERROR(INDEX(PP_Grid[#Data],M_BOM[PPGridRow],56),0))+IFERROR(INDEX(M_RawMaterials[固定週次消費量_要入力],MATCH($A21,M_RawMaterials[Part Name],0)),0)</f>
        <v/>
      </c>
      <c r="BE21">
        <f>SUMPRODUCT((M_BOM[Part Name]=$A21)*M_BOM[RM_Qty_Per_Batch]*IFERROR(INDEX(PP_Grid[#Data],M_BOM[PPGridRow],57),0))+IFERROR(INDEX(M_RawMaterials[固定週次消費量_要入力],MATCH($A21,M_RawMaterials[Part Name],0)),0)</f>
        <v/>
      </c>
      <c r="BF21">
        <f>SUMPRODUCT((M_BOM[Part Name]=$A21)*M_BOM[RM_Qty_Per_Batch]*IFERROR(INDEX(PP_Grid[#Data],M_BOM[PPGridRow],58),0))+IFERROR(INDEX(M_RawMaterials[固定週次消費量_要入力],MATCH($A21,M_RawMaterials[Part Name],0)),0)</f>
        <v/>
      </c>
      <c r="BG21">
        <f>SUMPRODUCT((M_BOM[Part Name]=$A21)*M_BOM[RM_Qty_Per_Batch]*IFERROR(INDEX(PP_Grid[#Data],M_BOM[PPGridRow],59),0))+IFERROR(INDEX(M_RawMaterials[固定週次消費量_要入力],MATCH($A21,M_RawMaterials[Part Name],0)),0)</f>
        <v/>
      </c>
      <c r="BH21">
        <f>SUMPRODUCT((M_BOM[Part Name]=$A21)*M_BOM[RM_Qty_Per_Batch]*IFERROR(INDEX(PP_Grid[#Data],M_BOM[PPGridRow],60),0))+IFERROR(INDEX(M_RawMaterials[固定週次消費量_要入力],MATCH($A21,M_RawMaterials[Part Name],0)),0)</f>
        <v/>
      </c>
      <c r="BI21">
        <f>SUMPRODUCT((M_BOM[Part Name]=$A21)*M_BOM[RM_Qty_Per_Batch]*IFERROR(INDEX(PP_Grid[#Data],M_BOM[PPGridRow],61),0))+IFERROR(INDEX(M_RawMaterials[固定週次消費量_要入力],MATCH($A21,M_RawMaterials[Part Name],0)),0)</f>
        <v/>
      </c>
      <c r="BJ21">
        <f>SUMPRODUCT((M_BOM[Part Name]=$A21)*M_BOM[RM_Qty_Per_Batch]*IFERROR(INDEX(PP_Grid[#Data],M_BOM[PPGridRow],62),0))+IFERROR(INDEX(M_RawMaterials[固定週次消費量_要入力],MATCH($A21,M_RawMaterials[Part Name],0)),0)</f>
        <v/>
      </c>
      <c r="BK21">
        <f>SUMPRODUCT((M_BOM[Part Name]=$A21)*M_BOM[RM_Qty_Per_Batch]*IFERROR(INDEX(PP_Grid[#Data],M_BOM[PPGridRow],63),0))+IFERROR(INDEX(M_RawMaterials[固定週次消費量_要入力],MATCH($A21,M_RawMaterials[Part Name],0)),0)</f>
        <v/>
      </c>
      <c r="BL21">
        <f>SUMPRODUCT((M_BOM[Part Name]=$A21)*M_BOM[RM_Qty_Per_Batch]*IFERROR(INDEX(PP_Grid[#Data],M_BOM[PPGridRow],64),0))+IFERROR(INDEX(M_RawMaterials[固定週次消費量_要入力],MATCH($A21,M_RawMaterials[Part Name],0)),0)</f>
        <v/>
      </c>
      <c r="BM21">
        <f>SUMPRODUCT((M_BOM[Part Name]=$A21)*M_BOM[RM_Qty_Per_Batch]*IFERROR(INDEX(PP_Grid[#Data],M_BOM[PPGridRow],65),0))+IFERROR(INDEX(M_RawMaterials[固定週次消費量_要入力],MATCH($A21,M_RawMaterials[Part Name],0)),0)</f>
        <v/>
      </c>
      <c r="BN21">
        <f>SUMPRODUCT((M_BOM[Part Name]=$A21)*M_BOM[RM_Qty_Per_Batch]*IFERROR(INDEX(PP_Grid[#Data],M_BOM[PPGridRow],66),0))+IFERROR(INDEX(M_RawMaterials[固定週次消費量_要入力],MATCH($A21,M_RawMaterials[Part Name],0)),0)</f>
        <v/>
      </c>
      <c r="BO21">
        <f>SUMPRODUCT((M_BOM[Part Name]=$A21)*M_BOM[RM_Qty_Per_Batch]*IFERROR(INDEX(PP_Grid[#Data],M_BOM[PPGridRow],67),0))+IFERROR(INDEX(M_RawMaterials[固定週次消費量_要入力],MATCH($A21,M_RawMaterials[Part Name],0)),0)</f>
        <v/>
      </c>
      <c r="BP21">
        <f>SUMPRODUCT((M_BOM[Part Name]=$A21)*M_BOM[RM_Qty_Per_Batch]*IFERROR(INDEX(PP_Grid[#Data],M_BOM[PPGridRow],68),0))+IFERROR(INDEX(M_RawMaterials[固定週次消費量_要入力],MATCH($A21,M_RawMaterials[Part Name],0)),0)</f>
        <v/>
      </c>
      <c r="BQ21">
        <f>SUMPRODUCT((M_BOM[Part Name]=$A21)*M_BOM[RM_Qty_Per_Batch]*IFERROR(INDEX(PP_Grid[#Data],M_BOM[PPGridRow],69),0))+IFERROR(INDEX(M_RawMaterials[固定週次消費量_要入力],MATCH($A21,M_RawMaterials[Part Name],0)),0)</f>
        <v/>
      </c>
      <c r="BR21">
        <f>SUMPRODUCT((M_BOM[Part Name]=$A21)*M_BOM[RM_Qty_Per_Batch]*IFERROR(INDEX(PP_Grid[#Data],M_BOM[PPGridRow],70),0))+IFERROR(INDEX(M_RawMaterials[固定週次消費量_要入力],MATCH($A21,M_RawMaterials[Part Name],0)),0)</f>
        <v/>
      </c>
      <c r="BS21">
        <f>SUMPRODUCT((M_BOM[Part Name]=$A21)*M_BOM[RM_Qty_Per_Batch]*IFERROR(INDEX(PP_Grid[#Data],M_BOM[PPGridRow],71),0))+IFERROR(INDEX(M_RawMaterials[固定週次消費量_要入力],MATCH($A21,M_RawMaterials[Part Name],0)),0)</f>
        <v/>
      </c>
      <c r="BT21">
        <f>SUMPRODUCT((M_BOM[Part Name]=$A21)*M_BOM[RM_Qty_Per_Batch]*IFERROR(INDEX(PP_Grid[#Data],M_BOM[PPGridRow],72),0))+IFERROR(INDEX(M_RawMaterials[固定週次消費量_要入力],MATCH($A21,M_RawMaterials[Part Name],0)),0)</f>
        <v/>
      </c>
      <c r="BU21">
        <f>SUMPRODUCT((M_BOM[Part Name]=$A21)*M_BOM[RM_Qty_Per_Batch]*IFERROR(INDEX(PP_Grid[#Data],M_BOM[PPGridRow],73),0))+IFERROR(INDEX(M_RawMaterials[固定週次消費量_要入力],MATCH($A21,M_RawMaterials[Part Name],0)),0)</f>
        <v/>
      </c>
      <c r="BV21">
        <f>SUMPRODUCT((M_BOM[Part Name]=$A21)*M_BOM[RM_Qty_Per_Batch]*IFERROR(INDEX(PP_Grid[#Data],M_BOM[PPGridRow],74),0))+IFERROR(INDEX(M_RawMaterials[固定週次消費量_要入力],MATCH($A21,M_RawMaterials[Part Name],0)),0)</f>
        <v/>
      </c>
      <c r="BW21">
        <f>SUMPRODUCT((M_BOM[Part Name]=$A21)*M_BOM[RM_Qty_Per_Batch]*IFERROR(INDEX(PP_Grid[#Data],M_BOM[PPGridRow],75),0))+IFERROR(INDEX(M_RawMaterials[固定週次消費量_要入力],MATCH($A21,M_RawMaterials[Part Name],0)),0)</f>
        <v/>
      </c>
      <c r="BX21">
        <f>SUMPRODUCT((M_BOM[Part Name]=$A21)*M_BOM[RM_Qty_Per_Batch]*IFERROR(INDEX(PP_Grid[#Data],M_BOM[PPGridRow],76),0))+IFERROR(INDEX(M_RawMaterials[固定週次消費量_要入力],MATCH($A21,M_RawMaterials[Part Name],0)),0)</f>
        <v/>
      </c>
      <c r="BY21">
        <f>SUMPRODUCT((M_BOM[Part Name]=$A21)*M_BOM[RM_Qty_Per_Batch]*IFERROR(INDEX(PP_Grid[#Data],M_BOM[PPGridRow],77),0))+IFERROR(INDEX(M_RawMaterials[固定週次消費量_要入力],MATCH($A21,M_RawMaterials[Part Name],0)),0)</f>
        <v/>
      </c>
      <c r="BZ21">
        <f>SUMPRODUCT((M_BOM[Part Name]=$A21)*M_BOM[RM_Qty_Per_Batch]*IFERROR(INDEX(PP_Grid[#Data],M_BOM[PPGridRow],78),0))+IFERROR(INDEX(M_RawMaterials[固定週次消費量_要入力],MATCH($A21,M_RawMaterials[Part Name],0)),0)</f>
        <v/>
      </c>
      <c r="CA21">
        <f>SUMPRODUCT((M_BOM[Part Name]=$A21)*M_BOM[RM_Qty_Per_Batch]*IFERROR(INDEX(PP_Grid[#Data],M_BOM[PPGridRow],79),0))+IFERROR(INDEX(M_RawMaterials[固定週次消費量_要入力],MATCH($A21,M_RawMaterials[Part Name],0)),0)</f>
        <v/>
      </c>
      <c r="CB21">
        <f>SUMPRODUCT((M_BOM[Part Name]=$A21)*M_BOM[RM_Qty_Per_Batch]*IFERROR(INDEX(PP_Grid[#Data],M_BOM[PPGridRow],80),0))+IFERROR(INDEX(M_RawMaterials[固定週次消費量_要入力],MATCH($A21,M_RawMaterials[Part Name],0)),0)</f>
        <v/>
      </c>
      <c r="CC21">
        <f>SUMPRODUCT((M_BOM[Part Name]=$A21)*M_BOM[RM_Qty_Per_Batch]*IFERROR(INDEX(PP_Grid[#Data],M_BOM[PPGridRow],81),0))+IFERROR(INDEX(M_RawMaterials[固定週次消費量_要入力],MATCH($A21,M_RawMaterials[Part Name],0)),0)</f>
        <v/>
      </c>
      <c r="CD21">
        <f>SUMPRODUCT((M_BOM[Part Name]=$A21)*M_BOM[RM_Qty_Per_Batch]*IFERROR(INDEX(PP_Grid[#Data],M_BOM[PPGridRow],82),0))+IFERROR(INDEX(M_RawMaterials[固定週次消費量_要入力],MATCH($A21,M_RawMaterials[Part Name],0)),0)</f>
        <v/>
      </c>
      <c r="CE21">
        <f>SUMPRODUCT((M_BOM[Part Name]=$A21)*M_BOM[RM_Qty_Per_Batch]*IFERROR(INDEX(PP_Grid[#Data],M_BOM[PPGridRow],83),0))+IFERROR(INDEX(M_RawMaterials[固定週次消費量_要入力],MATCH($A21,M_RawMaterials[Part Name],0)),0)</f>
        <v/>
      </c>
      <c r="CF21">
        <f>SUMPRODUCT((M_BOM[Part Name]=$A21)*M_BOM[RM_Qty_Per_Batch]*IFERROR(INDEX(PP_Grid[#Data],M_BOM[PPGridRow],84),0))+IFERROR(INDEX(M_RawMaterials[固定週次消費量_要入力],MATCH($A21,M_RawMaterials[Part Name],0)),0)</f>
        <v/>
      </c>
      <c r="CG21">
        <f>SUMPRODUCT((M_BOM[Part Name]=$A21)*M_BOM[RM_Qty_Per_Batch]*IFERROR(INDEX(PP_Grid[#Data],M_BOM[PPGridRow],85),0))+IFERROR(INDEX(M_RawMaterials[固定週次消費量_要入力],MATCH($A21,M_RawMaterials[Part Name],0)),0)</f>
        <v/>
      </c>
      <c r="CH21">
        <f>SUMPRODUCT((M_BOM[Part Name]=$A21)*M_BOM[RM_Qty_Per_Batch]*IFERROR(INDEX(PP_Grid[#Data],M_BOM[PPGridRow],86),0))+IFERROR(INDEX(M_RawMaterials[固定週次消費量_要入力],MATCH($A21,M_RawMaterials[Part Name],0)),0)</f>
        <v/>
      </c>
      <c r="CI21">
        <f>SUMPRODUCT((M_BOM[Part Name]=$A21)*M_BOM[RM_Qty_Per_Batch]*IFERROR(INDEX(PP_Grid[#Data],M_BOM[PPGridRow],87),0))+IFERROR(INDEX(M_RawMaterials[固定週次消費量_要入力],MATCH($A21,M_RawMaterials[Part Name],0)),0)</f>
        <v/>
      </c>
      <c r="CJ21">
        <f>SUMPRODUCT((M_BOM[Part Name]=$A21)*M_BOM[RM_Qty_Per_Batch]*IFERROR(INDEX(PP_Grid[#Data],M_BOM[PPGridRow],88),0))+IFERROR(INDEX(M_RawMaterials[固定週次消費量_要入力],MATCH($A21,M_RawMaterials[Part Name],0)),0)</f>
        <v/>
      </c>
      <c r="CK21">
        <f>SUMPRODUCT((M_BOM[Part Name]=$A21)*M_BOM[RM_Qty_Per_Batch]*IFERROR(INDEX(PP_Grid[#Data],M_BOM[PPGridRow],89),0))+IFERROR(INDEX(M_RawMaterials[固定週次消費量_要入力],MATCH($A21,M_RawMaterials[Part Name],0)),0)</f>
        <v/>
      </c>
      <c r="CL21">
        <f>SUMPRODUCT((M_BOM[Part Name]=$A21)*M_BOM[RM_Qty_Per_Batch]*IFERROR(INDEX(PP_Grid[#Data],M_BOM[PPGridRow],90),0))+IFERROR(INDEX(M_RawMaterials[固定週次消費量_要入力],MATCH($A21,M_RawMaterials[Part Name],0)),0)</f>
        <v/>
      </c>
      <c r="CM21">
        <f>SUMPRODUCT((M_BOM[Part Name]=$A21)*M_BOM[RM_Qty_Per_Batch]*IFERROR(INDEX(PP_Grid[#Data],M_BOM[PPGridRow],91),0))+IFERROR(INDEX(M_RawMaterials[固定週次消費量_要入力],MATCH($A21,M_RawMaterials[Part Name],0)),0)</f>
        <v/>
      </c>
      <c r="CN21">
        <f>SUMPRODUCT((M_BOM[Part Name]=$A21)*M_BOM[RM_Qty_Per_Batch]*IFERROR(INDEX(PP_Grid[#Data],M_BOM[PPGridRow],92),0))+IFERROR(INDEX(M_RawMaterials[固定週次消費量_要入力],MATCH($A21,M_RawMaterials[Part Name],0)),0)</f>
        <v/>
      </c>
      <c r="CO21">
        <f>SUMPRODUCT((M_BOM[Part Name]=$A21)*M_BOM[RM_Qty_Per_Batch]*IFERROR(INDEX(PP_Grid[#Data],M_BOM[PPGridRow],93),0))+IFERROR(INDEX(M_RawMaterials[固定週次消費量_要入力],MATCH($A21,M_RawMaterials[Part Name],0)),0)</f>
        <v/>
      </c>
      <c r="CP21">
        <f>SUMPRODUCT((M_BOM[Part Name]=$A21)*M_BOM[RM_Qty_Per_Batch]*IFERROR(INDEX(PP_Grid[#Data],M_BOM[PPGridRow],94),0))+IFERROR(INDEX(M_RawMaterials[固定週次消費量_要入力],MATCH($A21,M_RawMaterials[Part Name],0)),0)</f>
        <v/>
      </c>
      <c r="CQ21">
        <f>SUMPRODUCT((M_BOM[Part Name]=$A21)*M_BOM[RM_Qty_Per_Batch]*IFERROR(INDEX(PP_Grid[#Data],M_BOM[PPGridRow],95),0))+IFERROR(INDEX(M_RawMaterials[固定週次消費量_要入力],MATCH($A21,M_RawMaterials[Part Name],0)),0)</f>
        <v/>
      </c>
      <c r="CR21">
        <f>SUMPRODUCT((M_BOM[Part Name]=$A21)*M_BOM[RM_Qty_Per_Batch]*IFERROR(INDEX(PP_Grid[#Data],M_BOM[PPGridRow],96),0))+IFERROR(INDEX(M_RawMaterials[固定週次消費量_要入力],MATCH($A21,M_RawMaterials[Part Name],0)),0)</f>
        <v/>
      </c>
      <c r="CS21">
        <f>SUMPRODUCT((M_BOM[Part Name]=$A21)*M_BOM[RM_Qty_Per_Batch]*IFERROR(INDEX(PP_Grid[#Data],M_BOM[PPGridRow],97),0))+IFERROR(INDEX(M_RawMaterials[固定週次消費量_要入力],MATCH($A21,M_RawMaterials[Part Name],0)),0)</f>
        <v/>
      </c>
      <c r="CT21">
        <f>SUMPRODUCT((M_BOM[Part Name]=$A21)*M_BOM[RM_Qty_Per_Batch]*IFERROR(INDEX(PP_Grid[#Data],M_BOM[PPGridRow],98),0))+IFERROR(INDEX(M_RawMaterials[固定週次消費量_要入力],MATCH($A21,M_RawMaterials[Part Name],0)),0)</f>
        <v/>
      </c>
      <c r="CU21">
        <f>SUMPRODUCT((M_BOM[Part Name]=$A21)*M_BOM[RM_Qty_Per_Batch]*IFERROR(INDEX(PP_Grid[#Data],M_BOM[PPGridRow],99),0))+IFERROR(INDEX(M_RawMaterials[固定週次消費量_要入力],MATCH($A21,M_RawMaterials[Part Name],0)),0)</f>
        <v/>
      </c>
      <c r="CV21">
        <f>SUMPRODUCT((M_BOM[Part Name]=$A21)*M_BOM[RM_Qty_Per_Batch]*IFERROR(INDEX(PP_Grid[#Data],M_BOM[PPGridRow],100),0))+IFERROR(INDEX(M_RawMaterials[固定週次消費量_要入力],MATCH($A21,M_RawMaterials[Part Name],0)),0)</f>
        <v/>
      </c>
      <c r="CW21">
        <f>SUMPRODUCT((M_BOM[Part Name]=$A21)*M_BOM[RM_Qty_Per_Batch]*IFERROR(INDEX(PP_Grid[#Data],M_BOM[PPGridRow],101),0))+IFERROR(INDEX(M_RawMaterials[固定週次消費量_要入力],MATCH($A21,M_RawMaterials[Part Name],0)),0)</f>
        <v/>
      </c>
      <c r="CX21">
        <f>SUMPRODUCT((M_BOM[Part Name]=$A21)*M_BOM[RM_Qty_Per_Batch]*IFERROR(INDEX(PP_Grid[#Data],M_BOM[PPGridRow],102),0))+IFERROR(INDEX(M_RawMaterials[固定週次消費量_要入力],MATCH($A21,M_RawMaterials[Part Name],0)),0)</f>
        <v/>
      </c>
      <c r="CY21">
        <f>SUMPRODUCT((M_BOM[Part Name]=$A21)*M_BOM[RM_Qty_Per_Batch]*IFERROR(INDEX(PP_Grid[#Data],M_BOM[PPGridRow],103),0))+IFERROR(INDEX(M_RawMaterials[固定週次消費量_要入力],MATCH($A21,M_RawMaterials[Part Name],0)),0)</f>
        <v/>
      </c>
      <c r="CZ21">
        <f>SUMPRODUCT((M_BOM[Part Name]=$A21)*M_BOM[RM_Qty_Per_Batch]*IFERROR(INDEX(PP_Grid[#Data],M_BOM[PPGridRow],104),0))+IFERROR(INDEX(M_RawMaterials[固定週次消費量_要入力],MATCH($A21,M_RawMaterials[Part Name],0)),0)</f>
        <v/>
      </c>
      <c r="DA21">
        <f>SUMPRODUCT((M_BOM[Part Name]=$A21)*M_BOM[RM_Qty_Per_Batch]*IFERROR(INDEX(PP_Grid[#Data],M_BOM[PPGridRow],105),0))+IFERROR(INDEX(M_RawMaterials[固定週次消費量_要入力],MATCH($A21,M_RawMaterials[Part Name],0)),0)</f>
        <v/>
      </c>
    </row>
    <row r="22">
      <c r="A22" t="inlineStr">
        <is>
          <t>CHEM-1670</t>
        </is>
      </c>
      <c r="B22">
        <f>SUMPRODUCT((M_BOM[Part Name]=$A22)*M_BOM[RM_Qty_Per_Batch]*IFERROR(INDEX(PP_Grid[#Data],M_BOM[PPGridRow],2),0))+IFERROR(INDEX(M_RawMaterials[固定週次消費量_要入力],MATCH($A22,M_RawMaterials[Part Name],0)),0)</f>
        <v/>
      </c>
      <c r="C22">
        <f>SUMPRODUCT((M_BOM[Part Name]=$A22)*M_BOM[RM_Qty_Per_Batch]*IFERROR(INDEX(PP_Grid[#Data],M_BOM[PPGridRow],3),0))+IFERROR(INDEX(M_RawMaterials[固定週次消費量_要入力],MATCH($A22,M_RawMaterials[Part Name],0)),0)</f>
        <v/>
      </c>
      <c r="D22">
        <f>SUMPRODUCT((M_BOM[Part Name]=$A22)*M_BOM[RM_Qty_Per_Batch]*IFERROR(INDEX(PP_Grid[#Data],M_BOM[PPGridRow],4),0))+IFERROR(INDEX(M_RawMaterials[固定週次消費量_要入力],MATCH($A22,M_RawMaterials[Part Name],0)),0)</f>
        <v/>
      </c>
      <c r="E22">
        <f>SUMPRODUCT((M_BOM[Part Name]=$A22)*M_BOM[RM_Qty_Per_Batch]*IFERROR(INDEX(PP_Grid[#Data],M_BOM[PPGridRow],5),0))+IFERROR(INDEX(M_RawMaterials[固定週次消費量_要入力],MATCH($A22,M_RawMaterials[Part Name],0)),0)</f>
        <v/>
      </c>
      <c r="F22">
        <f>SUMPRODUCT((M_BOM[Part Name]=$A22)*M_BOM[RM_Qty_Per_Batch]*IFERROR(INDEX(PP_Grid[#Data],M_BOM[PPGridRow],6),0))+IFERROR(INDEX(M_RawMaterials[固定週次消費量_要入力],MATCH($A22,M_RawMaterials[Part Name],0)),0)</f>
        <v/>
      </c>
      <c r="G22">
        <f>SUMPRODUCT((M_BOM[Part Name]=$A22)*M_BOM[RM_Qty_Per_Batch]*IFERROR(INDEX(PP_Grid[#Data],M_BOM[PPGridRow],7),0))+IFERROR(INDEX(M_RawMaterials[固定週次消費量_要入力],MATCH($A22,M_RawMaterials[Part Name],0)),0)</f>
        <v/>
      </c>
      <c r="H22">
        <f>SUMPRODUCT((M_BOM[Part Name]=$A22)*M_BOM[RM_Qty_Per_Batch]*IFERROR(INDEX(PP_Grid[#Data],M_BOM[PPGridRow],8),0))+IFERROR(INDEX(M_RawMaterials[固定週次消費量_要入力],MATCH($A22,M_RawMaterials[Part Name],0)),0)</f>
        <v/>
      </c>
      <c r="I22">
        <f>SUMPRODUCT((M_BOM[Part Name]=$A22)*M_BOM[RM_Qty_Per_Batch]*IFERROR(INDEX(PP_Grid[#Data],M_BOM[PPGridRow],9),0))+IFERROR(INDEX(M_RawMaterials[固定週次消費量_要入力],MATCH($A22,M_RawMaterials[Part Name],0)),0)</f>
        <v/>
      </c>
      <c r="J22">
        <f>SUMPRODUCT((M_BOM[Part Name]=$A22)*M_BOM[RM_Qty_Per_Batch]*IFERROR(INDEX(PP_Grid[#Data],M_BOM[PPGridRow],10),0))+IFERROR(INDEX(M_RawMaterials[固定週次消費量_要入力],MATCH($A22,M_RawMaterials[Part Name],0)),0)</f>
        <v/>
      </c>
      <c r="K22">
        <f>SUMPRODUCT((M_BOM[Part Name]=$A22)*M_BOM[RM_Qty_Per_Batch]*IFERROR(INDEX(PP_Grid[#Data],M_BOM[PPGridRow],11),0))+IFERROR(INDEX(M_RawMaterials[固定週次消費量_要入力],MATCH($A22,M_RawMaterials[Part Name],0)),0)</f>
        <v/>
      </c>
      <c r="L22">
        <f>SUMPRODUCT((M_BOM[Part Name]=$A22)*M_BOM[RM_Qty_Per_Batch]*IFERROR(INDEX(PP_Grid[#Data],M_BOM[PPGridRow],12),0))+IFERROR(INDEX(M_RawMaterials[固定週次消費量_要入力],MATCH($A22,M_RawMaterials[Part Name],0)),0)</f>
        <v/>
      </c>
      <c r="M22">
        <f>SUMPRODUCT((M_BOM[Part Name]=$A22)*M_BOM[RM_Qty_Per_Batch]*IFERROR(INDEX(PP_Grid[#Data],M_BOM[PPGridRow],13),0))+IFERROR(INDEX(M_RawMaterials[固定週次消費量_要入力],MATCH($A22,M_RawMaterials[Part Name],0)),0)</f>
        <v/>
      </c>
      <c r="N22">
        <f>SUMPRODUCT((M_BOM[Part Name]=$A22)*M_BOM[RM_Qty_Per_Batch]*IFERROR(INDEX(PP_Grid[#Data],M_BOM[PPGridRow],14),0))+IFERROR(INDEX(M_RawMaterials[固定週次消費量_要入力],MATCH($A22,M_RawMaterials[Part Name],0)),0)</f>
        <v/>
      </c>
      <c r="O22">
        <f>SUMPRODUCT((M_BOM[Part Name]=$A22)*M_BOM[RM_Qty_Per_Batch]*IFERROR(INDEX(PP_Grid[#Data],M_BOM[PPGridRow],15),0))+IFERROR(INDEX(M_RawMaterials[固定週次消費量_要入力],MATCH($A22,M_RawMaterials[Part Name],0)),0)</f>
        <v/>
      </c>
      <c r="P22">
        <f>SUMPRODUCT((M_BOM[Part Name]=$A22)*M_BOM[RM_Qty_Per_Batch]*IFERROR(INDEX(PP_Grid[#Data],M_BOM[PPGridRow],16),0))+IFERROR(INDEX(M_RawMaterials[固定週次消費量_要入力],MATCH($A22,M_RawMaterials[Part Name],0)),0)</f>
        <v/>
      </c>
      <c r="Q22">
        <f>SUMPRODUCT((M_BOM[Part Name]=$A22)*M_BOM[RM_Qty_Per_Batch]*IFERROR(INDEX(PP_Grid[#Data],M_BOM[PPGridRow],17),0))+IFERROR(INDEX(M_RawMaterials[固定週次消費量_要入力],MATCH($A22,M_RawMaterials[Part Name],0)),0)</f>
        <v/>
      </c>
      <c r="R22">
        <f>SUMPRODUCT((M_BOM[Part Name]=$A22)*M_BOM[RM_Qty_Per_Batch]*IFERROR(INDEX(PP_Grid[#Data],M_BOM[PPGridRow],18),0))+IFERROR(INDEX(M_RawMaterials[固定週次消費量_要入力],MATCH($A22,M_RawMaterials[Part Name],0)),0)</f>
        <v/>
      </c>
      <c r="S22">
        <f>SUMPRODUCT((M_BOM[Part Name]=$A22)*M_BOM[RM_Qty_Per_Batch]*IFERROR(INDEX(PP_Grid[#Data],M_BOM[PPGridRow],19),0))+IFERROR(INDEX(M_RawMaterials[固定週次消費量_要入力],MATCH($A22,M_RawMaterials[Part Name],0)),0)</f>
        <v/>
      </c>
      <c r="T22">
        <f>SUMPRODUCT((M_BOM[Part Name]=$A22)*M_BOM[RM_Qty_Per_Batch]*IFERROR(INDEX(PP_Grid[#Data],M_BOM[PPGridRow],20),0))+IFERROR(INDEX(M_RawMaterials[固定週次消費量_要入力],MATCH($A22,M_RawMaterials[Part Name],0)),0)</f>
        <v/>
      </c>
      <c r="U22">
        <f>SUMPRODUCT((M_BOM[Part Name]=$A22)*M_BOM[RM_Qty_Per_Batch]*IFERROR(INDEX(PP_Grid[#Data],M_BOM[PPGridRow],21),0))+IFERROR(INDEX(M_RawMaterials[固定週次消費量_要入力],MATCH($A22,M_RawMaterials[Part Name],0)),0)</f>
        <v/>
      </c>
      <c r="V22">
        <f>SUMPRODUCT((M_BOM[Part Name]=$A22)*M_BOM[RM_Qty_Per_Batch]*IFERROR(INDEX(PP_Grid[#Data],M_BOM[PPGridRow],22),0))+IFERROR(INDEX(M_RawMaterials[固定週次消費量_要入力],MATCH($A22,M_RawMaterials[Part Name],0)),0)</f>
        <v/>
      </c>
      <c r="W22">
        <f>SUMPRODUCT((M_BOM[Part Name]=$A22)*M_BOM[RM_Qty_Per_Batch]*IFERROR(INDEX(PP_Grid[#Data],M_BOM[PPGridRow],23),0))+IFERROR(INDEX(M_RawMaterials[固定週次消費量_要入力],MATCH($A22,M_RawMaterials[Part Name],0)),0)</f>
        <v/>
      </c>
      <c r="X22">
        <f>SUMPRODUCT((M_BOM[Part Name]=$A22)*M_BOM[RM_Qty_Per_Batch]*IFERROR(INDEX(PP_Grid[#Data],M_BOM[PPGridRow],24),0))+IFERROR(INDEX(M_RawMaterials[固定週次消費量_要入力],MATCH($A22,M_RawMaterials[Part Name],0)),0)</f>
        <v/>
      </c>
      <c r="Y22">
        <f>SUMPRODUCT((M_BOM[Part Name]=$A22)*M_BOM[RM_Qty_Per_Batch]*IFERROR(INDEX(PP_Grid[#Data],M_BOM[PPGridRow],25),0))+IFERROR(INDEX(M_RawMaterials[固定週次消費量_要入力],MATCH($A22,M_RawMaterials[Part Name],0)),0)</f>
        <v/>
      </c>
      <c r="Z22">
        <f>SUMPRODUCT((M_BOM[Part Name]=$A22)*M_BOM[RM_Qty_Per_Batch]*IFERROR(INDEX(PP_Grid[#Data],M_BOM[PPGridRow],26),0))+IFERROR(INDEX(M_RawMaterials[固定週次消費量_要入力],MATCH($A22,M_RawMaterials[Part Name],0)),0)</f>
        <v/>
      </c>
      <c r="AA22">
        <f>SUMPRODUCT((M_BOM[Part Name]=$A22)*M_BOM[RM_Qty_Per_Batch]*IFERROR(INDEX(PP_Grid[#Data],M_BOM[PPGridRow],27),0))+IFERROR(INDEX(M_RawMaterials[固定週次消費量_要入力],MATCH($A22,M_RawMaterials[Part Name],0)),0)</f>
        <v/>
      </c>
      <c r="AB22">
        <f>SUMPRODUCT((M_BOM[Part Name]=$A22)*M_BOM[RM_Qty_Per_Batch]*IFERROR(INDEX(PP_Grid[#Data],M_BOM[PPGridRow],28),0))+IFERROR(INDEX(M_RawMaterials[固定週次消費量_要入力],MATCH($A22,M_RawMaterials[Part Name],0)),0)</f>
        <v/>
      </c>
      <c r="AC22">
        <f>SUMPRODUCT((M_BOM[Part Name]=$A22)*M_BOM[RM_Qty_Per_Batch]*IFERROR(INDEX(PP_Grid[#Data],M_BOM[PPGridRow],29),0))+IFERROR(INDEX(M_RawMaterials[固定週次消費量_要入力],MATCH($A22,M_RawMaterials[Part Name],0)),0)</f>
        <v/>
      </c>
      <c r="AD22">
        <f>SUMPRODUCT((M_BOM[Part Name]=$A22)*M_BOM[RM_Qty_Per_Batch]*IFERROR(INDEX(PP_Grid[#Data],M_BOM[PPGridRow],30),0))+IFERROR(INDEX(M_RawMaterials[固定週次消費量_要入力],MATCH($A22,M_RawMaterials[Part Name],0)),0)</f>
        <v/>
      </c>
      <c r="AE22">
        <f>SUMPRODUCT((M_BOM[Part Name]=$A22)*M_BOM[RM_Qty_Per_Batch]*IFERROR(INDEX(PP_Grid[#Data],M_BOM[PPGridRow],31),0))+IFERROR(INDEX(M_RawMaterials[固定週次消費量_要入力],MATCH($A22,M_RawMaterials[Part Name],0)),0)</f>
        <v/>
      </c>
      <c r="AF22">
        <f>SUMPRODUCT((M_BOM[Part Name]=$A22)*M_BOM[RM_Qty_Per_Batch]*IFERROR(INDEX(PP_Grid[#Data],M_BOM[PPGridRow],32),0))+IFERROR(INDEX(M_RawMaterials[固定週次消費量_要入力],MATCH($A22,M_RawMaterials[Part Name],0)),0)</f>
        <v/>
      </c>
      <c r="AG22">
        <f>SUMPRODUCT((M_BOM[Part Name]=$A22)*M_BOM[RM_Qty_Per_Batch]*IFERROR(INDEX(PP_Grid[#Data],M_BOM[PPGridRow],33),0))+IFERROR(INDEX(M_RawMaterials[固定週次消費量_要入力],MATCH($A22,M_RawMaterials[Part Name],0)),0)</f>
        <v/>
      </c>
      <c r="AH22">
        <f>SUMPRODUCT((M_BOM[Part Name]=$A22)*M_BOM[RM_Qty_Per_Batch]*IFERROR(INDEX(PP_Grid[#Data],M_BOM[PPGridRow],34),0))+IFERROR(INDEX(M_RawMaterials[固定週次消費量_要入力],MATCH($A22,M_RawMaterials[Part Name],0)),0)</f>
        <v/>
      </c>
      <c r="AI22">
        <f>SUMPRODUCT((M_BOM[Part Name]=$A22)*M_BOM[RM_Qty_Per_Batch]*IFERROR(INDEX(PP_Grid[#Data],M_BOM[PPGridRow],35),0))+IFERROR(INDEX(M_RawMaterials[固定週次消費量_要入力],MATCH($A22,M_RawMaterials[Part Name],0)),0)</f>
        <v/>
      </c>
      <c r="AJ22">
        <f>SUMPRODUCT((M_BOM[Part Name]=$A22)*M_BOM[RM_Qty_Per_Batch]*IFERROR(INDEX(PP_Grid[#Data],M_BOM[PPGridRow],36),0))+IFERROR(INDEX(M_RawMaterials[固定週次消費量_要入力],MATCH($A22,M_RawMaterials[Part Name],0)),0)</f>
        <v/>
      </c>
      <c r="AK22">
        <f>SUMPRODUCT((M_BOM[Part Name]=$A22)*M_BOM[RM_Qty_Per_Batch]*IFERROR(INDEX(PP_Grid[#Data],M_BOM[PPGridRow],37),0))+IFERROR(INDEX(M_RawMaterials[固定週次消費量_要入力],MATCH($A22,M_RawMaterials[Part Name],0)),0)</f>
        <v/>
      </c>
      <c r="AL22">
        <f>SUMPRODUCT((M_BOM[Part Name]=$A22)*M_BOM[RM_Qty_Per_Batch]*IFERROR(INDEX(PP_Grid[#Data],M_BOM[PPGridRow],38),0))+IFERROR(INDEX(M_RawMaterials[固定週次消費量_要入力],MATCH($A22,M_RawMaterials[Part Name],0)),0)</f>
        <v/>
      </c>
      <c r="AM22">
        <f>SUMPRODUCT((M_BOM[Part Name]=$A22)*M_BOM[RM_Qty_Per_Batch]*IFERROR(INDEX(PP_Grid[#Data],M_BOM[PPGridRow],39),0))+IFERROR(INDEX(M_RawMaterials[固定週次消費量_要入力],MATCH($A22,M_RawMaterials[Part Name],0)),0)</f>
        <v/>
      </c>
      <c r="AN22">
        <f>SUMPRODUCT((M_BOM[Part Name]=$A22)*M_BOM[RM_Qty_Per_Batch]*IFERROR(INDEX(PP_Grid[#Data],M_BOM[PPGridRow],40),0))+IFERROR(INDEX(M_RawMaterials[固定週次消費量_要入力],MATCH($A22,M_RawMaterials[Part Name],0)),0)</f>
        <v/>
      </c>
      <c r="AO22">
        <f>SUMPRODUCT((M_BOM[Part Name]=$A22)*M_BOM[RM_Qty_Per_Batch]*IFERROR(INDEX(PP_Grid[#Data],M_BOM[PPGridRow],41),0))+IFERROR(INDEX(M_RawMaterials[固定週次消費量_要入力],MATCH($A22,M_RawMaterials[Part Name],0)),0)</f>
        <v/>
      </c>
      <c r="AP22">
        <f>SUMPRODUCT((M_BOM[Part Name]=$A22)*M_BOM[RM_Qty_Per_Batch]*IFERROR(INDEX(PP_Grid[#Data],M_BOM[PPGridRow],42),0))+IFERROR(INDEX(M_RawMaterials[固定週次消費量_要入力],MATCH($A22,M_RawMaterials[Part Name],0)),0)</f>
        <v/>
      </c>
      <c r="AQ22">
        <f>SUMPRODUCT((M_BOM[Part Name]=$A22)*M_BOM[RM_Qty_Per_Batch]*IFERROR(INDEX(PP_Grid[#Data],M_BOM[PPGridRow],43),0))+IFERROR(INDEX(M_RawMaterials[固定週次消費量_要入力],MATCH($A22,M_RawMaterials[Part Name],0)),0)</f>
        <v/>
      </c>
      <c r="AR22">
        <f>SUMPRODUCT((M_BOM[Part Name]=$A22)*M_BOM[RM_Qty_Per_Batch]*IFERROR(INDEX(PP_Grid[#Data],M_BOM[PPGridRow],44),0))+IFERROR(INDEX(M_RawMaterials[固定週次消費量_要入力],MATCH($A22,M_RawMaterials[Part Name],0)),0)</f>
        <v/>
      </c>
      <c r="AS22">
        <f>SUMPRODUCT((M_BOM[Part Name]=$A22)*M_BOM[RM_Qty_Per_Batch]*IFERROR(INDEX(PP_Grid[#Data],M_BOM[PPGridRow],45),0))+IFERROR(INDEX(M_RawMaterials[固定週次消費量_要入力],MATCH($A22,M_RawMaterials[Part Name],0)),0)</f>
        <v/>
      </c>
      <c r="AT22">
        <f>SUMPRODUCT((M_BOM[Part Name]=$A22)*M_BOM[RM_Qty_Per_Batch]*IFERROR(INDEX(PP_Grid[#Data],M_BOM[PPGridRow],46),0))+IFERROR(INDEX(M_RawMaterials[固定週次消費量_要入力],MATCH($A22,M_RawMaterials[Part Name],0)),0)</f>
        <v/>
      </c>
      <c r="AU22">
        <f>SUMPRODUCT((M_BOM[Part Name]=$A22)*M_BOM[RM_Qty_Per_Batch]*IFERROR(INDEX(PP_Grid[#Data],M_BOM[PPGridRow],47),0))+IFERROR(INDEX(M_RawMaterials[固定週次消費量_要入力],MATCH($A22,M_RawMaterials[Part Name],0)),0)</f>
        <v/>
      </c>
      <c r="AV22">
        <f>SUMPRODUCT((M_BOM[Part Name]=$A22)*M_BOM[RM_Qty_Per_Batch]*IFERROR(INDEX(PP_Grid[#Data],M_BOM[PPGridRow],48),0))+IFERROR(INDEX(M_RawMaterials[固定週次消費量_要入力],MATCH($A22,M_RawMaterials[Part Name],0)),0)</f>
        <v/>
      </c>
      <c r="AW22">
        <f>SUMPRODUCT((M_BOM[Part Name]=$A22)*M_BOM[RM_Qty_Per_Batch]*IFERROR(INDEX(PP_Grid[#Data],M_BOM[PPGridRow],49),0))+IFERROR(INDEX(M_RawMaterials[固定週次消費量_要入力],MATCH($A22,M_RawMaterials[Part Name],0)),0)</f>
        <v/>
      </c>
      <c r="AX22">
        <f>SUMPRODUCT((M_BOM[Part Name]=$A22)*M_BOM[RM_Qty_Per_Batch]*IFERROR(INDEX(PP_Grid[#Data],M_BOM[PPGridRow],50),0))+IFERROR(INDEX(M_RawMaterials[固定週次消費量_要入力],MATCH($A22,M_RawMaterials[Part Name],0)),0)</f>
        <v/>
      </c>
      <c r="AY22">
        <f>SUMPRODUCT((M_BOM[Part Name]=$A22)*M_BOM[RM_Qty_Per_Batch]*IFERROR(INDEX(PP_Grid[#Data],M_BOM[PPGridRow],51),0))+IFERROR(INDEX(M_RawMaterials[固定週次消費量_要入力],MATCH($A22,M_RawMaterials[Part Name],0)),0)</f>
        <v/>
      </c>
      <c r="AZ22">
        <f>SUMPRODUCT((M_BOM[Part Name]=$A22)*M_BOM[RM_Qty_Per_Batch]*IFERROR(INDEX(PP_Grid[#Data],M_BOM[PPGridRow],52),0))+IFERROR(INDEX(M_RawMaterials[固定週次消費量_要入力],MATCH($A22,M_RawMaterials[Part Name],0)),0)</f>
        <v/>
      </c>
      <c r="BA22">
        <f>SUMPRODUCT((M_BOM[Part Name]=$A22)*M_BOM[RM_Qty_Per_Batch]*IFERROR(INDEX(PP_Grid[#Data],M_BOM[PPGridRow],53),0))+IFERROR(INDEX(M_RawMaterials[固定週次消費量_要入力],MATCH($A22,M_RawMaterials[Part Name],0)),0)</f>
        <v/>
      </c>
      <c r="BB22">
        <f>SUMPRODUCT((M_BOM[Part Name]=$A22)*M_BOM[RM_Qty_Per_Batch]*IFERROR(INDEX(PP_Grid[#Data],M_BOM[PPGridRow],54),0))+IFERROR(INDEX(M_RawMaterials[固定週次消費量_要入力],MATCH($A22,M_RawMaterials[Part Name],0)),0)</f>
        <v/>
      </c>
      <c r="BC22">
        <f>SUMPRODUCT((M_BOM[Part Name]=$A22)*M_BOM[RM_Qty_Per_Batch]*IFERROR(INDEX(PP_Grid[#Data],M_BOM[PPGridRow],55),0))+IFERROR(INDEX(M_RawMaterials[固定週次消費量_要入力],MATCH($A22,M_RawMaterials[Part Name],0)),0)</f>
        <v/>
      </c>
      <c r="BD22">
        <f>SUMPRODUCT((M_BOM[Part Name]=$A22)*M_BOM[RM_Qty_Per_Batch]*IFERROR(INDEX(PP_Grid[#Data],M_BOM[PPGridRow],56),0))+IFERROR(INDEX(M_RawMaterials[固定週次消費量_要入力],MATCH($A22,M_RawMaterials[Part Name],0)),0)</f>
        <v/>
      </c>
      <c r="BE22">
        <f>SUMPRODUCT((M_BOM[Part Name]=$A22)*M_BOM[RM_Qty_Per_Batch]*IFERROR(INDEX(PP_Grid[#Data],M_BOM[PPGridRow],57),0))+IFERROR(INDEX(M_RawMaterials[固定週次消費量_要入力],MATCH($A22,M_RawMaterials[Part Name],0)),0)</f>
        <v/>
      </c>
      <c r="BF22">
        <f>SUMPRODUCT((M_BOM[Part Name]=$A22)*M_BOM[RM_Qty_Per_Batch]*IFERROR(INDEX(PP_Grid[#Data],M_BOM[PPGridRow],58),0))+IFERROR(INDEX(M_RawMaterials[固定週次消費量_要入力],MATCH($A22,M_RawMaterials[Part Name],0)),0)</f>
        <v/>
      </c>
      <c r="BG22">
        <f>SUMPRODUCT((M_BOM[Part Name]=$A22)*M_BOM[RM_Qty_Per_Batch]*IFERROR(INDEX(PP_Grid[#Data],M_BOM[PPGridRow],59),0))+IFERROR(INDEX(M_RawMaterials[固定週次消費量_要入力],MATCH($A22,M_RawMaterials[Part Name],0)),0)</f>
        <v/>
      </c>
      <c r="BH22">
        <f>SUMPRODUCT((M_BOM[Part Name]=$A22)*M_BOM[RM_Qty_Per_Batch]*IFERROR(INDEX(PP_Grid[#Data],M_BOM[PPGridRow],60),0))+IFERROR(INDEX(M_RawMaterials[固定週次消費量_要入力],MATCH($A22,M_RawMaterials[Part Name],0)),0)</f>
        <v/>
      </c>
      <c r="BI22">
        <f>SUMPRODUCT((M_BOM[Part Name]=$A22)*M_BOM[RM_Qty_Per_Batch]*IFERROR(INDEX(PP_Grid[#Data],M_BOM[PPGridRow],61),0))+IFERROR(INDEX(M_RawMaterials[固定週次消費量_要入力],MATCH($A22,M_RawMaterials[Part Name],0)),0)</f>
        <v/>
      </c>
      <c r="BJ22">
        <f>SUMPRODUCT((M_BOM[Part Name]=$A22)*M_BOM[RM_Qty_Per_Batch]*IFERROR(INDEX(PP_Grid[#Data],M_BOM[PPGridRow],62),0))+IFERROR(INDEX(M_RawMaterials[固定週次消費量_要入力],MATCH($A22,M_RawMaterials[Part Name],0)),0)</f>
        <v/>
      </c>
      <c r="BK22">
        <f>SUMPRODUCT((M_BOM[Part Name]=$A22)*M_BOM[RM_Qty_Per_Batch]*IFERROR(INDEX(PP_Grid[#Data],M_BOM[PPGridRow],63),0))+IFERROR(INDEX(M_RawMaterials[固定週次消費量_要入力],MATCH($A22,M_RawMaterials[Part Name],0)),0)</f>
        <v/>
      </c>
      <c r="BL22">
        <f>SUMPRODUCT((M_BOM[Part Name]=$A22)*M_BOM[RM_Qty_Per_Batch]*IFERROR(INDEX(PP_Grid[#Data],M_BOM[PPGridRow],64),0))+IFERROR(INDEX(M_RawMaterials[固定週次消費量_要入力],MATCH($A22,M_RawMaterials[Part Name],0)),0)</f>
        <v/>
      </c>
      <c r="BM22">
        <f>SUMPRODUCT((M_BOM[Part Name]=$A22)*M_BOM[RM_Qty_Per_Batch]*IFERROR(INDEX(PP_Grid[#Data],M_BOM[PPGridRow],65),0))+IFERROR(INDEX(M_RawMaterials[固定週次消費量_要入力],MATCH($A22,M_RawMaterials[Part Name],0)),0)</f>
        <v/>
      </c>
      <c r="BN22">
        <f>SUMPRODUCT((M_BOM[Part Name]=$A22)*M_BOM[RM_Qty_Per_Batch]*IFERROR(INDEX(PP_Grid[#Data],M_BOM[PPGridRow],66),0))+IFERROR(INDEX(M_RawMaterials[固定週次消費量_要入力],MATCH($A22,M_RawMaterials[Part Name],0)),0)</f>
        <v/>
      </c>
      <c r="BO22">
        <f>SUMPRODUCT((M_BOM[Part Name]=$A22)*M_BOM[RM_Qty_Per_Batch]*IFERROR(INDEX(PP_Grid[#Data],M_BOM[PPGridRow],67),0))+IFERROR(INDEX(M_RawMaterials[固定週次消費量_要入力],MATCH($A22,M_RawMaterials[Part Name],0)),0)</f>
        <v/>
      </c>
      <c r="BP22">
        <f>SUMPRODUCT((M_BOM[Part Name]=$A22)*M_BOM[RM_Qty_Per_Batch]*IFERROR(INDEX(PP_Grid[#Data],M_BOM[PPGridRow],68),0))+IFERROR(INDEX(M_RawMaterials[固定週次消費量_要入力],MATCH($A22,M_RawMaterials[Part Name],0)),0)</f>
        <v/>
      </c>
      <c r="BQ22">
        <f>SUMPRODUCT((M_BOM[Part Name]=$A22)*M_BOM[RM_Qty_Per_Batch]*IFERROR(INDEX(PP_Grid[#Data],M_BOM[PPGridRow],69),0))+IFERROR(INDEX(M_RawMaterials[固定週次消費量_要入力],MATCH($A22,M_RawMaterials[Part Name],0)),0)</f>
        <v/>
      </c>
      <c r="BR22">
        <f>SUMPRODUCT((M_BOM[Part Name]=$A22)*M_BOM[RM_Qty_Per_Batch]*IFERROR(INDEX(PP_Grid[#Data],M_BOM[PPGridRow],70),0))+IFERROR(INDEX(M_RawMaterials[固定週次消費量_要入力],MATCH($A22,M_RawMaterials[Part Name],0)),0)</f>
        <v/>
      </c>
      <c r="BS22">
        <f>SUMPRODUCT((M_BOM[Part Name]=$A22)*M_BOM[RM_Qty_Per_Batch]*IFERROR(INDEX(PP_Grid[#Data],M_BOM[PPGridRow],71),0))+IFERROR(INDEX(M_RawMaterials[固定週次消費量_要入力],MATCH($A22,M_RawMaterials[Part Name],0)),0)</f>
        <v/>
      </c>
      <c r="BT22">
        <f>SUMPRODUCT((M_BOM[Part Name]=$A22)*M_BOM[RM_Qty_Per_Batch]*IFERROR(INDEX(PP_Grid[#Data],M_BOM[PPGridRow],72),0))+IFERROR(INDEX(M_RawMaterials[固定週次消費量_要入力],MATCH($A22,M_RawMaterials[Part Name],0)),0)</f>
        <v/>
      </c>
      <c r="BU22">
        <f>SUMPRODUCT((M_BOM[Part Name]=$A22)*M_BOM[RM_Qty_Per_Batch]*IFERROR(INDEX(PP_Grid[#Data],M_BOM[PPGridRow],73),0))+IFERROR(INDEX(M_RawMaterials[固定週次消費量_要入力],MATCH($A22,M_RawMaterials[Part Name],0)),0)</f>
        <v/>
      </c>
      <c r="BV22">
        <f>SUMPRODUCT((M_BOM[Part Name]=$A22)*M_BOM[RM_Qty_Per_Batch]*IFERROR(INDEX(PP_Grid[#Data],M_BOM[PPGridRow],74),0))+IFERROR(INDEX(M_RawMaterials[固定週次消費量_要入力],MATCH($A22,M_RawMaterials[Part Name],0)),0)</f>
        <v/>
      </c>
      <c r="BW22">
        <f>SUMPRODUCT((M_BOM[Part Name]=$A22)*M_BOM[RM_Qty_Per_Batch]*IFERROR(INDEX(PP_Grid[#Data],M_BOM[PPGridRow],75),0))+IFERROR(INDEX(M_RawMaterials[固定週次消費量_要入力],MATCH($A22,M_RawMaterials[Part Name],0)),0)</f>
        <v/>
      </c>
      <c r="BX22">
        <f>SUMPRODUCT((M_BOM[Part Name]=$A22)*M_BOM[RM_Qty_Per_Batch]*IFERROR(INDEX(PP_Grid[#Data],M_BOM[PPGridRow],76),0))+IFERROR(INDEX(M_RawMaterials[固定週次消費量_要入力],MATCH($A22,M_RawMaterials[Part Name],0)),0)</f>
        <v/>
      </c>
      <c r="BY22">
        <f>SUMPRODUCT((M_BOM[Part Name]=$A22)*M_BOM[RM_Qty_Per_Batch]*IFERROR(INDEX(PP_Grid[#Data],M_BOM[PPGridRow],77),0))+IFERROR(INDEX(M_RawMaterials[固定週次消費量_要入力],MATCH($A22,M_RawMaterials[Part Name],0)),0)</f>
        <v/>
      </c>
      <c r="BZ22">
        <f>SUMPRODUCT((M_BOM[Part Name]=$A22)*M_BOM[RM_Qty_Per_Batch]*IFERROR(INDEX(PP_Grid[#Data],M_BOM[PPGridRow],78),0))+IFERROR(INDEX(M_RawMaterials[固定週次消費量_要入力],MATCH($A22,M_RawMaterials[Part Name],0)),0)</f>
        <v/>
      </c>
      <c r="CA22">
        <f>SUMPRODUCT((M_BOM[Part Name]=$A22)*M_BOM[RM_Qty_Per_Batch]*IFERROR(INDEX(PP_Grid[#Data],M_BOM[PPGridRow],79),0))+IFERROR(INDEX(M_RawMaterials[固定週次消費量_要入力],MATCH($A22,M_RawMaterials[Part Name],0)),0)</f>
        <v/>
      </c>
      <c r="CB22">
        <f>SUMPRODUCT((M_BOM[Part Name]=$A22)*M_BOM[RM_Qty_Per_Batch]*IFERROR(INDEX(PP_Grid[#Data],M_BOM[PPGridRow],80),0))+IFERROR(INDEX(M_RawMaterials[固定週次消費量_要入力],MATCH($A22,M_RawMaterials[Part Name],0)),0)</f>
        <v/>
      </c>
      <c r="CC22">
        <f>SUMPRODUCT((M_BOM[Part Name]=$A22)*M_BOM[RM_Qty_Per_Batch]*IFERROR(INDEX(PP_Grid[#Data],M_BOM[PPGridRow],81),0))+IFERROR(INDEX(M_RawMaterials[固定週次消費量_要入力],MATCH($A22,M_RawMaterials[Part Name],0)),0)</f>
        <v/>
      </c>
      <c r="CD22">
        <f>SUMPRODUCT((M_BOM[Part Name]=$A22)*M_BOM[RM_Qty_Per_Batch]*IFERROR(INDEX(PP_Grid[#Data],M_BOM[PPGridRow],82),0))+IFERROR(INDEX(M_RawMaterials[固定週次消費量_要入力],MATCH($A22,M_RawMaterials[Part Name],0)),0)</f>
        <v/>
      </c>
      <c r="CE22">
        <f>SUMPRODUCT((M_BOM[Part Name]=$A22)*M_BOM[RM_Qty_Per_Batch]*IFERROR(INDEX(PP_Grid[#Data],M_BOM[PPGridRow],83),0))+IFERROR(INDEX(M_RawMaterials[固定週次消費量_要入力],MATCH($A22,M_RawMaterials[Part Name],0)),0)</f>
        <v/>
      </c>
      <c r="CF22">
        <f>SUMPRODUCT((M_BOM[Part Name]=$A22)*M_BOM[RM_Qty_Per_Batch]*IFERROR(INDEX(PP_Grid[#Data],M_BOM[PPGridRow],84),0))+IFERROR(INDEX(M_RawMaterials[固定週次消費量_要入力],MATCH($A22,M_RawMaterials[Part Name],0)),0)</f>
        <v/>
      </c>
      <c r="CG22">
        <f>SUMPRODUCT((M_BOM[Part Name]=$A22)*M_BOM[RM_Qty_Per_Batch]*IFERROR(INDEX(PP_Grid[#Data],M_BOM[PPGridRow],85),0))+IFERROR(INDEX(M_RawMaterials[固定週次消費量_要入力],MATCH($A22,M_RawMaterials[Part Name],0)),0)</f>
        <v/>
      </c>
      <c r="CH22">
        <f>SUMPRODUCT((M_BOM[Part Name]=$A22)*M_BOM[RM_Qty_Per_Batch]*IFERROR(INDEX(PP_Grid[#Data],M_BOM[PPGridRow],86),0))+IFERROR(INDEX(M_RawMaterials[固定週次消費量_要入力],MATCH($A22,M_RawMaterials[Part Name],0)),0)</f>
        <v/>
      </c>
      <c r="CI22">
        <f>SUMPRODUCT((M_BOM[Part Name]=$A22)*M_BOM[RM_Qty_Per_Batch]*IFERROR(INDEX(PP_Grid[#Data],M_BOM[PPGridRow],87),0))+IFERROR(INDEX(M_RawMaterials[固定週次消費量_要入力],MATCH($A22,M_RawMaterials[Part Name],0)),0)</f>
        <v/>
      </c>
      <c r="CJ22">
        <f>SUMPRODUCT((M_BOM[Part Name]=$A22)*M_BOM[RM_Qty_Per_Batch]*IFERROR(INDEX(PP_Grid[#Data],M_BOM[PPGridRow],88),0))+IFERROR(INDEX(M_RawMaterials[固定週次消費量_要入力],MATCH($A22,M_RawMaterials[Part Name],0)),0)</f>
        <v/>
      </c>
      <c r="CK22">
        <f>SUMPRODUCT((M_BOM[Part Name]=$A22)*M_BOM[RM_Qty_Per_Batch]*IFERROR(INDEX(PP_Grid[#Data],M_BOM[PPGridRow],89),0))+IFERROR(INDEX(M_RawMaterials[固定週次消費量_要入力],MATCH($A22,M_RawMaterials[Part Name],0)),0)</f>
        <v/>
      </c>
      <c r="CL22">
        <f>SUMPRODUCT((M_BOM[Part Name]=$A22)*M_BOM[RM_Qty_Per_Batch]*IFERROR(INDEX(PP_Grid[#Data],M_BOM[PPGridRow],90),0))+IFERROR(INDEX(M_RawMaterials[固定週次消費量_要入力],MATCH($A22,M_RawMaterials[Part Name],0)),0)</f>
        <v/>
      </c>
      <c r="CM22">
        <f>SUMPRODUCT((M_BOM[Part Name]=$A22)*M_BOM[RM_Qty_Per_Batch]*IFERROR(INDEX(PP_Grid[#Data],M_BOM[PPGridRow],91),0))+IFERROR(INDEX(M_RawMaterials[固定週次消費量_要入力],MATCH($A22,M_RawMaterials[Part Name],0)),0)</f>
        <v/>
      </c>
      <c r="CN22">
        <f>SUMPRODUCT((M_BOM[Part Name]=$A22)*M_BOM[RM_Qty_Per_Batch]*IFERROR(INDEX(PP_Grid[#Data],M_BOM[PPGridRow],92),0))+IFERROR(INDEX(M_RawMaterials[固定週次消費量_要入力],MATCH($A22,M_RawMaterials[Part Name],0)),0)</f>
        <v/>
      </c>
      <c r="CO22">
        <f>SUMPRODUCT((M_BOM[Part Name]=$A22)*M_BOM[RM_Qty_Per_Batch]*IFERROR(INDEX(PP_Grid[#Data],M_BOM[PPGridRow],93),0))+IFERROR(INDEX(M_RawMaterials[固定週次消費量_要入力],MATCH($A22,M_RawMaterials[Part Name],0)),0)</f>
        <v/>
      </c>
      <c r="CP22">
        <f>SUMPRODUCT((M_BOM[Part Name]=$A22)*M_BOM[RM_Qty_Per_Batch]*IFERROR(INDEX(PP_Grid[#Data],M_BOM[PPGridRow],94),0))+IFERROR(INDEX(M_RawMaterials[固定週次消費量_要入力],MATCH($A22,M_RawMaterials[Part Name],0)),0)</f>
        <v/>
      </c>
      <c r="CQ22">
        <f>SUMPRODUCT((M_BOM[Part Name]=$A22)*M_BOM[RM_Qty_Per_Batch]*IFERROR(INDEX(PP_Grid[#Data],M_BOM[PPGridRow],95),0))+IFERROR(INDEX(M_RawMaterials[固定週次消費量_要入力],MATCH($A22,M_RawMaterials[Part Name],0)),0)</f>
        <v/>
      </c>
      <c r="CR22">
        <f>SUMPRODUCT((M_BOM[Part Name]=$A22)*M_BOM[RM_Qty_Per_Batch]*IFERROR(INDEX(PP_Grid[#Data],M_BOM[PPGridRow],96),0))+IFERROR(INDEX(M_RawMaterials[固定週次消費量_要入力],MATCH($A22,M_RawMaterials[Part Name],0)),0)</f>
        <v/>
      </c>
      <c r="CS22">
        <f>SUMPRODUCT((M_BOM[Part Name]=$A22)*M_BOM[RM_Qty_Per_Batch]*IFERROR(INDEX(PP_Grid[#Data],M_BOM[PPGridRow],97),0))+IFERROR(INDEX(M_RawMaterials[固定週次消費量_要入力],MATCH($A22,M_RawMaterials[Part Name],0)),0)</f>
        <v/>
      </c>
      <c r="CT22">
        <f>SUMPRODUCT((M_BOM[Part Name]=$A22)*M_BOM[RM_Qty_Per_Batch]*IFERROR(INDEX(PP_Grid[#Data],M_BOM[PPGridRow],98),0))+IFERROR(INDEX(M_RawMaterials[固定週次消費量_要入力],MATCH($A22,M_RawMaterials[Part Name],0)),0)</f>
        <v/>
      </c>
      <c r="CU22">
        <f>SUMPRODUCT((M_BOM[Part Name]=$A22)*M_BOM[RM_Qty_Per_Batch]*IFERROR(INDEX(PP_Grid[#Data],M_BOM[PPGridRow],99),0))+IFERROR(INDEX(M_RawMaterials[固定週次消費量_要入力],MATCH($A22,M_RawMaterials[Part Name],0)),0)</f>
        <v/>
      </c>
      <c r="CV22">
        <f>SUMPRODUCT((M_BOM[Part Name]=$A22)*M_BOM[RM_Qty_Per_Batch]*IFERROR(INDEX(PP_Grid[#Data],M_BOM[PPGridRow],100),0))+IFERROR(INDEX(M_RawMaterials[固定週次消費量_要入力],MATCH($A22,M_RawMaterials[Part Name],0)),0)</f>
        <v/>
      </c>
      <c r="CW22">
        <f>SUMPRODUCT((M_BOM[Part Name]=$A22)*M_BOM[RM_Qty_Per_Batch]*IFERROR(INDEX(PP_Grid[#Data],M_BOM[PPGridRow],101),0))+IFERROR(INDEX(M_RawMaterials[固定週次消費量_要入力],MATCH($A22,M_RawMaterials[Part Name],0)),0)</f>
        <v/>
      </c>
      <c r="CX22">
        <f>SUMPRODUCT((M_BOM[Part Name]=$A22)*M_BOM[RM_Qty_Per_Batch]*IFERROR(INDEX(PP_Grid[#Data],M_BOM[PPGridRow],102),0))+IFERROR(INDEX(M_RawMaterials[固定週次消費量_要入力],MATCH($A22,M_RawMaterials[Part Name],0)),0)</f>
        <v/>
      </c>
      <c r="CY22">
        <f>SUMPRODUCT((M_BOM[Part Name]=$A22)*M_BOM[RM_Qty_Per_Batch]*IFERROR(INDEX(PP_Grid[#Data],M_BOM[PPGridRow],103),0))+IFERROR(INDEX(M_RawMaterials[固定週次消費量_要入力],MATCH($A22,M_RawMaterials[Part Name],0)),0)</f>
        <v/>
      </c>
      <c r="CZ22">
        <f>SUMPRODUCT((M_BOM[Part Name]=$A22)*M_BOM[RM_Qty_Per_Batch]*IFERROR(INDEX(PP_Grid[#Data],M_BOM[PPGridRow],104),0))+IFERROR(INDEX(M_RawMaterials[固定週次消費量_要入力],MATCH($A22,M_RawMaterials[Part Name],0)),0)</f>
        <v/>
      </c>
      <c r="DA22">
        <f>SUMPRODUCT((M_BOM[Part Name]=$A22)*M_BOM[RM_Qty_Per_Batch]*IFERROR(INDEX(PP_Grid[#Data],M_BOM[PPGridRow],105),0))+IFERROR(INDEX(M_RawMaterials[固定週次消費量_要入力],MATCH($A22,M_RawMaterials[Part Name],0)),0)</f>
        <v/>
      </c>
    </row>
    <row r="23">
      <c r="A23" t="inlineStr">
        <is>
          <t>CHEM-1110</t>
        </is>
      </c>
      <c r="B23">
        <f>SUMPRODUCT((M_BOM[Part Name]=$A23)*M_BOM[RM_Qty_Per_Batch]*IFERROR(INDEX(PP_Grid[#Data],M_BOM[PPGridRow],2),0))+IFERROR(INDEX(M_RawMaterials[固定週次消費量_要入力],MATCH($A23,M_RawMaterials[Part Name],0)),0)</f>
        <v/>
      </c>
      <c r="C23">
        <f>SUMPRODUCT((M_BOM[Part Name]=$A23)*M_BOM[RM_Qty_Per_Batch]*IFERROR(INDEX(PP_Grid[#Data],M_BOM[PPGridRow],3),0))+IFERROR(INDEX(M_RawMaterials[固定週次消費量_要入力],MATCH($A23,M_RawMaterials[Part Name],0)),0)</f>
        <v/>
      </c>
      <c r="D23">
        <f>SUMPRODUCT((M_BOM[Part Name]=$A23)*M_BOM[RM_Qty_Per_Batch]*IFERROR(INDEX(PP_Grid[#Data],M_BOM[PPGridRow],4),0))+IFERROR(INDEX(M_RawMaterials[固定週次消費量_要入力],MATCH($A23,M_RawMaterials[Part Name],0)),0)</f>
        <v/>
      </c>
      <c r="E23">
        <f>SUMPRODUCT((M_BOM[Part Name]=$A23)*M_BOM[RM_Qty_Per_Batch]*IFERROR(INDEX(PP_Grid[#Data],M_BOM[PPGridRow],5),0))+IFERROR(INDEX(M_RawMaterials[固定週次消費量_要入力],MATCH($A23,M_RawMaterials[Part Name],0)),0)</f>
        <v/>
      </c>
      <c r="F23">
        <f>SUMPRODUCT((M_BOM[Part Name]=$A23)*M_BOM[RM_Qty_Per_Batch]*IFERROR(INDEX(PP_Grid[#Data],M_BOM[PPGridRow],6),0))+IFERROR(INDEX(M_RawMaterials[固定週次消費量_要入力],MATCH($A23,M_RawMaterials[Part Name],0)),0)</f>
        <v/>
      </c>
      <c r="G23">
        <f>SUMPRODUCT((M_BOM[Part Name]=$A23)*M_BOM[RM_Qty_Per_Batch]*IFERROR(INDEX(PP_Grid[#Data],M_BOM[PPGridRow],7),0))+IFERROR(INDEX(M_RawMaterials[固定週次消費量_要入力],MATCH($A23,M_RawMaterials[Part Name],0)),0)</f>
        <v/>
      </c>
      <c r="H23">
        <f>SUMPRODUCT((M_BOM[Part Name]=$A23)*M_BOM[RM_Qty_Per_Batch]*IFERROR(INDEX(PP_Grid[#Data],M_BOM[PPGridRow],8),0))+IFERROR(INDEX(M_RawMaterials[固定週次消費量_要入力],MATCH($A23,M_RawMaterials[Part Name],0)),0)</f>
        <v/>
      </c>
      <c r="I23">
        <f>SUMPRODUCT((M_BOM[Part Name]=$A23)*M_BOM[RM_Qty_Per_Batch]*IFERROR(INDEX(PP_Grid[#Data],M_BOM[PPGridRow],9),0))+IFERROR(INDEX(M_RawMaterials[固定週次消費量_要入力],MATCH($A23,M_RawMaterials[Part Name],0)),0)</f>
        <v/>
      </c>
      <c r="J23">
        <f>SUMPRODUCT((M_BOM[Part Name]=$A23)*M_BOM[RM_Qty_Per_Batch]*IFERROR(INDEX(PP_Grid[#Data],M_BOM[PPGridRow],10),0))+IFERROR(INDEX(M_RawMaterials[固定週次消費量_要入力],MATCH($A23,M_RawMaterials[Part Name],0)),0)</f>
        <v/>
      </c>
      <c r="K23">
        <f>SUMPRODUCT((M_BOM[Part Name]=$A23)*M_BOM[RM_Qty_Per_Batch]*IFERROR(INDEX(PP_Grid[#Data],M_BOM[PPGridRow],11),0))+IFERROR(INDEX(M_RawMaterials[固定週次消費量_要入力],MATCH($A23,M_RawMaterials[Part Name],0)),0)</f>
        <v/>
      </c>
      <c r="L23">
        <f>SUMPRODUCT((M_BOM[Part Name]=$A23)*M_BOM[RM_Qty_Per_Batch]*IFERROR(INDEX(PP_Grid[#Data],M_BOM[PPGridRow],12),0))+IFERROR(INDEX(M_RawMaterials[固定週次消費量_要入力],MATCH($A23,M_RawMaterials[Part Name],0)),0)</f>
        <v/>
      </c>
      <c r="M23">
        <f>SUMPRODUCT((M_BOM[Part Name]=$A23)*M_BOM[RM_Qty_Per_Batch]*IFERROR(INDEX(PP_Grid[#Data],M_BOM[PPGridRow],13),0))+IFERROR(INDEX(M_RawMaterials[固定週次消費量_要入力],MATCH($A23,M_RawMaterials[Part Name],0)),0)</f>
        <v/>
      </c>
      <c r="N23">
        <f>SUMPRODUCT((M_BOM[Part Name]=$A23)*M_BOM[RM_Qty_Per_Batch]*IFERROR(INDEX(PP_Grid[#Data],M_BOM[PPGridRow],14),0))+IFERROR(INDEX(M_RawMaterials[固定週次消費量_要入力],MATCH($A23,M_RawMaterials[Part Name],0)),0)</f>
        <v/>
      </c>
      <c r="O23">
        <f>SUMPRODUCT((M_BOM[Part Name]=$A23)*M_BOM[RM_Qty_Per_Batch]*IFERROR(INDEX(PP_Grid[#Data],M_BOM[PPGridRow],15),0))+IFERROR(INDEX(M_RawMaterials[固定週次消費量_要入力],MATCH($A23,M_RawMaterials[Part Name],0)),0)</f>
        <v/>
      </c>
      <c r="P23">
        <f>SUMPRODUCT((M_BOM[Part Name]=$A23)*M_BOM[RM_Qty_Per_Batch]*IFERROR(INDEX(PP_Grid[#Data],M_BOM[PPGridRow],16),0))+IFERROR(INDEX(M_RawMaterials[固定週次消費量_要入力],MATCH($A23,M_RawMaterials[Part Name],0)),0)</f>
        <v/>
      </c>
      <c r="Q23">
        <f>SUMPRODUCT((M_BOM[Part Name]=$A23)*M_BOM[RM_Qty_Per_Batch]*IFERROR(INDEX(PP_Grid[#Data],M_BOM[PPGridRow],17),0))+IFERROR(INDEX(M_RawMaterials[固定週次消費量_要入力],MATCH($A23,M_RawMaterials[Part Name],0)),0)</f>
        <v/>
      </c>
      <c r="R23">
        <f>SUMPRODUCT((M_BOM[Part Name]=$A23)*M_BOM[RM_Qty_Per_Batch]*IFERROR(INDEX(PP_Grid[#Data],M_BOM[PPGridRow],18),0))+IFERROR(INDEX(M_RawMaterials[固定週次消費量_要入力],MATCH($A23,M_RawMaterials[Part Name],0)),0)</f>
        <v/>
      </c>
      <c r="S23">
        <f>SUMPRODUCT((M_BOM[Part Name]=$A23)*M_BOM[RM_Qty_Per_Batch]*IFERROR(INDEX(PP_Grid[#Data],M_BOM[PPGridRow],19),0))+IFERROR(INDEX(M_RawMaterials[固定週次消費量_要入力],MATCH($A23,M_RawMaterials[Part Name],0)),0)</f>
        <v/>
      </c>
      <c r="T23">
        <f>SUMPRODUCT((M_BOM[Part Name]=$A23)*M_BOM[RM_Qty_Per_Batch]*IFERROR(INDEX(PP_Grid[#Data],M_BOM[PPGridRow],20),0))+IFERROR(INDEX(M_RawMaterials[固定週次消費量_要入力],MATCH($A23,M_RawMaterials[Part Name],0)),0)</f>
        <v/>
      </c>
      <c r="U23">
        <f>SUMPRODUCT((M_BOM[Part Name]=$A23)*M_BOM[RM_Qty_Per_Batch]*IFERROR(INDEX(PP_Grid[#Data],M_BOM[PPGridRow],21),0))+IFERROR(INDEX(M_RawMaterials[固定週次消費量_要入力],MATCH($A23,M_RawMaterials[Part Name],0)),0)</f>
        <v/>
      </c>
      <c r="V23">
        <f>SUMPRODUCT((M_BOM[Part Name]=$A23)*M_BOM[RM_Qty_Per_Batch]*IFERROR(INDEX(PP_Grid[#Data],M_BOM[PPGridRow],22),0))+IFERROR(INDEX(M_RawMaterials[固定週次消費量_要入力],MATCH($A23,M_RawMaterials[Part Name],0)),0)</f>
        <v/>
      </c>
      <c r="W23">
        <f>SUMPRODUCT((M_BOM[Part Name]=$A23)*M_BOM[RM_Qty_Per_Batch]*IFERROR(INDEX(PP_Grid[#Data],M_BOM[PPGridRow],23),0))+IFERROR(INDEX(M_RawMaterials[固定週次消費量_要入力],MATCH($A23,M_RawMaterials[Part Name],0)),0)</f>
        <v/>
      </c>
      <c r="X23">
        <f>SUMPRODUCT((M_BOM[Part Name]=$A23)*M_BOM[RM_Qty_Per_Batch]*IFERROR(INDEX(PP_Grid[#Data],M_BOM[PPGridRow],24),0))+IFERROR(INDEX(M_RawMaterials[固定週次消費量_要入力],MATCH($A23,M_RawMaterials[Part Name],0)),0)</f>
        <v/>
      </c>
      <c r="Y23">
        <f>SUMPRODUCT((M_BOM[Part Name]=$A23)*M_BOM[RM_Qty_Per_Batch]*IFERROR(INDEX(PP_Grid[#Data],M_BOM[PPGridRow],25),0))+IFERROR(INDEX(M_RawMaterials[固定週次消費量_要入力],MATCH($A23,M_RawMaterials[Part Name],0)),0)</f>
        <v/>
      </c>
      <c r="Z23">
        <f>SUMPRODUCT((M_BOM[Part Name]=$A23)*M_BOM[RM_Qty_Per_Batch]*IFERROR(INDEX(PP_Grid[#Data],M_BOM[PPGridRow],26),0))+IFERROR(INDEX(M_RawMaterials[固定週次消費量_要入力],MATCH($A23,M_RawMaterials[Part Name],0)),0)</f>
        <v/>
      </c>
      <c r="AA23">
        <f>SUMPRODUCT((M_BOM[Part Name]=$A23)*M_BOM[RM_Qty_Per_Batch]*IFERROR(INDEX(PP_Grid[#Data],M_BOM[PPGridRow],27),0))+IFERROR(INDEX(M_RawMaterials[固定週次消費量_要入力],MATCH($A23,M_RawMaterials[Part Name],0)),0)</f>
        <v/>
      </c>
      <c r="AB23">
        <f>SUMPRODUCT((M_BOM[Part Name]=$A23)*M_BOM[RM_Qty_Per_Batch]*IFERROR(INDEX(PP_Grid[#Data],M_BOM[PPGridRow],28),0))+IFERROR(INDEX(M_RawMaterials[固定週次消費量_要入力],MATCH($A23,M_RawMaterials[Part Name],0)),0)</f>
        <v/>
      </c>
      <c r="AC23">
        <f>SUMPRODUCT((M_BOM[Part Name]=$A23)*M_BOM[RM_Qty_Per_Batch]*IFERROR(INDEX(PP_Grid[#Data],M_BOM[PPGridRow],29),0))+IFERROR(INDEX(M_RawMaterials[固定週次消費量_要入力],MATCH($A23,M_RawMaterials[Part Name],0)),0)</f>
        <v/>
      </c>
      <c r="AD23">
        <f>SUMPRODUCT((M_BOM[Part Name]=$A23)*M_BOM[RM_Qty_Per_Batch]*IFERROR(INDEX(PP_Grid[#Data],M_BOM[PPGridRow],30),0))+IFERROR(INDEX(M_RawMaterials[固定週次消費量_要入力],MATCH($A23,M_RawMaterials[Part Name],0)),0)</f>
        <v/>
      </c>
      <c r="AE23">
        <f>SUMPRODUCT((M_BOM[Part Name]=$A23)*M_BOM[RM_Qty_Per_Batch]*IFERROR(INDEX(PP_Grid[#Data],M_BOM[PPGridRow],31),0))+IFERROR(INDEX(M_RawMaterials[固定週次消費量_要入力],MATCH($A23,M_RawMaterials[Part Name],0)),0)</f>
        <v/>
      </c>
      <c r="AF23">
        <f>SUMPRODUCT((M_BOM[Part Name]=$A23)*M_BOM[RM_Qty_Per_Batch]*IFERROR(INDEX(PP_Grid[#Data],M_BOM[PPGridRow],32),0))+IFERROR(INDEX(M_RawMaterials[固定週次消費量_要入力],MATCH($A23,M_RawMaterials[Part Name],0)),0)</f>
        <v/>
      </c>
      <c r="AG23">
        <f>SUMPRODUCT((M_BOM[Part Name]=$A23)*M_BOM[RM_Qty_Per_Batch]*IFERROR(INDEX(PP_Grid[#Data],M_BOM[PPGridRow],33),0))+IFERROR(INDEX(M_RawMaterials[固定週次消費量_要入力],MATCH($A23,M_RawMaterials[Part Name],0)),0)</f>
        <v/>
      </c>
      <c r="AH23">
        <f>SUMPRODUCT((M_BOM[Part Name]=$A23)*M_BOM[RM_Qty_Per_Batch]*IFERROR(INDEX(PP_Grid[#Data],M_BOM[PPGridRow],34),0))+IFERROR(INDEX(M_RawMaterials[固定週次消費量_要入力],MATCH($A23,M_RawMaterials[Part Name],0)),0)</f>
        <v/>
      </c>
      <c r="AI23">
        <f>SUMPRODUCT((M_BOM[Part Name]=$A23)*M_BOM[RM_Qty_Per_Batch]*IFERROR(INDEX(PP_Grid[#Data],M_BOM[PPGridRow],35),0))+IFERROR(INDEX(M_RawMaterials[固定週次消費量_要入力],MATCH($A23,M_RawMaterials[Part Name],0)),0)</f>
        <v/>
      </c>
      <c r="AJ23">
        <f>SUMPRODUCT((M_BOM[Part Name]=$A23)*M_BOM[RM_Qty_Per_Batch]*IFERROR(INDEX(PP_Grid[#Data],M_BOM[PPGridRow],36),0))+IFERROR(INDEX(M_RawMaterials[固定週次消費量_要入力],MATCH($A23,M_RawMaterials[Part Name],0)),0)</f>
        <v/>
      </c>
      <c r="AK23">
        <f>SUMPRODUCT((M_BOM[Part Name]=$A23)*M_BOM[RM_Qty_Per_Batch]*IFERROR(INDEX(PP_Grid[#Data],M_BOM[PPGridRow],37),0))+IFERROR(INDEX(M_RawMaterials[固定週次消費量_要入力],MATCH($A23,M_RawMaterials[Part Name],0)),0)</f>
        <v/>
      </c>
      <c r="AL23">
        <f>SUMPRODUCT((M_BOM[Part Name]=$A23)*M_BOM[RM_Qty_Per_Batch]*IFERROR(INDEX(PP_Grid[#Data],M_BOM[PPGridRow],38),0))+IFERROR(INDEX(M_RawMaterials[固定週次消費量_要入力],MATCH($A23,M_RawMaterials[Part Name],0)),0)</f>
        <v/>
      </c>
      <c r="AM23">
        <f>SUMPRODUCT((M_BOM[Part Name]=$A23)*M_BOM[RM_Qty_Per_Batch]*IFERROR(INDEX(PP_Grid[#Data],M_BOM[PPGridRow],39),0))+IFERROR(INDEX(M_RawMaterials[固定週次消費量_要入力],MATCH($A23,M_RawMaterials[Part Name],0)),0)</f>
        <v/>
      </c>
      <c r="AN23">
        <f>SUMPRODUCT((M_BOM[Part Name]=$A23)*M_BOM[RM_Qty_Per_Batch]*IFERROR(INDEX(PP_Grid[#Data],M_BOM[PPGridRow],40),0))+IFERROR(INDEX(M_RawMaterials[固定週次消費量_要入力],MATCH($A23,M_RawMaterials[Part Name],0)),0)</f>
        <v/>
      </c>
      <c r="AO23">
        <f>SUMPRODUCT((M_BOM[Part Name]=$A23)*M_BOM[RM_Qty_Per_Batch]*IFERROR(INDEX(PP_Grid[#Data],M_BOM[PPGridRow],41),0))+IFERROR(INDEX(M_RawMaterials[固定週次消費量_要入力],MATCH($A23,M_RawMaterials[Part Name],0)),0)</f>
        <v/>
      </c>
      <c r="AP23">
        <f>SUMPRODUCT((M_BOM[Part Name]=$A23)*M_BOM[RM_Qty_Per_Batch]*IFERROR(INDEX(PP_Grid[#Data],M_BOM[PPGridRow],42),0))+IFERROR(INDEX(M_RawMaterials[固定週次消費量_要入力],MATCH($A23,M_RawMaterials[Part Name],0)),0)</f>
        <v/>
      </c>
      <c r="AQ23">
        <f>SUMPRODUCT((M_BOM[Part Name]=$A23)*M_BOM[RM_Qty_Per_Batch]*IFERROR(INDEX(PP_Grid[#Data],M_BOM[PPGridRow],43),0))+IFERROR(INDEX(M_RawMaterials[固定週次消費量_要入力],MATCH($A23,M_RawMaterials[Part Name],0)),0)</f>
        <v/>
      </c>
      <c r="AR23">
        <f>SUMPRODUCT((M_BOM[Part Name]=$A23)*M_BOM[RM_Qty_Per_Batch]*IFERROR(INDEX(PP_Grid[#Data],M_BOM[PPGridRow],44),0))+IFERROR(INDEX(M_RawMaterials[固定週次消費量_要入力],MATCH($A23,M_RawMaterials[Part Name],0)),0)</f>
        <v/>
      </c>
      <c r="AS23">
        <f>SUMPRODUCT((M_BOM[Part Name]=$A23)*M_BOM[RM_Qty_Per_Batch]*IFERROR(INDEX(PP_Grid[#Data],M_BOM[PPGridRow],45),0))+IFERROR(INDEX(M_RawMaterials[固定週次消費量_要入力],MATCH($A23,M_RawMaterials[Part Name],0)),0)</f>
        <v/>
      </c>
      <c r="AT23">
        <f>SUMPRODUCT((M_BOM[Part Name]=$A23)*M_BOM[RM_Qty_Per_Batch]*IFERROR(INDEX(PP_Grid[#Data],M_BOM[PPGridRow],46),0))+IFERROR(INDEX(M_RawMaterials[固定週次消費量_要入力],MATCH($A23,M_RawMaterials[Part Name],0)),0)</f>
        <v/>
      </c>
      <c r="AU23">
        <f>SUMPRODUCT((M_BOM[Part Name]=$A23)*M_BOM[RM_Qty_Per_Batch]*IFERROR(INDEX(PP_Grid[#Data],M_BOM[PPGridRow],47),0))+IFERROR(INDEX(M_RawMaterials[固定週次消費量_要入力],MATCH($A23,M_RawMaterials[Part Name],0)),0)</f>
        <v/>
      </c>
      <c r="AV23">
        <f>SUMPRODUCT((M_BOM[Part Name]=$A23)*M_BOM[RM_Qty_Per_Batch]*IFERROR(INDEX(PP_Grid[#Data],M_BOM[PPGridRow],48),0))+IFERROR(INDEX(M_RawMaterials[固定週次消費量_要入力],MATCH($A23,M_RawMaterials[Part Name],0)),0)</f>
        <v/>
      </c>
      <c r="AW23">
        <f>SUMPRODUCT((M_BOM[Part Name]=$A23)*M_BOM[RM_Qty_Per_Batch]*IFERROR(INDEX(PP_Grid[#Data],M_BOM[PPGridRow],49),0))+IFERROR(INDEX(M_RawMaterials[固定週次消費量_要入力],MATCH($A23,M_RawMaterials[Part Name],0)),0)</f>
        <v/>
      </c>
      <c r="AX23">
        <f>SUMPRODUCT((M_BOM[Part Name]=$A23)*M_BOM[RM_Qty_Per_Batch]*IFERROR(INDEX(PP_Grid[#Data],M_BOM[PPGridRow],50),0))+IFERROR(INDEX(M_RawMaterials[固定週次消費量_要入力],MATCH($A23,M_RawMaterials[Part Name],0)),0)</f>
        <v/>
      </c>
      <c r="AY23">
        <f>SUMPRODUCT((M_BOM[Part Name]=$A23)*M_BOM[RM_Qty_Per_Batch]*IFERROR(INDEX(PP_Grid[#Data],M_BOM[PPGridRow],51),0))+IFERROR(INDEX(M_RawMaterials[固定週次消費量_要入力],MATCH($A23,M_RawMaterials[Part Name],0)),0)</f>
        <v/>
      </c>
      <c r="AZ23">
        <f>SUMPRODUCT((M_BOM[Part Name]=$A23)*M_BOM[RM_Qty_Per_Batch]*IFERROR(INDEX(PP_Grid[#Data],M_BOM[PPGridRow],52),0))+IFERROR(INDEX(M_RawMaterials[固定週次消費量_要入力],MATCH($A23,M_RawMaterials[Part Name],0)),0)</f>
        <v/>
      </c>
      <c r="BA23">
        <f>SUMPRODUCT((M_BOM[Part Name]=$A23)*M_BOM[RM_Qty_Per_Batch]*IFERROR(INDEX(PP_Grid[#Data],M_BOM[PPGridRow],53),0))+IFERROR(INDEX(M_RawMaterials[固定週次消費量_要入力],MATCH($A23,M_RawMaterials[Part Name],0)),0)</f>
        <v/>
      </c>
      <c r="BB23">
        <f>SUMPRODUCT((M_BOM[Part Name]=$A23)*M_BOM[RM_Qty_Per_Batch]*IFERROR(INDEX(PP_Grid[#Data],M_BOM[PPGridRow],54),0))+IFERROR(INDEX(M_RawMaterials[固定週次消費量_要入力],MATCH($A23,M_RawMaterials[Part Name],0)),0)</f>
        <v/>
      </c>
      <c r="BC23">
        <f>SUMPRODUCT((M_BOM[Part Name]=$A23)*M_BOM[RM_Qty_Per_Batch]*IFERROR(INDEX(PP_Grid[#Data],M_BOM[PPGridRow],55),0))+IFERROR(INDEX(M_RawMaterials[固定週次消費量_要入力],MATCH($A23,M_RawMaterials[Part Name],0)),0)</f>
        <v/>
      </c>
      <c r="BD23">
        <f>SUMPRODUCT((M_BOM[Part Name]=$A23)*M_BOM[RM_Qty_Per_Batch]*IFERROR(INDEX(PP_Grid[#Data],M_BOM[PPGridRow],56),0))+IFERROR(INDEX(M_RawMaterials[固定週次消費量_要入力],MATCH($A23,M_RawMaterials[Part Name],0)),0)</f>
        <v/>
      </c>
      <c r="BE23">
        <f>SUMPRODUCT((M_BOM[Part Name]=$A23)*M_BOM[RM_Qty_Per_Batch]*IFERROR(INDEX(PP_Grid[#Data],M_BOM[PPGridRow],57),0))+IFERROR(INDEX(M_RawMaterials[固定週次消費量_要入力],MATCH($A23,M_RawMaterials[Part Name],0)),0)</f>
        <v/>
      </c>
      <c r="BF23">
        <f>SUMPRODUCT((M_BOM[Part Name]=$A23)*M_BOM[RM_Qty_Per_Batch]*IFERROR(INDEX(PP_Grid[#Data],M_BOM[PPGridRow],58),0))+IFERROR(INDEX(M_RawMaterials[固定週次消費量_要入力],MATCH($A23,M_RawMaterials[Part Name],0)),0)</f>
        <v/>
      </c>
      <c r="BG23">
        <f>SUMPRODUCT((M_BOM[Part Name]=$A23)*M_BOM[RM_Qty_Per_Batch]*IFERROR(INDEX(PP_Grid[#Data],M_BOM[PPGridRow],59),0))+IFERROR(INDEX(M_RawMaterials[固定週次消費量_要入力],MATCH($A23,M_RawMaterials[Part Name],0)),0)</f>
        <v/>
      </c>
      <c r="BH23">
        <f>SUMPRODUCT((M_BOM[Part Name]=$A23)*M_BOM[RM_Qty_Per_Batch]*IFERROR(INDEX(PP_Grid[#Data],M_BOM[PPGridRow],60),0))+IFERROR(INDEX(M_RawMaterials[固定週次消費量_要入力],MATCH($A23,M_RawMaterials[Part Name],0)),0)</f>
        <v/>
      </c>
      <c r="BI23">
        <f>SUMPRODUCT((M_BOM[Part Name]=$A23)*M_BOM[RM_Qty_Per_Batch]*IFERROR(INDEX(PP_Grid[#Data],M_BOM[PPGridRow],61),0))+IFERROR(INDEX(M_RawMaterials[固定週次消費量_要入力],MATCH($A23,M_RawMaterials[Part Name],0)),0)</f>
        <v/>
      </c>
      <c r="BJ23">
        <f>SUMPRODUCT((M_BOM[Part Name]=$A23)*M_BOM[RM_Qty_Per_Batch]*IFERROR(INDEX(PP_Grid[#Data],M_BOM[PPGridRow],62),0))+IFERROR(INDEX(M_RawMaterials[固定週次消費量_要入力],MATCH($A23,M_RawMaterials[Part Name],0)),0)</f>
        <v/>
      </c>
      <c r="BK23">
        <f>SUMPRODUCT((M_BOM[Part Name]=$A23)*M_BOM[RM_Qty_Per_Batch]*IFERROR(INDEX(PP_Grid[#Data],M_BOM[PPGridRow],63),0))+IFERROR(INDEX(M_RawMaterials[固定週次消費量_要入力],MATCH($A23,M_RawMaterials[Part Name],0)),0)</f>
        <v/>
      </c>
      <c r="BL23">
        <f>SUMPRODUCT((M_BOM[Part Name]=$A23)*M_BOM[RM_Qty_Per_Batch]*IFERROR(INDEX(PP_Grid[#Data],M_BOM[PPGridRow],64),0))+IFERROR(INDEX(M_RawMaterials[固定週次消費量_要入力],MATCH($A23,M_RawMaterials[Part Name],0)),0)</f>
        <v/>
      </c>
      <c r="BM23">
        <f>SUMPRODUCT((M_BOM[Part Name]=$A23)*M_BOM[RM_Qty_Per_Batch]*IFERROR(INDEX(PP_Grid[#Data],M_BOM[PPGridRow],65),0))+IFERROR(INDEX(M_RawMaterials[固定週次消費量_要入力],MATCH($A23,M_RawMaterials[Part Name],0)),0)</f>
        <v/>
      </c>
      <c r="BN23">
        <f>SUMPRODUCT((M_BOM[Part Name]=$A23)*M_BOM[RM_Qty_Per_Batch]*IFERROR(INDEX(PP_Grid[#Data],M_BOM[PPGridRow],66),0))+IFERROR(INDEX(M_RawMaterials[固定週次消費量_要入力],MATCH($A23,M_RawMaterials[Part Name],0)),0)</f>
        <v/>
      </c>
      <c r="BO23">
        <f>SUMPRODUCT((M_BOM[Part Name]=$A23)*M_BOM[RM_Qty_Per_Batch]*IFERROR(INDEX(PP_Grid[#Data],M_BOM[PPGridRow],67),0))+IFERROR(INDEX(M_RawMaterials[固定週次消費量_要入力],MATCH($A23,M_RawMaterials[Part Name],0)),0)</f>
        <v/>
      </c>
      <c r="BP23">
        <f>SUMPRODUCT((M_BOM[Part Name]=$A23)*M_BOM[RM_Qty_Per_Batch]*IFERROR(INDEX(PP_Grid[#Data],M_BOM[PPGridRow],68),0))+IFERROR(INDEX(M_RawMaterials[固定週次消費量_要入力],MATCH($A23,M_RawMaterials[Part Name],0)),0)</f>
        <v/>
      </c>
      <c r="BQ23">
        <f>SUMPRODUCT((M_BOM[Part Name]=$A23)*M_BOM[RM_Qty_Per_Batch]*IFERROR(INDEX(PP_Grid[#Data],M_BOM[PPGridRow],69),0))+IFERROR(INDEX(M_RawMaterials[固定週次消費量_要入力],MATCH($A23,M_RawMaterials[Part Name],0)),0)</f>
        <v/>
      </c>
      <c r="BR23">
        <f>SUMPRODUCT((M_BOM[Part Name]=$A23)*M_BOM[RM_Qty_Per_Batch]*IFERROR(INDEX(PP_Grid[#Data],M_BOM[PPGridRow],70),0))+IFERROR(INDEX(M_RawMaterials[固定週次消費量_要入力],MATCH($A23,M_RawMaterials[Part Name],0)),0)</f>
        <v/>
      </c>
      <c r="BS23">
        <f>SUMPRODUCT((M_BOM[Part Name]=$A23)*M_BOM[RM_Qty_Per_Batch]*IFERROR(INDEX(PP_Grid[#Data],M_BOM[PPGridRow],71),0))+IFERROR(INDEX(M_RawMaterials[固定週次消費量_要入力],MATCH($A23,M_RawMaterials[Part Name],0)),0)</f>
        <v/>
      </c>
      <c r="BT23">
        <f>SUMPRODUCT((M_BOM[Part Name]=$A23)*M_BOM[RM_Qty_Per_Batch]*IFERROR(INDEX(PP_Grid[#Data],M_BOM[PPGridRow],72),0))+IFERROR(INDEX(M_RawMaterials[固定週次消費量_要入力],MATCH($A23,M_RawMaterials[Part Name],0)),0)</f>
        <v/>
      </c>
      <c r="BU23">
        <f>SUMPRODUCT((M_BOM[Part Name]=$A23)*M_BOM[RM_Qty_Per_Batch]*IFERROR(INDEX(PP_Grid[#Data],M_BOM[PPGridRow],73),0))+IFERROR(INDEX(M_RawMaterials[固定週次消費量_要入力],MATCH($A23,M_RawMaterials[Part Name],0)),0)</f>
        <v/>
      </c>
      <c r="BV23">
        <f>SUMPRODUCT((M_BOM[Part Name]=$A23)*M_BOM[RM_Qty_Per_Batch]*IFERROR(INDEX(PP_Grid[#Data],M_BOM[PPGridRow],74),0))+IFERROR(INDEX(M_RawMaterials[固定週次消費量_要入力],MATCH($A23,M_RawMaterials[Part Name],0)),0)</f>
        <v/>
      </c>
      <c r="BW23">
        <f>SUMPRODUCT((M_BOM[Part Name]=$A23)*M_BOM[RM_Qty_Per_Batch]*IFERROR(INDEX(PP_Grid[#Data],M_BOM[PPGridRow],75),0))+IFERROR(INDEX(M_RawMaterials[固定週次消費量_要入力],MATCH($A23,M_RawMaterials[Part Name],0)),0)</f>
        <v/>
      </c>
      <c r="BX23">
        <f>SUMPRODUCT((M_BOM[Part Name]=$A23)*M_BOM[RM_Qty_Per_Batch]*IFERROR(INDEX(PP_Grid[#Data],M_BOM[PPGridRow],76),0))+IFERROR(INDEX(M_RawMaterials[固定週次消費量_要入力],MATCH($A23,M_RawMaterials[Part Name],0)),0)</f>
        <v/>
      </c>
      <c r="BY23">
        <f>SUMPRODUCT((M_BOM[Part Name]=$A23)*M_BOM[RM_Qty_Per_Batch]*IFERROR(INDEX(PP_Grid[#Data],M_BOM[PPGridRow],77),0))+IFERROR(INDEX(M_RawMaterials[固定週次消費量_要入力],MATCH($A23,M_RawMaterials[Part Name],0)),0)</f>
        <v/>
      </c>
      <c r="BZ23">
        <f>SUMPRODUCT((M_BOM[Part Name]=$A23)*M_BOM[RM_Qty_Per_Batch]*IFERROR(INDEX(PP_Grid[#Data],M_BOM[PPGridRow],78),0))+IFERROR(INDEX(M_RawMaterials[固定週次消費量_要入力],MATCH($A23,M_RawMaterials[Part Name],0)),0)</f>
        <v/>
      </c>
      <c r="CA23">
        <f>SUMPRODUCT((M_BOM[Part Name]=$A23)*M_BOM[RM_Qty_Per_Batch]*IFERROR(INDEX(PP_Grid[#Data],M_BOM[PPGridRow],79),0))+IFERROR(INDEX(M_RawMaterials[固定週次消費量_要入力],MATCH($A23,M_RawMaterials[Part Name],0)),0)</f>
        <v/>
      </c>
      <c r="CB23">
        <f>SUMPRODUCT((M_BOM[Part Name]=$A23)*M_BOM[RM_Qty_Per_Batch]*IFERROR(INDEX(PP_Grid[#Data],M_BOM[PPGridRow],80),0))+IFERROR(INDEX(M_RawMaterials[固定週次消費量_要入力],MATCH($A23,M_RawMaterials[Part Name],0)),0)</f>
        <v/>
      </c>
      <c r="CC23">
        <f>SUMPRODUCT((M_BOM[Part Name]=$A23)*M_BOM[RM_Qty_Per_Batch]*IFERROR(INDEX(PP_Grid[#Data],M_BOM[PPGridRow],81),0))+IFERROR(INDEX(M_RawMaterials[固定週次消費量_要入力],MATCH($A23,M_RawMaterials[Part Name],0)),0)</f>
        <v/>
      </c>
      <c r="CD23">
        <f>SUMPRODUCT((M_BOM[Part Name]=$A23)*M_BOM[RM_Qty_Per_Batch]*IFERROR(INDEX(PP_Grid[#Data],M_BOM[PPGridRow],82),0))+IFERROR(INDEX(M_RawMaterials[固定週次消費量_要入力],MATCH($A23,M_RawMaterials[Part Name],0)),0)</f>
        <v/>
      </c>
      <c r="CE23">
        <f>SUMPRODUCT((M_BOM[Part Name]=$A23)*M_BOM[RM_Qty_Per_Batch]*IFERROR(INDEX(PP_Grid[#Data],M_BOM[PPGridRow],83),0))+IFERROR(INDEX(M_RawMaterials[固定週次消費量_要入力],MATCH($A23,M_RawMaterials[Part Name],0)),0)</f>
        <v/>
      </c>
      <c r="CF23">
        <f>SUMPRODUCT((M_BOM[Part Name]=$A23)*M_BOM[RM_Qty_Per_Batch]*IFERROR(INDEX(PP_Grid[#Data],M_BOM[PPGridRow],84),0))+IFERROR(INDEX(M_RawMaterials[固定週次消費量_要入力],MATCH($A23,M_RawMaterials[Part Name],0)),0)</f>
        <v/>
      </c>
      <c r="CG23">
        <f>SUMPRODUCT((M_BOM[Part Name]=$A23)*M_BOM[RM_Qty_Per_Batch]*IFERROR(INDEX(PP_Grid[#Data],M_BOM[PPGridRow],85),0))+IFERROR(INDEX(M_RawMaterials[固定週次消費量_要入力],MATCH($A23,M_RawMaterials[Part Name],0)),0)</f>
        <v/>
      </c>
      <c r="CH23">
        <f>SUMPRODUCT((M_BOM[Part Name]=$A23)*M_BOM[RM_Qty_Per_Batch]*IFERROR(INDEX(PP_Grid[#Data],M_BOM[PPGridRow],86),0))+IFERROR(INDEX(M_RawMaterials[固定週次消費量_要入力],MATCH($A23,M_RawMaterials[Part Name],0)),0)</f>
        <v/>
      </c>
      <c r="CI23">
        <f>SUMPRODUCT((M_BOM[Part Name]=$A23)*M_BOM[RM_Qty_Per_Batch]*IFERROR(INDEX(PP_Grid[#Data],M_BOM[PPGridRow],87),0))+IFERROR(INDEX(M_RawMaterials[固定週次消費量_要入力],MATCH($A23,M_RawMaterials[Part Name],0)),0)</f>
        <v/>
      </c>
      <c r="CJ23">
        <f>SUMPRODUCT((M_BOM[Part Name]=$A23)*M_BOM[RM_Qty_Per_Batch]*IFERROR(INDEX(PP_Grid[#Data],M_BOM[PPGridRow],88),0))+IFERROR(INDEX(M_RawMaterials[固定週次消費量_要入力],MATCH($A23,M_RawMaterials[Part Name],0)),0)</f>
        <v/>
      </c>
      <c r="CK23">
        <f>SUMPRODUCT((M_BOM[Part Name]=$A23)*M_BOM[RM_Qty_Per_Batch]*IFERROR(INDEX(PP_Grid[#Data],M_BOM[PPGridRow],89),0))+IFERROR(INDEX(M_RawMaterials[固定週次消費量_要入力],MATCH($A23,M_RawMaterials[Part Name],0)),0)</f>
        <v/>
      </c>
      <c r="CL23">
        <f>SUMPRODUCT((M_BOM[Part Name]=$A23)*M_BOM[RM_Qty_Per_Batch]*IFERROR(INDEX(PP_Grid[#Data],M_BOM[PPGridRow],90),0))+IFERROR(INDEX(M_RawMaterials[固定週次消費量_要入力],MATCH($A23,M_RawMaterials[Part Name],0)),0)</f>
        <v/>
      </c>
      <c r="CM23">
        <f>SUMPRODUCT((M_BOM[Part Name]=$A23)*M_BOM[RM_Qty_Per_Batch]*IFERROR(INDEX(PP_Grid[#Data],M_BOM[PPGridRow],91),0))+IFERROR(INDEX(M_RawMaterials[固定週次消費量_要入力],MATCH($A23,M_RawMaterials[Part Name],0)),0)</f>
        <v/>
      </c>
      <c r="CN23">
        <f>SUMPRODUCT((M_BOM[Part Name]=$A23)*M_BOM[RM_Qty_Per_Batch]*IFERROR(INDEX(PP_Grid[#Data],M_BOM[PPGridRow],92),0))+IFERROR(INDEX(M_RawMaterials[固定週次消費量_要入力],MATCH($A23,M_RawMaterials[Part Name],0)),0)</f>
        <v/>
      </c>
      <c r="CO23">
        <f>SUMPRODUCT((M_BOM[Part Name]=$A23)*M_BOM[RM_Qty_Per_Batch]*IFERROR(INDEX(PP_Grid[#Data],M_BOM[PPGridRow],93),0))+IFERROR(INDEX(M_RawMaterials[固定週次消費量_要入力],MATCH($A23,M_RawMaterials[Part Name],0)),0)</f>
        <v/>
      </c>
      <c r="CP23">
        <f>SUMPRODUCT((M_BOM[Part Name]=$A23)*M_BOM[RM_Qty_Per_Batch]*IFERROR(INDEX(PP_Grid[#Data],M_BOM[PPGridRow],94),0))+IFERROR(INDEX(M_RawMaterials[固定週次消費量_要入力],MATCH($A23,M_RawMaterials[Part Name],0)),0)</f>
        <v/>
      </c>
      <c r="CQ23">
        <f>SUMPRODUCT((M_BOM[Part Name]=$A23)*M_BOM[RM_Qty_Per_Batch]*IFERROR(INDEX(PP_Grid[#Data],M_BOM[PPGridRow],95),0))+IFERROR(INDEX(M_RawMaterials[固定週次消費量_要入力],MATCH($A23,M_RawMaterials[Part Name],0)),0)</f>
        <v/>
      </c>
      <c r="CR23">
        <f>SUMPRODUCT((M_BOM[Part Name]=$A23)*M_BOM[RM_Qty_Per_Batch]*IFERROR(INDEX(PP_Grid[#Data],M_BOM[PPGridRow],96),0))+IFERROR(INDEX(M_RawMaterials[固定週次消費量_要入力],MATCH($A23,M_RawMaterials[Part Name],0)),0)</f>
        <v/>
      </c>
      <c r="CS23">
        <f>SUMPRODUCT((M_BOM[Part Name]=$A23)*M_BOM[RM_Qty_Per_Batch]*IFERROR(INDEX(PP_Grid[#Data],M_BOM[PPGridRow],97),0))+IFERROR(INDEX(M_RawMaterials[固定週次消費量_要入力],MATCH($A23,M_RawMaterials[Part Name],0)),0)</f>
        <v/>
      </c>
      <c r="CT23">
        <f>SUMPRODUCT((M_BOM[Part Name]=$A23)*M_BOM[RM_Qty_Per_Batch]*IFERROR(INDEX(PP_Grid[#Data],M_BOM[PPGridRow],98),0))+IFERROR(INDEX(M_RawMaterials[固定週次消費量_要入力],MATCH($A23,M_RawMaterials[Part Name],0)),0)</f>
        <v/>
      </c>
      <c r="CU23">
        <f>SUMPRODUCT((M_BOM[Part Name]=$A23)*M_BOM[RM_Qty_Per_Batch]*IFERROR(INDEX(PP_Grid[#Data],M_BOM[PPGridRow],99),0))+IFERROR(INDEX(M_RawMaterials[固定週次消費量_要入力],MATCH($A23,M_RawMaterials[Part Name],0)),0)</f>
        <v/>
      </c>
      <c r="CV23">
        <f>SUMPRODUCT((M_BOM[Part Name]=$A23)*M_BOM[RM_Qty_Per_Batch]*IFERROR(INDEX(PP_Grid[#Data],M_BOM[PPGridRow],100),0))+IFERROR(INDEX(M_RawMaterials[固定週次消費量_要入力],MATCH($A23,M_RawMaterials[Part Name],0)),0)</f>
        <v/>
      </c>
      <c r="CW23">
        <f>SUMPRODUCT((M_BOM[Part Name]=$A23)*M_BOM[RM_Qty_Per_Batch]*IFERROR(INDEX(PP_Grid[#Data],M_BOM[PPGridRow],101),0))+IFERROR(INDEX(M_RawMaterials[固定週次消費量_要入力],MATCH($A23,M_RawMaterials[Part Name],0)),0)</f>
        <v/>
      </c>
      <c r="CX23">
        <f>SUMPRODUCT((M_BOM[Part Name]=$A23)*M_BOM[RM_Qty_Per_Batch]*IFERROR(INDEX(PP_Grid[#Data],M_BOM[PPGridRow],102),0))+IFERROR(INDEX(M_RawMaterials[固定週次消費量_要入力],MATCH($A23,M_RawMaterials[Part Name],0)),0)</f>
        <v/>
      </c>
      <c r="CY23">
        <f>SUMPRODUCT((M_BOM[Part Name]=$A23)*M_BOM[RM_Qty_Per_Batch]*IFERROR(INDEX(PP_Grid[#Data],M_BOM[PPGridRow],103),0))+IFERROR(INDEX(M_RawMaterials[固定週次消費量_要入力],MATCH($A23,M_RawMaterials[Part Name],0)),0)</f>
        <v/>
      </c>
      <c r="CZ23">
        <f>SUMPRODUCT((M_BOM[Part Name]=$A23)*M_BOM[RM_Qty_Per_Batch]*IFERROR(INDEX(PP_Grid[#Data],M_BOM[PPGridRow],104),0))+IFERROR(INDEX(M_RawMaterials[固定週次消費量_要入力],MATCH($A23,M_RawMaterials[Part Name],0)),0)</f>
        <v/>
      </c>
      <c r="DA23">
        <f>SUMPRODUCT((M_BOM[Part Name]=$A23)*M_BOM[RM_Qty_Per_Batch]*IFERROR(INDEX(PP_Grid[#Data],M_BOM[PPGridRow],105),0))+IFERROR(INDEX(M_RawMaterials[固定週次消費量_要入力],MATCH($A23,M_RawMaterials[Part Name],0)),0)</f>
        <v/>
      </c>
    </row>
    <row r="24">
      <c r="A24" t="inlineStr">
        <is>
          <t>CHEM-1240</t>
        </is>
      </c>
      <c r="B24">
        <f>SUMPRODUCT((M_BOM[Part Name]=$A24)*M_BOM[RM_Qty_Per_Batch]*IFERROR(INDEX(PP_Grid[#Data],M_BOM[PPGridRow],2),0))+IFERROR(INDEX(M_RawMaterials[固定週次消費量_要入力],MATCH($A24,M_RawMaterials[Part Name],0)),0)</f>
        <v/>
      </c>
      <c r="C24">
        <f>SUMPRODUCT((M_BOM[Part Name]=$A24)*M_BOM[RM_Qty_Per_Batch]*IFERROR(INDEX(PP_Grid[#Data],M_BOM[PPGridRow],3),0))+IFERROR(INDEX(M_RawMaterials[固定週次消費量_要入力],MATCH($A24,M_RawMaterials[Part Name],0)),0)</f>
        <v/>
      </c>
      <c r="D24">
        <f>SUMPRODUCT((M_BOM[Part Name]=$A24)*M_BOM[RM_Qty_Per_Batch]*IFERROR(INDEX(PP_Grid[#Data],M_BOM[PPGridRow],4),0))+IFERROR(INDEX(M_RawMaterials[固定週次消費量_要入力],MATCH($A24,M_RawMaterials[Part Name],0)),0)</f>
        <v/>
      </c>
      <c r="E24">
        <f>SUMPRODUCT((M_BOM[Part Name]=$A24)*M_BOM[RM_Qty_Per_Batch]*IFERROR(INDEX(PP_Grid[#Data],M_BOM[PPGridRow],5),0))+IFERROR(INDEX(M_RawMaterials[固定週次消費量_要入力],MATCH($A24,M_RawMaterials[Part Name],0)),0)</f>
        <v/>
      </c>
      <c r="F24">
        <f>SUMPRODUCT((M_BOM[Part Name]=$A24)*M_BOM[RM_Qty_Per_Batch]*IFERROR(INDEX(PP_Grid[#Data],M_BOM[PPGridRow],6),0))+IFERROR(INDEX(M_RawMaterials[固定週次消費量_要入力],MATCH($A24,M_RawMaterials[Part Name],0)),0)</f>
        <v/>
      </c>
      <c r="G24">
        <f>SUMPRODUCT((M_BOM[Part Name]=$A24)*M_BOM[RM_Qty_Per_Batch]*IFERROR(INDEX(PP_Grid[#Data],M_BOM[PPGridRow],7),0))+IFERROR(INDEX(M_RawMaterials[固定週次消費量_要入力],MATCH($A24,M_RawMaterials[Part Name],0)),0)</f>
        <v/>
      </c>
      <c r="H24">
        <f>SUMPRODUCT((M_BOM[Part Name]=$A24)*M_BOM[RM_Qty_Per_Batch]*IFERROR(INDEX(PP_Grid[#Data],M_BOM[PPGridRow],8),0))+IFERROR(INDEX(M_RawMaterials[固定週次消費量_要入力],MATCH($A24,M_RawMaterials[Part Name],0)),0)</f>
        <v/>
      </c>
      <c r="I24">
        <f>SUMPRODUCT((M_BOM[Part Name]=$A24)*M_BOM[RM_Qty_Per_Batch]*IFERROR(INDEX(PP_Grid[#Data],M_BOM[PPGridRow],9),0))+IFERROR(INDEX(M_RawMaterials[固定週次消費量_要入力],MATCH($A24,M_RawMaterials[Part Name],0)),0)</f>
        <v/>
      </c>
      <c r="J24">
        <f>SUMPRODUCT((M_BOM[Part Name]=$A24)*M_BOM[RM_Qty_Per_Batch]*IFERROR(INDEX(PP_Grid[#Data],M_BOM[PPGridRow],10),0))+IFERROR(INDEX(M_RawMaterials[固定週次消費量_要入力],MATCH($A24,M_RawMaterials[Part Name],0)),0)</f>
        <v/>
      </c>
      <c r="K24">
        <f>SUMPRODUCT((M_BOM[Part Name]=$A24)*M_BOM[RM_Qty_Per_Batch]*IFERROR(INDEX(PP_Grid[#Data],M_BOM[PPGridRow],11),0))+IFERROR(INDEX(M_RawMaterials[固定週次消費量_要入力],MATCH($A24,M_RawMaterials[Part Name],0)),0)</f>
        <v/>
      </c>
      <c r="L24">
        <f>SUMPRODUCT((M_BOM[Part Name]=$A24)*M_BOM[RM_Qty_Per_Batch]*IFERROR(INDEX(PP_Grid[#Data],M_BOM[PPGridRow],12),0))+IFERROR(INDEX(M_RawMaterials[固定週次消費量_要入力],MATCH($A24,M_RawMaterials[Part Name],0)),0)</f>
        <v/>
      </c>
      <c r="M24">
        <f>SUMPRODUCT((M_BOM[Part Name]=$A24)*M_BOM[RM_Qty_Per_Batch]*IFERROR(INDEX(PP_Grid[#Data],M_BOM[PPGridRow],13),0))+IFERROR(INDEX(M_RawMaterials[固定週次消費量_要入力],MATCH($A24,M_RawMaterials[Part Name],0)),0)</f>
        <v/>
      </c>
      <c r="N24">
        <f>SUMPRODUCT((M_BOM[Part Name]=$A24)*M_BOM[RM_Qty_Per_Batch]*IFERROR(INDEX(PP_Grid[#Data],M_BOM[PPGridRow],14),0))+IFERROR(INDEX(M_RawMaterials[固定週次消費量_要入力],MATCH($A24,M_RawMaterials[Part Name],0)),0)</f>
        <v/>
      </c>
      <c r="O24">
        <f>SUMPRODUCT((M_BOM[Part Name]=$A24)*M_BOM[RM_Qty_Per_Batch]*IFERROR(INDEX(PP_Grid[#Data],M_BOM[PPGridRow],15),0))+IFERROR(INDEX(M_RawMaterials[固定週次消費量_要入力],MATCH($A24,M_RawMaterials[Part Name],0)),0)</f>
        <v/>
      </c>
      <c r="P24">
        <f>SUMPRODUCT((M_BOM[Part Name]=$A24)*M_BOM[RM_Qty_Per_Batch]*IFERROR(INDEX(PP_Grid[#Data],M_BOM[PPGridRow],16),0))+IFERROR(INDEX(M_RawMaterials[固定週次消費量_要入力],MATCH($A24,M_RawMaterials[Part Name],0)),0)</f>
        <v/>
      </c>
      <c r="Q24">
        <f>SUMPRODUCT((M_BOM[Part Name]=$A24)*M_BOM[RM_Qty_Per_Batch]*IFERROR(INDEX(PP_Grid[#Data],M_BOM[PPGridRow],17),0))+IFERROR(INDEX(M_RawMaterials[固定週次消費量_要入力],MATCH($A24,M_RawMaterials[Part Name],0)),0)</f>
        <v/>
      </c>
      <c r="R24">
        <f>SUMPRODUCT((M_BOM[Part Name]=$A24)*M_BOM[RM_Qty_Per_Batch]*IFERROR(INDEX(PP_Grid[#Data],M_BOM[PPGridRow],18),0))+IFERROR(INDEX(M_RawMaterials[固定週次消費量_要入力],MATCH($A24,M_RawMaterials[Part Name],0)),0)</f>
        <v/>
      </c>
      <c r="S24">
        <f>SUMPRODUCT((M_BOM[Part Name]=$A24)*M_BOM[RM_Qty_Per_Batch]*IFERROR(INDEX(PP_Grid[#Data],M_BOM[PPGridRow],19),0))+IFERROR(INDEX(M_RawMaterials[固定週次消費量_要入力],MATCH($A24,M_RawMaterials[Part Name],0)),0)</f>
        <v/>
      </c>
      <c r="T24">
        <f>SUMPRODUCT((M_BOM[Part Name]=$A24)*M_BOM[RM_Qty_Per_Batch]*IFERROR(INDEX(PP_Grid[#Data],M_BOM[PPGridRow],20),0))+IFERROR(INDEX(M_RawMaterials[固定週次消費量_要入力],MATCH($A24,M_RawMaterials[Part Name],0)),0)</f>
        <v/>
      </c>
      <c r="U24">
        <f>SUMPRODUCT((M_BOM[Part Name]=$A24)*M_BOM[RM_Qty_Per_Batch]*IFERROR(INDEX(PP_Grid[#Data],M_BOM[PPGridRow],21),0))+IFERROR(INDEX(M_RawMaterials[固定週次消費量_要入力],MATCH($A24,M_RawMaterials[Part Name],0)),0)</f>
        <v/>
      </c>
      <c r="V24">
        <f>SUMPRODUCT((M_BOM[Part Name]=$A24)*M_BOM[RM_Qty_Per_Batch]*IFERROR(INDEX(PP_Grid[#Data],M_BOM[PPGridRow],22),0))+IFERROR(INDEX(M_RawMaterials[固定週次消費量_要入力],MATCH($A24,M_RawMaterials[Part Name],0)),0)</f>
        <v/>
      </c>
      <c r="W24">
        <f>SUMPRODUCT((M_BOM[Part Name]=$A24)*M_BOM[RM_Qty_Per_Batch]*IFERROR(INDEX(PP_Grid[#Data],M_BOM[PPGridRow],23),0))+IFERROR(INDEX(M_RawMaterials[固定週次消費量_要入力],MATCH($A24,M_RawMaterials[Part Name],0)),0)</f>
        <v/>
      </c>
      <c r="X24">
        <f>SUMPRODUCT((M_BOM[Part Name]=$A24)*M_BOM[RM_Qty_Per_Batch]*IFERROR(INDEX(PP_Grid[#Data],M_BOM[PPGridRow],24),0))+IFERROR(INDEX(M_RawMaterials[固定週次消費量_要入力],MATCH($A24,M_RawMaterials[Part Name],0)),0)</f>
        <v/>
      </c>
      <c r="Y24">
        <f>SUMPRODUCT((M_BOM[Part Name]=$A24)*M_BOM[RM_Qty_Per_Batch]*IFERROR(INDEX(PP_Grid[#Data],M_BOM[PPGridRow],25),0))+IFERROR(INDEX(M_RawMaterials[固定週次消費量_要入力],MATCH($A24,M_RawMaterials[Part Name],0)),0)</f>
        <v/>
      </c>
      <c r="Z24">
        <f>SUMPRODUCT((M_BOM[Part Name]=$A24)*M_BOM[RM_Qty_Per_Batch]*IFERROR(INDEX(PP_Grid[#Data],M_BOM[PPGridRow],26),0))+IFERROR(INDEX(M_RawMaterials[固定週次消費量_要入力],MATCH($A24,M_RawMaterials[Part Name],0)),0)</f>
        <v/>
      </c>
      <c r="AA24">
        <f>SUMPRODUCT((M_BOM[Part Name]=$A24)*M_BOM[RM_Qty_Per_Batch]*IFERROR(INDEX(PP_Grid[#Data],M_BOM[PPGridRow],27),0))+IFERROR(INDEX(M_RawMaterials[固定週次消費量_要入力],MATCH($A24,M_RawMaterials[Part Name],0)),0)</f>
        <v/>
      </c>
      <c r="AB24">
        <f>SUMPRODUCT((M_BOM[Part Name]=$A24)*M_BOM[RM_Qty_Per_Batch]*IFERROR(INDEX(PP_Grid[#Data],M_BOM[PPGridRow],28),0))+IFERROR(INDEX(M_RawMaterials[固定週次消費量_要入力],MATCH($A24,M_RawMaterials[Part Name],0)),0)</f>
        <v/>
      </c>
      <c r="AC24">
        <f>SUMPRODUCT((M_BOM[Part Name]=$A24)*M_BOM[RM_Qty_Per_Batch]*IFERROR(INDEX(PP_Grid[#Data],M_BOM[PPGridRow],29),0))+IFERROR(INDEX(M_RawMaterials[固定週次消費量_要入力],MATCH($A24,M_RawMaterials[Part Name],0)),0)</f>
        <v/>
      </c>
      <c r="AD24">
        <f>SUMPRODUCT((M_BOM[Part Name]=$A24)*M_BOM[RM_Qty_Per_Batch]*IFERROR(INDEX(PP_Grid[#Data],M_BOM[PPGridRow],30),0))+IFERROR(INDEX(M_RawMaterials[固定週次消費量_要入力],MATCH($A24,M_RawMaterials[Part Name],0)),0)</f>
        <v/>
      </c>
      <c r="AE24">
        <f>SUMPRODUCT((M_BOM[Part Name]=$A24)*M_BOM[RM_Qty_Per_Batch]*IFERROR(INDEX(PP_Grid[#Data],M_BOM[PPGridRow],31),0))+IFERROR(INDEX(M_RawMaterials[固定週次消費量_要入力],MATCH($A24,M_RawMaterials[Part Name],0)),0)</f>
        <v/>
      </c>
      <c r="AF24">
        <f>SUMPRODUCT((M_BOM[Part Name]=$A24)*M_BOM[RM_Qty_Per_Batch]*IFERROR(INDEX(PP_Grid[#Data],M_BOM[PPGridRow],32),0))+IFERROR(INDEX(M_RawMaterials[固定週次消費量_要入力],MATCH($A24,M_RawMaterials[Part Name],0)),0)</f>
        <v/>
      </c>
      <c r="AG24">
        <f>SUMPRODUCT((M_BOM[Part Name]=$A24)*M_BOM[RM_Qty_Per_Batch]*IFERROR(INDEX(PP_Grid[#Data],M_BOM[PPGridRow],33),0))+IFERROR(INDEX(M_RawMaterials[固定週次消費量_要入力],MATCH($A24,M_RawMaterials[Part Name],0)),0)</f>
        <v/>
      </c>
      <c r="AH24">
        <f>SUMPRODUCT((M_BOM[Part Name]=$A24)*M_BOM[RM_Qty_Per_Batch]*IFERROR(INDEX(PP_Grid[#Data],M_BOM[PPGridRow],34),0))+IFERROR(INDEX(M_RawMaterials[固定週次消費量_要入力],MATCH($A24,M_RawMaterials[Part Name],0)),0)</f>
        <v/>
      </c>
      <c r="AI24">
        <f>SUMPRODUCT((M_BOM[Part Name]=$A24)*M_BOM[RM_Qty_Per_Batch]*IFERROR(INDEX(PP_Grid[#Data],M_BOM[PPGridRow],35),0))+IFERROR(INDEX(M_RawMaterials[固定週次消費量_要入力],MATCH($A24,M_RawMaterials[Part Name],0)),0)</f>
        <v/>
      </c>
      <c r="AJ24">
        <f>SUMPRODUCT((M_BOM[Part Name]=$A24)*M_BOM[RM_Qty_Per_Batch]*IFERROR(INDEX(PP_Grid[#Data],M_BOM[PPGridRow],36),0))+IFERROR(INDEX(M_RawMaterials[固定週次消費量_要入力],MATCH($A24,M_RawMaterials[Part Name],0)),0)</f>
        <v/>
      </c>
      <c r="AK24">
        <f>SUMPRODUCT((M_BOM[Part Name]=$A24)*M_BOM[RM_Qty_Per_Batch]*IFERROR(INDEX(PP_Grid[#Data],M_BOM[PPGridRow],37),0))+IFERROR(INDEX(M_RawMaterials[固定週次消費量_要入力],MATCH($A24,M_RawMaterials[Part Name],0)),0)</f>
        <v/>
      </c>
      <c r="AL24">
        <f>SUMPRODUCT((M_BOM[Part Name]=$A24)*M_BOM[RM_Qty_Per_Batch]*IFERROR(INDEX(PP_Grid[#Data],M_BOM[PPGridRow],38),0))+IFERROR(INDEX(M_RawMaterials[固定週次消費量_要入力],MATCH($A24,M_RawMaterials[Part Name],0)),0)</f>
        <v/>
      </c>
      <c r="AM24">
        <f>SUMPRODUCT((M_BOM[Part Name]=$A24)*M_BOM[RM_Qty_Per_Batch]*IFERROR(INDEX(PP_Grid[#Data],M_BOM[PPGridRow],39),0))+IFERROR(INDEX(M_RawMaterials[固定週次消費量_要入力],MATCH($A24,M_RawMaterials[Part Name],0)),0)</f>
        <v/>
      </c>
      <c r="AN24">
        <f>SUMPRODUCT((M_BOM[Part Name]=$A24)*M_BOM[RM_Qty_Per_Batch]*IFERROR(INDEX(PP_Grid[#Data],M_BOM[PPGridRow],40),0))+IFERROR(INDEX(M_RawMaterials[固定週次消費量_要入力],MATCH($A24,M_RawMaterials[Part Name],0)),0)</f>
        <v/>
      </c>
      <c r="AO24">
        <f>SUMPRODUCT((M_BOM[Part Name]=$A24)*M_BOM[RM_Qty_Per_Batch]*IFERROR(INDEX(PP_Grid[#Data],M_BOM[PPGridRow],41),0))+IFERROR(INDEX(M_RawMaterials[固定週次消費量_要入力],MATCH($A24,M_RawMaterials[Part Name],0)),0)</f>
        <v/>
      </c>
      <c r="AP24">
        <f>SUMPRODUCT((M_BOM[Part Name]=$A24)*M_BOM[RM_Qty_Per_Batch]*IFERROR(INDEX(PP_Grid[#Data],M_BOM[PPGridRow],42),0))+IFERROR(INDEX(M_RawMaterials[固定週次消費量_要入力],MATCH($A24,M_RawMaterials[Part Name],0)),0)</f>
        <v/>
      </c>
      <c r="AQ24">
        <f>SUMPRODUCT((M_BOM[Part Name]=$A24)*M_BOM[RM_Qty_Per_Batch]*IFERROR(INDEX(PP_Grid[#Data],M_BOM[PPGridRow],43),0))+IFERROR(INDEX(M_RawMaterials[固定週次消費量_要入力],MATCH($A24,M_RawMaterials[Part Name],0)),0)</f>
        <v/>
      </c>
      <c r="AR24">
        <f>SUMPRODUCT((M_BOM[Part Name]=$A24)*M_BOM[RM_Qty_Per_Batch]*IFERROR(INDEX(PP_Grid[#Data],M_BOM[PPGridRow],44),0))+IFERROR(INDEX(M_RawMaterials[固定週次消費量_要入力],MATCH($A24,M_RawMaterials[Part Name],0)),0)</f>
        <v/>
      </c>
      <c r="AS24">
        <f>SUMPRODUCT((M_BOM[Part Name]=$A24)*M_BOM[RM_Qty_Per_Batch]*IFERROR(INDEX(PP_Grid[#Data],M_BOM[PPGridRow],45),0))+IFERROR(INDEX(M_RawMaterials[固定週次消費量_要入力],MATCH($A24,M_RawMaterials[Part Name],0)),0)</f>
        <v/>
      </c>
      <c r="AT24">
        <f>SUMPRODUCT((M_BOM[Part Name]=$A24)*M_BOM[RM_Qty_Per_Batch]*IFERROR(INDEX(PP_Grid[#Data],M_BOM[PPGridRow],46),0))+IFERROR(INDEX(M_RawMaterials[固定週次消費量_要入力],MATCH($A24,M_RawMaterials[Part Name],0)),0)</f>
        <v/>
      </c>
      <c r="AU24">
        <f>SUMPRODUCT((M_BOM[Part Name]=$A24)*M_BOM[RM_Qty_Per_Batch]*IFERROR(INDEX(PP_Grid[#Data],M_BOM[PPGridRow],47),0))+IFERROR(INDEX(M_RawMaterials[固定週次消費量_要入力],MATCH($A24,M_RawMaterials[Part Name],0)),0)</f>
        <v/>
      </c>
      <c r="AV24">
        <f>SUMPRODUCT((M_BOM[Part Name]=$A24)*M_BOM[RM_Qty_Per_Batch]*IFERROR(INDEX(PP_Grid[#Data],M_BOM[PPGridRow],48),0))+IFERROR(INDEX(M_RawMaterials[固定週次消費量_要入力],MATCH($A24,M_RawMaterials[Part Name],0)),0)</f>
        <v/>
      </c>
      <c r="AW24">
        <f>SUMPRODUCT((M_BOM[Part Name]=$A24)*M_BOM[RM_Qty_Per_Batch]*IFERROR(INDEX(PP_Grid[#Data],M_BOM[PPGridRow],49),0))+IFERROR(INDEX(M_RawMaterials[固定週次消費量_要入力],MATCH($A24,M_RawMaterials[Part Name],0)),0)</f>
        <v/>
      </c>
      <c r="AX24">
        <f>SUMPRODUCT((M_BOM[Part Name]=$A24)*M_BOM[RM_Qty_Per_Batch]*IFERROR(INDEX(PP_Grid[#Data],M_BOM[PPGridRow],50),0))+IFERROR(INDEX(M_RawMaterials[固定週次消費量_要入力],MATCH($A24,M_RawMaterials[Part Name],0)),0)</f>
        <v/>
      </c>
      <c r="AY24">
        <f>SUMPRODUCT((M_BOM[Part Name]=$A24)*M_BOM[RM_Qty_Per_Batch]*IFERROR(INDEX(PP_Grid[#Data],M_BOM[PPGridRow],51),0))+IFERROR(INDEX(M_RawMaterials[固定週次消費量_要入力],MATCH($A24,M_RawMaterials[Part Name],0)),0)</f>
        <v/>
      </c>
      <c r="AZ24">
        <f>SUMPRODUCT((M_BOM[Part Name]=$A24)*M_BOM[RM_Qty_Per_Batch]*IFERROR(INDEX(PP_Grid[#Data],M_BOM[PPGridRow],52),0))+IFERROR(INDEX(M_RawMaterials[固定週次消費量_要入力],MATCH($A24,M_RawMaterials[Part Name],0)),0)</f>
        <v/>
      </c>
      <c r="BA24">
        <f>SUMPRODUCT((M_BOM[Part Name]=$A24)*M_BOM[RM_Qty_Per_Batch]*IFERROR(INDEX(PP_Grid[#Data],M_BOM[PPGridRow],53),0))+IFERROR(INDEX(M_RawMaterials[固定週次消費量_要入力],MATCH($A24,M_RawMaterials[Part Name],0)),0)</f>
        <v/>
      </c>
      <c r="BB24">
        <f>SUMPRODUCT((M_BOM[Part Name]=$A24)*M_BOM[RM_Qty_Per_Batch]*IFERROR(INDEX(PP_Grid[#Data],M_BOM[PPGridRow],54),0))+IFERROR(INDEX(M_RawMaterials[固定週次消費量_要入力],MATCH($A24,M_RawMaterials[Part Name],0)),0)</f>
        <v/>
      </c>
      <c r="BC24">
        <f>SUMPRODUCT((M_BOM[Part Name]=$A24)*M_BOM[RM_Qty_Per_Batch]*IFERROR(INDEX(PP_Grid[#Data],M_BOM[PPGridRow],55),0))+IFERROR(INDEX(M_RawMaterials[固定週次消費量_要入力],MATCH($A24,M_RawMaterials[Part Name],0)),0)</f>
        <v/>
      </c>
      <c r="BD24">
        <f>SUMPRODUCT((M_BOM[Part Name]=$A24)*M_BOM[RM_Qty_Per_Batch]*IFERROR(INDEX(PP_Grid[#Data],M_BOM[PPGridRow],56),0))+IFERROR(INDEX(M_RawMaterials[固定週次消費量_要入力],MATCH($A24,M_RawMaterials[Part Name],0)),0)</f>
        <v/>
      </c>
      <c r="BE24">
        <f>SUMPRODUCT((M_BOM[Part Name]=$A24)*M_BOM[RM_Qty_Per_Batch]*IFERROR(INDEX(PP_Grid[#Data],M_BOM[PPGridRow],57),0))+IFERROR(INDEX(M_RawMaterials[固定週次消費量_要入力],MATCH($A24,M_RawMaterials[Part Name],0)),0)</f>
        <v/>
      </c>
      <c r="BF24">
        <f>SUMPRODUCT((M_BOM[Part Name]=$A24)*M_BOM[RM_Qty_Per_Batch]*IFERROR(INDEX(PP_Grid[#Data],M_BOM[PPGridRow],58),0))+IFERROR(INDEX(M_RawMaterials[固定週次消費量_要入力],MATCH($A24,M_RawMaterials[Part Name],0)),0)</f>
        <v/>
      </c>
      <c r="BG24">
        <f>SUMPRODUCT((M_BOM[Part Name]=$A24)*M_BOM[RM_Qty_Per_Batch]*IFERROR(INDEX(PP_Grid[#Data],M_BOM[PPGridRow],59),0))+IFERROR(INDEX(M_RawMaterials[固定週次消費量_要入力],MATCH($A24,M_RawMaterials[Part Name],0)),0)</f>
        <v/>
      </c>
      <c r="BH24">
        <f>SUMPRODUCT((M_BOM[Part Name]=$A24)*M_BOM[RM_Qty_Per_Batch]*IFERROR(INDEX(PP_Grid[#Data],M_BOM[PPGridRow],60),0))+IFERROR(INDEX(M_RawMaterials[固定週次消費量_要入力],MATCH($A24,M_RawMaterials[Part Name],0)),0)</f>
        <v/>
      </c>
      <c r="BI24">
        <f>SUMPRODUCT((M_BOM[Part Name]=$A24)*M_BOM[RM_Qty_Per_Batch]*IFERROR(INDEX(PP_Grid[#Data],M_BOM[PPGridRow],61),0))+IFERROR(INDEX(M_RawMaterials[固定週次消費量_要入力],MATCH($A24,M_RawMaterials[Part Name],0)),0)</f>
        <v/>
      </c>
      <c r="BJ24">
        <f>SUMPRODUCT((M_BOM[Part Name]=$A24)*M_BOM[RM_Qty_Per_Batch]*IFERROR(INDEX(PP_Grid[#Data],M_BOM[PPGridRow],62),0))+IFERROR(INDEX(M_RawMaterials[固定週次消費量_要入力],MATCH($A24,M_RawMaterials[Part Name],0)),0)</f>
        <v/>
      </c>
      <c r="BK24">
        <f>SUMPRODUCT((M_BOM[Part Name]=$A24)*M_BOM[RM_Qty_Per_Batch]*IFERROR(INDEX(PP_Grid[#Data],M_BOM[PPGridRow],63),0))+IFERROR(INDEX(M_RawMaterials[固定週次消費量_要入力],MATCH($A24,M_RawMaterials[Part Name],0)),0)</f>
        <v/>
      </c>
      <c r="BL24">
        <f>SUMPRODUCT((M_BOM[Part Name]=$A24)*M_BOM[RM_Qty_Per_Batch]*IFERROR(INDEX(PP_Grid[#Data],M_BOM[PPGridRow],64),0))+IFERROR(INDEX(M_RawMaterials[固定週次消費量_要入力],MATCH($A24,M_RawMaterials[Part Name],0)),0)</f>
        <v/>
      </c>
      <c r="BM24">
        <f>SUMPRODUCT((M_BOM[Part Name]=$A24)*M_BOM[RM_Qty_Per_Batch]*IFERROR(INDEX(PP_Grid[#Data],M_BOM[PPGridRow],65),0))+IFERROR(INDEX(M_RawMaterials[固定週次消費量_要入力],MATCH($A24,M_RawMaterials[Part Name],0)),0)</f>
        <v/>
      </c>
      <c r="BN24">
        <f>SUMPRODUCT((M_BOM[Part Name]=$A24)*M_BOM[RM_Qty_Per_Batch]*IFERROR(INDEX(PP_Grid[#Data],M_BOM[PPGridRow],66),0))+IFERROR(INDEX(M_RawMaterials[固定週次消費量_要入力],MATCH($A24,M_RawMaterials[Part Name],0)),0)</f>
        <v/>
      </c>
      <c r="BO24">
        <f>SUMPRODUCT((M_BOM[Part Name]=$A24)*M_BOM[RM_Qty_Per_Batch]*IFERROR(INDEX(PP_Grid[#Data],M_BOM[PPGridRow],67),0))+IFERROR(INDEX(M_RawMaterials[固定週次消費量_要入力],MATCH($A24,M_RawMaterials[Part Name],0)),0)</f>
        <v/>
      </c>
      <c r="BP24">
        <f>SUMPRODUCT((M_BOM[Part Name]=$A24)*M_BOM[RM_Qty_Per_Batch]*IFERROR(INDEX(PP_Grid[#Data],M_BOM[PPGridRow],68),0))+IFERROR(INDEX(M_RawMaterials[固定週次消費量_要入力],MATCH($A24,M_RawMaterials[Part Name],0)),0)</f>
        <v/>
      </c>
      <c r="BQ24">
        <f>SUMPRODUCT((M_BOM[Part Name]=$A24)*M_BOM[RM_Qty_Per_Batch]*IFERROR(INDEX(PP_Grid[#Data],M_BOM[PPGridRow],69),0))+IFERROR(INDEX(M_RawMaterials[固定週次消費量_要入力],MATCH($A24,M_RawMaterials[Part Name],0)),0)</f>
        <v/>
      </c>
      <c r="BR24">
        <f>SUMPRODUCT((M_BOM[Part Name]=$A24)*M_BOM[RM_Qty_Per_Batch]*IFERROR(INDEX(PP_Grid[#Data],M_BOM[PPGridRow],70),0))+IFERROR(INDEX(M_RawMaterials[固定週次消費量_要入力],MATCH($A24,M_RawMaterials[Part Name],0)),0)</f>
        <v/>
      </c>
      <c r="BS24">
        <f>SUMPRODUCT((M_BOM[Part Name]=$A24)*M_BOM[RM_Qty_Per_Batch]*IFERROR(INDEX(PP_Grid[#Data],M_BOM[PPGridRow],71),0))+IFERROR(INDEX(M_RawMaterials[固定週次消費量_要入力],MATCH($A24,M_RawMaterials[Part Name],0)),0)</f>
        <v/>
      </c>
      <c r="BT24">
        <f>SUMPRODUCT((M_BOM[Part Name]=$A24)*M_BOM[RM_Qty_Per_Batch]*IFERROR(INDEX(PP_Grid[#Data],M_BOM[PPGridRow],72),0))+IFERROR(INDEX(M_RawMaterials[固定週次消費量_要入力],MATCH($A24,M_RawMaterials[Part Name],0)),0)</f>
        <v/>
      </c>
      <c r="BU24">
        <f>SUMPRODUCT((M_BOM[Part Name]=$A24)*M_BOM[RM_Qty_Per_Batch]*IFERROR(INDEX(PP_Grid[#Data],M_BOM[PPGridRow],73),0))+IFERROR(INDEX(M_RawMaterials[固定週次消費量_要入力],MATCH($A24,M_RawMaterials[Part Name],0)),0)</f>
        <v/>
      </c>
      <c r="BV24">
        <f>SUMPRODUCT((M_BOM[Part Name]=$A24)*M_BOM[RM_Qty_Per_Batch]*IFERROR(INDEX(PP_Grid[#Data],M_BOM[PPGridRow],74),0))+IFERROR(INDEX(M_RawMaterials[固定週次消費量_要入力],MATCH($A24,M_RawMaterials[Part Name],0)),0)</f>
        <v/>
      </c>
      <c r="BW24">
        <f>SUMPRODUCT((M_BOM[Part Name]=$A24)*M_BOM[RM_Qty_Per_Batch]*IFERROR(INDEX(PP_Grid[#Data],M_BOM[PPGridRow],75),0))+IFERROR(INDEX(M_RawMaterials[固定週次消費量_要入力],MATCH($A24,M_RawMaterials[Part Name],0)),0)</f>
        <v/>
      </c>
      <c r="BX24">
        <f>SUMPRODUCT((M_BOM[Part Name]=$A24)*M_BOM[RM_Qty_Per_Batch]*IFERROR(INDEX(PP_Grid[#Data],M_BOM[PPGridRow],76),0))+IFERROR(INDEX(M_RawMaterials[固定週次消費量_要入力],MATCH($A24,M_RawMaterials[Part Name],0)),0)</f>
        <v/>
      </c>
      <c r="BY24">
        <f>SUMPRODUCT((M_BOM[Part Name]=$A24)*M_BOM[RM_Qty_Per_Batch]*IFERROR(INDEX(PP_Grid[#Data],M_BOM[PPGridRow],77),0))+IFERROR(INDEX(M_RawMaterials[固定週次消費量_要入力],MATCH($A24,M_RawMaterials[Part Name],0)),0)</f>
        <v/>
      </c>
      <c r="BZ24">
        <f>SUMPRODUCT((M_BOM[Part Name]=$A24)*M_BOM[RM_Qty_Per_Batch]*IFERROR(INDEX(PP_Grid[#Data],M_BOM[PPGridRow],78),0))+IFERROR(INDEX(M_RawMaterials[固定週次消費量_要入力],MATCH($A24,M_RawMaterials[Part Name],0)),0)</f>
        <v/>
      </c>
      <c r="CA24">
        <f>SUMPRODUCT((M_BOM[Part Name]=$A24)*M_BOM[RM_Qty_Per_Batch]*IFERROR(INDEX(PP_Grid[#Data],M_BOM[PPGridRow],79),0))+IFERROR(INDEX(M_RawMaterials[固定週次消費量_要入力],MATCH($A24,M_RawMaterials[Part Name],0)),0)</f>
        <v/>
      </c>
      <c r="CB24">
        <f>SUMPRODUCT((M_BOM[Part Name]=$A24)*M_BOM[RM_Qty_Per_Batch]*IFERROR(INDEX(PP_Grid[#Data],M_BOM[PPGridRow],80),0))+IFERROR(INDEX(M_RawMaterials[固定週次消費量_要入力],MATCH($A24,M_RawMaterials[Part Name],0)),0)</f>
        <v/>
      </c>
      <c r="CC24">
        <f>SUMPRODUCT((M_BOM[Part Name]=$A24)*M_BOM[RM_Qty_Per_Batch]*IFERROR(INDEX(PP_Grid[#Data],M_BOM[PPGridRow],81),0))+IFERROR(INDEX(M_RawMaterials[固定週次消費量_要入力],MATCH($A24,M_RawMaterials[Part Name],0)),0)</f>
        <v/>
      </c>
      <c r="CD24">
        <f>SUMPRODUCT((M_BOM[Part Name]=$A24)*M_BOM[RM_Qty_Per_Batch]*IFERROR(INDEX(PP_Grid[#Data],M_BOM[PPGridRow],82),0))+IFERROR(INDEX(M_RawMaterials[固定週次消費量_要入力],MATCH($A24,M_RawMaterials[Part Name],0)),0)</f>
        <v/>
      </c>
      <c r="CE24">
        <f>SUMPRODUCT((M_BOM[Part Name]=$A24)*M_BOM[RM_Qty_Per_Batch]*IFERROR(INDEX(PP_Grid[#Data],M_BOM[PPGridRow],83),0))+IFERROR(INDEX(M_RawMaterials[固定週次消費量_要入力],MATCH($A24,M_RawMaterials[Part Name],0)),0)</f>
        <v/>
      </c>
      <c r="CF24">
        <f>SUMPRODUCT((M_BOM[Part Name]=$A24)*M_BOM[RM_Qty_Per_Batch]*IFERROR(INDEX(PP_Grid[#Data],M_BOM[PPGridRow],84),0))+IFERROR(INDEX(M_RawMaterials[固定週次消費量_要入力],MATCH($A24,M_RawMaterials[Part Name],0)),0)</f>
        <v/>
      </c>
      <c r="CG24">
        <f>SUMPRODUCT((M_BOM[Part Name]=$A24)*M_BOM[RM_Qty_Per_Batch]*IFERROR(INDEX(PP_Grid[#Data],M_BOM[PPGridRow],85),0))+IFERROR(INDEX(M_RawMaterials[固定週次消費量_要入力],MATCH($A24,M_RawMaterials[Part Name],0)),0)</f>
        <v/>
      </c>
      <c r="CH24">
        <f>SUMPRODUCT((M_BOM[Part Name]=$A24)*M_BOM[RM_Qty_Per_Batch]*IFERROR(INDEX(PP_Grid[#Data],M_BOM[PPGridRow],86),0))+IFERROR(INDEX(M_RawMaterials[固定週次消費量_要入力],MATCH($A24,M_RawMaterials[Part Name],0)),0)</f>
        <v/>
      </c>
      <c r="CI24">
        <f>SUMPRODUCT((M_BOM[Part Name]=$A24)*M_BOM[RM_Qty_Per_Batch]*IFERROR(INDEX(PP_Grid[#Data],M_BOM[PPGridRow],87),0))+IFERROR(INDEX(M_RawMaterials[固定週次消費量_要入力],MATCH($A24,M_RawMaterials[Part Name],0)),0)</f>
        <v/>
      </c>
      <c r="CJ24">
        <f>SUMPRODUCT((M_BOM[Part Name]=$A24)*M_BOM[RM_Qty_Per_Batch]*IFERROR(INDEX(PP_Grid[#Data],M_BOM[PPGridRow],88),0))+IFERROR(INDEX(M_RawMaterials[固定週次消費量_要入力],MATCH($A24,M_RawMaterials[Part Name],0)),0)</f>
        <v/>
      </c>
      <c r="CK24">
        <f>SUMPRODUCT((M_BOM[Part Name]=$A24)*M_BOM[RM_Qty_Per_Batch]*IFERROR(INDEX(PP_Grid[#Data],M_BOM[PPGridRow],89),0))+IFERROR(INDEX(M_RawMaterials[固定週次消費量_要入力],MATCH($A24,M_RawMaterials[Part Name],0)),0)</f>
        <v/>
      </c>
      <c r="CL24">
        <f>SUMPRODUCT((M_BOM[Part Name]=$A24)*M_BOM[RM_Qty_Per_Batch]*IFERROR(INDEX(PP_Grid[#Data],M_BOM[PPGridRow],90),0))+IFERROR(INDEX(M_RawMaterials[固定週次消費量_要入力],MATCH($A24,M_RawMaterials[Part Name],0)),0)</f>
        <v/>
      </c>
      <c r="CM24">
        <f>SUMPRODUCT((M_BOM[Part Name]=$A24)*M_BOM[RM_Qty_Per_Batch]*IFERROR(INDEX(PP_Grid[#Data],M_BOM[PPGridRow],91),0))+IFERROR(INDEX(M_RawMaterials[固定週次消費量_要入力],MATCH($A24,M_RawMaterials[Part Name],0)),0)</f>
        <v/>
      </c>
      <c r="CN24">
        <f>SUMPRODUCT((M_BOM[Part Name]=$A24)*M_BOM[RM_Qty_Per_Batch]*IFERROR(INDEX(PP_Grid[#Data],M_BOM[PPGridRow],92),0))+IFERROR(INDEX(M_RawMaterials[固定週次消費量_要入力],MATCH($A24,M_RawMaterials[Part Name],0)),0)</f>
        <v/>
      </c>
      <c r="CO24">
        <f>SUMPRODUCT((M_BOM[Part Name]=$A24)*M_BOM[RM_Qty_Per_Batch]*IFERROR(INDEX(PP_Grid[#Data],M_BOM[PPGridRow],93),0))+IFERROR(INDEX(M_RawMaterials[固定週次消費量_要入力],MATCH($A24,M_RawMaterials[Part Name],0)),0)</f>
        <v/>
      </c>
      <c r="CP24">
        <f>SUMPRODUCT((M_BOM[Part Name]=$A24)*M_BOM[RM_Qty_Per_Batch]*IFERROR(INDEX(PP_Grid[#Data],M_BOM[PPGridRow],94),0))+IFERROR(INDEX(M_RawMaterials[固定週次消費量_要入力],MATCH($A24,M_RawMaterials[Part Name],0)),0)</f>
        <v/>
      </c>
      <c r="CQ24">
        <f>SUMPRODUCT((M_BOM[Part Name]=$A24)*M_BOM[RM_Qty_Per_Batch]*IFERROR(INDEX(PP_Grid[#Data],M_BOM[PPGridRow],95),0))+IFERROR(INDEX(M_RawMaterials[固定週次消費量_要入力],MATCH($A24,M_RawMaterials[Part Name],0)),0)</f>
        <v/>
      </c>
      <c r="CR24">
        <f>SUMPRODUCT((M_BOM[Part Name]=$A24)*M_BOM[RM_Qty_Per_Batch]*IFERROR(INDEX(PP_Grid[#Data],M_BOM[PPGridRow],96),0))+IFERROR(INDEX(M_RawMaterials[固定週次消費量_要入力],MATCH($A24,M_RawMaterials[Part Name],0)),0)</f>
        <v/>
      </c>
      <c r="CS24">
        <f>SUMPRODUCT((M_BOM[Part Name]=$A24)*M_BOM[RM_Qty_Per_Batch]*IFERROR(INDEX(PP_Grid[#Data],M_BOM[PPGridRow],97),0))+IFERROR(INDEX(M_RawMaterials[固定週次消費量_要入力],MATCH($A24,M_RawMaterials[Part Name],0)),0)</f>
        <v/>
      </c>
      <c r="CT24">
        <f>SUMPRODUCT((M_BOM[Part Name]=$A24)*M_BOM[RM_Qty_Per_Batch]*IFERROR(INDEX(PP_Grid[#Data],M_BOM[PPGridRow],98),0))+IFERROR(INDEX(M_RawMaterials[固定週次消費量_要入力],MATCH($A24,M_RawMaterials[Part Name],0)),0)</f>
        <v/>
      </c>
      <c r="CU24">
        <f>SUMPRODUCT((M_BOM[Part Name]=$A24)*M_BOM[RM_Qty_Per_Batch]*IFERROR(INDEX(PP_Grid[#Data],M_BOM[PPGridRow],99),0))+IFERROR(INDEX(M_RawMaterials[固定週次消費量_要入力],MATCH($A24,M_RawMaterials[Part Name],0)),0)</f>
        <v/>
      </c>
      <c r="CV24">
        <f>SUMPRODUCT((M_BOM[Part Name]=$A24)*M_BOM[RM_Qty_Per_Batch]*IFERROR(INDEX(PP_Grid[#Data],M_BOM[PPGridRow],100),0))+IFERROR(INDEX(M_RawMaterials[固定週次消費量_要入力],MATCH($A24,M_RawMaterials[Part Name],0)),0)</f>
        <v/>
      </c>
      <c r="CW24">
        <f>SUMPRODUCT((M_BOM[Part Name]=$A24)*M_BOM[RM_Qty_Per_Batch]*IFERROR(INDEX(PP_Grid[#Data],M_BOM[PPGridRow],101),0))+IFERROR(INDEX(M_RawMaterials[固定週次消費量_要入力],MATCH($A24,M_RawMaterials[Part Name],0)),0)</f>
        <v/>
      </c>
      <c r="CX24">
        <f>SUMPRODUCT((M_BOM[Part Name]=$A24)*M_BOM[RM_Qty_Per_Batch]*IFERROR(INDEX(PP_Grid[#Data],M_BOM[PPGridRow],102),0))+IFERROR(INDEX(M_RawMaterials[固定週次消費量_要入力],MATCH($A24,M_RawMaterials[Part Name],0)),0)</f>
        <v/>
      </c>
      <c r="CY24">
        <f>SUMPRODUCT((M_BOM[Part Name]=$A24)*M_BOM[RM_Qty_Per_Batch]*IFERROR(INDEX(PP_Grid[#Data],M_BOM[PPGridRow],103),0))+IFERROR(INDEX(M_RawMaterials[固定週次消費量_要入力],MATCH($A24,M_RawMaterials[Part Name],0)),0)</f>
        <v/>
      </c>
      <c r="CZ24">
        <f>SUMPRODUCT((M_BOM[Part Name]=$A24)*M_BOM[RM_Qty_Per_Batch]*IFERROR(INDEX(PP_Grid[#Data],M_BOM[PPGridRow],104),0))+IFERROR(INDEX(M_RawMaterials[固定週次消費量_要入力],MATCH($A24,M_RawMaterials[Part Name],0)),0)</f>
        <v/>
      </c>
      <c r="DA24">
        <f>SUMPRODUCT((M_BOM[Part Name]=$A24)*M_BOM[RM_Qty_Per_Batch]*IFERROR(INDEX(PP_Grid[#Data],M_BOM[PPGridRow],105),0))+IFERROR(INDEX(M_RawMaterials[固定週次消費量_要入力],MATCH($A24,M_RawMaterials[Part Name],0)),0)</f>
        <v/>
      </c>
    </row>
    <row r="25">
      <c r="A25" t="inlineStr">
        <is>
          <t>CHEM-1510</t>
        </is>
      </c>
      <c r="B25">
        <f>SUMPRODUCT((M_BOM[Part Name]=$A25)*M_BOM[RM_Qty_Per_Batch]*IFERROR(INDEX(PP_Grid[#Data],M_BOM[PPGridRow],2),0))+IFERROR(INDEX(M_RawMaterials[固定週次消費量_要入力],MATCH($A25,M_RawMaterials[Part Name],0)),0)</f>
        <v/>
      </c>
      <c r="C25">
        <f>SUMPRODUCT((M_BOM[Part Name]=$A25)*M_BOM[RM_Qty_Per_Batch]*IFERROR(INDEX(PP_Grid[#Data],M_BOM[PPGridRow],3),0))+IFERROR(INDEX(M_RawMaterials[固定週次消費量_要入力],MATCH($A25,M_RawMaterials[Part Name],0)),0)</f>
        <v/>
      </c>
      <c r="D25">
        <f>SUMPRODUCT((M_BOM[Part Name]=$A25)*M_BOM[RM_Qty_Per_Batch]*IFERROR(INDEX(PP_Grid[#Data],M_BOM[PPGridRow],4),0))+IFERROR(INDEX(M_RawMaterials[固定週次消費量_要入力],MATCH($A25,M_RawMaterials[Part Name],0)),0)</f>
        <v/>
      </c>
      <c r="E25">
        <f>SUMPRODUCT((M_BOM[Part Name]=$A25)*M_BOM[RM_Qty_Per_Batch]*IFERROR(INDEX(PP_Grid[#Data],M_BOM[PPGridRow],5),0))+IFERROR(INDEX(M_RawMaterials[固定週次消費量_要入力],MATCH($A25,M_RawMaterials[Part Name],0)),0)</f>
        <v/>
      </c>
      <c r="F25">
        <f>SUMPRODUCT((M_BOM[Part Name]=$A25)*M_BOM[RM_Qty_Per_Batch]*IFERROR(INDEX(PP_Grid[#Data],M_BOM[PPGridRow],6),0))+IFERROR(INDEX(M_RawMaterials[固定週次消費量_要入力],MATCH($A25,M_RawMaterials[Part Name],0)),0)</f>
        <v/>
      </c>
      <c r="G25">
        <f>SUMPRODUCT((M_BOM[Part Name]=$A25)*M_BOM[RM_Qty_Per_Batch]*IFERROR(INDEX(PP_Grid[#Data],M_BOM[PPGridRow],7),0))+IFERROR(INDEX(M_RawMaterials[固定週次消費量_要入力],MATCH($A25,M_RawMaterials[Part Name],0)),0)</f>
        <v/>
      </c>
      <c r="H25">
        <f>SUMPRODUCT((M_BOM[Part Name]=$A25)*M_BOM[RM_Qty_Per_Batch]*IFERROR(INDEX(PP_Grid[#Data],M_BOM[PPGridRow],8),0))+IFERROR(INDEX(M_RawMaterials[固定週次消費量_要入力],MATCH($A25,M_RawMaterials[Part Name],0)),0)</f>
        <v/>
      </c>
      <c r="I25">
        <f>SUMPRODUCT((M_BOM[Part Name]=$A25)*M_BOM[RM_Qty_Per_Batch]*IFERROR(INDEX(PP_Grid[#Data],M_BOM[PPGridRow],9),0))+IFERROR(INDEX(M_RawMaterials[固定週次消費量_要入力],MATCH($A25,M_RawMaterials[Part Name],0)),0)</f>
        <v/>
      </c>
      <c r="J25">
        <f>SUMPRODUCT((M_BOM[Part Name]=$A25)*M_BOM[RM_Qty_Per_Batch]*IFERROR(INDEX(PP_Grid[#Data],M_BOM[PPGridRow],10),0))+IFERROR(INDEX(M_RawMaterials[固定週次消費量_要入力],MATCH($A25,M_RawMaterials[Part Name],0)),0)</f>
        <v/>
      </c>
      <c r="K25">
        <f>SUMPRODUCT((M_BOM[Part Name]=$A25)*M_BOM[RM_Qty_Per_Batch]*IFERROR(INDEX(PP_Grid[#Data],M_BOM[PPGridRow],11),0))+IFERROR(INDEX(M_RawMaterials[固定週次消費量_要入力],MATCH($A25,M_RawMaterials[Part Name],0)),0)</f>
        <v/>
      </c>
      <c r="L25">
        <f>SUMPRODUCT((M_BOM[Part Name]=$A25)*M_BOM[RM_Qty_Per_Batch]*IFERROR(INDEX(PP_Grid[#Data],M_BOM[PPGridRow],12),0))+IFERROR(INDEX(M_RawMaterials[固定週次消費量_要入力],MATCH($A25,M_RawMaterials[Part Name],0)),0)</f>
        <v/>
      </c>
      <c r="M25">
        <f>SUMPRODUCT((M_BOM[Part Name]=$A25)*M_BOM[RM_Qty_Per_Batch]*IFERROR(INDEX(PP_Grid[#Data],M_BOM[PPGridRow],13),0))+IFERROR(INDEX(M_RawMaterials[固定週次消費量_要入力],MATCH($A25,M_RawMaterials[Part Name],0)),0)</f>
        <v/>
      </c>
      <c r="N25">
        <f>SUMPRODUCT((M_BOM[Part Name]=$A25)*M_BOM[RM_Qty_Per_Batch]*IFERROR(INDEX(PP_Grid[#Data],M_BOM[PPGridRow],14),0))+IFERROR(INDEX(M_RawMaterials[固定週次消費量_要入力],MATCH($A25,M_RawMaterials[Part Name],0)),0)</f>
        <v/>
      </c>
      <c r="O25">
        <f>SUMPRODUCT((M_BOM[Part Name]=$A25)*M_BOM[RM_Qty_Per_Batch]*IFERROR(INDEX(PP_Grid[#Data],M_BOM[PPGridRow],15),0))+IFERROR(INDEX(M_RawMaterials[固定週次消費量_要入力],MATCH($A25,M_RawMaterials[Part Name],0)),0)</f>
        <v/>
      </c>
      <c r="P25">
        <f>SUMPRODUCT((M_BOM[Part Name]=$A25)*M_BOM[RM_Qty_Per_Batch]*IFERROR(INDEX(PP_Grid[#Data],M_BOM[PPGridRow],16),0))+IFERROR(INDEX(M_RawMaterials[固定週次消費量_要入力],MATCH($A25,M_RawMaterials[Part Name],0)),0)</f>
        <v/>
      </c>
      <c r="Q25">
        <f>SUMPRODUCT((M_BOM[Part Name]=$A25)*M_BOM[RM_Qty_Per_Batch]*IFERROR(INDEX(PP_Grid[#Data],M_BOM[PPGridRow],17),0))+IFERROR(INDEX(M_RawMaterials[固定週次消費量_要入力],MATCH($A25,M_RawMaterials[Part Name],0)),0)</f>
        <v/>
      </c>
      <c r="R25">
        <f>SUMPRODUCT((M_BOM[Part Name]=$A25)*M_BOM[RM_Qty_Per_Batch]*IFERROR(INDEX(PP_Grid[#Data],M_BOM[PPGridRow],18),0))+IFERROR(INDEX(M_RawMaterials[固定週次消費量_要入力],MATCH($A25,M_RawMaterials[Part Name],0)),0)</f>
        <v/>
      </c>
      <c r="S25">
        <f>SUMPRODUCT((M_BOM[Part Name]=$A25)*M_BOM[RM_Qty_Per_Batch]*IFERROR(INDEX(PP_Grid[#Data],M_BOM[PPGridRow],19),0))+IFERROR(INDEX(M_RawMaterials[固定週次消費量_要入力],MATCH($A25,M_RawMaterials[Part Name],0)),0)</f>
        <v/>
      </c>
      <c r="T25">
        <f>SUMPRODUCT((M_BOM[Part Name]=$A25)*M_BOM[RM_Qty_Per_Batch]*IFERROR(INDEX(PP_Grid[#Data],M_BOM[PPGridRow],20),0))+IFERROR(INDEX(M_RawMaterials[固定週次消費量_要入力],MATCH($A25,M_RawMaterials[Part Name],0)),0)</f>
        <v/>
      </c>
      <c r="U25">
        <f>SUMPRODUCT((M_BOM[Part Name]=$A25)*M_BOM[RM_Qty_Per_Batch]*IFERROR(INDEX(PP_Grid[#Data],M_BOM[PPGridRow],21),0))+IFERROR(INDEX(M_RawMaterials[固定週次消費量_要入力],MATCH($A25,M_RawMaterials[Part Name],0)),0)</f>
        <v/>
      </c>
      <c r="V25">
        <f>SUMPRODUCT((M_BOM[Part Name]=$A25)*M_BOM[RM_Qty_Per_Batch]*IFERROR(INDEX(PP_Grid[#Data],M_BOM[PPGridRow],22),0))+IFERROR(INDEX(M_RawMaterials[固定週次消費量_要入力],MATCH($A25,M_RawMaterials[Part Name],0)),0)</f>
        <v/>
      </c>
      <c r="W25">
        <f>SUMPRODUCT((M_BOM[Part Name]=$A25)*M_BOM[RM_Qty_Per_Batch]*IFERROR(INDEX(PP_Grid[#Data],M_BOM[PPGridRow],23),0))+IFERROR(INDEX(M_RawMaterials[固定週次消費量_要入力],MATCH($A25,M_RawMaterials[Part Name],0)),0)</f>
        <v/>
      </c>
      <c r="X25">
        <f>SUMPRODUCT((M_BOM[Part Name]=$A25)*M_BOM[RM_Qty_Per_Batch]*IFERROR(INDEX(PP_Grid[#Data],M_BOM[PPGridRow],24),0))+IFERROR(INDEX(M_RawMaterials[固定週次消費量_要入力],MATCH($A25,M_RawMaterials[Part Name],0)),0)</f>
        <v/>
      </c>
      <c r="Y25">
        <f>SUMPRODUCT((M_BOM[Part Name]=$A25)*M_BOM[RM_Qty_Per_Batch]*IFERROR(INDEX(PP_Grid[#Data],M_BOM[PPGridRow],25),0))+IFERROR(INDEX(M_RawMaterials[固定週次消費量_要入力],MATCH($A25,M_RawMaterials[Part Name],0)),0)</f>
        <v/>
      </c>
      <c r="Z25">
        <f>SUMPRODUCT((M_BOM[Part Name]=$A25)*M_BOM[RM_Qty_Per_Batch]*IFERROR(INDEX(PP_Grid[#Data],M_BOM[PPGridRow],26),0))+IFERROR(INDEX(M_RawMaterials[固定週次消費量_要入力],MATCH($A25,M_RawMaterials[Part Name],0)),0)</f>
        <v/>
      </c>
      <c r="AA25">
        <f>SUMPRODUCT((M_BOM[Part Name]=$A25)*M_BOM[RM_Qty_Per_Batch]*IFERROR(INDEX(PP_Grid[#Data],M_BOM[PPGridRow],27),0))+IFERROR(INDEX(M_RawMaterials[固定週次消費量_要入力],MATCH($A25,M_RawMaterials[Part Name],0)),0)</f>
        <v/>
      </c>
      <c r="AB25">
        <f>SUMPRODUCT((M_BOM[Part Name]=$A25)*M_BOM[RM_Qty_Per_Batch]*IFERROR(INDEX(PP_Grid[#Data],M_BOM[PPGridRow],28),0))+IFERROR(INDEX(M_RawMaterials[固定週次消費量_要入力],MATCH($A25,M_RawMaterials[Part Name],0)),0)</f>
        <v/>
      </c>
      <c r="AC25">
        <f>SUMPRODUCT((M_BOM[Part Name]=$A25)*M_BOM[RM_Qty_Per_Batch]*IFERROR(INDEX(PP_Grid[#Data],M_BOM[PPGridRow],29),0))+IFERROR(INDEX(M_RawMaterials[固定週次消費量_要入力],MATCH($A25,M_RawMaterials[Part Name],0)),0)</f>
        <v/>
      </c>
      <c r="AD25">
        <f>SUMPRODUCT((M_BOM[Part Name]=$A25)*M_BOM[RM_Qty_Per_Batch]*IFERROR(INDEX(PP_Grid[#Data],M_BOM[PPGridRow],30),0))+IFERROR(INDEX(M_RawMaterials[固定週次消費量_要入力],MATCH($A25,M_RawMaterials[Part Name],0)),0)</f>
        <v/>
      </c>
      <c r="AE25">
        <f>SUMPRODUCT((M_BOM[Part Name]=$A25)*M_BOM[RM_Qty_Per_Batch]*IFERROR(INDEX(PP_Grid[#Data],M_BOM[PPGridRow],31),0))+IFERROR(INDEX(M_RawMaterials[固定週次消費量_要入力],MATCH($A25,M_RawMaterials[Part Name],0)),0)</f>
        <v/>
      </c>
      <c r="AF25">
        <f>SUMPRODUCT((M_BOM[Part Name]=$A25)*M_BOM[RM_Qty_Per_Batch]*IFERROR(INDEX(PP_Grid[#Data],M_BOM[PPGridRow],32),0))+IFERROR(INDEX(M_RawMaterials[固定週次消費量_要入力],MATCH($A25,M_RawMaterials[Part Name],0)),0)</f>
        <v/>
      </c>
      <c r="AG25">
        <f>SUMPRODUCT((M_BOM[Part Name]=$A25)*M_BOM[RM_Qty_Per_Batch]*IFERROR(INDEX(PP_Grid[#Data],M_BOM[PPGridRow],33),0))+IFERROR(INDEX(M_RawMaterials[固定週次消費量_要入力],MATCH($A25,M_RawMaterials[Part Name],0)),0)</f>
        <v/>
      </c>
      <c r="AH25">
        <f>SUMPRODUCT((M_BOM[Part Name]=$A25)*M_BOM[RM_Qty_Per_Batch]*IFERROR(INDEX(PP_Grid[#Data],M_BOM[PPGridRow],34),0))+IFERROR(INDEX(M_RawMaterials[固定週次消費量_要入力],MATCH($A25,M_RawMaterials[Part Name],0)),0)</f>
        <v/>
      </c>
      <c r="AI25">
        <f>SUMPRODUCT((M_BOM[Part Name]=$A25)*M_BOM[RM_Qty_Per_Batch]*IFERROR(INDEX(PP_Grid[#Data],M_BOM[PPGridRow],35),0))+IFERROR(INDEX(M_RawMaterials[固定週次消費量_要入力],MATCH($A25,M_RawMaterials[Part Name],0)),0)</f>
        <v/>
      </c>
      <c r="AJ25">
        <f>SUMPRODUCT((M_BOM[Part Name]=$A25)*M_BOM[RM_Qty_Per_Batch]*IFERROR(INDEX(PP_Grid[#Data],M_BOM[PPGridRow],36),0))+IFERROR(INDEX(M_RawMaterials[固定週次消費量_要入力],MATCH($A25,M_RawMaterials[Part Name],0)),0)</f>
        <v/>
      </c>
      <c r="AK25">
        <f>SUMPRODUCT((M_BOM[Part Name]=$A25)*M_BOM[RM_Qty_Per_Batch]*IFERROR(INDEX(PP_Grid[#Data],M_BOM[PPGridRow],37),0))+IFERROR(INDEX(M_RawMaterials[固定週次消費量_要入力],MATCH($A25,M_RawMaterials[Part Name],0)),0)</f>
        <v/>
      </c>
      <c r="AL25">
        <f>SUMPRODUCT((M_BOM[Part Name]=$A25)*M_BOM[RM_Qty_Per_Batch]*IFERROR(INDEX(PP_Grid[#Data],M_BOM[PPGridRow],38),0))+IFERROR(INDEX(M_RawMaterials[固定週次消費量_要入力],MATCH($A25,M_RawMaterials[Part Name],0)),0)</f>
        <v/>
      </c>
      <c r="AM25">
        <f>SUMPRODUCT((M_BOM[Part Name]=$A25)*M_BOM[RM_Qty_Per_Batch]*IFERROR(INDEX(PP_Grid[#Data],M_BOM[PPGridRow],39),0))+IFERROR(INDEX(M_RawMaterials[固定週次消費量_要入力],MATCH($A25,M_RawMaterials[Part Name],0)),0)</f>
        <v/>
      </c>
      <c r="AN25">
        <f>SUMPRODUCT((M_BOM[Part Name]=$A25)*M_BOM[RM_Qty_Per_Batch]*IFERROR(INDEX(PP_Grid[#Data],M_BOM[PPGridRow],40),0))+IFERROR(INDEX(M_RawMaterials[固定週次消費量_要入力],MATCH($A25,M_RawMaterials[Part Name],0)),0)</f>
        <v/>
      </c>
      <c r="AO25">
        <f>SUMPRODUCT((M_BOM[Part Name]=$A25)*M_BOM[RM_Qty_Per_Batch]*IFERROR(INDEX(PP_Grid[#Data],M_BOM[PPGridRow],41),0))+IFERROR(INDEX(M_RawMaterials[固定週次消費量_要入力],MATCH($A25,M_RawMaterials[Part Name],0)),0)</f>
        <v/>
      </c>
      <c r="AP25">
        <f>SUMPRODUCT((M_BOM[Part Name]=$A25)*M_BOM[RM_Qty_Per_Batch]*IFERROR(INDEX(PP_Grid[#Data],M_BOM[PPGridRow],42),0))+IFERROR(INDEX(M_RawMaterials[固定週次消費量_要入力],MATCH($A25,M_RawMaterials[Part Name],0)),0)</f>
        <v/>
      </c>
      <c r="AQ25">
        <f>SUMPRODUCT((M_BOM[Part Name]=$A25)*M_BOM[RM_Qty_Per_Batch]*IFERROR(INDEX(PP_Grid[#Data],M_BOM[PPGridRow],43),0))+IFERROR(INDEX(M_RawMaterials[固定週次消費量_要入力],MATCH($A25,M_RawMaterials[Part Name],0)),0)</f>
        <v/>
      </c>
      <c r="AR25">
        <f>SUMPRODUCT((M_BOM[Part Name]=$A25)*M_BOM[RM_Qty_Per_Batch]*IFERROR(INDEX(PP_Grid[#Data],M_BOM[PPGridRow],44),0))+IFERROR(INDEX(M_RawMaterials[固定週次消費量_要入力],MATCH($A25,M_RawMaterials[Part Name],0)),0)</f>
        <v/>
      </c>
      <c r="AS25">
        <f>SUMPRODUCT((M_BOM[Part Name]=$A25)*M_BOM[RM_Qty_Per_Batch]*IFERROR(INDEX(PP_Grid[#Data],M_BOM[PPGridRow],45),0))+IFERROR(INDEX(M_RawMaterials[固定週次消費量_要入力],MATCH($A25,M_RawMaterials[Part Name],0)),0)</f>
        <v/>
      </c>
      <c r="AT25">
        <f>SUMPRODUCT((M_BOM[Part Name]=$A25)*M_BOM[RM_Qty_Per_Batch]*IFERROR(INDEX(PP_Grid[#Data],M_BOM[PPGridRow],46),0))+IFERROR(INDEX(M_RawMaterials[固定週次消費量_要入力],MATCH($A25,M_RawMaterials[Part Name],0)),0)</f>
        <v/>
      </c>
      <c r="AU25">
        <f>SUMPRODUCT((M_BOM[Part Name]=$A25)*M_BOM[RM_Qty_Per_Batch]*IFERROR(INDEX(PP_Grid[#Data],M_BOM[PPGridRow],47),0))+IFERROR(INDEX(M_RawMaterials[固定週次消費量_要入力],MATCH($A25,M_RawMaterials[Part Name],0)),0)</f>
        <v/>
      </c>
      <c r="AV25">
        <f>SUMPRODUCT((M_BOM[Part Name]=$A25)*M_BOM[RM_Qty_Per_Batch]*IFERROR(INDEX(PP_Grid[#Data],M_BOM[PPGridRow],48),0))+IFERROR(INDEX(M_RawMaterials[固定週次消費量_要入力],MATCH($A25,M_RawMaterials[Part Name],0)),0)</f>
        <v/>
      </c>
      <c r="AW25">
        <f>SUMPRODUCT((M_BOM[Part Name]=$A25)*M_BOM[RM_Qty_Per_Batch]*IFERROR(INDEX(PP_Grid[#Data],M_BOM[PPGridRow],49),0))+IFERROR(INDEX(M_RawMaterials[固定週次消費量_要入力],MATCH($A25,M_RawMaterials[Part Name],0)),0)</f>
        <v/>
      </c>
      <c r="AX25">
        <f>SUMPRODUCT((M_BOM[Part Name]=$A25)*M_BOM[RM_Qty_Per_Batch]*IFERROR(INDEX(PP_Grid[#Data],M_BOM[PPGridRow],50),0))+IFERROR(INDEX(M_RawMaterials[固定週次消費量_要入力],MATCH($A25,M_RawMaterials[Part Name],0)),0)</f>
        <v/>
      </c>
      <c r="AY25">
        <f>SUMPRODUCT((M_BOM[Part Name]=$A25)*M_BOM[RM_Qty_Per_Batch]*IFERROR(INDEX(PP_Grid[#Data],M_BOM[PPGridRow],51),0))+IFERROR(INDEX(M_RawMaterials[固定週次消費量_要入力],MATCH($A25,M_RawMaterials[Part Name],0)),0)</f>
        <v/>
      </c>
      <c r="AZ25">
        <f>SUMPRODUCT((M_BOM[Part Name]=$A25)*M_BOM[RM_Qty_Per_Batch]*IFERROR(INDEX(PP_Grid[#Data],M_BOM[PPGridRow],52),0))+IFERROR(INDEX(M_RawMaterials[固定週次消費量_要入力],MATCH($A25,M_RawMaterials[Part Name],0)),0)</f>
        <v/>
      </c>
      <c r="BA25">
        <f>SUMPRODUCT((M_BOM[Part Name]=$A25)*M_BOM[RM_Qty_Per_Batch]*IFERROR(INDEX(PP_Grid[#Data],M_BOM[PPGridRow],53),0))+IFERROR(INDEX(M_RawMaterials[固定週次消費量_要入力],MATCH($A25,M_RawMaterials[Part Name],0)),0)</f>
        <v/>
      </c>
      <c r="BB25">
        <f>SUMPRODUCT((M_BOM[Part Name]=$A25)*M_BOM[RM_Qty_Per_Batch]*IFERROR(INDEX(PP_Grid[#Data],M_BOM[PPGridRow],54),0))+IFERROR(INDEX(M_RawMaterials[固定週次消費量_要入力],MATCH($A25,M_RawMaterials[Part Name],0)),0)</f>
        <v/>
      </c>
      <c r="BC25">
        <f>SUMPRODUCT((M_BOM[Part Name]=$A25)*M_BOM[RM_Qty_Per_Batch]*IFERROR(INDEX(PP_Grid[#Data],M_BOM[PPGridRow],55),0))+IFERROR(INDEX(M_RawMaterials[固定週次消費量_要入力],MATCH($A25,M_RawMaterials[Part Name],0)),0)</f>
        <v/>
      </c>
      <c r="BD25">
        <f>SUMPRODUCT((M_BOM[Part Name]=$A25)*M_BOM[RM_Qty_Per_Batch]*IFERROR(INDEX(PP_Grid[#Data],M_BOM[PPGridRow],56),0))+IFERROR(INDEX(M_RawMaterials[固定週次消費量_要入力],MATCH($A25,M_RawMaterials[Part Name],0)),0)</f>
        <v/>
      </c>
      <c r="BE25">
        <f>SUMPRODUCT((M_BOM[Part Name]=$A25)*M_BOM[RM_Qty_Per_Batch]*IFERROR(INDEX(PP_Grid[#Data],M_BOM[PPGridRow],57),0))+IFERROR(INDEX(M_RawMaterials[固定週次消費量_要入力],MATCH($A25,M_RawMaterials[Part Name],0)),0)</f>
        <v/>
      </c>
      <c r="BF25">
        <f>SUMPRODUCT((M_BOM[Part Name]=$A25)*M_BOM[RM_Qty_Per_Batch]*IFERROR(INDEX(PP_Grid[#Data],M_BOM[PPGridRow],58),0))+IFERROR(INDEX(M_RawMaterials[固定週次消費量_要入力],MATCH($A25,M_RawMaterials[Part Name],0)),0)</f>
        <v/>
      </c>
      <c r="BG25">
        <f>SUMPRODUCT((M_BOM[Part Name]=$A25)*M_BOM[RM_Qty_Per_Batch]*IFERROR(INDEX(PP_Grid[#Data],M_BOM[PPGridRow],59),0))+IFERROR(INDEX(M_RawMaterials[固定週次消費量_要入力],MATCH($A25,M_RawMaterials[Part Name],0)),0)</f>
        <v/>
      </c>
      <c r="BH25">
        <f>SUMPRODUCT((M_BOM[Part Name]=$A25)*M_BOM[RM_Qty_Per_Batch]*IFERROR(INDEX(PP_Grid[#Data],M_BOM[PPGridRow],60),0))+IFERROR(INDEX(M_RawMaterials[固定週次消費量_要入力],MATCH($A25,M_RawMaterials[Part Name],0)),0)</f>
        <v/>
      </c>
      <c r="BI25">
        <f>SUMPRODUCT((M_BOM[Part Name]=$A25)*M_BOM[RM_Qty_Per_Batch]*IFERROR(INDEX(PP_Grid[#Data],M_BOM[PPGridRow],61),0))+IFERROR(INDEX(M_RawMaterials[固定週次消費量_要入力],MATCH($A25,M_RawMaterials[Part Name],0)),0)</f>
        <v/>
      </c>
      <c r="BJ25">
        <f>SUMPRODUCT((M_BOM[Part Name]=$A25)*M_BOM[RM_Qty_Per_Batch]*IFERROR(INDEX(PP_Grid[#Data],M_BOM[PPGridRow],62),0))+IFERROR(INDEX(M_RawMaterials[固定週次消費量_要入力],MATCH($A25,M_RawMaterials[Part Name],0)),0)</f>
        <v/>
      </c>
      <c r="BK25">
        <f>SUMPRODUCT((M_BOM[Part Name]=$A25)*M_BOM[RM_Qty_Per_Batch]*IFERROR(INDEX(PP_Grid[#Data],M_BOM[PPGridRow],63),0))+IFERROR(INDEX(M_RawMaterials[固定週次消費量_要入力],MATCH($A25,M_RawMaterials[Part Name],0)),0)</f>
        <v/>
      </c>
      <c r="BL25">
        <f>SUMPRODUCT((M_BOM[Part Name]=$A25)*M_BOM[RM_Qty_Per_Batch]*IFERROR(INDEX(PP_Grid[#Data],M_BOM[PPGridRow],64),0))+IFERROR(INDEX(M_RawMaterials[固定週次消費量_要入力],MATCH($A25,M_RawMaterials[Part Name],0)),0)</f>
        <v/>
      </c>
      <c r="BM25">
        <f>SUMPRODUCT((M_BOM[Part Name]=$A25)*M_BOM[RM_Qty_Per_Batch]*IFERROR(INDEX(PP_Grid[#Data],M_BOM[PPGridRow],65),0))+IFERROR(INDEX(M_RawMaterials[固定週次消費量_要入力],MATCH($A25,M_RawMaterials[Part Name],0)),0)</f>
        <v/>
      </c>
      <c r="BN25">
        <f>SUMPRODUCT((M_BOM[Part Name]=$A25)*M_BOM[RM_Qty_Per_Batch]*IFERROR(INDEX(PP_Grid[#Data],M_BOM[PPGridRow],66),0))+IFERROR(INDEX(M_RawMaterials[固定週次消費量_要入力],MATCH($A25,M_RawMaterials[Part Name],0)),0)</f>
        <v/>
      </c>
      <c r="BO25">
        <f>SUMPRODUCT((M_BOM[Part Name]=$A25)*M_BOM[RM_Qty_Per_Batch]*IFERROR(INDEX(PP_Grid[#Data],M_BOM[PPGridRow],67),0))+IFERROR(INDEX(M_RawMaterials[固定週次消費量_要入力],MATCH($A25,M_RawMaterials[Part Name],0)),0)</f>
        <v/>
      </c>
      <c r="BP25">
        <f>SUMPRODUCT((M_BOM[Part Name]=$A25)*M_BOM[RM_Qty_Per_Batch]*IFERROR(INDEX(PP_Grid[#Data],M_BOM[PPGridRow],68),0))+IFERROR(INDEX(M_RawMaterials[固定週次消費量_要入力],MATCH($A25,M_RawMaterials[Part Name],0)),0)</f>
        <v/>
      </c>
      <c r="BQ25">
        <f>SUMPRODUCT((M_BOM[Part Name]=$A25)*M_BOM[RM_Qty_Per_Batch]*IFERROR(INDEX(PP_Grid[#Data],M_BOM[PPGridRow],69),0))+IFERROR(INDEX(M_RawMaterials[固定週次消費量_要入力],MATCH($A25,M_RawMaterials[Part Name],0)),0)</f>
        <v/>
      </c>
      <c r="BR25">
        <f>SUMPRODUCT((M_BOM[Part Name]=$A25)*M_BOM[RM_Qty_Per_Batch]*IFERROR(INDEX(PP_Grid[#Data],M_BOM[PPGridRow],70),0))+IFERROR(INDEX(M_RawMaterials[固定週次消費量_要入力],MATCH($A25,M_RawMaterials[Part Name],0)),0)</f>
        <v/>
      </c>
      <c r="BS25">
        <f>SUMPRODUCT((M_BOM[Part Name]=$A25)*M_BOM[RM_Qty_Per_Batch]*IFERROR(INDEX(PP_Grid[#Data],M_BOM[PPGridRow],71),0))+IFERROR(INDEX(M_RawMaterials[固定週次消費量_要入力],MATCH($A25,M_RawMaterials[Part Name],0)),0)</f>
        <v/>
      </c>
      <c r="BT25">
        <f>SUMPRODUCT((M_BOM[Part Name]=$A25)*M_BOM[RM_Qty_Per_Batch]*IFERROR(INDEX(PP_Grid[#Data],M_BOM[PPGridRow],72),0))+IFERROR(INDEX(M_RawMaterials[固定週次消費量_要入力],MATCH($A25,M_RawMaterials[Part Name],0)),0)</f>
        <v/>
      </c>
      <c r="BU25">
        <f>SUMPRODUCT((M_BOM[Part Name]=$A25)*M_BOM[RM_Qty_Per_Batch]*IFERROR(INDEX(PP_Grid[#Data],M_BOM[PPGridRow],73),0))+IFERROR(INDEX(M_RawMaterials[固定週次消費量_要入力],MATCH($A25,M_RawMaterials[Part Name],0)),0)</f>
        <v/>
      </c>
      <c r="BV25">
        <f>SUMPRODUCT((M_BOM[Part Name]=$A25)*M_BOM[RM_Qty_Per_Batch]*IFERROR(INDEX(PP_Grid[#Data],M_BOM[PPGridRow],74),0))+IFERROR(INDEX(M_RawMaterials[固定週次消費量_要入力],MATCH($A25,M_RawMaterials[Part Name],0)),0)</f>
        <v/>
      </c>
      <c r="BW25">
        <f>SUMPRODUCT((M_BOM[Part Name]=$A25)*M_BOM[RM_Qty_Per_Batch]*IFERROR(INDEX(PP_Grid[#Data],M_BOM[PPGridRow],75),0))+IFERROR(INDEX(M_RawMaterials[固定週次消費量_要入力],MATCH($A25,M_RawMaterials[Part Name],0)),0)</f>
        <v/>
      </c>
      <c r="BX25">
        <f>SUMPRODUCT((M_BOM[Part Name]=$A25)*M_BOM[RM_Qty_Per_Batch]*IFERROR(INDEX(PP_Grid[#Data],M_BOM[PPGridRow],76),0))+IFERROR(INDEX(M_RawMaterials[固定週次消費量_要入力],MATCH($A25,M_RawMaterials[Part Name],0)),0)</f>
        <v/>
      </c>
      <c r="BY25">
        <f>SUMPRODUCT((M_BOM[Part Name]=$A25)*M_BOM[RM_Qty_Per_Batch]*IFERROR(INDEX(PP_Grid[#Data],M_BOM[PPGridRow],77),0))+IFERROR(INDEX(M_RawMaterials[固定週次消費量_要入力],MATCH($A25,M_RawMaterials[Part Name],0)),0)</f>
        <v/>
      </c>
      <c r="BZ25">
        <f>SUMPRODUCT((M_BOM[Part Name]=$A25)*M_BOM[RM_Qty_Per_Batch]*IFERROR(INDEX(PP_Grid[#Data],M_BOM[PPGridRow],78),0))+IFERROR(INDEX(M_RawMaterials[固定週次消費量_要入力],MATCH($A25,M_RawMaterials[Part Name],0)),0)</f>
        <v/>
      </c>
      <c r="CA25">
        <f>SUMPRODUCT((M_BOM[Part Name]=$A25)*M_BOM[RM_Qty_Per_Batch]*IFERROR(INDEX(PP_Grid[#Data],M_BOM[PPGridRow],79),0))+IFERROR(INDEX(M_RawMaterials[固定週次消費量_要入力],MATCH($A25,M_RawMaterials[Part Name],0)),0)</f>
        <v/>
      </c>
      <c r="CB25">
        <f>SUMPRODUCT((M_BOM[Part Name]=$A25)*M_BOM[RM_Qty_Per_Batch]*IFERROR(INDEX(PP_Grid[#Data],M_BOM[PPGridRow],80),0))+IFERROR(INDEX(M_RawMaterials[固定週次消費量_要入力],MATCH($A25,M_RawMaterials[Part Name],0)),0)</f>
        <v/>
      </c>
      <c r="CC25">
        <f>SUMPRODUCT((M_BOM[Part Name]=$A25)*M_BOM[RM_Qty_Per_Batch]*IFERROR(INDEX(PP_Grid[#Data],M_BOM[PPGridRow],81),0))+IFERROR(INDEX(M_RawMaterials[固定週次消費量_要入力],MATCH($A25,M_RawMaterials[Part Name],0)),0)</f>
        <v/>
      </c>
      <c r="CD25">
        <f>SUMPRODUCT((M_BOM[Part Name]=$A25)*M_BOM[RM_Qty_Per_Batch]*IFERROR(INDEX(PP_Grid[#Data],M_BOM[PPGridRow],82),0))+IFERROR(INDEX(M_RawMaterials[固定週次消費量_要入力],MATCH($A25,M_RawMaterials[Part Name],0)),0)</f>
        <v/>
      </c>
      <c r="CE25">
        <f>SUMPRODUCT((M_BOM[Part Name]=$A25)*M_BOM[RM_Qty_Per_Batch]*IFERROR(INDEX(PP_Grid[#Data],M_BOM[PPGridRow],83),0))+IFERROR(INDEX(M_RawMaterials[固定週次消費量_要入力],MATCH($A25,M_RawMaterials[Part Name],0)),0)</f>
        <v/>
      </c>
      <c r="CF25">
        <f>SUMPRODUCT((M_BOM[Part Name]=$A25)*M_BOM[RM_Qty_Per_Batch]*IFERROR(INDEX(PP_Grid[#Data],M_BOM[PPGridRow],84),0))+IFERROR(INDEX(M_RawMaterials[固定週次消費量_要入力],MATCH($A25,M_RawMaterials[Part Name],0)),0)</f>
        <v/>
      </c>
      <c r="CG25">
        <f>SUMPRODUCT((M_BOM[Part Name]=$A25)*M_BOM[RM_Qty_Per_Batch]*IFERROR(INDEX(PP_Grid[#Data],M_BOM[PPGridRow],85),0))+IFERROR(INDEX(M_RawMaterials[固定週次消費量_要入力],MATCH($A25,M_RawMaterials[Part Name],0)),0)</f>
        <v/>
      </c>
      <c r="CH25">
        <f>SUMPRODUCT((M_BOM[Part Name]=$A25)*M_BOM[RM_Qty_Per_Batch]*IFERROR(INDEX(PP_Grid[#Data],M_BOM[PPGridRow],86),0))+IFERROR(INDEX(M_RawMaterials[固定週次消費量_要入力],MATCH($A25,M_RawMaterials[Part Name],0)),0)</f>
        <v/>
      </c>
      <c r="CI25">
        <f>SUMPRODUCT((M_BOM[Part Name]=$A25)*M_BOM[RM_Qty_Per_Batch]*IFERROR(INDEX(PP_Grid[#Data],M_BOM[PPGridRow],87),0))+IFERROR(INDEX(M_RawMaterials[固定週次消費量_要入力],MATCH($A25,M_RawMaterials[Part Name],0)),0)</f>
        <v/>
      </c>
      <c r="CJ25">
        <f>SUMPRODUCT((M_BOM[Part Name]=$A25)*M_BOM[RM_Qty_Per_Batch]*IFERROR(INDEX(PP_Grid[#Data],M_BOM[PPGridRow],88),0))+IFERROR(INDEX(M_RawMaterials[固定週次消費量_要入力],MATCH($A25,M_RawMaterials[Part Name],0)),0)</f>
        <v/>
      </c>
      <c r="CK25">
        <f>SUMPRODUCT((M_BOM[Part Name]=$A25)*M_BOM[RM_Qty_Per_Batch]*IFERROR(INDEX(PP_Grid[#Data],M_BOM[PPGridRow],89),0))+IFERROR(INDEX(M_RawMaterials[固定週次消費量_要入力],MATCH($A25,M_RawMaterials[Part Name],0)),0)</f>
        <v/>
      </c>
      <c r="CL25">
        <f>SUMPRODUCT((M_BOM[Part Name]=$A25)*M_BOM[RM_Qty_Per_Batch]*IFERROR(INDEX(PP_Grid[#Data],M_BOM[PPGridRow],90),0))+IFERROR(INDEX(M_RawMaterials[固定週次消費量_要入力],MATCH($A25,M_RawMaterials[Part Name],0)),0)</f>
        <v/>
      </c>
      <c r="CM25">
        <f>SUMPRODUCT((M_BOM[Part Name]=$A25)*M_BOM[RM_Qty_Per_Batch]*IFERROR(INDEX(PP_Grid[#Data],M_BOM[PPGridRow],91),0))+IFERROR(INDEX(M_RawMaterials[固定週次消費量_要入力],MATCH($A25,M_RawMaterials[Part Name],0)),0)</f>
        <v/>
      </c>
      <c r="CN25">
        <f>SUMPRODUCT((M_BOM[Part Name]=$A25)*M_BOM[RM_Qty_Per_Batch]*IFERROR(INDEX(PP_Grid[#Data],M_BOM[PPGridRow],92),0))+IFERROR(INDEX(M_RawMaterials[固定週次消費量_要入力],MATCH($A25,M_RawMaterials[Part Name],0)),0)</f>
        <v/>
      </c>
      <c r="CO25">
        <f>SUMPRODUCT((M_BOM[Part Name]=$A25)*M_BOM[RM_Qty_Per_Batch]*IFERROR(INDEX(PP_Grid[#Data],M_BOM[PPGridRow],93),0))+IFERROR(INDEX(M_RawMaterials[固定週次消費量_要入力],MATCH($A25,M_RawMaterials[Part Name],0)),0)</f>
        <v/>
      </c>
      <c r="CP25">
        <f>SUMPRODUCT((M_BOM[Part Name]=$A25)*M_BOM[RM_Qty_Per_Batch]*IFERROR(INDEX(PP_Grid[#Data],M_BOM[PPGridRow],94),0))+IFERROR(INDEX(M_RawMaterials[固定週次消費量_要入力],MATCH($A25,M_RawMaterials[Part Name],0)),0)</f>
        <v/>
      </c>
      <c r="CQ25">
        <f>SUMPRODUCT((M_BOM[Part Name]=$A25)*M_BOM[RM_Qty_Per_Batch]*IFERROR(INDEX(PP_Grid[#Data],M_BOM[PPGridRow],95),0))+IFERROR(INDEX(M_RawMaterials[固定週次消費量_要入力],MATCH($A25,M_RawMaterials[Part Name],0)),0)</f>
        <v/>
      </c>
      <c r="CR25">
        <f>SUMPRODUCT((M_BOM[Part Name]=$A25)*M_BOM[RM_Qty_Per_Batch]*IFERROR(INDEX(PP_Grid[#Data],M_BOM[PPGridRow],96),0))+IFERROR(INDEX(M_RawMaterials[固定週次消費量_要入力],MATCH($A25,M_RawMaterials[Part Name],0)),0)</f>
        <v/>
      </c>
      <c r="CS25">
        <f>SUMPRODUCT((M_BOM[Part Name]=$A25)*M_BOM[RM_Qty_Per_Batch]*IFERROR(INDEX(PP_Grid[#Data],M_BOM[PPGridRow],97),0))+IFERROR(INDEX(M_RawMaterials[固定週次消費量_要入力],MATCH($A25,M_RawMaterials[Part Name],0)),0)</f>
        <v/>
      </c>
      <c r="CT25">
        <f>SUMPRODUCT((M_BOM[Part Name]=$A25)*M_BOM[RM_Qty_Per_Batch]*IFERROR(INDEX(PP_Grid[#Data],M_BOM[PPGridRow],98),0))+IFERROR(INDEX(M_RawMaterials[固定週次消費量_要入力],MATCH($A25,M_RawMaterials[Part Name],0)),0)</f>
        <v/>
      </c>
      <c r="CU25">
        <f>SUMPRODUCT((M_BOM[Part Name]=$A25)*M_BOM[RM_Qty_Per_Batch]*IFERROR(INDEX(PP_Grid[#Data],M_BOM[PPGridRow],99),0))+IFERROR(INDEX(M_RawMaterials[固定週次消費量_要入力],MATCH($A25,M_RawMaterials[Part Name],0)),0)</f>
        <v/>
      </c>
      <c r="CV25">
        <f>SUMPRODUCT((M_BOM[Part Name]=$A25)*M_BOM[RM_Qty_Per_Batch]*IFERROR(INDEX(PP_Grid[#Data],M_BOM[PPGridRow],100),0))+IFERROR(INDEX(M_RawMaterials[固定週次消費量_要入力],MATCH($A25,M_RawMaterials[Part Name],0)),0)</f>
        <v/>
      </c>
      <c r="CW25">
        <f>SUMPRODUCT((M_BOM[Part Name]=$A25)*M_BOM[RM_Qty_Per_Batch]*IFERROR(INDEX(PP_Grid[#Data],M_BOM[PPGridRow],101),0))+IFERROR(INDEX(M_RawMaterials[固定週次消費量_要入力],MATCH($A25,M_RawMaterials[Part Name],0)),0)</f>
        <v/>
      </c>
      <c r="CX25">
        <f>SUMPRODUCT((M_BOM[Part Name]=$A25)*M_BOM[RM_Qty_Per_Batch]*IFERROR(INDEX(PP_Grid[#Data],M_BOM[PPGridRow],102),0))+IFERROR(INDEX(M_RawMaterials[固定週次消費量_要入力],MATCH($A25,M_RawMaterials[Part Name],0)),0)</f>
        <v/>
      </c>
      <c r="CY25">
        <f>SUMPRODUCT((M_BOM[Part Name]=$A25)*M_BOM[RM_Qty_Per_Batch]*IFERROR(INDEX(PP_Grid[#Data],M_BOM[PPGridRow],103),0))+IFERROR(INDEX(M_RawMaterials[固定週次消費量_要入力],MATCH($A25,M_RawMaterials[Part Name],0)),0)</f>
        <v/>
      </c>
      <c r="CZ25">
        <f>SUMPRODUCT((M_BOM[Part Name]=$A25)*M_BOM[RM_Qty_Per_Batch]*IFERROR(INDEX(PP_Grid[#Data],M_BOM[PPGridRow],104),0))+IFERROR(INDEX(M_RawMaterials[固定週次消費量_要入力],MATCH($A25,M_RawMaterials[Part Name],0)),0)</f>
        <v/>
      </c>
      <c r="DA25">
        <f>SUMPRODUCT((M_BOM[Part Name]=$A25)*M_BOM[RM_Qty_Per_Batch]*IFERROR(INDEX(PP_Grid[#Data],M_BOM[PPGridRow],105),0))+IFERROR(INDEX(M_RawMaterials[固定週次消費量_要入力],MATCH($A25,M_RawMaterials[Part Name],0)),0)</f>
        <v/>
      </c>
    </row>
    <row r="26">
      <c r="A26" t="inlineStr">
        <is>
          <t>CHEM-1580</t>
        </is>
      </c>
      <c r="B26">
        <f>SUMPRODUCT((M_BOM[Part Name]=$A26)*M_BOM[RM_Qty_Per_Batch]*IFERROR(INDEX(PP_Grid[#Data],M_BOM[PPGridRow],2),0))+IFERROR(INDEX(M_RawMaterials[固定週次消費量_要入力],MATCH($A26,M_RawMaterials[Part Name],0)),0)</f>
        <v/>
      </c>
      <c r="C26">
        <f>SUMPRODUCT((M_BOM[Part Name]=$A26)*M_BOM[RM_Qty_Per_Batch]*IFERROR(INDEX(PP_Grid[#Data],M_BOM[PPGridRow],3),0))+IFERROR(INDEX(M_RawMaterials[固定週次消費量_要入力],MATCH($A26,M_RawMaterials[Part Name],0)),0)</f>
        <v/>
      </c>
      <c r="D26">
        <f>SUMPRODUCT((M_BOM[Part Name]=$A26)*M_BOM[RM_Qty_Per_Batch]*IFERROR(INDEX(PP_Grid[#Data],M_BOM[PPGridRow],4),0))+IFERROR(INDEX(M_RawMaterials[固定週次消費量_要入力],MATCH($A26,M_RawMaterials[Part Name],0)),0)</f>
        <v/>
      </c>
      <c r="E26">
        <f>SUMPRODUCT((M_BOM[Part Name]=$A26)*M_BOM[RM_Qty_Per_Batch]*IFERROR(INDEX(PP_Grid[#Data],M_BOM[PPGridRow],5),0))+IFERROR(INDEX(M_RawMaterials[固定週次消費量_要入力],MATCH($A26,M_RawMaterials[Part Name],0)),0)</f>
        <v/>
      </c>
      <c r="F26">
        <f>SUMPRODUCT((M_BOM[Part Name]=$A26)*M_BOM[RM_Qty_Per_Batch]*IFERROR(INDEX(PP_Grid[#Data],M_BOM[PPGridRow],6),0))+IFERROR(INDEX(M_RawMaterials[固定週次消費量_要入力],MATCH($A26,M_RawMaterials[Part Name],0)),0)</f>
        <v/>
      </c>
      <c r="G26">
        <f>SUMPRODUCT((M_BOM[Part Name]=$A26)*M_BOM[RM_Qty_Per_Batch]*IFERROR(INDEX(PP_Grid[#Data],M_BOM[PPGridRow],7),0))+IFERROR(INDEX(M_RawMaterials[固定週次消費量_要入力],MATCH($A26,M_RawMaterials[Part Name],0)),0)</f>
        <v/>
      </c>
      <c r="H26">
        <f>SUMPRODUCT((M_BOM[Part Name]=$A26)*M_BOM[RM_Qty_Per_Batch]*IFERROR(INDEX(PP_Grid[#Data],M_BOM[PPGridRow],8),0))+IFERROR(INDEX(M_RawMaterials[固定週次消費量_要入力],MATCH($A26,M_RawMaterials[Part Name],0)),0)</f>
        <v/>
      </c>
      <c r="I26">
        <f>SUMPRODUCT((M_BOM[Part Name]=$A26)*M_BOM[RM_Qty_Per_Batch]*IFERROR(INDEX(PP_Grid[#Data],M_BOM[PPGridRow],9),0))+IFERROR(INDEX(M_RawMaterials[固定週次消費量_要入力],MATCH($A26,M_RawMaterials[Part Name],0)),0)</f>
        <v/>
      </c>
      <c r="J26">
        <f>SUMPRODUCT((M_BOM[Part Name]=$A26)*M_BOM[RM_Qty_Per_Batch]*IFERROR(INDEX(PP_Grid[#Data],M_BOM[PPGridRow],10),0))+IFERROR(INDEX(M_RawMaterials[固定週次消費量_要入力],MATCH($A26,M_RawMaterials[Part Name],0)),0)</f>
        <v/>
      </c>
      <c r="K26">
        <f>SUMPRODUCT((M_BOM[Part Name]=$A26)*M_BOM[RM_Qty_Per_Batch]*IFERROR(INDEX(PP_Grid[#Data],M_BOM[PPGridRow],11),0))+IFERROR(INDEX(M_RawMaterials[固定週次消費量_要入力],MATCH($A26,M_RawMaterials[Part Name],0)),0)</f>
        <v/>
      </c>
      <c r="L26">
        <f>SUMPRODUCT((M_BOM[Part Name]=$A26)*M_BOM[RM_Qty_Per_Batch]*IFERROR(INDEX(PP_Grid[#Data],M_BOM[PPGridRow],12),0))+IFERROR(INDEX(M_RawMaterials[固定週次消費量_要入力],MATCH($A26,M_RawMaterials[Part Name],0)),0)</f>
        <v/>
      </c>
      <c r="M26">
        <f>SUMPRODUCT((M_BOM[Part Name]=$A26)*M_BOM[RM_Qty_Per_Batch]*IFERROR(INDEX(PP_Grid[#Data],M_BOM[PPGridRow],13),0))+IFERROR(INDEX(M_RawMaterials[固定週次消費量_要入力],MATCH($A26,M_RawMaterials[Part Name],0)),0)</f>
        <v/>
      </c>
      <c r="N26">
        <f>SUMPRODUCT((M_BOM[Part Name]=$A26)*M_BOM[RM_Qty_Per_Batch]*IFERROR(INDEX(PP_Grid[#Data],M_BOM[PPGridRow],14),0))+IFERROR(INDEX(M_RawMaterials[固定週次消費量_要入力],MATCH($A26,M_RawMaterials[Part Name],0)),0)</f>
        <v/>
      </c>
      <c r="O26">
        <f>SUMPRODUCT((M_BOM[Part Name]=$A26)*M_BOM[RM_Qty_Per_Batch]*IFERROR(INDEX(PP_Grid[#Data],M_BOM[PPGridRow],15),0))+IFERROR(INDEX(M_RawMaterials[固定週次消費量_要入力],MATCH($A26,M_RawMaterials[Part Name],0)),0)</f>
        <v/>
      </c>
      <c r="P26">
        <f>SUMPRODUCT((M_BOM[Part Name]=$A26)*M_BOM[RM_Qty_Per_Batch]*IFERROR(INDEX(PP_Grid[#Data],M_BOM[PPGridRow],16),0))+IFERROR(INDEX(M_RawMaterials[固定週次消費量_要入力],MATCH($A26,M_RawMaterials[Part Name],0)),0)</f>
        <v/>
      </c>
      <c r="Q26">
        <f>SUMPRODUCT((M_BOM[Part Name]=$A26)*M_BOM[RM_Qty_Per_Batch]*IFERROR(INDEX(PP_Grid[#Data],M_BOM[PPGridRow],17),0))+IFERROR(INDEX(M_RawMaterials[固定週次消費量_要入力],MATCH($A26,M_RawMaterials[Part Name],0)),0)</f>
        <v/>
      </c>
      <c r="R26">
        <f>SUMPRODUCT((M_BOM[Part Name]=$A26)*M_BOM[RM_Qty_Per_Batch]*IFERROR(INDEX(PP_Grid[#Data],M_BOM[PPGridRow],18),0))+IFERROR(INDEX(M_RawMaterials[固定週次消費量_要入力],MATCH($A26,M_RawMaterials[Part Name],0)),0)</f>
        <v/>
      </c>
      <c r="S26">
        <f>SUMPRODUCT((M_BOM[Part Name]=$A26)*M_BOM[RM_Qty_Per_Batch]*IFERROR(INDEX(PP_Grid[#Data],M_BOM[PPGridRow],19),0))+IFERROR(INDEX(M_RawMaterials[固定週次消費量_要入力],MATCH($A26,M_RawMaterials[Part Name],0)),0)</f>
        <v/>
      </c>
      <c r="T26">
        <f>SUMPRODUCT((M_BOM[Part Name]=$A26)*M_BOM[RM_Qty_Per_Batch]*IFERROR(INDEX(PP_Grid[#Data],M_BOM[PPGridRow],20),0))+IFERROR(INDEX(M_RawMaterials[固定週次消費量_要入力],MATCH($A26,M_RawMaterials[Part Name],0)),0)</f>
        <v/>
      </c>
      <c r="U26">
        <f>SUMPRODUCT((M_BOM[Part Name]=$A26)*M_BOM[RM_Qty_Per_Batch]*IFERROR(INDEX(PP_Grid[#Data],M_BOM[PPGridRow],21),0))+IFERROR(INDEX(M_RawMaterials[固定週次消費量_要入力],MATCH($A26,M_RawMaterials[Part Name],0)),0)</f>
        <v/>
      </c>
      <c r="V26">
        <f>SUMPRODUCT((M_BOM[Part Name]=$A26)*M_BOM[RM_Qty_Per_Batch]*IFERROR(INDEX(PP_Grid[#Data],M_BOM[PPGridRow],22),0))+IFERROR(INDEX(M_RawMaterials[固定週次消費量_要入力],MATCH($A26,M_RawMaterials[Part Name],0)),0)</f>
        <v/>
      </c>
      <c r="W26">
        <f>SUMPRODUCT((M_BOM[Part Name]=$A26)*M_BOM[RM_Qty_Per_Batch]*IFERROR(INDEX(PP_Grid[#Data],M_BOM[PPGridRow],23),0))+IFERROR(INDEX(M_RawMaterials[固定週次消費量_要入力],MATCH($A26,M_RawMaterials[Part Name],0)),0)</f>
        <v/>
      </c>
      <c r="X26">
        <f>SUMPRODUCT((M_BOM[Part Name]=$A26)*M_BOM[RM_Qty_Per_Batch]*IFERROR(INDEX(PP_Grid[#Data],M_BOM[PPGridRow],24),0))+IFERROR(INDEX(M_RawMaterials[固定週次消費量_要入力],MATCH($A26,M_RawMaterials[Part Name],0)),0)</f>
        <v/>
      </c>
      <c r="Y26">
        <f>SUMPRODUCT((M_BOM[Part Name]=$A26)*M_BOM[RM_Qty_Per_Batch]*IFERROR(INDEX(PP_Grid[#Data],M_BOM[PPGridRow],25),0))+IFERROR(INDEX(M_RawMaterials[固定週次消費量_要入力],MATCH($A26,M_RawMaterials[Part Name],0)),0)</f>
        <v/>
      </c>
      <c r="Z26">
        <f>SUMPRODUCT((M_BOM[Part Name]=$A26)*M_BOM[RM_Qty_Per_Batch]*IFERROR(INDEX(PP_Grid[#Data],M_BOM[PPGridRow],26),0))+IFERROR(INDEX(M_RawMaterials[固定週次消費量_要入力],MATCH($A26,M_RawMaterials[Part Name],0)),0)</f>
        <v/>
      </c>
      <c r="AA26">
        <f>SUMPRODUCT((M_BOM[Part Name]=$A26)*M_BOM[RM_Qty_Per_Batch]*IFERROR(INDEX(PP_Grid[#Data],M_BOM[PPGridRow],27),0))+IFERROR(INDEX(M_RawMaterials[固定週次消費量_要入力],MATCH($A26,M_RawMaterials[Part Name],0)),0)</f>
        <v/>
      </c>
      <c r="AB26">
        <f>SUMPRODUCT((M_BOM[Part Name]=$A26)*M_BOM[RM_Qty_Per_Batch]*IFERROR(INDEX(PP_Grid[#Data],M_BOM[PPGridRow],28),0))+IFERROR(INDEX(M_RawMaterials[固定週次消費量_要入力],MATCH($A26,M_RawMaterials[Part Name],0)),0)</f>
        <v/>
      </c>
      <c r="AC26">
        <f>SUMPRODUCT((M_BOM[Part Name]=$A26)*M_BOM[RM_Qty_Per_Batch]*IFERROR(INDEX(PP_Grid[#Data],M_BOM[PPGridRow],29),0))+IFERROR(INDEX(M_RawMaterials[固定週次消費量_要入力],MATCH($A26,M_RawMaterials[Part Name],0)),0)</f>
        <v/>
      </c>
      <c r="AD26">
        <f>SUMPRODUCT((M_BOM[Part Name]=$A26)*M_BOM[RM_Qty_Per_Batch]*IFERROR(INDEX(PP_Grid[#Data],M_BOM[PPGridRow],30),0))+IFERROR(INDEX(M_RawMaterials[固定週次消費量_要入力],MATCH($A26,M_RawMaterials[Part Name],0)),0)</f>
        <v/>
      </c>
      <c r="AE26">
        <f>SUMPRODUCT((M_BOM[Part Name]=$A26)*M_BOM[RM_Qty_Per_Batch]*IFERROR(INDEX(PP_Grid[#Data],M_BOM[PPGridRow],31),0))+IFERROR(INDEX(M_RawMaterials[固定週次消費量_要入力],MATCH($A26,M_RawMaterials[Part Name],0)),0)</f>
        <v/>
      </c>
      <c r="AF26">
        <f>SUMPRODUCT((M_BOM[Part Name]=$A26)*M_BOM[RM_Qty_Per_Batch]*IFERROR(INDEX(PP_Grid[#Data],M_BOM[PPGridRow],32),0))+IFERROR(INDEX(M_RawMaterials[固定週次消費量_要入力],MATCH($A26,M_RawMaterials[Part Name],0)),0)</f>
        <v/>
      </c>
      <c r="AG26">
        <f>SUMPRODUCT((M_BOM[Part Name]=$A26)*M_BOM[RM_Qty_Per_Batch]*IFERROR(INDEX(PP_Grid[#Data],M_BOM[PPGridRow],33),0))+IFERROR(INDEX(M_RawMaterials[固定週次消費量_要入力],MATCH($A26,M_RawMaterials[Part Name],0)),0)</f>
        <v/>
      </c>
      <c r="AH26">
        <f>SUMPRODUCT((M_BOM[Part Name]=$A26)*M_BOM[RM_Qty_Per_Batch]*IFERROR(INDEX(PP_Grid[#Data],M_BOM[PPGridRow],34),0))+IFERROR(INDEX(M_RawMaterials[固定週次消費量_要入力],MATCH($A26,M_RawMaterials[Part Name],0)),0)</f>
        <v/>
      </c>
      <c r="AI26">
        <f>SUMPRODUCT((M_BOM[Part Name]=$A26)*M_BOM[RM_Qty_Per_Batch]*IFERROR(INDEX(PP_Grid[#Data],M_BOM[PPGridRow],35),0))+IFERROR(INDEX(M_RawMaterials[固定週次消費量_要入力],MATCH($A26,M_RawMaterials[Part Name],0)),0)</f>
        <v/>
      </c>
      <c r="AJ26">
        <f>SUMPRODUCT((M_BOM[Part Name]=$A26)*M_BOM[RM_Qty_Per_Batch]*IFERROR(INDEX(PP_Grid[#Data],M_BOM[PPGridRow],36),0))+IFERROR(INDEX(M_RawMaterials[固定週次消費量_要入力],MATCH($A26,M_RawMaterials[Part Name],0)),0)</f>
        <v/>
      </c>
      <c r="AK26">
        <f>SUMPRODUCT((M_BOM[Part Name]=$A26)*M_BOM[RM_Qty_Per_Batch]*IFERROR(INDEX(PP_Grid[#Data],M_BOM[PPGridRow],37),0))+IFERROR(INDEX(M_RawMaterials[固定週次消費量_要入力],MATCH($A26,M_RawMaterials[Part Name],0)),0)</f>
        <v/>
      </c>
      <c r="AL26">
        <f>SUMPRODUCT((M_BOM[Part Name]=$A26)*M_BOM[RM_Qty_Per_Batch]*IFERROR(INDEX(PP_Grid[#Data],M_BOM[PPGridRow],38),0))+IFERROR(INDEX(M_RawMaterials[固定週次消費量_要入力],MATCH($A26,M_RawMaterials[Part Name],0)),0)</f>
        <v/>
      </c>
      <c r="AM26">
        <f>SUMPRODUCT((M_BOM[Part Name]=$A26)*M_BOM[RM_Qty_Per_Batch]*IFERROR(INDEX(PP_Grid[#Data],M_BOM[PPGridRow],39),0))+IFERROR(INDEX(M_RawMaterials[固定週次消費量_要入力],MATCH($A26,M_RawMaterials[Part Name],0)),0)</f>
        <v/>
      </c>
      <c r="AN26">
        <f>SUMPRODUCT((M_BOM[Part Name]=$A26)*M_BOM[RM_Qty_Per_Batch]*IFERROR(INDEX(PP_Grid[#Data],M_BOM[PPGridRow],40),0))+IFERROR(INDEX(M_RawMaterials[固定週次消費量_要入力],MATCH($A26,M_RawMaterials[Part Name],0)),0)</f>
        <v/>
      </c>
      <c r="AO26">
        <f>SUMPRODUCT((M_BOM[Part Name]=$A26)*M_BOM[RM_Qty_Per_Batch]*IFERROR(INDEX(PP_Grid[#Data],M_BOM[PPGridRow],41),0))+IFERROR(INDEX(M_RawMaterials[固定週次消費量_要入力],MATCH($A26,M_RawMaterials[Part Name],0)),0)</f>
        <v/>
      </c>
      <c r="AP26">
        <f>SUMPRODUCT((M_BOM[Part Name]=$A26)*M_BOM[RM_Qty_Per_Batch]*IFERROR(INDEX(PP_Grid[#Data],M_BOM[PPGridRow],42),0))+IFERROR(INDEX(M_RawMaterials[固定週次消費量_要入力],MATCH($A26,M_RawMaterials[Part Name],0)),0)</f>
        <v/>
      </c>
      <c r="AQ26">
        <f>SUMPRODUCT((M_BOM[Part Name]=$A26)*M_BOM[RM_Qty_Per_Batch]*IFERROR(INDEX(PP_Grid[#Data],M_BOM[PPGridRow],43),0))+IFERROR(INDEX(M_RawMaterials[固定週次消費量_要入力],MATCH($A26,M_RawMaterials[Part Name],0)),0)</f>
        <v/>
      </c>
      <c r="AR26">
        <f>SUMPRODUCT((M_BOM[Part Name]=$A26)*M_BOM[RM_Qty_Per_Batch]*IFERROR(INDEX(PP_Grid[#Data],M_BOM[PPGridRow],44),0))+IFERROR(INDEX(M_RawMaterials[固定週次消費量_要入力],MATCH($A26,M_RawMaterials[Part Name],0)),0)</f>
        <v/>
      </c>
      <c r="AS26">
        <f>SUMPRODUCT((M_BOM[Part Name]=$A26)*M_BOM[RM_Qty_Per_Batch]*IFERROR(INDEX(PP_Grid[#Data],M_BOM[PPGridRow],45),0))+IFERROR(INDEX(M_RawMaterials[固定週次消費量_要入力],MATCH($A26,M_RawMaterials[Part Name],0)),0)</f>
        <v/>
      </c>
      <c r="AT26">
        <f>SUMPRODUCT((M_BOM[Part Name]=$A26)*M_BOM[RM_Qty_Per_Batch]*IFERROR(INDEX(PP_Grid[#Data],M_BOM[PPGridRow],46),0))+IFERROR(INDEX(M_RawMaterials[固定週次消費量_要入力],MATCH($A26,M_RawMaterials[Part Name],0)),0)</f>
        <v/>
      </c>
      <c r="AU26">
        <f>SUMPRODUCT((M_BOM[Part Name]=$A26)*M_BOM[RM_Qty_Per_Batch]*IFERROR(INDEX(PP_Grid[#Data],M_BOM[PPGridRow],47),0))+IFERROR(INDEX(M_RawMaterials[固定週次消費量_要入力],MATCH($A26,M_RawMaterials[Part Name],0)),0)</f>
        <v/>
      </c>
      <c r="AV26">
        <f>SUMPRODUCT((M_BOM[Part Name]=$A26)*M_BOM[RM_Qty_Per_Batch]*IFERROR(INDEX(PP_Grid[#Data],M_BOM[PPGridRow],48),0))+IFERROR(INDEX(M_RawMaterials[固定週次消費量_要入力],MATCH($A26,M_RawMaterials[Part Name],0)),0)</f>
        <v/>
      </c>
      <c r="AW26">
        <f>SUMPRODUCT((M_BOM[Part Name]=$A26)*M_BOM[RM_Qty_Per_Batch]*IFERROR(INDEX(PP_Grid[#Data],M_BOM[PPGridRow],49),0))+IFERROR(INDEX(M_RawMaterials[固定週次消費量_要入力],MATCH($A26,M_RawMaterials[Part Name],0)),0)</f>
        <v/>
      </c>
      <c r="AX26">
        <f>SUMPRODUCT((M_BOM[Part Name]=$A26)*M_BOM[RM_Qty_Per_Batch]*IFERROR(INDEX(PP_Grid[#Data],M_BOM[PPGridRow],50),0))+IFERROR(INDEX(M_RawMaterials[固定週次消費量_要入力],MATCH($A26,M_RawMaterials[Part Name],0)),0)</f>
        <v/>
      </c>
      <c r="AY26">
        <f>SUMPRODUCT((M_BOM[Part Name]=$A26)*M_BOM[RM_Qty_Per_Batch]*IFERROR(INDEX(PP_Grid[#Data],M_BOM[PPGridRow],51),0))+IFERROR(INDEX(M_RawMaterials[固定週次消費量_要入力],MATCH($A26,M_RawMaterials[Part Name],0)),0)</f>
        <v/>
      </c>
      <c r="AZ26">
        <f>SUMPRODUCT((M_BOM[Part Name]=$A26)*M_BOM[RM_Qty_Per_Batch]*IFERROR(INDEX(PP_Grid[#Data],M_BOM[PPGridRow],52),0))+IFERROR(INDEX(M_RawMaterials[固定週次消費量_要入力],MATCH($A26,M_RawMaterials[Part Name],0)),0)</f>
        <v/>
      </c>
      <c r="BA26">
        <f>SUMPRODUCT((M_BOM[Part Name]=$A26)*M_BOM[RM_Qty_Per_Batch]*IFERROR(INDEX(PP_Grid[#Data],M_BOM[PPGridRow],53),0))+IFERROR(INDEX(M_RawMaterials[固定週次消費量_要入力],MATCH($A26,M_RawMaterials[Part Name],0)),0)</f>
        <v/>
      </c>
      <c r="BB26">
        <f>SUMPRODUCT((M_BOM[Part Name]=$A26)*M_BOM[RM_Qty_Per_Batch]*IFERROR(INDEX(PP_Grid[#Data],M_BOM[PPGridRow],54),0))+IFERROR(INDEX(M_RawMaterials[固定週次消費量_要入力],MATCH($A26,M_RawMaterials[Part Name],0)),0)</f>
        <v/>
      </c>
      <c r="BC26">
        <f>SUMPRODUCT((M_BOM[Part Name]=$A26)*M_BOM[RM_Qty_Per_Batch]*IFERROR(INDEX(PP_Grid[#Data],M_BOM[PPGridRow],55),0))+IFERROR(INDEX(M_RawMaterials[固定週次消費量_要入力],MATCH($A26,M_RawMaterials[Part Name],0)),0)</f>
        <v/>
      </c>
      <c r="BD26">
        <f>SUMPRODUCT((M_BOM[Part Name]=$A26)*M_BOM[RM_Qty_Per_Batch]*IFERROR(INDEX(PP_Grid[#Data],M_BOM[PPGridRow],56),0))+IFERROR(INDEX(M_RawMaterials[固定週次消費量_要入力],MATCH($A26,M_RawMaterials[Part Name],0)),0)</f>
        <v/>
      </c>
      <c r="BE26">
        <f>SUMPRODUCT((M_BOM[Part Name]=$A26)*M_BOM[RM_Qty_Per_Batch]*IFERROR(INDEX(PP_Grid[#Data],M_BOM[PPGridRow],57),0))+IFERROR(INDEX(M_RawMaterials[固定週次消費量_要入力],MATCH($A26,M_RawMaterials[Part Name],0)),0)</f>
        <v/>
      </c>
      <c r="BF26">
        <f>SUMPRODUCT((M_BOM[Part Name]=$A26)*M_BOM[RM_Qty_Per_Batch]*IFERROR(INDEX(PP_Grid[#Data],M_BOM[PPGridRow],58),0))+IFERROR(INDEX(M_RawMaterials[固定週次消費量_要入力],MATCH($A26,M_RawMaterials[Part Name],0)),0)</f>
        <v/>
      </c>
      <c r="BG26">
        <f>SUMPRODUCT((M_BOM[Part Name]=$A26)*M_BOM[RM_Qty_Per_Batch]*IFERROR(INDEX(PP_Grid[#Data],M_BOM[PPGridRow],59),0))+IFERROR(INDEX(M_RawMaterials[固定週次消費量_要入力],MATCH($A26,M_RawMaterials[Part Name],0)),0)</f>
        <v/>
      </c>
      <c r="BH26">
        <f>SUMPRODUCT((M_BOM[Part Name]=$A26)*M_BOM[RM_Qty_Per_Batch]*IFERROR(INDEX(PP_Grid[#Data],M_BOM[PPGridRow],60),0))+IFERROR(INDEX(M_RawMaterials[固定週次消費量_要入力],MATCH($A26,M_RawMaterials[Part Name],0)),0)</f>
        <v/>
      </c>
      <c r="BI26">
        <f>SUMPRODUCT((M_BOM[Part Name]=$A26)*M_BOM[RM_Qty_Per_Batch]*IFERROR(INDEX(PP_Grid[#Data],M_BOM[PPGridRow],61),0))+IFERROR(INDEX(M_RawMaterials[固定週次消費量_要入力],MATCH($A26,M_RawMaterials[Part Name],0)),0)</f>
        <v/>
      </c>
      <c r="BJ26">
        <f>SUMPRODUCT((M_BOM[Part Name]=$A26)*M_BOM[RM_Qty_Per_Batch]*IFERROR(INDEX(PP_Grid[#Data],M_BOM[PPGridRow],62),0))+IFERROR(INDEX(M_RawMaterials[固定週次消費量_要入力],MATCH($A26,M_RawMaterials[Part Name],0)),0)</f>
        <v/>
      </c>
      <c r="BK26">
        <f>SUMPRODUCT((M_BOM[Part Name]=$A26)*M_BOM[RM_Qty_Per_Batch]*IFERROR(INDEX(PP_Grid[#Data],M_BOM[PPGridRow],63),0))+IFERROR(INDEX(M_RawMaterials[固定週次消費量_要入力],MATCH($A26,M_RawMaterials[Part Name],0)),0)</f>
        <v/>
      </c>
      <c r="BL26">
        <f>SUMPRODUCT((M_BOM[Part Name]=$A26)*M_BOM[RM_Qty_Per_Batch]*IFERROR(INDEX(PP_Grid[#Data],M_BOM[PPGridRow],64),0))+IFERROR(INDEX(M_RawMaterials[固定週次消費量_要入力],MATCH($A26,M_RawMaterials[Part Name],0)),0)</f>
        <v/>
      </c>
      <c r="BM26">
        <f>SUMPRODUCT((M_BOM[Part Name]=$A26)*M_BOM[RM_Qty_Per_Batch]*IFERROR(INDEX(PP_Grid[#Data],M_BOM[PPGridRow],65),0))+IFERROR(INDEX(M_RawMaterials[固定週次消費量_要入力],MATCH($A26,M_RawMaterials[Part Name],0)),0)</f>
        <v/>
      </c>
      <c r="BN26">
        <f>SUMPRODUCT((M_BOM[Part Name]=$A26)*M_BOM[RM_Qty_Per_Batch]*IFERROR(INDEX(PP_Grid[#Data],M_BOM[PPGridRow],66),0))+IFERROR(INDEX(M_RawMaterials[固定週次消費量_要入力],MATCH($A26,M_RawMaterials[Part Name],0)),0)</f>
        <v/>
      </c>
      <c r="BO26">
        <f>SUMPRODUCT((M_BOM[Part Name]=$A26)*M_BOM[RM_Qty_Per_Batch]*IFERROR(INDEX(PP_Grid[#Data],M_BOM[PPGridRow],67),0))+IFERROR(INDEX(M_RawMaterials[固定週次消費量_要入力],MATCH($A26,M_RawMaterials[Part Name],0)),0)</f>
        <v/>
      </c>
      <c r="BP26">
        <f>SUMPRODUCT((M_BOM[Part Name]=$A26)*M_BOM[RM_Qty_Per_Batch]*IFERROR(INDEX(PP_Grid[#Data],M_BOM[PPGridRow],68),0))+IFERROR(INDEX(M_RawMaterials[固定週次消費量_要入力],MATCH($A26,M_RawMaterials[Part Name],0)),0)</f>
        <v/>
      </c>
      <c r="BQ26">
        <f>SUMPRODUCT((M_BOM[Part Name]=$A26)*M_BOM[RM_Qty_Per_Batch]*IFERROR(INDEX(PP_Grid[#Data],M_BOM[PPGridRow],69),0))+IFERROR(INDEX(M_RawMaterials[固定週次消費量_要入力],MATCH($A26,M_RawMaterials[Part Name],0)),0)</f>
        <v/>
      </c>
      <c r="BR26">
        <f>SUMPRODUCT((M_BOM[Part Name]=$A26)*M_BOM[RM_Qty_Per_Batch]*IFERROR(INDEX(PP_Grid[#Data],M_BOM[PPGridRow],70),0))+IFERROR(INDEX(M_RawMaterials[固定週次消費量_要入力],MATCH($A26,M_RawMaterials[Part Name],0)),0)</f>
        <v/>
      </c>
      <c r="BS26">
        <f>SUMPRODUCT((M_BOM[Part Name]=$A26)*M_BOM[RM_Qty_Per_Batch]*IFERROR(INDEX(PP_Grid[#Data],M_BOM[PPGridRow],71),0))+IFERROR(INDEX(M_RawMaterials[固定週次消費量_要入力],MATCH($A26,M_RawMaterials[Part Name],0)),0)</f>
        <v/>
      </c>
      <c r="BT26">
        <f>SUMPRODUCT((M_BOM[Part Name]=$A26)*M_BOM[RM_Qty_Per_Batch]*IFERROR(INDEX(PP_Grid[#Data],M_BOM[PPGridRow],72),0))+IFERROR(INDEX(M_RawMaterials[固定週次消費量_要入力],MATCH($A26,M_RawMaterials[Part Name],0)),0)</f>
        <v/>
      </c>
      <c r="BU26">
        <f>SUMPRODUCT((M_BOM[Part Name]=$A26)*M_BOM[RM_Qty_Per_Batch]*IFERROR(INDEX(PP_Grid[#Data],M_BOM[PPGridRow],73),0))+IFERROR(INDEX(M_RawMaterials[固定週次消費量_要入力],MATCH($A26,M_RawMaterials[Part Name],0)),0)</f>
        <v/>
      </c>
      <c r="BV26">
        <f>SUMPRODUCT((M_BOM[Part Name]=$A26)*M_BOM[RM_Qty_Per_Batch]*IFERROR(INDEX(PP_Grid[#Data],M_BOM[PPGridRow],74),0))+IFERROR(INDEX(M_RawMaterials[固定週次消費量_要入力],MATCH($A26,M_RawMaterials[Part Name],0)),0)</f>
        <v/>
      </c>
      <c r="BW26">
        <f>SUMPRODUCT((M_BOM[Part Name]=$A26)*M_BOM[RM_Qty_Per_Batch]*IFERROR(INDEX(PP_Grid[#Data],M_BOM[PPGridRow],75),0))+IFERROR(INDEX(M_RawMaterials[固定週次消費量_要入力],MATCH($A26,M_RawMaterials[Part Name],0)),0)</f>
        <v/>
      </c>
      <c r="BX26">
        <f>SUMPRODUCT((M_BOM[Part Name]=$A26)*M_BOM[RM_Qty_Per_Batch]*IFERROR(INDEX(PP_Grid[#Data],M_BOM[PPGridRow],76),0))+IFERROR(INDEX(M_RawMaterials[固定週次消費量_要入力],MATCH($A26,M_RawMaterials[Part Name],0)),0)</f>
        <v/>
      </c>
      <c r="BY26">
        <f>SUMPRODUCT((M_BOM[Part Name]=$A26)*M_BOM[RM_Qty_Per_Batch]*IFERROR(INDEX(PP_Grid[#Data],M_BOM[PPGridRow],77),0))+IFERROR(INDEX(M_RawMaterials[固定週次消費量_要入力],MATCH($A26,M_RawMaterials[Part Name],0)),0)</f>
        <v/>
      </c>
      <c r="BZ26">
        <f>SUMPRODUCT((M_BOM[Part Name]=$A26)*M_BOM[RM_Qty_Per_Batch]*IFERROR(INDEX(PP_Grid[#Data],M_BOM[PPGridRow],78),0))+IFERROR(INDEX(M_RawMaterials[固定週次消費量_要入力],MATCH($A26,M_RawMaterials[Part Name],0)),0)</f>
        <v/>
      </c>
      <c r="CA26">
        <f>SUMPRODUCT((M_BOM[Part Name]=$A26)*M_BOM[RM_Qty_Per_Batch]*IFERROR(INDEX(PP_Grid[#Data],M_BOM[PPGridRow],79),0))+IFERROR(INDEX(M_RawMaterials[固定週次消費量_要入力],MATCH($A26,M_RawMaterials[Part Name],0)),0)</f>
        <v/>
      </c>
      <c r="CB26">
        <f>SUMPRODUCT((M_BOM[Part Name]=$A26)*M_BOM[RM_Qty_Per_Batch]*IFERROR(INDEX(PP_Grid[#Data],M_BOM[PPGridRow],80),0))+IFERROR(INDEX(M_RawMaterials[固定週次消費量_要入力],MATCH($A26,M_RawMaterials[Part Name],0)),0)</f>
        <v/>
      </c>
      <c r="CC26">
        <f>SUMPRODUCT((M_BOM[Part Name]=$A26)*M_BOM[RM_Qty_Per_Batch]*IFERROR(INDEX(PP_Grid[#Data],M_BOM[PPGridRow],81),0))+IFERROR(INDEX(M_RawMaterials[固定週次消費量_要入力],MATCH($A26,M_RawMaterials[Part Name],0)),0)</f>
        <v/>
      </c>
      <c r="CD26">
        <f>SUMPRODUCT((M_BOM[Part Name]=$A26)*M_BOM[RM_Qty_Per_Batch]*IFERROR(INDEX(PP_Grid[#Data],M_BOM[PPGridRow],82),0))+IFERROR(INDEX(M_RawMaterials[固定週次消費量_要入力],MATCH($A26,M_RawMaterials[Part Name],0)),0)</f>
        <v/>
      </c>
      <c r="CE26">
        <f>SUMPRODUCT((M_BOM[Part Name]=$A26)*M_BOM[RM_Qty_Per_Batch]*IFERROR(INDEX(PP_Grid[#Data],M_BOM[PPGridRow],83),0))+IFERROR(INDEX(M_RawMaterials[固定週次消費量_要入力],MATCH($A26,M_RawMaterials[Part Name],0)),0)</f>
        <v/>
      </c>
      <c r="CF26">
        <f>SUMPRODUCT((M_BOM[Part Name]=$A26)*M_BOM[RM_Qty_Per_Batch]*IFERROR(INDEX(PP_Grid[#Data],M_BOM[PPGridRow],84),0))+IFERROR(INDEX(M_RawMaterials[固定週次消費量_要入力],MATCH($A26,M_RawMaterials[Part Name],0)),0)</f>
        <v/>
      </c>
      <c r="CG26">
        <f>SUMPRODUCT((M_BOM[Part Name]=$A26)*M_BOM[RM_Qty_Per_Batch]*IFERROR(INDEX(PP_Grid[#Data],M_BOM[PPGridRow],85),0))+IFERROR(INDEX(M_RawMaterials[固定週次消費量_要入力],MATCH($A26,M_RawMaterials[Part Name],0)),0)</f>
        <v/>
      </c>
      <c r="CH26">
        <f>SUMPRODUCT((M_BOM[Part Name]=$A26)*M_BOM[RM_Qty_Per_Batch]*IFERROR(INDEX(PP_Grid[#Data],M_BOM[PPGridRow],86),0))+IFERROR(INDEX(M_RawMaterials[固定週次消費量_要入力],MATCH($A26,M_RawMaterials[Part Name],0)),0)</f>
        <v/>
      </c>
      <c r="CI26">
        <f>SUMPRODUCT((M_BOM[Part Name]=$A26)*M_BOM[RM_Qty_Per_Batch]*IFERROR(INDEX(PP_Grid[#Data],M_BOM[PPGridRow],87),0))+IFERROR(INDEX(M_RawMaterials[固定週次消費量_要入力],MATCH($A26,M_RawMaterials[Part Name],0)),0)</f>
        <v/>
      </c>
      <c r="CJ26">
        <f>SUMPRODUCT((M_BOM[Part Name]=$A26)*M_BOM[RM_Qty_Per_Batch]*IFERROR(INDEX(PP_Grid[#Data],M_BOM[PPGridRow],88),0))+IFERROR(INDEX(M_RawMaterials[固定週次消費量_要入力],MATCH($A26,M_RawMaterials[Part Name],0)),0)</f>
        <v/>
      </c>
      <c r="CK26">
        <f>SUMPRODUCT((M_BOM[Part Name]=$A26)*M_BOM[RM_Qty_Per_Batch]*IFERROR(INDEX(PP_Grid[#Data],M_BOM[PPGridRow],89),0))+IFERROR(INDEX(M_RawMaterials[固定週次消費量_要入力],MATCH($A26,M_RawMaterials[Part Name],0)),0)</f>
        <v/>
      </c>
      <c r="CL26">
        <f>SUMPRODUCT((M_BOM[Part Name]=$A26)*M_BOM[RM_Qty_Per_Batch]*IFERROR(INDEX(PP_Grid[#Data],M_BOM[PPGridRow],90),0))+IFERROR(INDEX(M_RawMaterials[固定週次消費量_要入力],MATCH($A26,M_RawMaterials[Part Name],0)),0)</f>
        <v/>
      </c>
      <c r="CM26">
        <f>SUMPRODUCT((M_BOM[Part Name]=$A26)*M_BOM[RM_Qty_Per_Batch]*IFERROR(INDEX(PP_Grid[#Data],M_BOM[PPGridRow],91),0))+IFERROR(INDEX(M_RawMaterials[固定週次消費量_要入力],MATCH($A26,M_RawMaterials[Part Name],0)),0)</f>
        <v/>
      </c>
      <c r="CN26">
        <f>SUMPRODUCT((M_BOM[Part Name]=$A26)*M_BOM[RM_Qty_Per_Batch]*IFERROR(INDEX(PP_Grid[#Data],M_BOM[PPGridRow],92),0))+IFERROR(INDEX(M_RawMaterials[固定週次消費量_要入力],MATCH($A26,M_RawMaterials[Part Name],0)),0)</f>
        <v/>
      </c>
      <c r="CO26">
        <f>SUMPRODUCT((M_BOM[Part Name]=$A26)*M_BOM[RM_Qty_Per_Batch]*IFERROR(INDEX(PP_Grid[#Data],M_BOM[PPGridRow],93),0))+IFERROR(INDEX(M_RawMaterials[固定週次消費量_要入力],MATCH($A26,M_RawMaterials[Part Name],0)),0)</f>
        <v/>
      </c>
      <c r="CP26">
        <f>SUMPRODUCT((M_BOM[Part Name]=$A26)*M_BOM[RM_Qty_Per_Batch]*IFERROR(INDEX(PP_Grid[#Data],M_BOM[PPGridRow],94),0))+IFERROR(INDEX(M_RawMaterials[固定週次消費量_要入力],MATCH($A26,M_RawMaterials[Part Name],0)),0)</f>
        <v/>
      </c>
      <c r="CQ26">
        <f>SUMPRODUCT((M_BOM[Part Name]=$A26)*M_BOM[RM_Qty_Per_Batch]*IFERROR(INDEX(PP_Grid[#Data],M_BOM[PPGridRow],95),0))+IFERROR(INDEX(M_RawMaterials[固定週次消費量_要入力],MATCH($A26,M_RawMaterials[Part Name],0)),0)</f>
        <v/>
      </c>
      <c r="CR26">
        <f>SUMPRODUCT((M_BOM[Part Name]=$A26)*M_BOM[RM_Qty_Per_Batch]*IFERROR(INDEX(PP_Grid[#Data],M_BOM[PPGridRow],96),0))+IFERROR(INDEX(M_RawMaterials[固定週次消費量_要入力],MATCH($A26,M_RawMaterials[Part Name],0)),0)</f>
        <v/>
      </c>
      <c r="CS26">
        <f>SUMPRODUCT((M_BOM[Part Name]=$A26)*M_BOM[RM_Qty_Per_Batch]*IFERROR(INDEX(PP_Grid[#Data],M_BOM[PPGridRow],97),0))+IFERROR(INDEX(M_RawMaterials[固定週次消費量_要入力],MATCH($A26,M_RawMaterials[Part Name],0)),0)</f>
        <v/>
      </c>
      <c r="CT26">
        <f>SUMPRODUCT((M_BOM[Part Name]=$A26)*M_BOM[RM_Qty_Per_Batch]*IFERROR(INDEX(PP_Grid[#Data],M_BOM[PPGridRow],98),0))+IFERROR(INDEX(M_RawMaterials[固定週次消費量_要入力],MATCH($A26,M_RawMaterials[Part Name],0)),0)</f>
        <v/>
      </c>
      <c r="CU26">
        <f>SUMPRODUCT((M_BOM[Part Name]=$A26)*M_BOM[RM_Qty_Per_Batch]*IFERROR(INDEX(PP_Grid[#Data],M_BOM[PPGridRow],99),0))+IFERROR(INDEX(M_RawMaterials[固定週次消費量_要入力],MATCH($A26,M_RawMaterials[Part Name],0)),0)</f>
        <v/>
      </c>
      <c r="CV26">
        <f>SUMPRODUCT((M_BOM[Part Name]=$A26)*M_BOM[RM_Qty_Per_Batch]*IFERROR(INDEX(PP_Grid[#Data],M_BOM[PPGridRow],100),0))+IFERROR(INDEX(M_RawMaterials[固定週次消費量_要入力],MATCH($A26,M_RawMaterials[Part Name],0)),0)</f>
        <v/>
      </c>
      <c r="CW26">
        <f>SUMPRODUCT((M_BOM[Part Name]=$A26)*M_BOM[RM_Qty_Per_Batch]*IFERROR(INDEX(PP_Grid[#Data],M_BOM[PPGridRow],101),0))+IFERROR(INDEX(M_RawMaterials[固定週次消費量_要入力],MATCH($A26,M_RawMaterials[Part Name],0)),0)</f>
        <v/>
      </c>
      <c r="CX26">
        <f>SUMPRODUCT((M_BOM[Part Name]=$A26)*M_BOM[RM_Qty_Per_Batch]*IFERROR(INDEX(PP_Grid[#Data],M_BOM[PPGridRow],102),0))+IFERROR(INDEX(M_RawMaterials[固定週次消費量_要入力],MATCH($A26,M_RawMaterials[Part Name],0)),0)</f>
        <v/>
      </c>
      <c r="CY26">
        <f>SUMPRODUCT((M_BOM[Part Name]=$A26)*M_BOM[RM_Qty_Per_Batch]*IFERROR(INDEX(PP_Grid[#Data],M_BOM[PPGridRow],103),0))+IFERROR(INDEX(M_RawMaterials[固定週次消費量_要入力],MATCH($A26,M_RawMaterials[Part Name],0)),0)</f>
        <v/>
      </c>
      <c r="CZ26">
        <f>SUMPRODUCT((M_BOM[Part Name]=$A26)*M_BOM[RM_Qty_Per_Batch]*IFERROR(INDEX(PP_Grid[#Data],M_BOM[PPGridRow],104),0))+IFERROR(INDEX(M_RawMaterials[固定週次消費量_要入力],MATCH($A26,M_RawMaterials[Part Name],0)),0)</f>
        <v/>
      </c>
      <c r="DA26">
        <f>SUMPRODUCT((M_BOM[Part Name]=$A26)*M_BOM[RM_Qty_Per_Batch]*IFERROR(INDEX(PP_Grid[#Data],M_BOM[PPGridRow],105),0))+IFERROR(INDEX(M_RawMaterials[固定週次消費量_要入力],MATCH($A26,M_RawMaterials[Part Name],0)),0)</f>
        <v/>
      </c>
    </row>
    <row r="27">
      <c r="A27" t="inlineStr">
        <is>
          <t>CHEM-1250</t>
        </is>
      </c>
      <c r="B27">
        <f>SUMPRODUCT((M_BOM[Part Name]=$A27)*M_BOM[RM_Qty_Per_Batch]*IFERROR(INDEX(PP_Grid[#Data],M_BOM[PPGridRow],2),0))+IFERROR(INDEX(M_RawMaterials[固定週次消費量_要入力],MATCH($A27,M_RawMaterials[Part Name],0)),0)</f>
        <v/>
      </c>
      <c r="C27">
        <f>SUMPRODUCT((M_BOM[Part Name]=$A27)*M_BOM[RM_Qty_Per_Batch]*IFERROR(INDEX(PP_Grid[#Data],M_BOM[PPGridRow],3),0))+IFERROR(INDEX(M_RawMaterials[固定週次消費量_要入力],MATCH($A27,M_RawMaterials[Part Name],0)),0)</f>
        <v/>
      </c>
      <c r="D27">
        <f>SUMPRODUCT((M_BOM[Part Name]=$A27)*M_BOM[RM_Qty_Per_Batch]*IFERROR(INDEX(PP_Grid[#Data],M_BOM[PPGridRow],4),0))+IFERROR(INDEX(M_RawMaterials[固定週次消費量_要入力],MATCH($A27,M_RawMaterials[Part Name],0)),0)</f>
        <v/>
      </c>
      <c r="E27">
        <f>SUMPRODUCT((M_BOM[Part Name]=$A27)*M_BOM[RM_Qty_Per_Batch]*IFERROR(INDEX(PP_Grid[#Data],M_BOM[PPGridRow],5),0))+IFERROR(INDEX(M_RawMaterials[固定週次消費量_要入力],MATCH($A27,M_RawMaterials[Part Name],0)),0)</f>
        <v/>
      </c>
      <c r="F27">
        <f>SUMPRODUCT((M_BOM[Part Name]=$A27)*M_BOM[RM_Qty_Per_Batch]*IFERROR(INDEX(PP_Grid[#Data],M_BOM[PPGridRow],6),0))+IFERROR(INDEX(M_RawMaterials[固定週次消費量_要入力],MATCH($A27,M_RawMaterials[Part Name],0)),0)</f>
        <v/>
      </c>
      <c r="G27">
        <f>SUMPRODUCT((M_BOM[Part Name]=$A27)*M_BOM[RM_Qty_Per_Batch]*IFERROR(INDEX(PP_Grid[#Data],M_BOM[PPGridRow],7),0))+IFERROR(INDEX(M_RawMaterials[固定週次消費量_要入力],MATCH($A27,M_RawMaterials[Part Name],0)),0)</f>
        <v/>
      </c>
      <c r="H27">
        <f>SUMPRODUCT((M_BOM[Part Name]=$A27)*M_BOM[RM_Qty_Per_Batch]*IFERROR(INDEX(PP_Grid[#Data],M_BOM[PPGridRow],8),0))+IFERROR(INDEX(M_RawMaterials[固定週次消費量_要入力],MATCH($A27,M_RawMaterials[Part Name],0)),0)</f>
        <v/>
      </c>
      <c r="I27">
        <f>SUMPRODUCT((M_BOM[Part Name]=$A27)*M_BOM[RM_Qty_Per_Batch]*IFERROR(INDEX(PP_Grid[#Data],M_BOM[PPGridRow],9),0))+IFERROR(INDEX(M_RawMaterials[固定週次消費量_要入力],MATCH($A27,M_RawMaterials[Part Name],0)),0)</f>
        <v/>
      </c>
      <c r="J27">
        <f>SUMPRODUCT((M_BOM[Part Name]=$A27)*M_BOM[RM_Qty_Per_Batch]*IFERROR(INDEX(PP_Grid[#Data],M_BOM[PPGridRow],10),0))+IFERROR(INDEX(M_RawMaterials[固定週次消費量_要入力],MATCH($A27,M_RawMaterials[Part Name],0)),0)</f>
        <v/>
      </c>
      <c r="K27">
        <f>SUMPRODUCT((M_BOM[Part Name]=$A27)*M_BOM[RM_Qty_Per_Batch]*IFERROR(INDEX(PP_Grid[#Data],M_BOM[PPGridRow],11),0))+IFERROR(INDEX(M_RawMaterials[固定週次消費量_要入力],MATCH($A27,M_RawMaterials[Part Name],0)),0)</f>
        <v/>
      </c>
      <c r="L27">
        <f>SUMPRODUCT((M_BOM[Part Name]=$A27)*M_BOM[RM_Qty_Per_Batch]*IFERROR(INDEX(PP_Grid[#Data],M_BOM[PPGridRow],12),0))+IFERROR(INDEX(M_RawMaterials[固定週次消費量_要入力],MATCH($A27,M_RawMaterials[Part Name],0)),0)</f>
        <v/>
      </c>
      <c r="M27">
        <f>SUMPRODUCT((M_BOM[Part Name]=$A27)*M_BOM[RM_Qty_Per_Batch]*IFERROR(INDEX(PP_Grid[#Data],M_BOM[PPGridRow],13),0))+IFERROR(INDEX(M_RawMaterials[固定週次消費量_要入力],MATCH($A27,M_RawMaterials[Part Name],0)),0)</f>
        <v/>
      </c>
      <c r="N27">
        <f>SUMPRODUCT((M_BOM[Part Name]=$A27)*M_BOM[RM_Qty_Per_Batch]*IFERROR(INDEX(PP_Grid[#Data],M_BOM[PPGridRow],14),0))+IFERROR(INDEX(M_RawMaterials[固定週次消費量_要入力],MATCH($A27,M_RawMaterials[Part Name],0)),0)</f>
        <v/>
      </c>
      <c r="O27">
        <f>SUMPRODUCT((M_BOM[Part Name]=$A27)*M_BOM[RM_Qty_Per_Batch]*IFERROR(INDEX(PP_Grid[#Data],M_BOM[PPGridRow],15),0))+IFERROR(INDEX(M_RawMaterials[固定週次消費量_要入力],MATCH($A27,M_RawMaterials[Part Name],0)),0)</f>
        <v/>
      </c>
      <c r="P27">
        <f>SUMPRODUCT((M_BOM[Part Name]=$A27)*M_BOM[RM_Qty_Per_Batch]*IFERROR(INDEX(PP_Grid[#Data],M_BOM[PPGridRow],16),0))+IFERROR(INDEX(M_RawMaterials[固定週次消費量_要入力],MATCH($A27,M_RawMaterials[Part Name],0)),0)</f>
        <v/>
      </c>
      <c r="Q27">
        <f>SUMPRODUCT((M_BOM[Part Name]=$A27)*M_BOM[RM_Qty_Per_Batch]*IFERROR(INDEX(PP_Grid[#Data],M_BOM[PPGridRow],17),0))+IFERROR(INDEX(M_RawMaterials[固定週次消費量_要入力],MATCH($A27,M_RawMaterials[Part Name],0)),0)</f>
        <v/>
      </c>
      <c r="R27">
        <f>SUMPRODUCT((M_BOM[Part Name]=$A27)*M_BOM[RM_Qty_Per_Batch]*IFERROR(INDEX(PP_Grid[#Data],M_BOM[PPGridRow],18),0))+IFERROR(INDEX(M_RawMaterials[固定週次消費量_要入力],MATCH($A27,M_RawMaterials[Part Name],0)),0)</f>
        <v/>
      </c>
      <c r="S27">
        <f>SUMPRODUCT((M_BOM[Part Name]=$A27)*M_BOM[RM_Qty_Per_Batch]*IFERROR(INDEX(PP_Grid[#Data],M_BOM[PPGridRow],19),0))+IFERROR(INDEX(M_RawMaterials[固定週次消費量_要入力],MATCH($A27,M_RawMaterials[Part Name],0)),0)</f>
        <v/>
      </c>
      <c r="T27">
        <f>SUMPRODUCT((M_BOM[Part Name]=$A27)*M_BOM[RM_Qty_Per_Batch]*IFERROR(INDEX(PP_Grid[#Data],M_BOM[PPGridRow],20),0))+IFERROR(INDEX(M_RawMaterials[固定週次消費量_要入力],MATCH($A27,M_RawMaterials[Part Name],0)),0)</f>
        <v/>
      </c>
      <c r="U27">
        <f>SUMPRODUCT((M_BOM[Part Name]=$A27)*M_BOM[RM_Qty_Per_Batch]*IFERROR(INDEX(PP_Grid[#Data],M_BOM[PPGridRow],21),0))+IFERROR(INDEX(M_RawMaterials[固定週次消費量_要入力],MATCH($A27,M_RawMaterials[Part Name],0)),0)</f>
        <v/>
      </c>
      <c r="V27">
        <f>SUMPRODUCT((M_BOM[Part Name]=$A27)*M_BOM[RM_Qty_Per_Batch]*IFERROR(INDEX(PP_Grid[#Data],M_BOM[PPGridRow],22),0))+IFERROR(INDEX(M_RawMaterials[固定週次消費量_要入力],MATCH($A27,M_RawMaterials[Part Name],0)),0)</f>
        <v/>
      </c>
      <c r="W27">
        <f>SUMPRODUCT((M_BOM[Part Name]=$A27)*M_BOM[RM_Qty_Per_Batch]*IFERROR(INDEX(PP_Grid[#Data],M_BOM[PPGridRow],23),0))+IFERROR(INDEX(M_RawMaterials[固定週次消費量_要入力],MATCH($A27,M_RawMaterials[Part Name],0)),0)</f>
        <v/>
      </c>
      <c r="X27">
        <f>SUMPRODUCT((M_BOM[Part Name]=$A27)*M_BOM[RM_Qty_Per_Batch]*IFERROR(INDEX(PP_Grid[#Data],M_BOM[PPGridRow],24),0))+IFERROR(INDEX(M_RawMaterials[固定週次消費量_要入力],MATCH($A27,M_RawMaterials[Part Name],0)),0)</f>
        <v/>
      </c>
      <c r="Y27">
        <f>SUMPRODUCT((M_BOM[Part Name]=$A27)*M_BOM[RM_Qty_Per_Batch]*IFERROR(INDEX(PP_Grid[#Data],M_BOM[PPGridRow],25),0))+IFERROR(INDEX(M_RawMaterials[固定週次消費量_要入力],MATCH($A27,M_RawMaterials[Part Name],0)),0)</f>
        <v/>
      </c>
      <c r="Z27">
        <f>SUMPRODUCT((M_BOM[Part Name]=$A27)*M_BOM[RM_Qty_Per_Batch]*IFERROR(INDEX(PP_Grid[#Data],M_BOM[PPGridRow],26),0))+IFERROR(INDEX(M_RawMaterials[固定週次消費量_要入力],MATCH($A27,M_RawMaterials[Part Name],0)),0)</f>
        <v/>
      </c>
      <c r="AA27">
        <f>SUMPRODUCT((M_BOM[Part Name]=$A27)*M_BOM[RM_Qty_Per_Batch]*IFERROR(INDEX(PP_Grid[#Data],M_BOM[PPGridRow],27),0))+IFERROR(INDEX(M_RawMaterials[固定週次消費量_要入力],MATCH($A27,M_RawMaterials[Part Name],0)),0)</f>
        <v/>
      </c>
      <c r="AB27">
        <f>SUMPRODUCT((M_BOM[Part Name]=$A27)*M_BOM[RM_Qty_Per_Batch]*IFERROR(INDEX(PP_Grid[#Data],M_BOM[PPGridRow],28),0))+IFERROR(INDEX(M_RawMaterials[固定週次消費量_要入力],MATCH($A27,M_RawMaterials[Part Name],0)),0)</f>
        <v/>
      </c>
      <c r="AC27">
        <f>SUMPRODUCT((M_BOM[Part Name]=$A27)*M_BOM[RM_Qty_Per_Batch]*IFERROR(INDEX(PP_Grid[#Data],M_BOM[PPGridRow],29),0))+IFERROR(INDEX(M_RawMaterials[固定週次消費量_要入力],MATCH($A27,M_RawMaterials[Part Name],0)),0)</f>
        <v/>
      </c>
      <c r="AD27">
        <f>SUMPRODUCT((M_BOM[Part Name]=$A27)*M_BOM[RM_Qty_Per_Batch]*IFERROR(INDEX(PP_Grid[#Data],M_BOM[PPGridRow],30),0))+IFERROR(INDEX(M_RawMaterials[固定週次消費量_要入力],MATCH($A27,M_RawMaterials[Part Name],0)),0)</f>
        <v/>
      </c>
      <c r="AE27">
        <f>SUMPRODUCT((M_BOM[Part Name]=$A27)*M_BOM[RM_Qty_Per_Batch]*IFERROR(INDEX(PP_Grid[#Data],M_BOM[PPGridRow],31),0))+IFERROR(INDEX(M_RawMaterials[固定週次消費量_要入力],MATCH($A27,M_RawMaterials[Part Name],0)),0)</f>
        <v/>
      </c>
      <c r="AF27">
        <f>SUMPRODUCT((M_BOM[Part Name]=$A27)*M_BOM[RM_Qty_Per_Batch]*IFERROR(INDEX(PP_Grid[#Data],M_BOM[PPGridRow],32),0))+IFERROR(INDEX(M_RawMaterials[固定週次消費量_要入力],MATCH($A27,M_RawMaterials[Part Name],0)),0)</f>
        <v/>
      </c>
      <c r="AG27">
        <f>SUMPRODUCT((M_BOM[Part Name]=$A27)*M_BOM[RM_Qty_Per_Batch]*IFERROR(INDEX(PP_Grid[#Data],M_BOM[PPGridRow],33),0))+IFERROR(INDEX(M_RawMaterials[固定週次消費量_要入力],MATCH($A27,M_RawMaterials[Part Name],0)),0)</f>
        <v/>
      </c>
      <c r="AH27">
        <f>SUMPRODUCT((M_BOM[Part Name]=$A27)*M_BOM[RM_Qty_Per_Batch]*IFERROR(INDEX(PP_Grid[#Data],M_BOM[PPGridRow],34),0))+IFERROR(INDEX(M_RawMaterials[固定週次消費量_要入力],MATCH($A27,M_RawMaterials[Part Name],0)),0)</f>
        <v/>
      </c>
      <c r="AI27">
        <f>SUMPRODUCT((M_BOM[Part Name]=$A27)*M_BOM[RM_Qty_Per_Batch]*IFERROR(INDEX(PP_Grid[#Data],M_BOM[PPGridRow],35),0))+IFERROR(INDEX(M_RawMaterials[固定週次消費量_要入力],MATCH($A27,M_RawMaterials[Part Name],0)),0)</f>
        <v/>
      </c>
      <c r="AJ27">
        <f>SUMPRODUCT((M_BOM[Part Name]=$A27)*M_BOM[RM_Qty_Per_Batch]*IFERROR(INDEX(PP_Grid[#Data],M_BOM[PPGridRow],36),0))+IFERROR(INDEX(M_RawMaterials[固定週次消費量_要入力],MATCH($A27,M_RawMaterials[Part Name],0)),0)</f>
        <v/>
      </c>
      <c r="AK27">
        <f>SUMPRODUCT((M_BOM[Part Name]=$A27)*M_BOM[RM_Qty_Per_Batch]*IFERROR(INDEX(PP_Grid[#Data],M_BOM[PPGridRow],37),0))+IFERROR(INDEX(M_RawMaterials[固定週次消費量_要入力],MATCH($A27,M_RawMaterials[Part Name],0)),0)</f>
        <v/>
      </c>
      <c r="AL27">
        <f>SUMPRODUCT((M_BOM[Part Name]=$A27)*M_BOM[RM_Qty_Per_Batch]*IFERROR(INDEX(PP_Grid[#Data],M_BOM[PPGridRow],38),0))+IFERROR(INDEX(M_RawMaterials[固定週次消費量_要入力],MATCH($A27,M_RawMaterials[Part Name],0)),0)</f>
        <v/>
      </c>
      <c r="AM27">
        <f>SUMPRODUCT((M_BOM[Part Name]=$A27)*M_BOM[RM_Qty_Per_Batch]*IFERROR(INDEX(PP_Grid[#Data],M_BOM[PPGridRow],39),0))+IFERROR(INDEX(M_RawMaterials[固定週次消費量_要入力],MATCH($A27,M_RawMaterials[Part Name],0)),0)</f>
        <v/>
      </c>
      <c r="AN27">
        <f>SUMPRODUCT((M_BOM[Part Name]=$A27)*M_BOM[RM_Qty_Per_Batch]*IFERROR(INDEX(PP_Grid[#Data],M_BOM[PPGridRow],40),0))+IFERROR(INDEX(M_RawMaterials[固定週次消費量_要入力],MATCH($A27,M_RawMaterials[Part Name],0)),0)</f>
        <v/>
      </c>
      <c r="AO27">
        <f>SUMPRODUCT((M_BOM[Part Name]=$A27)*M_BOM[RM_Qty_Per_Batch]*IFERROR(INDEX(PP_Grid[#Data],M_BOM[PPGridRow],41),0))+IFERROR(INDEX(M_RawMaterials[固定週次消費量_要入力],MATCH($A27,M_RawMaterials[Part Name],0)),0)</f>
        <v/>
      </c>
      <c r="AP27">
        <f>SUMPRODUCT((M_BOM[Part Name]=$A27)*M_BOM[RM_Qty_Per_Batch]*IFERROR(INDEX(PP_Grid[#Data],M_BOM[PPGridRow],42),0))+IFERROR(INDEX(M_RawMaterials[固定週次消費量_要入力],MATCH($A27,M_RawMaterials[Part Name],0)),0)</f>
        <v/>
      </c>
      <c r="AQ27">
        <f>SUMPRODUCT((M_BOM[Part Name]=$A27)*M_BOM[RM_Qty_Per_Batch]*IFERROR(INDEX(PP_Grid[#Data],M_BOM[PPGridRow],43),0))+IFERROR(INDEX(M_RawMaterials[固定週次消費量_要入力],MATCH($A27,M_RawMaterials[Part Name],0)),0)</f>
        <v/>
      </c>
      <c r="AR27">
        <f>SUMPRODUCT((M_BOM[Part Name]=$A27)*M_BOM[RM_Qty_Per_Batch]*IFERROR(INDEX(PP_Grid[#Data],M_BOM[PPGridRow],44),0))+IFERROR(INDEX(M_RawMaterials[固定週次消費量_要入力],MATCH($A27,M_RawMaterials[Part Name],0)),0)</f>
        <v/>
      </c>
      <c r="AS27">
        <f>SUMPRODUCT((M_BOM[Part Name]=$A27)*M_BOM[RM_Qty_Per_Batch]*IFERROR(INDEX(PP_Grid[#Data],M_BOM[PPGridRow],45),0))+IFERROR(INDEX(M_RawMaterials[固定週次消費量_要入力],MATCH($A27,M_RawMaterials[Part Name],0)),0)</f>
        <v/>
      </c>
      <c r="AT27">
        <f>SUMPRODUCT((M_BOM[Part Name]=$A27)*M_BOM[RM_Qty_Per_Batch]*IFERROR(INDEX(PP_Grid[#Data],M_BOM[PPGridRow],46),0))+IFERROR(INDEX(M_RawMaterials[固定週次消費量_要入力],MATCH($A27,M_RawMaterials[Part Name],0)),0)</f>
        <v/>
      </c>
      <c r="AU27">
        <f>SUMPRODUCT((M_BOM[Part Name]=$A27)*M_BOM[RM_Qty_Per_Batch]*IFERROR(INDEX(PP_Grid[#Data],M_BOM[PPGridRow],47),0))+IFERROR(INDEX(M_RawMaterials[固定週次消費量_要入力],MATCH($A27,M_RawMaterials[Part Name],0)),0)</f>
        <v/>
      </c>
      <c r="AV27">
        <f>SUMPRODUCT((M_BOM[Part Name]=$A27)*M_BOM[RM_Qty_Per_Batch]*IFERROR(INDEX(PP_Grid[#Data],M_BOM[PPGridRow],48),0))+IFERROR(INDEX(M_RawMaterials[固定週次消費量_要入力],MATCH($A27,M_RawMaterials[Part Name],0)),0)</f>
        <v/>
      </c>
      <c r="AW27">
        <f>SUMPRODUCT((M_BOM[Part Name]=$A27)*M_BOM[RM_Qty_Per_Batch]*IFERROR(INDEX(PP_Grid[#Data],M_BOM[PPGridRow],49),0))+IFERROR(INDEX(M_RawMaterials[固定週次消費量_要入力],MATCH($A27,M_RawMaterials[Part Name],0)),0)</f>
        <v/>
      </c>
      <c r="AX27">
        <f>SUMPRODUCT((M_BOM[Part Name]=$A27)*M_BOM[RM_Qty_Per_Batch]*IFERROR(INDEX(PP_Grid[#Data],M_BOM[PPGridRow],50),0))+IFERROR(INDEX(M_RawMaterials[固定週次消費量_要入力],MATCH($A27,M_RawMaterials[Part Name],0)),0)</f>
        <v/>
      </c>
      <c r="AY27">
        <f>SUMPRODUCT((M_BOM[Part Name]=$A27)*M_BOM[RM_Qty_Per_Batch]*IFERROR(INDEX(PP_Grid[#Data],M_BOM[PPGridRow],51),0))+IFERROR(INDEX(M_RawMaterials[固定週次消費量_要入力],MATCH($A27,M_RawMaterials[Part Name],0)),0)</f>
        <v/>
      </c>
      <c r="AZ27">
        <f>SUMPRODUCT((M_BOM[Part Name]=$A27)*M_BOM[RM_Qty_Per_Batch]*IFERROR(INDEX(PP_Grid[#Data],M_BOM[PPGridRow],52),0))+IFERROR(INDEX(M_RawMaterials[固定週次消費量_要入力],MATCH($A27,M_RawMaterials[Part Name],0)),0)</f>
        <v/>
      </c>
      <c r="BA27">
        <f>SUMPRODUCT((M_BOM[Part Name]=$A27)*M_BOM[RM_Qty_Per_Batch]*IFERROR(INDEX(PP_Grid[#Data],M_BOM[PPGridRow],53),0))+IFERROR(INDEX(M_RawMaterials[固定週次消費量_要入力],MATCH($A27,M_RawMaterials[Part Name],0)),0)</f>
        <v/>
      </c>
      <c r="BB27">
        <f>SUMPRODUCT((M_BOM[Part Name]=$A27)*M_BOM[RM_Qty_Per_Batch]*IFERROR(INDEX(PP_Grid[#Data],M_BOM[PPGridRow],54),0))+IFERROR(INDEX(M_RawMaterials[固定週次消費量_要入力],MATCH($A27,M_RawMaterials[Part Name],0)),0)</f>
        <v/>
      </c>
      <c r="BC27">
        <f>SUMPRODUCT((M_BOM[Part Name]=$A27)*M_BOM[RM_Qty_Per_Batch]*IFERROR(INDEX(PP_Grid[#Data],M_BOM[PPGridRow],55),0))+IFERROR(INDEX(M_RawMaterials[固定週次消費量_要入力],MATCH($A27,M_RawMaterials[Part Name],0)),0)</f>
        <v/>
      </c>
      <c r="BD27">
        <f>SUMPRODUCT((M_BOM[Part Name]=$A27)*M_BOM[RM_Qty_Per_Batch]*IFERROR(INDEX(PP_Grid[#Data],M_BOM[PPGridRow],56),0))+IFERROR(INDEX(M_RawMaterials[固定週次消費量_要入力],MATCH($A27,M_RawMaterials[Part Name],0)),0)</f>
        <v/>
      </c>
      <c r="BE27">
        <f>SUMPRODUCT((M_BOM[Part Name]=$A27)*M_BOM[RM_Qty_Per_Batch]*IFERROR(INDEX(PP_Grid[#Data],M_BOM[PPGridRow],57),0))+IFERROR(INDEX(M_RawMaterials[固定週次消費量_要入力],MATCH($A27,M_RawMaterials[Part Name],0)),0)</f>
        <v/>
      </c>
      <c r="BF27">
        <f>SUMPRODUCT((M_BOM[Part Name]=$A27)*M_BOM[RM_Qty_Per_Batch]*IFERROR(INDEX(PP_Grid[#Data],M_BOM[PPGridRow],58),0))+IFERROR(INDEX(M_RawMaterials[固定週次消費量_要入力],MATCH($A27,M_RawMaterials[Part Name],0)),0)</f>
        <v/>
      </c>
      <c r="BG27">
        <f>SUMPRODUCT((M_BOM[Part Name]=$A27)*M_BOM[RM_Qty_Per_Batch]*IFERROR(INDEX(PP_Grid[#Data],M_BOM[PPGridRow],59),0))+IFERROR(INDEX(M_RawMaterials[固定週次消費量_要入力],MATCH($A27,M_RawMaterials[Part Name],0)),0)</f>
        <v/>
      </c>
      <c r="BH27">
        <f>SUMPRODUCT((M_BOM[Part Name]=$A27)*M_BOM[RM_Qty_Per_Batch]*IFERROR(INDEX(PP_Grid[#Data],M_BOM[PPGridRow],60),0))+IFERROR(INDEX(M_RawMaterials[固定週次消費量_要入力],MATCH($A27,M_RawMaterials[Part Name],0)),0)</f>
        <v/>
      </c>
      <c r="BI27">
        <f>SUMPRODUCT((M_BOM[Part Name]=$A27)*M_BOM[RM_Qty_Per_Batch]*IFERROR(INDEX(PP_Grid[#Data],M_BOM[PPGridRow],61),0))+IFERROR(INDEX(M_RawMaterials[固定週次消費量_要入力],MATCH($A27,M_RawMaterials[Part Name],0)),0)</f>
        <v/>
      </c>
      <c r="BJ27">
        <f>SUMPRODUCT((M_BOM[Part Name]=$A27)*M_BOM[RM_Qty_Per_Batch]*IFERROR(INDEX(PP_Grid[#Data],M_BOM[PPGridRow],62),0))+IFERROR(INDEX(M_RawMaterials[固定週次消費量_要入力],MATCH($A27,M_RawMaterials[Part Name],0)),0)</f>
        <v/>
      </c>
      <c r="BK27">
        <f>SUMPRODUCT((M_BOM[Part Name]=$A27)*M_BOM[RM_Qty_Per_Batch]*IFERROR(INDEX(PP_Grid[#Data],M_BOM[PPGridRow],63),0))+IFERROR(INDEX(M_RawMaterials[固定週次消費量_要入力],MATCH($A27,M_RawMaterials[Part Name],0)),0)</f>
        <v/>
      </c>
      <c r="BL27">
        <f>SUMPRODUCT((M_BOM[Part Name]=$A27)*M_BOM[RM_Qty_Per_Batch]*IFERROR(INDEX(PP_Grid[#Data],M_BOM[PPGridRow],64),0))+IFERROR(INDEX(M_RawMaterials[固定週次消費量_要入力],MATCH($A27,M_RawMaterials[Part Name],0)),0)</f>
        <v/>
      </c>
      <c r="BM27">
        <f>SUMPRODUCT((M_BOM[Part Name]=$A27)*M_BOM[RM_Qty_Per_Batch]*IFERROR(INDEX(PP_Grid[#Data],M_BOM[PPGridRow],65),0))+IFERROR(INDEX(M_RawMaterials[固定週次消費量_要入力],MATCH($A27,M_RawMaterials[Part Name],0)),0)</f>
        <v/>
      </c>
      <c r="BN27">
        <f>SUMPRODUCT((M_BOM[Part Name]=$A27)*M_BOM[RM_Qty_Per_Batch]*IFERROR(INDEX(PP_Grid[#Data],M_BOM[PPGridRow],66),0))+IFERROR(INDEX(M_RawMaterials[固定週次消費量_要入力],MATCH($A27,M_RawMaterials[Part Name],0)),0)</f>
        <v/>
      </c>
      <c r="BO27">
        <f>SUMPRODUCT((M_BOM[Part Name]=$A27)*M_BOM[RM_Qty_Per_Batch]*IFERROR(INDEX(PP_Grid[#Data],M_BOM[PPGridRow],67),0))+IFERROR(INDEX(M_RawMaterials[固定週次消費量_要入力],MATCH($A27,M_RawMaterials[Part Name],0)),0)</f>
        <v/>
      </c>
      <c r="BP27">
        <f>SUMPRODUCT((M_BOM[Part Name]=$A27)*M_BOM[RM_Qty_Per_Batch]*IFERROR(INDEX(PP_Grid[#Data],M_BOM[PPGridRow],68),0))+IFERROR(INDEX(M_RawMaterials[固定週次消費量_要入力],MATCH($A27,M_RawMaterials[Part Name],0)),0)</f>
        <v/>
      </c>
      <c r="BQ27">
        <f>SUMPRODUCT((M_BOM[Part Name]=$A27)*M_BOM[RM_Qty_Per_Batch]*IFERROR(INDEX(PP_Grid[#Data],M_BOM[PPGridRow],69),0))+IFERROR(INDEX(M_RawMaterials[固定週次消費量_要入力],MATCH($A27,M_RawMaterials[Part Name],0)),0)</f>
        <v/>
      </c>
      <c r="BR27">
        <f>SUMPRODUCT((M_BOM[Part Name]=$A27)*M_BOM[RM_Qty_Per_Batch]*IFERROR(INDEX(PP_Grid[#Data],M_BOM[PPGridRow],70),0))+IFERROR(INDEX(M_RawMaterials[固定週次消費量_要入力],MATCH($A27,M_RawMaterials[Part Name],0)),0)</f>
        <v/>
      </c>
      <c r="BS27">
        <f>SUMPRODUCT((M_BOM[Part Name]=$A27)*M_BOM[RM_Qty_Per_Batch]*IFERROR(INDEX(PP_Grid[#Data],M_BOM[PPGridRow],71),0))+IFERROR(INDEX(M_RawMaterials[固定週次消費量_要入力],MATCH($A27,M_RawMaterials[Part Name],0)),0)</f>
        <v/>
      </c>
      <c r="BT27">
        <f>SUMPRODUCT((M_BOM[Part Name]=$A27)*M_BOM[RM_Qty_Per_Batch]*IFERROR(INDEX(PP_Grid[#Data],M_BOM[PPGridRow],72),0))+IFERROR(INDEX(M_RawMaterials[固定週次消費量_要入力],MATCH($A27,M_RawMaterials[Part Name],0)),0)</f>
        <v/>
      </c>
      <c r="BU27">
        <f>SUMPRODUCT((M_BOM[Part Name]=$A27)*M_BOM[RM_Qty_Per_Batch]*IFERROR(INDEX(PP_Grid[#Data],M_BOM[PPGridRow],73),0))+IFERROR(INDEX(M_RawMaterials[固定週次消費量_要入力],MATCH($A27,M_RawMaterials[Part Name],0)),0)</f>
        <v/>
      </c>
      <c r="BV27">
        <f>SUMPRODUCT((M_BOM[Part Name]=$A27)*M_BOM[RM_Qty_Per_Batch]*IFERROR(INDEX(PP_Grid[#Data],M_BOM[PPGridRow],74),0))+IFERROR(INDEX(M_RawMaterials[固定週次消費量_要入力],MATCH($A27,M_RawMaterials[Part Name],0)),0)</f>
        <v/>
      </c>
      <c r="BW27">
        <f>SUMPRODUCT((M_BOM[Part Name]=$A27)*M_BOM[RM_Qty_Per_Batch]*IFERROR(INDEX(PP_Grid[#Data],M_BOM[PPGridRow],75),0))+IFERROR(INDEX(M_RawMaterials[固定週次消費量_要入力],MATCH($A27,M_RawMaterials[Part Name],0)),0)</f>
        <v/>
      </c>
      <c r="BX27">
        <f>SUMPRODUCT((M_BOM[Part Name]=$A27)*M_BOM[RM_Qty_Per_Batch]*IFERROR(INDEX(PP_Grid[#Data],M_BOM[PPGridRow],76),0))+IFERROR(INDEX(M_RawMaterials[固定週次消費量_要入力],MATCH($A27,M_RawMaterials[Part Name],0)),0)</f>
        <v/>
      </c>
      <c r="BY27">
        <f>SUMPRODUCT((M_BOM[Part Name]=$A27)*M_BOM[RM_Qty_Per_Batch]*IFERROR(INDEX(PP_Grid[#Data],M_BOM[PPGridRow],77),0))+IFERROR(INDEX(M_RawMaterials[固定週次消費量_要入力],MATCH($A27,M_RawMaterials[Part Name],0)),0)</f>
        <v/>
      </c>
      <c r="BZ27">
        <f>SUMPRODUCT((M_BOM[Part Name]=$A27)*M_BOM[RM_Qty_Per_Batch]*IFERROR(INDEX(PP_Grid[#Data],M_BOM[PPGridRow],78),0))+IFERROR(INDEX(M_RawMaterials[固定週次消費量_要入力],MATCH($A27,M_RawMaterials[Part Name],0)),0)</f>
        <v/>
      </c>
      <c r="CA27">
        <f>SUMPRODUCT((M_BOM[Part Name]=$A27)*M_BOM[RM_Qty_Per_Batch]*IFERROR(INDEX(PP_Grid[#Data],M_BOM[PPGridRow],79),0))+IFERROR(INDEX(M_RawMaterials[固定週次消費量_要入力],MATCH($A27,M_RawMaterials[Part Name],0)),0)</f>
        <v/>
      </c>
      <c r="CB27">
        <f>SUMPRODUCT((M_BOM[Part Name]=$A27)*M_BOM[RM_Qty_Per_Batch]*IFERROR(INDEX(PP_Grid[#Data],M_BOM[PPGridRow],80),0))+IFERROR(INDEX(M_RawMaterials[固定週次消費量_要入力],MATCH($A27,M_RawMaterials[Part Name],0)),0)</f>
        <v/>
      </c>
      <c r="CC27">
        <f>SUMPRODUCT((M_BOM[Part Name]=$A27)*M_BOM[RM_Qty_Per_Batch]*IFERROR(INDEX(PP_Grid[#Data],M_BOM[PPGridRow],81),0))+IFERROR(INDEX(M_RawMaterials[固定週次消費量_要入力],MATCH($A27,M_RawMaterials[Part Name],0)),0)</f>
        <v/>
      </c>
      <c r="CD27">
        <f>SUMPRODUCT((M_BOM[Part Name]=$A27)*M_BOM[RM_Qty_Per_Batch]*IFERROR(INDEX(PP_Grid[#Data],M_BOM[PPGridRow],82),0))+IFERROR(INDEX(M_RawMaterials[固定週次消費量_要入力],MATCH($A27,M_RawMaterials[Part Name],0)),0)</f>
        <v/>
      </c>
      <c r="CE27">
        <f>SUMPRODUCT((M_BOM[Part Name]=$A27)*M_BOM[RM_Qty_Per_Batch]*IFERROR(INDEX(PP_Grid[#Data],M_BOM[PPGridRow],83),0))+IFERROR(INDEX(M_RawMaterials[固定週次消費量_要入力],MATCH($A27,M_RawMaterials[Part Name],0)),0)</f>
        <v/>
      </c>
      <c r="CF27">
        <f>SUMPRODUCT((M_BOM[Part Name]=$A27)*M_BOM[RM_Qty_Per_Batch]*IFERROR(INDEX(PP_Grid[#Data],M_BOM[PPGridRow],84),0))+IFERROR(INDEX(M_RawMaterials[固定週次消費量_要入力],MATCH($A27,M_RawMaterials[Part Name],0)),0)</f>
        <v/>
      </c>
      <c r="CG27">
        <f>SUMPRODUCT((M_BOM[Part Name]=$A27)*M_BOM[RM_Qty_Per_Batch]*IFERROR(INDEX(PP_Grid[#Data],M_BOM[PPGridRow],85),0))+IFERROR(INDEX(M_RawMaterials[固定週次消費量_要入力],MATCH($A27,M_RawMaterials[Part Name],0)),0)</f>
        <v/>
      </c>
      <c r="CH27">
        <f>SUMPRODUCT((M_BOM[Part Name]=$A27)*M_BOM[RM_Qty_Per_Batch]*IFERROR(INDEX(PP_Grid[#Data],M_BOM[PPGridRow],86),0))+IFERROR(INDEX(M_RawMaterials[固定週次消費量_要入力],MATCH($A27,M_RawMaterials[Part Name],0)),0)</f>
        <v/>
      </c>
      <c r="CI27">
        <f>SUMPRODUCT((M_BOM[Part Name]=$A27)*M_BOM[RM_Qty_Per_Batch]*IFERROR(INDEX(PP_Grid[#Data],M_BOM[PPGridRow],87),0))+IFERROR(INDEX(M_RawMaterials[固定週次消費量_要入力],MATCH($A27,M_RawMaterials[Part Name],0)),0)</f>
        <v/>
      </c>
      <c r="CJ27">
        <f>SUMPRODUCT((M_BOM[Part Name]=$A27)*M_BOM[RM_Qty_Per_Batch]*IFERROR(INDEX(PP_Grid[#Data],M_BOM[PPGridRow],88),0))+IFERROR(INDEX(M_RawMaterials[固定週次消費量_要入力],MATCH($A27,M_RawMaterials[Part Name],0)),0)</f>
        <v/>
      </c>
      <c r="CK27">
        <f>SUMPRODUCT((M_BOM[Part Name]=$A27)*M_BOM[RM_Qty_Per_Batch]*IFERROR(INDEX(PP_Grid[#Data],M_BOM[PPGridRow],89),0))+IFERROR(INDEX(M_RawMaterials[固定週次消費量_要入力],MATCH($A27,M_RawMaterials[Part Name],0)),0)</f>
        <v/>
      </c>
      <c r="CL27">
        <f>SUMPRODUCT((M_BOM[Part Name]=$A27)*M_BOM[RM_Qty_Per_Batch]*IFERROR(INDEX(PP_Grid[#Data],M_BOM[PPGridRow],90),0))+IFERROR(INDEX(M_RawMaterials[固定週次消費量_要入力],MATCH($A27,M_RawMaterials[Part Name],0)),0)</f>
        <v/>
      </c>
      <c r="CM27">
        <f>SUMPRODUCT((M_BOM[Part Name]=$A27)*M_BOM[RM_Qty_Per_Batch]*IFERROR(INDEX(PP_Grid[#Data],M_BOM[PPGridRow],91),0))+IFERROR(INDEX(M_RawMaterials[固定週次消費量_要入力],MATCH($A27,M_RawMaterials[Part Name],0)),0)</f>
        <v/>
      </c>
      <c r="CN27">
        <f>SUMPRODUCT((M_BOM[Part Name]=$A27)*M_BOM[RM_Qty_Per_Batch]*IFERROR(INDEX(PP_Grid[#Data],M_BOM[PPGridRow],92),0))+IFERROR(INDEX(M_RawMaterials[固定週次消費量_要入力],MATCH($A27,M_RawMaterials[Part Name],0)),0)</f>
        <v/>
      </c>
      <c r="CO27">
        <f>SUMPRODUCT((M_BOM[Part Name]=$A27)*M_BOM[RM_Qty_Per_Batch]*IFERROR(INDEX(PP_Grid[#Data],M_BOM[PPGridRow],93),0))+IFERROR(INDEX(M_RawMaterials[固定週次消費量_要入力],MATCH($A27,M_RawMaterials[Part Name],0)),0)</f>
        <v/>
      </c>
      <c r="CP27">
        <f>SUMPRODUCT((M_BOM[Part Name]=$A27)*M_BOM[RM_Qty_Per_Batch]*IFERROR(INDEX(PP_Grid[#Data],M_BOM[PPGridRow],94),0))+IFERROR(INDEX(M_RawMaterials[固定週次消費量_要入力],MATCH($A27,M_RawMaterials[Part Name],0)),0)</f>
        <v/>
      </c>
      <c r="CQ27">
        <f>SUMPRODUCT((M_BOM[Part Name]=$A27)*M_BOM[RM_Qty_Per_Batch]*IFERROR(INDEX(PP_Grid[#Data],M_BOM[PPGridRow],95),0))+IFERROR(INDEX(M_RawMaterials[固定週次消費量_要入力],MATCH($A27,M_RawMaterials[Part Name],0)),0)</f>
        <v/>
      </c>
      <c r="CR27">
        <f>SUMPRODUCT((M_BOM[Part Name]=$A27)*M_BOM[RM_Qty_Per_Batch]*IFERROR(INDEX(PP_Grid[#Data],M_BOM[PPGridRow],96),0))+IFERROR(INDEX(M_RawMaterials[固定週次消費量_要入力],MATCH($A27,M_RawMaterials[Part Name],0)),0)</f>
        <v/>
      </c>
      <c r="CS27">
        <f>SUMPRODUCT((M_BOM[Part Name]=$A27)*M_BOM[RM_Qty_Per_Batch]*IFERROR(INDEX(PP_Grid[#Data],M_BOM[PPGridRow],97),0))+IFERROR(INDEX(M_RawMaterials[固定週次消費量_要入力],MATCH($A27,M_RawMaterials[Part Name],0)),0)</f>
        <v/>
      </c>
      <c r="CT27">
        <f>SUMPRODUCT((M_BOM[Part Name]=$A27)*M_BOM[RM_Qty_Per_Batch]*IFERROR(INDEX(PP_Grid[#Data],M_BOM[PPGridRow],98),0))+IFERROR(INDEX(M_RawMaterials[固定週次消費量_要入力],MATCH($A27,M_RawMaterials[Part Name],0)),0)</f>
        <v/>
      </c>
      <c r="CU27">
        <f>SUMPRODUCT((M_BOM[Part Name]=$A27)*M_BOM[RM_Qty_Per_Batch]*IFERROR(INDEX(PP_Grid[#Data],M_BOM[PPGridRow],99),0))+IFERROR(INDEX(M_RawMaterials[固定週次消費量_要入力],MATCH($A27,M_RawMaterials[Part Name],0)),0)</f>
        <v/>
      </c>
      <c r="CV27">
        <f>SUMPRODUCT((M_BOM[Part Name]=$A27)*M_BOM[RM_Qty_Per_Batch]*IFERROR(INDEX(PP_Grid[#Data],M_BOM[PPGridRow],100),0))+IFERROR(INDEX(M_RawMaterials[固定週次消費量_要入力],MATCH($A27,M_RawMaterials[Part Name],0)),0)</f>
        <v/>
      </c>
      <c r="CW27">
        <f>SUMPRODUCT((M_BOM[Part Name]=$A27)*M_BOM[RM_Qty_Per_Batch]*IFERROR(INDEX(PP_Grid[#Data],M_BOM[PPGridRow],101),0))+IFERROR(INDEX(M_RawMaterials[固定週次消費量_要入力],MATCH($A27,M_RawMaterials[Part Name],0)),0)</f>
        <v/>
      </c>
      <c r="CX27">
        <f>SUMPRODUCT((M_BOM[Part Name]=$A27)*M_BOM[RM_Qty_Per_Batch]*IFERROR(INDEX(PP_Grid[#Data],M_BOM[PPGridRow],102),0))+IFERROR(INDEX(M_RawMaterials[固定週次消費量_要入力],MATCH($A27,M_RawMaterials[Part Name],0)),0)</f>
        <v/>
      </c>
      <c r="CY27">
        <f>SUMPRODUCT((M_BOM[Part Name]=$A27)*M_BOM[RM_Qty_Per_Batch]*IFERROR(INDEX(PP_Grid[#Data],M_BOM[PPGridRow],103),0))+IFERROR(INDEX(M_RawMaterials[固定週次消費量_要入力],MATCH($A27,M_RawMaterials[Part Name],0)),0)</f>
        <v/>
      </c>
      <c r="CZ27">
        <f>SUMPRODUCT((M_BOM[Part Name]=$A27)*M_BOM[RM_Qty_Per_Batch]*IFERROR(INDEX(PP_Grid[#Data],M_BOM[PPGridRow],104),0))+IFERROR(INDEX(M_RawMaterials[固定週次消費量_要入力],MATCH($A27,M_RawMaterials[Part Name],0)),0)</f>
        <v/>
      </c>
      <c r="DA27">
        <f>SUMPRODUCT((M_BOM[Part Name]=$A27)*M_BOM[RM_Qty_Per_Batch]*IFERROR(INDEX(PP_Grid[#Data],M_BOM[PPGridRow],105),0))+IFERROR(INDEX(M_RawMaterials[固定週次消費量_要入力],MATCH($A27,M_RawMaterials[Part Name],0)),0)</f>
        <v/>
      </c>
    </row>
    <row r="28">
      <c r="A28" t="inlineStr">
        <is>
          <t>CHEM-1600</t>
        </is>
      </c>
      <c r="B28">
        <f>SUMPRODUCT((M_BOM[Part Name]=$A28)*M_BOM[RM_Qty_Per_Batch]*IFERROR(INDEX(PP_Grid[#Data],M_BOM[PPGridRow],2),0))+IFERROR(INDEX(M_RawMaterials[固定週次消費量_要入力],MATCH($A28,M_RawMaterials[Part Name],0)),0)</f>
        <v/>
      </c>
      <c r="C28">
        <f>SUMPRODUCT((M_BOM[Part Name]=$A28)*M_BOM[RM_Qty_Per_Batch]*IFERROR(INDEX(PP_Grid[#Data],M_BOM[PPGridRow],3),0))+IFERROR(INDEX(M_RawMaterials[固定週次消費量_要入力],MATCH($A28,M_RawMaterials[Part Name],0)),0)</f>
        <v/>
      </c>
      <c r="D28">
        <f>SUMPRODUCT((M_BOM[Part Name]=$A28)*M_BOM[RM_Qty_Per_Batch]*IFERROR(INDEX(PP_Grid[#Data],M_BOM[PPGridRow],4),0))+IFERROR(INDEX(M_RawMaterials[固定週次消費量_要入力],MATCH($A28,M_RawMaterials[Part Name],0)),0)</f>
        <v/>
      </c>
      <c r="E28">
        <f>SUMPRODUCT((M_BOM[Part Name]=$A28)*M_BOM[RM_Qty_Per_Batch]*IFERROR(INDEX(PP_Grid[#Data],M_BOM[PPGridRow],5),0))+IFERROR(INDEX(M_RawMaterials[固定週次消費量_要入力],MATCH($A28,M_RawMaterials[Part Name],0)),0)</f>
        <v/>
      </c>
      <c r="F28">
        <f>SUMPRODUCT((M_BOM[Part Name]=$A28)*M_BOM[RM_Qty_Per_Batch]*IFERROR(INDEX(PP_Grid[#Data],M_BOM[PPGridRow],6),0))+IFERROR(INDEX(M_RawMaterials[固定週次消費量_要入力],MATCH($A28,M_RawMaterials[Part Name],0)),0)</f>
        <v/>
      </c>
      <c r="G28">
        <f>SUMPRODUCT((M_BOM[Part Name]=$A28)*M_BOM[RM_Qty_Per_Batch]*IFERROR(INDEX(PP_Grid[#Data],M_BOM[PPGridRow],7),0))+IFERROR(INDEX(M_RawMaterials[固定週次消費量_要入力],MATCH($A28,M_RawMaterials[Part Name],0)),0)</f>
        <v/>
      </c>
      <c r="H28">
        <f>SUMPRODUCT((M_BOM[Part Name]=$A28)*M_BOM[RM_Qty_Per_Batch]*IFERROR(INDEX(PP_Grid[#Data],M_BOM[PPGridRow],8),0))+IFERROR(INDEX(M_RawMaterials[固定週次消費量_要入力],MATCH($A28,M_RawMaterials[Part Name],0)),0)</f>
        <v/>
      </c>
      <c r="I28">
        <f>SUMPRODUCT((M_BOM[Part Name]=$A28)*M_BOM[RM_Qty_Per_Batch]*IFERROR(INDEX(PP_Grid[#Data],M_BOM[PPGridRow],9),0))+IFERROR(INDEX(M_RawMaterials[固定週次消費量_要入力],MATCH($A28,M_RawMaterials[Part Name],0)),0)</f>
        <v/>
      </c>
      <c r="J28">
        <f>SUMPRODUCT((M_BOM[Part Name]=$A28)*M_BOM[RM_Qty_Per_Batch]*IFERROR(INDEX(PP_Grid[#Data],M_BOM[PPGridRow],10),0))+IFERROR(INDEX(M_RawMaterials[固定週次消費量_要入力],MATCH($A28,M_RawMaterials[Part Name],0)),0)</f>
        <v/>
      </c>
      <c r="K28">
        <f>SUMPRODUCT((M_BOM[Part Name]=$A28)*M_BOM[RM_Qty_Per_Batch]*IFERROR(INDEX(PP_Grid[#Data],M_BOM[PPGridRow],11),0))+IFERROR(INDEX(M_RawMaterials[固定週次消費量_要入力],MATCH($A28,M_RawMaterials[Part Name],0)),0)</f>
        <v/>
      </c>
      <c r="L28">
        <f>SUMPRODUCT((M_BOM[Part Name]=$A28)*M_BOM[RM_Qty_Per_Batch]*IFERROR(INDEX(PP_Grid[#Data],M_BOM[PPGridRow],12),0))+IFERROR(INDEX(M_RawMaterials[固定週次消費量_要入力],MATCH($A28,M_RawMaterials[Part Name],0)),0)</f>
        <v/>
      </c>
      <c r="M28">
        <f>SUMPRODUCT((M_BOM[Part Name]=$A28)*M_BOM[RM_Qty_Per_Batch]*IFERROR(INDEX(PP_Grid[#Data],M_BOM[PPGridRow],13),0))+IFERROR(INDEX(M_RawMaterials[固定週次消費量_要入力],MATCH($A28,M_RawMaterials[Part Name],0)),0)</f>
        <v/>
      </c>
      <c r="N28">
        <f>SUMPRODUCT((M_BOM[Part Name]=$A28)*M_BOM[RM_Qty_Per_Batch]*IFERROR(INDEX(PP_Grid[#Data],M_BOM[PPGridRow],14),0))+IFERROR(INDEX(M_RawMaterials[固定週次消費量_要入力],MATCH($A28,M_RawMaterials[Part Name],0)),0)</f>
        <v/>
      </c>
      <c r="O28">
        <f>SUMPRODUCT((M_BOM[Part Name]=$A28)*M_BOM[RM_Qty_Per_Batch]*IFERROR(INDEX(PP_Grid[#Data],M_BOM[PPGridRow],15),0))+IFERROR(INDEX(M_RawMaterials[固定週次消費量_要入力],MATCH($A28,M_RawMaterials[Part Name],0)),0)</f>
        <v/>
      </c>
      <c r="P28">
        <f>SUMPRODUCT((M_BOM[Part Name]=$A28)*M_BOM[RM_Qty_Per_Batch]*IFERROR(INDEX(PP_Grid[#Data],M_BOM[PPGridRow],16),0))+IFERROR(INDEX(M_RawMaterials[固定週次消費量_要入力],MATCH($A28,M_RawMaterials[Part Name],0)),0)</f>
        <v/>
      </c>
      <c r="Q28">
        <f>SUMPRODUCT((M_BOM[Part Name]=$A28)*M_BOM[RM_Qty_Per_Batch]*IFERROR(INDEX(PP_Grid[#Data],M_BOM[PPGridRow],17),0))+IFERROR(INDEX(M_RawMaterials[固定週次消費量_要入力],MATCH($A28,M_RawMaterials[Part Name],0)),0)</f>
        <v/>
      </c>
      <c r="R28">
        <f>SUMPRODUCT((M_BOM[Part Name]=$A28)*M_BOM[RM_Qty_Per_Batch]*IFERROR(INDEX(PP_Grid[#Data],M_BOM[PPGridRow],18),0))+IFERROR(INDEX(M_RawMaterials[固定週次消費量_要入力],MATCH($A28,M_RawMaterials[Part Name],0)),0)</f>
        <v/>
      </c>
      <c r="S28">
        <f>SUMPRODUCT((M_BOM[Part Name]=$A28)*M_BOM[RM_Qty_Per_Batch]*IFERROR(INDEX(PP_Grid[#Data],M_BOM[PPGridRow],19),0))+IFERROR(INDEX(M_RawMaterials[固定週次消費量_要入力],MATCH($A28,M_RawMaterials[Part Name],0)),0)</f>
        <v/>
      </c>
      <c r="T28">
        <f>SUMPRODUCT((M_BOM[Part Name]=$A28)*M_BOM[RM_Qty_Per_Batch]*IFERROR(INDEX(PP_Grid[#Data],M_BOM[PPGridRow],20),0))+IFERROR(INDEX(M_RawMaterials[固定週次消費量_要入力],MATCH($A28,M_RawMaterials[Part Name],0)),0)</f>
        <v/>
      </c>
      <c r="U28">
        <f>SUMPRODUCT((M_BOM[Part Name]=$A28)*M_BOM[RM_Qty_Per_Batch]*IFERROR(INDEX(PP_Grid[#Data],M_BOM[PPGridRow],21),0))+IFERROR(INDEX(M_RawMaterials[固定週次消費量_要入力],MATCH($A28,M_RawMaterials[Part Name],0)),0)</f>
        <v/>
      </c>
      <c r="V28">
        <f>SUMPRODUCT((M_BOM[Part Name]=$A28)*M_BOM[RM_Qty_Per_Batch]*IFERROR(INDEX(PP_Grid[#Data],M_BOM[PPGridRow],22),0))+IFERROR(INDEX(M_RawMaterials[固定週次消費量_要入力],MATCH($A28,M_RawMaterials[Part Name],0)),0)</f>
        <v/>
      </c>
      <c r="W28">
        <f>SUMPRODUCT((M_BOM[Part Name]=$A28)*M_BOM[RM_Qty_Per_Batch]*IFERROR(INDEX(PP_Grid[#Data],M_BOM[PPGridRow],23),0))+IFERROR(INDEX(M_RawMaterials[固定週次消費量_要入力],MATCH($A28,M_RawMaterials[Part Name],0)),0)</f>
        <v/>
      </c>
      <c r="X28">
        <f>SUMPRODUCT((M_BOM[Part Name]=$A28)*M_BOM[RM_Qty_Per_Batch]*IFERROR(INDEX(PP_Grid[#Data],M_BOM[PPGridRow],24),0))+IFERROR(INDEX(M_RawMaterials[固定週次消費量_要入力],MATCH($A28,M_RawMaterials[Part Name],0)),0)</f>
        <v/>
      </c>
      <c r="Y28">
        <f>SUMPRODUCT((M_BOM[Part Name]=$A28)*M_BOM[RM_Qty_Per_Batch]*IFERROR(INDEX(PP_Grid[#Data],M_BOM[PPGridRow],25),0))+IFERROR(INDEX(M_RawMaterials[固定週次消費量_要入力],MATCH($A28,M_RawMaterials[Part Name],0)),0)</f>
        <v/>
      </c>
      <c r="Z28">
        <f>SUMPRODUCT((M_BOM[Part Name]=$A28)*M_BOM[RM_Qty_Per_Batch]*IFERROR(INDEX(PP_Grid[#Data],M_BOM[PPGridRow],26),0))+IFERROR(INDEX(M_RawMaterials[固定週次消費量_要入力],MATCH($A28,M_RawMaterials[Part Name],0)),0)</f>
        <v/>
      </c>
      <c r="AA28">
        <f>SUMPRODUCT((M_BOM[Part Name]=$A28)*M_BOM[RM_Qty_Per_Batch]*IFERROR(INDEX(PP_Grid[#Data],M_BOM[PPGridRow],27),0))+IFERROR(INDEX(M_RawMaterials[固定週次消費量_要入力],MATCH($A28,M_RawMaterials[Part Name],0)),0)</f>
        <v/>
      </c>
      <c r="AB28">
        <f>SUMPRODUCT((M_BOM[Part Name]=$A28)*M_BOM[RM_Qty_Per_Batch]*IFERROR(INDEX(PP_Grid[#Data],M_BOM[PPGridRow],28),0))+IFERROR(INDEX(M_RawMaterials[固定週次消費量_要入力],MATCH($A28,M_RawMaterials[Part Name],0)),0)</f>
        <v/>
      </c>
      <c r="AC28">
        <f>SUMPRODUCT((M_BOM[Part Name]=$A28)*M_BOM[RM_Qty_Per_Batch]*IFERROR(INDEX(PP_Grid[#Data],M_BOM[PPGridRow],29),0))+IFERROR(INDEX(M_RawMaterials[固定週次消費量_要入力],MATCH($A28,M_RawMaterials[Part Name],0)),0)</f>
        <v/>
      </c>
      <c r="AD28">
        <f>SUMPRODUCT((M_BOM[Part Name]=$A28)*M_BOM[RM_Qty_Per_Batch]*IFERROR(INDEX(PP_Grid[#Data],M_BOM[PPGridRow],30),0))+IFERROR(INDEX(M_RawMaterials[固定週次消費量_要入力],MATCH($A28,M_RawMaterials[Part Name],0)),0)</f>
        <v/>
      </c>
      <c r="AE28">
        <f>SUMPRODUCT((M_BOM[Part Name]=$A28)*M_BOM[RM_Qty_Per_Batch]*IFERROR(INDEX(PP_Grid[#Data],M_BOM[PPGridRow],31),0))+IFERROR(INDEX(M_RawMaterials[固定週次消費量_要入力],MATCH($A28,M_RawMaterials[Part Name],0)),0)</f>
        <v/>
      </c>
      <c r="AF28">
        <f>SUMPRODUCT((M_BOM[Part Name]=$A28)*M_BOM[RM_Qty_Per_Batch]*IFERROR(INDEX(PP_Grid[#Data],M_BOM[PPGridRow],32),0))+IFERROR(INDEX(M_RawMaterials[固定週次消費量_要入力],MATCH($A28,M_RawMaterials[Part Name],0)),0)</f>
        <v/>
      </c>
      <c r="AG28">
        <f>SUMPRODUCT((M_BOM[Part Name]=$A28)*M_BOM[RM_Qty_Per_Batch]*IFERROR(INDEX(PP_Grid[#Data],M_BOM[PPGridRow],33),0))+IFERROR(INDEX(M_RawMaterials[固定週次消費量_要入力],MATCH($A28,M_RawMaterials[Part Name],0)),0)</f>
        <v/>
      </c>
      <c r="AH28">
        <f>SUMPRODUCT((M_BOM[Part Name]=$A28)*M_BOM[RM_Qty_Per_Batch]*IFERROR(INDEX(PP_Grid[#Data],M_BOM[PPGridRow],34),0))+IFERROR(INDEX(M_RawMaterials[固定週次消費量_要入力],MATCH($A28,M_RawMaterials[Part Name],0)),0)</f>
        <v/>
      </c>
      <c r="AI28">
        <f>SUMPRODUCT((M_BOM[Part Name]=$A28)*M_BOM[RM_Qty_Per_Batch]*IFERROR(INDEX(PP_Grid[#Data],M_BOM[PPGridRow],35),0))+IFERROR(INDEX(M_RawMaterials[固定週次消費量_要入力],MATCH($A28,M_RawMaterials[Part Name],0)),0)</f>
        <v/>
      </c>
      <c r="AJ28">
        <f>SUMPRODUCT((M_BOM[Part Name]=$A28)*M_BOM[RM_Qty_Per_Batch]*IFERROR(INDEX(PP_Grid[#Data],M_BOM[PPGridRow],36),0))+IFERROR(INDEX(M_RawMaterials[固定週次消費量_要入力],MATCH($A28,M_RawMaterials[Part Name],0)),0)</f>
        <v/>
      </c>
      <c r="AK28">
        <f>SUMPRODUCT((M_BOM[Part Name]=$A28)*M_BOM[RM_Qty_Per_Batch]*IFERROR(INDEX(PP_Grid[#Data],M_BOM[PPGridRow],37),0))+IFERROR(INDEX(M_RawMaterials[固定週次消費量_要入力],MATCH($A28,M_RawMaterials[Part Name],0)),0)</f>
        <v/>
      </c>
      <c r="AL28">
        <f>SUMPRODUCT((M_BOM[Part Name]=$A28)*M_BOM[RM_Qty_Per_Batch]*IFERROR(INDEX(PP_Grid[#Data],M_BOM[PPGridRow],38),0))+IFERROR(INDEX(M_RawMaterials[固定週次消費量_要入力],MATCH($A28,M_RawMaterials[Part Name],0)),0)</f>
        <v/>
      </c>
      <c r="AM28">
        <f>SUMPRODUCT((M_BOM[Part Name]=$A28)*M_BOM[RM_Qty_Per_Batch]*IFERROR(INDEX(PP_Grid[#Data],M_BOM[PPGridRow],39),0))+IFERROR(INDEX(M_RawMaterials[固定週次消費量_要入力],MATCH($A28,M_RawMaterials[Part Name],0)),0)</f>
        <v/>
      </c>
      <c r="AN28">
        <f>SUMPRODUCT((M_BOM[Part Name]=$A28)*M_BOM[RM_Qty_Per_Batch]*IFERROR(INDEX(PP_Grid[#Data],M_BOM[PPGridRow],40),0))+IFERROR(INDEX(M_RawMaterials[固定週次消費量_要入力],MATCH($A28,M_RawMaterials[Part Name],0)),0)</f>
        <v/>
      </c>
      <c r="AO28">
        <f>SUMPRODUCT((M_BOM[Part Name]=$A28)*M_BOM[RM_Qty_Per_Batch]*IFERROR(INDEX(PP_Grid[#Data],M_BOM[PPGridRow],41),0))+IFERROR(INDEX(M_RawMaterials[固定週次消費量_要入力],MATCH($A28,M_RawMaterials[Part Name],0)),0)</f>
        <v/>
      </c>
      <c r="AP28">
        <f>SUMPRODUCT((M_BOM[Part Name]=$A28)*M_BOM[RM_Qty_Per_Batch]*IFERROR(INDEX(PP_Grid[#Data],M_BOM[PPGridRow],42),0))+IFERROR(INDEX(M_RawMaterials[固定週次消費量_要入力],MATCH($A28,M_RawMaterials[Part Name],0)),0)</f>
        <v/>
      </c>
      <c r="AQ28">
        <f>SUMPRODUCT((M_BOM[Part Name]=$A28)*M_BOM[RM_Qty_Per_Batch]*IFERROR(INDEX(PP_Grid[#Data],M_BOM[PPGridRow],43),0))+IFERROR(INDEX(M_RawMaterials[固定週次消費量_要入力],MATCH($A28,M_RawMaterials[Part Name],0)),0)</f>
        <v/>
      </c>
      <c r="AR28">
        <f>SUMPRODUCT((M_BOM[Part Name]=$A28)*M_BOM[RM_Qty_Per_Batch]*IFERROR(INDEX(PP_Grid[#Data],M_BOM[PPGridRow],44),0))+IFERROR(INDEX(M_RawMaterials[固定週次消費量_要入力],MATCH($A28,M_RawMaterials[Part Name],0)),0)</f>
        <v/>
      </c>
      <c r="AS28">
        <f>SUMPRODUCT((M_BOM[Part Name]=$A28)*M_BOM[RM_Qty_Per_Batch]*IFERROR(INDEX(PP_Grid[#Data],M_BOM[PPGridRow],45),0))+IFERROR(INDEX(M_RawMaterials[固定週次消費量_要入力],MATCH($A28,M_RawMaterials[Part Name],0)),0)</f>
        <v/>
      </c>
      <c r="AT28">
        <f>SUMPRODUCT((M_BOM[Part Name]=$A28)*M_BOM[RM_Qty_Per_Batch]*IFERROR(INDEX(PP_Grid[#Data],M_BOM[PPGridRow],46),0))+IFERROR(INDEX(M_RawMaterials[固定週次消費量_要入力],MATCH($A28,M_RawMaterials[Part Name],0)),0)</f>
        <v/>
      </c>
      <c r="AU28">
        <f>SUMPRODUCT((M_BOM[Part Name]=$A28)*M_BOM[RM_Qty_Per_Batch]*IFERROR(INDEX(PP_Grid[#Data],M_BOM[PPGridRow],47),0))+IFERROR(INDEX(M_RawMaterials[固定週次消費量_要入力],MATCH($A28,M_RawMaterials[Part Name],0)),0)</f>
        <v/>
      </c>
      <c r="AV28">
        <f>SUMPRODUCT((M_BOM[Part Name]=$A28)*M_BOM[RM_Qty_Per_Batch]*IFERROR(INDEX(PP_Grid[#Data],M_BOM[PPGridRow],48),0))+IFERROR(INDEX(M_RawMaterials[固定週次消費量_要入力],MATCH($A28,M_RawMaterials[Part Name],0)),0)</f>
        <v/>
      </c>
      <c r="AW28">
        <f>SUMPRODUCT((M_BOM[Part Name]=$A28)*M_BOM[RM_Qty_Per_Batch]*IFERROR(INDEX(PP_Grid[#Data],M_BOM[PPGridRow],49),0))+IFERROR(INDEX(M_RawMaterials[固定週次消費量_要入力],MATCH($A28,M_RawMaterials[Part Name],0)),0)</f>
        <v/>
      </c>
      <c r="AX28">
        <f>SUMPRODUCT((M_BOM[Part Name]=$A28)*M_BOM[RM_Qty_Per_Batch]*IFERROR(INDEX(PP_Grid[#Data],M_BOM[PPGridRow],50),0))+IFERROR(INDEX(M_RawMaterials[固定週次消費量_要入力],MATCH($A28,M_RawMaterials[Part Name],0)),0)</f>
        <v/>
      </c>
      <c r="AY28">
        <f>SUMPRODUCT((M_BOM[Part Name]=$A28)*M_BOM[RM_Qty_Per_Batch]*IFERROR(INDEX(PP_Grid[#Data],M_BOM[PPGridRow],51),0))+IFERROR(INDEX(M_RawMaterials[固定週次消費量_要入力],MATCH($A28,M_RawMaterials[Part Name],0)),0)</f>
        <v/>
      </c>
      <c r="AZ28">
        <f>SUMPRODUCT((M_BOM[Part Name]=$A28)*M_BOM[RM_Qty_Per_Batch]*IFERROR(INDEX(PP_Grid[#Data],M_BOM[PPGridRow],52),0))+IFERROR(INDEX(M_RawMaterials[固定週次消費量_要入力],MATCH($A28,M_RawMaterials[Part Name],0)),0)</f>
        <v/>
      </c>
      <c r="BA28">
        <f>SUMPRODUCT((M_BOM[Part Name]=$A28)*M_BOM[RM_Qty_Per_Batch]*IFERROR(INDEX(PP_Grid[#Data],M_BOM[PPGridRow],53),0))+IFERROR(INDEX(M_RawMaterials[固定週次消費量_要入力],MATCH($A28,M_RawMaterials[Part Name],0)),0)</f>
        <v/>
      </c>
      <c r="BB28">
        <f>SUMPRODUCT((M_BOM[Part Name]=$A28)*M_BOM[RM_Qty_Per_Batch]*IFERROR(INDEX(PP_Grid[#Data],M_BOM[PPGridRow],54),0))+IFERROR(INDEX(M_RawMaterials[固定週次消費量_要入力],MATCH($A28,M_RawMaterials[Part Name],0)),0)</f>
        <v/>
      </c>
      <c r="BC28">
        <f>SUMPRODUCT((M_BOM[Part Name]=$A28)*M_BOM[RM_Qty_Per_Batch]*IFERROR(INDEX(PP_Grid[#Data],M_BOM[PPGridRow],55),0))+IFERROR(INDEX(M_RawMaterials[固定週次消費量_要入力],MATCH($A28,M_RawMaterials[Part Name],0)),0)</f>
        <v/>
      </c>
      <c r="BD28">
        <f>SUMPRODUCT((M_BOM[Part Name]=$A28)*M_BOM[RM_Qty_Per_Batch]*IFERROR(INDEX(PP_Grid[#Data],M_BOM[PPGridRow],56),0))+IFERROR(INDEX(M_RawMaterials[固定週次消費量_要入力],MATCH($A28,M_RawMaterials[Part Name],0)),0)</f>
        <v/>
      </c>
      <c r="BE28">
        <f>SUMPRODUCT((M_BOM[Part Name]=$A28)*M_BOM[RM_Qty_Per_Batch]*IFERROR(INDEX(PP_Grid[#Data],M_BOM[PPGridRow],57),0))+IFERROR(INDEX(M_RawMaterials[固定週次消費量_要入力],MATCH($A28,M_RawMaterials[Part Name],0)),0)</f>
        <v/>
      </c>
      <c r="BF28">
        <f>SUMPRODUCT((M_BOM[Part Name]=$A28)*M_BOM[RM_Qty_Per_Batch]*IFERROR(INDEX(PP_Grid[#Data],M_BOM[PPGridRow],58),0))+IFERROR(INDEX(M_RawMaterials[固定週次消費量_要入力],MATCH($A28,M_RawMaterials[Part Name],0)),0)</f>
        <v/>
      </c>
      <c r="BG28">
        <f>SUMPRODUCT((M_BOM[Part Name]=$A28)*M_BOM[RM_Qty_Per_Batch]*IFERROR(INDEX(PP_Grid[#Data],M_BOM[PPGridRow],59),0))+IFERROR(INDEX(M_RawMaterials[固定週次消費量_要入力],MATCH($A28,M_RawMaterials[Part Name],0)),0)</f>
        <v/>
      </c>
      <c r="BH28">
        <f>SUMPRODUCT((M_BOM[Part Name]=$A28)*M_BOM[RM_Qty_Per_Batch]*IFERROR(INDEX(PP_Grid[#Data],M_BOM[PPGridRow],60),0))+IFERROR(INDEX(M_RawMaterials[固定週次消費量_要入力],MATCH($A28,M_RawMaterials[Part Name],0)),0)</f>
        <v/>
      </c>
      <c r="BI28">
        <f>SUMPRODUCT((M_BOM[Part Name]=$A28)*M_BOM[RM_Qty_Per_Batch]*IFERROR(INDEX(PP_Grid[#Data],M_BOM[PPGridRow],61),0))+IFERROR(INDEX(M_RawMaterials[固定週次消費量_要入力],MATCH($A28,M_RawMaterials[Part Name],0)),0)</f>
        <v/>
      </c>
      <c r="BJ28">
        <f>SUMPRODUCT((M_BOM[Part Name]=$A28)*M_BOM[RM_Qty_Per_Batch]*IFERROR(INDEX(PP_Grid[#Data],M_BOM[PPGridRow],62),0))+IFERROR(INDEX(M_RawMaterials[固定週次消費量_要入力],MATCH($A28,M_RawMaterials[Part Name],0)),0)</f>
        <v/>
      </c>
      <c r="BK28">
        <f>SUMPRODUCT((M_BOM[Part Name]=$A28)*M_BOM[RM_Qty_Per_Batch]*IFERROR(INDEX(PP_Grid[#Data],M_BOM[PPGridRow],63),0))+IFERROR(INDEX(M_RawMaterials[固定週次消費量_要入力],MATCH($A28,M_RawMaterials[Part Name],0)),0)</f>
        <v/>
      </c>
      <c r="BL28">
        <f>SUMPRODUCT((M_BOM[Part Name]=$A28)*M_BOM[RM_Qty_Per_Batch]*IFERROR(INDEX(PP_Grid[#Data],M_BOM[PPGridRow],64),0))+IFERROR(INDEX(M_RawMaterials[固定週次消費量_要入力],MATCH($A28,M_RawMaterials[Part Name],0)),0)</f>
        <v/>
      </c>
      <c r="BM28">
        <f>SUMPRODUCT((M_BOM[Part Name]=$A28)*M_BOM[RM_Qty_Per_Batch]*IFERROR(INDEX(PP_Grid[#Data],M_BOM[PPGridRow],65),0))+IFERROR(INDEX(M_RawMaterials[固定週次消費量_要入力],MATCH($A28,M_RawMaterials[Part Name],0)),0)</f>
        <v/>
      </c>
      <c r="BN28">
        <f>SUMPRODUCT((M_BOM[Part Name]=$A28)*M_BOM[RM_Qty_Per_Batch]*IFERROR(INDEX(PP_Grid[#Data],M_BOM[PPGridRow],66),0))+IFERROR(INDEX(M_RawMaterials[固定週次消費量_要入力],MATCH($A28,M_RawMaterials[Part Name],0)),0)</f>
        <v/>
      </c>
      <c r="BO28">
        <f>SUMPRODUCT((M_BOM[Part Name]=$A28)*M_BOM[RM_Qty_Per_Batch]*IFERROR(INDEX(PP_Grid[#Data],M_BOM[PPGridRow],67),0))+IFERROR(INDEX(M_RawMaterials[固定週次消費量_要入力],MATCH($A28,M_RawMaterials[Part Name],0)),0)</f>
        <v/>
      </c>
      <c r="BP28">
        <f>SUMPRODUCT((M_BOM[Part Name]=$A28)*M_BOM[RM_Qty_Per_Batch]*IFERROR(INDEX(PP_Grid[#Data],M_BOM[PPGridRow],68),0))+IFERROR(INDEX(M_RawMaterials[固定週次消費量_要入力],MATCH($A28,M_RawMaterials[Part Name],0)),0)</f>
        <v/>
      </c>
      <c r="BQ28">
        <f>SUMPRODUCT((M_BOM[Part Name]=$A28)*M_BOM[RM_Qty_Per_Batch]*IFERROR(INDEX(PP_Grid[#Data],M_BOM[PPGridRow],69),0))+IFERROR(INDEX(M_RawMaterials[固定週次消費量_要入力],MATCH($A28,M_RawMaterials[Part Name],0)),0)</f>
        <v/>
      </c>
      <c r="BR28">
        <f>SUMPRODUCT((M_BOM[Part Name]=$A28)*M_BOM[RM_Qty_Per_Batch]*IFERROR(INDEX(PP_Grid[#Data],M_BOM[PPGridRow],70),0))+IFERROR(INDEX(M_RawMaterials[固定週次消費量_要入力],MATCH($A28,M_RawMaterials[Part Name],0)),0)</f>
        <v/>
      </c>
      <c r="BS28">
        <f>SUMPRODUCT((M_BOM[Part Name]=$A28)*M_BOM[RM_Qty_Per_Batch]*IFERROR(INDEX(PP_Grid[#Data],M_BOM[PPGridRow],71),0))+IFERROR(INDEX(M_RawMaterials[固定週次消費量_要入力],MATCH($A28,M_RawMaterials[Part Name],0)),0)</f>
        <v/>
      </c>
      <c r="BT28">
        <f>SUMPRODUCT((M_BOM[Part Name]=$A28)*M_BOM[RM_Qty_Per_Batch]*IFERROR(INDEX(PP_Grid[#Data],M_BOM[PPGridRow],72),0))+IFERROR(INDEX(M_RawMaterials[固定週次消費量_要入力],MATCH($A28,M_RawMaterials[Part Name],0)),0)</f>
        <v/>
      </c>
      <c r="BU28">
        <f>SUMPRODUCT((M_BOM[Part Name]=$A28)*M_BOM[RM_Qty_Per_Batch]*IFERROR(INDEX(PP_Grid[#Data],M_BOM[PPGridRow],73),0))+IFERROR(INDEX(M_RawMaterials[固定週次消費量_要入力],MATCH($A28,M_RawMaterials[Part Name],0)),0)</f>
        <v/>
      </c>
      <c r="BV28">
        <f>SUMPRODUCT((M_BOM[Part Name]=$A28)*M_BOM[RM_Qty_Per_Batch]*IFERROR(INDEX(PP_Grid[#Data],M_BOM[PPGridRow],74),0))+IFERROR(INDEX(M_RawMaterials[固定週次消費量_要入力],MATCH($A28,M_RawMaterials[Part Name],0)),0)</f>
        <v/>
      </c>
      <c r="BW28">
        <f>SUMPRODUCT((M_BOM[Part Name]=$A28)*M_BOM[RM_Qty_Per_Batch]*IFERROR(INDEX(PP_Grid[#Data],M_BOM[PPGridRow],75),0))+IFERROR(INDEX(M_RawMaterials[固定週次消費量_要入力],MATCH($A28,M_RawMaterials[Part Name],0)),0)</f>
        <v/>
      </c>
      <c r="BX28">
        <f>SUMPRODUCT((M_BOM[Part Name]=$A28)*M_BOM[RM_Qty_Per_Batch]*IFERROR(INDEX(PP_Grid[#Data],M_BOM[PPGridRow],76),0))+IFERROR(INDEX(M_RawMaterials[固定週次消費量_要入力],MATCH($A28,M_RawMaterials[Part Name],0)),0)</f>
        <v/>
      </c>
      <c r="BY28">
        <f>SUMPRODUCT((M_BOM[Part Name]=$A28)*M_BOM[RM_Qty_Per_Batch]*IFERROR(INDEX(PP_Grid[#Data],M_BOM[PPGridRow],77),0))+IFERROR(INDEX(M_RawMaterials[固定週次消費量_要入力],MATCH($A28,M_RawMaterials[Part Name],0)),0)</f>
        <v/>
      </c>
      <c r="BZ28">
        <f>SUMPRODUCT((M_BOM[Part Name]=$A28)*M_BOM[RM_Qty_Per_Batch]*IFERROR(INDEX(PP_Grid[#Data],M_BOM[PPGridRow],78),0))+IFERROR(INDEX(M_RawMaterials[固定週次消費量_要入力],MATCH($A28,M_RawMaterials[Part Name],0)),0)</f>
        <v/>
      </c>
      <c r="CA28">
        <f>SUMPRODUCT((M_BOM[Part Name]=$A28)*M_BOM[RM_Qty_Per_Batch]*IFERROR(INDEX(PP_Grid[#Data],M_BOM[PPGridRow],79),0))+IFERROR(INDEX(M_RawMaterials[固定週次消費量_要入力],MATCH($A28,M_RawMaterials[Part Name],0)),0)</f>
        <v/>
      </c>
      <c r="CB28">
        <f>SUMPRODUCT((M_BOM[Part Name]=$A28)*M_BOM[RM_Qty_Per_Batch]*IFERROR(INDEX(PP_Grid[#Data],M_BOM[PPGridRow],80),0))+IFERROR(INDEX(M_RawMaterials[固定週次消費量_要入力],MATCH($A28,M_RawMaterials[Part Name],0)),0)</f>
        <v/>
      </c>
      <c r="CC28">
        <f>SUMPRODUCT((M_BOM[Part Name]=$A28)*M_BOM[RM_Qty_Per_Batch]*IFERROR(INDEX(PP_Grid[#Data],M_BOM[PPGridRow],81),0))+IFERROR(INDEX(M_RawMaterials[固定週次消費量_要入力],MATCH($A28,M_RawMaterials[Part Name],0)),0)</f>
        <v/>
      </c>
      <c r="CD28">
        <f>SUMPRODUCT((M_BOM[Part Name]=$A28)*M_BOM[RM_Qty_Per_Batch]*IFERROR(INDEX(PP_Grid[#Data],M_BOM[PPGridRow],82),0))+IFERROR(INDEX(M_RawMaterials[固定週次消費量_要入力],MATCH($A28,M_RawMaterials[Part Name],0)),0)</f>
        <v/>
      </c>
      <c r="CE28">
        <f>SUMPRODUCT((M_BOM[Part Name]=$A28)*M_BOM[RM_Qty_Per_Batch]*IFERROR(INDEX(PP_Grid[#Data],M_BOM[PPGridRow],83),0))+IFERROR(INDEX(M_RawMaterials[固定週次消費量_要入力],MATCH($A28,M_RawMaterials[Part Name],0)),0)</f>
        <v/>
      </c>
      <c r="CF28">
        <f>SUMPRODUCT((M_BOM[Part Name]=$A28)*M_BOM[RM_Qty_Per_Batch]*IFERROR(INDEX(PP_Grid[#Data],M_BOM[PPGridRow],84),0))+IFERROR(INDEX(M_RawMaterials[固定週次消費量_要入力],MATCH($A28,M_RawMaterials[Part Name],0)),0)</f>
        <v/>
      </c>
      <c r="CG28">
        <f>SUMPRODUCT((M_BOM[Part Name]=$A28)*M_BOM[RM_Qty_Per_Batch]*IFERROR(INDEX(PP_Grid[#Data],M_BOM[PPGridRow],85),0))+IFERROR(INDEX(M_RawMaterials[固定週次消費量_要入力],MATCH($A28,M_RawMaterials[Part Name],0)),0)</f>
        <v/>
      </c>
      <c r="CH28">
        <f>SUMPRODUCT((M_BOM[Part Name]=$A28)*M_BOM[RM_Qty_Per_Batch]*IFERROR(INDEX(PP_Grid[#Data],M_BOM[PPGridRow],86),0))+IFERROR(INDEX(M_RawMaterials[固定週次消費量_要入力],MATCH($A28,M_RawMaterials[Part Name],0)),0)</f>
        <v/>
      </c>
      <c r="CI28">
        <f>SUMPRODUCT((M_BOM[Part Name]=$A28)*M_BOM[RM_Qty_Per_Batch]*IFERROR(INDEX(PP_Grid[#Data],M_BOM[PPGridRow],87),0))+IFERROR(INDEX(M_RawMaterials[固定週次消費量_要入力],MATCH($A28,M_RawMaterials[Part Name],0)),0)</f>
        <v/>
      </c>
      <c r="CJ28">
        <f>SUMPRODUCT((M_BOM[Part Name]=$A28)*M_BOM[RM_Qty_Per_Batch]*IFERROR(INDEX(PP_Grid[#Data],M_BOM[PPGridRow],88),0))+IFERROR(INDEX(M_RawMaterials[固定週次消費量_要入力],MATCH($A28,M_RawMaterials[Part Name],0)),0)</f>
        <v/>
      </c>
      <c r="CK28">
        <f>SUMPRODUCT((M_BOM[Part Name]=$A28)*M_BOM[RM_Qty_Per_Batch]*IFERROR(INDEX(PP_Grid[#Data],M_BOM[PPGridRow],89),0))+IFERROR(INDEX(M_RawMaterials[固定週次消費量_要入力],MATCH($A28,M_RawMaterials[Part Name],0)),0)</f>
        <v/>
      </c>
      <c r="CL28">
        <f>SUMPRODUCT((M_BOM[Part Name]=$A28)*M_BOM[RM_Qty_Per_Batch]*IFERROR(INDEX(PP_Grid[#Data],M_BOM[PPGridRow],90),0))+IFERROR(INDEX(M_RawMaterials[固定週次消費量_要入力],MATCH($A28,M_RawMaterials[Part Name],0)),0)</f>
        <v/>
      </c>
      <c r="CM28">
        <f>SUMPRODUCT((M_BOM[Part Name]=$A28)*M_BOM[RM_Qty_Per_Batch]*IFERROR(INDEX(PP_Grid[#Data],M_BOM[PPGridRow],91),0))+IFERROR(INDEX(M_RawMaterials[固定週次消費量_要入力],MATCH($A28,M_RawMaterials[Part Name],0)),0)</f>
        <v/>
      </c>
      <c r="CN28">
        <f>SUMPRODUCT((M_BOM[Part Name]=$A28)*M_BOM[RM_Qty_Per_Batch]*IFERROR(INDEX(PP_Grid[#Data],M_BOM[PPGridRow],92),0))+IFERROR(INDEX(M_RawMaterials[固定週次消費量_要入力],MATCH($A28,M_RawMaterials[Part Name],0)),0)</f>
        <v/>
      </c>
      <c r="CO28">
        <f>SUMPRODUCT((M_BOM[Part Name]=$A28)*M_BOM[RM_Qty_Per_Batch]*IFERROR(INDEX(PP_Grid[#Data],M_BOM[PPGridRow],93),0))+IFERROR(INDEX(M_RawMaterials[固定週次消費量_要入力],MATCH($A28,M_RawMaterials[Part Name],0)),0)</f>
        <v/>
      </c>
      <c r="CP28">
        <f>SUMPRODUCT((M_BOM[Part Name]=$A28)*M_BOM[RM_Qty_Per_Batch]*IFERROR(INDEX(PP_Grid[#Data],M_BOM[PPGridRow],94),0))+IFERROR(INDEX(M_RawMaterials[固定週次消費量_要入力],MATCH($A28,M_RawMaterials[Part Name],0)),0)</f>
        <v/>
      </c>
      <c r="CQ28">
        <f>SUMPRODUCT((M_BOM[Part Name]=$A28)*M_BOM[RM_Qty_Per_Batch]*IFERROR(INDEX(PP_Grid[#Data],M_BOM[PPGridRow],95),0))+IFERROR(INDEX(M_RawMaterials[固定週次消費量_要入力],MATCH($A28,M_RawMaterials[Part Name],0)),0)</f>
        <v/>
      </c>
      <c r="CR28">
        <f>SUMPRODUCT((M_BOM[Part Name]=$A28)*M_BOM[RM_Qty_Per_Batch]*IFERROR(INDEX(PP_Grid[#Data],M_BOM[PPGridRow],96),0))+IFERROR(INDEX(M_RawMaterials[固定週次消費量_要入力],MATCH($A28,M_RawMaterials[Part Name],0)),0)</f>
        <v/>
      </c>
      <c r="CS28">
        <f>SUMPRODUCT((M_BOM[Part Name]=$A28)*M_BOM[RM_Qty_Per_Batch]*IFERROR(INDEX(PP_Grid[#Data],M_BOM[PPGridRow],97),0))+IFERROR(INDEX(M_RawMaterials[固定週次消費量_要入力],MATCH($A28,M_RawMaterials[Part Name],0)),0)</f>
        <v/>
      </c>
      <c r="CT28">
        <f>SUMPRODUCT((M_BOM[Part Name]=$A28)*M_BOM[RM_Qty_Per_Batch]*IFERROR(INDEX(PP_Grid[#Data],M_BOM[PPGridRow],98),0))+IFERROR(INDEX(M_RawMaterials[固定週次消費量_要入力],MATCH($A28,M_RawMaterials[Part Name],0)),0)</f>
        <v/>
      </c>
      <c r="CU28">
        <f>SUMPRODUCT((M_BOM[Part Name]=$A28)*M_BOM[RM_Qty_Per_Batch]*IFERROR(INDEX(PP_Grid[#Data],M_BOM[PPGridRow],99),0))+IFERROR(INDEX(M_RawMaterials[固定週次消費量_要入力],MATCH($A28,M_RawMaterials[Part Name],0)),0)</f>
        <v/>
      </c>
      <c r="CV28">
        <f>SUMPRODUCT((M_BOM[Part Name]=$A28)*M_BOM[RM_Qty_Per_Batch]*IFERROR(INDEX(PP_Grid[#Data],M_BOM[PPGridRow],100),0))+IFERROR(INDEX(M_RawMaterials[固定週次消費量_要入力],MATCH($A28,M_RawMaterials[Part Name],0)),0)</f>
        <v/>
      </c>
      <c r="CW28">
        <f>SUMPRODUCT((M_BOM[Part Name]=$A28)*M_BOM[RM_Qty_Per_Batch]*IFERROR(INDEX(PP_Grid[#Data],M_BOM[PPGridRow],101),0))+IFERROR(INDEX(M_RawMaterials[固定週次消費量_要入力],MATCH($A28,M_RawMaterials[Part Name],0)),0)</f>
        <v/>
      </c>
      <c r="CX28">
        <f>SUMPRODUCT((M_BOM[Part Name]=$A28)*M_BOM[RM_Qty_Per_Batch]*IFERROR(INDEX(PP_Grid[#Data],M_BOM[PPGridRow],102),0))+IFERROR(INDEX(M_RawMaterials[固定週次消費量_要入力],MATCH($A28,M_RawMaterials[Part Name],0)),0)</f>
        <v/>
      </c>
      <c r="CY28">
        <f>SUMPRODUCT((M_BOM[Part Name]=$A28)*M_BOM[RM_Qty_Per_Batch]*IFERROR(INDEX(PP_Grid[#Data],M_BOM[PPGridRow],103),0))+IFERROR(INDEX(M_RawMaterials[固定週次消費量_要入力],MATCH($A28,M_RawMaterials[Part Name],0)),0)</f>
        <v/>
      </c>
      <c r="CZ28">
        <f>SUMPRODUCT((M_BOM[Part Name]=$A28)*M_BOM[RM_Qty_Per_Batch]*IFERROR(INDEX(PP_Grid[#Data],M_BOM[PPGridRow],104),0))+IFERROR(INDEX(M_RawMaterials[固定週次消費量_要入力],MATCH($A28,M_RawMaterials[Part Name],0)),0)</f>
        <v/>
      </c>
      <c r="DA28">
        <f>SUMPRODUCT((M_BOM[Part Name]=$A28)*M_BOM[RM_Qty_Per_Batch]*IFERROR(INDEX(PP_Grid[#Data],M_BOM[PPGridRow],105),0))+IFERROR(INDEX(M_RawMaterials[固定週次消費量_要入力],MATCH($A28,M_RawMaterials[Part Name],0)),0)</f>
        <v/>
      </c>
    </row>
    <row r="29">
      <c r="A29" t="inlineStr">
        <is>
          <t>CHEM-1120</t>
        </is>
      </c>
      <c r="B29">
        <f>SUMPRODUCT((M_BOM[Part Name]=$A29)*M_BOM[RM_Qty_Per_Batch]*IFERROR(INDEX(PP_Grid[#Data],M_BOM[PPGridRow],2),0))+IFERROR(INDEX(M_RawMaterials[固定週次消費量_要入力],MATCH($A29,M_RawMaterials[Part Name],0)),0)</f>
        <v/>
      </c>
      <c r="C29">
        <f>SUMPRODUCT((M_BOM[Part Name]=$A29)*M_BOM[RM_Qty_Per_Batch]*IFERROR(INDEX(PP_Grid[#Data],M_BOM[PPGridRow],3),0))+IFERROR(INDEX(M_RawMaterials[固定週次消費量_要入力],MATCH($A29,M_RawMaterials[Part Name],0)),0)</f>
        <v/>
      </c>
      <c r="D29">
        <f>SUMPRODUCT((M_BOM[Part Name]=$A29)*M_BOM[RM_Qty_Per_Batch]*IFERROR(INDEX(PP_Grid[#Data],M_BOM[PPGridRow],4),0))+IFERROR(INDEX(M_RawMaterials[固定週次消費量_要入力],MATCH($A29,M_RawMaterials[Part Name],0)),0)</f>
        <v/>
      </c>
      <c r="E29">
        <f>SUMPRODUCT((M_BOM[Part Name]=$A29)*M_BOM[RM_Qty_Per_Batch]*IFERROR(INDEX(PP_Grid[#Data],M_BOM[PPGridRow],5),0))+IFERROR(INDEX(M_RawMaterials[固定週次消費量_要入力],MATCH($A29,M_RawMaterials[Part Name],0)),0)</f>
        <v/>
      </c>
      <c r="F29">
        <f>SUMPRODUCT((M_BOM[Part Name]=$A29)*M_BOM[RM_Qty_Per_Batch]*IFERROR(INDEX(PP_Grid[#Data],M_BOM[PPGridRow],6),0))+IFERROR(INDEX(M_RawMaterials[固定週次消費量_要入力],MATCH($A29,M_RawMaterials[Part Name],0)),0)</f>
        <v/>
      </c>
      <c r="G29">
        <f>SUMPRODUCT((M_BOM[Part Name]=$A29)*M_BOM[RM_Qty_Per_Batch]*IFERROR(INDEX(PP_Grid[#Data],M_BOM[PPGridRow],7),0))+IFERROR(INDEX(M_RawMaterials[固定週次消費量_要入力],MATCH($A29,M_RawMaterials[Part Name],0)),0)</f>
        <v/>
      </c>
      <c r="H29">
        <f>SUMPRODUCT((M_BOM[Part Name]=$A29)*M_BOM[RM_Qty_Per_Batch]*IFERROR(INDEX(PP_Grid[#Data],M_BOM[PPGridRow],8),0))+IFERROR(INDEX(M_RawMaterials[固定週次消費量_要入力],MATCH($A29,M_RawMaterials[Part Name],0)),0)</f>
        <v/>
      </c>
      <c r="I29">
        <f>SUMPRODUCT((M_BOM[Part Name]=$A29)*M_BOM[RM_Qty_Per_Batch]*IFERROR(INDEX(PP_Grid[#Data],M_BOM[PPGridRow],9),0))+IFERROR(INDEX(M_RawMaterials[固定週次消費量_要入力],MATCH($A29,M_RawMaterials[Part Name],0)),0)</f>
        <v/>
      </c>
      <c r="J29">
        <f>SUMPRODUCT((M_BOM[Part Name]=$A29)*M_BOM[RM_Qty_Per_Batch]*IFERROR(INDEX(PP_Grid[#Data],M_BOM[PPGridRow],10),0))+IFERROR(INDEX(M_RawMaterials[固定週次消費量_要入力],MATCH($A29,M_RawMaterials[Part Name],0)),0)</f>
        <v/>
      </c>
      <c r="K29">
        <f>SUMPRODUCT((M_BOM[Part Name]=$A29)*M_BOM[RM_Qty_Per_Batch]*IFERROR(INDEX(PP_Grid[#Data],M_BOM[PPGridRow],11),0))+IFERROR(INDEX(M_RawMaterials[固定週次消費量_要入力],MATCH($A29,M_RawMaterials[Part Name],0)),0)</f>
        <v/>
      </c>
      <c r="L29">
        <f>SUMPRODUCT((M_BOM[Part Name]=$A29)*M_BOM[RM_Qty_Per_Batch]*IFERROR(INDEX(PP_Grid[#Data],M_BOM[PPGridRow],12),0))+IFERROR(INDEX(M_RawMaterials[固定週次消費量_要入力],MATCH($A29,M_RawMaterials[Part Name],0)),0)</f>
        <v/>
      </c>
      <c r="M29">
        <f>SUMPRODUCT((M_BOM[Part Name]=$A29)*M_BOM[RM_Qty_Per_Batch]*IFERROR(INDEX(PP_Grid[#Data],M_BOM[PPGridRow],13),0))+IFERROR(INDEX(M_RawMaterials[固定週次消費量_要入力],MATCH($A29,M_RawMaterials[Part Name],0)),0)</f>
        <v/>
      </c>
      <c r="N29">
        <f>SUMPRODUCT((M_BOM[Part Name]=$A29)*M_BOM[RM_Qty_Per_Batch]*IFERROR(INDEX(PP_Grid[#Data],M_BOM[PPGridRow],14),0))+IFERROR(INDEX(M_RawMaterials[固定週次消費量_要入力],MATCH($A29,M_RawMaterials[Part Name],0)),0)</f>
        <v/>
      </c>
      <c r="O29">
        <f>SUMPRODUCT((M_BOM[Part Name]=$A29)*M_BOM[RM_Qty_Per_Batch]*IFERROR(INDEX(PP_Grid[#Data],M_BOM[PPGridRow],15),0))+IFERROR(INDEX(M_RawMaterials[固定週次消費量_要入力],MATCH($A29,M_RawMaterials[Part Name],0)),0)</f>
        <v/>
      </c>
      <c r="P29">
        <f>SUMPRODUCT((M_BOM[Part Name]=$A29)*M_BOM[RM_Qty_Per_Batch]*IFERROR(INDEX(PP_Grid[#Data],M_BOM[PPGridRow],16),0))+IFERROR(INDEX(M_RawMaterials[固定週次消費量_要入力],MATCH($A29,M_RawMaterials[Part Name],0)),0)</f>
        <v/>
      </c>
      <c r="Q29">
        <f>SUMPRODUCT((M_BOM[Part Name]=$A29)*M_BOM[RM_Qty_Per_Batch]*IFERROR(INDEX(PP_Grid[#Data],M_BOM[PPGridRow],17),0))+IFERROR(INDEX(M_RawMaterials[固定週次消費量_要入力],MATCH($A29,M_RawMaterials[Part Name],0)),0)</f>
        <v/>
      </c>
      <c r="R29">
        <f>SUMPRODUCT((M_BOM[Part Name]=$A29)*M_BOM[RM_Qty_Per_Batch]*IFERROR(INDEX(PP_Grid[#Data],M_BOM[PPGridRow],18),0))+IFERROR(INDEX(M_RawMaterials[固定週次消費量_要入力],MATCH($A29,M_RawMaterials[Part Name],0)),0)</f>
        <v/>
      </c>
      <c r="S29">
        <f>SUMPRODUCT((M_BOM[Part Name]=$A29)*M_BOM[RM_Qty_Per_Batch]*IFERROR(INDEX(PP_Grid[#Data],M_BOM[PPGridRow],19),0))+IFERROR(INDEX(M_RawMaterials[固定週次消費量_要入力],MATCH($A29,M_RawMaterials[Part Name],0)),0)</f>
        <v/>
      </c>
      <c r="T29">
        <f>SUMPRODUCT((M_BOM[Part Name]=$A29)*M_BOM[RM_Qty_Per_Batch]*IFERROR(INDEX(PP_Grid[#Data],M_BOM[PPGridRow],20),0))+IFERROR(INDEX(M_RawMaterials[固定週次消費量_要入力],MATCH($A29,M_RawMaterials[Part Name],0)),0)</f>
        <v/>
      </c>
      <c r="U29">
        <f>SUMPRODUCT((M_BOM[Part Name]=$A29)*M_BOM[RM_Qty_Per_Batch]*IFERROR(INDEX(PP_Grid[#Data],M_BOM[PPGridRow],21),0))+IFERROR(INDEX(M_RawMaterials[固定週次消費量_要入力],MATCH($A29,M_RawMaterials[Part Name],0)),0)</f>
        <v/>
      </c>
      <c r="V29">
        <f>SUMPRODUCT((M_BOM[Part Name]=$A29)*M_BOM[RM_Qty_Per_Batch]*IFERROR(INDEX(PP_Grid[#Data],M_BOM[PPGridRow],22),0))+IFERROR(INDEX(M_RawMaterials[固定週次消費量_要入力],MATCH($A29,M_RawMaterials[Part Name],0)),0)</f>
        <v/>
      </c>
      <c r="W29">
        <f>SUMPRODUCT((M_BOM[Part Name]=$A29)*M_BOM[RM_Qty_Per_Batch]*IFERROR(INDEX(PP_Grid[#Data],M_BOM[PPGridRow],23),0))+IFERROR(INDEX(M_RawMaterials[固定週次消費量_要入力],MATCH($A29,M_RawMaterials[Part Name],0)),0)</f>
        <v/>
      </c>
      <c r="X29">
        <f>SUMPRODUCT((M_BOM[Part Name]=$A29)*M_BOM[RM_Qty_Per_Batch]*IFERROR(INDEX(PP_Grid[#Data],M_BOM[PPGridRow],24),0))+IFERROR(INDEX(M_RawMaterials[固定週次消費量_要入力],MATCH($A29,M_RawMaterials[Part Name],0)),0)</f>
        <v/>
      </c>
      <c r="Y29">
        <f>SUMPRODUCT((M_BOM[Part Name]=$A29)*M_BOM[RM_Qty_Per_Batch]*IFERROR(INDEX(PP_Grid[#Data],M_BOM[PPGridRow],25),0))+IFERROR(INDEX(M_RawMaterials[固定週次消費量_要入力],MATCH($A29,M_RawMaterials[Part Name],0)),0)</f>
        <v/>
      </c>
      <c r="Z29">
        <f>SUMPRODUCT((M_BOM[Part Name]=$A29)*M_BOM[RM_Qty_Per_Batch]*IFERROR(INDEX(PP_Grid[#Data],M_BOM[PPGridRow],26),0))+IFERROR(INDEX(M_RawMaterials[固定週次消費量_要入力],MATCH($A29,M_RawMaterials[Part Name],0)),0)</f>
        <v/>
      </c>
      <c r="AA29">
        <f>SUMPRODUCT((M_BOM[Part Name]=$A29)*M_BOM[RM_Qty_Per_Batch]*IFERROR(INDEX(PP_Grid[#Data],M_BOM[PPGridRow],27),0))+IFERROR(INDEX(M_RawMaterials[固定週次消費量_要入力],MATCH($A29,M_RawMaterials[Part Name],0)),0)</f>
        <v/>
      </c>
      <c r="AB29">
        <f>SUMPRODUCT((M_BOM[Part Name]=$A29)*M_BOM[RM_Qty_Per_Batch]*IFERROR(INDEX(PP_Grid[#Data],M_BOM[PPGridRow],28),0))+IFERROR(INDEX(M_RawMaterials[固定週次消費量_要入力],MATCH($A29,M_RawMaterials[Part Name],0)),0)</f>
        <v/>
      </c>
      <c r="AC29">
        <f>SUMPRODUCT((M_BOM[Part Name]=$A29)*M_BOM[RM_Qty_Per_Batch]*IFERROR(INDEX(PP_Grid[#Data],M_BOM[PPGridRow],29),0))+IFERROR(INDEX(M_RawMaterials[固定週次消費量_要入力],MATCH($A29,M_RawMaterials[Part Name],0)),0)</f>
        <v/>
      </c>
      <c r="AD29">
        <f>SUMPRODUCT((M_BOM[Part Name]=$A29)*M_BOM[RM_Qty_Per_Batch]*IFERROR(INDEX(PP_Grid[#Data],M_BOM[PPGridRow],30),0))+IFERROR(INDEX(M_RawMaterials[固定週次消費量_要入力],MATCH($A29,M_RawMaterials[Part Name],0)),0)</f>
        <v/>
      </c>
      <c r="AE29">
        <f>SUMPRODUCT((M_BOM[Part Name]=$A29)*M_BOM[RM_Qty_Per_Batch]*IFERROR(INDEX(PP_Grid[#Data],M_BOM[PPGridRow],31),0))+IFERROR(INDEX(M_RawMaterials[固定週次消費量_要入力],MATCH($A29,M_RawMaterials[Part Name],0)),0)</f>
        <v/>
      </c>
      <c r="AF29">
        <f>SUMPRODUCT((M_BOM[Part Name]=$A29)*M_BOM[RM_Qty_Per_Batch]*IFERROR(INDEX(PP_Grid[#Data],M_BOM[PPGridRow],32),0))+IFERROR(INDEX(M_RawMaterials[固定週次消費量_要入力],MATCH($A29,M_RawMaterials[Part Name],0)),0)</f>
        <v/>
      </c>
      <c r="AG29">
        <f>SUMPRODUCT((M_BOM[Part Name]=$A29)*M_BOM[RM_Qty_Per_Batch]*IFERROR(INDEX(PP_Grid[#Data],M_BOM[PPGridRow],33),0))+IFERROR(INDEX(M_RawMaterials[固定週次消費量_要入力],MATCH($A29,M_RawMaterials[Part Name],0)),0)</f>
        <v/>
      </c>
      <c r="AH29">
        <f>SUMPRODUCT((M_BOM[Part Name]=$A29)*M_BOM[RM_Qty_Per_Batch]*IFERROR(INDEX(PP_Grid[#Data],M_BOM[PPGridRow],34),0))+IFERROR(INDEX(M_RawMaterials[固定週次消費量_要入力],MATCH($A29,M_RawMaterials[Part Name],0)),0)</f>
        <v/>
      </c>
      <c r="AI29">
        <f>SUMPRODUCT((M_BOM[Part Name]=$A29)*M_BOM[RM_Qty_Per_Batch]*IFERROR(INDEX(PP_Grid[#Data],M_BOM[PPGridRow],35),0))+IFERROR(INDEX(M_RawMaterials[固定週次消費量_要入力],MATCH($A29,M_RawMaterials[Part Name],0)),0)</f>
        <v/>
      </c>
      <c r="AJ29">
        <f>SUMPRODUCT((M_BOM[Part Name]=$A29)*M_BOM[RM_Qty_Per_Batch]*IFERROR(INDEX(PP_Grid[#Data],M_BOM[PPGridRow],36),0))+IFERROR(INDEX(M_RawMaterials[固定週次消費量_要入力],MATCH($A29,M_RawMaterials[Part Name],0)),0)</f>
        <v/>
      </c>
      <c r="AK29">
        <f>SUMPRODUCT((M_BOM[Part Name]=$A29)*M_BOM[RM_Qty_Per_Batch]*IFERROR(INDEX(PP_Grid[#Data],M_BOM[PPGridRow],37),0))+IFERROR(INDEX(M_RawMaterials[固定週次消費量_要入力],MATCH($A29,M_RawMaterials[Part Name],0)),0)</f>
        <v/>
      </c>
      <c r="AL29">
        <f>SUMPRODUCT((M_BOM[Part Name]=$A29)*M_BOM[RM_Qty_Per_Batch]*IFERROR(INDEX(PP_Grid[#Data],M_BOM[PPGridRow],38),0))+IFERROR(INDEX(M_RawMaterials[固定週次消費量_要入力],MATCH($A29,M_RawMaterials[Part Name],0)),0)</f>
        <v/>
      </c>
      <c r="AM29">
        <f>SUMPRODUCT((M_BOM[Part Name]=$A29)*M_BOM[RM_Qty_Per_Batch]*IFERROR(INDEX(PP_Grid[#Data],M_BOM[PPGridRow],39),0))+IFERROR(INDEX(M_RawMaterials[固定週次消費量_要入力],MATCH($A29,M_RawMaterials[Part Name],0)),0)</f>
        <v/>
      </c>
      <c r="AN29">
        <f>SUMPRODUCT((M_BOM[Part Name]=$A29)*M_BOM[RM_Qty_Per_Batch]*IFERROR(INDEX(PP_Grid[#Data],M_BOM[PPGridRow],40),0))+IFERROR(INDEX(M_RawMaterials[固定週次消費量_要入力],MATCH($A29,M_RawMaterials[Part Name],0)),0)</f>
        <v/>
      </c>
      <c r="AO29">
        <f>SUMPRODUCT((M_BOM[Part Name]=$A29)*M_BOM[RM_Qty_Per_Batch]*IFERROR(INDEX(PP_Grid[#Data],M_BOM[PPGridRow],41),0))+IFERROR(INDEX(M_RawMaterials[固定週次消費量_要入力],MATCH($A29,M_RawMaterials[Part Name],0)),0)</f>
        <v/>
      </c>
      <c r="AP29">
        <f>SUMPRODUCT((M_BOM[Part Name]=$A29)*M_BOM[RM_Qty_Per_Batch]*IFERROR(INDEX(PP_Grid[#Data],M_BOM[PPGridRow],42),0))+IFERROR(INDEX(M_RawMaterials[固定週次消費量_要入力],MATCH($A29,M_RawMaterials[Part Name],0)),0)</f>
        <v/>
      </c>
      <c r="AQ29">
        <f>SUMPRODUCT((M_BOM[Part Name]=$A29)*M_BOM[RM_Qty_Per_Batch]*IFERROR(INDEX(PP_Grid[#Data],M_BOM[PPGridRow],43),0))+IFERROR(INDEX(M_RawMaterials[固定週次消費量_要入力],MATCH($A29,M_RawMaterials[Part Name],0)),0)</f>
        <v/>
      </c>
      <c r="AR29">
        <f>SUMPRODUCT((M_BOM[Part Name]=$A29)*M_BOM[RM_Qty_Per_Batch]*IFERROR(INDEX(PP_Grid[#Data],M_BOM[PPGridRow],44),0))+IFERROR(INDEX(M_RawMaterials[固定週次消費量_要入力],MATCH($A29,M_RawMaterials[Part Name],0)),0)</f>
        <v/>
      </c>
      <c r="AS29">
        <f>SUMPRODUCT((M_BOM[Part Name]=$A29)*M_BOM[RM_Qty_Per_Batch]*IFERROR(INDEX(PP_Grid[#Data],M_BOM[PPGridRow],45),0))+IFERROR(INDEX(M_RawMaterials[固定週次消費量_要入力],MATCH($A29,M_RawMaterials[Part Name],0)),0)</f>
        <v/>
      </c>
      <c r="AT29">
        <f>SUMPRODUCT((M_BOM[Part Name]=$A29)*M_BOM[RM_Qty_Per_Batch]*IFERROR(INDEX(PP_Grid[#Data],M_BOM[PPGridRow],46),0))+IFERROR(INDEX(M_RawMaterials[固定週次消費量_要入力],MATCH($A29,M_RawMaterials[Part Name],0)),0)</f>
        <v/>
      </c>
      <c r="AU29">
        <f>SUMPRODUCT((M_BOM[Part Name]=$A29)*M_BOM[RM_Qty_Per_Batch]*IFERROR(INDEX(PP_Grid[#Data],M_BOM[PPGridRow],47),0))+IFERROR(INDEX(M_RawMaterials[固定週次消費量_要入力],MATCH($A29,M_RawMaterials[Part Name],0)),0)</f>
        <v/>
      </c>
      <c r="AV29">
        <f>SUMPRODUCT((M_BOM[Part Name]=$A29)*M_BOM[RM_Qty_Per_Batch]*IFERROR(INDEX(PP_Grid[#Data],M_BOM[PPGridRow],48),0))+IFERROR(INDEX(M_RawMaterials[固定週次消費量_要入力],MATCH($A29,M_RawMaterials[Part Name],0)),0)</f>
        <v/>
      </c>
      <c r="AW29">
        <f>SUMPRODUCT((M_BOM[Part Name]=$A29)*M_BOM[RM_Qty_Per_Batch]*IFERROR(INDEX(PP_Grid[#Data],M_BOM[PPGridRow],49),0))+IFERROR(INDEX(M_RawMaterials[固定週次消費量_要入力],MATCH($A29,M_RawMaterials[Part Name],0)),0)</f>
        <v/>
      </c>
      <c r="AX29">
        <f>SUMPRODUCT((M_BOM[Part Name]=$A29)*M_BOM[RM_Qty_Per_Batch]*IFERROR(INDEX(PP_Grid[#Data],M_BOM[PPGridRow],50),0))+IFERROR(INDEX(M_RawMaterials[固定週次消費量_要入力],MATCH($A29,M_RawMaterials[Part Name],0)),0)</f>
        <v/>
      </c>
      <c r="AY29">
        <f>SUMPRODUCT((M_BOM[Part Name]=$A29)*M_BOM[RM_Qty_Per_Batch]*IFERROR(INDEX(PP_Grid[#Data],M_BOM[PPGridRow],51),0))+IFERROR(INDEX(M_RawMaterials[固定週次消費量_要入力],MATCH($A29,M_RawMaterials[Part Name],0)),0)</f>
        <v/>
      </c>
      <c r="AZ29">
        <f>SUMPRODUCT((M_BOM[Part Name]=$A29)*M_BOM[RM_Qty_Per_Batch]*IFERROR(INDEX(PP_Grid[#Data],M_BOM[PPGridRow],52),0))+IFERROR(INDEX(M_RawMaterials[固定週次消費量_要入力],MATCH($A29,M_RawMaterials[Part Name],0)),0)</f>
        <v/>
      </c>
      <c r="BA29">
        <f>SUMPRODUCT((M_BOM[Part Name]=$A29)*M_BOM[RM_Qty_Per_Batch]*IFERROR(INDEX(PP_Grid[#Data],M_BOM[PPGridRow],53),0))+IFERROR(INDEX(M_RawMaterials[固定週次消費量_要入力],MATCH($A29,M_RawMaterials[Part Name],0)),0)</f>
        <v/>
      </c>
      <c r="BB29">
        <f>SUMPRODUCT((M_BOM[Part Name]=$A29)*M_BOM[RM_Qty_Per_Batch]*IFERROR(INDEX(PP_Grid[#Data],M_BOM[PPGridRow],54),0))+IFERROR(INDEX(M_RawMaterials[固定週次消費量_要入力],MATCH($A29,M_RawMaterials[Part Name],0)),0)</f>
        <v/>
      </c>
      <c r="BC29">
        <f>SUMPRODUCT((M_BOM[Part Name]=$A29)*M_BOM[RM_Qty_Per_Batch]*IFERROR(INDEX(PP_Grid[#Data],M_BOM[PPGridRow],55),0))+IFERROR(INDEX(M_RawMaterials[固定週次消費量_要入力],MATCH($A29,M_RawMaterials[Part Name],0)),0)</f>
        <v/>
      </c>
      <c r="BD29">
        <f>SUMPRODUCT((M_BOM[Part Name]=$A29)*M_BOM[RM_Qty_Per_Batch]*IFERROR(INDEX(PP_Grid[#Data],M_BOM[PPGridRow],56),0))+IFERROR(INDEX(M_RawMaterials[固定週次消費量_要入力],MATCH($A29,M_RawMaterials[Part Name],0)),0)</f>
        <v/>
      </c>
      <c r="BE29">
        <f>SUMPRODUCT((M_BOM[Part Name]=$A29)*M_BOM[RM_Qty_Per_Batch]*IFERROR(INDEX(PP_Grid[#Data],M_BOM[PPGridRow],57),0))+IFERROR(INDEX(M_RawMaterials[固定週次消費量_要入力],MATCH($A29,M_RawMaterials[Part Name],0)),0)</f>
        <v/>
      </c>
      <c r="BF29">
        <f>SUMPRODUCT((M_BOM[Part Name]=$A29)*M_BOM[RM_Qty_Per_Batch]*IFERROR(INDEX(PP_Grid[#Data],M_BOM[PPGridRow],58),0))+IFERROR(INDEX(M_RawMaterials[固定週次消費量_要入力],MATCH($A29,M_RawMaterials[Part Name],0)),0)</f>
        <v/>
      </c>
      <c r="BG29">
        <f>SUMPRODUCT((M_BOM[Part Name]=$A29)*M_BOM[RM_Qty_Per_Batch]*IFERROR(INDEX(PP_Grid[#Data],M_BOM[PPGridRow],59),0))+IFERROR(INDEX(M_RawMaterials[固定週次消費量_要入力],MATCH($A29,M_RawMaterials[Part Name],0)),0)</f>
        <v/>
      </c>
      <c r="BH29">
        <f>SUMPRODUCT((M_BOM[Part Name]=$A29)*M_BOM[RM_Qty_Per_Batch]*IFERROR(INDEX(PP_Grid[#Data],M_BOM[PPGridRow],60),0))+IFERROR(INDEX(M_RawMaterials[固定週次消費量_要入力],MATCH($A29,M_RawMaterials[Part Name],0)),0)</f>
        <v/>
      </c>
      <c r="BI29">
        <f>SUMPRODUCT((M_BOM[Part Name]=$A29)*M_BOM[RM_Qty_Per_Batch]*IFERROR(INDEX(PP_Grid[#Data],M_BOM[PPGridRow],61),0))+IFERROR(INDEX(M_RawMaterials[固定週次消費量_要入力],MATCH($A29,M_RawMaterials[Part Name],0)),0)</f>
        <v/>
      </c>
      <c r="BJ29">
        <f>SUMPRODUCT((M_BOM[Part Name]=$A29)*M_BOM[RM_Qty_Per_Batch]*IFERROR(INDEX(PP_Grid[#Data],M_BOM[PPGridRow],62),0))+IFERROR(INDEX(M_RawMaterials[固定週次消費量_要入力],MATCH($A29,M_RawMaterials[Part Name],0)),0)</f>
        <v/>
      </c>
      <c r="BK29">
        <f>SUMPRODUCT((M_BOM[Part Name]=$A29)*M_BOM[RM_Qty_Per_Batch]*IFERROR(INDEX(PP_Grid[#Data],M_BOM[PPGridRow],63),0))+IFERROR(INDEX(M_RawMaterials[固定週次消費量_要入力],MATCH($A29,M_RawMaterials[Part Name],0)),0)</f>
        <v/>
      </c>
      <c r="BL29">
        <f>SUMPRODUCT((M_BOM[Part Name]=$A29)*M_BOM[RM_Qty_Per_Batch]*IFERROR(INDEX(PP_Grid[#Data],M_BOM[PPGridRow],64),0))+IFERROR(INDEX(M_RawMaterials[固定週次消費量_要入力],MATCH($A29,M_RawMaterials[Part Name],0)),0)</f>
        <v/>
      </c>
      <c r="BM29">
        <f>SUMPRODUCT((M_BOM[Part Name]=$A29)*M_BOM[RM_Qty_Per_Batch]*IFERROR(INDEX(PP_Grid[#Data],M_BOM[PPGridRow],65),0))+IFERROR(INDEX(M_RawMaterials[固定週次消費量_要入力],MATCH($A29,M_RawMaterials[Part Name],0)),0)</f>
        <v/>
      </c>
      <c r="BN29">
        <f>SUMPRODUCT((M_BOM[Part Name]=$A29)*M_BOM[RM_Qty_Per_Batch]*IFERROR(INDEX(PP_Grid[#Data],M_BOM[PPGridRow],66),0))+IFERROR(INDEX(M_RawMaterials[固定週次消費量_要入力],MATCH($A29,M_RawMaterials[Part Name],0)),0)</f>
        <v/>
      </c>
      <c r="BO29">
        <f>SUMPRODUCT((M_BOM[Part Name]=$A29)*M_BOM[RM_Qty_Per_Batch]*IFERROR(INDEX(PP_Grid[#Data],M_BOM[PPGridRow],67),0))+IFERROR(INDEX(M_RawMaterials[固定週次消費量_要入力],MATCH($A29,M_RawMaterials[Part Name],0)),0)</f>
        <v/>
      </c>
      <c r="BP29">
        <f>SUMPRODUCT((M_BOM[Part Name]=$A29)*M_BOM[RM_Qty_Per_Batch]*IFERROR(INDEX(PP_Grid[#Data],M_BOM[PPGridRow],68),0))+IFERROR(INDEX(M_RawMaterials[固定週次消費量_要入力],MATCH($A29,M_RawMaterials[Part Name],0)),0)</f>
        <v/>
      </c>
      <c r="BQ29">
        <f>SUMPRODUCT((M_BOM[Part Name]=$A29)*M_BOM[RM_Qty_Per_Batch]*IFERROR(INDEX(PP_Grid[#Data],M_BOM[PPGridRow],69),0))+IFERROR(INDEX(M_RawMaterials[固定週次消費量_要入力],MATCH($A29,M_RawMaterials[Part Name],0)),0)</f>
        <v/>
      </c>
      <c r="BR29">
        <f>SUMPRODUCT((M_BOM[Part Name]=$A29)*M_BOM[RM_Qty_Per_Batch]*IFERROR(INDEX(PP_Grid[#Data],M_BOM[PPGridRow],70),0))+IFERROR(INDEX(M_RawMaterials[固定週次消費量_要入力],MATCH($A29,M_RawMaterials[Part Name],0)),0)</f>
        <v/>
      </c>
      <c r="BS29">
        <f>SUMPRODUCT((M_BOM[Part Name]=$A29)*M_BOM[RM_Qty_Per_Batch]*IFERROR(INDEX(PP_Grid[#Data],M_BOM[PPGridRow],71),0))+IFERROR(INDEX(M_RawMaterials[固定週次消費量_要入力],MATCH($A29,M_RawMaterials[Part Name],0)),0)</f>
        <v/>
      </c>
      <c r="BT29">
        <f>SUMPRODUCT((M_BOM[Part Name]=$A29)*M_BOM[RM_Qty_Per_Batch]*IFERROR(INDEX(PP_Grid[#Data],M_BOM[PPGridRow],72),0))+IFERROR(INDEX(M_RawMaterials[固定週次消費量_要入力],MATCH($A29,M_RawMaterials[Part Name],0)),0)</f>
        <v/>
      </c>
      <c r="BU29">
        <f>SUMPRODUCT((M_BOM[Part Name]=$A29)*M_BOM[RM_Qty_Per_Batch]*IFERROR(INDEX(PP_Grid[#Data],M_BOM[PPGridRow],73),0))+IFERROR(INDEX(M_RawMaterials[固定週次消費量_要入力],MATCH($A29,M_RawMaterials[Part Name],0)),0)</f>
        <v/>
      </c>
      <c r="BV29">
        <f>SUMPRODUCT((M_BOM[Part Name]=$A29)*M_BOM[RM_Qty_Per_Batch]*IFERROR(INDEX(PP_Grid[#Data],M_BOM[PPGridRow],74),0))+IFERROR(INDEX(M_RawMaterials[固定週次消費量_要入力],MATCH($A29,M_RawMaterials[Part Name],0)),0)</f>
        <v/>
      </c>
      <c r="BW29">
        <f>SUMPRODUCT((M_BOM[Part Name]=$A29)*M_BOM[RM_Qty_Per_Batch]*IFERROR(INDEX(PP_Grid[#Data],M_BOM[PPGridRow],75),0))+IFERROR(INDEX(M_RawMaterials[固定週次消費量_要入力],MATCH($A29,M_RawMaterials[Part Name],0)),0)</f>
        <v/>
      </c>
      <c r="BX29">
        <f>SUMPRODUCT((M_BOM[Part Name]=$A29)*M_BOM[RM_Qty_Per_Batch]*IFERROR(INDEX(PP_Grid[#Data],M_BOM[PPGridRow],76),0))+IFERROR(INDEX(M_RawMaterials[固定週次消費量_要入力],MATCH($A29,M_RawMaterials[Part Name],0)),0)</f>
        <v/>
      </c>
      <c r="BY29">
        <f>SUMPRODUCT((M_BOM[Part Name]=$A29)*M_BOM[RM_Qty_Per_Batch]*IFERROR(INDEX(PP_Grid[#Data],M_BOM[PPGridRow],77),0))+IFERROR(INDEX(M_RawMaterials[固定週次消費量_要入力],MATCH($A29,M_RawMaterials[Part Name],0)),0)</f>
        <v/>
      </c>
      <c r="BZ29">
        <f>SUMPRODUCT((M_BOM[Part Name]=$A29)*M_BOM[RM_Qty_Per_Batch]*IFERROR(INDEX(PP_Grid[#Data],M_BOM[PPGridRow],78),0))+IFERROR(INDEX(M_RawMaterials[固定週次消費量_要入力],MATCH($A29,M_RawMaterials[Part Name],0)),0)</f>
        <v/>
      </c>
      <c r="CA29">
        <f>SUMPRODUCT((M_BOM[Part Name]=$A29)*M_BOM[RM_Qty_Per_Batch]*IFERROR(INDEX(PP_Grid[#Data],M_BOM[PPGridRow],79),0))+IFERROR(INDEX(M_RawMaterials[固定週次消費量_要入力],MATCH($A29,M_RawMaterials[Part Name],0)),0)</f>
        <v/>
      </c>
      <c r="CB29">
        <f>SUMPRODUCT((M_BOM[Part Name]=$A29)*M_BOM[RM_Qty_Per_Batch]*IFERROR(INDEX(PP_Grid[#Data],M_BOM[PPGridRow],80),0))+IFERROR(INDEX(M_RawMaterials[固定週次消費量_要入力],MATCH($A29,M_RawMaterials[Part Name],0)),0)</f>
        <v/>
      </c>
      <c r="CC29">
        <f>SUMPRODUCT((M_BOM[Part Name]=$A29)*M_BOM[RM_Qty_Per_Batch]*IFERROR(INDEX(PP_Grid[#Data],M_BOM[PPGridRow],81),0))+IFERROR(INDEX(M_RawMaterials[固定週次消費量_要入力],MATCH($A29,M_RawMaterials[Part Name],0)),0)</f>
        <v/>
      </c>
      <c r="CD29">
        <f>SUMPRODUCT((M_BOM[Part Name]=$A29)*M_BOM[RM_Qty_Per_Batch]*IFERROR(INDEX(PP_Grid[#Data],M_BOM[PPGridRow],82),0))+IFERROR(INDEX(M_RawMaterials[固定週次消費量_要入力],MATCH($A29,M_RawMaterials[Part Name],0)),0)</f>
        <v/>
      </c>
      <c r="CE29">
        <f>SUMPRODUCT((M_BOM[Part Name]=$A29)*M_BOM[RM_Qty_Per_Batch]*IFERROR(INDEX(PP_Grid[#Data],M_BOM[PPGridRow],83),0))+IFERROR(INDEX(M_RawMaterials[固定週次消費量_要入力],MATCH($A29,M_RawMaterials[Part Name],0)),0)</f>
        <v/>
      </c>
      <c r="CF29">
        <f>SUMPRODUCT((M_BOM[Part Name]=$A29)*M_BOM[RM_Qty_Per_Batch]*IFERROR(INDEX(PP_Grid[#Data],M_BOM[PPGridRow],84),0))+IFERROR(INDEX(M_RawMaterials[固定週次消費量_要入力],MATCH($A29,M_RawMaterials[Part Name],0)),0)</f>
        <v/>
      </c>
      <c r="CG29">
        <f>SUMPRODUCT((M_BOM[Part Name]=$A29)*M_BOM[RM_Qty_Per_Batch]*IFERROR(INDEX(PP_Grid[#Data],M_BOM[PPGridRow],85),0))+IFERROR(INDEX(M_RawMaterials[固定週次消費量_要入力],MATCH($A29,M_RawMaterials[Part Name],0)),0)</f>
        <v/>
      </c>
      <c r="CH29">
        <f>SUMPRODUCT((M_BOM[Part Name]=$A29)*M_BOM[RM_Qty_Per_Batch]*IFERROR(INDEX(PP_Grid[#Data],M_BOM[PPGridRow],86),0))+IFERROR(INDEX(M_RawMaterials[固定週次消費量_要入力],MATCH($A29,M_RawMaterials[Part Name],0)),0)</f>
        <v/>
      </c>
      <c r="CI29">
        <f>SUMPRODUCT((M_BOM[Part Name]=$A29)*M_BOM[RM_Qty_Per_Batch]*IFERROR(INDEX(PP_Grid[#Data],M_BOM[PPGridRow],87),0))+IFERROR(INDEX(M_RawMaterials[固定週次消費量_要入力],MATCH($A29,M_RawMaterials[Part Name],0)),0)</f>
        <v/>
      </c>
      <c r="CJ29">
        <f>SUMPRODUCT((M_BOM[Part Name]=$A29)*M_BOM[RM_Qty_Per_Batch]*IFERROR(INDEX(PP_Grid[#Data],M_BOM[PPGridRow],88),0))+IFERROR(INDEX(M_RawMaterials[固定週次消費量_要入力],MATCH($A29,M_RawMaterials[Part Name],0)),0)</f>
        <v/>
      </c>
      <c r="CK29">
        <f>SUMPRODUCT((M_BOM[Part Name]=$A29)*M_BOM[RM_Qty_Per_Batch]*IFERROR(INDEX(PP_Grid[#Data],M_BOM[PPGridRow],89),0))+IFERROR(INDEX(M_RawMaterials[固定週次消費量_要入力],MATCH($A29,M_RawMaterials[Part Name],0)),0)</f>
        <v/>
      </c>
      <c r="CL29">
        <f>SUMPRODUCT((M_BOM[Part Name]=$A29)*M_BOM[RM_Qty_Per_Batch]*IFERROR(INDEX(PP_Grid[#Data],M_BOM[PPGridRow],90),0))+IFERROR(INDEX(M_RawMaterials[固定週次消費量_要入力],MATCH($A29,M_RawMaterials[Part Name],0)),0)</f>
        <v/>
      </c>
      <c r="CM29">
        <f>SUMPRODUCT((M_BOM[Part Name]=$A29)*M_BOM[RM_Qty_Per_Batch]*IFERROR(INDEX(PP_Grid[#Data],M_BOM[PPGridRow],91),0))+IFERROR(INDEX(M_RawMaterials[固定週次消費量_要入力],MATCH($A29,M_RawMaterials[Part Name],0)),0)</f>
        <v/>
      </c>
      <c r="CN29">
        <f>SUMPRODUCT((M_BOM[Part Name]=$A29)*M_BOM[RM_Qty_Per_Batch]*IFERROR(INDEX(PP_Grid[#Data],M_BOM[PPGridRow],92),0))+IFERROR(INDEX(M_RawMaterials[固定週次消費量_要入力],MATCH($A29,M_RawMaterials[Part Name],0)),0)</f>
        <v/>
      </c>
      <c r="CO29">
        <f>SUMPRODUCT((M_BOM[Part Name]=$A29)*M_BOM[RM_Qty_Per_Batch]*IFERROR(INDEX(PP_Grid[#Data],M_BOM[PPGridRow],93),0))+IFERROR(INDEX(M_RawMaterials[固定週次消費量_要入力],MATCH($A29,M_RawMaterials[Part Name],0)),0)</f>
        <v/>
      </c>
      <c r="CP29">
        <f>SUMPRODUCT((M_BOM[Part Name]=$A29)*M_BOM[RM_Qty_Per_Batch]*IFERROR(INDEX(PP_Grid[#Data],M_BOM[PPGridRow],94),0))+IFERROR(INDEX(M_RawMaterials[固定週次消費量_要入力],MATCH($A29,M_RawMaterials[Part Name],0)),0)</f>
        <v/>
      </c>
      <c r="CQ29">
        <f>SUMPRODUCT((M_BOM[Part Name]=$A29)*M_BOM[RM_Qty_Per_Batch]*IFERROR(INDEX(PP_Grid[#Data],M_BOM[PPGridRow],95),0))+IFERROR(INDEX(M_RawMaterials[固定週次消費量_要入力],MATCH($A29,M_RawMaterials[Part Name],0)),0)</f>
        <v/>
      </c>
      <c r="CR29">
        <f>SUMPRODUCT((M_BOM[Part Name]=$A29)*M_BOM[RM_Qty_Per_Batch]*IFERROR(INDEX(PP_Grid[#Data],M_BOM[PPGridRow],96),0))+IFERROR(INDEX(M_RawMaterials[固定週次消費量_要入力],MATCH($A29,M_RawMaterials[Part Name],0)),0)</f>
        <v/>
      </c>
      <c r="CS29">
        <f>SUMPRODUCT((M_BOM[Part Name]=$A29)*M_BOM[RM_Qty_Per_Batch]*IFERROR(INDEX(PP_Grid[#Data],M_BOM[PPGridRow],97),0))+IFERROR(INDEX(M_RawMaterials[固定週次消費量_要入力],MATCH($A29,M_RawMaterials[Part Name],0)),0)</f>
        <v/>
      </c>
      <c r="CT29">
        <f>SUMPRODUCT((M_BOM[Part Name]=$A29)*M_BOM[RM_Qty_Per_Batch]*IFERROR(INDEX(PP_Grid[#Data],M_BOM[PPGridRow],98),0))+IFERROR(INDEX(M_RawMaterials[固定週次消費量_要入力],MATCH($A29,M_RawMaterials[Part Name],0)),0)</f>
        <v/>
      </c>
      <c r="CU29">
        <f>SUMPRODUCT((M_BOM[Part Name]=$A29)*M_BOM[RM_Qty_Per_Batch]*IFERROR(INDEX(PP_Grid[#Data],M_BOM[PPGridRow],99),0))+IFERROR(INDEX(M_RawMaterials[固定週次消費量_要入力],MATCH($A29,M_RawMaterials[Part Name],0)),0)</f>
        <v/>
      </c>
      <c r="CV29">
        <f>SUMPRODUCT((M_BOM[Part Name]=$A29)*M_BOM[RM_Qty_Per_Batch]*IFERROR(INDEX(PP_Grid[#Data],M_BOM[PPGridRow],100),0))+IFERROR(INDEX(M_RawMaterials[固定週次消費量_要入力],MATCH($A29,M_RawMaterials[Part Name],0)),0)</f>
        <v/>
      </c>
      <c r="CW29">
        <f>SUMPRODUCT((M_BOM[Part Name]=$A29)*M_BOM[RM_Qty_Per_Batch]*IFERROR(INDEX(PP_Grid[#Data],M_BOM[PPGridRow],101),0))+IFERROR(INDEX(M_RawMaterials[固定週次消費量_要入力],MATCH($A29,M_RawMaterials[Part Name],0)),0)</f>
        <v/>
      </c>
      <c r="CX29">
        <f>SUMPRODUCT((M_BOM[Part Name]=$A29)*M_BOM[RM_Qty_Per_Batch]*IFERROR(INDEX(PP_Grid[#Data],M_BOM[PPGridRow],102),0))+IFERROR(INDEX(M_RawMaterials[固定週次消費量_要入力],MATCH($A29,M_RawMaterials[Part Name],0)),0)</f>
        <v/>
      </c>
      <c r="CY29">
        <f>SUMPRODUCT((M_BOM[Part Name]=$A29)*M_BOM[RM_Qty_Per_Batch]*IFERROR(INDEX(PP_Grid[#Data],M_BOM[PPGridRow],103),0))+IFERROR(INDEX(M_RawMaterials[固定週次消費量_要入力],MATCH($A29,M_RawMaterials[Part Name],0)),0)</f>
        <v/>
      </c>
      <c r="CZ29">
        <f>SUMPRODUCT((M_BOM[Part Name]=$A29)*M_BOM[RM_Qty_Per_Batch]*IFERROR(INDEX(PP_Grid[#Data],M_BOM[PPGridRow],104),0))+IFERROR(INDEX(M_RawMaterials[固定週次消費量_要入力],MATCH($A29,M_RawMaterials[Part Name],0)),0)</f>
        <v/>
      </c>
      <c r="DA29">
        <f>SUMPRODUCT((M_BOM[Part Name]=$A29)*M_BOM[RM_Qty_Per_Batch]*IFERROR(INDEX(PP_Grid[#Data],M_BOM[PPGridRow],105),0))+IFERROR(INDEX(M_RawMaterials[固定週次消費量_要入力],MATCH($A29,M_RawMaterials[Part Name],0)),0)</f>
        <v/>
      </c>
    </row>
    <row r="30">
      <c r="A30" t="inlineStr">
        <is>
          <t>CHEM-1550</t>
        </is>
      </c>
      <c r="B30">
        <f>SUMPRODUCT((M_BOM[Part Name]=$A30)*M_BOM[RM_Qty_Per_Batch]*IFERROR(INDEX(PP_Grid[#Data],M_BOM[PPGridRow],2),0))+IFERROR(INDEX(M_RawMaterials[固定週次消費量_要入力],MATCH($A30,M_RawMaterials[Part Name],0)),0)</f>
        <v/>
      </c>
      <c r="C30">
        <f>SUMPRODUCT((M_BOM[Part Name]=$A30)*M_BOM[RM_Qty_Per_Batch]*IFERROR(INDEX(PP_Grid[#Data],M_BOM[PPGridRow],3),0))+IFERROR(INDEX(M_RawMaterials[固定週次消費量_要入力],MATCH($A30,M_RawMaterials[Part Name],0)),0)</f>
        <v/>
      </c>
      <c r="D30">
        <f>SUMPRODUCT((M_BOM[Part Name]=$A30)*M_BOM[RM_Qty_Per_Batch]*IFERROR(INDEX(PP_Grid[#Data],M_BOM[PPGridRow],4),0))+IFERROR(INDEX(M_RawMaterials[固定週次消費量_要入力],MATCH($A30,M_RawMaterials[Part Name],0)),0)</f>
        <v/>
      </c>
      <c r="E30">
        <f>SUMPRODUCT((M_BOM[Part Name]=$A30)*M_BOM[RM_Qty_Per_Batch]*IFERROR(INDEX(PP_Grid[#Data],M_BOM[PPGridRow],5),0))+IFERROR(INDEX(M_RawMaterials[固定週次消費量_要入力],MATCH($A30,M_RawMaterials[Part Name],0)),0)</f>
        <v/>
      </c>
      <c r="F30">
        <f>SUMPRODUCT((M_BOM[Part Name]=$A30)*M_BOM[RM_Qty_Per_Batch]*IFERROR(INDEX(PP_Grid[#Data],M_BOM[PPGridRow],6),0))+IFERROR(INDEX(M_RawMaterials[固定週次消費量_要入力],MATCH($A30,M_RawMaterials[Part Name],0)),0)</f>
        <v/>
      </c>
      <c r="G30">
        <f>SUMPRODUCT((M_BOM[Part Name]=$A30)*M_BOM[RM_Qty_Per_Batch]*IFERROR(INDEX(PP_Grid[#Data],M_BOM[PPGridRow],7),0))+IFERROR(INDEX(M_RawMaterials[固定週次消費量_要入力],MATCH($A30,M_RawMaterials[Part Name],0)),0)</f>
        <v/>
      </c>
      <c r="H30">
        <f>SUMPRODUCT((M_BOM[Part Name]=$A30)*M_BOM[RM_Qty_Per_Batch]*IFERROR(INDEX(PP_Grid[#Data],M_BOM[PPGridRow],8),0))+IFERROR(INDEX(M_RawMaterials[固定週次消費量_要入力],MATCH($A30,M_RawMaterials[Part Name],0)),0)</f>
        <v/>
      </c>
      <c r="I30">
        <f>SUMPRODUCT((M_BOM[Part Name]=$A30)*M_BOM[RM_Qty_Per_Batch]*IFERROR(INDEX(PP_Grid[#Data],M_BOM[PPGridRow],9),0))+IFERROR(INDEX(M_RawMaterials[固定週次消費量_要入力],MATCH($A30,M_RawMaterials[Part Name],0)),0)</f>
        <v/>
      </c>
      <c r="J30">
        <f>SUMPRODUCT((M_BOM[Part Name]=$A30)*M_BOM[RM_Qty_Per_Batch]*IFERROR(INDEX(PP_Grid[#Data],M_BOM[PPGridRow],10),0))+IFERROR(INDEX(M_RawMaterials[固定週次消費量_要入力],MATCH($A30,M_RawMaterials[Part Name],0)),0)</f>
        <v/>
      </c>
      <c r="K30">
        <f>SUMPRODUCT((M_BOM[Part Name]=$A30)*M_BOM[RM_Qty_Per_Batch]*IFERROR(INDEX(PP_Grid[#Data],M_BOM[PPGridRow],11),0))+IFERROR(INDEX(M_RawMaterials[固定週次消費量_要入力],MATCH($A30,M_RawMaterials[Part Name],0)),0)</f>
        <v/>
      </c>
      <c r="L30">
        <f>SUMPRODUCT((M_BOM[Part Name]=$A30)*M_BOM[RM_Qty_Per_Batch]*IFERROR(INDEX(PP_Grid[#Data],M_BOM[PPGridRow],12),0))+IFERROR(INDEX(M_RawMaterials[固定週次消費量_要入力],MATCH($A30,M_RawMaterials[Part Name],0)),0)</f>
        <v/>
      </c>
      <c r="M30">
        <f>SUMPRODUCT((M_BOM[Part Name]=$A30)*M_BOM[RM_Qty_Per_Batch]*IFERROR(INDEX(PP_Grid[#Data],M_BOM[PPGridRow],13),0))+IFERROR(INDEX(M_RawMaterials[固定週次消費量_要入力],MATCH($A30,M_RawMaterials[Part Name],0)),0)</f>
        <v/>
      </c>
      <c r="N30">
        <f>SUMPRODUCT((M_BOM[Part Name]=$A30)*M_BOM[RM_Qty_Per_Batch]*IFERROR(INDEX(PP_Grid[#Data],M_BOM[PPGridRow],14),0))+IFERROR(INDEX(M_RawMaterials[固定週次消費量_要入力],MATCH($A30,M_RawMaterials[Part Name],0)),0)</f>
        <v/>
      </c>
      <c r="O30">
        <f>SUMPRODUCT((M_BOM[Part Name]=$A30)*M_BOM[RM_Qty_Per_Batch]*IFERROR(INDEX(PP_Grid[#Data],M_BOM[PPGridRow],15),0))+IFERROR(INDEX(M_RawMaterials[固定週次消費量_要入力],MATCH($A30,M_RawMaterials[Part Name],0)),0)</f>
        <v/>
      </c>
      <c r="P30">
        <f>SUMPRODUCT((M_BOM[Part Name]=$A30)*M_BOM[RM_Qty_Per_Batch]*IFERROR(INDEX(PP_Grid[#Data],M_BOM[PPGridRow],16),0))+IFERROR(INDEX(M_RawMaterials[固定週次消費量_要入力],MATCH($A30,M_RawMaterials[Part Name],0)),0)</f>
        <v/>
      </c>
      <c r="Q30">
        <f>SUMPRODUCT((M_BOM[Part Name]=$A30)*M_BOM[RM_Qty_Per_Batch]*IFERROR(INDEX(PP_Grid[#Data],M_BOM[PPGridRow],17),0))+IFERROR(INDEX(M_RawMaterials[固定週次消費量_要入力],MATCH($A30,M_RawMaterials[Part Name],0)),0)</f>
        <v/>
      </c>
      <c r="R30">
        <f>SUMPRODUCT((M_BOM[Part Name]=$A30)*M_BOM[RM_Qty_Per_Batch]*IFERROR(INDEX(PP_Grid[#Data],M_BOM[PPGridRow],18),0))+IFERROR(INDEX(M_RawMaterials[固定週次消費量_要入力],MATCH($A30,M_RawMaterials[Part Name],0)),0)</f>
        <v/>
      </c>
      <c r="S30">
        <f>SUMPRODUCT((M_BOM[Part Name]=$A30)*M_BOM[RM_Qty_Per_Batch]*IFERROR(INDEX(PP_Grid[#Data],M_BOM[PPGridRow],19),0))+IFERROR(INDEX(M_RawMaterials[固定週次消費量_要入力],MATCH($A30,M_RawMaterials[Part Name],0)),0)</f>
        <v/>
      </c>
      <c r="T30">
        <f>SUMPRODUCT((M_BOM[Part Name]=$A30)*M_BOM[RM_Qty_Per_Batch]*IFERROR(INDEX(PP_Grid[#Data],M_BOM[PPGridRow],20),0))+IFERROR(INDEX(M_RawMaterials[固定週次消費量_要入力],MATCH($A30,M_RawMaterials[Part Name],0)),0)</f>
        <v/>
      </c>
      <c r="U30">
        <f>SUMPRODUCT((M_BOM[Part Name]=$A30)*M_BOM[RM_Qty_Per_Batch]*IFERROR(INDEX(PP_Grid[#Data],M_BOM[PPGridRow],21),0))+IFERROR(INDEX(M_RawMaterials[固定週次消費量_要入力],MATCH($A30,M_RawMaterials[Part Name],0)),0)</f>
        <v/>
      </c>
      <c r="V30">
        <f>SUMPRODUCT((M_BOM[Part Name]=$A30)*M_BOM[RM_Qty_Per_Batch]*IFERROR(INDEX(PP_Grid[#Data],M_BOM[PPGridRow],22),0))+IFERROR(INDEX(M_RawMaterials[固定週次消費量_要入力],MATCH($A30,M_RawMaterials[Part Name],0)),0)</f>
        <v/>
      </c>
      <c r="W30">
        <f>SUMPRODUCT((M_BOM[Part Name]=$A30)*M_BOM[RM_Qty_Per_Batch]*IFERROR(INDEX(PP_Grid[#Data],M_BOM[PPGridRow],23),0))+IFERROR(INDEX(M_RawMaterials[固定週次消費量_要入力],MATCH($A30,M_RawMaterials[Part Name],0)),0)</f>
        <v/>
      </c>
      <c r="X30">
        <f>SUMPRODUCT((M_BOM[Part Name]=$A30)*M_BOM[RM_Qty_Per_Batch]*IFERROR(INDEX(PP_Grid[#Data],M_BOM[PPGridRow],24),0))+IFERROR(INDEX(M_RawMaterials[固定週次消費量_要入力],MATCH($A30,M_RawMaterials[Part Name],0)),0)</f>
        <v/>
      </c>
      <c r="Y30">
        <f>SUMPRODUCT((M_BOM[Part Name]=$A30)*M_BOM[RM_Qty_Per_Batch]*IFERROR(INDEX(PP_Grid[#Data],M_BOM[PPGridRow],25),0))+IFERROR(INDEX(M_RawMaterials[固定週次消費量_要入力],MATCH($A30,M_RawMaterials[Part Name],0)),0)</f>
        <v/>
      </c>
      <c r="Z30">
        <f>SUMPRODUCT((M_BOM[Part Name]=$A30)*M_BOM[RM_Qty_Per_Batch]*IFERROR(INDEX(PP_Grid[#Data],M_BOM[PPGridRow],26),0))+IFERROR(INDEX(M_RawMaterials[固定週次消費量_要入力],MATCH($A30,M_RawMaterials[Part Name],0)),0)</f>
        <v/>
      </c>
      <c r="AA30">
        <f>SUMPRODUCT((M_BOM[Part Name]=$A30)*M_BOM[RM_Qty_Per_Batch]*IFERROR(INDEX(PP_Grid[#Data],M_BOM[PPGridRow],27),0))+IFERROR(INDEX(M_RawMaterials[固定週次消費量_要入力],MATCH($A30,M_RawMaterials[Part Name],0)),0)</f>
        <v/>
      </c>
      <c r="AB30">
        <f>SUMPRODUCT((M_BOM[Part Name]=$A30)*M_BOM[RM_Qty_Per_Batch]*IFERROR(INDEX(PP_Grid[#Data],M_BOM[PPGridRow],28),0))+IFERROR(INDEX(M_RawMaterials[固定週次消費量_要入力],MATCH($A30,M_RawMaterials[Part Name],0)),0)</f>
        <v/>
      </c>
      <c r="AC30">
        <f>SUMPRODUCT((M_BOM[Part Name]=$A30)*M_BOM[RM_Qty_Per_Batch]*IFERROR(INDEX(PP_Grid[#Data],M_BOM[PPGridRow],29),0))+IFERROR(INDEX(M_RawMaterials[固定週次消費量_要入力],MATCH($A30,M_RawMaterials[Part Name],0)),0)</f>
        <v/>
      </c>
      <c r="AD30">
        <f>SUMPRODUCT((M_BOM[Part Name]=$A30)*M_BOM[RM_Qty_Per_Batch]*IFERROR(INDEX(PP_Grid[#Data],M_BOM[PPGridRow],30),0))+IFERROR(INDEX(M_RawMaterials[固定週次消費量_要入力],MATCH($A30,M_RawMaterials[Part Name],0)),0)</f>
        <v/>
      </c>
      <c r="AE30">
        <f>SUMPRODUCT((M_BOM[Part Name]=$A30)*M_BOM[RM_Qty_Per_Batch]*IFERROR(INDEX(PP_Grid[#Data],M_BOM[PPGridRow],31),0))+IFERROR(INDEX(M_RawMaterials[固定週次消費量_要入力],MATCH($A30,M_RawMaterials[Part Name],0)),0)</f>
        <v/>
      </c>
      <c r="AF30">
        <f>SUMPRODUCT((M_BOM[Part Name]=$A30)*M_BOM[RM_Qty_Per_Batch]*IFERROR(INDEX(PP_Grid[#Data],M_BOM[PPGridRow],32),0))+IFERROR(INDEX(M_RawMaterials[固定週次消費量_要入力],MATCH($A30,M_RawMaterials[Part Name],0)),0)</f>
        <v/>
      </c>
      <c r="AG30">
        <f>SUMPRODUCT((M_BOM[Part Name]=$A30)*M_BOM[RM_Qty_Per_Batch]*IFERROR(INDEX(PP_Grid[#Data],M_BOM[PPGridRow],33),0))+IFERROR(INDEX(M_RawMaterials[固定週次消費量_要入力],MATCH($A30,M_RawMaterials[Part Name],0)),0)</f>
        <v/>
      </c>
      <c r="AH30">
        <f>SUMPRODUCT((M_BOM[Part Name]=$A30)*M_BOM[RM_Qty_Per_Batch]*IFERROR(INDEX(PP_Grid[#Data],M_BOM[PPGridRow],34),0))+IFERROR(INDEX(M_RawMaterials[固定週次消費量_要入力],MATCH($A30,M_RawMaterials[Part Name],0)),0)</f>
        <v/>
      </c>
      <c r="AI30">
        <f>SUMPRODUCT((M_BOM[Part Name]=$A30)*M_BOM[RM_Qty_Per_Batch]*IFERROR(INDEX(PP_Grid[#Data],M_BOM[PPGridRow],35),0))+IFERROR(INDEX(M_RawMaterials[固定週次消費量_要入力],MATCH($A30,M_RawMaterials[Part Name],0)),0)</f>
        <v/>
      </c>
      <c r="AJ30">
        <f>SUMPRODUCT((M_BOM[Part Name]=$A30)*M_BOM[RM_Qty_Per_Batch]*IFERROR(INDEX(PP_Grid[#Data],M_BOM[PPGridRow],36),0))+IFERROR(INDEX(M_RawMaterials[固定週次消費量_要入力],MATCH($A30,M_RawMaterials[Part Name],0)),0)</f>
        <v/>
      </c>
      <c r="AK30">
        <f>SUMPRODUCT((M_BOM[Part Name]=$A30)*M_BOM[RM_Qty_Per_Batch]*IFERROR(INDEX(PP_Grid[#Data],M_BOM[PPGridRow],37),0))+IFERROR(INDEX(M_RawMaterials[固定週次消費量_要入力],MATCH($A30,M_RawMaterials[Part Name],0)),0)</f>
        <v/>
      </c>
      <c r="AL30">
        <f>SUMPRODUCT((M_BOM[Part Name]=$A30)*M_BOM[RM_Qty_Per_Batch]*IFERROR(INDEX(PP_Grid[#Data],M_BOM[PPGridRow],38),0))+IFERROR(INDEX(M_RawMaterials[固定週次消費量_要入力],MATCH($A30,M_RawMaterials[Part Name],0)),0)</f>
        <v/>
      </c>
      <c r="AM30">
        <f>SUMPRODUCT((M_BOM[Part Name]=$A30)*M_BOM[RM_Qty_Per_Batch]*IFERROR(INDEX(PP_Grid[#Data],M_BOM[PPGridRow],39),0))+IFERROR(INDEX(M_RawMaterials[固定週次消費量_要入力],MATCH($A30,M_RawMaterials[Part Name],0)),0)</f>
        <v/>
      </c>
      <c r="AN30">
        <f>SUMPRODUCT((M_BOM[Part Name]=$A30)*M_BOM[RM_Qty_Per_Batch]*IFERROR(INDEX(PP_Grid[#Data],M_BOM[PPGridRow],40),0))+IFERROR(INDEX(M_RawMaterials[固定週次消費量_要入力],MATCH($A30,M_RawMaterials[Part Name],0)),0)</f>
        <v/>
      </c>
      <c r="AO30">
        <f>SUMPRODUCT((M_BOM[Part Name]=$A30)*M_BOM[RM_Qty_Per_Batch]*IFERROR(INDEX(PP_Grid[#Data],M_BOM[PPGridRow],41),0))+IFERROR(INDEX(M_RawMaterials[固定週次消費量_要入力],MATCH($A30,M_RawMaterials[Part Name],0)),0)</f>
        <v/>
      </c>
      <c r="AP30">
        <f>SUMPRODUCT((M_BOM[Part Name]=$A30)*M_BOM[RM_Qty_Per_Batch]*IFERROR(INDEX(PP_Grid[#Data],M_BOM[PPGridRow],42),0))+IFERROR(INDEX(M_RawMaterials[固定週次消費量_要入力],MATCH($A30,M_RawMaterials[Part Name],0)),0)</f>
        <v/>
      </c>
      <c r="AQ30">
        <f>SUMPRODUCT((M_BOM[Part Name]=$A30)*M_BOM[RM_Qty_Per_Batch]*IFERROR(INDEX(PP_Grid[#Data],M_BOM[PPGridRow],43),0))+IFERROR(INDEX(M_RawMaterials[固定週次消費量_要入力],MATCH($A30,M_RawMaterials[Part Name],0)),0)</f>
        <v/>
      </c>
      <c r="AR30">
        <f>SUMPRODUCT((M_BOM[Part Name]=$A30)*M_BOM[RM_Qty_Per_Batch]*IFERROR(INDEX(PP_Grid[#Data],M_BOM[PPGridRow],44),0))+IFERROR(INDEX(M_RawMaterials[固定週次消費量_要入力],MATCH($A30,M_RawMaterials[Part Name],0)),0)</f>
        <v/>
      </c>
      <c r="AS30">
        <f>SUMPRODUCT((M_BOM[Part Name]=$A30)*M_BOM[RM_Qty_Per_Batch]*IFERROR(INDEX(PP_Grid[#Data],M_BOM[PPGridRow],45),0))+IFERROR(INDEX(M_RawMaterials[固定週次消費量_要入力],MATCH($A30,M_RawMaterials[Part Name],0)),0)</f>
        <v/>
      </c>
      <c r="AT30">
        <f>SUMPRODUCT((M_BOM[Part Name]=$A30)*M_BOM[RM_Qty_Per_Batch]*IFERROR(INDEX(PP_Grid[#Data],M_BOM[PPGridRow],46),0))+IFERROR(INDEX(M_RawMaterials[固定週次消費量_要入力],MATCH($A30,M_RawMaterials[Part Name],0)),0)</f>
        <v/>
      </c>
      <c r="AU30">
        <f>SUMPRODUCT((M_BOM[Part Name]=$A30)*M_BOM[RM_Qty_Per_Batch]*IFERROR(INDEX(PP_Grid[#Data],M_BOM[PPGridRow],47),0))+IFERROR(INDEX(M_RawMaterials[固定週次消費量_要入力],MATCH($A30,M_RawMaterials[Part Name],0)),0)</f>
        <v/>
      </c>
      <c r="AV30">
        <f>SUMPRODUCT((M_BOM[Part Name]=$A30)*M_BOM[RM_Qty_Per_Batch]*IFERROR(INDEX(PP_Grid[#Data],M_BOM[PPGridRow],48),0))+IFERROR(INDEX(M_RawMaterials[固定週次消費量_要入力],MATCH($A30,M_RawMaterials[Part Name],0)),0)</f>
        <v/>
      </c>
      <c r="AW30">
        <f>SUMPRODUCT((M_BOM[Part Name]=$A30)*M_BOM[RM_Qty_Per_Batch]*IFERROR(INDEX(PP_Grid[#Data],M_BOM[PPGridRow],49),0))+IFERROR(INDEX(M_RawMaterials[固定週次消費量_要入力],MATCH($A30,M_RawMaterials[Part Name],0)),0)</f>
        <v/>
      </c>
      <c r="AX30">
        <f>SUMPRODUCT((M_BOM[Part Name]=$A30)*M_BOM[RM_Qty_Per_Batch]*IFERROR(INDEX(PP_Grid[#Data],M_BOM[PPGridRow],50),0))+IFERROR(INDEX(M_RawMaterials[固定週次消費量_要入力],MATCH($A30,M_RawMaterials[Part Name],0)),0)</f>
        <v/>
      </c>
      <c r="AY30">
        <f>SUMPRODUCT((M_BOM[Part Name]=$A30)*M_BOM[RM_Qty_Per_Batch]*IFERROR(INDEX(PP_Grid[#Data],M_BOM[PPGridRow],51),0))+IFERROR(INDEX(M_RawMaterials[固定週次消費量_要入力],MATCH($A30,M_RawMaterials[Part Name],0)),0)</f>
        <v/>
      </c>
      <c r="AZ30">
        <f>SUMPRODUCT((M_BOM[Part Name]=$A30)*M_BOM[RM_Qty_Per_Batch]*IFERROR(INDEX(PP_Grid[#Data],M_BOM[PPGridRow],52),0))+IFERROR(INDEX(M_RawMaterials[固定週次消費量_要入力],MATCH($A30,M_RawMaterials[Part Name],0)),0)</f>
        <v/>
      </c>
      <c r="BA30">
        <f>SUMPRODUCT((M_BOM[Part Name]=$A30)*M_BOM[RM_Qty_Per_Batch]*IFERROR(INDEX(PP_Grid[#Data],M_BOM[PPGridRow],53),0))+IFERROR(INDEX(M_RawMaterials[固定週次消費量_要入力],MATCH($A30,M_RawMaterials[Part Name],0)),0)</f>
        <v/>
      </c>
      <c r="BB30">
        <f>SUMPRODUCT((M_BOM[Part Name]=$A30)*M_BOM[RM_Qty_Per_Batch]*IFERROR(INDEX(PP_Grid[#Data],M_BOM[PPGridRow],54),0))+IFERROR(INDEX(M_RawMaterials[固定週次消費量_要入力],MATCH($A30,M_RawMaterials[Part Name],0)),0)</f>
        <v/>
      </c>
      <c r="BC30">
        <f>SUMPRODUCT((M_BOM[Part Name]=$A30)*M_BOM[RM_Qty_Per_Batch]*IFERROR(INDEX(PP_Grid[#Data],M_BOM[PPGridRow],55),0))+IFERROR(INDEX(M_RawMaterials[固定週次消費量_要入力],MATCH($A30,M_RawMaterials[Part Name],0)),0)</f>
        <v/>
      </c>
      <c r="BD30">
        <f>SUMPRODUCT((M_BOM[Part Name]=$A30)*M_BOM[RM_Qty_Per_Batch]*IFERROR(INDEX(PP_Grid[#Data],M_BOM[PPGridRow],56),0))+IFERROR(INDEX(M_RawMaterials[固定週次消費量_要入力],MATCH($A30,M_RawMaterials[Part Name],0)),0)</f>
        <v/>
      </c>
      <c r="BE30">
        <f>SUMPRODUCT((M_BOM[Part Name]=$A30)*M_BOM[RM_Qty_Per_Batch]*IFERROR(INDEX(PP_Grid[#Data],M_BOM[PPGridRow],57),0))+IFERROR(INDEX(M_RawMaterials[固定週次消費量_要入力],MATCH($A30,M_RawMaterials[Part Name],0)),0)</f>
        <v/>
      </c>
      <c r="BF30">
        <f>SUMPRODUCT((M_BOM[Part Name]=$A30)*M_BOM[RM_Qty_Per_Batch]*IFERROR(INDEX(PP_Grid[#Data],M_BOM[PPGridRow],58),0))+IFERROR(INDEX(M_RawMaterials[固定週次消費量_要入力],MATCH($A30,M_RawMaterials[Part Name],0)),0)</f>
        <v/>
      </c>
      <c r="BG30">
        <f>SUMPRODUCT((M_BOM[Part Name]=$A30)*M_BOM[RM_Qty_Per_Batch]*IFERROR(INDEX(PP_Grid[#Data],M_BOM[PPGridRow],59),0))+IFERROR(INDEX(M_RawMaterials[固定週次消費量_要入力],MATCH($A30,M_RawMaterials[Part Name],0)),0)</f>
        <v/>
      </c>
      <c r="BH30">
        <f>SUMPRODUCT((M_BOM[Part Name]=$A30)*M_BOM[RM_Qty_Per_Batch]*IFERROR(INDEX(PP_Grid[#Data],M_BOM[PPGridRow],60),0))+IFERROR(INDEX(M_RawMaterials[固定週次消費量_要入力],MATCH($A30,M_RawMaterials[Part Name],0)),0)</f>
        <v/>
      </c>
      <c r="BI30">
        <f>SUMPRODUCT((M_BOM[Part Name]=$A30)*M_BOM[RM_Qty_Per_Batch]*IFERROR(INDEX(PP_Grid[#Data],M_BOM[PPGridRow],61),0))+IFERROR(INDEX(M_RawMaterials[固定週次消費量_要入力],MATCH($A30,M_RawMaterials[Part Name],0)),0)</f>
        <v/>
      </c>
      <c r="BJ30">
        <f>SUMPRODUCT((M_BOM[Part Name]=$A30)*M_BOM[RM_Qty_Per_Batch]*IFERROR(INDEX(PP_Grid[#Data],M_BOM[PPGridRow],62),0))+IFERROR(INDEX(M_RawMaterials[固定週次消費量_要入力],MATCH($A30,M_RawMaterials[Part Name],0)),0)</f>
        <v/>
      </c>
      <c r="BK30">
        <f>SUMPRODUCT((M_BOM[Part Name]=$A30)*M_BOM[RM_Qty_Per_Batch]*IFERROR(INDEX(PP_Grid[#Data],M_BOM[PPGridRow],63),0))+IFERROR(INDEX(M_RawMaterials[固定週次消費量_要入力],MATCH($A30,M_RawMaterials[Part Name],0)),0)</f>
        <v/>
      </c>
      <c r="BL30">
        <f>SUMPRODUCT((M_BOM[Part Name]=$A30)*M_BOM[RM_Qty_Per_Batch]*IFERROR(INDEX(PP_Grid[#Data],M_BOM[PPGridRow],64),0))+IFERROR(INDEX(M_RawMaterials[固定週次消費量_要入力],MATCH($A30,M_RawMaterials[Part Name],0)),0)</f>
        <v/>
      </c>
      <c r="BM30">
        <f>SUMPRODUCT((M_BOM[Part Name]=$A30)*M_BOM[RM_Qty_Per_Batch]*IFERROR(INDEX(PP_Grid[#Data],M_BOM[PPGridRow],65),0))+IFERROR(INDEX(M_RawMaterials[固定週次消費量_要入力],MATCH($A30,M_RawMaterials[Part Name],0)),0)</f>
        <v/>
      </c>
      <c r="BN30">
        <f>SUMPRODUCT((M_BOM[Part Name]=$A30)*M_BOM[RM_Qty_Per_Batch]*IFERROR(INDEX(PP_Grid[#Data],M_BOM[PPGridRow],66),0))+IFERROR(INDEX(M_RawMaterials[固定週次消費量_要入力],MATCH($A30,M_RawMaterials[Part Name],0)),0)</f>
        <v/>
      </c>
      <c r="BO30">
        <f>SUMPRODUCT((M_BOM[Part Name]=$A30)*M_BOM[RM_Qty_Per_Batch]*IFERROR(INDEX(PP_Grid[#Data],M_BOM[PPGridRow],67),0))+IFERROR(INDEX(M_RawMaterials[固定週次消費量_要入力],MATCH($A30,M_RawMaterials[Part Name],0)),0)</f>
        <v/>
      </c>
      <c r="BP30">
        <f>SUMPRODUCT((M_BOM[Part Name]=$A30)*M_BOM[RM_Qty_Per_Batch]*IFERROR(INDEX(PP_Grid[#Data],M_BOM[PPGridRow],68),0))+IFERROR(INDEX(M_RawMaterials[固定週次消費量_要入力],MATCH($A30,M_RawMaterials[Part Name],0)),0)</f>
        <v/>
      </c>
      <c r="BQ30">
        <f>SUMPRODUCT((M_BOM[Part Name]=$A30)*M_BOM[RM_Qty_Per_Batch]*IFERROR(INDEX(PP_Grid[#Data],M_BOM[PPGridRow],69),0))+IFERROR(INDEX(M_RawMaterials[固定週次消費量_要入力],MATCH($A30,M_RawMaterials[Part Name],0)),0)</f>
        <v/>
      </c>
      <c r="BR30">
        <f>SUMPRODUCT((M_BOM[Part Name]=$A30)*M_BOM[RM_Qty_Per_Batch]*IFERROR(INDEX(PP_Grid[#Data],M_BOM[PPGridRow],70),0))+IFERROR(INDEX(M_RawMaterials[固定週次消費量_要入力],MATCH($A30,M_RawMaterials[Part Name],0)),0)</f>
        <v/>
      </c>
      <c r="BS30">
        <f>SUMPRODUCT((M_BOM[Part Name]=$A30)*M_BOM[RM_Qty_Per_Batch]*IFERROR(INDEX(PP_Grid[#Data],M_BOM[PPGridRow],71),0))+IFERROR(INDEX(M_RawMaterials[固定週次消費量_要入力],MATCH($A30,M_RawMaterials[Part Name],0)),0)</f>
        <v/>
      </c>
      <c r="BT30">
        <f>SUMPRODUCT((M_BOM[Part Name]=$A30)*M_BOM[RM_Qty_Per_Batch]*IFERROR(INDEX(PP_Grid[#Data],M_BOM[PPGridRow],72),0))+IFERROR(INDEX(M_RawMaterials[固定週次消費量_要入力],MATCH($A30,M_RawMaterials[Part Name],0)),0)</f>
        <v/>
      </c>
      <c r="BU30">
        <f>SUMPRODUCT((M_BOM[Part Name]=$A30)*M_BOM[RM_Qty_Per_Batch]*IFERROR(INDEX(PP_Grid[#Data],M_BOM[PPGridRow],73),0))+IFERROR(INDEX(M_RawMaterials[固定週次消費量_要入力],MATCH($A30,M_RawMaterials[Part Name],0)),0)</f>
        <v/>
      </c>
      <c r="BV30">
        <f>SUMPRODUCT((M_BOM[Part Name]=$A30)*M_BOM[RM_Qty_Per_Batch]*IFERROR(INDEX(PP_Grid[#Data],M_BOM[PPGridRow],74),0))+IFERROR(INDEX(M_RawMaterials[固定週次消費量_要入力],MATCH($A30,M_RawMaterials[Part Name],0)),0)</f>
        <v/>
      </c>
      <c r="BW30">
        <f>SUMPRODUCT((M_BOM[Part Name]=$A30)*M_BOM[RM_Qty_Per_Batch]*IFERROR(INDEX(PP_Grid[#Data],M_BOM[PPGridRow],75),0))+IFERROR(INDEX(M_RawMaterials[固定週次消費量_要入力],MATCH($A30,M_RawMaterials[Part Name],0)),0)</f>
        <v/>
      </c>
      <c r="BX30">
        <f>SUMPRODUCT((M_BOM[Part Name]=$A30)*M_BOM[RM_Qty_Per_Batch]*IFERROR(INDEX(PP_Grid[#Data],M_BOM[PPGridRow],76),0))+IFERROR(INDEX(M_RawMaterials[固定週次消費量_要入力],MATCH($A30,M_RawMaterials[Part Name],0)),0)</f>
        <v/>
      </c>
      <c r="BY30">
        <f>SUMPRODUCT((M_BOM[Part Name]=$A30)*M_BOM[RM_Qty_Per_Batch]*IFERROR(INDEX(PP_Grid[#Data],M_BOM[PPGridRow],77),0))+IFERROR(INDEX(M_RawMaterials[固定週次消費量_要入力],MATCH($A30,M_RawMaterials[Part Name],0)),0)</f>
        <v/>
      </c>
      <c r="BZ30">
        <f>SUMPRODUCT((M_BOM[Part Name]=$A30)*M_BOM[RM_Qty_Per_Batch]*IFERROR(INDEX(PP_Grid[#Data],M_BOM[PPGridRow],78),0))+IFERROR(INDEX(M_RawMaterials[固定週次消費量_要入力],MATCH($A30,M_RawMaterials[Part Name],0)),0)</f>
        <v/>
      </c>
      <c r="CA30">
        <f>SUMPRODUCT((M_BOM[Part Name]=$A30)*M_BOM[RM_Qty_Per_Batch]*IFERROR(INDEX(PP_Grid[#Data],M_BOM[PPGridRow],79),0))+IFERROR(INDEX(M_RawMaterials[固定週次消費量_要入力],MATCH($A30,M_RawMaterials[Part Name],0)),0)</f>
        <v/>
      </c>
      <c r="CB30">
        <f>SUMPRODUCT((M_BOM[Part Name]=$A30)*M_BOM[RM_Qty_Per_Batch]*IFERROR(INDEX(PP_Grid[#Data],M_BOM[PPGridRow],80),0))+IFERROR(INDEX(M_RawMaterials[固定週次消費量_要入力],MATCH($A30,M_RawMaterials[Part Name],0)),0)</f>
        <v/>
      </c>
      <c r="CC30">
        <f>SUMPRODUCT((M_BOM[Part Name]=$A30)*M_BOM[RM_Qty_Per_Batch]*IFERROR(INDEX(PP_Grid[#Data],M_BOM[PPGridRow],81),0))+IFERROR(INDEX(M_RawMaterials[固定週次消費量_要入力],MATCH($A30,M_RawMaterials[Part Name],0)),0)</f>
        <v/>
      </c>
      <c r="CD30">
        <f>SUMPRODUCT((M_BOM[Part Name]=$A30)*M_BOM[RM_Qty_Per_Batch]*IFERROR(INDEX(PP_Grid[#Data],M_BOM[PPGridRow],82),0))+IFERROR(INDEX(M_RawMaterials[固定週次消費量_要入力],MATCH($A30,M_RawMaterials[Part Name],0)),0)</f>
        <v/>
      </c>
      <c r="CE30">
        <f>SUMPRODUCT((M_BOM[Part Name]=$A30)*M_BOM[RM_Qty_Per_Batch]*IFERROR(INDEX(PP_Grid[#Data],M_BOM[PPGridRow],83),0))+IFERROR(INDEX(M_RawMaterials[固定週次消費量_要入力],MATCH($A30,M_RawMaterials[Part Name],0)),0)</f>
        <v/>
      </c>
      <c r="CF30">
        <f>SUMPRODUCT((M_BOM[Part Name]=$A30)*M_BOM[RM_Qty_Per_Batch]*IFERROR(INDEX(PP_Grid[#Data],M_BOM[PPGridRow],84),0))+IFERROR(INDEX(M_RawMaterials[固定週次消費量_要入力],MATCH($A30,M_RawMaterials[Part Name],0)),0)</f>
        <v/>
      </c>
      <c r="CG30">
        <f>SUMPRODUCT((M_BOM[Part Name]=$A30)*M_BOM[RM_Qty_Per_Batch]*IFERROR(INDEX(PP_Grid[#Data],M_BOM[PPGridRow],85),0))+IFERROR(INDEX(M_RawMaterials[固定週次消費量_要入力],MATCH($A30,M_RawMaterials[Part Name],0)),0)</f>
        <v/>
      </c>
      <c r="CH30">
        <f>SUMPRODUCT((M_BOM[Part Name]=$A30)*M_BOM[RM_Qty_Per_Batch]*IFERROR(INDEX(PP_Grid[#Data],M_BOM[PPGridRow],86),0))+IFERROR(INDEX(M_RawMaterials[固定週次消費量_要入力],MATCH($A30,M_RawMaterials[Part Name],0)),0)</f>
        <v/>
      </c>
      <c r="CI30">
        <f>SUMPRODUCT((M_BOM[Part Name]=$A30)*M_BOM[RM_Qty_Per_Batch]*IFERROR(INDEX(PP_Grid[#Data],M_BOM[PPGridRow],87),0))+IFERROR(INDEX(M_RawMaterials[固定週次消費量_要入力],MATCH($A30,M_RawMaterials[Part Name],0)),0)</f>
        <v/>
      </c>
      <c r="CJ30">
        <f>SUMPRODUCT((M_BOM[Part Name]=$A30)*M_BOM[RM_Qty_Per_Batch]*IFERROR(INDEX(PP_Grid[#Data],M_BOM[PPGridRow],88),0))+IFERROR(INDEX(M_RawMaterials[固定週次消費量_要入力],MATCH($A30,M_RawMaterials[Part Name],0)),0)</f>
        <v/>
      </c>
      <c r="CK30">
        <f>SUMPRODUCT((M_BOM[Part Name]=$A30)*M_BOM[RM_Qty_Per_Batch]*IFERROR(INDEX(PP_Grid[#Data],M_BOM[PPGridRow],89),0))+IFERROR(INDEX(M_RawMaterials[固定週次消費量_要入力],MATCH($A30,M_RawMaterials[Part Name],0)),0)</f>
        <v/>
      </c>
      <c r="CL30">
        <f>SUMPRODUCT((M_BOM[Part Name]=$A30)*M_BOM[RM_Qty_Per_Batch]*IFERROR(INDEX(PP_Grid[#Data],M_BOM[PPGridRow],90),0))+IFERROR(INDEX(M_RawMaterials[固定週次消費量_要入力],MATCH($A30,M_RawMaterials[Part Name],0)),0)</f>
        <v/>
      </c>
      <c r="CM30">
        <f>SUMPRODUCT((M_BOM[Part Name]=$A30)*M_BOM[RM_Qty_Per_Batch]*IFERROR(INDEX(PP_Grid[#Data],M_BOM[PPGridRow],91),0))+IFERROR(INDEX(M_RawMaterials[固定週次消費量_要入力],MATCH($A30,M_RawMaterials[Part Name],0)),0)</f>
        <v/>
      </c>
      <c r="CN30">
        <f>SUMPRODUCT((M_BOM[Part Name]=$A30)*M_BOM[RM_Qty_Per_Batch]*IFERROR(INDEX(PP_Grid[#Data],M_BOM[PPGridRow],92),0))+IFERROR(INDEX(M_RawMaterials[固定週次消費量_要入力],MATCH($A30,M_RawMaterials[Part Name],0)),0)</f>
        <v/>
      </c>
      <c r="CO30">
        <f>SUMPRODUCT((M_BOM[Part Name]=$A30)*M_BOM[RM_Qty_Per_Batch]*IFERROR(INDEX(PP_Grid[#Data],M_BOM[PPGridRow],93),0))+IFERROR(INDEX(M_RawMaterials[固定週次消費量_要入力],MATCH($A30,M_RawMaterials[Part Name],0)),0)</f>
        <v/>
      </c>
      <c r="CP30">
        <f>SUMPRODUCT((M_BOM[Part Name]=$A30)*M_BOM[RM_Qty_Per_Batch]*IFERROR(INDEX(PP_Grid[#Data],M_BOM[PPGridRow],94),0))+IFERROR(INDEX(M_RawMaterials[固定週次消費量_要入力],MATCH($A30,M_RawMaterials[Part Name],0)),0)</f>
        <v/>
      </c>
      <c r="CQ30">
        <f>SUMPRODUCT((M_BOM[Part Name]=$A30)*M_BOM[RM_Qty_Per_Batch]*IFERROR(INDEX(PP_Grid[#Data],M_BOM[PPGridRow],95),0))+IFERROR(INDEX(M_RawMaterials[固定週次消費量_要入力],MATCH($A30,M_RawMaterials[Part Name],0)),0)</f>
        <v/>
      </c>
      <c r="CR30">
        <f>SUMPRODUCT((M_BOM[Part Name]=$A30)*M_BOM[RM_Qty_Per_Batch]*IFERROR(INDEX(PP_Grid[#Data],M_BOM[PPGridRow],96),0))+IFERROR(INDEX(M_RawMaterials[固定週次消費量_要入力],MATCH($A30,M_RawMaterials[Part Name],0)),0)</f>
        <v/>
      </c>
      <c r="CS30">
        <f>SUMPRODUCT((M_BOM[Part Name]=$A30)*M_BOM[RM_Qty_Per_Batch]*IFERROR(INDEX(PP_Grid[#Data],M_BOM[PPGridRow],97),0))+IFERROR(INDEX(M_RawMaterials[固定週次消費量_要入力],MATCH($A30,M_RawMaterials[Part Name],0)),0)</f>
        <v/>
      </c>
      <c r="CT30">
        <f>SUMPRODUCT((M_BOM[Part Name]=$A30)*M_BOM[RM_Qty_Per_Batch]*IFERROR(INDEX(PP_Grid[#Data],M_BOM[PPGridRow],98),0))+IFERROR(INDEX(M_RawMaterials[固定週次消費量_要入力],MATCH($A30,M_RawMaterials[Part Name],0)),0)</f>
        <v/>
      </c>
      <c r="CU30">
        <f>SUMPRODUCT((M_BOM[Part Name]=$A30)*M_BOM[RM_Qty_Per_Batch]*IFERROR(INDEX(PP_Grid[#Data],M_BOM[PPGridRow],99),0))+IFERROR(INDEX(M_RawMaterials[固定週次消費量_要入力],MATCH($A30,M_RawMaterials[Part Name],0)),0)</f>
        <v/>
      </c>
      <c r="CV30">
        <f>SUMPRODUCT((M_BOM[Part Name]=$A30)*M_BOM[RM_Qty_Per_Batch]*IFERROR(INDEX(PP_Grid[#Data],M_BOM[PPGridRow],100),0))+IFERROR(INDEX(M_RawMaterials[固定週次消費量_要入力],MATCH($A30,M_RawMaterials[Part Name],0)),0)</f>
        <v/>
      </c>
      <c r="CW30">
        <f>SUMPRODUCT((M_BOM[Part Name]=$A30)*M_BOM[RM_Qty_Per_Batch]*IFERROR(INDEX(PP_Grid[#Data],M_BOM[PPGridRow],101),0))+IFERROR(INDEX(M_RawMaterials[固定週次消費量_要入力],MATCH($A30,M_RawMaterials[Part Name],0)),0)</f>
        <v/>
      </c>
      <c r="CX30">
        <f>SUMPRODUCT((M_BOM[Part Name]=$A30)*M_BOM[RM_Qty_Per_Batch]*IFERROR(INDEX(PP_Grid[#Data],M_BOM[PPGridRow],102),0))+IFERROR(INDEX(M_RawMaterials[固定週次消費量_要入力],MATCH($A30,M_RawMaterials[Part Name],0)),0)</f>
        <v/>
      </c>
      <c r="CY30">
        <f>SUMPRODUCT((M_BOM[Part Name]=$A30)*M_BOM[RM_Qty_Per_Batch]*IFERROR(INDEX(PP_Grid[#Data],M_BOM[PPGridRow],103),0))+IFERROR(INDEX(M_RawMaterials[固定週次消費量_要入力],MATCH($A30,M_RawMaterials[Part Name],0)),0)</f>
        <v/>
      </c>
      <c r="CZ30">
        <f>SUMPRODUCT((M_BOM[Part Name]=$A30)*M_BOM[RM_Qty_Per_Batch]*IFERROR(INDEX(PP_Grid[#Data],M_BOM[PPGridRow],104),0))+IFERROR(INDEX(M_RawMaterials[固定週次消費量_要入力],MATCH($A30,M_RawMaterials[Part Name],0)),0)</f>
        <v/>
      </c>
      <c r="DA30">
        <f>SUMPRODUCT((M_BOM[Part Name]=$A30)*M_BOM[RM_Qty_Per_Batch]*IFERROR(INDEX(PP_Grid[#Data],M_BOM[PPGridRow],105),0))+IFERROR(INDEX(M_RawMaterials[固定週次消費量_要入力],MATCH($A30,M_RawMaterials[Part Name],0)),0)</f>
        <v/>
      </c>
    </row>
    <row r="31">
      <c r="A31" t="inlineStr">
        <is>
          <t>CHEM-1440</t>
        </is>
      </c>
      <c r="B31">
        <f>SUMPRODUCT((M_BOM[Part Name]=$A31)*M_BOM[RM_Qty_Per_Batch]*IFERROR(INDEX(PP_Grid[#Data],M_BOM[PPGridRow],2),0))+IFERROR(INDEX(M_RawMaterials[固定週次消費量_要入力],MATCH($A31,M_RawMaterials[Part Name],0)),0)</f>
        <v/>
      </c>
      <c r="C31">
        <f>SUMPRODUCT((M_BOM[Part Name]=$A31)*M_BOM[RM_Qty_Per_Batch]*IFERROR(INDEX(PP_Grid[#Data],M_BOM[PPGridRow],3),0))+IFERROR(INDEX(M_RawMaterials[固定週次消費量_要入力],MATCH($A31,M_RawMaterials[Part Name],0)),0)</f>
        <v/>
      </c>
      <c r="D31">
        <f>SUMPRODUCT((M_BOM[Part Name]=$A31)*M_BOM[RM_Qty_Per_Batch]*IFERROR(INDEX(PP_Grid[#Data],M_BOM[PPGridRow],4),0))+IFERROR(INDEX(M_RawMaterials[固定週次消費量_要入力],MATCH($A31,M_RawMaterials[Part Name],0)),0)</f>
        <v/>
      </c>
      <c r="E31">
        <f>SUMPRODUCT((M_BOM[Part Name]=$A31)*M_BOM[RM_Qty_Per_Batch]*IFERROR(INDEX(PP_Grid[#Data],M_BOM[PPGridRow],5),0))+IFERROR(INDEX(M_RawMaterials[固定週次消費量_要入力],MATCH($A31,M_RawMaterials[Part Name],0)),0)</f>
        <v/>
      </c>
      <c r="F31">
        <f>SUMPRODUCT((M_BOM[Part Name]=$A31)*M_BOM[RM_Qty_Per_Batch]*IFERROR(INDEX(PP_Grid[#Data],M_BOM[PPGridRow],6),0))+IFERROR(INDEX(M_RawMaterials[固定週次消費量_要入力],MATCH($A31,M_RawMaterials[Part Name],0)),0)</f>
        <v/>
      </c>
      <c r="G31">
        <f>SUMPRODUCT((M_BOM[Part Name]=$A31)*M_BOM[RM_Qty_Per_Batch]*IFERROR(INDEX(PP_Grid[#Data],M_BOM[PPGridRow],7),0))+IFERROR(INDEX(M_RawMaterials[固定週次消費量_要入力],MATCH($A31,M_RawMaterials[Part Name],0)),0)</f>
        <v/>
      </c>
      <c r="H31">
        <f>SUMPRODUCT((M_BOM[Part Name]=$A31)*M_BOM[RM_Qty_Per_Batch]*IFERROR(INDEX(PP_Grid[#Data],M_BOM[PPGridRow],8),0))+IFERROR(INDEX(M_RawMaterials[固定週次消費量_要入力],MATCH($A31,M_RawMaterials[Part Name],0)),0)</f>
        <v/>
      </c>
      <c r="I31">
        <f>SUMPRODUCT((M_BOM[Part Name]=$A31)*M_BOM[RM_Qty_Per_Batch]*IFERROR(INDEX(PP_Grid[#Data],M_BOM[PPGridRow],9),0))+IFERROR(INDEX(M_RawMaterials[固定週次消費量_要入力],MATCH($A31,M_RawMaterials[Part Name],0)),0)</f>
        <v/>
      </c>
      <c r="J31">
        <f>SUMPRODUCT((M_BOM[Part Name]=$A31)*M_BOM[RM_Qty_Per_Batch]*IFERROR(INDEX(PP_Grid[#Data],M_BOM[PPGridRow],10),0))+IFERROR(INDEX(M_RawMaterials[固定週次消費量_要入力],MATCH($A31,M_RawMaterials[Part Name],0)),0)</f>
        <v/>
      </c>
      <c r="K31">
        <f>SUMPRODUCT((M_BOM[Part Name]=$A31)*M_BOM[RM_Qty_Per_Batch]*IFERROR(INDEX(PP_Grid[#Data],M_BOM[PPGridRow],11),0))+IFERROR(INDEX(M_RawMaterials[固定週次消費量_要入力],MATCH($A31,M_RawMaterials[Part Name],0)),0)</f>
        <v/>
      </c>
      <c r="L31">
        <f>SUMPRODUCT((M_BOM[Part Name]=$A31)*M_BOM[RM_Qty_Per_Batch]*IFERROR(INDEX(PP_Grid[#Data],M_BOM[PPGridRow],12),0))+IFERROR(INDEX(M_RawMaterials[固定週次消費量_要入力],MATCH($A31,M_RawMaterials[Part Name],0)),0)</f>
        <v/>
      </c>
      <c r="M31">
        <f>SUMPRODUCT((M_BOM[Part Name]=$A31)*M_BOM[RM_Qty_Per_Batch]*IFERROR(INDEX(PP_Grid[#Data],M_BOM[PPGridRow],13),0))+IFERROR(INDEX(M_RawMaterials[固定週次消費量_要入力],MATCH($A31,M_RawMaterials[Part Name],0)),0)</f>
        <v/>
      </c>
      <c r="N31">
        <f>SUMPRODUCT((M_BOM[Part Name]=$A31)*M_BOM[RM_Qty_Per_Batch]*IFERROR(INDEX(PP_Grid[#Data],M_BOM[PPGridRow],14),0))+IFERROR(INDEX(M_RawMaterials[固定週次消費量_要入力],MATCH($A31,M_RawMaterials[Part Name],0)),0)</f>
        <v/>
      </c>
      <c r="O31">
        <f>SUMPRODUCT((M_BOM[Part Name]=$A31)*M_BOM[RM_Qty_Per_Batch]*IFERROR(INDEX(PP_Grid[#Data],M_BOM[PPGridRow],15),0))+IFERROR(INDEX(M_RawMaterials[固定週次消費量_要入力],MATCH($A31,M_RawMaterials[Part Name],0)),0)</f>
        <v/>
      </c>
      <c r="P31">
        <f>SUMPRODUCT((M_BOM[Part Name]=$A31)*M_BOM[RM_Qty_Per_Batch]*IFERROR(INDEX(PP_Grid[#Data],M_BOM[PPGridRow],16),0))+IFERROR(INDEX(M_RawMaterials[固定週次消費量_要入力],MATCH($A31,M_RawMaterials[Part Name],0)),0)</f>
        <v/>
      </c>
      <c r="Q31">
        <f>SUMPRODUCT((M_BOM[Part Name]=$A31)*M_BOM[RM_Qty_Per_Batch]*IFERROR(INDEX(PP_Grid[#Data],M_BOM[PPGridRow],17),0))+IFERROR(INDEX(M_RawMaterials[固定週次消費量_要入力],MATCH($A31,M_RawMaterials[Part Name],0)),0)</f>
        <v/>
      </c>
      <c r="R31">
        <f>SUMPRODUCT((M_BOM[Part Name]=$A31)*M_BOM[RM_Qty_Per_Batch]*IFERROR(INDEX(PP_Grid[#Data],M_BOM[PPGridRow],18),0))+IFERROR(INDEX(M_RawMaterials[固定週次消費量_要入力],MATCH($A31,M_RawMaterials[Part Name],0)),0)</f>
        <v/>
      </c>
      <c r="S31">
        <f>SUMPRODUCT((M_BOM[Part Name]=$A31)*M_BOM[RM_Qty_Per_Batch]*IFERROR(INDEX(PP_Grid[#Data],M_BOM[PPGridRow],19),0))+IFERROR(INDEX(M_RawMaterials[固定週次消費量_要入力],MATCH($A31,M_RawMaterials[Part Name],0)),0)</f>
        <v/>
      </c>
      <c r="T31">
        <f>SUMPRODUCT((M_BOM[Part Name]=$A31)*M_BOM[RM_Qty_Per_Batch]*IFERROR(INDEX(PP_Grid[#Data],M_BOM[PPGridRow],20),0))+IFERROR(INDEX(M_RawMaterials[固定週次消費量_要入力],MATCH($A31,M_RawMaterials[Part Name],0)),0)</f>
        <v/>
      </c>
      <c r="U31">
        <f>SUMPRODUCT((M_BOM[Part Name]=$A31)*M_BOM[RM_Qty_Per_Batch]*IFERROR(INDEX(PP_Grid[#Data],M_BOM[PPGridRow],21),0))+IFERROR(INDEX(M_RawMaterials[固定週次消費量_要入力],MATCH($A31,M_RawMaterials[Part Name],0)),0)</f>
        <v/>
      </c>
      <c r="V31">
        <f>SUMPRODUCT((M_BOM[Part Name]=$A31)*M_BOM[RM_Qty_Per_Batch]*IFERROR(INDEX(PP_Grid[#Data],M_BOM[PPGridRow],22),0))+IFERROR(INDEX(M_RawMaterials[固定週次消費量_要入力],MATCH($A31,M_RawMaterials[Part Name],0)),0)</f>
        <v/>
      </c>
      <c r="W31">
        <f>SUMPRODUCT((M_BOM[Part Name]=$A31)*M_BOM[RM_Qty_Per_Batch]*IFERROR(INDEX(PP_Grid[#Data],M_BOM[PPGridRow],23),0))+IFERROR(INDEX(M_RawMaterials[固定週次消費量_要入力],MATCH($A31,M_RawMaterials[Part Name],0)),0)</f>
        <v/>
      </c>
      <c r="X31">
        <f>SUMPRODUCT((M_BOM[Part Name]=$A31)*M_BOM[RM_Qty_Per_Batch]*IFERROR(INDEX(PP_Grid[#Data],M_BOM[PPGridRow],24),0))+IFERROR(INDEX(M_RawMaterials[固定週次消費量_要入力],MATCH($A31,M_RawMaterials[Part Name],0)),0)</f>
        <v/>
      </c>
      <c r="Y31">
        <f>SUMPRODUCT((M_BOM[Part Name]=$A31)*M_BOM[RM_Qty_Per_Batch]*IFERROR(INDEX(PP_Grid[#Data],M_BOM[PPGridRow],25),0))+IFERROR(INDEX(M_RawMaterials[固定週次消費量_要入力],MATCH($A31,M_RawMaterials[Part Name],0)),0)</f>
        <v/>
      </c>
      <c r="Z31">
        <f>SUMPRODUCT((M_BOM[Part Name]=$A31)*M_BOM[RM_Qty_Per_Batch]*IFERROR(INDEX(PP_Grid[#Data],M_BOM[PPGridRow],26),0))+IFERROR(INDEX(M_RawMaterials[固定週次消費量_要入力],MATCH($A31,M_RawMaterials[Part Name],0)),0)</f>
        <v/>
      </c>
      <c r="AA31">
        <f>SUMPRODUCT((M_BOM[Part Name]=$A31)*M_BOM[RM_Qty_Per_Batch]*IFERROR(INDEX(PP_Grid[#Data],M_BOM[PPGridRow],27),0))+IFERROR(INDEX(M_RawMaterials[固定週次消費量_要入力],MATCH($A31,M_RawMaterials[Part Name],0)),0)</f>
        <v/>
      </c>
      <c r="AB31">
        <f>SUMPRODUCT((M_BOM[Part Name]=$A31)*M_BOM[RM_Qty_Per_Batch]*IFERROR(INDEX(PP_Grid[#Data],M_BOM[PPGridRow],28),0))+IFERROR(INDEX(M_RawMaterials[固定週次消費量_要入力],MATCH($A31,M_RawMaterials[Part Name],0)),0)</f>
        <v/>
      </c>
      <c r="AC31">
        <f>SUMPRODUCT((M_BOM[Part Name]=$A31)*M_BOM[RM_Qty_Per_Batch]*IFERROR(INDEX(PP_Grid[#Data],M_BOM[PPGridRow],29),0))+IFERROR(INDEX(M_RawMaterials[固定週次消費量_要入力],MATCH($A31,M_RawMaterials[Part Name],0)),0)</f>
        <v/>
      </c>
      <c r="AD31">
        <f>SUMPRODUCT((M_BOM[Part Name]=$A31)*M_BOM[RM_Qty_Per_Batch]*IFERROR(INDEX(PP_Grid[#Data],M_BOM[PPGridRow],30),0))+IFERROR(INDEX(M_RawMaterials[固定週次消費量_要入力],MATCH($A31,M_RawMaterials[Part Name],0)),0)</f>
        <v/>
      </c>
      <c r="AE31">
        <f>SUMPRODUCT((M_BOM[Part Name]=$A31)*M_BOM[RM_Qty_Per_Batch]*IFERROR(INDEX(PP_Grid[#Data],M_BOM[PPGridRow],31),0))+IFERROR(INDEX(M_RawMaterials[固定週次消費量_要入力],MATCH($A31,M_RawMaterials[Part Name],0)),0)</f>
        <v/>
      </c>
      <c r="AF31">
        <f>SUMPRODUCT((M_BOM[Part Name]=$A31)*M_BOM[RM_Qty_Per_Batch]*IFERROR(INDEX(PP_Grid[#Data],M_BOM[PPGridRow],32),0))+IFERROR(INDEX(M_RawMaterials[固定週次消費量_要入力],MATCH($A31,M_RawMaterials[Part Name],0)),0)</f>
        <v/>
      </c>
      <c r="AG31">
        <f>SUMPRODUCT((M_BOM[Part Name]=$A31)*M_BOM[RM_Qty_Per_Batch]*IFERROR(INDEX(PP_Grid[#Data],M_BOM[PPGridRow],33),0))+IFERROR(INDEX(M_RawMaterials[固定週次消費量_要入力],MATCH($A31,M_RawMaterials[Part Name],0)),0)</f>
        <v/>
      </c>
      <c r="AH31">
        <f>SUMPRODUCT((M_BOM[Part Name]=$A31)*M_BOM[RM_Qty_Per_Batch]*IFERROR(INDEX(PP_Grid[#Data],M_BOM[PPGridRow],34),0))+IFERROR(INDEX(M_RawMaterials[固定週次消費量_要入力],MATCH($A31,M_RawMaterials[Part Name],0)),0)</f>
        <v/>
      </c>
      <c r="AI31">
        <f>SUMPRODUCT((M_BOM[Part Name]=$A31)*M_BOM[RM_Qty_Per_Batch]*IFERROR(INDEX(PP_Grid[#Data],M_BOM[PPGridRow],35),0))+IFERROR(INDEX(M_RawMaterials[固定週次消費量_要入力],MATCH($A31,M_RawMaterials[Part Name],0)),0)</f>
        <v/>
      </c>
      <c r="AJ31">
        <f>SUMPRODUCT((M_BOM[Part Name]=$A31)*M_BOM[RM_Qty_Per_Batch]*IFERROR(INDEX(PP_Grid[#Data],M_BOM[PPGridRow],36),0))+IFERROR(INDEX(M_RawMaterials[固定週次消費量_要入力],MATCH($A31,M_RawMaterials[Part Name],0)),0)</f>
        <v/>
      </c>
      <c r="AK31">
        <f>SUMPRODUCT((M_BOM[Part Name]=$A31)*M_BOM[RM_Qty_Per_Batch]*IFERROR(INDEX(PP_Grid[#Data],M_BOM[PPGridRow],37),0))+IFERROR(INDEX(M_RawMaterials[固定週次消費量_要入力],MATCH($A31,M_RawMaterials[Part Name],0)),0)</f>
        <v/>
      </c>
      <c r="AL31">
        <f>SUMPRODUCT((M_BOM[Part Name]=$A31)*M_BOM[RM_Qty_Per_Batch]*IFERROR(INDEX(PP_Grid[#Data],M_BOM[PPGridRow],38),0))+IFERROR(INDEX(M_RawMaterials[固定週次消費量_要入力],MATCH($A31,M_RawMaterials[Part Name],0)),0)</f>
        <v/>
      </c>
      <c r="AM31">
        <f>SUMPRODUCT((M_BOM[Part Name]=$A31)*M_BOM[RM_Qty_Per_Batch]*IFERROR(INDEX(PP_Grid[#Data],M_BOM[PPGridRow],39),0))+IFERROR(INDEX(M_RawMaterials[固定週次消費量_要入力],MATCH($A31,M_RawMaterials[Part Name],0)),0)</f>
        <v/>
      </c>
      <c r="AN31">
        <f>SUMPRODUCT((M_BOM[Part Name]=$A31)*M_BOM[RM_Qty_Per_Batch]*IFERROR(INDEX(PP_Grid[#Data],M_BOM[PPGridRow],40),0))+IFERROR(INDEX(M_RawMaterials[固定週次消費量_要入力],MATCH($A31,M_RawMaterials[Part Name],0)),0)</f>
        <v/>
      </c>
      <c r="AO31">
        <f>SUMPRODUCT((M_BOM[Part Name]=$A31)*M_BOM[RM_Qty_Per_Batch]*IFERROR(INDEX(PP_Grid[#Data],M_BOM[PPGridRow],41),0))+IFERROR(INDEX(M_RawMaterials[固定週次消費量_要入力],MATCH($A31,M_RawMaterials[Part Name],0)),0)</f>
        <v/>
      </c>
      <c r="AP31">
        <f>SUMPRODUCT((M_BOM[Part Name]=$A31)*M_BOM[RM_Qty_Per_Batch]*IFERROR(INDEX(PP_Grid[#Data],M_BOM[PPGridRow],42),0))+IFERROR(INDEX(M_RawMaterials[固定週次消費量_要入力],MATCH($A31,M_RawMaterials[Part Name],0)),0)</f>
        <v/>
      </c>
      <c r="AQ31">
        <f>SUMPRODUCT((M_BOM[Part Name]=$A31)*M_BOM[RM_Qty_Per_Batch]*IFERROR(INDEX(PP_Grid[#Data],M_BOM[PPGridRow],43),0))+IFERROR(INDEX(M_RawMaterials[固定週次消費量_要入力],MATCH($A31,M_RawMaterials[Part Name],0)),0)</f>
        <v/>
      </c>
      <c r="AR31">
        <f>SUMPRODUCT((M_BOM[Part Name]=$A31)*M_BOM[RM_Qty_Per_Batch]*IFERROR(INDEX(PP_Grid[#Data],M_BOM[PPGridRow],44),0))+IFERROR(INDEX(M_RawMaterials[固定週次消費量_要入力],MATCH($A31,M_RawMaterials[Part Name],0)),0)</f>
        <v/>
      </c>
      <c r="AS31">
        <f>SUMPRODUCT((M_BOM[Part Name]=$A31)*M_BOM[RM_Qty_Per_Batch]*IFERROR(INDEX(PP_Grid[#Data],M_BOM[PPGridRow],45),0))+IFERROR(INDEX(M_RawMaterials[固定週次消費量_要入力],MATCH($A31,M_RawMaterials[Part Name],0)),0)</f>
        <v/>
      </c>
      <c r="AT31">
        <f>SUMPRODUCT((M_BOM[Part Name]=$A31)*M_BOM[RM_Qty_Per_Batch]*IFERROR(INDEX(PP_Grid[#Data],M_BOM[PPGridRow],46),0))+IFERROR(INDEX(M_RawMaterials[固定週次消費量_要入力],MATCH($A31,M_RawMaterials[Part Name],0)),0)</f>
        <v/>
      </c>
      <c r="AU31">
        <f>SUMPRODUCT((M_BOM[Part Name]=$A31)*M_BOM[RM_Qty_Per_Batch]*IFERROR(INDEX(PP_Grid[#Data],M_BOM[PPGridRow],47),0))+IFERROR(INDEX(M_RawMaterials[固定週次消費量_要入力],MATCH($A31,M_RawMaterials[Part Name],0)),0)</f>
        <v/>
      </c>
      <c r="AV31">
        <f>SUMPRODUCT((M_BOM[Part Name]=$A31)*M_BOM[RM_Qty_Per_Batch]*IFERROR(INDEX(PP_Grid[#Data],M_BOM[PPGridRow],48),0))+IFERROR(INDEX(M_RawMaterials[固定週次消費量_要入力],MATCH($A31,M_RawMaterials[Part Name],0)),0)</f>
        <v/>
      </c>
      <c r="AW31">
        <f>SUMPRODUCT((M_BOM[Part Name]=$A31)*M_BOM[RM_Qty_Per_Batch]*IFERROR(INDEX(PP_Grid[#Data],M_BOM[PPGridRow],49),0))+IFERROR(INDEX(M_RawMaterials[固定週次消費量_要入力],MATCH($A31,M_RawMaterials[Part Name],0)),0)</f>
        <v/>
      </c>
      <c r="AX31">
        <f>SUMPRODUCT((M_BOM[Part Name]=$A31)*M_BOM[RM_Qty_Per_Batch]*IFERROR(INDEX(PP_Grid[#Data],M_BOM[PPGridRow],50),0))+IFERROR(INDEX(M_RawMaterials[固定週次消費量_要入力],MATCH($A31,M_RawMaterials[Part Name],0)),0)</f>
        <v/>
      </c>
      <c r="AY31">
        <f>SUMPRODUCT((M_BOM[Part Name]=$A31)*M_BOM[RM_Qty_Per_Batch]*IFERROR(INDEX(PP_Grid[#Data],M_BOM[PPGridRow],51),0))+IFERROR(INDEX(M_RawMaterials[固定週次消費量_要入力],MATCH($A31,M_RawMaterials[Part Name],0)),0)</f>
        <v/>
      </c>
      <c r="AZ31">
        <f>SUMPRODUCT((M_BOM[Part Name]=$A31)*M_BOM[RM_Qty_Per_Batch]*IFERROR(INDEX(PP_Grid[#Data],M_BOM[PPGridRow],52),0))+IFERROR(INDEX(M_RawMaterials[固定週次消費量_要入力],MATCH($A31,M_RawMaterials[Part Name],0)),0)</f>
        <v/>
      </c>
      <c r="BA31">
        <f>SUMPRODUCT((M_BOM[Part Name]=$A31)*M_BOM[RM_Qty_Per_Batch]*IFERROR(INDEX(PP_Grid[#Data],M_BOM[PPGridRow],53),0))+IFERROR(INDEX(M_RawMaterials[固定週次消費量_要入力],MATCH($A31,M_RawMaterials[Part Name],0)),0)</f>
        <v/>
      </c>
      <c r="BB31">
        <f>SUMPRODUCT((M_BOM[Part Name]=$A31)*M_BOM[RM_Qty_Per_Batch]*IFERROR(INDEX(PP_Grid[#Data],M_BOM[PPGridRow],54),0))+IFERROR(INDEX(M_RawMaterials[固定週次消費量_要入力],MATCH($A31,M_RawMaterials[Part Name],0)),0)</f>
        <v/>
      </c>
      <c r="BC31">
        <f>SUMPRODUCT((M_BOM[Part Name]=$A31)*M_BOM[RM_Qty_Per_Batch]*IFERROR(INDEX(PP_Grid[#Data],M_BOM[PPGridRow],55),0))+IFERROR(INDEX(M_RawMaterials[固定週次消費量_要入力],MATCH($A31,M_RawMaterials[Part Name],0)),0)</f>
        <v/>
      </c>
      <c r="BD31">
        <f>SUMPRODUCT((M_BOM[Part Name]=$A31)*M_BOM[RM_Qty_Per_Batch]*IFERROR(INDEX(PP_Grid[#Data],M_BOM[PPGridRow],56),0))+IFERROR(INDEX(M_RawMaterials[固定週次消費量_要入力],MATCH($A31,M_RawMaterials[Part Name],0)),0)</f>
        <v/>
      </c>
      <c r="BE31">
        <f>SUMPRODUCT((M_BOM[Part Name]=$A31)*M_BOM[RM_Qty_Per_Batch]*IFERROR(INDEX(PP_Grid[#Data],M_BOM[PPGridRow],57),0))+IFERROR(INDEX(M_RawMaterials[固定週次消費量_要入力],MATCH($A31,M_RawMaterials[Part Name],0)),0)</f>
        <v/>
      </c>
      <c r="BF31">
        <f>SUMPRODUCT((M_BOM[Part Name]=$A31)*M_BOM[RM_Qty_Per_Batch]*IFERROR(INDEX(PP_Grid[#Data],M_BOM[PPGridRow],58),0))+IFERROR(INDEX(M_RawMaterials[固定週次消費量_要入力],MATCH($A31,M_RawMaterials[Part Name],0)),0)</f>
        <v/>
      </c>
      <c r="BG31">
        <f>SUMPRODUCT((M_BOM[Part Name]=$A31)*M_BOM[RM_Qty_Per_Batch]*IFERROR(INDEX(PP_Grid[#Data],M_BOM[PPGridRow],59),0))+IFERROR(INDEX(M_RawMaterials[固定週次消費量_要入力],MATCH($A31,M_RawMaterials[Part Name],0)),0)</f>
        <v/>
      </c>
      <c r="BH31">
        <f>SUMPRODUCT((M_BOM[Part Name]=$A31)*M_BOM[RM_Qty_Per_Batch]*IFERROR(INDEX(PP_Grid[#Data],M_BOM[PPGridRow],60),0))+IFERROR(INDEX(M_RawMaterials[固定週次消費量_要入力],MATCH($A31,M_RawMaterials[Part Name],0)),0)</f>
        <v/>
      </c>
      <c r="BI31">
        <f>SUMPRODUCT((M_BOM[Part Name]=$A31)*M_BOM[RM_Qty_Per_Batch]*IFERROR(INDEX(PP_Grid[#Data],M_BOM[PPGridRow],61),0))+IFERROR(INDEX(M_RawMaterials[固定週次消費量_要入力],MATCH($A31,M_RawMaterials[Part Name],0)),0)</f>
        <v/>
      </c>
      <c r="BJ31">
        <f>SUMPRODUCT((M_BOM[Part Name]=$A31)*M_BOM[RM_Qty_Per_Batch]*IFERROR(INDEX(PP_Grid[#Data],M_BOM[PPGridRow],62),0))+IFERROR(INDEX(M_RawMaterials[固定週次消費量_要入力],MATCH($A31,M_RawMaterials[Part Name],0)),0)</f>
        <v/>
      </c>
      <c r="BK31">
        <f>SUMPRODUCT((M_BOM[Part Name]=$A31)*M_BOM[RM_Qty_Per_Batch]*IFERROR(INDEX(PP_Grid[#Data],M_BOM[PPGridRow],63),0))+IFERROR(INDEX(M_RawMaterials[固定週次消費量_要入力],MATCH($A31,M_RawMaterials[Part Name],0)),0)</f>
        <v/>
      </c>
      <c r="BL31">
        <f>SUMPRODUCT((M_BOM[Part Name]=$A31)*M_BOM[RM_Qty_Per_Batch]*IFERROR(INDEX(PP_Grid[#Data],M_BOM[PPGridRow],64),0))+IFERROR(INDEX(M_RawMaterials[固定週次消費量_要入力],MATCH($A31,M_RawMaterials[Part Name],0)),0)</f>
        <v/>
      </c>
      <c r="BM31">
        <f>SUMPRODUCT((M_BOM[Part Name]=$A31)*M_BOM[RM_Qty_Per_Batch]*IFERROR(INDEX(PP_Grid[#Data],M_BOM[PPGridRow],65),0))+IFERROR(INDEX(M_RawMaterials[固定週次消費量_要入力],MATCH($A31,M_RawMaterials[Part Name],0)),0)</f>
        <v/>
      </c>
      <c r="BN31">
        <f>SUMPRODUCT((M_BOM[Part Name]=$A31)*M_BOM[RM_Qty_Per_Batch]*IFERROR(INDEX(PP_Grid[#Data],M_BOM[PPGridRow],66),0))+IFERROR(INDEX(M_RawMaterials[固定週次消費量_要入力],MATCH($A31,M_RawMaterials[Part Name],0)),0)</f>
        <v/>
      </c>
      <c r="BO31">
        <f>SUMPRODUCT((M_BOM[Part Name]=$A31)*M_BOM[RM_Qty_Per_Batch]*IFERROR(INDEX(PP_Grid[#Data],M_BOM[PPGridRow],67),0))+IFERROR(INDEX(M_RawMaterials[固定週次消費量_要入力],MATCH($A31,M_RawMaterials[Part Name],0)),0)</f>
        <v/>
      </c>
      <c r="BP31">
        <f>SUMPRODUCT((M_BOM[Part Name]=$A31)*M_BOM[RM_Qty_Per_Batch]*IFERROR(INDEX(PP_Grid[#Data],M_BOM[PPGridRow],68),0))+IFERROR(INDEX(M_RawMaterials[固定週次消費量_要入力],MATCH($A31,M_RawMaterials[Part Name],0)),0)</f>
        <v/>
      </c>
      <c r="BQ31">
        <f>SUMPRODUCT((M_BOM[Part Name]=$A31)*M_BOM[RM_Qty_Per_Batch]*IFERROR(INDEX(PP_Grid[#Data],M_BOM[PPGridRow],69),0))+IFERROR(INDEX(M_RawMaterials[固定週次消費量_要入力],MATCH($A31,M_RawMaterials[Part Name],0)),0)</f>
        <v/>
      </c>
      <c r="BR31">
        <f>SUMPRODUCT((M_BOM[Part Name]=$A31)*M_BOM[RM_Qty_Per_Batch]*IFERROR(INDEX(PP_Grid[#Data],M_BOM[PPGridRow],70),0))+IFERROR(INDEX(M_RawMaterials[固定週次消費量_要入力],MATCH($A31,M_RawMaterials[Part Name],0)),0)</f>
        <v/>
      </c>
      <c r="BS31">
        <f>SUMPRODUCT((M_BOM[Part Name]=$A31)*M_BOM[RM_Qty_Per_Batch]*IFERROR(INDEX(PP_Grid[#Data],M_BOM[PPGridRow],71),0))+IFERROR(INDEX(M_RawMaterials[固定週次消費量_要入力],MATCH($A31,M_RawMaterials[Part Name],0)),0)</f>
        <v/>
      </c>
      <c r="BT31">
        <f>SUMPRODUCT((M_BOM[Part Name]=$A31)*M_BOM[RM_Qty_Per_Batch]*IFERROR(INDEX(PP_Grid[#Data],M_BOM[PPGridRow],72),0))+IFERROR(INDEX(M_RawMaterials[固定週次消費量_要入力],MATCH($A31,M_RawMaterials[Part Name],0)),0)</f>
        <v/>
      </c>
      <c r="BU31">
        <f>SUMPRODUCT((M_BOM[Part Name]=$A31)*M_BOM[RM_Qty_Per_Batch]*IFERROR(INDEX(PP_Grid[#Data],M_BOM[PPGridRow],73),0))+IFERROR(INDEX(M_RawMaterials[固定週次消費量_要入力],MATCH($A31,M_RawMaterials[Part Name],0)),0)</f>
        <v/>
      </c>
      <c r="BV31">
        <f>SUMPRODUCT((M_BOM[Part Name]=$A31)*M_BOM[RM_Qty_Per_Batch]*IFERROR(INDEX(PP_Grid[#Data],M_BOM[PPGridRow],74),0))+IFERROR(INDEX(M_RawMaterials[固定週次消費量_要入力],MATCH($A31,M_RawMaterials[Part Name],0)),0)</f>
        <v/>
      </c>
      <c r="BW31">
        <f>SUMPRODUCT((M_BOM[Part Name]=$A31)*M_BOM[RM_Qty_Per_Batch]*IFERROR(INDEX(PP_Grid[#Data],M_BOM[PPGridRow],75),0))+IFERROR(INDEX(M_RawMaterials[固定週次消費量_要入力],MATCH($A31,M_RawMaterials[Part Name],0)),0)</f>
        <v/>
      </c>
      <c r="BX31">
        <f>SUMPRODUCT((M_BOM[Part Name]=$A31)*M_BOM[RM_Qty_Per_Batch]*IFERROR(INDEX(PP_Grid[#Data],M_BOM[PPGridRow],76),0))+IFERROR(INDEX(M_RawMaterials[固定週次消費量_要入力],MATCH($A31,M_RawMaterials[Part Name],0)),0)</f>
        <v/>
      </c>
      <c r="BY31">
        <f>SUMPRODUCT((M_BOM[Part Name]=$A31)*M_BOM[RM_Qty_Per_Batch]*IFERROR(INDEX(PP_Grid[#Data],M_BOM[PPGridRow],77),0))+IFERROR(INDEX(M_RawMaterials[固定週次消費量_要入力],MATCH($A31,M_RawMaterials[Part Name],0)),0)</f>
        <v/>
      </c>
      <c r="BZ31">
        <f>SUMPRODUCT((M_BOM[Part Name]=$A31)*M_BOM[RM_Qty_Per_Batch]*IFERROR(INDEX(PP_Grid[#Data],M_BOM[PPGridRow],78),0))+IFERROR(INDEX(M_RawMaterials[固定週次消費量_要入力],MATCH($A31,M_RawMaterials[Part Name],0)),0)</f>
        <v/>
      </c>
      <c r="CA31">
        <f>SUMPRODUCT((M_BOM[Part Name]=$A31)*M_BOM[RM_Qty_Per_Batch]*IFERROR(INDEX(PP_Grid[#Data],M_BOM[PPGridRow],79),0))+IFERROR(INDEX(M_RawMaterials[固定週次消費量_要入力],MATCH($A31,M_RawMaterials[Part Name],0)),0)</f>
        <v/>
      </c>
      <c r="CB31">
        <f>SUMPRODUCT((M_BOM[Part Name]=$A31)*M_BOM[RM_Qty_Per_Batch]*IFERROR(INDEX(PP_Grid[#Data],M_BOM[PPGridRow],80),0))+IFERROR(INDEX(M_RawMaterials[固定週次消費量_要入力],MATCH($A31,M_RawMaterials[Part Name],0)),0)</f>
        <v/>
      </c>
      <c r="CC31">
        <f>SUMPRODUCT((M_BOM[Part Name]=$A31)*M_BOM[RM_Qty_Per_Batch]*IFERROR(INDEX(PP_Grid[#Data],M_BOM[PPGridRow],81),0))+IFERROR(INDEX(M_RawMaterials[固定週次消費量_要入力],MATCH($A31,M_RawMaterials[Part Name],0)),0)</f>
        <v/>
      </c>
      <c r="CD31">
        <f>SUMPRODUCT((M_BOM[Part Name]=$A31)*M_BOM[RM_Qty_Per_Batch]*IFERROR(INDEX(PP_Grid[#Data],M_BOM[PPGridRow],82),0))+IFERROR(INDEX(M_RawMaterials[固定週次消費量_要入力],MATCH($A31,M_RawMaterials[Part Name],0)),0)</f>
        <v/>
      </c>
      <c r="CE31">
        <f>SUMPRODUCT((M_BOM[Part Name]=$A31)*M_BOM[RM_Qty_Per_Batch]*IFERROR(INDEX(PP_Grid[#Data],M_BOM[PPGridRow],83),0))+IFERROR(INDEX(M_RawMaterials[固定週次消費量_要入力],MATCH($A31,M_RawMaterials[Part Name],0)),0)</f>
        <v/>
      </c>
      <c r="CF31">
        <f>SUMPRODUCT((M_BOM[Part Name]=$A31)*M_BOM[RM_Qty_Per_Batch]*IFERROR(INDEX(PP_Grid[#Data],M_BOM[PPGridRow],84),0))+IFERROR(INDEX(M_RawMaterials[固定週次消費量_要入力],MATCH($A31,M_RawMaterials[Part Name],0)),0)</f>
        <v/>
      </c>
      <c r="CG31">
        <f>SUMPRODUCT((M_BOM[Part Name]=$A31)*M_BOM[RM_Qty_Per_Batch]*IFERROR(INDEX(PP_Grid[#Data],M_BOM[PPGridRow],85),0))+IFERROR(INDEX(M_RawMaterials[固定週次消費量_要入力],MATCH($A31,M_RawMaterials[Part Name],0)),0)</f>
        <v/>
      </c>
      <c r="CH31">
        <f>SUMPRODUCT((M_BOM[Part Name]=$A31)*M_BOM[RM_Qty_Per_Batch]*IFERROR(INDEX(PP_Grid[#Data],M_BOM[PPGridRow],86),0))+IFERROR(INDEX(M_RawMaterials[固定週次消費量_要入力],MATCH($A31,M_RawMaterials[Part Name],0)),0)</f>
        <v/>
      </c>
      <c r="CI31">
        <f>SUMPRODUCT((M_BOM[Part Name]=$A31)*M_BOM[RM_Qty_Per_Batch]*IFERROR(INDEX(PP_Grid[#Data],M_BOM[PPGridRow],87),0))+IFERROR(INDEX(M_RawMaterials[固定週次消費量_要入力],MATCH($A31,M_RawMaterials[Part Name],0)),0)</f>
        <v/>
      </c>
      <c r="CJ31">
        <f>SUMPRODUCT((M_BOM[Part Name]=$A31)*M_BOM[RM_Qty_Per_Batch]*IFERROR(INDEX(PP_Grid[#Data],M_BOM[PPGridRow],88),0))+IFERROR(INDEX(M_RawMaterials[固定週次消費量_要入力],MATCH($A31,M_RawMaterials[Part Name],0)),0)</f>
        <v/>
      </c>
      <c r="CK31">
        <f>SUMPRODUCT((M_BOM[Part Name]=$A31)*M_BOM[RM_Qty_Per_Batch]*IFERROR(INDEX(PP_Grid[#Data],M_BOM[PPGridRow],89),0))+IFERROR(INDEX(M_RawMaterials[固定週次消費量_要入力],MATCH($A31,M_RawMaterials[Part Name],0)),0)</f>
        <v/>
      </c>
      <c r="CL31">
        <f>SUMPRODUCT((M_BOM[Part Name]=$A31)*M_BOM[RM_Qty_Per_Batch]*IFERROR(INDEX(PP_Grid[#Data],M_BOM[PPGridRow],90),0))+IFERROR(INDEX(M_RawMaterials[固定週次消費量_要入力],MATCH($A31,M_RawMaterials[Part Name],0)),0)</f>
        <v/>
      </c>
      <c r="CM31">
        <f>SUMPRODUCT((M_BOM[Part Name]=$A31)*M_BOM[RM_Qty_Per_Batch]*IFERROR(INDEX(PP_Grid[#Data],M_BOM[PPGridRow],91),0))+IFERROR(INDEX(M_RawMaterials[固定週次消費量_要入力],MATCH($A31,M_RawMaterials[Part Name],0)),0)</f>
        <v/>
      </c>
      <c r="CN31">
        <f>SUMPRODUCT((M_BOM[Part Name]=$A31)*M_BOM[RM_Qty_Per_Batch]*IFERROR(INDEX(PP_Grid[#Data],M_BOM[PPGridRow],92),0))+IFERROR(INDEX(M_RawMaterials[固定週次消費量_要入力],MATCH($A31,M_RawMaterials[Part Name],0)),0)</f>
        <v/>
      </c>
      <c r="CO31">
        <f>SUMPRODUCT((M_BOM[Part Name]=$A31)*M_BOM[RM_Qty_Per_Batch]*IFERROR(INDEX(PP_Grid[#Data],M_BOM[PPGridRow],93),0))+IFERROR(INDEX(M_RawMaterials[固定週次消費量_要入力],MATCH($A31,M_RawMaterials[Part Name],0)),0)</f>
        <v/>
      </c>
      <c r="CP31">
        <f>SUMPRODUCT((M_BOM[Part Name]=$A31)*M_BOM[RM_Qty_Per_Batch]*IFERROR(INDEX(PP_Grid[#Data],M_BOM[PPGridRow],94),0))+IFERROR(INDEX(M_RawMaterials[固定週次消費量_要入力],MATCH($A31,M_RawMaterials[Part Name],0)),0)</f>
        <v/>
      </c>
      <c r="CQ31">
        <f>SUMPRODUCT((M_BOM[Part Name]=$A31)*M_BOM[RM_Qty_Per_Batch]*IFERROR(INDEX(PP_Grid[#Data],M_BOM[PPGridRow],95),0))+IFERROR(INDEX(M_RawMaterials[固定週次消費量_要入力],MATCH($A31,M_RawMaterials[Part Name],0)),0)</f>
        <v/>
      </c>
      <c r="CR31">
        <f>SUMPRODUCT((M_BOM[Part Name]=$A31)*M_BOM[RM_Qty_Per_Batch]*IFERROR(INDEX(PP_Grid[#Data],M_BOM[PPGridRow],96),0))+IFERROR(INDEX(M_RawMaterials[固定週次消費量_要入力],MATCH($A31,M_RawMaterials[Part Name],0)),0)</f>
        <v/>
      </c>
      <c r="CS31">
        <f>SUMPRODUCT((M_BOM[Part Name]=$A31)*M_BOM[RM_Qty_Per_Batch]*IFERROR(INDEX(PP_Grid[#Data],M_BOM[PPGridRow],97),0))+IFERROR(INDEX(M_RawMaterials[固定週次消費量_要入力],MATCH($A31,M_RawMaterials[Part Name],0)),0)</f>
        <v/>
      </c>
      <c r="CT31">
        <f>SUMPRODUCT((M_BOM[Part Name]=$A31)*M_BOM[RM_Qty_Per_Batch]*IFERROR(INDEX(PP_Grid[#Data],M_BOM[PPGridRow],98),0))+IFERROR(INDEX(M_RawMaterials[固定週次消費量_要入力],MATCH($A31,M_RawMaterials[Part Name],0)),0)</f>
        <v/>
      </c>
      <c r="CU31">
        <f>SUMPRODUCT((M_BOM[Part Name]=$A31)*M_BOM[RM_Qty_Per_Batch]*IFERROR(INDEX(PP_Grid[#Data],M_BOM[PPGridRow],99),0))+IFERROR(INDEX(M_RawMaterials[固定週次消費量_要入力],MATCH($A31,M_RawMaterials[Part Name],0)),0)</f>
        <v/>
      </c>
      <c r="CV31">
        <f>SUMPRODUCT((M_BOM[Part Name]=$A31)*M_BOM[RM_Qty_Per_Batch]*IFERROR(INDEX(PP_Grid[#Data],M_BOM[PPGridRow],100),0))+IFERROR(INDEX(M_RawMaterials[固定週次消費量_要入力],MATCH($A31,M_RawMaterials[Part Name],0)),0)</f>
        <v/>
      </c>
      <c r="CW31">
        <f>SUMPRODUCT((M_BOM[Part Name]=$A31)*M_BOM[RM_Qty_Per_Batch]*IFERROR(INDEX(PP_Grid[#Data],M_BOM[PPGridRow],101),0))+IFERROR(INDEX(M_RawMaterials[固定週次消費量_要入力],MATCH($A31,M_RawMaterials[Part Name],0)),0)</f>
        <v/>
      </c>
      <c r="CX31">
        <f>SUMPRODUCT((M_BOM[Part Name]=$A31)*M_BOM[RM_Qty_Per_Batch]*IFERROR(INDEX(PP_Grid[#Data],M_BOM[PPGridRow],102),0))+IFERROR(INDEX(M_RawMaterials[固定週次消費量_要入力],MATCH($A31,M_RawMaterials[Part Name],0)),0)</f>
        <v/>
      </c>
      <c r="CY31">
        <f>SUMPRODUCT((M_BOM[Part Name]=$A31)*M_BOM[RM_Qty_Per_Batch]*IFERROR(INDEX(PP_Grid[#Data],M_BOM[PPGridRow],103),0))+IFERROR(INDEX(M_RawMaterials[固定週次消費量_要入力],MATCH($A31,M_RawMaterials[Part Name],0)),0)</f>
        <v/>
      </c>
      <c r="CZ31">
        <f>SUMPRODUCT((M_BOM[Part Name]=$A31)*M_BOM[RM_Qty_Per_Batch]*IFERROR(INDEX(PP_Grid[#Data],M_BOM[PPGridRow],104),0))+IFERROR(INDEX(M_RawMaterials[固定週次消費量_要入力],MATCH($A31,M_RawMaterials[Part Name],0)),0)</f>
        <v/>
      </c>
      <c r="DA31">
        <f>SUMPRODUCT((M_BOM[Part Name]=$A31)*M_BOM[RM_Qty_Per_Batch]*IFERROR(INDEX(PP_Grid[#Data],M_BOM[PPGridRow],105),0))+IFERROR(INDEX(M_RawMaterials[固定週次消費量_要入力],MATCH($A31,M_RawMaterials[Part Name],0)),0)</f>
        <v/>
      </c>
    </row>
    <row r="32">
      <c r="A32" t="inlineStr">
        <is>
          <t>CHEM-1780</t>
        </is>
      </c>
      <c r="B32">
        <f>SUMPRODUCT((M_BOM[Part Name]=$A32)*M_BOM[RM_Qty_Per_Batch]*IFERROR(INDEX(PP_Grid[#Data],M_BOM[PPGridRow],2),0))+IFERROR(INDEX(M_RawMaterials[固定週次消費量_要入力],MATCH($A32,M_RawMaterials[Part Name],0)),0)</f>
        <v/>
      </c>
      <c r="C32">
        <f>SUMPRODUCT((M_BOM[Part Name]=$A32)*M_BOM[RM_Qty_Per_Batch]*IFERROR(INDEX(PP_Grid[#Data],M_BOM[PPGridRow],3),0))+IFERROR(INDEX(M_RawMaterials[固定週次消費量_要入力],MATCH($A32,M_RawMaterials[Part Name],0)),0)</f>
        <v/>
      </c>
      <c r="D32">
        <f>SUMPRODUCT((M_BOM[Part Name]=$A32)*M_BOM[RM_Qty_Per_Batch]*IFERROR(INDEX(PP_Grid[#Data],M_BOM[PPGridRow],4),0))+IFERROR(INDEX(M_RawMaterials[固定週次消費量_要入力],MATCH($A32,M_RawMaterials[Part Name],0)),0)</f>
        <v/>
      </c>
      <c r="E32">
        <f>SUMPRODUCT((M_BOM[Part Name]=$A32)*M_BOM[RM_Qty_Per_Batch]*IFERROR(INDEX(PP_Grid[#Data],M_BOM[PPGridRow],5),0))+IFERROR(INDEX(M_RawMaterials[固定週次消費量_要入力],MATCH($A32,M_RawMaterials[Part Name],0)),0)</f>
        <v/>
      </c>
      <c r="F32">
        <f>SUMPRODUCT((M_BOM[Part Name]=$A32)*M_BOM[RM_Qty_Per_Batch]*IFERROR(INDEX(PP_Grid[#Data],M_BOM[PPGridRow],6),0))+IFERROR(INDEX(M_RawMaterials[固定週次消費量_要入力],MATCH($A32,M_RawMaterials[Part Name],0)),0)</f>
        <v/>
      </c>
      <c r="G32">
        <f>SUMPRODUCT((M_BOM[Part Name]=$A32)*M_BOM[RM_Qty_Per_Batch]*IFERROR(INDEX(PP_Grid[#Data],M_BOM[PPGridRow],7),0))+IFERROR(INDEX(M_RawMaterials[固定週次消費量_要入力],MATCH($A32,M_RawMaterials[Part Name],0)),0)</f>
        <v/>
      </c>
      <c r="H32">
        <f>SUMPRODUCT((M_BOM[Part Name]=$A32)*M_BOM[RM_Qty_Per_Batch]*IFERROR(INDEX(PP_Grid[#Data],M_BOM[PPGridRow],8),0))+IFERROR(INDEX(M_RawMaterials[固定週次消費量_要入力],MATCH($A32,M_RawMaterials[Part Name],0)),0)</f>
        <v/>
      </c>
      <c r="I32">
        <f>SUMPRODUCT((M_BOM[Part Name]=$A32)*M_BOM[RM_Qty_Per_Batch]*IFERROR(INDEX(PP_Grid[#Data],M_BOM[PPGridRow],9),0))+IFERROR(INDEX(M_RawMaterials[固定週次消費量_要入力],MATCH($A32,M_RawMaterials[Part Name],0)),0)</f>
        <v/>
      </c>
      <c r="J32">
        <f>SUMPRODUCT((M_BOM[Part Name]=$A32)*M_BOM[RM_Qty_Per_Batch]*IFERROR(INDEX(PP_Grid[#Data],M_BOM[PPGridRow],10),0))+IFERROR(INDEX(M_RawMaterials[固定週次消費量_要入力],MATCH($A32,M_RawMaterials[Part Name],0)),0)</f>
        <v/>
      </c>
      <c r="K32">
        <f>SUMPRODUCT((M_BOM[Part Name]=$A32)*M_BOM[RM_Qty_Per_Batch]*IFERROR(INDEX(PP_Grid[#Data],M_BOM[PPGridRow],11),0))+IFERROR(INDEX(M_RawMaterials[固定週次消費量_要入力],MATCH($A32,M_RawMaterials[Part Name],0)),0)</f>
        <v/>
      </c>
      <c r="L32">
        <f>SUMPRODUCT((M_BOM[Part Name]=$A32)*M_BOM[RM_Qty_Per_Batch]*IFERROR(INDEX(PP_Grid[#Data],M_BOM[PPGridRow],12),0))+IFERROR(INDEX(M_RawMaterials[固定週次消費量_要入力],MATCH($A32,M_RawMaterials[Part Name],0)),0)</f>
        <v/>
      </c>
      <c r="M32">
        <f>SUMPRODUCT((M_BOM[Part Name]=$A32)*M_BOM[RM_Qty_Per_Batch]*IFERROR(INDEX(PP_Grid[#Data],M_BOM[PPGridRow],13),0))+IFERROR(INDEX(M_RawMaterials[固定週次消費量_要入力],MATCH($A32,M_RawMaterials[Part Name],0)),0)</f>
        <v/>
      </c>
      <c r="N32">
        <f>SUMPRODUCT((M_BOM[Part Name]=$A32)*M_BOM[RM_Qty_Per_Batch]*IFERROR(INDEX(PP_Grid[#Data],M_BOM[PPGridRow],14),0))+IFERROR(INDEX(M_RawMaterials[固定週次消費量_要入力],MATCH($A32,M_RawMaterials[Part Name],0)),0)</f>
        <v/>
      </c>
      <c r="O32">
        <f>SUMPRODUCT((M_BOM[Part Name]=$A32)*M_BOM[RM_Qty_Per_Batch]*IFERROR(INDEX(PP_Grid[#Data],M_BOM[PPGridRow],15),0))+IFERROR(INDEX(M_RawMaterials[固定週次消費量_要入力],MATCH($A32,M_RawMaterials[Part Name],0)),0)</f>
        <v/>
      </c>
      <c r="P32">
        <f>SUMPRODUCT((M_BOM[Part Name]=$A32)*M_BOM[RM_Qty_Per_Batch]*IFERROR(INDEX(PP_Grid[#Data],M_BOM[PPGridRow],16),0))+IFERROR(INDEX(M_RawMaterials[固定週次消費量_要入力],MATCH($A32,M_RawMaterials[Part Name],0)),0)</f>
        <v/>
      </c>
      <c r="Q32">
        <f>SUMPRODUCT((M_BOM[Part Name]=$A32)*M_BOM[RM_Qty_Per_Batch]*IFERROR(INDEX(PP_Grid[#Data],M_BOM[PPGridRow],17),0))+IFERROR(INDEX(M_RawMaterials[固定週次消費量_要入力],MATCH($A32,M_RawMaterials[Part Name],0)),0)</f>
        <v/>
      </c>
      <c r="R32">
        <f>SUMPRODUCT((M_BOM[Part Name]=$A32)*M_BOM[RM_Qty_Per_Batch]*IFERROR(INDEX(PP_Grid[#Data],M_BOM[PPGridRow],18),0))+IFERROR(INDEX(M_RawMaterials[固定週次消費量_要入力],MATCH($A32,M_RawMaterials[Part Name],0)),0)</f>
        <v/>
      </c>
      <c r="S32">
        <f>SUMPRODUCT((M_BOM[Part Name]=$A32)*M_BOM[RM_Qty_Per_Batch]*IFERROR(INDEX(PP_Grid[#Data],M_BOM[PPGridRow],19),0))+IFERROR(INDEX(M_RawMaterials[固定週次消費量_要入力],MATCH($A32,M_RawMaterials[Part Name],0)),0)</f>
        <v/>
      </c>
      <c r="T32">
        <f>SUMPRODUCT((M_BOM[Part Name]=$A32)*M_BOM[RM_Qty_Per_Batch]*IFERROR(INDEX(PP_Grid[#Data],M_BOM[PPGridRow],20),0))+IFERROR(INDEX(M_RawMaterials[固定週次消費量_要入力],MATCH($A32,M_RawMaterials[Part Name],0)),0)</f>
        <v/>
      </c>
      <c r="U32">
        <f>SUMPRODUCT((M_BOM[Part Name]=$A32)*M_BOM[RM_Qty_Per_Batch]*IFERROR(INDEX(PP_Grid[#Data],M_BOM[PPGridRow],21),0))+IFERROR(INDEX(M_RawMaterials[固定週次消費量_要入力],MATCH($A32,M_RawMaterials[Part Name],0)),0)</f>
        <v/>
      </c>
      <c r="V32">
        <f>SUMPRODUCT((M_BOM[Part Name]=$A32)*M_BOM[RM_Qty_Per_Batch]*IFERROR(INDEX(PP_Grid[#Data],M_BOM[PPGridRow],22),0))+IFERROR(INDEX(M_RawMaterials[固定週次消費量_要入力],MATCH($A32,M_RawMaterials[Part Name],0)),0)</f>
        <v/>
      </c>
      <c r="W32">
        <f>SUMPRODUCT((M_BOM[Part Name]=$A32)*M_BOM[RM_Qty_Per_Batch]*IFERROR(INDEX(PP_Grid[#Data],M_BOM[PPGridRow],23),0))+IFERROR(INDEX(M_RawMaterials[固定週次消費量_要入力],MATCH($A32,M_RawMaterials[Part Name],0)),0)</f>
        <v/>
      </c>
      <c r="X32">
        <f>SUMPRODUCT((M_BOM[Part Name]=$A32)*M_BOM[RM_Qty_Per_Batch]*IFERROR(INDEX(PP_Grid[#Data],M_BOM[PPGridRow],24),0))+IFERROR(INDEX(M_RawMaterials[固定週次消費量_要入力],MATCH($A32,M_RawMaterials[Part Name],0)),0)</f>
        <v/>
      </c>
      <c r="Y32">
        <f>SUMPRODUCT((M_BOM[Part Name]=$A32)*M_BOM[RM_Qty_Per_Batch]*IFERROR(INDEX(PP_Grid[#Data],M_BOM[PPGridRow],25),0))+IFERROR(INDEX(M_RawMaterials[固定週次消費量_要入力],MATCH($A32,M_RawMaterials[Part Name],0)),0)</f>
        <v/>
      </c>
      <c r="Z32">
        <f>SUMPRODUCT((M_BOM[Part Name]=$A32)*M_BOM[RM_Qty_Per_Batch]*IFERROR(INDEX(PP_Grid[#Data],M_BOM[PPGridRow],26),0))+IFERROR(INDEX(M_RawMaterials[固定週次消費量_要入力],MATCH($A32,M_RawMaterials[Part Name],0)),0)</f>
        <v/>
      </c>
      <c r="AA32">
        <f>SUMPRODUCT((M_BOM[Part Name]=$A32)*M_BOM[RM_Qty_Per_Batch]*IFERROR(INDEX(PP_Grid[#Data],M_BOM[PPGridRow],27),0))+IFERROR(INDEX(M_RawMaterials[固定週次消費量_要入力],MATCH($A32,M_RawMaterials[Part Name],0)),0)</f>
        <v/>
      </c>
      <c r="AB32">
        <f>SUMPRODUCT((M_BOM[Part Name]=$A32)*M_BOM[RM_Qty_Per_Batch]*IFERROR(INDEX(PP_Grid[#Data],M_BOM[PPGridRow],28),0))+IFERROR(INDEX(M_RawMaterials[固定週次消費量_要入力],MATCH($A32,M_RawMaterials[Part Name],0)),0)</f>
        <v/>
      </c>
      <c r="AC32">
        <f>SUMPRODUCT((M_BOM[Part Name]=$A32)*M_BOM[RM_Qty_Per_Batch]*IFERROR(INDEX(PP_Grid[#Data],M_BOM[PPGridRow],29),0))+IFERROR(INDEX(M_RawMaterials[固定週次消費量_要入力],MATCH($A32,M_RawMaterials[Part Name],0)),0)</f>
        <v/>
      </c>
      <c r="AD32">
        <f>SUMPRODUCT((M_BOM[Part Name]=$A32)*M_BOM[RM_Qty_Per_Batch]*IFERROR(INDEX(PP_Grid[#Data],M_BOM[PPGridRow],30),0))+IFERROR(INDEX(M_RawMaterials[固定週次消費量_要入力],MATCH($A32,M_RawMaterials[Part Name],0)),0)</f>
        <v/>
      </c>
      <c r="AE32">
        <f>SUMPRODUCT((M_BOM[Part Name]=$A32)*M_BOM[RM_Qty_Per_Batch]*IFERROR(INDEX(PP_Grid[#Data],M_BOM[PPGridRow],31),0))+IFERROR(INDEX(M_RawMaterials[固定週次消費量_要入力],MATCH($A32,M_RawMaterials[Part Name],0)),0)</f>
        <v/>
      </c>
      <c r="AF32">
        <f>SUMPRODUCT((M_BOM[Part Name]=$A32)*M_BOM[RM_Qty_Per_Batch]*IFERROR(INDEX(PP_Grid[#Data],M_BOM[PPGridRow],32),0))+IFERROR(INDEX(M_RawMaterials[固定週次消費量_要入力],MATCH($A32,M_RawMaterials[Part Name],0)),0)</f>
        <v/>
      </c>
      <c r="AG32">
        <f>SUMPRODUCT((M_BOM[Part Name]=$A32)*M_BOM[RM_Qty_Per_Batch]*IFERROR(INDEX(PP_Grid[#Data],M_BOM[PPGridRow],33),0))+IFERROR(INDEX(M_RawMaterials[固定週次消費量_要入力],MATCH($A32,M_RawMaterials[Part Name],0)),0)</f>
        <v/>
      </c>
      <c r="AH32">
        <f>SUMPRODUCT((M_BOM[Part Name]=$A32)*M_BOM[RM_Qty_Per_Batch]*IFERROR(INDEX(PP_Grid[#Data],M_BOM[PPGridRow],34),0))+IFERROR(INDEX(M_RawMaterials[固定週次消費量_要入力],MATCH($A32,M_RawMaterials[Part Name],0)),0)</f>
        <v/>
      </c>
      <c r="AI32">
        <f>SUMPRODUCT((M_BOM[Part Name]=$A32)*M_BOM[RM_Qty_Per_Batch]*IFERROR(INDEX(PP_Grid[#Data],M_BOM[PPGridRow],35),0))+IFERROR(INDEX(M_RawMaterials[固定週次消費量_要入力],MATCH($A32,M_RawMaterials[Part Name],0)),0)</f>
        <v/>
      </c>
      <c r="AJ32">
        <f>SUMPRODUCT((M_BOM[Part Name]=$A32)*M_BOM[RM_Qty_Per_Batch]*IFERROR(INDEX(PP_Grid[#Data],M_BOM[PPGridRow],36),0))+IFERROR(INDEX(M_RawMaterials[固定週次消費量_要入力],MATCH($A32,M_RawMaterials[Part Name],0)),0)</f>
        <v/>
      </c>
      <c r="AK32">
        <f>SUMPRODUCT((M_BOM[Part Name]=$A32)*M_BOM[RM_Qty_Per_Batch]*IFERROR(INDEX(PP_Grid[#Data],M_BOM[PPGridRow],37),0))+IFERROR(INDEX(M_RawMaterials[固定週次消費量_要入力],MATCH($A32,M_RawMaterials[Part Name],0)),0)</f>
        <v/>
      </c>
      <c r="AL32">
        <f>SUMPRODUCT((M_BOM[Part Name]=$A32)*M_BOM[RM_Qty_Per_Batch]*IFERROR(INDEX(PP_Grid[#Data],M_BOM[PPGridRow],38),0))+IFERROR(INDEX(M_RawMaterials[固定週次消費量_要入力],MATCH($A32,M_RawMaterials[Part Name],0)),0)</f>
        <v/>
      </c>
      <c r="AM32">
        <f>SUMPRODUCT((M_BOM[Part Name]=$A32)*M_BOM[RM_Qty_Per_Batch]*IFERROR(INDEX(PP_Grid[#Data],M_BOM[PPGridRow],39),0))+IFERROR(INDEX(M_RawMaterials[固定週次消費量_要入力],MATCH($A32,M_RawMaterials[Part Name],0)),0)</f>
        <v/>
      </c>
      <c r="AN32">
        <f>SUMPRODUCT((M_BOM[Part Name]=$A32)*M_BOM[RM_Qty_Per_Batch]*IFERROR(INDEX(PP_Grid[#Data],M_BOM[PPGridRow],40),0))+IFERROR(INDEX(M_RawMaterials[固定週次消費量_要入力],MATCH($A32,M_RawMaterials[Part Name],0)),0)</f>
        <v/>
      </c>
      <c r="AO32">
        <f>SUMPRODUCT((M_BOM[Part Name]=$A32)*M_BOM[RM_Qty_Per_Batch]*IFERROR(INDEX(PP_Grid[#Data],M_BOM[PPGridRow],41),0))+IFERROR(INDEX(M_RawMaterials[固定週次消費量_要入力],MATCH($A32,M_RawMaterials[Part Name],0)),0)</f>
        <v/>
      </c>
      <c r="AP32">
        <f>SUMPRODUCT((M_BOM[Part Name]=$A32)*M_BOM[RM_Qty_Per_Batch]*IFERROR(INDEX(PP_Grid[#Data],M_BOM[PPGridRow],42),0))+IFERROR(INDEX(M_RawMaterials[固定週次消費量_要入力],MATCH($A32,M_RawMaterials[Part Name],0)),0)</f>
        <v/>
      </c>
      <c r="AQ32">
        <f>SUMPRODUCT((M_BOM[Part Name]=$A32)*M_BOM[RM_Qty_Per_Batch]*IFERROR(INDEX(PP_Grid[#Data],M_BOM[PPGridRow],43),0))+IFERROR(INDEX(M_RawMaterials[固定週次消費量_要入力],MATCH($A32,M_RawMaterials[Part Name],0)),0)</f>
        <v/>
      </c>
      <c r="AR32">
        <f>SUMPRODUCT((M_BOM[Part Name]=$A32)*M_BOM[RM_Qty_Per_Batch]*IFERROR(INDEX(PP_Grid[#Data],M_BOM[PPGridRow],44),0))+IFERROR(INDEX(M_RawMaterials[固定週次消費量_要入力],MATCH($A32,M_RawMaterials[Part Name],0)),0)</f>
        <v/>
      </c>
      <c r="AS32">
        <f>SUMPRODUCT((M_BOM[Part Name]=$A32)*M_BOM[RM_Qty_Per_Batch]*IFERROR(INDEX(PP_Grid[#Data],M_BOM[PPGridRow],45),0))+IFERROR(INDEX(M_RawMaterials[固定週次消費量_要入力],MATCH($A32,M_RawMaterials[Part Name],0)),0)</f>
        <v/>
      </c>
      <c r="AT32">
        <f>SUMPRODUCT((M_BOM[Part Name]=$A32)*M_BOM[RM_Qty_Per_Batch]*IFERROR(INDEX(PP_Grid[#Data],M_BOM[PPGridRow],46),0))+IFERROR(INDEX(M_RawMaterials[固定週次消費量_要入力],MATCH($A32,M_RawMaterials[Part Name],0)),0)</f>
        <v/>
      </c>
      <c r="AU32">
        <f>SUMPRODUCT((M_BOM[Part Name]=$A32)*M_BOM[RM_Qty_Per_Batch]*IFERROR(INDEX(PP_Grid[#Data],M_BOM[PPGridRow],47),0))+IFERROR(INDEX(M_RawMaterials[固定週次消費量_要入力],MATCH($A32,M_RawMaterials[Part Name],0)),0)</f>
        <v/>
      </c>
      <c r="AV32">
        <f>SUMPRODUCT((M_BOM[Part Name]=$A32)*M_BOM[RM_Qty_Per_Batch]*IFERROR(INDEX(PP_Grid[#Data],M_BOM[PPGridRow],48),0))+IFERROR(INDEX(M_RawMaterials[固定週次消費量_要入力],MATCH($A32,M_RawMaterials[Part Name],0)),0)</f>
        <v/>
      </c>
      <c r="AW32">
        <f>SUMPRODUCT((M_BOM[Part Name]=$A32)*M_BOM[RM_Qty_Per_Batch]*IFERROR(INDEX(PP_Grid[#Data],M_BOM[PPGridRow],49),0))+IFERROR(INDEX(M_RawMaterials[固定週次消費量_要入力],MATCH($A32,M_RawMaterials[Part Name],0)),0)</f>
        <v/>
      </c>
      <c r="AX32">
        <f>SUMPRODUCT((M_BOM[Part Name]=$A32)*M_BOM[RM_Qty_Per_Batch]*IFERROR(INDEX(PP_Grid[#Data],M_BOM[PPGridRow],50),0))+IFERROR(INDEX(M_RawMaterials[固定週次消費量_要入力],MATCH($A32,M_RawMaterials[Part Name],0)),0)</f>
        <v/>
      </c>
      <c r="AY32">
        <f>SUMPRODUCT((M_BOM[Part Name]=$A32)*M_BOM[RM_Qty_Per_Batch]*IFERROR(INDEX(PP_Grid[#Data],M_BOM[PPGridRow],51),0))+IFERROR(INDEX(M_RawMaterials[固定週次消費量_要入力],MATCH($A32,M_RawMaterials[Part Name],0)),0)</f>
        <v/>
      </c>
      <c r="AZ32">
        <f>SUMPRODUCT((M_BOM[Part Name]=$A32)*M_BOM[RM_Qty_Per_Batch]*IFERROR(INDEX(PP_Grid[#Data],M_BOM[PPGridRow],52),0))+IFERROR(INDEX(M_RawMaterials[固定週次消費量_要入力],MATCH($A32,M_RawMaterials[Part Name],0)),0)</f>
        <v/>
      </c>
      <c r="BA32">
        <f>SUMPRODUCT((M_BOM[Part Name]=$A32)*M_BOM[RM_Qty_Per_Batch]*IFERROR(INDEX(PP_Grid[#Data],M_BOM[PPGridRow],53),0))+IFERROR(INDEX(M_RawMaterials[固定週次消費量_要入力],MATCH($A32,M_RawMaterials[Part Name],0)),0)</f>
        <v/>
      </c>
      <c r="BB32">
        <f>SUMPRODUCT((M_BOM[Part Name]=$A32)*M_BOM[RM_Qty_Per_Batch]*IFERROR(INDEX(PP_Grid[#Data],M_BOM[PPGridRow],54),0))+IFERROR(INDEX(M_RawMaterials[固定週次消費量_要入力],MATCH($A32,M_RawMaterials[Part Name],0)),0)</f>
        <v/>
      </c>
      <c r="BC32">
        <f>SUMPRODUCT((M_BOM[Part Name]=$A32)*M_BOM[RM_Qty_Per_Batch]*IFERROR(INDEX(PP_Grid[#Data],M_BOM[PPGridRow],55),0))+IFERROR(INDEX(M_RawMaterials[固定週次消費量_要入力],MATCH($A32,M_RawMaterials[Part Name],0)),0)</f>
        <v/>
      </c>
      <c r="BD32">
        <f>SUMPRODUCT((M_BOM[Part Name]=$A32)*M_BOM[RM_Qty_Per_Batch]*IFERROR(INDEX(PP_Grid[#Data],M_BOM[PPGridRow],56),0))+IFERROR(INDEX(M_RawMaterials[固定週次消費量_要入力],MATCH($A32,M_RawMaterials[Part Name],0)),0)</f>
        <v/>
      </c>
      <c r="BE32">
        <f>SUMPRODUCT((M_BOM[Part Name]=$A32)*M_BOM[RM_Qty_Per_Batch]*IFERROR(INDEX(PP_Grid[#Data],M_BOM[PPGridRow],57),0))+IFERROR(INDEX(M_RawMaterials[固定週次消費量_要入力],MATCH($A32,M_RawMaterials[Part Name],0)),0)</f>
        <v/>
      </c>
      <c r="BF32">
        <f>SUMPRODUCT((M_BOM[Part Name]=$A32)*M_BOM[RM_Qty_Per_Batch]*IFERROR(INDEX(PP_Grid[#Data],M_BOM[PPGridRow],58),0))+IFERROR(INDEX(M_RawMaterials[固定週次消費量_要入力],MATCH($A32,M_RawMaterials[Part Name],0)),0)</f>
        <v/>
      </c>
      <c r="BG32">
        <f>SUMPRODUCT((M_BOM[Part Name]=$A32)*M_BOM[RM_Qty_Per_Batch]*IFERROR(INDEX(PP_Grid[#Data],M_BOM[PPGridRow],59),0))+IFERROR(INDEX(M_RawMaterials[固定週次消費量_要入力],MATCH($A32,M_RawMaterials[Part Name],0)),0)</f>
        <v/>
      </c>
      <c r="BH32">
        <f>SUMPRODUCT((M_BOM[Part Name]=$A32)*M_BOM[RM_Qty_Per_Batch]*IFERROR(INDEX(PP_Grid[#Data],M_BOM[PPGridRow],60),0))+IFERROR(INDEX(M_RawMaterials[固定週次消費量_要入力],MATCH($A32,M_RawMaterials[Part Name],0)),0)</f>
        <v/>
      </c>
      <c r="BI32">
        <f>SUMPRODUCT((M_BOM[Part Name]=$A32)*M_BOM[RM_Qty_Per_Batch]*IFERROR(INDEX(PP_Grid[#Data],M_BOM[PPGridRow],61),0))+IFERROR(INDEX(M_RawMaterials[固定週次消費量_要入力],MATCH($A32,M_RawMaterials[Part Name],0)),0)</f>
        <v/>
      </c>
      <c r="BJ32">
        <f>SUMPRODUCT((M_BOM[Part Name]=$A32)*M_BOM[RM_Qty_Per_Batch]*IFERROR(INDEX(PP_Grid[#Data],M_BOM[PPGridRow],62),0))+IFERROR(INDEX(M_RawMaterials[固定週次消費量_要入力],MATCH($A32,M_RawMaterials[Part Name],0)),0)</f>
        <v/>
      </c>
      <c r="BK32">
        <f>SUMPRODUCT((M_BOM[Part Name]=$A32)*M_BOM[RM_Qty_Per_Batch]*IFERROR(INDEX(PP_Grid[#Data],M_BOM[PPGridRow],63),0))+IFERROR(INDEX(M_RawMaterials[固定週次消費量_要入力],MATCH($A32,M_RawMaterials[Part Name],0)),0)</f>
        <v/>
      </c>
      <c r="BL32">
        <f>SUMPRODUCT((M_BOM[Part Name]=$A32)*M_BOM[RM_Qty_Per_Batch]*IFERROR(INDEX(PP_Grid[#Data],M_BOM[PPGridRow],64),0))+IFERROR(INDEX(M_RawMaterials[固定週次消費量_要入力],MATCH($A32,M_RawMaterials[Part Name],0)),0)</f>
        <v/>
      </c>
      <c r="BM32">
        <f>SUMPRODUCT((M_BOM[Part Name]=$A32)*M_BOM[RM_Qty_Per_Batch]*IFERROR(INDEX(PP_Grid[#Data],M_BOM[PPGridRow],65),0))+IFERROR(INDEX(M_RawMaterials[固定週次消費量_要入力],MATCH($A32,M_RawMaterials[Part Name],0)),0)</f>
        <v/>
      </c>
      <c r="BN32">
        <f>SUMPRODUCT((M_BOM[Part Name]=$A32)*M_BOM[RM_Qty_Per_Batch]*IFERROR(INDEX(PP_Grid[#Data],M_BOM[PPGridRow],66),0))+IFERROR(INDEX(M_RawMaterials[固定週次消費量_要入力],MATCH($A32,M_RawMaterials[Part Name],0)),0)</f>
        <v/>
      </c>
      <c r="BO32">
        <f>SUMPRODUCT((M_BOM[Part Name]=$A32)*M_BOM[RM_Qty_Per_Batch]*IFERROR(INDEX(PP_Grid[#Data],M_BOM[PPGridRow],67),0))+IFERROR(INDEX(M_RawMaterials[固定週次消費量_要入力],MATCH($A32,M_RawMaterials[Part Name],0)),0)</f>
        <v/>
      </c>
      <c r="BP32">
        <f>SUMPRODUCT((M_BOM[Part Name]=$A32)*M_BOM[RM_Qty_Per_Batch]*IFERROR(INDEX(PP_Grid[#Data],M_BOM[PPGridRow],68),0))+IFERROR(INDEX(M_RawMaterials[固定週次消費量_要入力],MATCH($A32,M_RawMaterials[Part Name],0)),0)</f>
        <v/>
      </c>
      <c r="BQ32">
        <f>SUMPRODUCT((M_BOM[Part Name]=$A32)*M_BOM[RM_Qty_Per_Batch]*IFERROR(INDEX(PP_Grid[#Data],M_BOM[PPGridRow],69),0))+IFERROR(INDEX(M_RawMaterials[固定週次消費量_要入力],MATCH($A32,M_RawMaterials[Part Name],0)),0)</f>
        <v/>
      </c>
      <c r="BR32">
        <f>SUMPRODUCT((M_BOM[Part Name]=$A32)*M_BOM[RM_Qty_Per_Batch]*IFERROR(INDEX(PP_Grid[#Data],M_BOM[PPGridRow],70),0))+IFERROR(INDEX(M_RawMaterials[固定週次消費量_要入力],MATCH($A32,M_RawMaterials[Part Name],0)),0)</f>
        <v/>
      </c>
      <c r="BS32">
        <f>SUMPRODUCT((M_BOM[Part Name]=$A32)*M_BOM[RM_Qty_Per_Batch]*IFERROR(INDEX(PP_Grid[#Data],M_BOM[PPGridRow],71),0))+IFERROR(INDEX(M_RawMaterials[固定週次消費量_要入力],MATCH($A32,M_RawMaterials[Part Name],0)),0)</f>
        <v/>
      </c>
      <c r="BT32">
        <f>SUMPRODUCT((M_BOM[Part Name]=$A32)*M_BOM[RM_Qty_Per_Batch]*IFERROR(INDEX(PP_Grid[#Data],M_BOM[PPGridRow],72),0))+IFERROR(INDEX(M_RawMaterials[固定週次消費量_要入力],MATCH($A32,M_RawMaterials[Part Name],0)),0)</f>
        <v/>
      </c>
      <c r="BU32">
        <f>SUMPRODUCT((M_BOM[Part Name]=$A32)*M_BOM[RM_Qty_Per_Batch]*IFERROR(INDEX(PP_Grid[#Data],M_BOM[PPGridRow],73),0))+IFERROR(INDEX(M_RawMaterials[固定週次消費量_要入力],MATCH($A32,M_RawMaterials[Part Name],0)),0)</f>
        <v/>
      </c>
      <c r="BV32">
        <f>SUMPRODUCT((M_BOM[Part Name]=$A32)*M_BOM[RM_Qty_Per_Batch]*IFERROR(INDEX(PP_Grid[#Data],M_BOM[PPGridRow],74),0))+IFERROR(INDEX(M_RawMaterials[固定週次消費量_要入力],MATCH($A32,M_RawMaterials[Part Name],0)),0)</f>
        <v/>
      </c>
      <c r="BW32">
        <f>SUMPRODUCT((M_BOM[Part Name]=$A32)*M_BOM[RM_Qty_Per_Batch]*IFERROR(INDEX(PP_Grid[#Data],M_BOM[PPGridRow],75),0))+IFERROR(INDEX(M_RawMaterials[固定週次消費量_要入力],MATCH($A32,M_RawMaterials[Part Name],0)),0)</f>
        <v/>
      </c>
      <c r="BX32">
        <f>SUMPRODUCT((M_BOM[Part Name]=$A32)*M_BOM[RM_Qty_Per_Batch]*IFERROR(INDEX(PP_Grid[#Data],M_BOM[PPGridRow],76),0))+IFERROR(INDEX(M_RawMaterials[固定週次消費量_要入力],MATCH($A32,M_RawMaterials[Part Name],0)),0)</f>
        <v/>
      </c>
      <c r="BY32">
        <f>SUMPRODUCT((M_BOM[Part Name]=$A32)*M_BOM[RM_Qty_Per_Batch]*IFERROR(INDEX(PP_Grid[#Data],M_BOM[PPGridRow],77),0))+IFERROR(INDEX(M_RawMaterials[固定週次消費量_要入力],MATCH($A32,M_RawMaterials[Part Name],0)),0)</f>
        <v/>
      </c>
      <c r="BZ32">
        <f>SUMPRODUCT((M_BOM[Part Name]=$A32)*M_BOM[RM_Qty_Per_Batch]*IFERROR(INDEX(PP_Grid[#Data],M_BOM[PPGridRow],78),0))+IFERROR(INDEX(M_RawMaterials[固定週次消費量_要入力],MATCH($A32,M_RawMaterials[Part Name],0)),0)</f>
        <v/>
      </c>
      <c r="CA32">
        <f>SUMPRODUCT((M_BOM[Part Name]=$A32)*M_BOM[RM_Qty_Per_Batch]*IFERROR(INDEX(PP_Grid[#Data],M_BOM[PPGridRow],79),0))+IFERROR(INDEX(M_RawMaterials[固定週次消費量_要入力],MATCH($A32,M_RawMaterials[Part Name],0)),0)</f>
        <v/>
      </c>
      <c r="CB32">
        <f>SUMPRODUCT((M_BOM[Part Name]=$A32)*M_BOM[RM_Qty_Per_Batch]*IFERROR(INDEX(PP_Grid[#Data],M_BOM[PPGridRow],80),0))+IFERROR(INDEX(M_RawMaterials[固定週次消費量_要入力],MATCH($A32,M_RawMaterials[Part Name],0)),0)</f>
        <v/>
      </c>
      <c r="CC32">
        <f>SUMPRODUCT((M_BOM[Part Name]=$A32)*M_BOM[RM_Qty_Per_Batch]*IFERROR(INDEX(PP_Grid[#Data],M_BOM[PPGridRow],81),0))+IFERROR(INDEX(M_RawMaterials[固定週次消費量_要入力],MATCH($A32,M_RawMaterials[Part Name],0)),0)</f>
        <v/>
      </c>
      <c r="CD32">
        <f>SUMPRODUCT((M_BOM[Part Name]=$A32)*M_BOM[RM_Qty_Per_Batch]*IFERROR(INDEX(PP_Grid[#Data],M_BOM[PPGridRow],82),0))+IFERROR(INDEX(M_RawMaterials[固定週次消費量_要入力],MATCH($A32,M_RawMaterials[Part Name],0)),0)</f>
        <v/>
      </c>
      <c r="CE32">
        <f>SUMPRODUCT((M_BOM[Part Name]=$A32)*M_BOM[RM_Qty_Per_Batch]*IFERROR(INDEX(PP_Grid[#Data],M_BOM[PPGridRow],83),0))+IFERROR(INDEX(M_RawMaterials[固定週次消費量_要入力],MATCH($A32,M_RawMaterials[Part Name],0)),0)</f>
        <v/>
      </c>
      <c r="CF32">
        <f>SUMPRODUCT((M_BOM[Part Name]=$A32)*M_BOM[RM_Qty_Per_Batch]*IFERROR(INDEX(PP_Grid[#Data],M_BOM[PPGridRow],84),0))+IFERROR(INDEX(M_RawMaterials[固定週次消費量_要入力],MATCH($A32,M_RawMaterials[Part Name],0)),0)</f>
        <v/>
      </c>
      <c r="CG32">
        <f>SUMPRODUCT((M_BOM[Part Name]=$A32)*M_BOM[RM_Qty_Per_Batch]*IFERROR(INDEX(PP_Grid[#Data],M_BOM[PPGridRow],85),0))+IFERROR(INDEX(M_RawMaterials[固定週次消費量_要入力],MATCH($A32,M_RawMaterials[Part Name],0)),0)</f>
        <v/>
      </c>
      <c r="CH32">
        <f>SUMPRODUCT((M_BOM[Part Name]=$A32)*M_BOM[RM_Qty_Per_Batch]*IFERROR(INDEX(PP_Grid[#Data],M_BOM[PPGridRow],86),0))+IFERROR(INDEX(M_RawMaterials[固定週次消費量_要入力],MATCH($A32,M_RawMaterials[Part Name],0)),0)</f>
        <v/>
      </c>
      <c r="CI32">
        <f>SUMPRODUCT((M_BOM[Part Name]=$A32)*M_BOM[RM_Qty_Per_Batch]*IFERROR(INDEX(PP_Grid[#Data],M_BOM[PPGridRow],87),0))+IFERROR(INDEX(M_RawMaterials[固定週次消費量_要入力],MATCH($A32,M_RawMaterials[Part Name],0)),0)</f>
        <v/>
      </c>
      <c r="CJ32">
        <f>SUMPRODUCT((M_BOM[Part Name]=$A32)*M_BOM[RM_Qty_Per_Batch]*IFERROR(INDEX(PP_Grid[#Data],M_BOM[PPGridRow],88),0))+IFERROR(INDEX(M_RawMaterials[固定週次消費量_要入力],MATCH($A32,M_RawMaterials[Part Name],0)),0)</f>
        <v/>
      </c>
      <c r="CK32">
        <f>SUMPRODUCT((M_BOM[Part Name]=$A32)*M_BOM[RM_Qty_Per_Batch]*IFERROR(INDEX(PP_Grid[#Data],M_BOM[PPGridRow],89),0))+IFERROR(INDEX(M_RawMaterials[固定週次消費量_要入力],MATCH($A32,M_RawMaterials[Part Name],0)),0)</f>
        <v/>
      </c>
      <c r="CL32">
        <f>SUMPRODUCT((M_BOM[Part Name]=$A32)*M_BOM[RM_Qty_Per_Batch]*IFERROR(INDEX(PP_Grid[#Data],M_BOM[PPGridRow],90),0))+IFERROR(INDEX(M_RawMaterials[固定週次消費量_要入力],MATCH($A32,M_RawMaterials[Part Name],0)),0)</f>
        <v/>
      </c>
      <c r="CM32">
        <f>SUMPRODUCT((M_BOM[Part Name]=$A32)*M_BOM[RM_Qty_Per_Batch]*IFERROR(INDEX(PP_Grid[#Data],M_BOM[PPGridRow],91),0))+IFERROR(INDEX(M_RawMaterials[固定週次消費量_要入力],MATCH($A32,M_RawMaterials[Part Name],0)),0)</f>
        <v/>
      </c>
      <c r="CN32">
        <f>SUMPRODUCT((M_BOM[Part Name]=$A32)*M_BOM[RM_Qty_Per_Batch]*IFERROR(INDEX(PP_Grid[#Data],M_BOM[PPGridRow],92),0))+IFERROR(INDEX(M_RawMaterials[固定週次消費量_要入力],MATCH($A32,M_RawMaterials[Part Name],0)),0)</f>
        <v/>
      </c>
      <c r="CO32">
        <f>SUMPRODUCT((M_BOM[Part Name]=$A32)*M_BOM[RM_Qty_Per_Batch]*IFERROR(INDEX(PP_Grid[#Data],M_BOM[PPGridRow],93),0))+IFERROR(INDEX(M_RawMaterials[固定週次消費量_要入力],MATCH($A32,M_RawMaterials[Part Name],0)),0)</f>
        <v/>
      </c>
      <c r="CP32">
        <f>SUMPRODUCT((M_BOM[Part Name]=$A32)*M_BOM[RM_Qty_Per_Batch]*IFERROR(INDEX(PP_Grid[#Data],M_BOM[PPGridRow],94),0))+IFERROR(INDEX(M_RawMaterials[固定週次消費量_要入力],MATCH($A32,M_RawMaterials[Part Name],0)),0)</f>
        <v/>
      </c>
      <c r="CQ32">
        <f>SUMPRODUCT((M_BOM[Part Name]=$A32)*M_BOM[RM_Qty_Per_Batch]*IFERROR(INDEX(PP_Grid[#Data],M_BOM[PPGridRow],95),0))+IFERROR(INDEX(M_RawMaterials[固定週次消費量_要入力],MATCH($A32,M_RawMaterials[Part Name],0)),0)</f>
        <v/>
      </c>
      <c r="CR32">
        <f>SUMPRODUCT((M_BOM[Part Name]=$A32)*M_BOM[RM_Qty_Per_Batch]*IFERROR(INDEX(PP_Grid[#Data],M_BOM[PPGridRow],96),0))+IFERROR(INDEX(M_RawMaterials[固定週次消費量_要入力],MATCH($A32,M_RawMaterials[Part Name],0)),0)</f>
        <v/>
      </c>
      <c r="CS32">
        <f>SUMPRODUCT((M_BOM[Part Name]=$A32)*M_BOM[RM_Qty_Per_Batch]*IFERROR(INDEX(PP_Grid[#Data],M_BOM[PPGridRow],97),0))+IFERROR(INDEX(M_RawMaterials[固定週次消費量_要入力],MATCH($A32,M_RawMaterials[Part Name],0)),0)</f>
        <v/>
      </c>
      <c r="CT32">
        <f>SUMPRODUCT((M_BOM[Part Name]=$A32)*M_BOM[RM_Qty_Per_Batch]*IFERROR(INDEX(PP_Grid[#Data],M_BOM[PPGridRow],98),0))+IFERROR(INDEX(M_RawMaterials[固定週次消費量_要入力],MATCH($A32,M_RawMaterials[Part Name],0)),0)</f>
        <v/>
      </c>
      <c r="CU32">
        <f>SUMPRODUCT((M_BOM[Part Name]=$A32)*M_BOM[RM_Qty_Per_Batch]*IFERROR(INDEX(PP_Grid[#Data],M_BOM[PPGridRow],99),0))+IFERROR(INDEX(M_RawMaterials[固定週次消費量_要入力],MATCH($A32,M_RawMaterials[Part Name],0)),0)</f>
        <v/>
      </c>
      <c r="CV32">
        <f>SUMPRODUCT((M_BOM[Part Name]=$A32)*M_BOM[RM_Qty_Per_Batch]*IFERROR(INDEX(PP_Grid[#Data],M_BOM[PPGridRow],100),0))+IFERROR(INDEX(M_RawMaterials[固定週次消費量_要入力],MATCH($A32,M_RawMaterials[Part Name],0)),0)</f>
        <v/>
      </c>
      <c r="CW32">
        <f>SUMPRODUCT((M_BOM[Part Name]=$A32)*M_BOM[RM_Qty_Per_Batch]*IFERROR(INDEX(PP_Grid[#Data],M_BOM[PPGridRow],101),0))+IFERROR(INDEX(M_RawMaterials[固定週次消費量_要入力],MATCH($A32,M_RawMaterials[Part Name],0)),0)</f>
        <v/>
      </c>
      <c r="CX32">
        <f>SUMPRODUCT((M_BOM[Part Name]=$A32)*M_BOM[RM_Qty_Per_Batch]*IFERROR(INDEX(PP_Grid[#Data],M_BOM[PPGridRow],102),0))+IFERROR(INDEX(M_RawMaterials[固定週次消費量_要入力],MATCH($A32,M_RawMaterials[Part Name],0)),0)</f>
        <v/>
      </c>
      <c r="CY32">
        <f>SUMPRODUCT((M_BOM[Part Name]=$A32)*M_BOM[RM_Qty_Per_Batch]*IFERROR(INDEX(PP_Grid[#Data],M_BOM[PPGridRow],103),0))+IFERROR(INDEX(M_RawMaterials[固定週次消費量_要入力],MATCH($A32,M_RawMaterials[Part Name],0)),0)</f>
        <v/>
      </c>
      <c r="CZ32">
        <f>SUMPRODUCT((M_BOM[Part Name]=$A32)*M_BOM[RM_Qty_Per_Batch]*IFERROR(INDEX(PP_Grid[#Data],M_BOM[PPGridRow],104),0))+IFERROR(INDEX(M_RawMaterials[固定週次消費量_要入力],MATCH($A32,M_RawMaterials[Part Name],0)),0)</f>
        <v/>
      </c>
      <c r="DA32">
        <f>SUMPRODUCT((M_BOM[Part Name]=$A32)*M_BOM[RM_Qty_Per_Batch]*IFERROR(INDEX(PP_Grid[#Data],M_BOM[PPGridRow],105),0))+IFERROR(INDEX(M_RawMaterials[固定週次消費量_要入力],MATCH($A32,M_RawMaterials[Part Name],0)),0)</f>
        <v/>
      </c>
    </row>
    <row r="33">
      <c r="A33" t="inlineStr">
        <is>
          <t>CHEM-1400</t>
        </is>
      </c>
      <c r="B33">
        <f>SUMPRODUCT((M_BOM[Part Name]=$A33)*M_BOM[RM_Qty_Per_Batch]*IFERROR(INDEX(PP_Grid[#Data],M_BOM[PPGridRow],2),0))+IFERROR(INDEX(M_RawMaterials[固定週次消費量_要入力],MATCH($A33,M_RawMaterials[Part Name],0)),0)</f>
        <v/>
      </c>
      <c r="C33">
        <f>SUMPRODUCT((M_BOM[Part Name]=$A33)*M_BOM[RM_Qty_Per_Batch]*IFERROR(INDEX(PP_Grid[#Data],M_BOM[PPGridRow],3),0))+IFERROR(INDEX(M_RawMaterials[固定週次消費量_要入力],MATCH($A33,M_RawMaterials[Part Name],0)),0)</f>
        <v/>
      </c>
      <c r="D33">
        <f>SUMPRODUCT((M_BOM[Part Name]=$A33)*M_BOM[RM_Qty_Per_Batch]*IFERROR(INDEX(PP_Grid[#Data],M_BOM[PPGridRow],4),0))+IFERROR(INDEX(M_RawMaterials[固定週次消費量_要入力],MATCH($A33,M_RawMaterials[Part Name],0)),0)</f>
        <v/>
      </c>
      <c r="E33">
        <f>SUMPRODUCT((M_BOM[Part Name]=$A33)*M_BOM[RM_Qty_Per_Batch]*IFERROR(INDEX(PP_Grid[#Data],M_BOM[PPGridRow],5),0))+IFERROR(INDEX(M_RawMaterials[固定週次消費量_要入力],MATCH($A33,M_RawMaterials[Part Name],0)),0)</f>
        <v/>
      </c>
      <c r="F33">
        <f>SUMPRODUCT((M_BOM[Part Name]=$A33)*M_BOM[RM_Qty_Per_Batch]*IFERROR(INDEX(PP_Grid[#Data],M_BOM[PPGridRow],6),0))+IFERROR(INDEX(M_RawMaterials[固定週次消費量_要入力],MATCH($A33,M_RawMaterials[Part Name],0)),0)</f>
        <v/>
      </c>
      <c r="G33">
        <f>SUMPRODUCT((M_BOM[Part Name]=$A33)*M_BOM[RM_Qty_Per_Batch]*IFERROR(INDEX(PP_Grid[#Data],M_BOM[PPGridRow],7),0))+IFERROR(INDEX(M_RawMaterials[固定週次消費量_要入力],MATCH($A33,M_RawMaterials[Part Name],0)),0)</f>
        <v/>
      </c>
      <c r="H33">
        <f>SUMPRODUCT((M_BOM[Part Name]=$A33)*M_BOM[RM_Qty_Per_Batch]*IFERROR(INDEX(PP_Grid[#Data],M_BOM[PPGridRow],8),0))+IFERROR(INDEX(M_RawMaterials[固定週次消費量_要入力],MATCH($A33,M_RawMaterials[Part Name],0)),0)</f>
        <v/>
      </c>
      <c r="I33">
        <f>SUMPRODUCT((M_BOM[Part Name]=$A33)*M_BOM[RM_Qty_Per_Batch]*IFERROR(INDEX(PP_Grid[#Data],M_BOM[PPGridRow],9),0))+IFERROR(INDEX(M_RawMaterials[固定週次消費量_要入力],MATCH($A33,M_RawMaterials[Part Name],0)),0)</f>
        <v/>
      </c>
      <c r="J33">
        <f>SUMPRODUCT((M_BOM[Part Name]=$A33)*M_BOM[RM_Qty_Per_Batch]*IFERROR(INDEX(PP_Grid[#Data],M_BOM[PPGridRow],10),0))+IFERROR(INDEX(M_RawMaterials[固定週次消費量_要入力],MATCH($A33,M_RawMaterials[Part Name],0)),0)</f>
        <v/>
      </c>
      <c r="K33">
        <f>SUMPRODUCT((M_BOM[Part Name]=$A33)*M_BOM[RM_Qty_Per_Batch]*IFERROR(INDEX(PP_Grid[#Data],M_BOM[PPGridRow],11),0))+IFERROR(INDEX(M_RawMaterials[固定週次消費量_要入力],MATCH($A33,M_RawMaterials[Part Name],0)),0)</f>
        <v/>
      </c>
      <c r="L33">
        <f>SUMPRODUCT((M_BOM[Part Name]=$A33)*M_BOM[RM_Qty_Per_Batch]*IFERROR(INDEX(PP_Grid[#Data],M_BOM[PPGridRow],12),0))+IFERROR(INDEX(M_RawMaterials[固定週次消費量_要入力],MATCH($A33,M_RawMaterials[Part Name],0)),0)</f>
        <v/>
      </c>
      <c r="M33">
        <f>SUMPRODUCT((M_BOM[Part Name]=$A33)*M_BOM[RM_Qty_Per_Batch]*IFERROR(INDEX(PP_Grid[#Data],M_BOM[PPGridRow],13),0))+IFERROR(INDEX(M_RawMaterials[固定週次消費量_要入力],MATCH($A33,M_RawMaterials[Part Name],0)),0)</f>
        <v/>
      </c>
      <c r="N33">
        <f>SUMPRODUCT((M_BOM[Part Name]=$A33)*M_BOM[RM_Qty_Per_Batch]*IFERROR(INDEX(PP_Grid[#Data],M_BOM[PPGridRow],14),0))+IFERROR(INDEX(M_RawMaterials[固定週次消費量_要入力],MATCH($A33,M_RawMaterials[Part Name],0)),0)</f>
        <v/>
      </c>
      <c r="O33">
        <f>SUMPRODUCT((M_BOM[Part Name]=$A33)*M_BOM[RM_Qty_Per_Batch]*IFERROR(INDEX(PP_Grid[#Data],M_BOM[PPGridRow],15),0))+IFERROR(INDEX(M_RawMaterials[固定週次消費量_要入力],MATCH($A33,M_RawMaterials[Part Name],0)),0)</f>
        <v/>
      </c>
      <c r="P33">
        <f>SUMPRODUCT((M_BOM[Part Name]=$A33)*M_BOM[RM_Qty_Per_Batch]*IFERROR(INDEX(PP_Grid[#Data],M_BOM[PPGridRow],16),0))+IFERROR(INDEX(M_RawMaterials[固定週次消費量_要入力],MATCH($A33,M_RawMaterials[Part Name],0)),0)</f>
        <v/>
      </c>
      <c r="Q33">
        <f>SUMPRODUCT((M_BOM[Part Name]=$A33)*M_BOM[RM_Qty_Per_Batch]*IFERROR(INDEX(PP_Grid[#Data],M_BOM[PPGridRow],17),0))+IFERROR(INDEX(M_RawMaterials[固定週次消費量_要入力],MATCH($A33,M_RawMaterials[Part Name],0)),0)</f>
        <v/>
      </c>
      <c r="R33">
        <f>SUMPRODUCT((M_BOM[Part Name]=$A33)*M_BOM[RM_Qty_Per_Batch]*IFERROR(INDEX(PP_Grid[#Data],M_BOM[PPGridRow],18),0))+IFERROR(INDEX(M_RawMaterials[固定週次消費量_要入力],MATCH($A33,M_RawMaterials[Part Name],0)),0)</f>
        <v/>
      </c>
      <c r="S33">
        <f>SUMPRODUCT((M_BOM[Part Name]=$A33)*M_BOM[RM_Qty_Per_Batch]*IFERROR(INDEX(PP_Grid[#Data],M_BOM[PPGridRow],19),0))+IFERROR(INDEX(M_RawMaterials[固定週次消費量_要入力],MATCH($A33,M_RawMaterials[Part Name],0)),0)</f>
        <v/>
      </c>
      <c r="T33">
        <f>SUMPRODUCT((M_BOM[Part Name]=$A33)*M_BOM[RM_Qty_Per_Batch]*IFERROR(INDEX(PP_Grid[#Data],M_BOM[PPGridRow],20),0))+IFERROR(INDEX(M_RawMaterials[固定週次消費量_要入力],MATCH($A33,M_RawMaterials[Part Name],0)),0)</f>
        <v/>
      </c>
      <c r="U33">
        <f>SUMPRODUCT((M_BOM[Part Name]=$A33)*M_BOM[RM_Qty_Per_Batch]*IFERROR(INDEX(PP_Grid[#Data],M_BOM[PPGridRow],21),0))+IFERROR(INDEX(M_RawMaterials[固定週次消費量_要入力],MATCH($A33,M_RawMaterials[Part Name],0)),0)</f>
        <v/>
      </c>
      <c r="V33">
        <f>SUMPRODUCT((M_BOM[Part Name]=$A33)*M_BOM[RM_Qty_Per_Batch]*IFERROR(INDEX(PP_Grid[#Data],M_BOM[PPGridRow],22),0))+IFERROR(INDEX(M_RawMaterials[固定週次消費量_要入力],MATCH($A33,M_RawMaterials[Part Name],0)),0)</f>
        <v/>
      </c>
      <c r="W33">
        <f>SUMPRODUCT((M_BOM[Part Name]=$A33)*M_BOM[RM_Qty_Per_Batch]*IFERROR(INDEX(PP_Grid[#Data],M_BOM[PPGridRow],23),0))+IFERROR(INDEX(M_RawMaterials[固定週次消費量_要入力],MATCH($A33,M_RawMaterials[Part Name],0)),0)</f>
        <v/>
      </c>
      <c r="X33">
        <f>SUMPRODUCT((M_BOM[Part Name]=$A33)*M_BOM[RM_Qty_Per_Batch]*IFERROR(INDEX(PP_Grid[#Data],M_BOM[PPGridRow],24),0))+IFERROR(INDEX(M_RawMaterials[固定週次消費量_要入力],MATCH($A33,M_RawMaterials[Part Name],0)),0)</f>
        <v/>
      </c>
      <c r="Y33">
        <f>SUMPRODUCT((M_BOM[Part Name]=$A33)*M_BOM[RM_Qty_Per_Batch]*IFERROR(INDEX(PP_Grid[#Data],M_BOM[PPGridRow],25),0))+IFERROR(INDEX(M_RawMaterials[固定週次消費量_要入力],MATCH($A33,M_RawMaterials[Part Name],0)),0)</f>
        <v/>
      </c>
      <c r="Z33">
        <f>SUMPRODUCT((M_BOM[Part Name]=$A33)*M_BOM[RM_Qty_Per_Batch]*IFERROR(INDEX(PP_Grid[#Data],M_BOM[PPGridRow],26),0))+IFERROR(INDEX(M_RawMaterials[固定週次消費量_要入力],MATCH($A33,M_RawMaterials[Part Name],0)),0)</f>
        <v/>
      </c>
      <c r="AA33">
        <f>SUMPRODUCT((M_BOM[Part Name]=$A33)*M_BOM[RM_Qty_Per_Batch]*IFERROR(INDEX(PP_Grid[#Data],M_BOM[PPGridRow],27),0))+IFERROR(INDEX(M_RawMaterials[固定週次消費量_要入力],MATCH($A33,M_RawMaterials[Part Name],0)),0)</f>
        <v/>
      </c>
      <c r="AB33">
        <f>SUMPRODUCT((M_BOM[Part Name]=$A33)*M_BOM[RM_Qty_Per_Batch]*IFERROR(INDEX(PP_Grid[#Data],M_BOM[PPGridRow],28),0))+IFERROR(INDEX(M_RawMaterials[固定週次消費量_要入力],MATCH($A33,M_RawMaterials[Part Name],0)),0)</f>
        <v/>
      </c>
      <c r="AC33">
        <f>SUMPRODUCT((M_BOM[Part Name]=$A33)*M_BOM[RM_Qty_Per_Batch]*IFERROR(INDEX(PP_Grid[#Data],M_BOM[PPGridRow],29),0))+IFERROR(INDEX(M_RawMaterials[固定週次消費量_要入力],MATCH($A33,M_RawMaterials[Part Name],0)),0)</f>
        <v/>
      </c>
      <c r="AD33">
        <f>SUMPRODUCT((M_BOM[Part Name]=$A33)*M_BOM[RM_Qty_Per_Batch]*IFERROR(INDEX(PP_Grid[#Data],M_BOM[PPGridRow],30),0))+IFERROR(INDEX(M_RawMaterials[固定週次消費量_要入力],MATCH($A33,M_RawMaterials[Part Name],0)),0)</f>
        <v/>
      </c>
      <c r="AE33">
        <f>SUMPRODUCT((M_BOM[Part Name]=$A33)*M_BOM[RM_Qty_Per_Batch]*IFERROR(INDEX(PP_Grid[#Data],M_BOM[PPGridRow],31),0))+IFERROR(INDEX(M_RawMaterials[固定週次消費量_要入力],MATCH($A33,M_RawMaterials[Part Name],0)),0)</f>
        <v/>
      </c>
      <c r="AF33">
        <f>SUMPRODUCT((M_BOM[Part Name]=$A33)*M_BOM[RM_Qty_Per_Batch]*IFERROR(INDEX(PP_Grid[#Data],M_BOM[PPGridRow],32),0))+IFERROR(INDEX(M_RawMaterials[固定週次消費量_要入力],MATCH($A33,M_RawMaterials[Part Name],0)),0)</f>
        <v/>
      </c>
      <c r="AG33">
        <f>SUMPRODUCT((M_BOM[Part Name]=$A33)*M_BOM[RM_Qty_Per_Batch]*IFERROR(INDEX(PP_Grid[#Data],M_BOM[PPGridRow],33),0))+IFERROR(INDEX(M_RawMaterials[固定週次消費量_要入力],MATCH($A33,M_RawMaterials[Part Name],0)),0)</f>
        <v/>
      </c>
      <c r="AH33">
        <f>SUMPRODUCT((M_BOM[Part Name]=$A33)*M_BOM[RM_Qty_Per_Batch]*IFERROR(INDEX(PP_Grid[#Data],M_BOM[PPGridRow],34),0))+IFERROR(INDEX(M_RawMaterials[固定週次消費量_要入力],MATCH($A33,M_RawMaterials[Part Name],0)),0)</f>
        <v/>
      </c>
      <c r="AI33">
        <f>SUMPRODUCT((M_BOM[Part Name]=$A33)*M_BOM[RM_Qty_Per_Batch]*IFERROR(INDEX(PP_Grid[#Data],M_BOM[PPGridRow],35),0))+IFERROR(INDEX(M_RawMaterials[固定週次消費量_要入力],MATCH($A33,M_RawMaterials[Part Name],0)),0)</f>
        <v/>
      </c>
      <c r="AJ33">
        <f>SUMPRODUCT((M_BOM[Part Name]=$A33)*M_BOM[RM_Qty_Per_Batch]*IFERROR(INDEX(PP_Grid[#Data],M_BOM[PPGridRow],36),0))+IFERROR(INDEX(M_RawMaterials[固定週次消費量_要入力],MATCH($A33,M_RawMaterials[Part Name],0)),0)</f>
        <v/>
      </c>
      <c r="AK33">
        <f>SUMPRODUCT((M_BOM[Part Name]=$A33)*M_BOM[RM_Qty_Per_Batch]*IFERROR(INDEX(PP_Grid[#Data],M_BOM[PPGridRow],37),0))+IFERROR(INDEX(M_RawMaterials[固定週次消費量_要入力],MATCH($A33,M_RawMaterials[Part Name],0)),0)</f>
        <v/>
      </c>
      <c r="AL33">
        <f>SUMPRODUCT((M_BOM[Part Name]=$A33)*M_BOM[RM_Qty_Per_Batch]*IFERROR(INDEX(PP_Grid[#Data],M_BOM[PPGridRow],38),0))+IFERROR(INDEX(M_RawMaterials[固定週次消費量_要入力],MATCH($A33,M_RawMaterials[Part Name],0)),0)</f>
        <v/>
      </c>
      <c r="AM33">
        <f>SUMPRODUCT((M_BOM[Part Name]=$A33)*M_BOM[RM_Qty_Per_Batch]*IFERROR(INDEX(PP_Grid[#Data],M_BOM[PPGridRow],39),0))+IFERROR(INDEX(M_RawMaterials[固定週次消費量_要入力],MATCH($A33,M_RawMaterials[Part Name],0)),0)</f>
        <v/>
      </c>
      <c r="AN33">
        <f>SUMPRODUCT((M_BOM[Part Name]=$A33)*M_BOM[RM_Qty_Per_Batch]*IFERROR(INDEX(PP_Grid[#Data],M_BOM[PPGridRow],40),0))+IFERROR(INDEX(M_RawMaterials[固定週次消費量_要入力],MATCH($A33,M_RawMaterials[Part Name],0)),0)</f>
        <v/>
      </c>
      <c r="AO33">
        <f>SUMPRODUCT((M_BOM[Part Name]=$A33)*M_BOM[RM_Qty_Per_Batch]*IFERROR(INDEX(PP_Grid[#Data],M_BOM[PPGridRow],41),0))+IFERROR(INDEX(M_RawMaterials[固定週次消費量_要入力],MATCH($A33,M_RawMaterials[Part Name],0)),0)</f>
        <v/>
      </c>
      <c r="AP33">
        <f>SUMPRODUCT((M_BOM[Part Name]=$A33)*M_BOM[RM_Qty_Per_Batch]*IFERROR(INDEX(PP_Grid[#Data],M_BOM[PPGridRow],42),0))+IFERROR(INDEX(M_RawMaterials[固定週次消費量_要入力],MATCH($A33,M_RawMaterials[Part Name],0)),0)</f>
        <v/>
      </c>
      <c r="AQ33">
        <f>SUMPRODUCT((M_BOM[Part Name]=$A33)*M_BOM[RM_Qty_Per_Batch]*IFERROR(INDEX(PP_Grid[#Data],M_BOM[PPGridRow],43),0))+IFERROR(INDEX(M_RawMaterials[固定週次消費量_要入力],MATCH($A33,M_RawMaterials[Part Name],0)),0)</f>
        <v/>
      </c>
      <c r="AR33">
        <f>SUMPRODUCT((M_BOM[Part Name]=$A33)*M_BOM[RM_Qty_Per_Batch]*IFERROR(INDEX(PP_Grid[#Data],M_BOM[PPGridRow],44),0))+IFERROR(INDEX(M_RawMaterials[固定週次消費量_要入力],MATCH($A33,M_RawMaterials[Part Name],0)),0)</f>
        <v/>
      </c>
      <c r="AS33">
        <f>SUMPRODUCT((M_BOM[Part Name]=$A33)*M_BOM[RM_Qty_Per_Batch]*IFERROR(INDEX(PP_Grid[#Data],M_BOM[PPGridRow],45),0))+IFERROR(INDEX(M_RawMaterials[固定週次消費量_要入力],MATCH($A33,M_RawMaterials[Part Name],0)),0)</f>
        <v/>
      </c>
      <c r="AT33">
        <f>SUMPRODUCT((M_BOM[Part Name]=$A33)*M_BOM[RM_Qty_Per_Batch]*IFERROR(INDEX(PP_Grid[#Data],M_BOM[PPGridRow],46),0))+IFERROR(INDEX(M_RawMaterials[固定週次消費量_要入力],MATCH($A33,M_RawMaterials[Part Name],0)),0)</f>
        <v/>
      </c>
      <c r="AU33">
        <f>SUMPRODUCT((M_BOM[Part Name]=$A33)*M_BOM[RM_Qty_Per_Batch]*IFERROR(INDEX(PP_Grid[#Data],M_BOM[PPGridRow],47),0))+IFERROR(INDEX(M_RawMaterials[固定週次消費量_要入力],MATCH($A33,M_RawMaterials[Part Name],0)),0)</f>
        <v/>
      </c>
      <c r="AV33">
        <f>SUMPRODUCT((M_BOM[Part Name]=$A33)*M_BOM[RM_Qty_Per_Batch]*IFERROR(INDEX(PP_Grid[#Data],M_BOM[PPGridRow],48),0))+IFERROR(INDEX(M_RawMaterials[固定週次消費量_要入力],MATCH($A33,M_RawMaterials[Part Name],0)),0)</f>
        <v/>
      </c>
      <c r="AW33">
        <f>SUMPRODUCT((M_BOM[Part Name]=$A33)*M_BOM[RM_Qty_Per_Batch]*IFERROR(INDEX(PP_Grid[#Data],M_BOM[PPGridRow],49),0))+IFERROR(INDEX(M_RawMaterials[固定週次消費量_要入力],MATCH($A33,M_RawMaterials[Part Name],0)),0)</f>
        <v/>
      </c>
      <c r="AX33">
        <f>SUMPRODUCT((M_BOM[Part Name]=$A33)*M_BOM[RM_Qty_Per_Batch]*IFERROR(INDEX(PP_Grid[#Data],M_BOM[PPGridRow],50),0))+IFERROR(INDEX(M_RawMaterials[固定週次消費量_要入力],MATCH($A33,M_RawMaterials[Part Name],0)),0)</f>
        <v/>
      </c>
      <c r="AY33">
        <f>SUMPRODUCT((M_BOM[Part Name]=$A33)*M_BOM[RM_Qty_Per_Batch]*IFERROR(INDEX(PP_Grid[#Data],M_BOM[PPGridRow],51),0))+IFERROR(INDEX(M_RawMaterials[固定週次消費量_要入力],MATCH($A33,M_RawMaterials[Part Name],0)),0)</f>
        <v/>
      </c>
      <c r="AZ33">
        <f>SUMPRODUCT((M_BOM[Part Name]=$A33)*M_BOM[RM_Qty_Per_Batch]*IFERROR(INDEX(PP_Grid[#Data],M_BOM[PPGridRow],52),0))+IFERROR(INDEX(M_RawMaterials[固定週次消費量_要入力],MATCH($A33,M_RawMaterials[Part Name],0)),0)</f>
        <v/>
      </c>
      <c r="BA33">
        <f>SUMPRODUCT((M_BOM[Part Name]=$A33)*M_BOM[RM_Qty_Per_Batch]*IFERROR(INDEX(PP_Grid[#Data],M_BOM[PPGridRow],53),0))+IFERROR(INDEX(M_RawMaterials[固定週次消費量_要入力],MATCH($A33,M_RawMaterials[Part Name],0)),0)</f>
        <v/>
      </c>
      <c r="BB33">
        <f>SUMPRODUCT((M_BOM[Part Name]=$A33)*M_BOM[RM_Qty_Per_Batch]*IFERROR(INDEX(PP_Grid[#Data],M_BOM[PPGridRow],54),0))+IFERROR(INDEX(M_RawMaterials[固定週次消費量_要入力],MATCH($A33,M_RawMaterials[Part Name],0)),0)</f>
        <v/>
      </c>
      <c r="BC33">
        <f>SUMPRODUCT((M_BOM[Part Name]=$A33)*M_BOM[RM_Qty_Per_Batch]*IFERROR(INDEX(PP_Grid[#Data],M_BOM[PPGridRow],55),0))+IFERROR(INDEX(M_RawMaterials[固定週次消費量_要入力],MATCH($A33,M_RawMaterials[Part Name],0)),0)</f>
        <v/>
      </c>
      <c r="BD33">
        <f>SUMPRODUCT((M_BOM[Part Name]=$A33)*M_BOM[RM_Qty_Per_Batch]*IFERROR(INDEX(PP_Grid[#Data],M_BOM[PPGridRow],56),0))+IFERROR(INDEX(M_RawMaterials[固定週次消費量_要入力],MATCH($A33,M_RawMaterials[Part Name],0)),0)</f>
        <v/>
      </c>
      <c r="BE33">
        <f>SUMPRODUCT((M_BOM[Part Name]=$A33)*M_BOM[RM_Qty_Per_Batch]*IFERROR(INDEX(PP_Grid[#Data],M_BOM[PPGridRow],57),0))+IFERROR(INDEX(M_RawMaterials[固定週次消費量_要入力],MATCH($A33,M_RawMaterials[Part Name],0)),0)</f>
        <v/>
      </c>
      <c r="BF33">
        <f>SUMPRODUCT((M_BOM[Part Name]=$A33)*M_BOM[RM_Qty_Per_Batch]*IFERROR(INDEX(PP_Grid[#Data],M_BOM[PPGridRow],58),0))+IFERROR(INDEX(M_RawMaterials[固定週次消費量_要入力],MATCH($A33,M_RawMaterials[Part Name],0)),0)</f>
        <v/>
      </c>
      <c r="BG33">
        <f>SUMPRODUCT((M_BOM[Part Name]=$A33)*M_BOM[RM_Qty_Per_Batch]*IFERROR(INDEX(PP_Grid[#Data],M_BOM[PPGridRow],59),0))+IFERROR(INDEX(M_RawMaterials[固定週次消費量_要入力],MATCH($A33,M_RawMaterials[Part Name],0)),0)</f>
        <v/>
      </c>
      <c r="BH33">
        <f>SUMPRODUCT((M_BOM[Part Name]=$A33)*M_BOM[RM_Qty_Per_Batch]*IFERROR(INDEX(PP_Grid[#Data],M_BOM[PPGridRow],60),0))+IFERROR(INDEX(M_RawMaterials[固定週次消費量_要入力],MATCH($A33,M_RawMaterials[Part Name],0)),0)</f>
        <v/>
      </c>
      <c r="BI33">
        <f>SUMPRODUCT((M_BOM[Part Name]=$A33)*M_BOM[RM_Qty_Per_Batch]*IFERROR(INDEX(PP_Grid[#Data],M_BOM[PPGridRow],61),0))+IFERROR(INDEX(M_RawMaterials[固定週次消費量_要入力],MATCH($A33,M_RawMaterials[Part Name],0)),0)</f>
        <v/>
      </c>
      <c r="BJ33">
        <f>SUMPRODUCT((M_BOM[Part Name]=$A33)*M_BOM[RM_Qty_Per_Batch]*IFERROR(INDEX(PP_Grid[#Data],M_BOM[PPGridRow],62),0))+IFERROR(INDEX(M_RawMaterials[固定週次消費量_要入力],MATCH($A33,M_RawMaterials[Part Name],0)),0)</f>
        <v/>
      </c>
      <c r="BK33">
        <f>SUMPRODUCT((M_BOM[Part Name]=$A33)*M_BOM[RM_Qty_Per_Batch]*IFERROR(INDEX(PP_Grid[#Data],M_BOM[PPGridRow],63),0))+IFERROR(INDEX(M_RawMaterials[固定週次消費量_要入力],MATCH($A33,M_RawMaterials[Part Name],0)),0)</f>
        <v/>
      </c>
      <c r="BL33">
        <f>SUMPRODUCT((M_BOM[Part Name]=$A33)*M_BOM[RM_Qty_Per_Batch]*IFERROR(INDEX(PP_Grid[#Data],M_BOM[PPGridRow],64),0))+IFERROR(INDEX(M_RawMaterials[固定週次消費量_要入力],MATCH($A33,M_RawMaterials[Part Name],0)),0)</f>
        <v/>
      </c>
      <c r="BM33">
        <f>SUMPRODUCT((M_BOM[Part Name]=$A33)*M_BOM[RM_Qty_Per_Batch]*IFERROR(INDEX(PP_Grid[#Data],M_BOM[PPGridRow],65),0))+IFERROR(INDEX(M_RawMaterials[固定週次消費量_要入力],MATCH($A33,M_RawMaterials[Part Name],0)),0)</f>
        <v/>
      </c>
      <c r="BN33">
        <f>SUMPRODUCT((M_BOM[Part Name]=$A33)*M_BOM[RM_Qty_Per_Batch]*IFERROR(INDEX(PP_Grid[#Data],M_BOM[PPGridRow],66),0))+IFERROR(INDEX(M_RawMaterials[固定週次消費量_要入力],MATCH($A33,M_RawMaterials[Part Name],0)),0)</f>
        <v/>
      </c>
      <c r="BO33">
        <f>SUMPRODUCT((M_BOM[Part Name]=$A33)*M_BOM[RM_Qty_Per_Batch]*IFERROR(INDEX(PP_Grid[#Data],M_BOM[PPGridRow],67),0))+IFERROR(INDEX(M_RawMaterials[固定週次消費量_要入力],MATCH($A33,M_RawMaterials[Part Name],0)),0)</f>
        <v/>
      </c>
      <c r="BP33">
        <f>SUMPRODUCT((M_BOM[Part Name]=$A33)*M_BOM[RM_Qty_Per_Batch]*IFERROR(INDEX(PP_Grid[#Data],M_BOM[PPGridRow],68),0))+IFERROR(INDEX(M_RawMaterials[固定週次消費量_要入力],MATCH($A33,M_RawMaterials[Part Name],0)),0)</f>
        <v/>
      </c>
      <c r="BQ33">
        <f>SUMPRODUCT((M_BOM[Part Name]=$A33)*M_BOM[RM_Qty_Per_Batch]*IFERROR(INDEX(PP_Grid[#Data],M_BOM[PPGridRow],69),0))+IFERROR(INDEX(M_RawMaterials[固定週次消費量_要入力],MATCH($A33,M_RawMaterials[Part Name],0)),0)</f>
        <v/>
      </c>
      <c r="BR33">
        <f>SUMPRODUCT((M_BOM[Part Name]=$A33)*M_BOM[RM_Qty_Per_Batch]*IFERROR(INDEX(PP_Grid[#Data],M_BOM[PPGridRow],70),0))+IFERROR(INDEX(M_RawMaterials[固定週次消費量_要入力],MATCH($A33,M_RawMaterials[Part Name],0)),0)</f>
        <v/>
      </c>
      <c r="BS33">
        <f>SUMPRODUCT((M_BOM[Part Name]=$A33)*M_BOM[RM_Qty_Per_Batch]*IFERROR(INDEX(PP_Grid[#Data],M_BOM[PPGridRow],71),0))+IFERROR(INDEX(M_RawMaterials[固定週次消費量_要入力],MATCH($A33,M_RawMaterials[Part Name],0)),0)</f>
        <v/>
      </c>
      <c r="BT33">
        <f>SUMPRODUCT((M_BOM[Part Name]=$A33)*M_BOM[RM_Qty_Per_Batch]*IFERROR(INDEX(PP_Grid[#Data],M_BOM[PPGridRow],72),0))+IFERROR(INDEX(M_RawMaterials[固定週次消費量_要入力],MATCH($A33,M_RawMaterials[Part Name],0)),0)</f>
        <v/>
      </c>
      <c r="BU33">
        <f>SUMPRODUCT((M_BOM[Part Name]=$A33)*M_BOM[RM_Qty_Per_Batch]*IFERROR(INDEX(PP_Grid[#Data],M_BOM[PPGridRow],73),0))+IFERROR(INDEX(M_RawMaterials[固定週次消費量_要入力],MATCH($A33,M_RawMaterials[Part Name],0)),0)</f>
        <v/>
      </c>
      <c r="BV33">
        <f>SUMPRODUCT((M_BOM[Part Name]=$A33)*M_BOM[RM_Qty_Per_Batch]*IFERROR(INDEX(PP_Grid[#Data],M_BOM[PPGridRow],74),0))+IFERROR(INDEX(M_RawMaterials[固定週次消費量_要入力],MATCH($A33,M_RawMaterials[Part Name],0)),0)</f>
        <v/>
      </c>
      <c r="BW33">
        <f>SUMPRODUCT((M_BOM[Part Name]=$A33)*M_BOM[RM_Qty_Per_Batch]*IFERROR(INDEX(PP_Grid[#Data],M_BOM[PPGridRow],75),0))+IFERROR(INDEX(M_RawMaterials[固定週次消費量_要入力],MATCH($A33,M_RawMaterials[Part Name],0)),0)</f>
        <v/>
      </c>
      <c r="BX33">
        <f>SUMPRODUCT((M_BOM[Part Name]=$A33)*M_BOM[RM_Qty_Per_Batch]*IFERROR(INDEX(PP_Grid[#Data],M_BOM[PPGridRow],76),0))+IFERROR(INDEX(M_RawMaterials[固定週次消費量_要入力],MATCH($A33,M_RawMaterials[Part Name],0)),0)</f>
        <v/>
      </c>
      <c r="BY33">
        <f>SUMPRODUCT((M_BOM[Part Name]=$A33)*M_BOM[RM_Qty_Per_Batch]*IFERROR(INDEX(PP_Grid[#Data],M_BOM[PPGridRow],77),0))+IFERROR(INDEX(M_RawMaterials[固定週次消費量_要入力],MATCH($A33,M_RawMaterials[Part Name],0)),0)</f>
        <v/>
      </c>
      <c r="BZ33">
        <f>SUMPRODUCT((M_BOM[Part Name]=$A33)*M_BOM[RM_Qty_Per_Batch]*IFERROR(INDEX(PP_Grid[#Data],M_BOM[PPGridRow],78),0))+IFERROR(INDEX(M_RawMaterials[固定週次消費量_要入力],MATCH($A33,M_RawMaterials[Part Name],0)),0)</f>
        <v/>
      </c>
      <c r="CA33">
        <f>SUMPRODUCT((M_BOM[Part Name]=$A33)*M_BOM[RM_Qty_Per_Batch]*IFERROR(INDEX(PP_Grid[#Data],M_BOM[PPGridRow],79),0))+IFERROR(INDEX(M_RawMaterials[固定週次消費量_要入力],MATCH($A33,M_RawMaterials[Part Name],0)),0)</f>
        <v/>
      </c>
      <c r="CB33">
        <f>SUMPRODUCT((M_BOM[Part Name]=$A33)*M_BOM[RM_Qty_Per_Batch]*IFERROR(INDEX(PP_Grid[#Data],M_BOM[PPGridRow],80),0))+IFERROR(INDEX(M_RawMaterials[固定週次消費量_要入力],MATCH($A33,M_RawMaterials[Part Name],0)),0)</f>
        <v/>
      </c>
      <c r="CC33">
        <f>SUMPRODUCT((M_BOM[Part Name]=$A33)*M_BOM[RM_Qty_Per_Batch]*IFERROR(INDEX(PP_Grid[#Data],M_BOM[PPGridRow],81),0))+IFERROR(INDEX(M_RawMaterials[固定週次消費量_要入力],MATCH($A33,M_RawMaterials[Part Name],0)),0)</f>
        <v/>
      </c>
      <c r="CD33">
        <f>SUMPRODUCT((M_BOM[Part Name]=$A33)*M_BOM[RM_Qty_Per_Batch]*IFERROR(INDEX(PP_Grid[#Data],M_BOM[PPGridRow],82),0))+IFERROR(INDEX(M_RawMaterials[固定週次消費量_要入力],MATCH($A33,M_RawMaterials[Part Name],0)),0)</f>
        <v/>
      </c>
      <c r="CE33">
        <f>SUMPRODUCT((M_BOM[Part Name]=$A33)*M_BOM[RM_Qty_Per_Batch]*IFERROR(INDEX(PP_Grid[#Data],M_BOM[PPGridRow],83),0))+IFERROR(INDEX(M_RawMaterials[固定週次消費量_要入力],MATCH($A33,M_RawMaterials[Part Name],0)),0)</f>
        <v/>
      </c>
      <c r="CF33">
        <f>SUMPRODUCT((M_BOM[Part Name]=$A33)*M_BOM[RM_Qty_Per_Batch]*IFERROR(INDEX(PP_Grid[#Data],M_BOM[PPGridRow],84),0))+IFERROR(INDEX(M_RawMaterials[固定週次消費量_要入力],MATCH($A33,M_RawMaterials[Part Name],0)),0)</f>
        <v/>
      </c>
      <c r="CG33">
        <f>SUMPRODUCT((M_BOM[Part Name]=$A33)*M_BOM[RM_Qty_Per_Batch]*IFERROR(INDEX(PP_Grid[#Data],M_BOM[PPGridRow],85),0))+IFERROR(INDEX(M_RawMaterials[固定週次消費量_要入力],MATCH($A33,M_RawMaterials[Part Name],0)),0)</f>
        <v/>
      </c>
      <c r="CH33">
        <f>SUMPRODUCT((M_BOM[Part Name]=$A33)*M_BOM[RM_Qty_Per_Batch]*IFERROR(INDEX(PP_Grid[#Data],M_BOM[PPGridRow],86),0))+IFERROR(INDEX(M_RawMaterials[固定週次消費量_要入力],MATCH($A33,M_RawMaterials[Part Name],0)),0)</f>
        <v/>
      </c>
      <c r="CI33">
        <f>SUMPRODUCT((M_BOM[Part Name]=$A33)*M_BOM[RM_Qty_Per_Batch]*IFERROR(INDEX(PP_Grid[#Data],M_BOM[PPGridRow],87),0))+IFERROR(INDEX(M_RawMaterials[固定週次消費量_要入力],MATCH($A33,M_RawMaterials[Part Name],0)),0)</f>
        <v/>
      </c>
      <c r="CJ33">
        <f>SUMPRODUCT((M_BOM[Part Name]=$A33)*M_BOM[RM_Qty_Per_Batch]*IFERROR(INDEX(PP_Grid[#Data],M_BOM[PPGridRow],88),0))+IFERROR(INDEX(M_RawMaterials[固定週次消費量_要入力],MATCH($A33,M_RawMaterials[Part Name],0)),0)</f>
        <v/>
      </c>
      <c r="CK33">
        <f>SUMPRODUCT((M_BOM[Part Name]=$A33)*M_BOM[RM_Qty_Per_Batch]*IFERROR(INDEX(PP_Grid[#Data],M_BOM[PPGridRow],89),0))+IFERROR(INDEX(M_RawMaterials[固定週次消費量_要入力],MATCH($A33,M_RawMaterials[Part Name],0)),0)</f>
        <v/>
      </c>
      <c r="CL33">
        <f>SUMPRODUCT((M_BOM[Part Name]=$A33)*M_BOM[RM_Qty_Per_Batch]*IFERROR(INDEX(PP_Grid[#Data],M_BOM[PPGridRow],90),0))+IFERROR(INDEX(M_RawMaterials[固定週次消費量_要入力],MATCH($A33,M_RawMaterials[Part Name],0)),0)</f>
        <v/>
      </c>
      <c r="CM33">
        <f>SUMPRODUCT((M_BOM[Part Name]=$A33)*M_BOM[RM_Qty_Per_Batch]*IFERROR(INDEX(PP_Grid[#Data],M_BOM[PPGridRow],91),0))+IFERROR(INDEX(M_RawMaterials[固定週次消費量_要入力],MATCH($A33,M_RawMaterials[Part Name],0)),0)</f>
        <v/>
      </c>
      <c r="CN33">
        <f>SUMPRODUCT((M_BOM[Part Name]=$A33)*M_BOM[RM_Qty_Per_Batch]*IFERROR(INDEX(PP_Grid[#Data],M_BOM[PPGridRow],92),0))+IFERROR(INDEX(M_RawMaterials[固定週次消費量_要入力],MATCH($A33,M_RawMaterials[Part Name],0)),0)</f>
        <v/>
      </c>
      <c r="CO33">
        <f>SUMPRODUCT((M_BOM[Part Name]=$A33)*M_BOM[RM_Qty_Per_Batch]*IFERROR(INDEX(PP_Grid[#Data],M_BOM[PPGridRow],93),0))+IFERROR(INDEX(M_RawMaterials[固定週次消費量_要入力],MATCH($A33,M_RawMaterials[Part Name],0)),0)</f>
        <v/>
      </c>
      <c r="CP33">
        <f>SUMPRODUCT((M_BOM[Part Name]=$A33)*M_BOM[RM_Qty_Per_Batch]*IFERROR(INDEX(PP_Grid[#Data],M_BOM[PPGridRow],94),0))+IFERROR(INDEX(M_RawMaterials[固定週次消費量_要入力],MATCH($A33,M_RawMaterials[Part Name],0)),0)</f>
        <v/>
      </c>
      <c r="CQ33">
        <f>SUMPRODUCT((M_BOM[Part Name]=$A33)*M_BOM[RM_Qty_Per_Batch]*IFERROR(INDEX(PP_Grid[#Data],M_BOM[PPGridRow],95),0))+IFERROR(INDEX(M_RawMaterials[固定週次消費量_要入力],MATCH($A33,M_RawMaterials[Part Name],0)),0)</f>
        <v/>
      </c>
      <c r="CR33">
        <f>SUMPRODUCT((M_BOM[Part Name]=$A33)*M_BOM[RM_Qty_Per_Batch]*IFERROR(INDEX(PP_Grid[#Data],M_BOM[PPGridRow],96),0))+IFERROR(INDEX(M_RawMaterials[固定週次消費量_要入力],MATCH($A33,M_RawMaterials[Part Name],0)),0)</f>
        <v/>
      </c>
      <c r="CS33">
        <f>SUMPRODUCT((M_BOM[Part Name]=$A33)*M_BOM[RM_Qty_Per_Batch]*IFERROR(INDEX(PP_Grid[#Data],M_BOM[PPGridRow],97),0))+IFERROR(INDEX(M_RawMaterials[固定週次消費量_要入力],MATCH($A33,M_RawMaterials[Part Name],0)),0)</f>
        <v/>
      </c>
      <c r="CT33">
        <f>SUMPRODUCT((M_BOM[Part Name]=$A33)*M_BOM[RM_Qty_Per_Batch]*IFERROR(INDEX(PP_Grid[#Data],M_BOM[PPGridRow],98),0))+IFERROR(INDEX(M_RawMaterials[固定週次消費量_要入力],MATCH($A33,M_RawMaterials[Part Name],0)),0)</f>
        <v/>
      </c>
      <c r="CU33">
        <f>SUMPRODUCT((M_BOM[Part Name]=$A33)*M_BOM[RM_Qty_Per_Batch]*IFERROR(INDEX(PP_Grid[#Data],M_BOM[PPGridRow],99),0))+IFERROR(INDEX(M_RawMaterials[固定週次消費量_要入力],MATCH($A33,M_RawMaterials[Part Name],0)),0)</f>
        <v/>
      </c>
      <c r="CV33">
        <f>SUMPRODUCT((M_BOM[Part Name]=$A33)*M_BOM[RM_Qty_Per_Batch]*IFERROR(INDEX(PP_Grid[#Data],M_BOM[PPGridRow],100),0))+IFERROR(INDEX(M_RawMaterials[固定週次消費量_要入力],MATCH($A33,M_RawMaterials[Part Name],0)),0)</f>
        <v/>
      </c>
      <c r="CW33">
        <f>SUMPRODUCT((M_BOM[Part Name]=$A33)*M_BOM[RM_Qty_Per_Batch]*IFERROR(INDEX(PP_Grid[#Data],M_BOM[PPGridRow],101),0))+IFERROR(INDEX(M_RawMaterials[固定週次消費量_要入力],MATCH($A33,M_RawMaterials[Part Name],0)),0)</f>
        <v/>
      </c>
      <c r="CX33">
        <f>SUMPRODUCT((M_BOM[Part Name]=$A33)*M_BOM[RM_Qty_Per_Batch]*IFERROR(INDEX(PP_Grid[#Data],M_BOM[PPGridRow],102),0))+IFERROR(INDEX(M_RawMaterials[固定週次消費量_要入力],MATCH($A33,M_RawMaterials[Part Name],0)),0)</f>
        <v/>
      </c>
      <c r="CY33">
        <f>SUMPRODUCT((M_BOM[Part Name]=$A33)*M_BOM[RM_Qty_Per_Batch]*IFERROR(INDEX(PP_Grid[#Data],M_BOM[PPGridRow],103),0))+IFERROR(INDEX(M_RawMaterials[固定週次消費量_要入力],MATCH($A33,M_RawMaterials[Part Name],0)),0)</f>
        <v/>
      </c>
      <c r="CZ33">
        <f>SUMPRODUCT((M_BOM[Part Name]=$A33)*M_BOM[RM_Qty_Per_Batch]*IFERROR(INDEX(PP_Grid[#Data],M_BOM[PPGridRow],104),0))+IFERROR(INDEX(M_RawMaterials[固定週次消費量_要入力],MATCH($A33,M_RawMaterials[Part Name],0)),0)</f>
        <v/>
      </c>
      <c r="DA33">
        <f>SUMPRODUCT((M_BOM[Part Name]=$A33)*M_BOM[RM_Qty_Per_Batch]*IFERROR(INDEX(PP_Grid[#Data],M_BOM[PPGridRow],105),0))+IFERROR(INDEX(M_RawMaterials[固定週次消費量_要入力],MATCH($A33,M_RawMaterials[Part Name],0)),0)</f>
        <v/>
      </c>
    </row>
    <row r="34">
      <c r="A34" t="inlineStr">
        <is>
          <t>CHEM-1650</t>
        </is>
      </c>
      <c r="B34">
        <f>SUMPRODUCT((M_BOM[Part Name]=$A34)*M_BOM[RM_Qty_Per_Batch]*IFERROR(INDEX(PP_Grid[#Data],M_BOM[PPGridRow],2),0))+IFERROR(INDEX(M_RawMaterials[固定週次消費量_要入力],MATCH($A34,M_RawMaterials[Part Name],0)),0)</f>
        <v/>
      </c>
      <c r="C34">
        <f>SUMPRODUCT((M_BOM[Part Name]=$A34)*M_BOM[RM_Qty_Per_Batch]*IFERROR(INDEX(PP_Grid[#Data],M_BOM[PPGridRow],3),0))+IFERROR(INDEX(M_RawMaterials[固定週次消費量_要入力],MATCH($A34,M_RawMaterials[Part Name],0)),0)</f>
        <v/>
      </c>
      <c r="D34">
        <f>SUMPRODUCT((M_BOM[Part Name]=$A34)*M_BOM[RM_Qty_Per_Batch]*IFERROR(INDEX(PP_Grid[#Data],M_BOM[PPGridRow],4),0))+IFERROR(INDEX(M_RawMaterials[固定週次消費量_要入力],MATCH($A34,M_RawMaterials[Part Name],0)),0)</f>
        <v/>
      </c>
      <c r="E34">
        <f>SUMPRODUCT((M_BOM[Part Name]=$A34)*M_BOM[RM_Qty_Per_Batch]*IFERROR(INDEX(PP_Grid[#Data],M_BOM[PPGridRow],5),0))+IFERROR(INDEX(M_RawMaterials[固定週次消費量_要入力],MATCH($A34,M_RawMaterials[Part Name],0)),0)</f>
        <v/>
      </c>
      <c r="F34">
        <f>SUMPRODUCT((M_BOM[Part Name]=$A34)*M_BOM[RM_Qty_Per_Batch]*IFERROR(INDEX(PP_Grid[#Data],M_BOM[PPGridRow],6),0))+IFERROR(INDEX(M_RawMaterials[固定週次消費量_要入力],MATCH($A34,M_RawMaterials[Part Name],0)),0)</f>
        <v/>
      </c>
      <c r="G34">
        <f>SUMPRODUCT((M_BOM[Part Name]=$A34)*M_BOM[RM_Qty_Per_Batch]*IFERROR(INDEX(PP_Grid[#Data],M_BOM[PPGridRow],7),0))+IFERROR(INDEX(M_RawMaterials[固定週次消費量_要入力],MATCH($A34,M_RawMaterials[Part Name],0)),0)</f>
        <v/>
      </c>
      <c r="H34">
        <f>SUMPRODUCT((M_BOM[Part Name]=$A34)*M_BOM[RM_Qty_Per_Batch]*IFERROR(INDEX(PP_Grid[#Data],M_BOM[PPGridRow],8),0))+IFERROR(INDEX(M_RawMaterials[固定週次消費量_要入力],MATCH($A34,M_RawMaterials[Part Name],0)),0)</f>
        <v/>
      </c>
      <c r="I34">
        <f>SUMPRODUCT((M_BOM[Part Name]=$A34)*M_BOM[RM_Qty_Per_Batch]*IFERROR(INDEX(PP_Grid[#Data],M_BOM[PPGridRow],9),0))+IFERROR(INDEX(M_RawMaterials[固定週次消費量_要入力],MATCH($A34,M_RawMaterials[Part Name],0)),0)</f>
        <v/>
      </c>
      <c r="J34">
        <f>SUMPRODUCT((M_BOM[Part Name]=$A34)*M_BOM[RM_Qty_Per_Batch]*IFERROR(INDEX(PP_Grid[#Data],M_BOM[PPGridRow],10),0))+IFERROR(INDEX(M_RawMaterials[固定週次消費量_要入力],MATCH($A34,M_RawMaterials[Part Name],0)),0)</f>
        <v/>
      </c>
      <c r="K34">
        <f>SUMPRODUCT((M_BOM[Part Name]=$A34)*M_BOM[RM_Qty_Per_Batch]*IFERROR(INDEX(PP_Grid[#Data],M_BOM[PPGridRow],11),0))+IFERROR(INDEX(M_RawMaterials[固定週次消費量_要入力],MATCH($A34,M_RawMaterials[Part Name],0)),0)</f>
        <v/>
      </c>
      <c r="L34">
        <f>SUMPRODUCT((M_BOM[Part Name]=$A34)*M_BOM[RM_Qty_Per_Batch]*IFERROR(INDEX(PP_Grid[#Data],M_BOM[PPGridRow],12),0))+IFERROR(INDEX(M_RawMaterials[固定週次消費量_要入力],MATCH($A34,M_RawMaterials[Part Name],0)),0)</f>
        <v/>
      </c>
      <c r="M34">
        <f>SUMPRODUCT((M_BOM[Part Name]=$A34)*M_BOM[RM_Qty_Per_Batch]*IFERROR(INDEX(PP_Grid[#Data],M_BOM[PPGridRow],13),0))+IFERROR(INDEX(M_RawMaterials[固定週次消費量_要入力],MATCH($A34,M_RawMaterials[Part Name],0)),0)</f>
        <v/>
      </c>
      <c r="N34">
        <f>SUMPRODUCT((M_BOM[Part Name]=$A34)*M_BOM[RM_Qty_Per_Batch]*IFERROR(INDEX(PP_Grid[#Data],M_BOM[PPGridRow],14),0))+IFERROR(INDEX(M_RawMaterials[固定週次消費量_要入力],MATCH($A34,M_RawMaterials[Part Name],0)),0)</f>
        <v/>
      </c>
      <c r="O34">
        <f>SUMPRODUCT((M_BOM[Part Name]=$A34)*M_BOM[RM_Qty_Per_Batch]*IFERROR(INDEX(PP_Grid[#Data],M_BOM[PPGridRow],15),0))+IFERROR(INDEX(M_RawMaterials[固定週次消費量_要入力],MATCH($A34,M_RawMaterials[Part Name],0)),0)</f>
        <v/>
      </c>
      <c r="P34">
        <f>SUMPRODUCT((M_BOM[Part Name]=$A34)*M_BOM[RM_Qty_Per_Batch]*IFERROR(INDEX(PP_Grid[#Data],M_BOM[PPGridRow],16),0))+IFERROR(INDEX(M_RawMaterials[固定週次消費量_要入力],MATCH($A34,M_RawMaterials[Part Name],0)),0)</f>
        <v/>
      </c>
      <c r="Q34">
        <f>SUMPRODUCT((M_BOM[Part Name]=$A34)*M_BOM[RM_Qty_Per_Batch]*IFERROR(INDEX(PP_Grid[#Data],M_BOM[PPGridRow],17),0))+IFERROR(INDEX(M_RawMaterials[固定週次消費量_要入力],MATCH($A34,M_RawMaterials[Part Name],0)),0)</f>
        <v/>
      </c>
      <c r="R34">
        <f>SUMPRODUCT((M_BOM[Part Name]=$A34)*M_BOM[RM_Qty_Per_Batch]*IFERROR(INDEX(PP_Grid[#Data],M_BOM[PPGridRow],18),0))+IFERROR(INDEX(M_RawMaterials[固定週次消費量_要入力],MATCH($A34,M_RawMaterials[Part Name],0)),0)</f>
        <v/>
      </c>
      <c r="S34">
        <f>SUMPRODUCT((M_BOM[Part Name]=$A34)*M_BOM[RM_Qty_Per_Batch]*IFERROR(INDEX(PP_Grid[#Data],M_BOM[PPGridRow],19),0))+IFERROR(INDEX(M_RawMaterials[固定週次消費量_要入力],MATCH($A34,M_RawMaterials[Part Name],0)),0)</f>
        <v/>
      </c>
      <c r="T34">
        <f>SUMPRODUCT((M_BOM[Part Name]=$A34)*M_BOM[RM_Qty_Per_Batch]*IFERROR(INDEX(PP_Grid[#Data],M_BOM[PPGridRow],20),0))+IFERROR(INDEX(M_RawMaterials[固定週次消費量_要入力],MATCH($A34,M_RawMaterials[Part Name],0)),0)</f>
        <v/>
      </c>
      <c r="U34">
        <f>SUMPRODUCT((M_BOM[Part Name]=$A34)*M_BOM[RM_Qty_Per_Batch]*IFERROR(INDEX(PP_Grid[#Data],M_BOM[PPGridRow],21),0))+IFERROR(INDEX(M_RawMaterials[固定週次消費量_要入力],MATCH($A34,M_RawMaterials[Part Name],0)),0)</f>
        <v/>
      </c>
      <c r="V34">
        <f>SUMPRODUCT((M_BOM[Part Name]=$A34)*M_BOM[RM_Qty_Per_Batch]*IFERROR(INDEX(PP_Grid[#Data],M_BOM[PPGridRow],22),0))+IFERROR(INDEX(M_RawMaterials[固定週次消費量_要入力],MATCH($A34,M_RawMaterials[Part Name],0)),0)</f>
        <v/>
      </c>
      <c r="W34">
        <f>SUMPRODUCT((M_BOM[Part Name]=$A34)*M_BOM[RM_Qty_Per_Batch]*IFERROR(INDEX(PP_Grid[#Data],M_BOM[PPGridRow],23),0))+IFERROR(INDEX(M_RawMaterials[固定週次消費量_要入力],MATCH($A34,M_RawMaterials[Part Name],0)),0)</f>
        <v/>
      </c>
      <c r="X34">
        <f>SUMPRODUCT((M_BOM[Part Name]=$A34)*M_BOM[RM_Qty_Per_Batch]*IFERROR(INDEX(PP_Grid[#Data],M_BOM[PPGridRow],24),0))+IFERROR(INDEX(M_RawMaterials[固定週次消費量_要入力],MATCH($A34,M_RawMaterials[Part Name],0)),0)</f>
        <v/>
      </c>
      <c r="Y34">
        <f>SUMPRODUCT((M_BOM[Part Name]=$A34)*M_BOM[RM_Qty_Per_Batch]*IFERROR(INDEX(PP_Grid[#Data],M_BOM[PPGridRow],25),0))+IFERROR(INDEX(M_RawMaterials[固定週次消費量_要入力],MATCH($A34,M_RawMaterials[Part Name],0)),0)</f>
        <v/>
      </c>
      <c r="Z34">
        <f>SUMPRODUCT((M_BOM[Part Name]=$A34)*M_BOM[RM_Qty_Per_Batch]*IFERROR(INDEX(PP_Grid[#Data],M_BOM[PPGridRow],26),0))+IFERROR(INDEX(M_RawMaterials[固定週次消費量_要入力],MATCH($A34,M_RawMaterials[Part Name],0)),0)</f>
        <v/>
      </c>
      <c r="AA34">
        <f>SUMPRODUCT((M_BOM[Part Name]=$A34)*M_BOM[RM_Qty_Per_Batch]*IFERROR(INDEX(PP_Grid[#Data],M_BOM[PPGridRow],27),0))+IFERROR(INDEX(M_RawMaterials[固定週次消費量_要入力],MATCH($A34,M_RawMaterials[Part Name],0)),0)</f>
        <v/>
      </c>
      <c r="AB34">
        <f>SUMPRODUCT((M_BOM[Part Name]=$A34)*M_BOM[RM_Qty_Per_Batch]*IFERROR(INDEX(PP_Grid[#Data],M_BOM[PPGridRow],28),0))+IFERROR(INDEX(M_RawMaterials[固定週次消費量_要入力],MATCH($A34,M_RawMaterials[Part Name],0)),0)</f>
        <v/>
      </c>
      <c r="AC34">
        <f>SUMPRODUCT((M_BOM[Part Name]=$A34)*M_BOM[RM_Qty_Per_Batch]*IFERROR(INDEX(PP_Grid[#Data],M_BOM[PPGridRow],29),0))+IFERROR(INDEX(M_RawMaterials[固定週次消費量_要入力],MATCH($A34,M_RawMaterials[Part Name],0)),0)</f>
        <v/>
      </c>
      <c r="AD34">
        <f>SUMPRODUCT((M_BOM[Part Name]=$A34)*M_BOM[RM_Qty_Per_Batch]*IFERROR(INDEX(PP_Grid[#Data],M_BOM[PPGridRow],30),0))+IFERROR(INDEX(M_RawMaterials[固定週次消費量_要入力],MATCH($A34,M_RawMaterials[Part Name],0)),0)</f>
        <v/>
      </c>
      <c r="AE34">
        <f>SUMPRODUCT((M_BOM[Part Name]=$A34)*M_BOM[RM_Qty_Per_Batch]*IFERROR(INDEX(PP_Grid[#Data],M_BOM[PPGridRow],31),0))+IFERROR(INDEX(M_RawMaterials[固定週次消費量_要入力],MATCH($A34,M_RawMaterials[Part Name],0)),0)</f>
        <v/>
      </c>
      <c r="AF34">
        <f>SUMPRODUCT((M_BOM[Part Name]=$A34)*M_BOM[RM_Qty_Per_Batch]*IFERROR(INDEX(PP_Grid[#Data],M_BOM[PPGridRow],32),0))+IFERROR(INDEX(M_RawMaterials[固定週次消費量_要入力],MATCH($A34,M_RawMaterials[Part Name],0)),0)</f>
        <v/>
      </c>
      <c r="AG34">
        <f>SUMPRODUCT((M_BOM[Part Name]=$A34)*M_BOM[RM_Qty_Per_Batch]*IFERROR(INDEX(PP_Grid[#Data],M_BOM[PPGridRow],33),0))+IFERROR(INDEX(M_RawMaterials[固定週次消費量_要入力],MATCH($A34,M_RawMaterials[Part Name],0)),0)</f>
        <v/>
      </c>
      <c r="AH34">
        <f>SUMPRODUCT((M_BOM[Part Name]=$A34)*M_BOM[RM_Qty_Per_Batch]*IFERROR(INDEX(PP_Grid[#Data],M_BOM[PPGridRow],34),0))+IFERROR(INDEX(M_RawMaterials[固定週次消費量_要入力],MATCH($A34,M_RawMaterials[Part Name],0)),0)</f>
        <v/>
      </c>
      <c r="AI34">
        <f>SUMPRODUCT((M_BOM[Part Name]=$A34)*M_BOM[RM_Qty_Per_Batch]*IFERROR(INDEX(PP_Grid[#Data],M_BOM[PPGridRow],35),0))+IFERROR(INDEX(M_RawMaterials[固定週次消費量_要入力],MATCH($A34,M_RawMaterials[Part Name],0)),0)</f>
        <v/>
      </c>
      <c r="AJ34">
        <f>SUMPRODUCT((M_BOM[Part Name]=$A34)*M_BOM[RM_Qty_Per_Batch]*IFERROR(INDEX(PP_Grid[#Data],M_BOM[PPGridRow],36),0))+IFERROR(INDEX(M_RawMaterials[固定週次消費量_要入力],MATCH($A34,M_RawMaterials[Part Name],0)),0)</f>
        <v/>
      </c>
      <c r="AK34">
        <f>SUMPRODUCT((M_BOM[Part Name]=$A34)*M_BOM[RM_Qty_Per_Batch]*IFERROR(INDEX(PP_Grid[#Data],M_BOM[PPGridRow],37),0))+IFERROR(INDEX(M_RawMaterials[固定週次消費量_要入力],MATCH($A34,M_RawMaterials[Part Name],0)),0)</f>
        <v/>
      </c>
      <c r="AL34">
        <f>SUMPRODUCT((M_BOM[Part Name]=$A34)*M_BOM[RM_Qty_Per_Batch]*IFERROR(INDEX(PP_Grid[#Data],M_BOM[PPGridRow],38),0))+IFERROR(INDEX(M_RawMaterials[固定週次消費量_要入力],MATCH($A34,M_RawMaterials[Part Name],0)),0)</f>
        <v/>
      </c>
      <c r="AM34">
        <f>SUMPRODUCT((M_BOM[Part Name]=$A34)*M_BOM[RM_Qty_Per_Batch]*IFERROR(INDEX(PP_Grid[#Data],M_BOM[PPGridRow],39),0))+IFERROR(INDEX(M_RawMaterials[固定週次消費量_要入力],MATCH($A34,M_RawMaterials[Part Name],0)),0)</f>
        <v/>
      </c>
      <c r="AN34">
        <f>SUMPRODUCT((M_BOM[Part Name]=$A34)*M_BOM[RM_Qty_Per_Batch]*IFERROR(INDEX(PP_Grid[#Data],M_BOM[PPGridRow],40),0))+IFERROR(INDEX(M_RawMaterials[固定週次消費量_要入力],MATCH($A34,M_RawMaterials[Part Name],0)),0)</f>
        <v/>
      </c>
      <c r="AO34">
        <f>SUMPRODUCT((M_BOM[Part Name]=$A34)*M_BOM[RM_Qty_Per_Batch]*IFERROR(INDEX(PP_Grid[#Data],M_BOM[PPGridRow],41),0))+IFERROR(INDEX(M_RawMaterials[固定週次消費量_要入力],MATCH($A34,M_RawMaterials[Part Name],0)),0)</f>
        <v/>
      </c>
      <c r="AP34">
        <f>SUMPRODUCT((M_BOM[Part Name]=$A34)*M_BOM[RM_Qty_Per_Batch]*IFERROR(INDEX(PP_Grid[#Data],M_BOM[PPGridRow],42),0))+IFERROR(INDEX(M_RawMaterials[固定週次消費量_要入力],MATCH($A34,M_RawMaterials[Part Name],0)),0)</f>
        <v/>
      </c>
      <c r="AQ34">
        <f>SUMPRODUCT((M_BOM[Part Name]=$A34)*M_BOM[RM_Qty_Per_Batch]*IFERROR(INDEX(PP_Grid[#Data],M_BOM[PPGridRow],43),0))+IFERROR(INDEX(M_RawMaterials[固定週次消費量_要入力],MATCH($A34,M_RawMaterials[Part Name],0)),0)</f>
        <v/>
      </c>
      <c r="AR34">
        <f>SUMPRODUCT((M_BOM[Part Name]=$A34)*M_BOM[RM_Qty_Per_Batch]*IFERROR(INDEX(PP_Grid[#Data],M_BOM[PPGridRow],44),0))+IFERROR(INDEX(M_RawMaterials[固定週次消費量_要入力],MATCH($A34,M_RawMaterials[Part Name],0)),0)</f>
        <v/>
      </c>
      <c r="AS34">
        <f>SUMPRODUCT((M_BOM[Part Name]=$A34)*M_BOM[RM_Qty_Per_Batch]*IFERROR(INDEX(PP_Grid[#Data],M_BOM[PPGridRow],45),0))+IFERROR(INDEX(M_RawMaterials[固定週次消費量_要入力],MATCH($A34,M_RawMaterials[Part Name],0)),0)</f>
        <v/>
      </c>
      <c r="AT34">
        <f>SUMPRODUCT((M_BOM[Part Name]=$A34)*M_BOM[RM_Qty_Per_Batch]*IFERROR(INDEX(PP_Grid[#Data],M_BOM[PPGridRow],46),0))+IFERROR(INDEX(M_RawMaterials[固定週次消費量_要入力],MATCH($A34,M_RawMaterials[Part Name],0)),0)</f>
        <v/>
      </c>
      <c r="AU34">
        <f>SUMPRODUCT((M_BOM[Part Name]=$A34)*M_BOM[RM_Qty_Per_Batch]*IFERROR(INDEX(PP_Grid[#Data],M_BOM[PPGridRow],47),0))+IFERROR(INDEX(M_RawMaterials[固定週次消費量_要入力],MATCH($A34,M_RawMaterials[Part Name],0)),0)</f>
        <v/>
      </c>
      <c r="AV34">
        <f>SUMPRODUCT((M_BOM[Part Name]=$A34)*M_BOM[RM_Qty_Per_Batch]*IFERROR(INDEX(PP_Grid[#Data],M_BOM[PPGridRow],48),0))+IFERROR(INDEX(M_RawMaterials[固定週次消費量_要入力],MATCH($A34,M_RawMaterials[Part Name],0)),0)</f>
        <v/>
      </c>
      <c r="AW34">
        <f>SUMPRODUCT((M_BOM[Part Name]=$A34)*M_BOM[RM_Qty_Per_Batch]*IFERROR(INDEX(PP_Grid[#Data],M_BOM[PPGridRow],49),0))+IFERROR(INDEX(M_RawMaterials[固定週次消費量_要入力],MATCH($A34,M_RawMaterials[Part Name],0)),0)</f>
        <v/>
      </c>
      <c r="AX34">
        <f>SUMPRODUCT((M_BOM[Part Name]=$A34)*M_BOM[RM_Qty_Per_Batch]*IFERROR(INDEX(PP_Grid[#Data],M_BOM[PPGridRow],50),0))+IFERROR(INDEX(M_RawMaterials[固定週次消費量_要入力],MATCH($A34,M_RawMaterials[Part Name],0)),0)</f>
        <v/>
      </c>
      <c r="AY34">
        <f>SUMPRODUCT((M_BOM[Part Name]=$A34)*M_BOM[RM_Qty_Per_Batch]*IFERROR(INDEX(PP_Grid[#Data],M_BOM[PPGridRow],51),0))+IFERROR(INDEX(M_RawMaterials[固定週次消費量_要入力],MATCH($A34,M_RawMaterials[Part Name],0)),0)</f>
        <v/>
      </c>
      <c r="AZ34">
        <f>SUMPRODUCT((M_BOM[Part Name]=$A34)*M_BOM[RM_Qty_Per_Batch]*IFERROR(INDEX(PP_Grid[#Data],M_BOM[PPGridRow],52),0))+IFERROR(INDEX(M_RawMaterials[固定週次消費量_要入力],MATCH($A34,M_RawMaterials[Part Name],0)),0)</f>
        <v/>
      </c>
      <c r="BA34">
        <f>SUMPRODUCT((M_BOM[Part Name]=$A34)*M_BOM[RM_Qty_Per_Batch]*IFERROR(INDEX(PP_Grid[#Data],M_BOM[PPGridRow],53),0))+IFERROR(INDEX(M_RawMaterials[固定週次消費量_要入力],MATCH($A34,M_RawMaterials[Part Name],0)),0)</f>
        <v/>
      </c>
      <c r="BB34">
        <f>SUMPRODUCT((M_BOM[Part Name]=$A34)*M_BOM[RM_Qty_Per_Batch]*IFERROR(INDEX(PP_Grid[#Data],M_BOM[PPGridRow],54),0))+IFERROR(INDEX(M_RawMaterials[固定週次消費量_要入力],MATCH($A34,M_RawMaterials[Part Name],0)),0)</f>
        <v/>
      </c>
      <c r="BC34">
        <f>SUMPRODUCT((M_BOM[Part Name]=$A34)*M_BOM[RM_Qty_Per_Batch]*IFERROR(INDEX(PP_Grid[#Data],M_BOM[PPGridRow],55),0))+IFERROR(INDEX(M_RawMaterials[固定週次消費量_要入力],MATCH($A34,M_RawMaterials[Part Name],0)),0)</f>
        <v/>
      </c>
      <c r="BD34">
        <f>SUMPRODUCT((M_BOM[Part Name]=$A34)*M_BOM[RM_Qty_Per_Batch]*IFERROR(INDEX(PP_Grid[#Data],M_BOM[PPGridRow],56),0))+IFERROR(INDEX(M_RawMaterials[固定週次消費量_要入力],MATCH($A34,M_RawMaterials[Part Name],0)),0)</f>
        <v/>
      </c>
      <c r="BE34">
        <f>SUMPRODUCT((M_BOM[Part Name]=$A34)*M_BOM[RM_Qty_Per_Batch]*IFERROR(INDEX(PP_Grid[#Data],M_BOM[PPGridRow],57),0))+IFERROR(INDEX(M_RawMaterials[固定週次消費量_要入力],MATCH($A34,M_RawMaterials[Part Name],0)),0)</f>
        <v/>
      </c>
      <c r="BF34">
        <f>SUMPRODUCT((M_BOM[Part Name]=$A34)*M_BOM[RM_Qty_Per_Batch]*IFERROR(INDEX(PP_Grid[#Data],M_BOM[PPGridRow],58),0))+IFERROR(INDEX(M_RawMaterials[固定週次消費量_要入力],MATCH($A34,M_RawMaterials[Part Name],0)),0)</f>
        <v/>
      </c>
      <c r="BG34">
        <f>SUMPRODUCT((M_BOM[Part Name]=$A34)*M_BOM[RM_Qty_Per_Batch]*IFERROR(INDEX(PP_Grid[#Data],M_BOM[PPGridRow],59),0))+IFERROR(INDEX(M_RawMaterials[固定週次消費量_要入力],MATCH($A34,M_RawMaterials[Part Name],0)),0)</f>
        <v/>
      </c>
      <c r="BH34">
        <f>SUMPRODUCT((M_BOM[Part Name]=$A34)*M_BOM[RM_Qty_Per_Batch]*IFERROR(INDEX(PP_Grid[#Data],M_BOM[PPGridRow],60),0))+IFERROR(INDEX(M_RawMaterials[固定週次消費量_要入力],MATCH($A34,M_RawMaterials[Part Name],0)),0)</f>
        <v/>
      </c>
      <c r="BI34">
        <f>SUMPRODUCT((M_BOM[Part Name]=$A34)*M_BOM[RM_Qty_Per_Batch]*IFERROR(INDEX(PP_Grid[#Data],M_BOM[PPGridRow],61),0))+IFERROR(INDEX(M_RawMaterials[固定週次消費量_要入力],MATCH($A34,M_RawMaterials[Part Name],0)),0)</f>
        <v/>
      </c>
      <c r="BJ34">
        <f>SUMPRODUCT((M_BOM[Part Name]=$A34)*M_BOM[RM_Qty_Per_Batch]*IFERROR(INDEX(PP_Grid[#Data],M_BOM[PPGridRow],62),0))+IFERROR(INDEX(M_RawMaterials[固定週次消費量_要入力],MATCH($A34,M_RawMaterials[Part Name],0)),0)</f>
        <v/>
      </c>
      <c r="BK34">
        <f>SUMPRODUCT((M_BOM[Part Name]=$A34)*M_BOM[RM_Qty_Per_Batch]*IFERROR(INDEX(PP_Grid[#Data],M_BOM[PPGridRow],63),0))+IFERROR(INDEX(M_RawMaterials[固定週次消費量_要入力],MATCH($A34,M_RawMaterials[Part Name],0)),0)</f>
        <v/>
      </c>
      <c r="BL34">
        <f>SUMPRODUCT((M_BOM[Part Name]=$A34)*M_BOM[RM_Qty_Per_Batch]*IFERROR(INDEX(PP_Grid[#Data],M_BOM[PPGridRow],64),0))+IFERROR(INDEX(M_RawMaterials[固定週次消費量_要入力],MATCH($A34,M_RawMaterials[Part Name],0)),0)</f>
        <v/>
      </c>
      <c r="BM34">
        <f>SUMPRODUCT((M_BOM[Part Name]=$A34)*M_BOM[RM_Qty_Per_Batch]*IFERROR(INDEX(PP_Grid[#Data],M_BOM[PPGridRow],65),0))+IFERROR(INDEX(M_RawMaterials[固定週次消費量_要入力],MATCH($A34,M_RawMaterials[Part Name],0)),0)</f>
        <v/>
      </c>
      <c r="BN34">
        <f>SUMPRODUCT((M_BOM[Part Name]=$A34)*M_BOM[RM_Qty_Per_Batch]*IFERROR(INDEX(PP_Grid[#Data],M_BOM[PPGridRow],66),0))+IFERROR(INDEX(M_RawMaterials[固定週次消費量_要入力],MATCH($A34,M_RawMaterials[Part Name],0)),0)</f>
        <v/>
      </c>
      <c r="BO34">
        <f>SUMPRODUCT((M_BOM[Part Name]=$A34)*M_BOM[RM_Qty_Per_Batch]*IFERROR(INDEX(PP_Grid[#Data],M_BOM[PPGridRow],67),0))+IFERROR(INDEX(M_RawMaterials[固定週次消費量_要入力],MATCH($A34,M_RawMaterials[Part Name],0)),0)</f>
        <v/>
      </c>
      <c r="BP34">
        <f>SUMPRODUCT((M_BOM[Part Name]=$A34)*M_BOM[RM_Qty_Per_Batch]*IFERROR(INDEX(PP_Grid[#Data],M_BOM[PPGridRow],68),0))+IFERROR(INDEX(M_RawMaterials[固定週次消費量_要入力],MATCH($A34,M_RawMaterials[Part Name],0)),0)</f>
        <v/>
      </c>
      <c r="BQ34">
        <f>SUMPRODUCT((M_BOM[Part Name]=$A34)*M_BOM[RM_Qty_Per_Batch]*IFERROR(INDEX(PP_Grid[#Data],M_BOM[PPGridRow],69),0))+IFERROR(INDEX(M_RawMaterials[固定週次消費量_要入力],MATCH($A34,M_RawMaterials[Part Name],0)),0)</f>
        <v/>
      </c>
      <c r="BR34">
        <f>SUMPRODUCT((M_BOM[Part Name]=$A34)*M_BOM[RM_Qty_Per_Batch]*IFERROR(INDEX(PP_Grid[#Data],M_BOM[PPGridRow],70),0))+IFERROR(INDEX(M_RawMaterials[固定週次消費量_要入力],MATCH($A34,M_RawMaterials[Part Name],0)),0)</f>
        <v/>
      </c>
      <c r="BS34">
        <f>SUMPRODUCT((M_BOM[Part Name]=$A34)*M_BOM[RM_Qty_Per_Batch]*IFERROR(INDEX(PP_Grid[#Data],M_BOM[PPGridRow],71),0))+IFERROR(INDEX(M_RawMaterials[固定週次消費量_要入力],MATCH($A34,M_RawMaterials[Part Name],0)),0)</f>
        <v/>
      </c>
      <c r="BT34">
        <f>SUMPRODUCT((M_BOM[Part Name]=$A34)*M_BOM[RM_Qty_Per_Batch]*IFERROR(INDEX(PP_Grid[#Data],M_BOM[PPGridRow],72),0))+IFERROR(INDEX(M_RawMaterials[固定週次消費量_要入力],MATCH($A34,M_RawMaterials[Part Name],0)),0)</f>
        <v/>
      </c>
      <c r="BU34">
        <f>SUMPRODUCT((M_BOM[Part Name]=$A34)*M_BOM[RM_Qty_Per_Batch]*IFERROR(INDEX(PP_Grid[#Data],M_BOM[PPGridRow],73),0))+IFERROR(INDEX(M_RawMaterials[固定週次消費量_要入力],MATCH($A34,M_RawMaterials[Part Name],0)),0)</f>
        <v/>
      </c>
      <c r="BV34">
        <f>SUMPRODUCT((M_BOM[Part Name]=$A34)*M_BOM[RM_Qty_Per_Batch]*IFERROR(INDEX(PP_Grid[#Data],M_BOM[PPGridRow],74),0))+IFERROR(INDEX(M_RawMaterials[固定週次消費量_要入力],MATCH($A34,M_RawMaterials[Part Name],0)),0)</f>
        <v/>
      </c>
      <c r="BW34">
        <f>SUMPRODUCT((M_BOM[Part Name]=$A34)*M_BOM[RM_Qty_Per_Batch]*IFERROR(INDEX(PP_Grid[#Data],M_BOM[PPGridRow],75),0))+IFERROR(INDEX(M_RawMaterials[固定週次消費量_要入力],MATCH($A34,M_RawMaterials[Part Name],0)),0)</f>
        <v/>
      </c>
      <c r="BX34">
        <f>SUMPRODUCT((M_BOM[Part Name]=$A34)*M_BOM[RM_Qty_Per_Batch]*IFERROR(INDEX(PP_Grid[#Data],M_BOM[PPGridRow],76),0))+IFERROR(INDEX(M_RawMaterials[固定週次消費量_要入力],MATCH($A34,M_RawMaterials[Part Name],0)),0)</f>
        <v/>
      </c>
      <c r="BY34">
        <f>SUMPRODUCT((M_BOM[Part Name]=$A34)*M_BOM[RM_Qty_Per_Batch]*IFERROR(INDEX(PP_Grid[#Data],M_BOM[PPGridRow],77),0))+IFERROR(INDEX(M_RawMaterials[固定週次消費量_要入力],MATCH($A34,M_RawMaterials[Part Name],0)),0)</f>
        <v/>
      </c>
      <c r="BZ34">
        <f>SUMPRODUCT((M_BOM[Part Name]=$A34)*M_BOM[RM_Qty_Per_Batch]*IFERROR(INDEX(PP_Grid[#Data],M_BOM[PPGridRow],78),0))+IFERROR(INDEX(M_RawMaterials[固定週次消費量_要入力],MATCH($A34,M_RawMaterials[Part Name],0)),0)</f>
        <v/>
      </c>
      <c r="CA34">
        <f>SUMPRODUCT((M_BOM[Part Name]=$A34)*M_BOM[RM_Qty_Per_Batch]*IFERROR(INDEX(PP_Grid[#Data],M_BOM[PPGridRow],79),0))+IFERROR(INDEX(M_RawMaterials[固定週次消費量_要入力],MATCH($A34,M_RawMaterials[Part Name],0)),0)</f>
        <v/>
      </c>
      <c r="CB34">
        <f>SUMPRODUCT((M_BOM[Part Name]=$A34)*M_BOM[RM_Qty_Per_Batch]*IFERROR(INDEX(PP_Grid[#Data],M_BOM[PPGridRow],80),0))+IFERROR(INDEX(M_RawMaterials[固定週次消費量_要入力],MATCH($A34,M_RawMaterials[Part Name],0)),0)</f>
        <v/>
      </c>
      <c r="CC34">
        <f>SUMPRODUCT((M_BOM[Part Name]=$A34)*M_BOM[RM_Qty_Per_Batch]*IFERROR(INDEX(PP_Grid[#Data],M_BOM[PPGridRow],81),0))+IFERROR(INDEX(M_RawMaterials[固定週次消費量_要入力],MATCH($A34,M_RawMaterials[Part Name],0)),0)</f>
        <v/>
      </c>
      <c r="CD34">
        <f>SUMPRODUCT((M_BOM[Part Name]=$A34)*M_BOM[RM_Qty_Per_Batch]*IFERROR(INDEX(PP_Grid[#Data],M_BOM[PPGridRow],82),0))+IFERROR(INDEX(M_RawMaterials[固定週次消費量_要入力],MATCH($A34,M_RawMaterials[Part Name],0)),0)</f>
        <v/>
      </c>
      <c r="CE34">
        <f>SUMPRODUCT((M_BOM[Part Name]=$A34)*M_BOM[RM_Qty_Per_Batch]*IFERROR(INDEX(PP_Grid[#Data],M_BOM[PPGridRow],83),0))+IFERROR(INDEX(M_RawMaterials[固定週次消費量_要入力],MATCH($A34,M_RawMaterials[Part Name],0)),0)</f>
        <v/>
      </c>
      <c r="CF34">
        <f>SUMPRODUCT((M_BOM[Part Name]=$A34)*M_BOM[RM_Qty_Per_Batch]*IFERROR(INDEX(PP_Grid[#Data],M_BOM[PPGridRow],84),0))+IFERROR(INDEX(M_RawMaterials[固定週次消費量_要入力],MATCH($A34,M_RawMaterials[Part Name],0)),0)</f>
        <v/>
      </c>
      <c r="CG34">
        <f>SUMPRODUCT((M_BOM[Part Name]=$A34)*M_BOM[RM_Qty_Per_Batch]*IFERROR(INDEX(PP_Grid[#Data],M_BOM[PPGridRow],85),0))+IFERROR(INDEX(M_RawMaterials[固定週次消費量_要入力],MATCH($A34,M_RawMaterials[Part Name],0)),0)</f>
        <v/>
      </c>
      <c r="CH34">
        <f>SUMPRODUCT((M_BOM[Part Name]=$A34)*M_BOM[RM_Qty_Per_Batch]*IFERROR(INDEX(PP_Grid[#Data],M_BOM[PPGridRow],86),0))+IFERROR(INDEX(M_RawMaterials[固定週次消費量_要入力],MATCH($A34,M_RawMaterials[Part Name],0)),0)</f>
        <v/>
      </c>
      <c r="CI34">
        <f>SUMPRODUCT((M_BOM[Part Name]=$A34)*M_BOM[RM_Qty_Per_Batch]*IFERROR(INDEX(PP_Grid[#Data],M_BOM[PPGridRow],87),0))+IFERROR(INDEX(M_RawMaterials[固定週次消費量_要入力],MATCH($A34,M_RawMaterials[Part Name],0)),0)</f>
        <v/>
      </c>
      <c r="CJ34">
        <f>SUMPRODUCT((M_BOM[Part Name]=$A34)*M_BOM[RM_Qty_Per_Batch]*IFERROR(INDEX(PP_Grid[#Data],M_BOM[PPGridRow],88),0))+IFERROR(INDEX(M_RawMaterials[固定週次消費量_要入力],MATCH($A34,M_RawMaterials[Part Name],0)),0)</f>
        <v/>
      </c>
      <c r="CK34">
        <f>SUMPRODUCT((M_BOM[Part Name]=$A34)*M_BOM[RM_Qty_Per_Batch]*IFERROR(INDEX(PP_Grid[#Data],M_BOM[PPGridRow],89),0))+IFERROR(INDEX(M_RawMaterials[固定週次消費量_要入力],MATCH($A34,M_RawMaterials[Part Name],0)),0)</f>
        <v/>
      </c>
      <c r="CL34">
        <f>SUMPRODUCT((M_BOM[Part Name]=$A34)*M_BOM[RM_Qty_Per_Batch]*IFERROR(INDEX(PP_Grid[#Data],M_BOM[PPGridRow],90),0))+IFERROR(INDEX(M_RawMaterials[固定週次消費量_要入力],MATCH($A34,M_RawMaterials[Part Name],0)),0)</f>
        <v/>
      </c>
      <c r="CM34">
        <f>SUMPRODUCT((M_BOM[Part Name]=$A34)*M_BOM[RM_Qty_Per_Batch]*IFERROR(INDEX(PP_Grid[#Data],M_BOM[PPGridRow],91),0))+IFERROR(INDEX(M_RawMaterials[固定週次消費量_要入力],MATCH($A34,M_RawMaterials[Part Name],0)),0)</f>
        <v/>
      </c>
      <c r="CN34">
        <f>SUMPRODUCT((M_BOM[Part Name]=$A34)*M_BOM[RM_Qty_Per_Batch]*IFERROR(INDEX(PP_Grid[#Data],M_BOM[PPGridRow],92),0))+IFERROR(INDEX(M_RawMaterials[固定週次消費量_要入力],MATCH($A34,M_RawMaterials[Part Name],0)),0)</f>
        <v/>
      </c>
      <c r="CO34">
        <f>SUMPRODUCT((M_BOM[Part Name]=$A34)*M_BOM[RM_Qty_Per_Batch]*IFERROR(INDEX(PP_Grid[#Data],M_BOM[PPGridRow],93),0))+IFERROR(INDEX(M_RawMaterials[固定週次消費量_要入力],MATCH($A34,M_RawMaterials[Part Name],0)),0)</f>
        <v/>
      </c>
      <c r="CP34">
        <f>SUMPRODUCT((M_BOM[Part Name]=$A34)*M_BOM[RM_Qty_Per_Batch]*IFERROR(INDEX(PP_Grid[#Data],M_BOM[PPGridRow],94),0))+IFERROR(INDEX(M_RawMaterials[固定週次消費量_要入力],MATCH($A34,M_RawMaterials[Part Name],0)),0)</f>
        <v/>
      </c>
      <c r="CQ34">
        <f>SUMPRODUCT((M_BOM[Part Name]=$A34)*M_BOM[RM_Qty_Per_Batch]*IFERROR(INDEX(PP_Grid[#Data],M_BOM[PPGridRow],95),0))+IFERROR(INDEX(M_RawMaterials[固定週次消費量_要入力],MATCH($A34,M_RawMaterials[Part Name],0)),0)</f>
        <v/>
      </c>
      <c r="CR34">
        <f>SUMPRODUCT((M_BOM[Part Name]=$A34)*M_BOM[RM_Qty_Per_Batch]*IFERROR(INDEX(PP_Grid[#Data],M_BOM[PPGridRow],96),0))+IFERROR(INDEX(M_RawMaterials[固定週次消費量_要入力],MATCH($A34,M_RawMaterials[Part Name],0)),0)</f>
        <v/>
      </c>
      <c r="CS34">
        <f>SUMPRODUCT((M_BOM[Part Name]=$A34)*M_BOM[RM_Qty_Per_Batch]*IFERROR(INDEX(PP_Grid[#Data],M_BOM[PPGridRow],97),0))+IFERROR(INDEX(M_RawMaterials[固定週次消費量_要入力],MATCH($A34,M_RawMaterials[Part Name],0)),0)</f>
        <v/>
      </c>
      <c r="CT34">
        <f>SUMPRODUCT((M_BOM[Part Name]=$A34)*M_BOM[RM_Qty_Per_Batch]*IFERROR(INDEX(PP_Grid[#Data],M_BOM[PPGridRow],98),0))+IFERROR(INDEX(M_RawMaterials[固定週次消費量_要入力],MATCH($A34,M_RawMaterials[Part Name],0)),0)</f>
        <v/>
      </c>
      <c r="CU34">
        <f>SUMPRODUCT((M_BOM[Part Name]=$A34)*M_BOM[RM_Qty_Per_Batch]*IFERROR(INDEX(PP_Grid[#Data],M_BOM[PPGridRow],99),0))+IFERROR(INDEX(M_RawMaterials[固定週次消費量_要入力],MATCH($A34,M_RawMaterials[Part Name],0)),0)</f>
        <v/>
      </c>
      <c r="CV34">
        <f>SUMPRODUCT((M_BOM[Part Name]=$A34)*M_BOM[RM_Qty_Per_Batch]*IFERROR(INDEX(PP_Grid[#Data],M_BOM[PPGridRow],100),0))+IFERROR(INDEX(M_RawMaterials[固定週次消費量_要入力],MATCH($A34,M_RawMaterials[Part Name],0)),0)</f>
        <v/>
      </c>
      <c r="CW34">
        <f>SUMPRODUCT((M_BOM[Part Name]=$A34)*M_BOM[RM_Qty_Per_Batch]*IFERROR(INDEX(PP_Grid[#Data],M_BOM[PPGridRow],101),0))+IFERROR(INDEX(M_RawMaterials[固定週次消費量_要入力],MATCH($A34,M_RawMaterials[Part Name],0)),0)</f>
        <v/>
      </c>
      <c r="CX34">
        <f>SUMPRODUCT((M_BOM[Part Name]=$A34)*M_BOM[RM_Qty_Per_Batch]*IFERROR(INDEX(PP_Grid[#Data],M_BOM[PPGridRow],102),0))+IFERROR(INDEX(M_RawMaterials[固定週次消費量_要入力],MATCH($A34,M_RawMaterials[Part Name],0)),0)</f>
        <v/>
      </c>
      <c r="CY34">
        <f>SUMPRODUCT((M_BOM[Part Name]=$A34)*M_BOM[RM_Qty_Per_Batch]*IFERROR(INDEX(PP_Grid[#Data],M_BOM[PPGridRow],103),0))+IFERROR(INDEX(M_RawMaterials[固定週次消費量_要入力],MATCH($A34,M_RawMaterials[Part Name],0)),0)</f>
        <v/>
      </c>
      <c r="CZ34">
        <f>SUMPRODUCT((M_BOM[Part Name]=$A34)*M_BOM[RM_Qty_Per_Batch]*IFERROR(INDEX(PP_Grid[#Data],M_BOM[PPGridRow],104),0))+IFERROR(INDEX(M_RawMaterials[固定週次消費量_要入力],MATCH($A34,M_RawMaterials[Part Name],0)),0)</f>
        <v/>
      </c>
      <c r="DA34">
        <f>SUMPRODUCT((M_BOM[Part Name]=$A34)*M_BOM[RM_Qty_Per_Batch]*IFERROR(INDEX(PP_Grid[#Data],M_BOM[PPGridRow],105),0))+IFERROR(INDEX(M_RawMaterials[固定週次消費量_要入力],MATCH($A34,M_RawMaterials[Part Name],0)),0)</f>
        <v/>
      </c>
    </row>
    <row r="35">
      <c r="A35" t="inlineStr">
        <is>
          <t>CHEM-1660</t>
        </is>
      </c>
      <c r="B35">
        <f>SUMPRODUCT((M_BOM[Part Name]=$A35)*M_BOM[RM_Qty_Per_Batch]*IFERROR(INDEX(PP_Grid[#Data],M_BOM[PPGridRow],2),0))+IFERROR(INDEX(M_RawMaterials[固定週次消費量_要入力],MATCH($A35,M_RawMaterials[Part Name],0)),0)</f>
        <v/>
      </c>
      <c r="C35">
        <f>SUMPRODUCT((M_BOM[Part Name]=$A35)*M_BOM[RM_Qty_Per_Batch]*IFERROR(INDEX(PP_Grid[#Data],M_BOM[PPGridRow],3),0))+IFERROR(INDEX(M_RawMaterials[固定週次消費量_要入力],MATCH($A35,M_RawMaterials[Part Name],0)),0)</f>
        <v/>
      </c>
      <c r="D35">
        <f>SUMPRODUCT((M_BOM[Part Name]=$A35)*M_BOM[RM_Qty_Per_Batch]*IFERROR(INDEX(PP_Grid[#Data],M_BOM[PPGridRow],4),0))+IFERROR(INDEX(M_RawMaterials[固定週次消費量_要入力],MATCH($A35,M_RawMaterials[Part Name],0)),0)</f>
        <v/>
      </c>
      <c r="E35">
        <f>SUMPRODUCT((M_BOM[Part Name]=$A35)*M_BOM[RM_Qty_Per_Batch]*IFERROR(INDEX(PP_Grid[#Data],M_BOM[PPGridRow],5),0))+IFERROR(INDEX(M_RawMaterials[固定週次消費量_要入力],MATCH($A35,M_RawMaterials[Part Name],0)),0)</f>
        <v/>
      </c>
      <c r="F35">
        <f>SUMPRODUCT((M_BOM[Part Name]=$A35)*M_BOM[RM_Qty_Per_Batch]*IFERROR(INDEX(PP_Grid[#Data],M_BOM[PPGridRow],6),0))+IFERROR(INDEX(M_RawMaterials[固定週次消費量_要入力],MATCH($A35,M_RawMaterials[Part Name],0)),0)</f>
        <v/>
      </c>
      <c r="G35">
        <f>SUMPRODUCT((M_BOM[Part Name]=$A35)*M_BOM[RM_Qty_Per_Batch]*IFERROR(INDEX(PP_Grid[#Data],M_BOM[PPGridRow],7),0))+IFERROR(INDEX(M_RawMaterials[固定週次消費量_要入力],MATCH($A35,M_RawMaterials[Part Name],0)),0)</f>
        <v/>
      </c>
      <c r="H35">
        <f>SUMPRODUCT((M_BOM[Part Name]=$A35)*M_BOM[RM_Qty_Per_Batch]*IFERROR(INDEX(PP_Grid[#Data],M_BOM[PPGridRow],8),0))+IFERROR(INDEX(M_RawMaterials[固定週次消費量_要入力],MATCH($A35,M_RawMaterials[Part Name],0)),0)</f>
        <v/>
      </c>
      <c r="I35">
        <f>SUMPRODUCT((M_BOM[Part Name]=$A35)*M_BOM[RM_Qty_Per_Batch]*IFERROR(INDEX(PP_Grid[#Data],M_BOM[PPGridRow],9),0))+IFERROR(INDEX(M_RawMaterials[固定週次消費量_要入力],MATCH($A35,M_RawMaterials[Part Name],0)),0)</f>
        <v/>
      </c>
      <c r="J35">
        <f>SUMPRODUCT((M_BOM[Part Name]=$A35)*M_BOM[RM_Qty_Per_Batch]*IFERROR(INDEX(PP_Grid[#Data],M_BOM[PPGridRow],10),0))+IFERROR(INDEX(M_RawMaterials[固定週次消費量_要入力],MATCH($A35,M_RawMaterials[Part Name],0)),0)</f>
        <v/>
      </c>
      <c r="K35">
        <f>SUMPRODUCT((M_BOM[Part Name]=$A35)*M_BOM[RM_Qty_Per_Batch]*IFERROR(INDEX(PP_Grid[#Data],M_BOM[PPGridRow],11),0))+IFERROR(INDEX(M_RawMaterials[固定週次消費量_要入力],MATCH($A35,M_RawMaterials[Part Name],0)),0)</f>
        <v/>
      </c>
      <c r="L35">
        <f>SUMPRODUCT((M_BOM[Part Name]=$A35)*M_BOM[RM_Qty_Per_Batch]*IFERROR(INDEX(PP_Grid[#Data],M_BOM[PPGridRow],12),0))+IFERROR(INDEX(M_RawMaterials[固定週次消費量_要入力],MATCH($A35,M_RawMaterials[Part Name],0)),0)</f>
        <v/>
      </c>
      <c r="M35">
        <f>SUMPRODUCT((M_BOM[Part Name]=$A35)*M_BOM[RM_Qty_Per_Batch]*IFERROR(INDEX(PP_Grid[#Data],M_BOM[PPGridRow],13),0))+IFERROR(INDEX(M_RawMaterials[固定週次消費量_要入力],MATCH($A35,M_RawMaterials[Part Name],0)),0)</f>
        <v/>
      </c>
      <c r="N35">
        <f>SUMPRODUCT((M_BOM[Part Name]=$A35)*M_BOM[RM_Qty_Per_Batch]*IFERROR(INDEX(PP_Grid[#Data],M_BOM[PPGridRow],14),0))+IFERROR(INDEX(M_RawMaterials[固定週次消費量_要入力],MATCH($A35,M_RawMaterials[Part Name],0)),0)</f>
        <v/>
      </c>
      <c r="O35">
        <f>SUMPRODUCT((M_BOM[Part Name]=$A35)*M_BOM[RM_Qty_Per_Batch]*IFERROR(INDEX(PP_Grid[#Data],M_BOM[PPGridRow],15),0))+IFERROR(INDEX(M_RawMaterials[固定週次消費量_要入力],MATCH($A35,M_RawMaterials[Part Name],0)),0)</f>
        <v/>
      </c>
      <c r="P35">
        <f>SUMPRODUCT((M_BOM[Part Name]=$A35)*M_BOM[RM_Qty_Per_Batch]*IFERROR(INDEX(PP_Grid[#Data],M_BOM[PPGridRow],16),0))+IFERROR(INDEX(M_RawMaterials[固定週次消費量_要入力],MATCH($A35,M_RawMaterials[Part Name],0)),0)</f>
        <v/>
      </c>
      <c r="Q35">
        <f>SUMPRODUCT((M_BOM[Part Name]=$A35)*M_BOM[RM_Qty_Per_Batch]*IFERROR(INDEX(PP_Grid[#Data],M_BOM[PPGridRow],17),0))+IFERROR(INDEX(M_RawMaterials[固定週次消費量_要入力],MATCH($A35,M_RawMaterials[Part Name],0)),0)</f>
        <v/>
      </c>
      <c r="R35">
        <f>SUMPRODUCT((M_BOM[Part Name]=$A35)*M_BOM[RM_Qty_Per_Batch]*IFERROR(INDEX(PP_Grid[#Data],M_BOM[PPGridRow],18),0))+IFERROR(INDEX(M_RawMaterials[固定週次消費量_要入力],MATCH($A35,M_RawMaterials[Part Name],0)),0)</f>
        <v/>
      </c>
      <c r="S35">
        <f>SUMPRODUCT((M_BOM[Part Name]=$A35)*M_BOM[RM_Qty_Per_Batch]*IFERROR(INDEX(PP_Grid[#Data],M_BOM[PPGridRow],19),0))+IFERROR(INDEX(M_RawMaterials[固定週次消費量_要入力],MATCH($A35,M_RawMaterials[Part Name],0)),0)</f>
        <v/>
      </c>
      <c r="T35">
        <f>SUMPRODUCT((M_BOM[Part Name]=$A35)*M_BOM[RM_Qty_Per_Batch]*IFERROR(INDEX(PP_Grid[#Data],M_BOM[PPGridRow],20),0))+IFERROR(INDEX(M_RawMaterials[固定週次消費量_要入力],MATCH($A35,M_RawMaterials[Part Name],0)),0)</f>
        <v/>
      </c>
      <c r="U35">
        <f>SUMPRODUCT((M_BOM[Part Name]=$A35)*M_BOM[RM_Qty_Per_Batch]*IFERROR(INDEX(PP_Grid[#Data],M_BOM[PPGridRow],21),0))+IFERROR(INDEX(M_RawMaterials[固定週次消費量_要入力],MATCH($A35,M_RawMaterials[Part Name],0)),0)</f>
        <v/>
      </c>
      <c r="V35">
        <f>SUMPRODUCT((M_BOM[Part Name]=$A35)*M_BOM[RM_Qty_Per_Batch]*IFERROR(INDEX(PP_Grid[#Data],M_BOM[PPGridRow],22),0))+IFERROR(INDEX(M_RawMaterials[固定週次消費量_要入力],MATCH($A35,M_RawMaterials[Part Name],0)),0)</f>
        <v/>
      </c>
      <c r="W35">
        <f>SUMPRODUCT((M_BOM[Part Name]=$A35)*M_BOM[RM_Qty_Per_Batch]*IFERROR(INDEX(PP_Grid[#Data],M_BOM[PPGridRow],23),0))+IFERROR(INDEX(M_RawMaterials[固定週次消費量_要入力],MATCH($A35,M_RawMaterials[Part Name],0)),0)</f>
        <v/>
      </c>
      <c r="X35">
        <f>SUMPRODUCT((M_BOM[Part Name]=$A35)*M_BOM[RM_Qty_Per_Batch]*IFERROR(INDEX(PP_Grid[#Data],M_BOM[PPGridRow],24),0))+IFERROR(INDEX(M_RawMaterials[固定週次消費量_要入力],MATCH($A35,M_RawMaterials[Part Name],0)),0)</f>
        <v/>
      </c>
      <c r="Y35">
        <f>SUMPRODUCT((M_BOM[Part Name]=$A35)*M_BOM[RM_Qty_Per_Batch]*IFERROR(INDEX(PP_Grid[#Data],M_BOM[PPGridRow],25),0))+IFERROR(INDEX(M_RawMaterials[固定週次消費量_要入力],MATCH($A35,M_RawMaterials[Part Name],0)),0)</f>
        <v/>
      </c>
      <c r="Z35">
        <f>SUMPRODUCT((M_BOM[Part Name]=$A35)*M_BOM[RM_Qty_Per_Batch]*IFERROR(INDEX(PP_Grid[#Data],M_BOM[PPGridRow],26),0))+IFERROR(INDEX(M_RawMaterials[固定週次消費量_要入力],MATCH($A35,M_RawMaterials[Part Name],0)),0)</f>
        <v/>
      </c>
      <c r="AA35">
        <f>SUMPRODUCT((M_BOM[Part Name]=$A35)*M_BOM[RM_Qty_Per_Batch]*IFERROR(INDEX(PP_Grid[#Data],M_BOM[PPGridRow],27),0))+IFERROR(INDEX(M_RawMaterials[固定週次消費量_要入力],MATCH($A35,M_RawMaterials[Part Name],0)),0)</f>
        <v/>
      </c>
      <c r="AB35">
        <f>SUMPRODUCT((M_BOM[Part Name]=$A35)*M_BOM[RM_Qty_Per_Batch]*IFERROR(INDEX(PP_Grid[#Data],M_BOM[PPGridRow],28),0))+IFERROR(INDEX(M_RawMaterials[固定週次消費量_要入力],MATCH($A35,M_RawMaterials[Part Name],0)),0)</f>
        <v/>
      </c>
      <c r="AC35">
        <f>SUMPRODUCT((M_BOM[Part Name]=$A35)*M_BOM[RM_Qty_Per_Batch]*IFERROR(INDEX(PP_Grid[#Data],M_BOM[PPGridRow],29),0))+IFERROR(INDEX(M_RawMaterials[固定週次消費量_要入力],MATCH($A35,M_RawMaterials[Part Name],0)),0)</f>
        <v/>
      </c>
      <c r="AD35">
        <f>SUMPRODUCT((M_BOM[Part Name]=$A35)*M_BOM[RM_Qty_Per_Batch]*IFERROR(INDEX(PP_Grid[#Data],M_BOM[PPGridRow],30),0))+IFERROR(INDEX(M_RawMaterials[固定週次消費量_要入力],MATCH($A35,M_RawMaterials[Part Name],0)),0)</f>
        <v/>
      </c>
      <c r="AE35">
        <f>SUMPRODUCT((M_BOM[Part Name]=$A35)*M_BOM[RM_Qty_Per_Batch]*IFERROR(INDEX(PP_Grid[#Data],M_BOM[PPGridRow],31),0))+IFERROR(INDEX(M_RawMaterials[固定週次消費量_要入力],MATCH($A35,M_RawMaterials[Part Name],0)),0)</f>
        <v/>
      </c>
      <c r="AF35">
        <f>SUMPRODUCT((M_BOM[Part Name]=$A35)*M_BOM[RM_Qty_Per_Batch]*IFERROR(INDEX(PP_Grid[#Data],M_BOM[PPGridRow],32),0))+IFERROR(INDEX(M_RawMaterials[固定週次消費量_要入力],MATCH($A35,M_RawMaterials[Part Name],0)),0)</f>
        <v/>
      </c>
      <c r="AG35">
        <f>SUMPRODUCT((M_BOM[Part Name]=$A35)*M_BOM[RM_Qty_Per_Batch]*IFERROR(INDEX(PP_Grid[#Data],M_BOM[PPGridRow],33),0))+IFERROR(INDEX(M_RawMaterials[固定週次消費量_要入力],MATCH($A35,M_RawMaterials[Part Name],0)),0)</f>
        <v/>
      </c>
      <c r="AH35">
        <f>SUMPRODUCT((M_BOM[Part Name]=$A35)*M_BOM[RM_Qty_Per_Batch]*IFERROR(INDEX(PP_Grid[#Data],M_BOM[PPGridRow],34),0))+IFERROR(INDEX(M_RawMaterials[固定週次消費量_要入力],MATCH($A35,M_RawMaterials[Part Name],0)),0)</f>
        <v/>
      </c>
      <c r="AI35">
        <f>SUMPRODUCT((M_BOM[Part Name]=$A35)*M_BOM[RM_Qty_Per_Batch]*IFERROR(INDEX(PP_Grid[#Data],M_BOM[PPGridRow],35),0))+IFERROR(INDEX(M_RawMaterials[固定週次消費量_要入力],MATCH($A35,M_RawMaterials[Part Name],0)),0)</f>
        <v/>
      </c>
      <c r="AJ35">
        <f>SUMPRODUCT((M_BOM[Part Name]=$A35)*M_BOM[RM_Qty_Per_Batch]*IFERROR(INDEX(PP_Grid[#Data],M_BOM[PPGridRow],36),0))+IFERROR(INDEX(M_RawMaterials[固定週次消費量_要入力],MATCH($A35,M_RawMaterials[Part Name],0)),0)</f>
        <v/>
      </c>
      <c r="AK35">
        <f>SUMPRODUCT((M_BOM[Part Name]=$A35)*M_BOM[RM_Qty_Per_Batch]*IFERROR(INDEX(PP_Grid[#Data],M_BOM[PPGridRow],37),0))+IFERROR(INDEX(M_RawMaterials[固定週次消費量_要入力],MATCH($A35,M_RawMaterials[Part Name],0)),0)</f>
        <v/>
      </c>
      <c r="AL35">
        <f>SUMPRODUCT((M_BOM[Part Name]=$A35)*M_BOM[RM_Qty_Per_Batch]*IFERROR(INDEX(PP_Grid[#Data],M_BOM[PPGridRow],38),0))+IFERROR(INDEX(M_RawMaterials[固定週次消費量_要入力],MATCH($A35,M_RawMaterials[Part Name],0)),0)</f>
        <v/>
      </c>
      <c r="AM35">
        <f>SUMPRODUCT((M_BOM[Part Name]=$A35)*M_BOM[RM_Qty_Per_Batch]*IFERROR(INDEX(PP_Grid[#Data],M_BOM[PPGridRow],39),0))+IFERROR(INDEX(M_RawMaterials[固定週次消費量_要入力],MATCH($A35,M_RawMaterials[Part Name],0)),0)</f>
        <v/>
      </c>
      <c r="AN35">
        <f>SUMPRODUCT((M_BOM[Part Name]=$A35)*M_BOM[RM_Qty_Per_Batch]*IFERROR(INDEX(PP_Grid[#Data],M_BOM[PPGridRow],40),0))+IFERROR(INDEX(M_RawMaterials[固定週次消費量_要入力],MATCH($A35,M_RawMaterials[Part Name],0)),0)</f>
        <v/>
      </c>
      <c r="AO35">
        <f>SUMPRODUCT((M_BOM[Part Name]=$A35)*M_BOM[RM_Qty_Per_Batch]*IFERROR(INDEX(PP_Grid[#Data],M_BOM[PPGridRow],41),0))+IFERROR(INDEX(M_RawMaterials[固定週次消費量_要入力],MATCH($A35,M_RawMaterials[Part Name],0)),0)</f>
        <v/>
      </c>
      <c r="AP35">
        <f>SUMPRODUCT((M_BOM[Part Name]=$A35)*M_BOM[RM_Qty_Per_Batch]*IFERROR(INDEX(PP_Grid[#Data],M_BOM[PPGridRow],42),0))+IFERROR(INDEX(M_RawMaterials[固定週次消費量_要入力],MATCH($A35,M_RawMaterials[Part Name],0)),0)</f>
        <v/>
      </c>
      <c r="AQ35">
        <f>SUMPRODUCT((M_BOM[Part Name]=$A35)*M_BOM[RM_Qty_Per_Batch]*IFERROR(INDEX(PP_Grid[#Data],M_BOM[PPGridRow],43),0))+IFERROR(INDEX(M_RawMaterials[固定週次消費量_要入力],MATCH($A35,M_RawMaterials[Part Name],0)),0)</f>
        <v/>
      </c>
      <c r="AR35">
        <f>SUMPRODUCT((M_BOM[Part Name]=$A35)*M_BOM[RM_Qty_Per_Batch]*IFERROR(INDEX(PP_Grid[#Data],M_BOM[PPGridRow],44),0))+IFERROR(INDEX(M_RawMaterials[固定週次消費量_要入力],MATCH($A35,M_RawMaterials[Part Name],0)),0)</f>
        <v/>
      </c>
      <c r="AS35">
        <f>SUMPRODUCT((M_BOM[Part Name]=$A35)*M_BOM[RM_Qty_Per_Batch]*IFERROR(INDEX(PP_Grid[#Data],M_BOM[PPGridRow],45),0))+IFERROR(INDEX(M_RawMaterials[固定週次消費量_要入力],MATCH($A35,M_RawMaterials[Part Name],0)),0)</f>
        <v/>
      </c>
      <c r="AT35">
        <f>SUMPRODUCT((M_BOM[Part Name]=$A35)*M_BOM[RM_Qty_Per_Batch]*IFERROR(INDEX(PP_Grid[#Data],M_BOM[PPGridRow],46),0))+IFERROR(INDEX(M_RawMaterials[固定週次消費量_要入力],MATCH($A35,M_RawMaterials[Part Name],0)),0)</f>
        <v/>
      </c>
      <c r="AU35">
        <f>SUMPRODUCT((M_BOM[Part Name]=$A35)*M_BOM[RM_Qty_Per_Batch]*IFERROR(INDEX(PP_Grid[#Data],M_BOM[PPGridRow],47),0))+IFERROR(INDEX(M_RawMaterials[固定週次消費量_要入力],MATCH($A35,M_RawMaterials[Part Name],0)),0)</f>
        <v/>
      </c>
      <c r="AV35">
        <f>SUMPRODUCT((M_BOM[Part Name]=$A35)*M_BOM[RM_Qty_Per_Batch]*IFERROR(INDEX(PP_Grid[#Data],M_BOM[PPGridRow],48),0))+IFERROR(INDEX(M_RawMaterials[固定週次消費量_要入力],MATCH($A35,M_RawMaterials[Part Name],0)),0)</f>
        <v/>
      </c>
      <c r="AW35">
        <f>SUMPRODUCT((M_BOM[Part Name]=$A35)*M_BOM[RM_Qty_Per_Batch]*IFERROR(INDEX(PP_Grid[#Data],M_BOM[PPGridRow],49),0))+IFERROR(INDEX(M_RawMaterials[固定週次消費量_要入力],MATCH($A35,M_RawMaterials[Part Name],0)),0)</f>
        <v/>
      </c>
      <c r="AX35">
        <f>SUMPRODUCT((M_BOM[Part Name]=$A35)*M_BOM[RM_Qty_Per_Batch]*IFERROR(INDEX(PP_Grid[#Data],M_BOM[PPGridRow],50),0))+IFERROR(INDEX(M_RawMaterials[固定週次消費量_要入力],MATCH($A35,M_RawMaterials[Part Name],0)),0)</f>
        <v/>
      </c>
      <c r="AY35">
        <f>SUMPRODUCT((M_BOM[Part Name]=$A35)*M_BOM[RM_Qty_Per_Batch]*IFERROR(INDEX(PP_Grid[#Data],M_BOM[PPGridRow],51),0))+IFERROR(INDEX(M_RawMaterials[固定週次消費量_要入力],MATCH($A35,M_RawMaterials[Part Name],0)),0)</f>
        <v/>
      </c>
      <c r="AZ35">
        <f>SUMPRODUCT((M_BOM[Part Name]=$A35)*M_BOM[RM_Qty_Per_Batch]*IFERROR(INDEX(PP_Grid[#Data],M_BOM[PPGridRow],52),0))+IFERROR(INDEX(M_RawMaterials[固定週次消費量_要入力],MATCH($A35,M_RawMaterials[Part Name],0)),0)</f>
        <v/>
      </c>
      <c r="BA35">
        <f>SUMPRODUCT((M_BOM[Part Name]=$A35)*M_BOM[RM_Qty_Per_Batch]*IFERROR(INDEX(PP_Grid[#Data],M_BOM[PPGridRow],53),0))+IFERROR(INDEX(M_RawMaterials[固定週次消費量_要入力],MATCH($A35,M_RawMaterials[Part Name],0)),0)</f>
        <v/>
      </c>
      <c r="BB35">
        <f>SUMPRODUCT((M_BOM[Part Name]=$A35)*M_BOM[RM_Qty_Per_Batch]*IFERROR(INDEX(PP_Grid[#Data],M_BOM[PPGridRow],54),0))+IFERROR(INDEX(M_RawMaterials[固定週次消費量_要入力],MATCH($A35,M_RawMaterials[Part Name],0)),0)</f>
        <v/>
      </c>
      <c r="BC35">
        <f>SUMPRODUCT((M_BOM[Part Name]=$A35)*M_BOM[RM_Qty_Per_Batch]*IFERROR(INDEX(PP_Grid[#Data],M_BOM[PPGridRow],55),0))+IFERROR(INDEX(M_RawMaterials[固定週次消費量_要入力],MATCH($A35,M_RawMaterials[Part Name],0)),0)</f>
        <v/>
      </c>
      <c r="BD35">
        <f>SUMPRODUCT((M_BOM[Part Name]=$A35)*M_BOM[RM_Qty_Per_Batch]*IFERROR(INDEX(PP_Grid[#Data],M_BOM[PPGridRow],56),0))+IFERROR(INDEX(M_RawMaterials[固定週次消費量_要入力],MATCH($A35,M_RawMaterials[Part Name],0)),0)</f>
        <v/>
      </c>
      <c r="BE35">
        <f>SUMPRODUCT((M_BOM[Part Name]=$A35)*M_BOM[RM_Qty_Per_Batch]*IFERROR(INDEX(PP_Grid[#Data],M_BOM[PPGridRow],57),0))+IFERROR(INDEX(M_RawMaterials[固定週次消費量_要入力],MATCH($A35,M_RawMaterials[Part Name],0)),0)</f>
        <v/>
      </c>
      <c r="BF35">
        <f>SUMPRODUCT((M_BOM[Part Name]=$A35)*M_BOM[RM_Qty_Per_Batch]*IFERROR(INDEX(PP_Grid[#Data],M_BOM[PPGridRow],58),0))+IFERROR(INDEX(M_RawMaterials[固定週次消費量_要入力],MATCH($A35,M_RawMaterials[Part Name],0)),0)</f>
        <v/>
      </c>
      <c r="BG35">
        <f>SUMPRODUCT((M_BOM[Part Name]=$A35)*M_BOM[RM_Qty_Per_Batch]*IFERROR(INDEX(PP_Grid[#Data],M_BOM[PPGridRow],59),0))+IFERROR(INDEX(M_RawMaterials[固定週次消費量_要入力],MATCH($A35,M_RawMaterials[Part Name],0)),0)</f>
        <v/>
      </c>
      <c r="BH35">
        <f>SUMPRODUCT((M_BOM[Part Name]=$A35)*M_BOM[RM_Qty_Per_Batch]*IFERROR(INDEX(PP_Grid[#Data],M_BOM[PPGridRow],60),0))+IFERROR(INDEX(M_RawMaterials[固定週次消費量_要入力],MATCH($A35,M_RawMaterials[Part Name],0)),0)</f>
        <v/>
      </c>
      <c r="BI35">
        <f>SUMPRODUCT((M_BOM[Part Name]=$A35)*M_BOM[RM_Qty_Per_Batch]*IFERROR(INDEX(PP_Grid[#Data],M_BOM[PPGridRow],61),0))+IFERROR(INDEX(M_RawMaterials[固定週次消費量_要入力],MATCH($A35,M_RawMaterials[Part Name],0)),0)</f>
        <v/>
      </c>
      <c r="BJ35">
        <f>SUMPRODUCT((M_BOM[Part Name]=$A35)*M_BOM[RM_Qty_Per_Batch]*IFERROR(INDEX(PP_Grid[#Data],M_BOM[PPGridRow],62),0))+IFERROR(INDEX(M_RawMaterials[固定週次消費量_要入力],MATCH($A35,M_RawMaterials[Part Name],0)),0)</f>
        <v/>
      </c>
      <c r="BK35">
        <f>SUMPRODUCT((M_BOM[Part Name]=$A35)*M_BOM[RM_Qty_Per_Batch]*IFERROR(INDEX(PP_Grid[#Data],M_BOM[PPGridRow],63),0))+IFERROR(INDEX(M_RawMaterials[固定週次消費量_要入力],MATCH($A35,M_RawMaterials[Part Name],0)),0)</f>
        <v/>
      </c>
      <c r="BL35">
        <f>SUMPRODUCT((M_BOM[Part Name]=$A35)*M_BOM[RM_Qty_Per_Batch]*IFERROR(INDEX(PP_Grid[#Data],M_BOM[PPGridRow],64),0))+IFERROR(INDEX(M_RawMaterials[固定週次消費量_要入力],MATCH($A35,M_RawMaterials[Part Name],0)),0)</f>
        <v/>
      </c>
      <c r="BM35">
        <f>SUMPRODUCT((M_BOM[Part Name]=$A35)*M_BOM[RM_Qty_Per_Batch]*IFERROR(INDEX(PP_Grid[#Data],M_BOM[PPGridRow],65),0))+IFERROR(INDEX(M_RawMaterials[固定週次消費量_要入力],MATCH($A35,M_RawMaterials[Part Name],0)),0)</f>
        <v/>
      </c>
      <c r="BN35">
        <f>SUMPRODUCT((M_BOM[Part Name]=$A35)*M_BOM[RM_Qty_Per_Batch]*IFERROR(INDEX(PP_Grid[#Data],M_BOM[PPGridRow],66),0))+IFERROR(INDEX(M_RawMaterials[固定週次消費量_要入力],MATCH($A35,M_RawMaterials[Part Name],0)),0)</f>
        <v/>
      </c>
      <c r="BO35">
        <f>SUMPRODUCT((M_BOM[Part Name]=$A35)*M_BOM[RM_Qty_Per_Batch]*IFERROR(INDEX(PP_Grid[#Data],M_BOM[PPGridRow],67),0))+IFERROR(INDEX(M_RawMaterials[固定週次消費量_要入力],MATCH($A35,M_RawMaterials[Part Name],0)),0)</f>
        <v/>
      </c>
      <c r="BP35">
        <f>SUMPRODUCT((M_BOM[Part Name]=$A35)*M_BOM[RM_Qty_Per_Batch]*IFERROR(INDEX(PP_Grid[#Data],M_BOM[PPGridRow],68),0))+IFERROR(INDEX(M_RawMaterials[固定週次消費量_要入力],MATCH($A35,M_RawMaterials[Part Name],0)),0)</f>
        <v/>
      </c>
      <c r="BQ35">
        <f>SUMPRODUCT((M_BOM[Part Name]=$A35)*M_BOM[RM_Qty_Per_Batch]*IFERROR(INDEX(PP_Grid[#Data],M_BOM[PPGridRow],69),0))+IFERROR(INDEX(M_RawMaterials[固定週次消費量_要入力],MATCH($A35,M_RawMaterials[Part Name],0)),0)</f>
        <v/>
      </c>
      <c r="BR35">
        <f>SUMPRODUCT((M_BOM[Part Name]=$A35)*M_BOM[RM_Qty_Per_Batch]*IFERROR(INDEX(PP_Grid[#Data],M_BOM[PPGridRow],70),0))+IFERROR(INDEX(M_RawMaterials[固定週次消費量_要入力],MATCH($A35,M_RawMaterials[Part Name],0)),0)</f>
        <v/>
      </c>
      <c r="BS35">
        <f>SUMPRODUCT((M_BOM[Part Name]=$A35)*M_BOM[RM_Qty_Per_Batch]*IFERROR(INDEX(PP_Grid[#Data],M_BOM[PPGridRow],71),0))+IFERROR(INDEX(M_RawMaterials[固定週次消費量_要入力],MATCH($A35,M_RawMaterials[Part Name],0)),0)</f>
        <v/>
      </c>
      <c r="BT35">
        <f>SUMPRODUCT((M_BOM[Part Name]=$A35)*M_BOM[RM_Qty_Per_Batch]*IFERROR(INDEX(PP_Grid[#Data],M_BOM[PPGridRow],72),0))+IFERROR(INDEX(M_RawMaterials[固定週次消費量_要入力],MATCH($A35,M_RawMaterials[Part Name],0)),0)</f>
        <v/>
      </c>
      <c r="BU35">
        <f>SUMPRODUCT((M_BOM[Part Name]=$A35)*M_BOM[RM_Qty_Per_Batch]*IFERROR(INDEX(PP_Grid[#Data],M_BOM[PPGridRow],73),0))+IFERROR(INDEX(M_RawMaterials[固定週次消費量_要入力],MATCH($A35,M_RawMaterials[Part Name],0)),0)</f>
        <v/>
      </c>
      <c r="BV35">
        <f>SUMPRODUCT((M_BOM[Part Name]=$A35)*M_BOM[RM_Qty_Per_Batch]*IFERROR(INDEX(PP_Grid[#Data],M_BOM[PPGridRow],74),0))+IFERROR(INDEX(M_RawMaterials[固定週次消費量_要入力],MATCH($A35,M_RawMaterials[Part Name],0)),0)</f>
        <v/>
      </c>
      <c r="BW35">
        <f>SUMPRODUCT((M_BOM[Part Name]=$A35)*M_BOM[RM_Qty_Per_Batch]*IFERROR(INDEX(PP_Grid[#Data],M_BOM[PPGridRow],75),0))+IFERROR(INDEX(M_RawMaterials[固定週次消費量_要入力],MATCH($A35,M_RawMaterials[Part Name],0)),0)</f>
        <v/>
      </c>
      <c r="BX35">
        <f>SUMPRODUCT((M_BOM[Part Name]=$A35)*M_BOM[RM_Qty_Per_Batch]*IFERROR(INDEX(PP_Grid[#Data],M_BOM[PPGridRow],76),0))+IFERROR(INDEX(M_RawMaterials[固定週次消費量_要入力],MATCH($A35,M_RawMaterials[Part Name],0)),0)</f>
        <v/>
      </c>
      <c r="BY35">
        <f>SUMPRODUCT((M_BOM[Part Name]=$A35)*M_BOM[RM_Qty_Per_Batch]*IFERROR(INDEX(PP_Grid[#Data],M_BOM[PPGridRow],77),0))+IFERROR(INDEX(M_RawMaterials[固定週次消費量_要入力],MATCH($A35,M_RawMaterials[Part Name],0)),0)</f>
        <v/>
      </c>
      <c r="BZ35">
        <f>SUMPRODUCT((M_BOM[Part Name]=$A35)*M_BOM[RM_Qty_Per_Batch]*IFERROR(INDEX(PP_Grid[#Data],M_BOM[PPGridRow],78),0))+IFERROR(INDEX(M_RawMaterials[固定週次消費量_要入力],MATCH($A35,M_RawMaterials[Part Name],0)),0)</f>
        <v/>
      </c>
      <c r="CA35">
        <f>SUMPRODUCT((M_BOM[Part Name]=$A35)*M_BOM[RM_Qty_Per_Batch]*IFERROR(INDEX(PP_Grid[#Data],M_BOM[PPGridRow],79),0))+IFERROR(INDEX(M_RawMaterials[固定週次消費量_要入力],MATCH($A35,M_RawMaterials[Part Name],0)),0)</f>
        <v/>
      </c>
      <c r="CB35">
        <f>SUMPRODUCT((M_BOM[Part Name]=$A35)*M_BOM[RM_Qty_Per_Batch]*IFERROR(INDEX(PP_Grid[#Data],M_BOM[PPGridRow],80),0))+IFERROR(INDEX(M_RawMaterials[固定週次消費量_要入力],MATCH($A35,M_RawMaterials[Part Name],0)),0)</f>
        <v/>
      </c>
      <c r="CC35">
        <f>SUMPRODUCT((M_BOM[Part Name]=$A35)*M_BOM[RM_Qty_Per_Batch]*IFERROR(INDEX(PP_Grid[#Data],M_BOM[PPGridRow],81),0))+IFERROR(INDEX(M_RawMaterials[固定週次消費量_要入力],MATCH($A35,M_RawMaterials[Part Name],0)),0)</f>
        <v/>
      </c>
      <c r="CD35">
        <f>SUMPRODUCT((M_BOM[Part Name]=$A35)*M_BOM[RM_Qty_Per_Batch]*IFERROR(INDEX(PP_Grid[#Data],M_BOM[PPGridRow],82),0))+IFERROR(INDEX(M_RawMaterials[固定週次消費量_要入力],MATCH($A35,M_RawMaterials[Part Name],0)),0)</f>
        <v/>
      </c>
      <c r="CE35">
        <f>SUMPRODUCT((M_BOM[Part Name]=$A35)*M_BOM[RM_Qty_Per_Batch]*IFERROR(INDEX(PP_Grid[#Data],M_BOM[PPGridRow],83),0))+IFERROR(INDEX(M_RawMaterials[固定週次消費量_要入力],MATCH($A35,M_RawMaterials[Part Name],0)),0)</f>
        <v/>
      </c>
      <c r="CF35">
        <f>SUMPRODUCT((M_BOM[Part Name]=$A35)*M_BOM[RM_Qty_Per_Batch]*IFERROR(INDEX(PP_Grid[#Data],M_BOM[PPGridRow],84),0))+IFERROR(INDEX(M_RawMaterials[固定週次消費量_要入力],MATCH($A35,M_RawMaterials[Part Name],0)),0)</f>
        <v/>
      </c>
      <c r="CG35">
        <f>SUMPRODUCT((M_BOM[Part Name]=$A35)*M_BOM[RM_Qty_Per_Batch]*IFERROR(INDEX(PP_Grid[#Data],M_BOM[PPGridRow],85),0))+IFERROR(INDEX(M_RawMaterials[固定週次消費量_要入力],MATCH($A35,M_RawMaterials[Part Name],0)),0)</f>
        <v/>
      </c>
      <c r="CH35">
        <f>SUMPRODUCT((M_BOM[Part Name]=$A35)*M_BOM[RM_Qty_Per_Batch]*IFERROR(INDEX(PP_Grid[#Data],M_BOM[PPGridRow],86),0))+IFERROR(INDEX(M_RawMaterials[固定週次消費量_要入力],MATCH($A35,M_RawMaterials[Part Name],0)),0)</f>
        <v/>
      </c>
      <c r="CI35">
        <f>SUMPRODUCT((M_BOM[Part Name]=$A35)*M_BOM[RM_Qty_Per_Batch]*IFERROR(INDEX(PP_Grid[#Data],M_BOM[PPGridRow],87),0))+IFERROR(INDEX(M_RawMaterials[固定週次消費量_要入力],MATCH($A35,M_RawMaterials[Part Name],0)),0)</f>
        <v/>
      </c>
      <c r="CJ35">
        <f>SUMPRODUCT((M_BOM[Part Name]=$A35)*M_BOM[RM_Qty_Per_Batch]*IFERROR(INDEX(PP_Grid[#Data],M_BOM[PPGridRow],88),0))+IFERROR(INDEX(M_RawMaterials[固定週次消費量_要入力],MATCH($A35,M_RawMaterials[Part Name],0)),0)</f>
        <v/>
      </c>
      <c r="CK35">
        <f>SUMPRODUCT((M_BOM[Part Name]=$A35)*M_BOM[RM_Qty_Per_Batch]*IFERROR(INDEX(PP_Grid[#Data],M_BOM[PPGridRow],89),0))+IFERROR(INDEX(M_RawMaterials[固定週次消費量_要入力],MATCH($A35,M_RawMaterials[Part Name],0)),0)</f>
        <v/>
      </c>
      <c r="CL35">
        <f>SUMPRODUCT((M_BOM[Part Name]=$A35)*M_BOM[RM_Qty_Per_Batch]*IFERROR(INDEX(PP_Grid[#Data],M_BOM[PPGridRow],90),0))+IFERROR(INDEX(M_RawMaterials[固定週次消費量_要入力],MATCH($A35,M_RawMaterials[Part Name],0)),0)</f>
        <v/>
      </c>
      <c r="CM35">
        <f>SUMPRODUCT((M_BOM[Part Name]=$A35)*M_BOM[RM_Qty_Per_Batch]*IFERROR(INDEX(PP_Grid[#Data],M_BOM[PPGridRow],91),0))+IFERROR(INDEX(M_RawMaterials[固定週次消費量_要入力],MATCH($A35,M_RawMaterials[Part Name],0)),0)</f>
        <v/>
      </c>
      <c r="CN35">
        <f>SUMPRODUCT((M_BOM[Part Name]=$A35)*M_BOM[RM_Qty_Per_Batch]*IFERROR(INDEX(PP_Grid[#Data],M_BOM[PPGridRow],92),0))+IFERROR(INDEX(M_RawMaterials[固定週次消費量_要入力],MATCH($A35,M_RawMaterials[Part Name],0)),0)</f>
        <v/>
      </c>
      <c r="CO35">
        <f>SUMPRODUCT((M_BOM[Part Name]=$A35)*M_BOM[RM_Qty_Per_Batch]*IFERROR(INDEX(PP_Grid[#Data],M_BOM[PPGridRow],93),0))+IFERROR(INDEX(M_RawMaterials[固定週次消費量_要入力],MATCH($A35,M_RawMaterials[Part Name],0)),0)</f>
        <v/>
      </c>
      <c r="CP35">
        <f>SUMPRODUCT((M_BOM[Part Name]=$A35)*M_BOM[RM_Qty_Per_Batch]*IFERROR(INDEX(PP_Grid[#Data],M_BOM[PPGridRow],94),0))+IFERROR(INDEX(M_RawMaterials[固定週次消費量_要入力],MATCH($A35,M_RawMaterials[Part Name],0)),0)</f>
        <v/>
      </c>
      <c r="CQ35">
        <f>SUMPRODUCT((M_BOM[Part Name]=$A35)*M_BOM[RM_Qty_Per_Batch]*IFERROR(INDEX(PP_Grid[#Data],M_BOM[PPGridRow],95),0))+IFERROR(INDEX(M_RawMaterials[固定週次消費量_要入力],MATCH($A35,M_RawMaterials[Part Name],0)),0)</f>
        <v/>
      </c>
      <c r="CR35">
        <f>SUMPRODUCT((M_BOM[Part Name]=$A35)*M_BOM[RM_Qty_Per_Batch]*IFERROR(INDEX(PP_Grid[#Data],M_BOM[PPGridRow],96),0))+IFERROR(INDEX(M_RawMaterials[固定週次消費量_要入力],MATCH($A35,M_RawMaterials[Part Name],0)),0)</f>
        <v/>
      </c>
      <c r="CS35">
        <f>SUMPRODUCT((M_BOM[Part Name]=$A35)*M_BOM[RM_Qty_Per_Batch]*IFERROR(INDEX(PP_Grid[#Data],M_BOM[PPGridRow],97),0))+IFERROR(INDEX(M_RawMaterials[固定週次消費量_要入力],MATCH($A35,M_RawMaterials[Part Name],0)),0)</f>
        <v/>
      </c>
      <c r="CT35">
        <f>SUMPRODUCT((M_BOM[Part Name]=$A35)*M_BOM[RM_Qty_Per_Batch]*IFERROR(INDEX(PP_Grid[#Data],M_BOM[PPGridRow],98),0))+IFERROR(INDEX(M_RawMaterials[固定週次消費量_要入力],MATCH($A35,M_RawMaterials[Part Name],0)),0)</f>
        <v/>
      </c>
      <c r="CU35">
        <f>SUMPRODUCT((M_BOM[Part Name]=$A35)*M_BOM[RM_Qty_Per_Batch]*IFERROR(INDEX(PP_Grid[#Data],M_BOM[PPGridRow],99),0))+IFERROR(INDEX(M_RawMaterials[固定週次消費量_要入力],MATCH($A35,M_RawMaterials[Part Name],0)),0)</f>
        <v/>
      </c>
      <c r="CV35">
        <f>SUMPRODUCT((M_BOM[Part Name]=$A35)*M_BOM[RM_Qty_Per_Batch]*IFERROR(INDEX(PP_Grid[#Data],M_BOM[PPGridRow],100),0))+IFERROR(INDEX(M_RawMaterials[固定週次消費量_要入力],MATCH($A35,M_RawMaterials[Part Name],0)),0)</f>
        <v/>
      </c>
      <c r="CW35">
        <f>SUMPRODUCT((M_BOM[Part Name]=$A35)*M_BOM[RM_Qty_Per_Batch]*IFERROR(INDEX(PP_Grid[#Data],M_BOM[PPGridRow],101),0))+IFERROR(INDEX(M_RawMaterials[固定週次消費量_要入力],MATCH($A35,M_RawMaterials[Part Name],0)),0)</f>
        <v/>
      </c>
      <c r="CX35">
        <f>SUMPRODUCT((M_BOM[Part Name]=$A35)*M_BOM[RM_Qty_Per_Batch]*IFERROR(INDEX(PP_Grid[#Data],M_BOM[PPGridRow],102),0))+IFERROR(INDEX(M_RawMaterials[固定週次消費量_要入力],MATCH($A35,M_RawMaterials[Part Name],0)),0)</f>
        <v/>
      </c>
      <c r="CY35">
        <f>SUMPRODUCT((M_BOM[Part Name]=$A35)*M_BOM[RM_Qty_Per_Batch]*IFERROR(INDEX(PP_Grid[#Data],M_BOM[PPGridRow],103),0))+IFERROR(INDEX(M_RawMaterials[固定週次消費量_要入力],MATCH($A35,M_RawMaterials[Part Name],0)),0)</f>
        <v/>
      </c>
      <c r="CZ35">
        <f>SUMPRODUCT((M_BOM[Part Name]=$A35)*M_BOM[RM_Qty_Per_Batch]*IFERROR(INDEX(PP_Grid[#Data],M_BOM[PPGridRow],104),0))+IFERROR(INDEX(M_RawMaterials[固定週次消費量_要入力],MATCH($A35,M_RawMaterials[Part Name],0)),0)</f>
        <v/>
      </c>
      <c r="DA35">
        <f>SUMPRODUCT((M_BOM[Part Name]=$A35)*M_BOM[RM_Qty_Per_Batch]*IFERROR(INDEX(PP_Grid[#Data],M_BOM[PPGridRow],105),0))+IFERROR(INDEX(M_RawMaterials[固定週次消費量_要入力],MATCH($A35,M_RawMaterials[Part Name],0)),0)</f>
        <v/>
      </c>
    </row>
    <row r="36">
      <c r="A36" t="inlineStr">
        <is>
          <t>CHEM-1420</t>
        </is>
      </c>
      <c r="B36">
        <f>SUMPRODUCT((M_BOM[Part Name]=$A36)*M_BOM[RM_Qty_Per_Batch]*IFERROR(INDEX(PP_Grid[#Data],M_BOM[PPGridRow],2),0))+IFERROR(INDEX(M_RawMaterials[固定週次消費量_要入力],MATCH($A36,M_RawMaterials[Part Name],0)),0)</f>
        <v/>
      </c>
      <c r="C36">
        <f>SUMPRODUCT((M_BOM[Part Name]=$A36)*M_BOM[RM_Qty_Per_Batch]*IFERROR(INDEX(PP_Grid[#Data],M_BOM[PPGridRow],3),0))+IFERROR(INDEX(M_RawMaterials[固定週次消費量_要入力],MATCH($A36,M_RawMaterials[Part Name],0)),0)</f>
        <v/>
      </c>
      <c r="D36">
        <f>SUMPRODUCT((M_BOM[Part Name]=$A36)*M_BOM[RM_Qty_Per_Batch]*IFERROR(INDEX(PP_Grid[#Data],M_BOM[PPGridRow],4),0))+IFERROR(INDEX(M_RawMaterials[固定週次消費量_要入力],MATCH($A36,M_RawMaterials[Part Name],0)),0)</f>
        <v/>
      </c>
      <c r="E36">
        <f>SUMPRODUCT((M_BOM[Part Name]=$A36)*M_BOM[RM_Qty_Per_Batch]*IFERROR(INDEX(PP_Grid[#Data],M_BOM[PPGridRow],5),0))+IFERROR(INDEX(M_RawMaterials[固定週次消費量_要入力],MATCH($A36,M_RawMaterials[Part Name],0)),0)</f>
        <v/>
      </c>
      <c r="F36">
        <f>SUMPRODUCT((M_BOM[Part Name]=$A36)*M_BOM[RM_Qty_Per_Batch]*IFERROR(INDEX(PP_Grid[#Data],M_BOM[PPGridRow],6),0))+IFERROR(INDEX(M_RawMaterials[固定週次消費量_要入力],MATCH($A36,M_RawMaterials[Part Name],0)),0)</f>
        <v/>
      </c>
      <c r="G36">
        <f>SUMPRODUCT((M_BOM[Part Name]=$A36)*M_BOM[RM_Qty_Per_Batch]*IFERROR(INDEX(PP_Grid[#Data],M_BOM[PPGridRow],7),0))+IFERROR(INDEX(M_RawMaterials[固定週次消費量_要入力],MATCH($A36,M_RawMaterials[Part Name],0)),0)</f>
        <v/>
      </c>
      <c r="H36">
        <f>SUMPRODUCT((M_BOM[Part Name]=$A36)*M_BOM[RM_Qty_Per_Batch]*IFERROR(INDEX(PP_Grid[#Data],M_BOM[PPGridRow],8),0))+IFERROR(INDEX(M_RawMaterials[固定週次消費量_要入力],MATCH($A36,M_RawMaterials[Part Name],0)),0)</f>
        <v/>
      </c>
      <c r="I36">
        <f>SUMPRODUCT((M_BOM[Part Name]=$A36)*M_BOM[RM_Qty_Per_Batch]*IFERROR(INDEX(PP_Grid[#Data],M_BOM[PPGridRow],9),0))+IFERROR(INDEX(M_RawMaterials[固定週次消費量_要入力],MATCH($A36,M_RawMaterials[Part Name],0)),0)</f>
        <v/>
      </c>
      <c r="J36">
        <f>SUMPRODUCT((M_BOM[Part Name]=$A36)*M_BOM[RM_Qty_Per_Batch]*IFERROR(INDEX(PP_Grid[#Data],M_BOM[PPGridRow],10),0))+IFERROR(INDEX(M_RawMaterials[固定週次消費量_要入力],MATCH($A36,M_RawMaterials[Part Name],0)),0)</f>
        <v/>
      </c>
      <c r="K36">
        <f>SUMPRODUCT((M_BOM[Part Name]=$A36)*M_BOM[RM_Qty_Per_Batch]*IFERROR(INDEX(PP_Grid[#Data],M_BOM[PPGridRow],11),0))+IFERROR(INDEX(M_RawMaterials[固定週次消費量_要入力],MATCH($A36,M_RawMaterials[Part Name],0)),0)</f>
        <v/>
      </c>
      <c r="L36">
        <f>SUMPRODUCT((M_BOM[Part Name]=$A36)*M_BOM[RM_Qty_Per_Batch]*IFERROR(INDEX(PP_Grid[#Data],M_BOM[PPGridRow],12),0))+IFERROR(INDEX(M_RawMaterials[固定週次消費量_要入力],MATCH($A36,M_RawMaterials[Part Name],0)),0)</f>
        <v/>
      </c>
      <c r="M36">
        <f>SUMPRODUCT((M_BOM[Part Name]=$A36)*M_BOM[RM_Qty_Per_Batch]*IFERROR(INDEX(PP_Grid[#Data],M_BOM[PPGridRow],13),0))+IFERROR(INDEX(M_RawMaterials[固定週次消費量_要入力],MATCH($A36,M_RawMaterials[Part Name],0)),0)</f>
        <v/>
      </c>
      <c r="N36">
        <f>SUMPRODUCT((M_BOM[Part Name]=$A36)*M_BOM[RM_Qty_Per_Batch]*IFERROR(INDEX(PP_Grid[#Data],M_BOM[PPGridRow],14),0))+IFERROR(INDEX(M_RawMaterials[固定週次消費量_要入力],MATCH($A36,M_RawMaterials[Part Name],0)),0)</f>
        <v/>
      </c>
      <c r="O36">
        <f>SUMPRODUCT((M_BOM[Part Name]=$A36)*M_BOM[RM_Qty_Per_Batch]*IFERROR(INDEX(PP_Grid[#Data],M_BOM[PPGridRow],15),0))+IFERROR(INDEX(M_RawMaterials[固定週次消費量_要入力],MATCH($A36,M_RawMaterials[Part Name],0)),0)</f>
        <v/>
      </c>
      <c r="P36">
        <f>SUMPRODUCT((M_BOM[Part Name]=$A36)*M_BOM[RM_Qty_Per_Batch]*IFERROR(INDEX(PP_Grid[#Data],M_BOM[PPGridRow],16),0))+IFERROR(INDEX(M_RawMaterials[固定週次消費量_要入力],MATCH($A36,M_RawMaterials[Part Name],0)),0)</f>
        <v/>
      </c>
      <c r="Q36">
        <f>SUMPRODUCT((M_BOM[Part Name]=$A36)*M_BOM[RM_Qty_Per_Batch]*IFERROR(INDEX(PP_Grid[#Data],M_BOM[PPGridRow],17),0))+IFERROR(INDEX(M_RawMaterials[固定週次消費量_要入力],MATCH($A36,M_RawMaterials[Part Name],0)),0)</f>
        <v/>
      </c>
      <c r="R36">
        <f>SUMPRODUCT((M_BOM[Part Name]=$A36)*M_BOM[RM_Qty_Per_Batch]*IFERROR(INDEX(PP_Grid[#Data],M_BOM[PPGridRow],18),0))+IFERROR(INDEX(M_RawMaterials[固定週次消費量_要入力],MATCH($A36,M_RawMaterials[Part Name],0)),0)</f>
        <v/>
      </c>
      <c r="S36">
        <f>SUMPRODUCT((M_BOM[Part Name]=$A36)*M_BOM[RM_Qty_Per_Batch]*IFERROR(INDEX(PP_Grid[#Data],M_BOM[PPGridRow],19),0))+IFERROR(INDEX(M_RawMaterials[固定週次消費量_要入力],MATCH($A36,M_RawMaterials[Part Name],0)),0)</f>
        <v/>
      </c>
      <c r="T36">
        <f>SUMPRODUCT((M_BOM[Part Name]=$A36)*M_BOM[RM_Qty_Per_Batch]*IFERROR(INDEX(PP_Grid[#Data],M_BOM[PPGridRow],20),0))+IFERROR(INDEX(M_RawMaterials[固定週次消費量_要入力],MATCH($A36,M_RawMaterials[Part Name],0)),0)</f>
        <v/>
      </c>
      <c r="U36">
        <f>SUMPRODUCT((M_BOM[Part Name]=$A36)*M_BOM[RM_Qty_Per_Batch]*IFERROR(INDEX(PP_Grid[#Data],M_BOM[PPGridRow],21),0))+IFERROR(INDEX(M_RawMaterials[固定週次消費量_要入力],MATCH($A36,M_RawMaterials[Part Name],0)),0)</f>
        <v/>
      </c>
      <c r="V36">
        <f>SUMPRODUCT((M_BOM[Part Name]=$A36)*M_BOM[RM_Qty_Per_Batch]*IFERROR(INDEX(PP_Grid[#Data],M_BOM[PPGridRow],22),0))+IFERROR(INDEX(M_RawMaterials[固定週次消費量_要入力],MATCH($A36,M_RawMaterials[Part Name],0)),0)</f>
        <v/>
      </c>
      <c r="W36">
        <f>SUMPRODUCT((M_BOM[Part Name]=$A36)*M_BOM[RM_Qty_Per_Batch]*IFERROR(INDEX(PP_Grid[#Data],M_BOM[PPGridRow],23),0))+IFERROR(INDEX(M_RawMaterials[固定週次消費量_要入力],MATCH($A36,M_RawMaterials[Part Name],0)),0)</f>
        <v/>
      </c>
      <c r="X36">
        <f>SUMPRODUCT((M_BOM[Part Name]=$A36)*M_BOM[RM_Qty_Per_Batch]*IFERROR(INDEX(PP_Grid[#Data],M_BOM[PPGridRow],24),0))+IFERROR(INDEX(M_RawMaterials[固定週次消費量_要入力],MATCH($A36,M_RawMaterials[Part Name],0)),0)</f>
        <v/>
      </c>
      <c r="Y36">
        <f>SUMPRODUCT((M_BOM[Part Name]=$A36)*M_BOM[RM_Qty_Per_Batch]*IFERROR(INDEX(PP_Grid[#Data],M_BOM[PPGridRow],25),0))+IFERROR(INDEX(M_RawMaterials[固定週次消費量_要入力],MATCH($A36,M_RawMaterials[Part Name],0)),0)</f>
        <v/>
      </c>
      <c r="Z36">
        <f>SUMPRODUCT((M_BOM[Part Name]=$A36)*M_BOM[RM_Qty_Per_Batch]*IFERROR(INDEX(PP_Grid[#Data],M_BOM[PPGridRow],26),0))+IFERROR(INDEX(M_RawMaterials[固定週次消費量_要入力],MATCH($A36,M_RawMaterials[Part Name],0)),0)</f>
        <v/>
      </c>
      <c r="AA36">
        <f>SUMPRODUCT((M_BOM[Part Name]=$A36)*M_BOM[RM_Qty_Per_Batch]*IFERROR(INDEX(PP_Grid[#Data],M_BOM[PPGridRow],27),0))+IFERROR(INDEX(M_RawMaterials[固定週次消費量_要入力],MATCH($A36,M_RawMaterials[Part Name],0)),0)</f>
        <v/>
      </c>
      <c r="AB36">
        <f>SUMPRODUCT((M_BOM[Part Name]=$A36)*M_BOM[RM_Qty_Per_Batch]*IFERROR(INDEX(PP_Grid[#Data],M_BOM[PPGridRow],28),0))+IFERROR(INDEX(M_RawMaterials[固定週次消費量_要入力],MATCH($A36,M_RawMaterials[Part Name],0)),0)</f>
        <v/>
      </c>
      <c r="AC36">
        <f>SUMPRODUCT((M_BOM[Part Name]=$A36)*M_BOM[RM_Qty_Per_Batch]*IFERROR(INDEX(PP_Grid[#Data],M_BOM[PPGridRow],29),0))+IFERROR(INDEX(M_RawMaterials[固定週次消費量_要入力],MATCH($A36,M_RawMaterials[Part Name],0)),0)</f>
        <v/>
      </c>
      <c r="AD36">
        <f>SUMPRODUCT((M_BOM[Part Name]=$A36)*M_BOM[RM_Qty_Per_Batch]*IFERROR(INDEX(PP_Grid[#Data],M_BOM[PPGridRow],30),0))+IFERROR(INDEX(M_RawMaterials[固定週次消費量_要入力],MATCH($A36,M_RawMaterials[Part Name],0)),0)</f>
        <v/>
      </c>
      <c r="AE36">
        <f>SUMPRODUCT((M_BOM[Part Name]=$A36)*M_BOM[RM_Qty_Per_Batch]*IFERROR(INDEX(PP_Grid[#Data],M_BOM[PPGridRow],31),0))+IFERROR(INDEX(M_RawMaterials[固定週次消費量_要入力],MATCH($A36,M_RawMaterials[Part Name],0)),0)</f>
        <v/>
      </c>
      <c r="AF36">
        <f>SUMPRODUCT((M_BOM[Part Name]=$A36)*M_BOM[RM_Qty_Per_Batch]*IFERROR(INDEX(PP_Grid[#Data],M_BOM[PPGridRow],32),0))+IFERROR(INDEX(M_RawMaterials[固定週次消費量_要入力],MATCH($A36,M_RawMaterials[Part Name],0)),0)</f>
        <v/>
      </c>
      <c r="AG36">
        <f>SUMPRODUCT((M_BOM[Part Name]=$A36)*M_BOM[RM_Qty_Per_Batch]*IFERROR(INDEX(PP_Grid[#Data],M_BOM[PPGridRow],33),0))+IFERROR(INDEX(M_RawMaterials[固定週次消費量_要入力],MATCH($A36,M_RawMaterials[Part Name],0)),0)</f>
        <v/>
      </c>
      <c r="AH36">
        <f>SUMPRODUCT((M_BOM[Part Name]=$A36)*M_BOM[RM_Qty_Per_Batch]*IFERROR(INDEX(PP_Grid[#Data],M_BOM[PPGridRow],34),0))+IFERROR(INDEX(M_RawMaterials[固定週次消費量_要入力],MATCH($A36,M_RawMaterials[Part Name],0)),0)</f>
        <v/>
      </c>
      <c r="AI36">
        <f>SUMPRODUCT((M_BOM[Part Name]=$A36)*M_BOM[RM_Qty_Per_Batch]*IFERROR(INDEX(PP_Grid[#Data],M_BOM[PPGridRow],35),0))+IFERROR(INDEX(M_RawMaterials[固定週次消費量_要入力],MATCH($A36,M_RawMaterials[Part Name],0)),0)</f>
        <v/>
      </c>
      <c r="AJ36">
        <f>SUMPRODUCT((M_BOM[Part Name]=$A36)*M_BOM[RM_Qty_Per_Batch]*IFERROR(INDEX(PP_Grid[#Data],M_BOM[PPGridRow],36),0))+IFERROR(INDEX(M_RawMaterials[固定週次消費量_要入力],MATCH($A36,M_RawMaterials[Part Name],0)),0)</f>
        <v/>
      </c>
      <c r="AK36">
        <f>SUMPRODUCT((M_BOM[Part Name]=$A36)*M_BOM[RM_Qty_Per_Batch]*IFERROR(INDEX(PP_Grid[#Data],M_BOM[PPGridRow],37),0))+IFERROR(INDEX(M_RawMaterials[固定週次消費量_要入力],MATCH($A36,M_RawMaterials[Part Name],0)),0)</f>
        <v/>
      </c>
      <c r="AL36">
        <f>SUMPRODUCT((M_BOM[Part Name]=$A36)*M_BOM[RM_Qty_Per_Batch]*IFERROR(INDEX(PP_Grid[#Data],M_BOM[PPGridRow],38),0))+IFERROR(INDEX(M_RawMaterials[固定週次消費量_要入力],MATCH($A36,M_RawMaterials[Part Name],0)),0)</f>
        <v/>
      </c>
      <c r="AM36">
        <f>SUMPRODUCT((M_BOM[Part Name]=$A36)*M_BOM[RM_Qty_Per_Batch]*IFERROR(INDEX(PP_Grid[#Data],M_BOM[PPGridRow],39),0))+IFERROR(INDEX(M_RawMaterials[固定週次消費量_要入力],MATCH($A36,M_RawMaterials[Part Name],0)),0)</f>
        <v/>
      </c>
      <c r="AN36">
        <f>SUMPRODUCT((M_BOM[Part Name]=$A36)*M_BOM[RM_Qty_Per_Batch]*IFERROR(INDEX(PP_Grid[#Data],M_BOM[PPGridRow],40),0))+IFERROR(INDEX(M_RawMaterials[固定週次消費量_要入力],MATCH($A36,M_RawMaterials[Part Name],0)),0)</f>
        <v/>
      </c>
      <c r="AO36">
        <f>SUMPRODUCT((M_BOM[Part Name]=$A36)*M_BOM[RM_Qty_Per_Batch]*IFERROR(INDEX(PP_Grid[#Data],M_BOM[PPGridRow],41),0))+IFERROR(INDEX(M_RawMaterials[固定週次消費量_要入力],MATCH($A36,M_RawMaterials[Part Name],0)),0)</f>
        <v/>
      </c>
      <c r="AP36">
        <f>SUMPRODUCT((M_BOM[Part Name]=$A36)*M_BOM[RM_Qty_Per_Batch]*IFERROR(INDEX(PP_Grid[#Data],M_BOM[PPGridRow],42),0))+IFERROR(INDEX(M_RawMaterials[固定週次消費量_要入力],MATCH($A36,M_RawMaterials[Part Name],0)),0)</f>
        <v/>
      </c>
      <c r="AQ36">
        <f>SUMPRODUCT((M_BOM[Part Name]=$A36)*M_BOM[RM_Qty_Per_Batch]*IFERROR(INDEX(PP_Grid[#Data],M_BOM[PPGridRow],43),0))+IFERROR(INDEX(M_RawMaterials[固定週次消費量_要入力],MATCH($A36,M_RawMaterials[Part Name],0)),0)</f>
        <v/>
      </c>
      <c r="AR36">
        <f>SUMPRODUCT((M_BOM[Part Name]=$A36)*M_BOM[RM_Qty_Per_Batch]*IFERROR(INDEX(PP_Grid[#Data],M_BOM[PPGridRow],44),0))+IFERROR(INDEX(M_RawMaterials[固定週次消費量_要入力],MATCH($A36,M_RawMaterials[Part Name],0)),0)</f>
        <v/>
      </c>
      <c r="AS36">
        <f>SUMPRODUCT((M_BOM[Part Name]=$A36)*M_BOM[RM_Qty_Per_Batch]*IFERROR(INDEX(PP_Grid[#Data],M_BOM[PPGridRow],45),0))+IFERROR(INDEX(M_RawMaterials[固定週次消費量_要入力],MATCH($A36,M_RawMaterials[Part Name],0)),0)</f>
        <v/>
      </c>
      <c r="AT36">
        <f>SUMPRODUCT((M_BOM[Part Name]=$A36)*M_BOM[RM_Qty_Per_Batch]*IFERROR(INDEX(PP_Grid[#Data],M_BOM[PPGridRow],46),0))+IFERROR(INDEX(M_RawMaterials[固定週次消費量_要入力],MATCH($A36,M_RawMaterials[Part Name],0)),0)</f>
        <v/>
      </c>
      <c r="AU36">
        <f>SUMPRODUCT((M_BOM[Part Name]=$A36)*M_BOM[RM_Qty_Per_Batch]*IFERROR(INDEX(PP_Grid[#Data],M_BOM[PPGridRow],47),0))+IFERROR(INDEX(M_RawMaterials[固定週次消費量_要入力],MATCH($A36,M_RawMaterials[Part Name],0)),0)</f>
        <v/>
      </c>
      <c r="AV36">
        <f>SUMPRODUCT((M_BOM[Part Name]=$A36)*M_BOM[RM_Qty_Per_Batch]*IFERROR(INDEX(PP_Grid[#Data],M_BOM[PPGridRow],48),0))+IFERROR(INDEX(M_RawMaterials[固定週次消費量_要入力],MATCH($A36,M_RawMaterials[Part Name],0)),0)</f>
        <v/>
      </c>
      <c r="AW36">
        <f>SUMPRODUCT((M_BOM[Part Name]=$A36)*M_BOM[RM_Qty_Per_Batch]*IFERROR(INDEX(PP_Grid[#Data],M_BOM[PPGridRow],49),0))+IFERROR(INDEX(M_RawMaterials[固定週次消費量_要入力],MATCH($A36,M_RawMaterials[Part Name],0)),0)</f>
        <v/>
      </c>
      <c r="AX36">
        <f>SUMPRODUCT((M_BOM[Part Name]=$A36)*M_BOM[RM_Qty_Per_Batch]*IFERROR(INDEX(PP_Grid[#Data],M_BOM[PPGridRow],50),0))+IFERROR(INDEX(M_RawMaterials[固定週次消費量_要入力],MATCH($A36,M_RawMaterials[Part Name],0)),0)</f>
        <v/>
      </c>
      <c r="AY36">
        <f>SUMPRODUCT((M_BOM[Part Name]=$A36)*M_BOM[RM_Qty_Per_Batch]*IFERROR(INDEX(PP_Grid[#Data],M_BOM[PPGridRow],51),0))+IFERROR(INDEX(M_RawMaterials[固定週次消費量_要入力],MATCH($A36,M_RawMaterials[Part Name],0)),0)</f>
        <v/>
      </c>
      <c r="AZ36">
        <f>SUMPRODUCT((M_BOM[Part Name]=$A36)*M_BOM[RM_Qty_Per_Batch]*IFERROR(INDEX(PP_Grid[#Data],M_BOM[PPGridRow],52),0))+IFERROR(INDEX(M_RawMaterials[固定週次消費量_要入力],MATCH($A36,M_RawMaterials[Part Name],0)),0)</f>
        <v/>
      </c>
      <c r="BA36">
        <f>SUMPRODUCT((M_BOM[Part Name]=$A36)*M_BOM[RM_Qty_Per_Batch]*IFERROR(INDEX(PP_Grid[#Data],M_BOM[PPGridRow],53),0))+IFERROR(INDEX(M_RawMaterials[固定週次消費量_要入力],MATCH($A36,M_RawMaterials[Part Name],0)),0)</f>
        <v/>
      </c>
      <c r="BB36">
        <f>SUMPRODUCT((M_BOM[Part Name]=$A36)*M_BOM[RM_Qty_Per_Batch]*IFERROR(INDEX(PP_Grid[#Data],M_BOM[PPGridRow],54),0))+IFERROR(INDEX(M_RawMaterials[固定週次消費量_要入力],MATCH($A36,M_RawMaterials[Part Name],0)),0)</f>
        <v/>
      </c>
      <c r="BC36">
        <f>SUMPRODUCT((M_BOM[Part Name]=$A36)*M_BOM[RM_Qty_Per_Batch]*IFERROR(INDEX(PP_Grid[#Data],M_BOM[PPGridRow],55),0))+IFERROR(INDEX(M_RawMaterials[固定週次消費量_要入力],MATCH($A36,M_RawMaterials[Part Name],0)),0)</f>
        <v/>
      </c>
      <c r="BD36">
        <f>SUMPRODUCT((M_BOM[Part Name]=$A36)*M_BOM[RM_Qty_Per_Batch]*IFERROR(INDEX(PP_Grid[#Data],M_BOM[PPGridRow],56),0))+IFERROR(INDEX(M_RawMaterials[固定週次消費量_要入力],MATCH($A36,M_RawMaterials[Part Name],0)),0)</f>
        <v/>
      </c>
      <c r="BE36">
        <f>SUMPRODUCT((M_BOM[Part Name]=$A36)*M_BOM[RM_Qty_Per_Batch]*IFERROR(INDEX(PP_Grid[#Data],M_BOM[PPGridRow],57),0))+IFERROR(INDEX(M_RawMaterials[固定週次消費量_要入力],MATCH($A36,M_RawMaterials[Part Name],0)),0)</f>
        <v/>
      </c>
      <c r="BF36">
        <f>SUMPRODUCT((M_BOM[Part Name]=$A36)*M_BOM[RM_Qty_Per_Batch]*IFERROR(INDEX(PP_Grid[#Data],M_BOM[PPGridRow],58),0))+IFERROR(INDEX(M_RawMaterials[固定週次消費量_要入力],MATCH($A36,M_RawMaterials[Part Name],0)),0)</f>
        <v/>
      </c>
      <c r="BG36">
        <f>SUMPRODUCT((M_BOM[Part Name]=$A36)*M_BOM[RM_Qty_Per_Batch]*IFERROR(INDEX(PP_Grid[#Data],M_BOM[PPGridRow],59),0))+IFERROR(INDEX(M_RawMaterials[固定週次消費量_要入力],MATCH($A36,M_RawMaterials[Part Name],0)),0)</f>
        <v/>
      </c>
      <c r="BH36">
        <f>SUMPRODUCT((M_BOM[Part Name]=$A36)*M_BOM[RM_Qty_Per_Batch]*IFERROR(INDEX(PP_Grid[#Data],M_BOM[PPGridRow],60),0))+IFERROR(INDEX(M_RawMaterials[固定週次消費量_要入力],MATCH($A36,M_RawMaterials[Part Name],0)),0)</f>
        <v/>
      </c>
      <c r="BI36">
        <f>SUMPRODUCT((M_BOM[Part Name]=$A36)*M_BOM[RM_Qty_Per_Batch]*IFERROR(INDEX(PP_Grid[#Data],M_BOM[PPGridRow],61),0))+IFERROR(INDEX(M_RawMaterials[固定週次消費量_要入力],MATCH($A36,M_RawMaterials[Part Name],0)),0)</f>
        <v/>
      </c>
      <c r="BJ36">
        <f>SUMPRODUCT((M_BOM[Part Name]=$A36)*M_BOM[RM_Qty_Per_Batch]*IFERROR(INDEX(PP_Grid[#Data],M_BOM[PPGridRow],62),0))+IFERROR(INDEX(M_RawMaterials[固定週次消費量_要入力],MATCH($A36,M_RawMaterials[Part Name],0)),0)</f>
        <v/>
      </c>
      <c r="BK36">
        <f>SUMPRODUCT((M_BOM[Part Name]=$A36)*M_BOM[RM_Qty_Per_Batch]*IFERROR(INDEX(PP_Grid[#Data],M_BOM[PPGridRow],63),0))+IFERROR(INDEX(M_RawMaterials[固定週次消費量_要入力],MATCH($A36,M_RawMaterials[Part Name],0)),0)</f>
        <v/>
      </c>
      <c r="BL36">
        <f>SUMPRODUCT((M_BOM[Part Name]=$A36)*M_BOM[RM_Qty_Per_Batch]*IFERROR(INDEX(PP_Grid[#Data],M_BOM[PPGridRow],64),0))+IFERROR(INDEX(M_RawMaterials[固定週次消費量_要入力],MATCH($A36,M_RawMaterials[Part Name],0)),0)</f>
        <v/>
      </c>
      <c r="BM36">
        <f>SUMPRODUCT((M_BOM[Part Name]=$A36)*M_BOM[RM_Qty_Per_Batch]*IFERROR(INDEX(PP_Grid[#Data],M_BOM[PPGridRow],65),0))+IFERROR(INDEX(M_RawMaterials[固定週次消費量_要入力],MATCH($A36,M_RawMaterials[Part Name],0)),0)</f>
        <v/>
      </c>
      <c r="BN36">
        <f>SUMPRODUCT((M_BOM[Part Name]=$A36)*M_BOM[RM_Qty_Per_Batch]*IFERROR(INDEX(PP_Grid[#Data],M_BOM[PPGridRow],66),0))+IFERROR(INDEX(M_RawMaterials[固定週次消費量_要入力],MATCH($A36,M_RawMaterials[Part Name],0)),0)</f>
        <v/>
      </c>
      <c r="BO36">
        <f>SUMPRODUCT((M_BOM[Part Name]=$A36)*M_BOM[RM_Qty_Per_Batch]*IFERROR(INDEX(PP_Grid[#Data],M_BOM[PPGridRow],67),0))+IFERROR(INDEX(M_RawMaterials[固定週次消費量_要入力],MATCH($A36,M_RawMaterials[Part Name],0)),0)</f>
        <v/>
      </c>
      <c r="BP36">
        <f>SUMPRODUCT((M_BOM[Part Name]=$A36)*M_BOM[RM_Qty_Per_Batch]*IFERROR(INDEX(PP_Grid[#Data],M_BOM[PPGridRow],68),0))+IFERROR(INDEX(M_RawMaterials[固定週次消費量_要入力],MATCH($A36,M_RawMaterials[Part Name],0)),0)</f>
        <v/>
      </c>
      <c r="BQ36">
        <f>SUMPRODUCT((M_BOM[Part Name]=$A36)*M_BOM[RM_Qty_Per_Batch]*IFERROR(INDEX(PP_Grid[#Data],M_BOM[PPGridRow],69),0))+IFERROR(INDEX(M_RawMaterials[固定週次消費量_要入力],MATCH($A36,M_RawMaterials[Part Name],0)),0)</f>
        <v/>
      </c>
      <c r="BR36">
        <f>SUMPRODUCT((M_BOM[Part Name]=$A36)*M_BOM[RM_Qty_Per_Batch]*IFERROR(INDEX(PP_Grid[#Data],M_BOM[PPGridRow],70),0))+IFERROR(INDEX(M_RawMaterials[固定週次消費量_要入力],MATCH($A36,M_RawMaterials[Part Name],0)),0)</f>
        <v/>
      </c>
      <c r="BS36">
        <f>SUMPRODUCT((M_BOM[Part Name]=$A36)*M_BOM[RM_Qty_Per_Batch]*IFERROR(INDEX(PP_Grid[#Data],M_BOM[PPGridRow],71),0))+IFERROR(INDEX(M_RawMaterials[固定週次消費量_要入力],MATCH($A36,M_RawMaterials[Part Name],0)),0)</f>
        <v/>
      </c>
      <c r="BT36">
        <f>SUMPRODUCT((M_BOM[Part Name]=$A36)*M_BOM[RM_Qty_Per_Batch]*IFERROR(INDEX(PP_Grid[#Data],M_BOM[PPGridRow],72),0))+IFERROR(INDEX(M_RawMaterials[固定週次消費量_要入力],MATCH($A36,M_RawMaterials[Part Name],0)),0)</f>
        <v/>
      </c>
      <c r="BU36">
        <f>SUMPRODUCT((M_BOM[Part Name]=$A36)*M_BOM[RM_Qty_Per_Batch]*IFERROR(INDEX(PP_Grid[#Data],M_BOM[PPGridRow],73),0))+IFERROR(INDEX(M_RawMaterials[固定週次消費量_要入力],MATCH($A36,M_RawMaterials[Part Name],0)),0)</f>
        <v/>
      </c>
      <c r="BV36">
        <f>SUMPRODUCT((M_BOM[Part Name]=$A36)*M_BOM[RM_Qty_Per_Batch]*IFERROR(INDEX(PP_Grid[#Data],M_BOM[PPGridRow],74),0))+IFERROR(INDEX(M_RawMaterials[固定週次消費量_要入力],MATCH($A36,M_RawMaterials[Part Name],0)),0)</f>
        <v/>
      </c>
      <c r="BW36">
        <f>SUMPRODUCT((M_BOM[Part Name]=$A36)*M_BOM[RM_Qty_Per_Batch]*IFERROR(INDEX(PP_Grid[#Data],M_BOM[PPGridRow],75),0))+IFERROR(INDEX(M_RawMaterials[固定週次消費量_要入力],MATCH($A36,M_RawMaterials[Part Name],0)),0)</f>
        <v/>
      </c>
      <c r="BX36">
        <f>SUMPRODUCT((M_BOM[Part Name]=$A36)*M_BOM[RM_Qty_Per_Batch]*IFERROR(INDEX(PP_Grid[#Data],M_BOM[PPGridRow],76),0))+IFERROR(INDEX(M_RawMaterials[固定週次消費量_要入力],MATCH($A36,M_RawMaterials[Part Name],0)),0)</f>
        <v/>
      </c>
      <c r="BY36">
        <f>SUMPRODUCT((M_BOM[Part Name]=$A36)*M_BOM[RM_Qty_Per_Batch]*IFERROR(INDEX(PP_Grid[#Data],M_BOM[PPGridRow],77),0))+IFERROR(INDEX(M_RawMaterials[固定週次消費量_要入力],MATCH($A36,M_RawMaterials[Part Name],0)),0)</f>
        <v/>
      </c>
      <c r="BZ36">
        <f>SUMPRODUCT((M_BOM[Part Name]=$A36)*M_BOM[RM_Qty_Per_Batch]*IFERROR(INDEX(PP_Grid[#Data],M_BOM[PPGridRow],78),0))+IFERROR(INDEX(M_RawMaterials[固定週次消費量_要入力],MATCH($A36,M_RawMaterials[Part Name],0)),0)</f>
        <v/>
      </c>
      <c r="CA36">
        <f>SUMPRODUCT((M_BOM[Part Name]=$A36)*M_BOM[RM_Qty_Per_Batch]*IFERROR(INDEX(PP_Grid[#Data],M_BOM[PPGridRow],79),0))+IFERROR(INDEX(M_RawMaterials[固定週次消費量_要入力],MATCH($A36,M_RawMaterials[Part Name],0)),0)</f>
        <v/>
      </c>
      <c r="CB36">
        <f>SUMPRODUCT((M_BOM[Part Name]=$A36)*M_BOM[RM_Qty_Per_Batch]*IFERROR(INDEX(PP_Grid[#Data],M_BOM[PPGridRow],80),0))+IFERROR(INDEX(M_RawMaterials[固定週次消費量_要入力],MATCH($A36,M_RawMaterials[Part Name],0)),0)</f>
        <v/>
      </c>
      <c r="CC36">
        <f>SUMPRODUCT((M_BOM[Part Name]=$A36)*M_BOM[RM_Qty_Per_Batch]*IFERROR(INDEX(PP_Grid[#Data],M_BOM[PPGridRow],81),0))+IFERROR(INDEX(M_RawMaterials[固定週次消費量_要入力],MATCH($A36,M_RawMaterials[Part Name],0)),0)</f>
        <v/>
      </c>
      <c r="CD36">
        <f>SUMPRODUCT((M_BOM[Part Name]=$A36)*M_BOM[RM_Qty_Per_Batch]*IFERROR(INDEX(PP_Grid[#Data],M_BOM[PPGridRow],82),0))+IFERROR(INDEX(M_RawMaterials[固定週次消費量_要入力],MATCH($A36,M_RawMaterials[Part Name],0)),0)</f>
        <v/>
      </c>
      <c r="CE36">
        <f>SUMPRODUCT((M_BOM[Part Name]=$A36)*M_BOM[RM_Qty_Per_Batch]*IFERROR(INDEX(PP_Grid[#Data],M_BOM[PPGridRow],83),0))+IFERROR(INDEX(M_RawMaterials[固定週次消費量_要入力],MATCH($A36,M_RawMaterials[Part Name],0)),0)</f>
        <v/>
      </c>
      <c r="CF36">
        <f>SUMPRODUCT((M_BOM[Part Name]=$A36)*M_BOM[RM_Qty_Per_Batch]*IFERROR(INDEX(PP_Grid[#Data],M_BOM[PPGridRow],84),0))+IFERROR(INDEX(M_RawMaterials[固定週次消費量_要入力],MATCH($A36,M_RawMaterials[Part Name],0)),0)</f>
        <v/>
      </c>
      <c r="CG36">
        <f>SUMPRODUCT((M_BOM[Part Name]=$A36)*M_BOM[RM_Qty_Per_Batch]*IFERROR(INDEX(PP_Grid[#Data],M_BOM[PPGridRow],85),0))+IFERROR(INDEX(M_RawMaterials[固定週次消費量_要入力],MATCH($A36,M_RawMaterials[Part Name],0)),0)</f>
        <v/>
      </c>
      <c r="CH36">
        <f>SUMPRODUCT((M_BOM[Part Name]=$A36)*M_BOM[RM_Qty_Per_Batch]*IFERROR(INDEX(PP_Grid[#Data],M_BOM[PPGridRow],86),0))+IFERROR(INDEX(M_RawMaterials[固定週次消費量_要入力],MATCH($A36,M_RawMaterials[Part Name],0)),0)</f>
        <v/>
      </c>
      <c r="CI36">
        <f>SUMPRODUCT((M_BOM[Part Name]=$A36)*M_BOM[RM_Qty_Per_Batch]*IFERROR(INDEX(PP_Grid[#Data],M_BOM[PPGridRow],87),0))+IFERROR(INDEX(M_RawMaterials[固定週次消費量_要入力],MATCH($A36,M_RawMaterials[Part Name],0)),0)</f>
        <v/>
      </c>
      <c r="CJ36">
        <f>SUMPRODUCT((M_BOM[Part Name]=$A36)*M_BOM[RM_Qty_Per_Batch]*IFERROR(INDEX(PP_Grid[#Data],M_BOM[PPGridRow],88),0))+IFERROR(INDEX(M_RawMaterials[固定週次消費量_要入力],MATCH($A36,M_RawMaterials[Part Name],0)),0)</f>
        <v/>
      </c>
      <c r="CK36">
        <f>SUMPRODUCT((M_BOM[Part Name]=$A36)*M_BOM[RM_Qty_Per_Batch]*IFERROR(INDEX(PP_Grid[#Data],M_BOM[PPGridRow],89),0))+IFERROR(INDEX(M_RawMaterials[固定週次消費量_要入力],MATCH($A36,M_RawMaterials[Part Name],0)),0)</f>
        <v/>
      </c>
      <c r="CL36">
        <f>SUMPRODUCT((M_BOM[Part Name]=$A36)*M_BOM[RM_Qty_Per_Batch]*IFERROR(INDEX(PP_Grid[#Data],M_BOM[PPGridRow],90),0))+IFERROR(INDEX(M_RawMaterials[固定週次消費量_要入力],MATCH($A36,M_RawMaterials[Part Name],0)),0)</f>
        <v/>
      </c>
      <c r="CM36">
        <f>SUMPRODUCT((M_BOM[Part Name]=$A36)*M_BOM[RM_Qty_Per_Batch]*IFERROR(INDEX(PP_Grid[#Data],M_BOM[PPGridRow],91),0))+IFERROR(INDEX(M_RawMaterials[固定週次消費量_要入力],MATCH($A36,M_RawMaterials[Part Name],0)),0)</f>
        <v/>
      </c>
      <c r="CN36">
        <f>SUMPRODUCT((M_BOM[Part Name]=$A36)*M_BOM[RM_Qty_Per_Batch]*IFERROR(INDEX(PP_Grid[#Data],M_BOM[PPGridRow],92),0))+IFERROR(INDEX(M_RawMaterials[固定週次消費量_要入力],MATCH($A36,M_RawMaterials[Part Name],0)),0)</f>
        <v/>
      </c>
      <c r="CO36">
        <f>SUMPRODUCT((M_BOM[Part Name]=$A36)*M_BOM[RM_Qty_Per_Batch]*IFERROR(INDEX(PP_Grid[#Data],M_BOM[PPGridRow],93),0))+IFERROR(INDEX(M_RawMaterials[固定週次消費量_要入力],MATCH($A36,M_RawMaterials[Part Name],0)),0)</f>
        <v/>
      </c>
      <c r="CP36">
        <f>SUMPRODUCT((M_BOM[Part Name]=$A36)*M_BOM[RM_Qty_Per_Batch]*IFERROR(INDEX(PP_Grid[#Data],M_BOM[PPGridRow],94),0))+IFERROR(INDEX(M_RawMaterials[固定週次消費量_要入力],MATCH($A36,M_RawMaterials[Part Name],0)),0)</f>
        <v/>
      </c>
      <c r="CQ36">
        <f>SUMPRODUCT((M_BOM[Part Name]=$A36)*M_BOM[RM_Qty_Per_Batch]*IFERROR(INDEX(PP_Grid[#Data],M_BOM[PPGridRow],95),0))+IFERROR(INDEX(M_RawMaterials[固定週次消費量_要入力],MATCH($A36,M_RawMaterials[Part Name],0)),0)</f>
        <v/>
      </c>
      <c r="CR36">
        <f>SUMPRODUCT((M_BOM[Part Name]=$A36)*M_BOM[RM_Qty_Per_Batch]*IFERROR(INDEX(PP_Grid[#Data],M_BOM[PPGridRow],96),0))+IFERROR(INDEX(M_RawMaterials[固定週次消費量_要入力],MATCH($A36,M_RawMaterials[Part Name],0)),0)</f>
        <v/>
      </c>
      <c r="CS36">
        <f>SUMPRODUCT((M_BOM[Part Name]=$A36)*M_BOM[RM_Qty_Per_Batch]*IFERROR(INDEX(PP_Grid[#Data],M_BOM[PPGridRow],97),0))+IFERROR(INDEX(M_RawMaterials[固定週次消費量_要入力],MATCH($A36,M_RawMaterials[Part Name],0)),0)</f>
        <v/>
      </c>
      <c r="CT36">
        <f>SUMPRODUCT((M_BOM[Part Name]=$A36)*M_BOM[RM_Qty_Per_Batch]*IFERROR(INDEX(PP_Grid[#Data],M_BOM[PPGridRow],98),0))+IFERROR(INDEX(M_RawMaterials[固定週次消費量_要入力],MATCH($A36,M_RawMaterials[Part Name],0)),0)</f>
        <v/>
      </c>
      <c r="CU36">
        <f>SUMPRODUCT((M_BOM[Part Name]=$A36)*M_BOM[RM_Qty_Per_Batch]*IFERROR(INDEX(PP_Grid[#Data],M_BOM[PPGridRow],99),0))+IFERROR(INDEX(M_RawMaterials[固定週次消費量_要入力],MATCH($A36,M_RawMaterials[Part Name],0)),0)</f>
        <v/>
      </c>
      <c r="CV36">
        <f>SUMPRODUCT((M_BOM[Part Name]=$A36)*M_BOM[RM_Qty_Per_Batch]*IFERROR(INDEX(PP_Grid[#Data],M_BOM[PPGridRow],100),0))+IFERROR(INDEX(M_RawMaterials[固定週次消費量_要入力],MATCH($A36,M_RawMaterials[Part Name],0)),0)</f>
        <v/>
      </c>
      <c r="CW36">
        <f>SUMPRODUCT((M_BOM[Part Name]=$A36)*M_BOM[RM_Qty_Per_Batch]*IFERROR(INDEX(PP_Grid[#Data],M_BOM[PPGridRow],101),0))+IFERROR(INDEX(M_RawMaterials[固定週次消費量_要入力],MATCH($A36,M_RawMaterials[Part Name],0)),0)</f>
        <v/>
      </c>
      <c r="CX36">
        <f>SUMPRODUCT((M_BOM[Part Name]=$A36)*M_BOM[RM_Qty_Per_Batch]*IFERROR(INDEX(PP_Grid[#Data],M_BOM[PPGridRow],102),0))+IFERROR(INDEX(M_RawMaterials[固定週次消費量_要入力],MATCH($A36,M_RawMaterials[Part Name],0)),0)</f>
        <v/>
      </c>
      <c r="CY36">
        <f>SUMPRODUCT((M_BOM[Part Name]=$A36)*M_BOM[RM_Qty_Per_Batch]*IFERROR(INDEX(PP_Grid[#Data],M_BOM[PPGridRow],103),0))+IFERROR(INDEX(M_RawMaterials[固定週次消費量_要入力],MATCH($A36,M_RawMaterials[Part Name],0)),0)</f>
        <v/>
      </c>
      <c r="CZ36">
        <f>SUMPRODUCT((M_BOM[Part Name]=$A36)*M_BOM[RM_Qty_Per_Batch]*IFERROR(INDEX(PP_Grid[#Data],M_BOM[PPGridRow],104),0))+IFERROR(INDEX(M_RawMaterials[固定週次消費量_要入力],MATCH($A36,M_RawMaterials[Part Name],0)),0)</f>
        <v/>
      </c>
      <c r="DA36">
        <f>SUMPRODUCT((M_BOM[Part Name]=$A36)*M_BOM[RM_Qty_Per_Batch]*IFERROR(INDEX(PP_Grid[#Data],M_BOM[PPGridRow],105),0))+IFERROR(INDEX(M_RawMaterials[固定週次消費量_要入力],MATCH($A36,M_RawMaterials[Part Name],0)),0)</f>
        <v/>
      </c>
    </row>
    <row r="37">
      <c r="A37" t="inlineStr">
        <is>
          <t>CHEM-1530</t>
        </is>
      </c>
      <c r="B37">
        <f>SUMPRODUCT((M_BOM[Part Name]=$A37)*M_BOM[RM_Qty_Per_Batch]*IFERROR(INDEX(PP_Grid[#Data],M_BOM[PPGridRow],2),0))+IFERROR(INDEX(M_RawMaterials[固定週次消費量_要入力],MATCH($A37,M_RawMaterials[Part Name],0)),0)</f>
        <v/>
      </c>
      <c r="C37">
        <f>SUMPRODUCT((M_BOM[Part Name]=$A37)*M_BOM[RM_Qty_Per_Batch]*IFERROR(INDEX(PP_Grid[#Data],M_BOM[PPGridRow],3),0))+IFERROR(INDEX(M_RawMaterials[固定週次消費量_要入力],MATCH($A37,M_RawMaterials[Part Name],0)),0)</f>
        <v/>
      </c>
      <c r="D37">
        <f>SUMPRODUCT((M_BOM[Part Name]=$A37)*M_BOM[RM_Qty_Per_Batch]*IFERROR(INDEX(PP_Grid[#Data],M_BOM[PPGridRow],4),0))+IFERROR(INDEX(M_RawMaterials[固定週次消費量_要入力],MATCH($A37,M_RawMaterials[Part Name],0)),0)</f>
        <v/>
      </c>
      <c r="E37">
        <f>SUMPRODUCT((M_BOM[Part Name]=$A37)*M_BOM[RM_Qty_Per_Batch]*IFERROR(INDEX(PP_Grid[#Data],M_BOM[PPGridRow],5),0))+IFERROR(INDEX(M_RawMaterials[固定週次消費量_要入力],MATCH($A37,M_RawMaterials[Part Name],0)),0)</f>
        <v/>
      </c>
      <c r="F37">
        <f>SUMPRODUCT((M_BOM[Part Name]=$A37)*M_BOM[RM_Qty_Per_Batch]*IFERROR(INDEX(PP_Grid[#Data],M_BOM[PPGridRow],6),0))+IFERROR(INDEX(M_RawMaterials[固定週次消費量_要入力],MATCH($A37,M_RawMaterials[Part Name],0)),0)</f>
        <v/>
      </c>
      <c r="G37">
        <f>SUMPRODUCT((M_BOM[Part Name]=$A37)*M_BOM[RM_Qty_Per_Batch]*IFERROR(INDEX(PP_Grid[#Data],M_BOM[PPGridRow],7),0))+IFERROR(INDEX(M_RawMaterials[固定週次消費量_要入力],MATCH($A37,M_RawMaterials[Part Name],0)),0)</f>
        <v/>
      </c>
      <c r="H37">
        <f>SUMPRODUCT((M_BOM[Part Name]=$A37)*M_BOM[RM_Qty_Per_Batch]*IFERROR(INDEX(PP_Grid[#Data],M_BOM[PPGridRow],8),0))+IFERROR(INDEX(M_RawMaterials[固定週次消費量_要入力],MATCH($A37,M_RawMaterials[Part Name],0)),0)</f>
        <v/>
      </c>
      <c r="I37">
        <f>SUMPRODUCT((M_BOM[Part Name]=$A37)*M_BOM[RM_Qty_Per_Batch]*IFERROR(INDEX(PP_Grid[#Data],M_BOM[PPGridRow],9),0))+IFERROR(INDEX(M_RawMaterials[固定週次消費量_要入力],MATCH($A37,M_RawMaterials[Part Name],0)),0)</f>
        <v/>
      </c>
      <c r="J37">
        <f>SUMPRODUCT((M_BOM[Part Name]=$A37)*M_BOM[RM_Qty_Per_Batch]*IFERROR(INDEX(PP_Grid[#Data],M_BOM[PPGridRow],10),0))+IFERROR(INDEX(M_RawMaterials[固定週次消費量_要入力],MATCH($A37,M_RawMaterials[Part Name],0)),0)</f>
        <v/>
      </c>
      <c r="K37">
        <f>SUMPRODUCT((M_BOM[Part Name]=$A37)*M_BOM[RM_Qty_Per_Batch]*IFERROR(INDEX(PP_Grid[#Data],M_BOM[PPGridRow],11),0))+IFERROR(INDEX(M_RawMaterials[固定週次消費量_要入力],MATCH($A37,M_RawMaterials[Part Name],0)),0)</f>
        <v/>
      </c>
      <c r="L37">
        <f>SUMPRODUCT((M_BOM[Part Name]=$A37)*M_BOM[RM_Qty_Per_Batch]*IFERROR(INDEX(PP_Grid[#Data],M_BOM[PPGridRow],12),0))+IFERROR(INDEX(M_RawMaterials[固定週次消費量_要入力],MATCH($A37,M_RawMaterials[Part Name],0)),0)</f>
        <v/>
      </c>
      <c r="M37">
        <f>SUMPRODUCT((M_BOM[Part Name]=$A37)*M_BOM[RM_Qty_Per_Batch]*IFERROR(INDEX(PP_Grid[#Data],M_BOM[PPGridRow],13),0))+IFERROR(INDEX(M_RawMaterials[固定週次消費量_要入力],MATCH($A37,M_RawMaterials[Part Name],0)),0)</f>
        <v/>
      </c>
      <c r="N37">
        <f>SUMPRODUCT((M_BOM[Part Name]=$A37)*M_BOM[RM_Qty_Per_Batch]*IFERROR(INDEX(PP_Grid[#Data],M_BOM[PPGridRow],14),0))+IFERROR(INDEX(M_RawMaterials[固定週次消費量_要入力],MATCH($A37,M_RawMaterials[Part Name],0)),0)</f>
        <v/>
      </c>
      <c r="O37">
        <f>SUMPRODUCT((M_BOM[Part Name]=$A37)*M_BOM[RM_Qty_Per_Batch]*IFERROR(INDEX(PP_Grid[#Data],M_BOM[PPGridRow],15),0))+IFERROR(INDEX(M_RawMaterials[固定週次消費量_要入力],MATCH($A37,M_RawMaterials[Part Name],0)),0)</f>
        <v/>
      </c>
      <c r="P37">
        <f>SUMPRODUCT((M_BOM[Part Name]=$A37)*M_BOM[RM_Qty_Per_Batch]*IFERROR(INDEX(PP_Grid[#Data],M_BOM[PPGridRow],16),0))+IFERROR(INDEX(M_RawMaterials[固定週次消費量_要入力],MATCH($A37,M_RawMaterials[Part Name],0)),0)</f>
        <v/>
      </c>
      <c r="Q37">
        <f>SUMPRODUCT((M_BOM[Part Name]=$A37)*M_BOM[RM_Qty_Per_Batch]*IFERROR(INDEX(PP_Grid[#Data],M_BOM[PPGridRow],17),0))+IFERROR(INDEX(M_RawMaterials[固定週次消費量_要入力],MATCH($A37,M_RawMaterials[Part Name],0)),0)</f>
        <v/>
      </c>
      <c r="R37">
        <f>SUMPRODUCT((M_BOM[Part Name]=$A37)*M_BOM[RM_Qty_Per_Batch]*IFERROR(INDEX(PP_Grid[#Data],M_BOM[PPGridRow],18),0))+IFERROR(INDEX(M_RawMaterials[固定週次消費量_要入力],MATCH($A37,M_RawMaterials[Part Name],0)),0)</f>
        <v/>
      </c>
      <c r="S37">
        <f>SUMPRODUCT((M_BOM[Part Name]=$A37)*M_BOM[RM_Qty_Per_Batch]*IFERROR(INDEX(PP_Grid[#Data],M_BOM[PPGridRow],19),0))+IFERROR(INDEX(M_RawMaterials[固定週次消費量_要入力],MATCH($A37,M_RawMaterials[Part Name],0)),0)</f>
        <v/>
      </c>
      <c r="T37">
        <f>SUMPRODUCT((M_BOM[Part Name]=$A37)*M_BOM[RM_Qty_Per_Batch]*IFERROR(INDEX(PP_Grid[#Data],M_BOM[PPGridRow],20),0))+IFERROR(INDEX(M_RawMaterials[固定週次消費量_要入力],MATCH($A37,M_RawMaterials[Part Name],0)),0)</f>
        <v/>
      </c>
      <c r="U37">
        <f>SUMPRODUCT((M_BOM[Part Name]=$A37)*M_BOM[RM_Qty_Per_Batch]*IFERROR(INDEX(PP_Grid[#Data],M_BOM[PPGridRow],21),0))+IFERROR(INDEX(M_RawMaterials[固定週次消費量_要入力],MATCH($A37,M_RawMaterials[Part Name],0)),0)</f>
        <v/>
      </c>
      <c r="V37">
        <f>SUMPRODUCT((M_BOM[Part Name]=$A37)*M_BOM[RM_Qty_Per_Batch]*IFERROR(INDEX(PP_Grid[#Data],M_BOM[PPGridRow],22),0))+IFERROR(INDEX(M_RawMaterials[固定週次消費量_要入力],MATCH($A37,M_RawMaterials[Part Name],0)),0)</f>
        <v/>
      </c>
      <c r="W37">
        <f>SUMPRODUCT((M_BOM[Part Name]=$A37)*M_BOM[RM_Qty_Per_Batch]*IFERROR(INDEX(PP_Grid[#Data],M_BOM[PPGridRow],23),0))+IFERROR(INDEX(M_RawMaterials[固定週次消費量_要入力],MATCH($A37,M_RawMaterials[Part Name],0)),0)</f>
        <v/>
      </c>
      <c r="X37">
        <f>SUMPRODUCT((M_BOM[Part Name]=$A37)*M_BOM[RM_Qty_Per_Batch]*IFERROR(INDEX(PP_Grid[#Data],M_BOM[PPGridRow],24),0))+IFERROR(INDEX(M_RawMaterials[固定週次消費量_要入力],MATCH($A37,M_RawMaterials[Part Name],0)),0)</f>
        <v/>
      </c>
      <c r="Y37">
        <f>SUMPRODUCT((M_BOM[Part Name]=$A37)*M_BOM[RM_Qty_Per_Batch]*IFERROR(INDEX(PP_Grid[#Data],M_BOM[PPGridRow],25),0))+IFERROR(INDEX(M_RawMaterials[固定週次消費量_要入力],MATCH($A37,M_RawMaterials[Part Name],0)),0)</f>
        <v/>
      </c>
      <c r="Z37">
        <f>SUMPRODUCT((M_BOM[Part Name]=$A37)*M_BOM[RM_Qty_Per_Batch]*IFERROR(INDEX(PP_Grid[#Data],M_BOM[PPGridRow],26),0))+IFERROR(INDEX(M_RawMaterials[固定週次消費量_要入力],MATCH($A37,M_RawMaterials[Part Name],0)),0)</f>
        <v/>
      </c>
      <c r="AA37">
        <f>SUMPRODUCT((M_BOM[Part Name]=$A37)*M_BOM[RM_Qty_Per_Batch]*IFERROR(INDEX(PP_Grid[#Data],M_BOM[PPGridRow],27),0))+IFERROR(INDEX(M_RawMaterials[固定週次消費量_要入力],MATCH($A37,M_RawMaterials[Part Name],0)),0)</f>
        <v/>
      </c>
      <c r="AB37">
        <f>SUMPRODUCT((M_BOM[Part Name]=$A37)*M_BOM[RM_Qty_Per_Batch]*IFERROR(INDEX(PP_Grid[#Data],M_BOM[PPGridRow],28),0))+IFERROR(INDEX(M_RawMaterials[固定週次消費量_要入力],MATCH($A37,M_RawMaterials[Part Name],0)),0)</f>
        <v/>
      </c>
      <c r="AC37">
        <f>SUMPRODUCT((M_BOM[Part Name]=$A37)*M_BOM[RM_Qty_Per_Batch]*IFERROR(INDEX(PP_Grid[#Data],M_BOM[PPGridRow],29),0))+IFERROR(INDEX(M_RawMaterials[固定週次消費量_要入力],MATCH($A37,M_RawMaterials[Part Name],0)),0)</f>
        <v/>
      </c>
      <c r="AD37">
        <f>SUMPRODUCT((M_BOM[Part Name]=$A37)*M_BOM[RM_Qty_Per_Batch]*IFERROR(INDEX(PP_Grid[#Data],M_BOM[PPGridRow],30),0))+IFERROR(INDEX(M_RawMaterials[固定週次消費量_要入力],MATCH($A37,M_RawMaterials[Part Name],0)),0)</f>
        <v/>
      </c>
      <c r="AE37">
        <f>SUMPRODUCT((M_BOM[Part Name]=$A37)*M_BOM[RM_Qty_Per_Batch]*IFERROR(INDEX(PP_Grid[#Data],M_BOM[PPGridRow],31),0))+IFERROR(INDEX(M_RawMaterials[固定週次消費量_要入力],MATCH($A37,M_RawMaterials[Part Name],0)),0)</f>
        <v/>
      </c>
      <c r="AF37">
        <f>SUMPRODUCT((M_BOM[Part Name]=$A37)*M_BOM[RM_Qty_Per_Batch]*IFERROR(INDEX(PP_Grid[#Data],M_BOM[PPGridRow],32),0))+IFERROR(INDEX(M_RawMaterials[固定週次消費量_要入力],MATCH($A37,M_RawMaterials[Part Name],0)),0)</f>
        <v/>
      </c>
      <c r="AG37">
        <f>SUMPRODUCT((M_BOM[Part Name]=$A37)*M_BOM[RM_Qty_Per_Batch]*IFERROR(INDEX(PP_Grid[#Data],M_BOM[PPGridRow],33),0))+IFERROR(INDEX(M_RawMaterials[固定週次消費量_要入力],MATCH($A37,M_RawMaterials[Part Name],0)),0)</f>
        <v/>
      </c>
      <c r="AH37">
        <f>SUMPRODUCT((M_BOM[Part Name]=$A37)*M_BOM[RM_Qty_Per_Batch]*IFERROR(INDEX(PP_Grid[#Data],M_BOM[PPGridRow],34),0))+IFERROR(INDEX(M_RawMaterials[固定週次消費量_要入力],MATCH($A37,M_RawMaterials[Part Name],0)),0)</f>
        <v/>
      </c>
      <c r="AI37">
        <f>SUMPRODUCT((M_BOM[Part Name]=$A37)*M_BOM[RM_Qty_Per_Batch]*IFERROR(INDEX(PP_Grid[#Data],M_BOM[PPGridRow],35),0))+IFERROR(INDEX(M_RawMaterials[固定週次消費量_要入力],MATCH($A37,M_RawMaterials[Part Name],0)),0)</f>
        <v/>
      </c>
      <c r="AJ37">
        <f>SUMPRODUCT((M_BOM[Part Name]=$A37)*M_BOM[RM_Qty_Per_Batch]*IFERROR(INDEX(PP_Grid[#Data],M_BOM[PPGridRow],36),0))+IFERROR(INDEX(M_RawMaterials[固定週次消費量_要入力],MATCH($A37,M_RawMaterials[Part Name],0)),0)</f>
        <v/>
      </c>
      <c r="AK37">
        <f>SUMPRODUCT((M_BOM[Part Name]=$A37)*M_BOM[RM_Qty_Per_Batch]*IFERROR(INDEX(PP_Grid[#Data],M_BOM[PPGridRow],37),0))+IFERROR(INDEX(M_RawMaterials[固定週次消費量_要入力],MATCH($A37,M_RawMaterials[Part Name],0)),0)</f>
        <v/>
      </c>
      <c r="AL37">
        <f>SUMPRODUCT((M_BOM[Part Name]=$A37)*M_BOM[RM_Qty_Per_Batch]*IFERROR(INDEX(PP_Grid[#Data],M_BOM[PPGridRow],38),0))+IFERROR(INDEX(M_RawMaterials[固定週次消費量_要入力],MATCH($A37,M_RawMaterials[Part Name],0)),0)</f>
        <v/>
      </c>
      <c r="AM37">
        <f>SUMPRODUCT((M_BOM[Part Name]=$A37)*M_BOM[RM_Qty_Per_Batch]*IFERROR(INDEX(PP_Grid[#Data],M_BOM[PPGridRow],39),0))+IFERROR(INDEX(M_RawMaterials[固定週次消費量_要入力],MATCH($A37,M_RawMaterials[Part Name],0)),0)</f>
        <v/>
      </c>
      <c r="AN37">
        <f>SUMPRODUCT((M_BOM[Part Name]=$A37)*M_BOM[RM_Qty_Per_Batch]*IFERROR(INDEX(PP_Grid[#Data],M_BOM[PPGridRow],40),0))+IFERROR(INDEX(M_RawMaterials[固定週次消費量_要入力],MATCH($A37,M_RawMaterials[Part Name],0)),0)</f>
        <v/>
      </c>
      <c r="AO37">
        <f>SUMPRODUCT((M_BOM[Part Name]=$A37)*M_BOM[RM_Qty_Per_Batch]*IFERROR(INDEX(PP_Grid[#Data],M_BOM[PPGridRow],41),0))+IFERROR(INDEX(M_RawMaterials[固定週次消費量_要入力],MATCH($A37,M_RawMaterials[Part Name],0)),0)</f>
        <v/>
      </c>
      <c r="AP37">
        <f>SUMPRODUCT((M_BOM[Part Name]=$A37)*M_BOM[RM_Qty_Per_Batch]*IFERROR(INDEX(PP_Grid[#Data],M_BOM[PPGridRow],42),0))+IFERROR(INDEX(M_RawMaterials[固定週次消費量_要入力],MATCH($A37,M_RawMaterials[Part Name],0)),0)</f>
        <v/>
      </c>
      <c r="AQ37">
        <f>SUMPRODUCT((M_BOM[Part Name]=$A37)*M_BOM[RM_Qty_Per_Batch]*IFERROR(INDEX(PP_Grid[#Data],M_BOM[PPGridRow],43),0))+IFERROR(INDEX(M_RawMaterials[固定週次消費量_要入力],MATCH($A37,M_RawMaterials[Part Name],0)),0)</f>
        <v/>
      </c>
      <c r="AR37">
        <f>SUMPRODUCT((M_BOM[Part Name]=$A37)*M_BOM[RM_Qty_Per_Batch]*IFERROR(INDEX(PP_Grid[#Data],M_BOM[PPGridRow],44),0))+IFERROR(INDEX(M_RawMaterials[固定週次消費量_要入力],MATCH($A37,M_RawMaterials[Part Name],0)),0)</f>
        <v/>
      </c>
      <c r="AS37">
        <f>SUMPRODUCT((M_BOM[Part Name]=$A37)*M_BOM[RM_Qty_Per_Batch]*IFERROR(INDEX(PP_Grid[#Data],M_BOM[PPGridRow],45),0))+IFERROR(INDEX(M_RawMaterials[固定週次消費量_要入力],MATCH($A37,M_RawMaterials[Part Name],0)),0)</f>
        <v/>
      </c>
      <c r="AT37">
        <f>SUMPRODUCT((M_BOM[Part Name]=$A37)*M_BOM[RM_Qty_Per_Batch]*IFERROR(INDEX(PP_Grid[#Data],M_BOM[PPGridRow],46),0))+IFERROR(INDEX(M_RawMaterials[固定週次消費量_要入力],MATCH($A37,M_RawMaterials[Part Name],0)),0)</f>
        <v/>
      </c>
      <c r="AU37">
        <f>SUMPRODUCT((M_BOM[Part Name]=$A37)*M_BOM[RM_Qty_Per_Batch]*IFERROR(INDEX(PP_Grid[#Data],M_BOM[PPGridRow],47),0))+IFERROR(INDEX(M_RawMaterials[固定週次消費量_要入力],MATCH($A37,M_RawMaterials[Part Name],0)),0)</f>
        <v/>
      </c>
      <c r="AV37">
        <f>SUMPRODUCT((M_BOM[Part Name]=$A37)*M_BOM[RM_Qty_Per_Batch]*IFERROR(INDEX(PP_Grid[#Data],M_BOM[PPGridRow],48),0))+IFERROR(INDEX(M_RawMaterials[固定週次消費量_要入力],MATCH($A37,M_RawMaterials[Part Name],0)),0)</f>
        <v/>
      </c>
      <c r="AW37">
        <f>SUMPRODUCT((M_BOM[Part Name]=$A37)*M_BOM[RM_Qty_Per_Batch]*IFERROR(INDEX(PP_Grid[#Data],M_BOM[PPGridRow],49),0))+IFERROR(INDEX(M_RawMaterials[固定週次消費量_要入力],MATCH($A37,M_RawMaterials[Part Name],0)),0)</f>
        <v/>
      </c>
      <c r="AX37">
        <f>SUMPRODUCT((M_BOM[Part Name]=$A37)*M_BOM[RM_Qty_Per_Batch]*IFERROR(INDEX(PP_Grid[#Data],M_BOM[PPGridRow],50),0))+IFERROR(INDEX(M_RawMaterials[固定週次消費量_要入力],MATCH($A37,M_RawMaterials[Part Name],0)),0)</f>
        <v/>
      </c>
      <c r="AY37">
        <f>SUMPRODUCT((M_BOM[Part Name]=$A37)*M_BOM[RM_Qty_Per_Batch]*IFERROR(INDEX(PP_Grid[#Data],M_BOM[PPGridRow],51),0))+IFERROR(INDEX(M_RawMaterials[固定週次消費量_要入力],MATCH($A37,M_RawMaterials[Part Name],0)),0)</f>
        <v/>
      </c>
      <c r="AZ37">
        <f>SUMPRODUCT((M_BOM[Part Name]=$A37)*M_BOM[RM_Qty_Per_Batch]*IFERROR(INDEX(PP_Grid[#Data],M_BOM[PPGridRow],52),0))+IFERROR(INDEX(M_RawMaterials[固定週次消費量_要入力],MATCH($A37,M_RawMaterials[Part Name],0)),0)</f>
        <v/>
      </c>
      <c r="BA37">
        <f>SUMPRODUCT((M_BOM[Part Name]=$A37)*M_BOM[RM_Qty_Per_Batch]*IFERROR(INDEX(PP_Grid[#Data],M_BOM[PPGridRow],53),0))+IFERROR(INDEX(M_RawMaterials[固定週次消費量_要入力],MATCH($A37,M_RawMaterials[Part Name],0)),0)</f>
        <v/>
      </c>
      <c r="BB37">
        <f>SUMPRODUCT((M_BOM[Part Name]=$A37)*M_BOM[RM_Qty_Per_Batch]*IFERROR(INDEX(PP_Grid[#Data],M_BOM[PPGridRow],54),0))+IFERROR(INDEX(M_RawMaterials[固定週次消費量_要入力],MATCH($A37,M_RawMaterials[Part Name],0)),0)</f>
        <v/>
      </c>
      <c r="BC37">
        <f>SUMPRODUCT((M_BOM[Part Name]=$A37)*M_BOM[RM_Qty_Per_Batch]*IFERROR(INDEX(PP_Grid[#Data],M_BOM[PPGridRow],55),0))+IFERROR(INDEX(M_RawMaterials[固定週次消費量_要入力],MATCH($A37,M_RawMaterials[Part Name],0)),0)</f>
        <v/>
      </c>
      <c r="BD37">
        <f>SUMPRODUCT((M_BOM[Part Name]=$A37)*M_BOM[RM_Qty_Per_Batch]*IFERROR(INDEX(PP_Grid[#Data],M_BOM[PPGridRow],56),0))+IFERROR(INDEX(M_RawMaterials[固定週次消費量_要入力],MATCH($A37,M_RawMaterials[Part Name],0)),0)</f>
        <v/>
      </c>
      <c r="BE37">
        <f>SUMPRODUCT((M_BOM[Part Name]=$A37)*M_BOM[RM_Qty_Per_Batch]*IFERROR(INDEX(PP_Grid[#Data],M_BOM[PPGridRow],57),0))+IFERROR(INDEX(M_RawMaterials[固定週次消費量_要入力],MATCH($A37,M_RawMaterials[Part Name],0)),0)</f>
        <v/>
      </c>
      <c r="BF37">
        <f>SUMPRODUCT((M_BOM[Part Name]=$A37)*M_BOM[RM_Qty_Per_Batch]*IFERROR(INDEX(PP_Grid[#Data],M_BOM[PPGridRow],58),0))+IFERROR(INDEX(M_RawMaterials[固定週次消費量_要入力],MATCH($A37,M_RawMaterials[Part Name],0)),0)</f>
        <v/>
      </c>
      <c r="BG37">
        <f>SUMPRODUCT((M_BOM[Part Name]=$A37)*M_BOM[RM_Qty_Per_Batch]*IFERROR(INDEX(PP_Grid[#Data],M_BOM[PPGridRow],59),0))+IFERROR(INDEX(M_RawMaterials[固定週次消費量_要入力],MATCH($A37,M_RawMaterials[Part Name],0)),0)</f>
        <v/>
      </c>
      <c r="BH37">
        <f>SUMPRODUCT((M_BOM[Part Name]=$A37)*M_BOM[RM_Qty_Per_Batch]*IFERROR(INDEX(PP_Grid[#Data],M_BOM[PPGridRow],60),0))+IFERROR(INDEX(M_RawMaterials[固定週次消費量_要入力],MATCH($A37,M_RawMaterials[Part Name],0)),0)</f>
        <v/>
      </c>
      <c r="BI37">
        <f>SUMPRODUCT((M_BOM[Part Name]=$A37)*M_BOM[RM_Qty_Per_Batch]*IFERROR(INDEX(PP_Grid[#Data],M_BOM[PPGridRow],61),0))+IFERROR(INDEX(M_RawMaterials[固定週次消費量_要入力],MATCH($A37,M_RawMaterials[Part Name],0)),0)</f>
        <v/>
      </c>
      <c r="BJ37">
        <f>SUMPRODUCT((M_BOM[Part Name]=$A37)*M_BOM[RM_Qty_Per_Batch]*IFERROR(INDEX(PP_Grid[#Data],M_BOM[PPGridRow],62),0))+IFERROR(INDEX(M_RawMaterials[固定週次消費量_要入力],MATCH($A37,M_RawMaterials[Part Name],0)),0)</f>
        <v/>
      </c>
      <c r="BK37">
        <f>SUMPRODUCT((M_BOM[Part Name]=$A37)*M_BOM[RM_Qty_Per_Batch]*IFERROR(INDEX(PP_Grid[#Data],M_BOM[PPGridRow],63),0))+IFERROR(INDEX(M_RawMaterials[固定週次消費量_要入力],MATCH($A37,M_RawMaterials[Part Name],0)),0)</f>
        <v/>
      </c>
      <c r="BL37">
        <f>SUMPRODUCT((M_BOM[Part Name]=$A37)*M_BOM[RM_Qty_Per_Batch]*IFERROR(INDEX(PP_Grid[#Data],M_BOM[PPGridRow],64),0))+IFERROR(INDEX(M_RawMaterials[固定週次消費量_要入力],MATCH($A37,M_RawMaterials[Part Name],0)),0)</f>
        <v/>
      </c>
      <c r="BM37">
        <f>SUMPRODUCT((M_BOM[Part Name]=$A37)*M_BOM[RM_Qty_Per_Batch]*IFERROR(INDEX(PP_Grid[#Data],M_BOM[PPGridRow],65),0))+IFERROR(INDEX(M_RawMaterials[固定週次消費量_要入力],MATCH($A37,M_RawMaterials[Part Name],0)),0)</f>
        <v/>
      </c>
      <c r="BN37">
        <f>SUMPRODUCT((M_BOM[Part Name]=$A37)*M_BOM[RM_Qty_Per_Batch]*IFERROR(INDEX(PP_Grid[#Data],M_BOM[PPGridRow],66),0))+IFERROR(INDEX(M_RawMaterials[固定週次消費量_要入力],MATCH($A37,M_RawMaterials[Part Name],0)),0)</f>
        <v/>
      </c>
      <c r="BO37">
        <f>SUMPRODUCT((M_BOM[Part Name]=$A37)*M_BOM[RM_Qty_Per_Batch]*IFERROR(INDEX(PP_Grid[#Data],M_BOM[PPGridRow],67),0))+IFERROR(INDEX(M_RawMaterials[固定週次消費量_要入力],MATCH($A37,M_RawMaterials[Part Name],0)),0)</f>
        <v/>
      </c>
      <c r="BP37">
        <f>SUMPRODUCT((M_BOM[Part Name]=$A37)*M_BOM[RM_Qty_Per_Batch]*IFERROR(INDEX(PP_Grid[#Data],M_BOM[PPGridRow],68),0))+IFERROR(INDEX(M_RawMaterials[固定週次消費量_要入力],MATCH($A37,M_RawMaterials[Part Name],0)),0)</f>
        <v/>
      </c>
      <c r="BQ37">
        <f>SUMPRODUCT((M_BOM[Part Name]=$A37)*M_BOM[RM_Qty_Per_Batch]*IFERROR(INDEX(PP_Grid[#Data],M_BOM[PPGridRow],69),0))+IFERROR(INDEX(M_RawMaterials[固定週次消費量_要入力],MATCH($A37,M_RawMaterials[Part Name],0)),0)</f>
        <v/>
      </c>
      <c r="BR37">
        <f>SUMPRODUCT((M_BOM[Part Name]=$A37)*M_BOM[RM_Qty_Per_Batch]*IFERROR(INDEX(PP_Grid[#Data],M_BOM[PPGridRow],70),0))+IFERROR(INDEX(M_RawMaterials[固定週次消費量_要入力],MATCH($A37,M_RawMaterials[Part Name],0)),0)</f>
        <v/>
      </c>
      <c r="BS37">
        <f>SUMPRODUCT((M_BOM[Part Name]=$A37)*M_BOM[RM_Qty_Per_Batch]*IFERROR(INDEX(PP_Grid[#Data],M_BOM[PPGridRow],71),0))+IFERROR(INDEX(M_RawMaterials[固定週次消費量_要入力],MATCH($A37,M_RawMaterials[Part Name],0)),0)</f>
        <v/>
      </c>
      <c r="BT37">
        <f>SUMPRODUCT((M_BOM[Part Name]=$A37)*M_BOM[RM_Qty_Per_Batch]*IFERROR(INDEX(PP_Grid[#Data],M_BOM[PPGridRow],72),0))+IFERROR(INDEX(M_RawMaterials[固定週次消費量_要入力],MATCH($A37,M_RawMaterials[Part Name],0)),0)</f>
        <v/>
      </c>
      <c r="BU37">
        <f>SUMPRODUCT((M_BOM[Part Name]=$A37)*M_BOM[RM_Qty_Per_Batch]*IFERROR(INDEX(PP_Grid[#Data],M_BOM[PPGridRow],73),0))+IFERROR(INDEX(M_RawMaterials[固定週次消費量_要入力],MATCH($A37,M_RawMaterials[Part Name],0)),0)</f>
        <v/>
      </c>
      <c r="BV37">
        <f>SUMPRODUCT((M_BOM[Part Name]=$A37)*M_BOM[RM_Qty_Per_Batch]*IFERROR(INDEX(PP_Grid[#Data],M_BOM[PPGridRow],74),0))+IFERROR(INDEX(M_RawMaterials[固定週次消費量_要入力],MATCH($A37,M_RawMaterials[Part Name],0)),0)</f>
        <v/>
      </c>
      <c r="BW37">
        <f>SUMPRODUCT((M_BOM[Part Name]=$A37)*M_BOM[RM_Qty_Per_Batch]*IFERROR(INDEX(PP_Grid[#Data],M_BOM[PPGridRow],75),0))+IFERROR(INDEX(M_RawMaterials[固定週次消費量_要入力],MATCH($A37,M_RawMaterials[Part Name],0)),0)</f>
        <v/>
      </c>
      <c r="BX37">
        <f>SUMPRODUCT((M_BOM[Part Name]=$A37)*M_BOM[RM_Qty_Per_Batch]*IFERROR(INDEX(PP_Grid[#Data],M_BOM[PPGridRow],76),0))+IFERROR(INDEX(M_RawMaterials[固定週次消費量_要入力],MATCH($A37,M_RawMaterials[Part Name],0)),0)</f>
        <v/>
      </c>
      <c r="BY37">
        <f>SUMPRODUCT((M_BOM[Part Name]=$A37)*M_BOM[RM_Qty_Per_Batch]*IFERROR(INDEX(PP_Grid[#Data],M_BOM[PPGridRow],77),0))+IFERROR(INDEX(M_RawMaterials[固定週次消費量_要入力],MATCH($A37,M_RawMaterials[Part Name],0)),0)</f>
        <v/>
      </c>
      <c r="BZ37">
        <f>SUMPRODUCT((M_BOM[Part Name]=$A37)*M_BOM[RM_Qty_Per_Batch]*IFERROR(INDEX(PP_Grid[#Data],M_BOM[PPGridRow],78),0))+IFERROR(INDEX(M_RawMaterials[固定週次消費量_要入力],MATCH($A37,M_RawMaterials[Part Name],0)),0)</f>
        <v/>
      </c>
      <c r="CA37">
        <f>SUMPRODUCT((M_BOM[Part Name]=$A37)*M_BOM[RM_Qty_Per_Batch]*IFERROR(INDEX(PP_Grid[#Data],M_BOM[PPGridRow],79),0))+IFERROR(INDEX(M_RawMaterials[固定週次消費量_要入力],MATCH($A37,M_RawMaterials[Part Name],0)),0)</f>
        <v/>
      </c>
      <c r="CB37">
        <f>SUMPRODUCT((M_BOM[Part Name]=$A37)*M_BOM[RM_Qty_Per_Batch]*IFERROR(INDEX(PP_Grid[#Data],M_BOM[PPGridRow],80),0))+IFERROR(INDEX(M_RawMaterials[固定週次消費量_要入力],MATCH($A37,M_RawMaterials[Part Name],0)),0)</f>
        <v/>
      </c>
      <c r="CC37">
        <f>SUMPRODUCT((M_BOM[Part Name]=$A37)*M_BOM[RM_Qty_Per_Batch]*IFERROR(INDEX(PP_Grid[#Data],M_BOM[PPGridRow],81),0))+IFERROR(INDEX(M_RawMaterials[固定週次消費量_要入力],MATCH($A37,M_RawMaterials[Part Name],0)),0)</f>
        <v/>
      </c>
      <c r="CD37">
        <f>SUMPRODUCT((M_BOM[Part Name]=$A37)*M_BOM[RM_Qty_Per_Batch]*IFERROR(INDEX(PP_Grid[#Data],M_BOM[PPGridRow],82),0))+IFERROR(INDEX(M_RawMaterials[固定週次消費量_要入力],MATCH($A37,M_RawMaterials[Part Name],0)),0)</f>
        <v/>
      </c>
      <c r="CE37">
        <f>SUMPRODUCT((M_BOM[Part Name]=$A37)*M_BOM[RM_Qty_Per_Batch]*IFERROR(INDEX(PP_Grid[#Data],M_BOM[PPGridRow],83),0))+IFERROR(INDEX(M_RawMaterials[固定週次消費量_要入力],MATCH($A37,M_RawMaterials[Part Name],0)),0)</f>
        <v/>
      </c>
      <c r="CF37">
        <f>SUMPRODUCT((M_BOM[Part Name]=$A37)*M_BOM[RM_Qty_Per_Batch]*IFERROR(INDEX(PP_Grid[#Data],M_BOM[PPGridRow],84),0))+IFERROR(INDEX(M_RawMaterials[固定週次消費量_要入力],MATCH($A37,M_RawMaterials[Part Name],0)),0)</f>
        <v/>
      </c>
      <c r="CG37">
        <f>SUMPRODUCT((M_BOM[Part Name]=$A37)*M_BOM[RM_Qty_Per_Batch]*IFERROR(INDEX(PP_Grid[#Data],M_BOM[PPGridRow],85),0))+IFERROR(INDEX(M_RawMaterials[固定週次消費量_要入力],MATCH($A37,M_RawMaterials[Part Name],0)),0)</f>
        <v/>
      </c>
      <c r="CH37">
        <f>SUMPRODUCT((M_BOM[Part Name]=$A37)*M_BOM[RM_Qty_Per_Batch]*IFERROR(INDEX(PP_Grid[#Data],M_BOM[PPGridRow],86),0))+IFERROR(INDEX(M_RawMaterials[固定週次消費量_要入力],MATCH($A37,M_RawMaterials[Part Name],0)),0)</f>
        <v/>
      </c>
      <c r="CI37">
        <f>SUMPRODUCT((M_BOM[Part Name]=$A37)*M_BOM[RM_Qty_Per_Batch]*IFERROR(INDEX(PP_Grid[#Data],M_BOM[PPGridRow],87),0))+IFERROR(INDEX(M_RawMaterials[固定週次消費量_要入力],MATCH($A37,M_RawMaterials[Part Name],0)),0)</f>
        <v/>
      </c>
      <c r="CJ37">
        <f>SUMPRODUCT((M_BOM[Part Name]=$A37)*M_BOM[RM_Qty_Per_Batch]*IFERROR(INDEX(PP_Grid[#Data],M_BOM[PPGridRow],88),0))+IFERROR(INDEX(M_RawMaterials[固定週次消費量_要入力],MATCH($A37,M_RawMaterials[Part Name],0)),0)</f>
        <v/>
      </c>
      <c r="CK37">
        <f>SUMPRODUCT((M_BOM[Part Name]=$A37)*M_BOM[RM_Qty_Per_Batch]*IFERROR(INDEX(PP_Grid[#Data],M_BOM[PPGridRow],89),0))+IFERROR(INDEX(M_RawMaterials[固定週次消費量_要入力],MATCH($A37,M_RawMaterials[Part Name],0)),0)</f>
        <v/>
      </c>
      <c r="CL37">
        <f>SUMPRODUCT((M_BOM[Part Name]=$A37)*M_BOM[RM_Qty_Per_Batch]*IFERROR(INDEX(PP_Grid[#Data],M_BOM[PPGridRow],90),0))+IFERROR(INDEX(M_RawMaterials[固定週次消費量_要入力],MATCH($A37,M_RawMaterials[Part Name],0)),0)</f>
        <v/>
      </c>
      <c r="CM37">
        <f>SUMPRODUCT((M_BOM[Part Name]=$A37)*M_BOM[RM_Qty_Per_Batch]*IFERROR(INDEX(PP_Grid[#Data],M_BOM[PPGridRow],91),0))+IFERROR(INDEX(M_RawMaterials[固定週次消費量_要入力],MATCH($A37,M_RawMaterials[Part Name],0)),0)</f>
        <v/>
      </c>
      <c r="CN37">
        <f>SUMPRODUCT((M_BOM[Part Name]=$A37)*M_BOM[RM_Qty_Per_Batch]*IFERROR(INDEX(PP_Grid[#Data],M_BOM[PPGridRow],92),0))+IFERROR(INDEX(M_RawMaterials[固定週次消費量_要入力],MATCH($A37,M_RawMaterials[Part Name],0)),0)</f>
        <v/>
      </c>
      <c r="CO37">
        <f>SUMPRODUCT((M_BOM[Part Name]=$A37)*M_BOM[RM_Qty_Per_Batch]*IFERROR(INDEX(PP_Grid[#Data],M_BOM[PPGridRow],93),0))+IFERROR(INDEX(M_RawMaterials[固定週次消費量_要入力],MATCH($A37,M_RawMaterials[Part Name],0)),0)</f>
        <v/>
      </c>
      <c r="CP37">
        <f>SUMPRODUCT((M_BOM[Part Name]=$A37)*M_BOM[RM_Qty_Per_Batch]*IFERROR(INDEX(PP_Grid[#Data],M_BOM[PPGridRow],94),0))+IFERROR(INDEX(M_RawMaterials[固定週次消費量_要入力],MATCH($A37,M_RawMaterials[Part Name],0)),0)</f>
        <v/>
      </c>
      <c r="CQ37">
        <f>SUMPRODUCT((M_BOM[Part Name]=$A37)*M_BOM[RM_Qty_Per_Batch]*IFERROR(INDEX(PP_Grid[#Data],M_BOM[PPGridRow],95),0))+IFERROR(INDEX(M_RawMaterials[固定週次消費量_要入力],MATCH($A37,M_RawMaterials[Part Name],0)),0)</f>
        <v/>
      </c>
      <c r="CR37">
        <f>SUMPRODUCT((M_BOM[Part Name]=$A37)*M_BOM[RM_Qty_Per_Batch]*IFERROR(INDEX(PP_Grid[#Data],M_BOM[PPGridRow],96),0))+IFERROR(INDEX(M_RawMaterials[固定週次消費量_要入力],MATCH($A37,M_RawMaterials[Part Name],0)),0)</f>
        <v/>
      </c>
      <c r="CS37">
        <f>SUMPRODUCT((M_BOM[Part Name]=$A37)*M_BOM[RM_Qty_Per_Batch]*IFERROR(INDEX(PP_Grid[#Data],M_BOM[PPGridRow],97),0))+IFERROR(INDEX(M_RawMaterials[固定週次消費量_要入力],MATCH($A37,M_RawMaterials[Part Name],0)),0)</f>
        <v/>
      </c>
      <c r="CT37">
        <f>SUMPRODUCT((M_BOM[Part Name]=$A37)*M_BOM[RM_Qty_Per_Batch]*IFERROR(INDEX(PP_Grid[#Data],M_BOM[PPGridRow],98),0))+IFERROR(INDEX(M_RawMaterials[固定週次消費量_要入力],MATCH($A37,M_RawMaterials[Part Name],0)),0)</f>
        <v/>
      </c>
      <c r="CU37">
        <f>SUMPRODUCT((M_BOM[Part Name]=$A37)*M_BOM[RM_Qty_Per_Batch]*IFERROR(INDEX(PP_Grid[#Data],M_BOM[PPGridRow],99),0))+IFERROR(INDEX(M_RawMaterials[固定週次消費量_要入力],MATCH($A37,M_RawMaterials[Part Name],0)),0)</f>
        <v/>
      </c>
      <c r="CV37">
        <f>SUMPRODUCT((M_BOM[Part Name]=$A37)*M_BOM[RM_Qty_Per_Batch]*IFERROR(INDEX(PP_Grid[#Data],M_BOM[PPGridRow],100),0))+IFERROR(INDEX(M_RawMaterials[固定週次消費量_要入力],MATCH($A37,M_RawMaterials[Part Name],0)),0)</f>
        <v/>
      </c>
      <c r="CW37">
        <f>SUMPRODUCT((M_BOM[Part Name]=$A37)*M_BOM[RM_Qty_Per_Batch]*IFERROR(INDEX(PP_Grid[#Data],M_BOM[PPGridRow],101),0))+IFERROR(INDEX(M_RawMaterials[固定週次消費量_要入力],MATCH($A37,M_RawMaterials[Part Name],0)),0)</f>
        <v/>
      </c>
      <c r="CX37">
        <f>SUMPRODUCT((M_BOM[Part Name]=$A37)*M_BOM[RM_Qty_Per_Batch]*IFERROR(INDEX(PP_Grid[#Data],M_BOM[PPGridRow],102),0))+IFERROR(INDEX(M_RawMaterials[固定週次消費量_要入力],MATCH($A37,M_RawMaterials[Part Name],0)),0)</f>
        <v/>
      </c>
      <c r="CY37">
        <f>SUMPRODUCT((M_BOM[Part Name]=$A37)*M_BOM[RM_Qty_Per_Batch]*IFERROR(INDEX(PP_Grid[#Data],M_BOM[PPGridRow],103),0))+IFERROR(INDEX(M_RawMaterials[固定週次消費量_要入力],MATCH($A37,M_RawMaterials[Part Name],0)),0)</f>
        <v/>
      </c>
      <c r="CZ37">
        <f>SUMPRODUCT((M_BOM[Part Name]=$A37)*M_BOM[RM_Qty_Per_Batch]*IFERROR(INDEX(PP_Grid[#Data],M_BOM[PPGridRow],104),0))+IFERROR(INDEX(M_RawMaterials[固定週次消費量_要入力],MATCH($A37,M_RawMaterials[Part Name],0)),0)</f>
        <v/>
      </c>
      <c r="DA37">
        <f>SUMPRODUCT((M_BOM[Part Name]=$A37)*M_BOM[RM_Qty_Per_Batch]*IFERROR(INDEX(PP_Grid[#Data],M_BOM[PPGridRow],105),0))+IFERROR(INDEX(M_RawMaterials[固定週次消費量_要入力],MATCH($A37,M_RawMaterials[Part Name],0)),0)</f>
        <v/>
      </c>
    </row>
    <row r="38">
      <c r="A38" t="inlineStr">
        <is>
          <t>CHEM-1480</t>
        </is>
      </c>
      <c r="B38">
        <f>SUMPRODUCT((M_BOM[Part Name]=$A38)*M_BOM[RM_Qty_Per_Batch]*IFERROR(INDEX(PP_Grid[#Data],M_BOM[PPGridRow],2),0))+IFERROR(INDEX(M_RawMaterials[固定週次消費量_要入力],MATCH($A38,M_RawMaterials[Part Name],0)),0)</f>
        <v/>
      </c>
      <c r="C38">
        <f>SUMPRODUCT((M_BOM[Part Name]=$A38)*M_BOM[RM_Qty_Per_Batch]*IFERROR(INDEX(PP_Grid[#Data],M_BOM[PPGridRow],3),0))+IFERROR(INDEX(M_RawMaterials[固定週次消費量_要入力],MATCH($A38,M_RawMaterials[Part Name],0)),0)</f>
        <v/>
      </c>
      <c r="D38">
        <f>SUMPRODUCT((M_BOM[Part Name]=$A38)*M_BOM[RM_Qty_Per_Batch]*IFERROR(INDEX(PP_Grid[#Data],M_BOM[PPGridRow],4),0))+IFERROR(INDEX(M_RawMaterials[固定週次消費量_要入力],MATCH($A38,M_RawMaterials[Part Name],0)),0)</f>
        <v/>
      </c>
      <c r="E38">
        <f>SUMPRODUCT((M_BOM[Part Name]=$A38)*M_BOM[RM_Qty_Per_Batch]*IFERROR(INDEX(PP_Grid[#Data],M_BOM[PPGridRow],5),0))+IFERROR(INDEX(M_RawMaterials[固定週次消費量_要入力],MATCH($A38,M_RawMaterials[Part Name],0)),0)</f>
        <v/>
      </c>
      <c r="F38">
        <f>SUMPRODUCT((M_BOM[Part Name]=$A38)*M_BOM[RM_Qty_Per_Batch]*IFERROR(INDEX(PP_Grid[#Data],M_BOM[PPGridRow],6),0))+IFERROR(INDEX(M_RawMaterials[固定週次消費量_要入力],MATCH($A38,M_RawMaterials[Part Name],0)),0)</f>
        <v/>
      </c>
      <c r="G38">
        <f>SUMPRODUCT((M_BOM[Part Name]=$A38)*M_BOM[RM_Qty_Per_Batch]*IFERROR(INDEX(PP_Grid[#Data],M_BOM[PPGridRow],7),0))+IFERROR(INDEX(M_RawMaterials[固定週次消費量_要入力],MATCH($A38,M_RawMaterials[Part Name],0)),0)</f>
        <v/>
      </c>
      <c r="H38">
        <f>SUMPRODUCT((M_BOM[Part Name]=$A38)*M_BOM[RM_Qty_Per_Batch]*IFERROR(INDEX(PP_Grid[#Data],M_BOM[PPGridRow],8),0))+IFERROR(INDEX(M_RawMaterials[固定週次消費量_要入力],MATCH($A38,M_RawMaterials[Part Name],0)),0)</f>
        <v/>
      </c>
      <c r="I38">
        <f>SUMPRODUCT((M_BOM[Part Name]=$A38)*M_BOM[RM_Qty_Per_Batch]*IFERROR(INDEX(PP_Grid[#Data],M_BOM[PPGridRow],9),0))+IFERROR(INDEX(M_RawMaterials[固定週次消費量_要入力],MATCH($A38,M_RawMaterials[Part Name],0)),0)</f>
        <v/>
      </c>
      <c r="J38">
        <f>SUMPRODUCT((M_BOM[Part Name]=$A38)*M_BOM[RM_Qty_Per_Batch]*IFERROR(INDEX(PP_Grid[#Data],M_BOM[PPGridRow],10),0))+IFERROR(INDEX(M_RawMaterials[固定週次消費量_要入力],MATCH($A38,M_RawMaterials[Part Name],0)),0)</f>
        <v/>
      </c>
      <c r="K38">
        <f>SUMPRODUCT((M_BOM[Part Name]=$A38)*M_BOM[RM_Qty_Per_Batch]*IFERROR(INDEX(PP_Grid[#Data],M_BOM[PPGridRow],11),0))+IFERROR(INDEX(M_RawMaterials[固定週次消費量_要入力],MATCH($A38,M_RawMaterials[Part Name],0)),0)</f>
        <v/>
      </c>
      <c r="L38">
        <f>SUMPRODUCT((M_BOM[Part Name]=$A38)*M_BOM[RM_Qty_Per_Batch]*IFERROR(INDEX(PP_Grid[#Data],M_BOM[PPGridRow],12),0))+IFERROR(INDEX(M_RawMaterials[固定週次消費量_要入力],MATCH($A38,M_RawMaterials[Part Name],0)),0)</f>
        <v/>
      </c>
      <c r="M38">
        <f>SUMPRODUCT((M_BOM[Part Name]=$A38)*M_BOM[RM_Qty_Per_Batch]*IFERROR(INDEX(PP_Grid[#Data],M_BOM[PPGridRow],13),0))+IFERROR(INDEX(M_RawMaterials[固定週次消費量_要入力],MATCH($A38,M_RawMaterials[Part Name],0)),0)</f>
        <v/>
      </c>
      <c r="N38">
        <f>SUMPRODUCT((M_BOM[Part Name]=$A38)*M_BOM[RM_Qty_Per_Batch]*IFERROR(INDEX(PP_Grid[#Data],M_BOM[PPGridRow],14),0))+IFERROR(INDEX(M_RawMaterials[固定週次消費量_要入力],MATCH($A38,M_RawMaterials[Part Name],0)),0)</f>
        <v/>
      </c>
      <c r="O38">
        <f>SUMPRODUCT((M_BOM[Part Name]=$A38)*M_BOM[RM_Qty_Per_Batch]*IFERROR(INDEX(PP_Grid[#Data],M_BOM[PPGridRow],15),0))+IFERROR(INDEX(M_RawMaterials[固定週次消費量_要入力],MATCH($A38,M_RawMaterials[Part Name],0)),0)</f>
        <v/>
      </c>
      <c r="P38">
        <f>SUMPRODUCT((M_BOM[Part Name]=$A38)*M_BOM[RM_Qty_Per_Batch]*IFERROR(INDEX(PP_Grid[#Data],M_BOM[PPGridRow],16),0))+IFERROR(INDEX(M_RawMaterials[固定週次消費量_要入力],MATCH($A38,M_RawMaterials[Part Name],0)),0)</f>
        <v/>
      </c>
      <c r="Q38">
        <f>SUMPRODUCT((M_BOM[Part Name]=$A38)*M_BOM[RM_Qty_Per_Batch]*IFERROR(INDEX(PP_Grid[#Data],M_BOM[PPGridRow],17),0))+IFERROR(INDEX(M_RawMaterials[固定週次消費量_要入力],MATCH($A38,M_RawMaterials[Part Name],0)),0)</f>
        <v/>
      </c>
      <c r="R38">
        <f>SUMPRODUCT((M_BOM[Part Name]=$A38)*M_BOM[RM_Qty_Per_Batch]*IFERROR(INDEX(PP_Grid[#Data],M_BOM[PPGridRow],18),0))+IFERROR(INDEX(M_RawMaterials[固定週次消費量_要入力],MATCH($A38,M_RawMaterials[Part Name],0)),0)</f>
        <v/>
      </c>
      <c r="S38">
        <f>SUMPRODUCT((M_BOM[Part Name]=$A38)*M_BOM[RM_Qty_Per_Batch]*IFERROR(INDEX(PP_Grid[#Data],M_BOM[PPGridRow],19),0))+IFERROR(INDEX(M_RawMaterials[固定週次消費量_要入力],MATCH($A38,M_RawMaterials[Part Name],0)),0)</f>
        <v/>
      </c>
      <c r="T38">
        <f>SUMPRODUCT((M_BOM[Part Name]=$A38)*M_BOM[RM_Qty_Per_Batch]*IFERROR(INDEX(PP_Grid[#Data],M_BOM[PPGridRow],20),0))+IFERROR(INDEX(M_RawMaterials[固定週次消費量_要入力],MATCH($A38,M_RawMaterials[Part Name],0)),0)</f>
        <v/>
      </c>
      <c r="U38">
        <f>SUMPRODUCT((M_BOM[Part Name]=$A38)*M_BOM[RM_Qty_Per_Batch]*IFERROR(INDEX(PP_Grid[#Data],M_BOM[PPGridRow],21),0))+IFERROR(INDEX(M_RawMaterials[固定週次消費量_要入力],MATCH($A38,M_RawMaterials[Part Name],0)),0)</f>
        <v/>
      </c>
      <c r="V38">
        <f>SUMPRODUCT((M_BOM[Part Name]=$A38)*M_BOM[RM_Qty_Per_Batch]*IFERROR(INDEX(PP_Grid[#Data],M_BOM[PPGridRow],22),0))+IFERROR(INDEX(M_RawMaterials[固定週次消費量_要入力],MATCH($A38,M_RawMaterials[Part Name],0)),0)</f>
        <v/>
      </c>
      <c r="W38">
        <f>SUMPRODUCT((M_BOM[Part Name]=$A38)*M_BOM[RM_Qty_Per_Batch]*IFERROR(INDEX(PP_Grid[#Data],M_BOM[PPGridRow],23),0))+IFERROR(INDEX(M_RawMaterials[固定週次消費量_要入力],MATCH($A38,M_RawMaterials[Part Name],0)),0)</f>
        <v/>
      </c>
      <c r="X38">
        <f>SUMPRODUCT((M_BOM[Part Name]=$A38)*M_BOM[RM_Qty_Per_Batch]*IFERROR(INDEX(PP_Grid[#Data],M_BOM[PPGridRow],24),0))+IFERROR(INDEX(M_RawMaterials[固定週次消費量_要入力],MATCH($A38,M_RawMaterials[Part Name],0)),0)</f>
        <v/>
      </c>
      <c r="Y38">
        <f>SUMPRODUCT((M_BOM[Part Name]=$A38)*M_BOM[RM_Qty_Per_Batch]*IFERROR(INDEX(PP_Grid[#Data],M_BOM[PPGridRow],25),0))+IFERROR(INDEX(M_RawMaterials[固定週次消費量_要入力],MATCH($A38,M_RawMaterials[Part Name],0)),0)</f>
        <v/>
      </c>
      <c r="Z38">
        <f>SUMPRODUCT((M_BOM[Part Name]=$A38)*M_BOM[RM_Qty_Per_Batch]*IFERROR(INDEX(PP_Grid[#Data],M_BOM[PPGridRow],26),0))+IFERROR(INDEX(M_RawMaterials[固定週次消費量_要入力],MATCH($A38,M_RawMaterials[Part Name],0)),0)</f>
        <v/>
      </c>
      <c r="AA38">
        <f>SUMPRODUCT((M_BOM[Part Name]=$A38)*M_BOM[RM_Qty_Per_Batch]*IFERROR(INDEX(PP_Grid[#Data],M_BOM[PPGridRow],27),0))+IFERROR(INDEX(M_RawMaterials[固定週次消費量_要入力],MATCH($A38,M_RawMaterials[Part Name],0)),0)</f>
        <v/>
      </c>
      <c r="AB38">
        <f>SUMPRODUCT((M_BOM[Part Name]=$A38)*M_BOM[RM_Qty_Per_Batch]*IFERROR(INDEX(PP_Grid[#Data],M_BOM[PPGridRow],28),0))+IFERROR(INDEX(M_RawMaterials[固定週次消費量_要入力],MATCH($A38,M_RawMaterials[Part Name],0)),0)</f>
        <v/>
      </c>
      <c r="AC38">
        <f>SUMPRODUCT((M_BOM[Part Name]=$A38)*M_BOM[RM_Qty_Per_Batch]*IFERROR(INDEX(PP_Grid[#Data],M_BOM[PPGridRow],29),0))+IFERROR(INDEX(M_RawMaterials[固定週次消費量_要入力],MATCH($A38,M_RawMaterials[Part Name],0)),0)</f>
        <v/>
      </c>
      <c r="AD38">
        <f>SUMPRODUCT((M_BOM[Part Name]=$A38)*M_BOM[RM_Qty_Per_Batch]*IFERROR(INDEX(PP_Grid[#Data],M_BOM[PPGridRow],30),0))+IFERROR(INDEX(M_RawMaterials[固定週次消費量_要入力],MATCH($A38,M_RawMaterials[Part Name],0)),0)</f>
        <v/>
      </c>
      <c r="AE38">
        <f>SUMPRODUCT((M_BOM[Part Name]=$A38)*M_BOM[RM_Qty_Per_Batch]*IFERROR(INDEX(PP_Grid[#Data],M_BOM[PPGridRow],31),0))+IFERROR(INDEX(M_RawMaterials[固定週次消費量_要入力],MATCH($A38,M_RawMaterials[Part Name],0)),0)</f>
        <v/>
      </c>
      <c r="AF38">
        <f>SUMPRODUCT((M_BOM[Part Name]=$A38)*M_BOM[RM_Qty_Per_Batch]*IFERROR(INDEX(PP_Grid[#Data],M_BOM[PPGridRow],32),0))+IFERROR(INDEX(M_RawMaterials[固定週次消費量_要入力],MATCH($A38,M_RawMaterials[Part Name],0)),0)</f>
        <v/>
      </c>
      <c r="AG38">
        <f>SUMPRODUCT((M_BOM[Part Name]=$A38)*M_BOM[RM_Qty_Per_Batch]*IFERROR(INDEX(PP_Grid[#Data],M_BOM[PPGridRow],33),0))+IFERROR(INDEX(M_RawMaterials[固定週次消費量_要入力],MATCH($A38,M_RawMaterials[Part Name],0)),0)</f>
        <v/>
      </c>
      <c r="AH38">
        <f>SUMPRODUCT((M_BOM[Part Name]=$A38)*M_BOM[RM_Qty_Per_Batch]*IFERROR(INDEX(PP_Grid[#Data],M_BOM[PPGridRow],34),0))+IFERROR(INDEX(M_RawMaterials[固定週次消費量_要入力],MATCH($A38,M_RawMaterials[Part Name],0)),0)</f>
        <v/>
      </c>
      <c r="AI38">
        <f>SUMPRODUCT((M_BOM[Part Name]=$A38)*M_BOM[RM_Qty_Per_Batch]*IFERROR(INDEX(PP_Grid[#Data],M_BOM[PPGridRow],35),0))+IFERROR(INDEX(M_RawMaterials[固定週次消費量_要入力],MATCH($A38,M_RawMaterials[Part Name],0)),0)</f>
        <v/>
      </c>
      <c r="AJ38">
        <f>SUMPRODUCT((M_BOM[Part Name]=$A38)*M_BOM[RM_Qty_Per_Batch]*IFERROR(INDEX(PP_Grid[#Data],M_BOM[PPGridRow],36),0))+IFERROR(INDEX(M_RawMaterials[固定週次消費量_要入力],MATCH($A38,M_RawMaterials[Part Name],0)),0)</f>
        <v/>
      </c>
      <c r="AK38">
        <f>SUMPRODUCT((M_BOM[Part Name]=$A38)*M_BOM[RM_Qty_Per_Batch]*IFERROR(INDEX(PP_Grid[#Data],M_BOM[PPGridRow],37),0))+IFERROR(INDEX(M_RawMaterials[固定週次消費量_要入力],MATCH($A38,M_RawMaterials[Part Name],0)),0)</f>
        <v/>
      </c>
      <c r="AL38">
        <f>SUMPRODUCT((M_BOM[Part Name]=$A38)*M_BOM[RM_Qty_Per_Batch]*IFERROR(INDEX(PP_Grid[#Data],M_BOM[PPGridRow],38),0))+IFERROR(INDEX(M_RawMaterials[固定週次消費量_要入力],MATCH($A38,M_RawMaterials[Part Name],0)),0)</f>
        <v/>
      </c>
      <c r="AM38">
        <f>SUMPRODUCT((M_BOM[Part Name]=$A38)*M_BOM[RM_Qty_Per_Batch]*IFERROR(INDEX(PP_Grid[#Data],M_BOM[PPGridRow],39),0))+IFERROR(INDEX(M_RawMaterials[固定週次消費量_要入力],MATCH($A38,M_RawMaterials[Part Name],0)),0)</f>
        <v/>
      </c>
      <c r="AN38">
        <f>SUMPRODUCT((M_BOM[Part Name]=$A38)*M_BOM[RM_Qty_Per_Batch]*IFERROR(INDEX(PP_Grid[#Data],M_BOM[PPGridRow],40),0))+IFERROR(INDEX(M_RawMaterials[固定週次消費量_要入力],MATCH($A38,M_RawMaterials[Part Name],0)),0)</f>
        <v/>
      </c>
      <c r="AO38">
        <f>SUMPRODUCT((M_BOM[Part Name]=$A38)*M_BOM[RM_Qty_Per_Batch]*IFERROR(INDEX(PP_Grid[#Data],M_BOM[PPGridRow],41),0))+IFERROR(INDEX(M_RawMaterials[固定週次消費量_要入力],MATCH($A38,M_RawMaterials[Part Name],0)),0)</f>
        <v/>
      </c>
      <c r="AP38">
        <f>SUMPRODUCT((M_BOM[Part Name]=$A38)*M_BOM[RM_Qty_Per_Batch]*IFERROR(INDEX(PP_Grid[#Data],M_BOM[PPGridRow],42),0))+IFERROR(INDEX(M_RawMaterials[固定週次消費量_要入力],MATCH($A38,M_RawMaterials[Part Name],0)),0)</f>
        <v/>
      </c>
      <c r="AQ38">
        <f>SUMPRODUCT((M_BOM[Part Name]=$A38)*M_BOM[RM_Qty_Per_Batch]*IFERROR(INDEX(PP_Grid[#Data],M_BOM[PPGridRow],43),0))+IFERROR(INDEX(M_RawMaterials[固定週次消費量_要入力],MATCH($A38,M_RawMaterials[Part Name],0)),0)</f>
        <v/>
      </c>
      <c r="AR38">
        <f>SUMPRODUCT((M_BOM[Part Name]=$A38)*M_BOM[RM_Qty_Per_Batch]*IFERROR(INDEX(PP_Grid[#Data],M_BOM[PPGridRow],44),0))+IFERROR(INDEX(M_RawMaterials[固定週次消費量_要入力],MATCH($A38,M_RawMaterials[Part Name],0)),0)</f>
        <v/>
      </c>
      <c r="AS38">
        <f>SUMPRODUCT((M_BOM[Part Name]=$A38)*M_BOM[RM_Qty_Per_Batch]*IFERROR(INDEX(PP_Grid[#Data],M_BOM[PPGridRow],45),0))+IFERROR(INDEX(M_RawMaterials[固定週次消費量_要入力],MATCH($A38,M_RawMaterials[Part Name],0)),0)</f>
        <v/>
      </c>
      <c r="AT38">
        <f>SUMPRODUCT((M_BOM[Part Name]=$A38)*M_BOM[RM_Qty_Per_Batch]*IFERROR(INDEX(PP_Grid[#Data],M_BOM[PPGridRow],46),0))+IFERROR(INDEX(M_RawMaterials[固定週次消費量_要入力],MATCH($A38,M_RawMaterials[Part Name],0)),0)</f>
        <v/>
      </c>
      <c r="AU38">
        <f>SUMPRODUCT((M_BOM[Part Name]=$A38)*M_BOM[RM_Qty_Per_Batch]*IFERROR(INDEX(PP_Grid[#Data],M_BOM[PPGridRow],47),0))+IFERROR(INDEX(M_RawMaterials[固定週次消費量_要入力],MATCH($A38,M_RawMaterials[Part Name],0)),0)</f>
        <v/>
      </c>
      <c r="AV38">
        <f>SUMPRODUCT((M_BOM[Part Name]=$A38)*M_BOM[RM_Qty_Per_Batch]*IFERROR(INDEX(PP_Grid[#Data],M_BOM[PPGridRow],48),0))+IFERROR(INDEX(M_RawMaterials[固定週次消費量_要入力],MATCH($A38,M_RawMaterials[Part Name],0)),0)</f>
        <v/>
      </c>
      <c r="AW38">
        <f>SUMPRODUCT((M_BOM[Part Name]=$A38)*M_BOM[RM_Qty_Per_Batch]*IFERROR(INDEX(PP_Grid[#Data],M_BOM[PPGridRow],49),0))+IFERROR(INDEX(M_RawMaterials[固定週次消費量_要入力],MATCH($A38,M_RawMaterials[Part Name],0)),0)</f>
        <v/>
      </c>
      <c r="AX38">
        <f>SUMPRODUCT((M_BOM[Part Name]=$A38)*M_BOM[RM_Qty_Per_Batch]*IFERROR(INDEX(PP_Grid[#Data],M_BOM[PPGridRow],50),0))+IFERROR(INDEX(M_RawMaterials[固定週次消費量_要入力],MATCH($A38,M_RawMaterials[Part Name],0)),0)</f>
        <v/>
      </c>
      <c r="AY38">
        <f>SUMPRODUCT((M_BOM[Part Name]=$A38)*M_BOM[RM_Qty_Per_Batch]*IFERROR(INDEX(PP_Grid[#Data],M_BOM[PPGridRow],51),0))+IFERROR(INDEX(M_RawMaterials[固定週次消費量_要入力],MATCH($A38,M_RawMaterials[Part Name],0)),0)</f>
        <v/>
      </c>
      <c r="AZ38">
        <f>SUMPRODUCT((M_BOM[Part Name]=$A38)*M_BOM[RM_Qty_Per_Batch]*IFERROR(INDEX(PP_Grid[#Data],M_BOM[PPGridRow],52),0))+IFERROR(INDEX(M_RawMaterials[固定週次消費量_要入力],MATCH($A38,M_RawMaterials[Part Name],0)),0)</f>
        <v/>
      </c>
      <c r="BA38">
        <f>SUMPRODUCT((M_BOM[Part Name]=$A38)*M_BOM[RM_Qty_Per_Batch]*IFERROR(INDEX(PP_Grid[#Data],M_BOM[PPGridRow],53),0))+IFERROR(INDEX(M_RawMaterials[固定週次消費量_要入力],MATCH($A38,M_RawMaterials[Part Name],0)),0)</f>
        <v/>
      </c>
      <c r="BB38">
        <f>SUMPRODUCT((M_BOM[Part Name]=$A38)*M_BOM[RM_Qty_Per_Batch]*IFERROR(INDEX(PP_Grid[#Data],M_BOM[PPGridRow],54),0))+IFERROR(INDEX(M_RawMaterials[固定週次消費量_要入力],MATCH($A38,M_RawMaterials[Part Name],0)),0)</f>
        <v/>
      </c>
      <c r="BC38">
        <f>SUMPRODUCT((M_BOM[Part Name]=$A38)*M_BOM[RM_Qty_Per_Batch]*IFERROR(INDEX(PP_Grid[#Data],M_BOM[PPGridRow],55),0))+IFERROR(INDEX(M_RawMaterials[固定週次消費量_要入力],MATCH($A38,M_RawMaterials[Part Name],0)),0)</f>
        <v/>
      </c>
      <c r="BD38">
        <f>SUMPRODUCT((M_BOM[Part Name]=$A38)*M_BOM[RM_Qty_Per_Batch]*IFERROR(INDEX(PP_Grid[#Data],M_BOM[PPGridRow],56),0))+IFERROR(INDEX(M_RawMaterials[固定週次消費量_要入力],MATCH($A38,M_RawMaterials[Part Name],0)),0)</f>
        <v/>
      </c>
      <c r="BE38">
        <f>SUMPRODUCT((M_BOM[Part Name]=$A38)*M_BOM[RM_Qty_Per_Batch]*IFERROR(INDEX(PP_Grid[#Data],M_BOM[PPGridRow],57),0))+IFERROR(INDEX(M_RawMaterials[固定週次消費量_要入力],MATCH($A38,M_RawMaterials[Part Name],0)),0)</f>
        <v/>
      </c>
      <c r="BF38">
        <f>SUMPRODUCT((M_BOM[Part Name]=$A38)*M_BOM[RM_Qty_Per_Batch]*IFERROR(INDEX(PP_Grid[#Data],M_BOM[PPGridRow],58),0))+IFERROR(INDEX(M_RawMaterials[固定週次消費量_要入力],MATCH($A38,M_RawMaterials[Part Name],0)),0)</f>
        <v/>
      </c>
      <c r="BG38">
        <f>SUMPRODUCT((M_BOM[Part Name]=$A38)*M_BOM[RM_Qty_Per_Batch]*IFERROR(INDEX(PP_Grid[#Data],M_BOM[PPGridRow],59),0))+IFERROR(INDEX(M_RawMaterials[固定週次消費量_要入力],MATCH($A38,M_RawMaterials[Part Name],0)),0)</f>
        <v/>
      </c>
      <c r="BH38">
        <f>SUMPRODUCT((M_BOM[Part Name]=$A38)*M_BOM[RM_Qty_Per_Batch]*IFERROR(INDEX(PP_Grid[#Data],M_BOM[PPGridRow],60),0))+IFERROR(INDEX(M_RawMaterials[固定週次消費量_要入力],MATCH($A38,M_RawMaterials[Part Name],0)),0)</f>
        <v/>
      </c>
      <c r="BI38">
        <f>SUMPRODUCT((M_BOM[Part Name]=$A38)*M_BOM[RM_Qty_Per_Batch]*IFERROR(INDEX(PP_Grid[#Data],M_BOM[PPGridRow],61),0))+IFERROR(INDEX(M_RawMaterials[固定週次消費量_要入力],MATCH($A38,M_RawMaterials[Part Name],0)),0)</f>
        <v/>
      </c>
      <c r="BJ38">
        <f>SUMPRODUCT((M_BOM[Part Name]=$A38)*M_BOM[RM_Qty_Per_Batch]*IFERROR(INDEX(PP_Grid[#Data],M_BOM[PPGridRow],62),0))+IFERROR(INDEX(M_RawMaterials[固定週次消費量_要入力],MATCH($A38,M_RawMaterials[Part Name],0)),0)</f>
        <v/>
      </c>
      <c r="BK38">
        <f>SUMPRODUCT((M_BOM[Part Name]=$A38)*M_BOM[RM_Qty_Per_Batch]*IFERROR(INDEX(PP_Grid[#Data],M_BOM[PPGridRow],63),0))+IFERROR(INDEX(M_RawMaterials[固定週次消費量_要入力],MATCH($A38,M_RawMaterials[Part Name],0)),0)</f>
        <v/>
      </c>
      <c r="BL38">
        <f>SUMPRODUCT((M_BOM[Part Name]=$A38)*M_BOM[RM_Qty_Per_Batch]*IFERROR(INDEX(PP_Grid[#Data],M_BOM[PPGridRow],64),0))+IFERROR(INDEX(M_RawMaterials[固定週次消費量_要入力],MATCH($A38,M_RawMaterials[Part Name],0)),0)</f>
        <v/>
      </c>
      <c r="BM38">
        <f>SUMPRODUCT((M_BOM[Part Name]=$A38)*M_BOM[RM_Qty_Per_Batch]*IFERROR(INDEX(PP_Grid[#Data],M_BOM[PPGridRow],65),0))+IFERROR(INDEX(M_RawMaterials[固定週次消費量_要入力],MATCH($A38,M_RawMaterials[Part Name],0)),0)</f>
        <v/>
      </c>
      <c r="BN38">
        <f>SUMPRODUCT((M_BOM[Part Name]=$A38)*M_BOM[RM_Qty_Per_Batch]*IFERROR(INDEX(PP_Grid[#Data],M_BOM[PPGridRow],66),0))+IFERROR(INDEX(M_RawMaterials[固定週次消費量_要入力],MATCH($A38,M_RawMaterials[Part Name],0)),0)</f>
        <v/>
      </c>
      <c r="BO38">
        <f>SUMPRODUCT((M_BOM[Part Name]=$A38)*M_BOM[RM_Qty_Per_Batch]*IFERROR(INDEX(PP_Grid[#Data],M_BOM[PPGridRow],67),0))+IFERROR(INDEX(M_RawMaterials[固定週次消費量_要入力],MATCH($A38,M_RawMaterials[Part Name],0)),0)</f>
        <v/>
      </c>
      <c r="BP38">
        <f>SUMPRODUCT((M_BOM[Part Name]=$A38)*M_BOM[RM_Qty_Per_Batch]*IFERROR(INDEX(PP_Grid[#Data],M_BOM[PPGridRow],68),0))+IFERROR(INDEX(M_RawMaterials[固定週次消費量_要入力],MATCH($A38,M_RawMaterials[Part Name],0)),0)</f>
        <v/>
      </c>
      <c r="BQ38">
        <f>SUMPRODUCT((M_BOM[Part Name]=$A38)*M_BOM[RM_Qty_Per_Batch]*IFERROR(INDEX(PP_Grid[#Data],M_BOM[PPGridRow],69),0))+IFERROR(INDEX(M_RawMaterials[固定週次消費量_要入力],MATCH($A38,M_RawMaterials[Part Name],0)),0)</f>
        <v/>
      </c>
      <c r="BR38">
        <f>SUMPRODUCT((M_BOM[Part Name]=$A38)*M_BOM[RM_Qty_Per_Batch]*IFERROR(INDEX(PP_Grid[#Data],M_BOM[PPGridRow],70),0))+IFERROR(INDEX(M_RawMaterials[固定週次消費量_要入力],MATCH($A38,M_RawMaterials[Part Name],0)),0)</f>
        <v/>
      </c>
      <c r="BS38">
        <f>SUMPRODUCT((M_BOM[Part Name]=$A38)*M_BOM[RM_Qty_Per_Batch]*IFERROR(INDEX(PP_Grid[#Data],M_BOM[PPGridRow],71),0))+IFERROR(INDEX(M_RawMaterials[固定週次消費量_要入力],MATCH($A38,M_RawMaterials[Part Name],0)),0)</f>
        <v/>
      </c>
      <c r="BT38">
        <f>SUMPRODUCT((M_BOM[Part Name]=$A38)*M_BOM[RM_Qty_Per_Batch]*IFERROR(INDEX(PP_Grid[#Data],M_BOM[PPGridRow],72),0))+IFERROR(INDEX(M_RawMaterials[固定週次消費量_要入力],MATCH($A38,M_RawMaterials[Part Name],0)),0)</f>
        <v/>
      </c>
      <c r="BU38">
        <f>SUMPRODUCT((M_BOM[Part Name]=$A38)*M_BOM[RM_Qty_Per_Batch]*IFERROR(INDEX(PP_Grid[#Data],M_BOM[PPGridRow],73),0))+IFERROR(INDEX(M_RawMaterials[固定週次消費量_要入力],MATCH($A38,M_RawMaterials[Part Name],0)),0)</f>
        <v/>
      </c>
      <c r="BV38">
        <f>SUMPRODUCT((M_BOM[Part Name]=$A38)*M_BOM[RM_Qty_Per_Batch]*IFERROR(INDEX(PP_Grid[#Data],M_BOM[PPGridRow],74),0))+IFERROR(INDEX(M_RawMaterials[固定週次消費量_要入力],MATCH($A38,M_RawMaterials[Part Name],0)),0)</f>
        <v/>
      </c>
      <c r="BW38">
        <f>SUMPRODUCT((M_BOM[Part Name]=$A38)*M_BOM[RM_Qty_Per_Batch]*IFERROR(INDEX(PP_Grid[#Data],M_BOM[PPGridRow],75),0))+IFERROR(INDEX(M_RawMaterials[固定週次消費量_要入力],MATCH($A38,M_RawMaterials[Part Name],0)),0)</f>
        <v/>
      </c>
      <c r="BX38">
        <f>SUMPRODUCT((M_BOM[Part Name]=$A38)*M_BOM[RM_Qty_Per_Batch]*IFERROR(INDEX(PP_Grid[#Data],M_BOM[PPGridRow],76),0))+IFERROR(INDEX(M_RawMaterials[固定週次消費量_要入力],MATCH($A38,M_RawMaterials[Part Name],0)),0)</f>
        <v/>
      </c>
      <c r="BY38">
        <f>SUMPRODUCT((M_BOM[Part Name]=$A38)*M_BOM[RM_Qty_Per_Batch]*IFERROR(INDEX(PP_Grid[#Data],M_BOM[PPGridRow],77),0))+IFERROR(INDEX(M_RawMaterials[固定週次消費量_要入力],MATCH($A38,M_RawMaterials[Part Name],0)),0)</f>
        <v/>
      </c>
      <c r="BZ38">
        <f>SUMPRODUCT((M_BOM[Part Name]=$A38)*M_BOM[RM_Qty_Per_Batch]*IFERROR(INDEX(PP_Grid[#Data],M_BOM[PPGridRow],78),0))+IFERROR(INDEX(M_RawMaterials[固定週次消費量_要入力],MATCH($A38,M_RawMaterials[Part Name],0)),0)</f>
        <v/>
      </c>
      <c r="CA38">
        <f>SUMPRODUCT((M_BOM[Part Name]=$A38)*M_BOM[RM_Qty_Per_Batch]*IFERROR(INDEX(PP_Grid[#Data],M_BOM[PPGridRow],79),0))+IFERROR(INDEX(M_RawMaterials[固定週次消費量_要入力],MATCH($A38,M_RawMaterials[Part Name],0)),0)</f>
        <v/>
      </c>
      <c r="CB38">
        <f>SUMPRODUCT((M_BOM[Part Name]=$A38)*M_BOM[RM_Qty_Per_Batch]*IFERROR(INDEX(PP_Grid[#Data],M_BOM[PPGridRow],80),0))+IFERROR(INDEX(M_RawMaterials[固定週次消費量_要入力],MATCH($A38,M_RawMaterials[Part Name],0)),0)</f>
        <v/>
      </c>
      <c r="CC38">
        <f>SUMPRODUCT((M_BOM[Part Name]=$A38)*M_BOM[RM_Qty_Per_Batch]*IFERROR(INDEX(PP_Grid[#Data],M_BOM[PPGridRow],81),0))+IFERROR(INDEX(M_RawMaterials[固定週次消費量_要入力],MATCH($A38,M_RawMaterials[Part Name],0)),0)</f>
        <v/>
      </c>
      <c r="CD38">
        <f>SUMPRODUCT((M_BOM[Part Name]=$A38)*M_BOM[RM_Qty_Per_Batch]*IFERROR(INDEX(PP_Grid[#Data],M_BOM[PPGridRow],82),0))+IFERROR(INDEX(M_RawMaterials[固定週次消費量_要入力],MATCH($A38,M_RawMaterials[Part Name],0)),0)</f>
        <v/>
      </c>
      <c r="CE38">
        <f>SUMPRODUCT((M_BOM[Part Name]=$A38)*M_BOM[RM_Qty_Per_Batch]*IFERROR(INDEX(PP_Grid[#Data],M_BOM[PPGridRow],83),0))+IFERROR(INDEX(M_RawMaterials[固定週次消費量_要入力],MATCH($A38,M_RawMaterials[Part Name],0)),0)</f>
        <v/>
      </c>
      <c r="CF38">
        <f>SUMPRODUCT((M_BOM[Part Name]=$A38)*M_BOM[RM_Qty_Per_Batch]*IFERROR(INDEX(PP_Grid[#Data],M_BOM[PPGridRow],84),0))+IFERROR(INDEX(M_RawMaterials[固定週次消費量_要入力],MATCH($A38,M_RawMaterials[Part Name],0)),0)</f>
        <v/>
      </c>
      <c r="CG38">
        <f>SUMPRODUCT((M_BOM[Part Name]=$A38)*M_BOM[RM_Qty_Per_Batch]*IFERROR(INDEX(PP_Grid[#Data],M_BOM[PPGridRow],85),0))+IFERROR(INDEX(M_RawMaterials[固定週次消費量_要入力],MATCH($A38,M_RawMaterials[Part Name],0)),0)</f>
        <v/>
      </c>
      <c r="CH38">
        <f>SUMPRODUCT((M_BOM[Part Name]=$A38)*M_BOM[RM_Qty_Per_Batch]*IFERROR(INDEX(PP_Grid[#Data],M_BOM[PPGridRow],86),0))+IFERROR(INDEX(M_RawMaterials[固定週次消費量_要入力],MATCH($A38,M_RawMaterials[Part Name],0)),0)</f>
        <v/>
      </c>
      <c r="CI38">
        <f>SUMPRODUCT((M_BOM[Part Name]=$A38)*M_BOM[RM_Qty_Per_Batch]*IFERROR(INDEX(PP_Grid[#Data],M_BOM[PPGridRow],87),0))+IFERROR(INDEX(M_RawMaterials[固定週次消費量_要入力],MATCH($A38,M_RawMaterials[Part Name],0)),0)</f>
        <v/>
      </c>
      <c r="CJ38">
        <f>SUMPRODUCT((M_BOM[Part Name]=$A38)*M_BOM[RM_Qty_Per_Batch]*IFERROR(INDEX(PP_Grid[#Data],M_BOM[PPGridRow],88),0))+IFERROR(INDEX(M_RawMaterials[固定週次消費量_要入力],MATCH($A38,M_RawMaterials[Part Name],0)),0)</f>
        <v/>
      </c>
      <c r="CK38">
        <f>SUMPRODUCT((M_BOM[Part Name]=$A38)*M_BOM[RM_Qty_Per_Batch]*IFERROR(INDEX(PP_Grid[#Data],M_BOM[PPGridRow],89),0))+IFERROR(INDEX(M_RawMaterials[固定週次消費量_要入力],MATCH($A38,M_RawMaterials[Part Name],0)),0)</f>
        <v/>
      </c>
      <c r="CL38">
        <f>SUMPRODUCT((M_BOM[Part Name]=$A38)*M_BOM[RM_Qty_Per_Batch]*IFERROR(INDEX(PP_Grid[#Data],M_BOM[PPGridRow],90),0))+IFERROR(INDEX(M_RawMaterials[固定週次消費量_要入力],MATCH($A38,M_RawMaterials[Part Name],0)),0)</f>
        <v/>
      </c>
      <c r="CM38">
        <f>SUMPRODUCT((M_BOM[Part Name]=$A38)*M_BOM[RM_Qty_Per_Batch]*IFERROR(INDEX(PP_Grid[#Data],M_BOM[PPGridRow],91),0))+IFERROR(INDEX(M_RawMaterials[固定週次消費量_要入力],MATCH($A38,M_RawMaterials[Part Name],0)),0)</f>
        <v/>
      </c>
      <c r="CN38">
        <f>SUMPRODUCT((M_BOM[Part Name]=$A38)*M_BOM[RM_Qty_Per_Batch]*IFERROR(INDEX(PP_Grid[#Data],M_BOM[PPGridRow],92),0))+IFERROR(INDEX(M_RawMaterials[固定週次消費量_要入力],MATCH($A38,M_RawMaterials[Part Name],0)),0)</f>
        <v/>
      </c>
      <c r="CO38">
        <f>SUMPRODUCT((M_BOM[Part Name]=$A38)*M_BOM[RM_Qty_Per_Batch]*IFERROR(INDEX(PP_Grid[#Data],M_BOM[PPGridRow],93),0))+IFERROR(INDEX(M_RawMaterials[固定週次消費量_要入力],MATCH($A38,M_RawMaterials[Part Name],0)),0)</f>
        <v/>
      </c>
      <c r="CP38">
        <f>SUMPRODUCT((M_BOM[Part Name]=$A38)*M_BOM[RM_Qty_Per_Batch]*IFERROR(INDEX(PP_Grid[#Data],M_BOM[PPGridRow],94),0))+IFERROR(INDEX(M_RawMaterials[固定週次消費量_要入力],MATCH($A38,M_RawMaterials[Part Name],0)),0)</f>
        <v/>
      </c>
      <c r="CQ38">
        <f>SUMPRODUCT((M_BOM[Part Name]=$A38)*M_BOM[RM_Qty_Per_Batch]*IFERROR(INDEX(PP_Grid[#Data],M_BOM[PPGridRow],95),0))+IFERROR(INDEX(M_RawMaterials[固定週次消費量_要入力],MATCH($A38,M_RawMaterials[Part Name],0)),0)</f>
        <v/>
      </c>
      <c r="CR38">
        <f>SUMPRODUCT((M_BOM[Part Name]=$A38)*M_BOM[RM_Qty_Per_Batch]*IFERROR(INDEX(PP_Grid[#Data],M_BOM[PPGridRow],96),0))+IFERROR(INDEX(M_RawMaterials[固定週次消費量_要入力],MATCH($A38,M_RawMaterials[Part Name],0)),0)</f>
        <v/>
      </c>
      <c r="CS38">
        <f>SUMPRODUCT((M_BOM[Part Name]=$A38)*M_BOM[RM_Qty_Per_Batch]*IFERROR(INDEX(PP_Grid[#Data],M_BOM[PPGridRow],97),0))+IFERROR(INDEX(M_RawMaterials[固定週次消費量_要入力],MATCH($A38,M_RawMaterials[Part Name],0)),0)</f>
        <v/>
      </c>
      <c r="CT38">
        <f>SUMPRODUCT((M_BOM[Part Name]=$A38)*M_BOM[RM_Qty_Per_Batch]*IFERROR(INDEX(PP_Grid[#Data],M_BOM[PPGridRow],98),0))+IFERROR(INDEX(M_RawMaterials[固定週次消費量_要入力],MATCH($A38,M_RawMaterials[Part Name],0)),0)</f>
        <v/>
      </c>
      <c r="CU38">
        <f>SUMPRODUCT((M_BOM[Part Name]=$A38)*M_BOM[RM_Qty_Per_Batch]*IFERROR(INDEX(PP_Grid[#Data],M_BOM[PPGridRow],99),0))+IFERROR(INDEX(M_RawMaterials[固定週次消費量_要入力],MATCH($A38,M_RawMaterials[Part Name],0)),0)</f>
        <v/>
      </c>
      <c r="CV38">
        <f>SUMPRODUCT((M_BOM[Part Name]=$A38)*M_BOM[RM_Qty_Per_Batch]*IFERROR(INDEX(PP_Grid[#Data],M_BOM[PPGridRow],100),0))+IFERROR(INDEX(M_RawMaterials[固定週次消費量_要入力],MATCH($A38,M_RawMaterials[Part Name],0)),0)</f>
        <v/>
      </c>
      <c r="CW38">
        <f>SUMPRODUCT((M_BOM[Part Name]=$A38)*M_BOM[RM_Qty_Per_Batch]*IFERROR(INDEX(PP_Grid[#Data],M_BOM[PPGridRow],101),0))+IFERROR(INDEX(M_RawMaterials[固定週次消費量_要入力],MATCH($A38,M_RawMaterials[Part Name],0)),0)</f>
        <v/>
      </c>
      <c r="CX38">
        <f>SUMPRODUCT((M_BOM[Part Name]=$A38)*M_BOM[RM_Qty_Per_Batch]*IFERROR(INDEX(PP_Grid[#Data],M_BOM[PPGridRow],102),0))+IFERROR(INDEX(M_RawMaterials[固定週次消費量_要入力],MATCH($A38,M_RawMaterials[Part Name],0)),0)</f>
        <v/>
      </c>
      <c r="CY38">
        <f>SUMPRODUCT((M_BOM[Part Name]=$A38)*M_BOM[RM_Qty_Per_Batch]*IFERROR(INDEX(PP_Grid[#Data],M_BOM[PPGridRow],103),0))+IFERROR(INDEX(M_RawMaterials[固定週次消費量_要入力],MATCH($A38,M_RawMaterials[Part Name],0)),0)</f>
        <v/>
      </c>
      <c r="CZ38">
        <f>SUMPRODUCT((M_BOM[Part Name]=$A38)*M_BOM[RM_Qty_Per_Batch]*IFERROR(INDEX(PP_Grid[#Data],M_BOM[PPGridRow],104),0))+IFERROR(INDEX(M_RawMaterials[固定週次消費量_要入力],MATCH($A38,M_RawMaterials[Part Name],0)),0)</f>
        <v/>
      </c>
      <c r="DA38">
        <f>SUMPRODUCT((M_BOM[Part Name]=$A38)*M_BOM[RM_Qty_Per_Batch]*IFERROR(INDEX(PP_Grid[#Data],M_BOM[PPGridRow],105),0))+IFERROR(INDEX(M_RawMaterials[固定週次消費量_要入力],MATCH($A38,M_RawMaterials[Part Name],0)),0)</f>
        <v/>
      </c>
    </row>
    <row r="39">
      <c r="A39" t="inlineStr">
        <is>
          <t>CHEM-1540</t>
        </is>
      </c>
      <c r="B39">
        <f>SUMPRODUCT((M_BOM[Part Name]=$A39)*M_BOM[RM_Qty_Per_Batch]*IFERROR(INDEX(PP_Grid[#Data],M_BOM[PPGridRow],2),0))+IFERROR(INDEX(M_RawMaterials[固定週次消費量_要入力],MATCH($A39,M_RawMaterials[Part Name],0)),0)</f>
        <v/>
      </c>
      <c r="C39">
        <f>SUMPRODUCT((M_BOM[Part Name]=$A39)*M_BOM[RM_Qty_Per_Batch]*IFERROR(INDEX(PP_Grid[#Data],M_BOM[PPGridRow],3),0))+IFERROR(INDEX(M_RawMaterials[固定週次消費量_要入力],MATCH($A39,M_RawMaterials[Part Name],0)),0)</f>
        <v/>
      </c>
      <c r="D39">
        <f>SUMPRODUCT((M_BOM[Part Name]=$A39)*M_BOM[RM_Qty_Per_Batch]*IFERROR(INDEX(PP_Grid[#Data],M_BOM[PPGridRow],4),0))+IFERROR(INDEX(M_RawMaterials[固定週次消費量_要入力],MATCH($A39,M_RawMaterials[Part Name],0)),0)</f>
        <v/>
      </c>
      <c r="E39">
        <f>SUMPRODUCT((M_BOM[Part Name]=$A39)*M_BOM[RM_Qty_Per_Batch]*IFERROR(INDEX(PP_Grid[#Data],M_BOM[PPGridRow],5),0))+IFERROR(INDEX(M_RawMaterials[固定週次消費量_要入力],MATCH($A39,M_RawMaterials[Part Name],0)),0)</f>
        <v/>
      </c>
      <c r="F39">
        <f>SUMPRODUCT((M_BOM[Part Name]=$A39)*M_BOM[RM_Qty_Per_Batch]*IFERROR(INDEX(PP_Grid[#Data],M_BOM[PPGridRow],6),0))+IFERROR(INDEX(M_RawMaterials[固定週次消費量_要入力],MATCH($A39,M_RawMaterials[Part Name],0)),0)</f>
        <v/>
      </c>
      <c r="G39">
        <f>SUMPRODUCT((M_BOM[Part Name]=$A39)*M_BOM[RM_Qty_Per_Batch]*IFERROR(INDEX(PP_Grid[#Data],M_BOM[PPGridRow],7),0))+IFERROR(INDEX(M_RawMaterials[固定週次消費量_要入力],MATCH($A39,M_RawMaterials[Part Name],0)),0)</f>
        <v/>
      </c>
      <c r="H39">
        <f>SUMPRODUCT((M_BOM[Part Name]=$A39)*M_BOM[RM_Qty_Per_Batch]*IFERROR(INDEX(PP_Grid[#Data],M_BOM[PPGridRow],8),0))+IFERROR(INDEX(M_RawMaterials[固定週次消費量_要入力],MATCH($A39,M_RawMaterials[Part Name],0)),0)</f>
        <v/>
      </c>
      <c r="I39">
        <f>SUMPRODUCT((M_BOM[Part Name]=$A39)*M_BOM[RM_Qty_Per_Batch]*IFERROR(INDEX(PP_Grid[#Data],M_BOM[PPGridRow],9),0))+IFERROR(INDEX(M_RawMaterials[固定週次消費量_要入力],MATCH($A39,M_RawMaterials[Part Name],0)),0)</f>
        <v/>
      </c>
      <c r="J39">
        <f>SUMPRODUCT((M_BOM[Part Name]=$A39)*M_BOM[RM_Qty_Per_Batch]*IFERROR(INDEX(PP_Grid[#Data],M_BOM[PPGridRow],10),0))+IFERROR(INDEX(M_RawMaterials[固定週次消費量_要入力],MATCH($A39,M_RawMaterials[Part Name],0)),0)</f>
        <v/>
      </c>
      <c r="K39">
        <f>SUMPRODUCT((M_BOM[Part Name]=$A39)*M_BOM[RM_Qty_Per_Batch]*IFERROR(INDEX(PP_Grid[#Data],M_BOM[PPGridRow],11),0))+IFERROR(INDEX(M_RawMaterials[固定週次消費量_要入力],MATCH($A39,M_RawMaterials[Part Name],0)),0)</f>
        <v/>
      </c>
      <c r="L39">
        <f>SUMPRODUCT((M_BOM[Part Name]=$A39)*M_BOM[RM_Qty_Per_Batch]*IFERROR(INDEX(PP_Grid[#Data],M_BOM[PPGridRow],12),0))+IFERROR(INDEX(M_RawMaterials[固定週次消費量_要入力],MATCH($A39,M_RawMaterials[Part Name],0)),0)</f>
        <v/>
      </c>
      <c r="M39">
        <f>SUMPRODUCT((M_BOM[Part Name]=$A39)*M_BOM[RM_Qty_Per_Batch]*IFERROR(INDEX(PP_Grid[#Data],M_BOM[PPGridRow],13),0))+IFERROR(INDEX(M_RawMaterials[固定週次消費量_要入力],MATCH($A39,M_RawMaterials[Part Name],0)),0)</f>
        <v/>
      </c>
      <c r="N39">
        <f>SUMPRODUCT((M_BOM[Part Name]=$A39)*M_BOM[RM_Qty_Per_Batch]*IFERROR(INDEX(PP_Grid[#Data],M_BOM[PPGridRow],14),0))+IFERROR(INDEX(M_RawMaterials[固定週次消費量_要入力],MATCH($A39,M_RawMaterials[Part Name],0)),0)</f>
        <v/>
      </c>
      <c r="O39">
        <f>SUMPRODUCT((M_BOM[Part Name]=$A39)*M_BOM[RM_Qty_Per_Batch]*IFERROR(INDEX(PP_Grid[#Data],M_BOM[PPGridRow],15),0))+IFERROR(INDEX(M_RawMaterials[固定週次消費量_要入力],MATCH($A39,M_RawMaterials[Part Name],0)),0)</f>
        <v/>
      </c>
      <c r="P39">
        <f>SUMPRODUCT((M_BOM[Part Name]=$A39)*M_BOM[RM_Qty_Per_Batch]*IFERROR(INDEX(PP_Grid[#Data],M_BOM[PPGridRow],16),0))+IFERROR(INDEX(M_RawMaterials[固定週次消費量_要入力],MATCH($A39,M_RawMaterials[Part Name],0)),0)</f>
        <v/>
      </c>
      <c r="Q39">
        <f>SUMPRODUCT((M_BOM[Part Name]=$A39)*M_BOM[RM_Qty_Per_Batch]*IFERROR(INDEX(PP_Grid[#Data],M_BOM[PPGridRow],17),0))+IFERROR(INDEX(M_RawMaterials[固定週次消費量_要入力],MATCH($A39,M_RawMaterials[Part Name],0)),0)</f>
        <v/>
      </c>
      <c r="R39">
        <f>SUMPRODUCT((M_BOM[Part Name]=$A39)*M_BOM[RM_Qty_Per_Batch]*IFERROR(INDEX(PP_Grid[#Data],M_BOM[PPGridRow],18),0))+IFERROR(INDEX(M_RawMaterials[固定週次消費量_要入力],MATCH($A39,M_RawMaterials[Part Name],0)),0)</f>
        <v/>
      </c>
      <c r="S39">
        <f>SUMPRODUCT((M_BOM[Part Name]=$A39)*M_BOM[RM_Qty_Per_Batch]*IFERROR(INDEX(PP_Grid[#Data],M_BOM[PPGridRow],19),0))+IFERROR(INDEX(M_RawMaterials[固定週次消費量_要入力],MATCH($A39,M_RawMaterials[Part Name],0)),0)</f>
        <v/>
      </c>
      <c r="T39">
        <f>SUMPRODUCT((M_BOM[Part Name]=$A39)*M_BOM[RM_Qty_Per_Batch]*IFERROR(INDEX(PP_Grid[#Data],M_BOM[PPGridRow],20),0))+IFERROR(INDEX(M_RawMaterials[固定週次消費量_要入力],MATCH($A39,M_RawMaterials[Part Name],0)),0)</f>
        <v/>
      </c>
      <c r="U39">
        <f>SUMPRODUCT((M_BOM[Part Name]=$A39)*M_BOM[RM_Qty_Per_Batch]*IFERROR(INDEX(PP_Grid[#Data],M_BOM[PPGridRow],21),0))+IFERROR(INDEX(M_RawMaterials[固定週次消費量_要入力],MATCH($A39,M_RawMaterials[Part Name],0)),0)</f>
        <v/>
      </c>
      <c r="V39">
        <f>SUMPRODUCT((M_BOM[Part Name]=$A39)*M_BOM[RM_Qty_Per_Batch]*IFERROR(INDEX(PP_Grid[#Data],M_BOM[PPGridRow],22),0))+IFERROR(INDEX(M_RawMaterials[固定週次消費量_要入力],MATCH($A39,M_RawMaterials[Part Name],0)),0)</f>
        <v/>
      </c>
      <c r="W39">
        <f>SUMPRODUCT((M_BOM[Part Name]=$A39)*M_BOM[RM_Qty_Per_Batch]*IFERROR(INDEX(PP_Grid[#Data],M_BOM[PPGridRow],23),0))+IFERROR(INDEX(M_RawMaterials[固定週次消費量_要入力],MATCH($A39,M_RawMaterials[Part Name],0)),0)</f>
        <v/>
      </c>
      <c r="X39">
        <f>SUMPRODUCT((M_BOM[Part Name]=$A39)*M_BOM[RM_Qty_Per_Batch]*IFERROR(INDEX(PP_Grid[#Data],M_BOM[PPGridRow],24),0))+IFERROR(INDEX(M_RawMaterials[固定週次消費量_要入力],MATCH($A39,M_RawMaterials[Part Name],0)),0)</f>
        <v/>
      </c>
      <c r="Y39">
        <f>SUMPRODUCT((M_BOM[Part Name]=$A39)*M_BOM[RM_Qty_Per_Batch]*IFERROR(INDEX(PP_Grid[#Data],M_BOM[PPGridRow],25),0))+IFERROR(INDEX(M_RawMaterials[固定週次消費量_要入力],MATCH($A39,M_RawMaterials[Part Name],0)),0)</f>
        <v/>
      </c>
      <c r="Z39">
        <f>SUMPRODUCT((M_BOM[Part Name]=$A39)*M_BOM[RM_Qty_Per_Batch]*IFERROR(INDEX(PP_Grid[#Data],M_BOM[PPGridRow],26),0))+IFERROR(INDEX(M_RawMaterials[固定週次消費量_要入力],MATCH($A39,M_RawMaterials[Part Name],0)),0)</f>
        <v/>
      </c>
      <c r="AA39">
        <f>SUMPRODUCT((M_BOM[Part Name]=$A39)*M_BOM[RM_Qty_Per_Batch]*IFERROR(INDEX(PP_Grid[#Data],M_BOM[PPGridRow],27),0))+IFERROR(INDEX(M_RawMaterials[固定週次消費量_要入力],MATCH($A39,M_RawMaterials[Part Name],0)),0)</f>
        <v/>
      </c>
      <c r="AB39">
        <f>SUMPRODUCT((M_BOM[Part Name]=$A39)*M_BOM[RM_Qty_Per_Batch]*IFERROR(INDEX(PP_Grid[#Data],M_BOM[PPGridRow],28),0))+IFERROR(INDEX(M_RawMaterials[固定週次消費量_要入力],MATCH($A39,M_RawMaterials[Part Name],0)),0)</f>
        <v/>
      </c>
      <c r="AC39">
        <f>SUMPRODUCT((M_BOM[Part Name]=$A39)*M_BOM[RM_Qty_Per_Batch]*IFERROR(INDEX(PP_Grid[#Data],M_BOM[PPGridRow],29),0))+IFERROR(INDEX(M_RawMaterials[固定週次消費量_要入力],MATCH($A39,M_RawMaterials[Part Name],0)),0)</f>
        <v/>
      </c>
      <c r="AD39">
        <f>SUMPRODUCT((M_BOM[Part Name]=$A39)*M_BOM[RM_Qty_Per_Batch]*IFERROR(INDEX(PP_Grid[#Data],M_BOM[PPGridRow],30),0))+IFERROR(INDEX(M_RawMaterials[固定週次消費量_要入力],MATCH($A39,M_RawMaterials[Part Name],0)),0)</f>
        <v/>
      </c>
      <c r="AE39">
        <f>SUMPRODUCT((M_BOM[Part Name]=$A39)*M_BOM[RM_Qty_Per_Batch]*IFERROR(INDEX(PP_Grid[#Data],M_BOM[PPGridRow],31),0))+IFERROR(INDEX(M_RawMaterials[固定週次消費量_要入力],MATCH($A39,M_RawMaterials[Part Name],0)),0)</f>
        <v/>
      </c>
      <c r="AF39">
        <f>SUMPRODUCT((M_BOM[Part Name]=$A39)*M_BOM[RM_Qty_Per_Batch]*IFERROR(INDEX(PP_Grid[#Data],M_BOM[PPGridRow],32),0))+IFERROR(INDEX(M_RawMaterials[固定週次消費量_要入力],MATCH($A39,M_RawMaterials[Part Name],0)),0)</f>
        <v/>
      </c>
      <c r="AG39">
        <f>SUMPRODUCT((M_BOM[Part Name]=$A39)*M_BOM[RM_Qty_Per_Batch]*IFERROR(INDEX(PP_Grid[#Data],M_BOM[PPGridRow],33),0))+IFERROR(INDEX(M_RawMaterials[固定週次消費量_要入力],MATCH($A39,M_RawMaterials[Part Name],0)),0)</f>
        <v/>
      </c>
      <c r="AH39">
        <f>SUMPRODUCT((M_BOM[Part Name]=$A39)*M_BOM[RM_Qty_Per_Batch]*IFERROR(INDEX(PP_Grid[#Data],M_BOM[PPGridRow],34),0))+IFERROR(INDEX(M_RawMaterials[固定週次消費量_要入力],MATCH($A39,M_RawMaterials[Part Name],0)),0)</f>
        <v/>
      </c>
      <c r="AI39">
        <f>SUMPRODUCT((M_BOM[Part Name]=$A39)*M_BOM[RM_Qty_Per_Batch]*IFERROR(INDEX(PP_Grid[#Data],M_BOM[PPGridRow],35),0))+IFERROR(INDEX(M_RawMaterials[固定週次消費量_要入力],MATCH($A39,M_RawMaterials[Part Name],0)),0)</f>
        <v/>
      </c>
      <c r="AJ39">
        <f>SUMPRODUCT((M_BOM[Part Name]=$A39)*M_BOM[RM_Qty_Per_Batch]*IFERROR(INDEX(PP_Grid[#Data],M_BOM[PPGridRow],36),0))+IFERROR(INDEX(M_RawMaterials[固定週次消費量_要入力],MATCH($A39,M_RawMaterials[Part Name],0)),0)</f>
        <v/>
      </c>
      <c r="AK39">
        <f>SUMPRODUCT((M_BOM[Part Name]=$A39)*M_BOM[RM_Qty_Per_Batch]*IFERROR(INDEX(PP_Grid[#Data],M_BOM[PPGridRow],37),0))+IFERROR(INDEX(M_RawMaterials[固定週次消費量_要入力],MATCH($A39,M_RawMaterials[Part Name],0)),0)</f>
        <v/>
      </c>
      <c r="AL39">
        <f>SUMPRODUCT((M_BOM[Part Name]=$A39)*M_BOM[RM_Qty_Per_Batch]*IFERROR(INDEX(PP_Grid[#Data],M_BOM[PPGridRow],38),0))+IFERROR(INDEX(M_RawMaterials[固定週次消費量_要入力],MATCH($A39,M_RawMaterials[Part Name],0)),0)</f>
        <v/>
      </c>
      <c r="AM39">
        <f>SUMPRODUCT((M_BOM[Part Name]=$A39)*M_BOM[RM_Qty_Per_Batch]*IFERROR(INDEX(PP_Grid[#Data],M_BOM[PPGridRow],39),0))+IFERROR(INDEX(M_RawMaterials[固定週次消費量_要入力],MATCH($A39,M_RawMaterials[Part Name],0)),0)</f>
        <v/>
      </c>
      <c r="AN39">
        <f>SUMPRODUCT((M_BOM[Part Name]=$A39)*M_BOM[RM_Qty_Per_Batch]*IFERROR(INDEX(PP_Grid[#Data],M_BOM[PPGridRow],40),0))+IFERROR(INDEX(M_RawMaterials[固定週次消費量_要入力],MATCH($A39,M_RawMaterials[Part Name],0)),0)</f>
        <v/>
      </c>
      <c r="AO39">
        <f>SUMPRODUCT((M_BOM[Part Name]=$A39)*M_BOM[RM_Qty_Per_Batch]*IFERROR(INDEX(PP_Grid[#Data],M_BOM[PPGridRow],41),0))+IFERROR(INDEX(M_RawMaterials[固定週次消費量_要入力],MATCH($A39,M_RawMaterials[Part Name],0)),0)</f>
        <v/>
      </c>
      <c r="AP39">
        <f>SUMPRODUCT((M_BOM[Part Name]=$A39)*M_BOM[RM_Qty_Per_Batch]*IFERROR(INDEX(PP_Grid[#Data],M_BOM[PPGridRow],42),0))+IFERROR(INDEX(M_RawMaterials[固定週次消費量_要入力],MATCH($A39,M_RawMaterials[Part Name],0)),0)</f>
        <v/>
      </c>
      <c r="AQ39">
        <f>SUMPRODUCT((M_BOM[Part Name]=$A39)*M_BOM[RM_Qty_Per_Batch]*IFERROR(INDEX(PP_Grid[#Data],M_BOM[PPGridRow],43),0))+IFERROR(INDEX(M_RawMaterials[固定週次消費量_要入力],MATCH($A39,M_RawMaterials[Part Name],0)),0)</f>
        <v/>
      </c>
      <c r="AR39">
        <f>SUMPRODUCT((M_BOM[Part Name]=$A39)*M_BOM[RM_Qty_Per_Batch]*IFERROR(INDEX(PP_Grid[#Data],M_BOM[PPGridRow],44),0))+IFERROR(INDEX(M_RawMaterials[固定週次消費量_要入力],MATCH($A39,M_RawMaterials[Part Name],0)),0)</f>
        <v/>
      </c>
      <c r="AS39">
        <f>SUMPRODUCT((M_BOM[Part Name]=$A39)*M_BOM[RM_Qty_Per_Batch]*IFERROR(INDEX(PP_Grid[#Data],M_BOM[PPGridRow],45),0))+IFERROR(INDEX(M_RawMaterials[固定週次消費量_要入力],MATCH($A39,M_RawMaterials[Part Name],0)),0)</f>
        <v/>
      </c>
      <c r="AT39">
        <f>SUMPRODUCT((M_BOM[Part Name]=$A39)*M_BOM[RM_Qty_Per_Batch]*IFERROR(INDEX(PP_Grid[#Data],M_BOM[PPGridRow],46),0))+IFERROR(INDEX(M_RawMaterials[固定週次消費量_要入力],MATCH($A39,M_RawMaterials[Part Name],0)),0)</f>
        <v/>
      </c>
      <c r="AU39">
        <f>SUMPRODUCT((M_BOM[Part Name]=$A39)*M_BOM[RM_Qty_Per_Batch]*IFERROR(INDEX(PP_Grid[#Data],M_BOM[PPGridRow],47),0))+IFERROR(INDEX(M_RawMaterials[固定週次消費量_要入力],MATCH($A39,M_RawMaterials[Part Name],0)),0)</f>
        <v/>
      </c>
      <c r="AV39">
        <f>SUMPRODUCT((M_BOM[Part Name]=$A39)*M_BOM[RM_Qty_Per_Batch]*IFERROR(INDEX(PP_Grid[#Data],M_BOM[PPGridRow],48),0))+IFERROR(INDEX(M_RawMaterials[固定週次消費量_要入力],MATCH($A39,M_RawMaterials[Part Name],0)),0)</f>
        <v/>
      </c>
      <c r="AW39">
        <f>SUMPRODUCT((M_BOM[Part Name]=$A39)*M_BOM[RM_Qty_Per_Batch]*IFERROR(INDEX(PP_Grid[#Data],M_BOM[PPGridRow],49),0))+IFERROR(INDEX(M_RawMaterials[固定週次消費量_要入力],MATCH($A39,M_RawMaterials[Part Name],0)),0)</f>
        <v/>
      </c>
      <c r="AX39">
        <f>SUMPRODUCT((M_BOM[Part Name]=$A39)*M_BOM[RM_Qty_Per_Batch]*IFERROR(INDEX(PP_Grid[#Data],M_BOM[PPGridRow],50),0))+IFERROR(INDEX(M_RawMaterials[固定週次消費量_要入力],MATCH($A39,M_RawMaterials[Part Name],0)),0)</f>
        <v/>
      </c>
      <c r="AY39">
        <f>SUMPRODUCT((M_BOM[Part Name]=$A39)*M_BOM[RM_Qty_Per_Batch]*IFERROR(INDEX(PP_Grid[#Data],M_BOM[PPGridRow],51),0))+IFERROR(INDEX(M_RawMaterials[固定週次消費量_要入力],MATCH($A39,M_RawMaterials[Part Name],0)),0)</f>
        <v/>
      </c>
      <c r="AZ39">
        <f>SUMPRODUCT((M_BOM[Part Name]=$A39)*M_BOM[RM_Qty_Per_Batch]*IFERROR(INDEX(PP_Grid[#Data],M_BOM[PPGridRow],52),0))+IFERROR(INDEX(M_RawMaterials[固定週次消費量_要入力],MATCH($A39,M_RawMaterials[Part Name],0)),0)</f>
        <v/>
      </c>
      <c r="BA39">
        <f>SUMPRODUCT((M_BOM[Part Name]=$A39)*M_BOM[RM_Qty_Per_Batch]*IFERROR(INDEX(PP_Grid[#Data],M_BOM[PPGridRow],53),0))+IFERROR(INDEX(M_RawMaterials[固定週次消費量_要入力],MATCH($A39,M_RawMaterials[Part Name],0)),0)</f>
        <v/>
      </c>
      <c r="BB39">
        <f>SUMPRODUCT((M_BOM[Part Name]=$A39)*M_BOM[RM_Qty_Per_Batch]*IFERROR(INDEX(PP_Grid[#Data],M_BOM[PPGridRow],54),0))+IFERROR(INDEX(M_RawMaterials[固定週次消費量_要入力],MATCH($A39,M_RawMaterials[Part Name],0)),0)</f>
        <v/>
      </c>
      <c r="BC39">
        <f>SUMPRODUCT((M_BOM[Part Name]=$A39)*M_BOM[RM_Qty_Per_Batch]*IFERROR(INDEX(PP_Grid[#Data],M_BOM[PPGridRow],55),0))+IFERROR(INDEX(M_RawMaterials[固定週次消費量_要入力],MATCH($A39,M_RawMaterials[Part Name],0)),0)</f>
        <v/>
      </c>
      <c r="BD39">
        <f>SUMPRODUCT((M_BOM[Part Name]=$A39)*M_BOM[RM_Qty_Per_Batch]*IFERROR(INDEX(PP_Grid[#Data],M_BOM[PPGridRow],56),0))+IFERROR(INDEX(M_RawMaterials[固定週次消費量_要入力],MATCH($A39,M_RawMaterials[Part Name],0)),0)</f>
        <v/>
      </c>
      <c r="BE39">
        <f>SUMPRODUCT((M_BOM[Part Name]=$A39)*M_BOM[RM_Qty_Per_Batch]*IFERROR(INDEX(PP_Grid[#Data],M_BOM[PPGridRow],57),0))+IFERROR(INDEX(M_RawMaterials[固定週次消費量_要入力],MATCH($A39,M_RawMaterials[Part Name],0)),0)</f>
        <v/>
      </c>
      <c r="BF39">
        <f>SUMPRODUCT((M_BOM[Part Name]=$A39)*M_BOM[RM_Qty_Per_Batch]*IFERROR(INDEX(PP_Grid[#Data],M_BOM[PPGridRow],58),0))+IFERROR(INDEX(M_RawMaterials[固定週次消費量_要入力],MATCH($A39,M_RawMaterials[Part Name],0)),0)</f>
        <v/>
      </c>
      <c r="BG39">
        <f>SUMPRODUCT((M_BOM[Part Name]=$A39)*M_BOM[RM_Qty_Per_Batch]*IFERROR(INDEX(PP_Grid[#Data],M_BOM[PPGridRow],59),0))+IFERROR(INDEX(M_RawMaterials[固定週次消費量_要入力],MATCH($A39,M_RawMaterials[Part Name],0)),0)</f>
        <v/>
      </c>
      <c r="BH39">
        <f>SUMPRODUCT((M_BOM[Part Name]=$A39)*M_BOM[RM_Qty_Per_Batch]*IFERROR(INDEX(PP_Grid[#Data],M_BOM[PPGridRow],60),0))+IFERROR(INDEX(M_RawMaterials[固定週次消費量_要入力],MATCH($A39,M_RawMaterials[Part Name],0)),0)</f>
        <v/>
      </c>
      <c r="BI39">
        <f>SUMPRODUCT((M_BOM[Part Name]=$A39)*M_BOM[RM_Qty_Per_Batch]*IFERROR(INDEX(PP_Grid[#Data],M_BOM[PPGridRow],61),0))+IFERROR(INDEX(M_RawMaterials[固定週次消費量_要入力],MATCH($A39,M_RawMaterials[Part Name],0)),0)</f>
        <v/>
      </c>
      <c r="BJ39">
        <f>SUMPRODUCT((M_BOM[Part Name]=$A39)*M_BOM[RM_Qty_Per_Batch]*IFERROR(INDEX(PP_Grid[#Data],M_BOM[PPGridRow],62),0))+IFERROR(INDEX(M_RawMaterials[固定週次消費量_要入力],MATCH($A39,M_RawMaterials[Part Name],0)),0)</f>
        <v/>
      </c>
      <c r="BK39">
        <f>SUMPRODUCT((M_BOM[Part Name]=$A39)*M_BOM[RM_Qty_Per_Batch]*IFERROR(INDEX(PP_Grid[#Data],M_BOM[PPGridRow],63),0))+IFERROR(INDEX(M_RawMaterials[固定週次消費量_要入力],MATCH($A39,M_RawMaterials[Part Name],0)),0)</f>
        <v/>
      </c>
      <c r="BL39">
        <f>SUMPRODUCT((M_BOM[Part Name]=$A39)*M_BOM[RM_Qty_Per_Batch]*IFERROR(INDEX(PP_Grid[#Data],M_BOM[PPGridRow],64),0))+IFERROR(INDEX(M_RawMaterials[固定週次消費量_要入力],MATCH($A39,M_RawMaterials[Part Name],0)),0)</f>
        <v/>
      </c>
      <c r="BM39">
        <f>SUMPRODUCT((M_BOM[Part Name]=$A39)*M_BOM[RM_Qty_Per_Batch]*IFERROR(INDEX(PP_Grid[#Data],M_BOM[PPGridRow],65),0))+IFERROR(INDEX(M_RawMaterials[固定週次消費量_要入力],MATCH($A39,M_RawMaterials[Part Name],0)),0)</f>
        <v/>
      </c>
      <c r="BN39">
        <f>SUMPRODUCT((M_BOM[Part Name]=$A39)*M_BOM[RM_Qty_Per_Batch]*IFERROR(INDEX(PP_Grid[#Data],M_BOM[PPGridRow],66),0))+IFERROR(INDEX(M_RawMaterials[固定週次消費量_要入力],MATCH($A39,M_RawMaterials[Part Name],0)),0)</f>
        <v/>
      </c>
      <c r="BO39">
        <f>SUMPRODUCT((M_BOM[Part Name]=$A39)*M_BOM[RM_Qty_Per_Batch]*IFERROR(INDEX(PP_Grid[#Data],M_BOM[PPGridRow],67),0))+IFERROR(INDEX(M_RawMaterials[固定週次消費量_要入力],MATCH($A39,M_RawMaterials[Part Name],0)),0)</f>
        <v/>
      </c>
      <c r="BP39">
        <f>SUMPRODUCT((M_BOM[Part Name]=$A39)*M_BOM[RM_Qty_Per_Batch]*IFERROR(INDEX(PP_Grid[#Data],M_BOM[PPGridRow],68),0))+IFERROR(INDEX(M_RawMaterials[固定週次消費量_要入力],MATCH($A39,M_RawMaterials[Part Name],0)),0)</f>
        <v/>
      </c>
      <c r="BQ39">
        <f>SUMPRODUCT((M_BOM[Part Name]=$A39)*M_BOM[RM_Qty_Per_Batch]*IFERROR(INDEX(PP_Grid[#Data],M_BOM[PPGridRow],69),0))+IFERROR(INDEX(M_RawMaterials[固定週次消費量_要入力],MATCH($A39,M_RawMaterials[Part Name],0)),0)</f>
        <v/>
      </c>
      <c r="BR39">
        <f>SUMPRODUCT((M_BOM[Part Name]=$A39)*M_BOM[RM_Qty_Per_Batch]*IFERROR(INDEX(PP_Grid[#Data],M_BOM[PPGridRow],70),0))+IFERROR(INDEX(M_RawMaterials[固定週次消費量_要入力],MATCH($A39,M_RawMaterials[Part Name],0)),0)</f>
        <v/>
      </c>
      <c r="BS39">
        <f>SUMPRODUCT((M_BOM[Part Name]=$A39)*M_BOM[RM_Qty_Per_Batch]*IFERROR(INDEX(PP_Grid[#Data],M_BOM[PPGridRow],71),0))+IFERROR(INDEX(M_RawMaterials[固定週次消費量_要入力],MATCH($A39,M_RawMaterials[Part Name],0)),0)</f>
        <v/>
      </c>
      <c r="BT39">
        <f>SUMPRODUCT((M_BOM[Part Name]=$A39)*M_BOM[RM_Qty_Per_Batch]*IFERROR(INDEX(PP_Grid[#Data],M_BOM[PPGridRow],72),0))+IFERROR(INDEX(M_RawMaterials[固定週次消費量_要入力],MATCH($A39,M_RawMaterials[Part Name],0)),0)</f>
        <v/>
      </c>
      <c r="BU39">
        <f>SUMPRODUCT((M_BOM[Part Name]=$A39)*M_BOM[RM_Qty_Per_Batch]*IFERROR(INDEX(PP_Grid[#Data],M_BOM[PPGridRow],73),0))+IFERROR(INDEX(M_RawMaterials[固定週次消費量_要入力],MATCH($A39,M_RawMaterials[Part Name],0)),0)</f>
        <v/>
      </c>
      <c r="BV39">
        <f>SUMPRODUCT((M_BOM[Part Name]=$A39)*M_BOM[RM_Qty_Per_Batch]*IFERROR(INDEX(PP_Grid[#Data],M_BOM[PPGridRow],74),0))+IFERROR(INDEX(M_RawMaterials[固定週次消費量_要入力],MATCH($A39,M_RawMaterials[Part Name],0)),0)</f>
        <v/>
      </c>
      <c r="BW39">
        <f>SUMPRODUCT((M_BOM[Part Name]=$A39)*M_BOM[RM_Qty_Per_Batch]*IFERROR(INDEX(PP_Grid[#Data],M_BOM[PPGridRow],75),0))+IFERROR(INDEX(M_RawMaterials[固定週次消費量_要入力],MATCH($A39,M_RawMaterials[Part Name],0)),0)</f>
        <v/>
      </c>
      <c r="BX39">
        <f>SUMPRODUCT((M_BOM[Part Name]=$A39)*M_BOM[RM_Qty_Per_Batch]*IFERROR(INDEX(PP_Grid[#Data],M_BOM[PPGridRow],76),0))+IFERROR(INDEX(M_RawMaterials[固定週次消費量_要入力],MATCH($A39,M_RawMaterials[Part Name],0)),0)</f>
        <v/>
      </c>
      <c r="BY39">
        <f>SUMPRODUCT((M_BOM[Part Name]=$A39)*M_BOM[RM_Qty_Per_Batch]*IFERROR(INDEX(PP_Grid[#Data],M_BOM[PPGridRow],77),0))+IFERROR(INDEX(M_RawMaterials[固定週次消費量_要入力],MATCH($A39,M_RawMaterials[Part Name],0)),0)</f>
        <v/>
      </c>
      <c r="BZ39">
        <f>SUMPRODUCT((M_BOM[Part Name]=$A39)*M_BOM[RM_Qty_Per_Batch]*IFERROR(INDEX(PP_Grid[#Data],M_BOM[PPGridRow],78),0))+IFERROR(INDEX(M_RawMaterials[固定週次消費量_要入力],MATCH($A39,M_RawMaterials[Part Name],0)),0)</f>
        <v/>
      </c>
      <c r="CA39">
        <f>SUMPRODUCT((M_BOM[Part Name]=$A39)*M_BOM[RM_Qty_Per_Batch]*IFERROR(INDEX(PP_Grid[#Data],M_BOM[PPGridRow],79),0))+IFERROR(INDEX(M_RawMaterials[固定週次消費量_要入力],MATCH($A39,M_RawMaterials[Part Name],0)),0)</f>
        <v/>
      </c>
      <c r="CB39">
        <f>SUMPRODUCT((M_BOM[Part Name]=$A39)*M_BOM[RM_Qty_Per_Batch]*IFERROR(INDEX(PP_Grid[#Data],M_BOM[PPGridRow],80),0))+IFERROR(INDEX(M_RawMaterials[固定週次消費量_要入力],MATCH($A39,M_RawMaterials[Part Name],0)),0)</f>
        <v/>
      </c>
      <c r="CC39">
        <f>SUMPRODUCT((M_BOM[Part Name]=$A39)*M_BOM[RM_Qty_Per_Batch]*IFERROR(INDEX(PP_Grid[#Data],M_BOM[PPGridRow],81),0))+IFERROR(INDEX(M_RawMaterials[固定週次消費量_要入力],MATCH($A39,M_RawMaterials[Part Name],0)),0)</f>
        <v/>
      </c>
      <c r="CD39">
        <f>SUMPRODUCT((M_BOM[Part Name]=$A39)*M_BOM[RM_Qty_Per_Batch]*IFERROR(INDEX(PP_Grid[#Data],M_BOM[PPGridRow],82),0))+IFERROR(INDEX(M_RawMaterials[固定週次消費量_要入力],MATCH($A39,M_RawMaterials[Part Name],0)),0)</f>
        <v/>
      </c>
      <c r="CE39">
        <f>SUMPRODUCT((M_BOM[Part Name]=$A39)*M_BOM[RM_Qty_Per_Batch]*IFERROR(INDEX(PP_Grid[#Data],M_BOM[PPGridRow],83),0))+IFERROR(INDEX(M_RawMaterials[固定週次消費量_要入力],MATCH($A39,M_RawMaterials[Part Name],0)),0)</f>
        <v/>
      </c>
      <c r="CF39">
        <f>SUMPRODUCT((M_BOM[Part Name]=$A39)*M_BOM[RM_Qty_Per_Batch]*IFERROR(INDEX(PP_Grid[#Data],M_BOM[PPGridRow],84),0))+IFERROR(INDEX(M_RawMaterials[固定週次消費量_要入力],MATCH($A39,M_RawMaterials[Part Name],0)),0)</f>
        <v/>
      </c>
      <c r="CG39">
        <f>SUMPRODUCT((M_BOM[Part Name]=$A39)*M_BOM[RM_Qty_Per_Batch]*IFERROR(INDEX(PP_Grid[#Data],M_BOM[PPGridRow],85),0))+IFERROR(INDEX(M_RawMaterials[固定週次消費量_要入力],MATCH($A39,M_RawMaterials[Part Name],0)),0)</f>
        <v/>
      </c>
      <c r="CH39">
        <f>SUMPRODUCT((M_BOM[Part Name]=$A39)*M_BOM[RM_Qty_Per_Batch]*IFERROR(INDEX(PP_Grid[#Data],M_BOM[PPGridRow],86),0))+IFERROR(INDEX(M_RawMaterials[固定週次消費量_要入力],MATCH($A39,M_RawMaterials[Part Name],0)),0)</f>
        <v/>
      </c>
      <c r="CI39">
        <f>SUMPRODUCT((M_BOM[Part Name]=$A39)*M_BOM[RM_Qty_Per_Batch]*IFERROR(INDEX(PP_Grid[#Data],M_BOM[PPGridRow],87),0))+IFERROR(INDEX(M_RawMaterials[固定週次消費量_要入力],MATCH($A39,M_RawMaterials[Part Name],0)),0)</f>
        <v/>
      </c>
      <c r="CJ39">
        <f>SUMPRODUCT((M_BOM[Part Name]=$A39)*M_BOM[RM_Qty_Per_Batch]*IFERROR(INDEX(PP_Grid[#Data],M_BOM[PPGridRow],88),0))+IFERROR(INDEX(M_RawMaterials[固定週次消費量_要入力],MATCH($A39,M_RawMaterials[Part Name],0)),0)</f>
        <v/>
      </c>
      <c r="CK39">
        <f>SUMPRODUCT((M_BOM[Part Name]=$A39)*M_BOM[RM_Qty_Per_Batch]*IFERROR(INDEX(PP_Grid[#Data],M_BOM[PPGridRow],89),0))+IFERROR(INDEX(M_RawMaterials[固定週次消費量_要入力],MATCH($A39,M_RawMaterials[Part Name],0)),0)</f>
        <v/>
      </c>
      <c r="CL39">
        <f>SUMPRODUCT((M_BOM[Part Name]=$A39)*M_BOM[RM_Qty_Per_Batch]*IFERROR(INDEX(PP_Grid[#Data],M_BOM[PPGridRow],90),0))+IFERROR(INDEX(M_RawMaterials[固定週次消費量_要入力],MATCH($A39,M_RawMaterials[Part Name],0)),0)</f>
        <v/>
      </c>
      <c r="CM39">
        <f>SUMPRODUCT((M_BOM[Part Name]=$A39)*M_BOM[RM_Qty_Per_Batch]*IFERROR(INDEX(PP_Grid[#Data],M_BOM[PPGridRow],91),0))+IFERROR(INDEX(M_RawMaterials[固定週次消費量_要入力],MATCH($A39,M_RawMaterials[Part Name],0)),0)</f>
        <v/>
      </c>
      <c r="CN39">
        <f>SUMPRODUCT((M_BOM[Part Name]=$A39)*M_BOM[RM_Qty_Per_Batch]*IFERROR(INDEX(PP_Grid[#Data],M_BOM[PPGridRow],92),0))+IFERROR(INDEX(M_RawMaterials[固定週次消費量_要入力],MATCH($A39,M_RawMaterials[Part Name],0)),0)</f>
        <v/>
      </c>
      <c r="CO39">
        <f>SUMPRODUCT((M_BOM[Part Name]=$A39)*M_BOM[RM_Qty_Per_Batch]*IFERROR(INDEX(PP_Grid[#Data],M_BOM[PPGridRow],93),0))+IFERROR(INDEX(M_RawMaterials[固定週次消費量_要入力],MATCH($A39,M_RawMaterials[Part Name],0)),0)</f>
        <v/>
      </c>
      <c r="CP39">
        <f>SUMPRODUCT((M_BOM[Part Name]=$A39)*M_BOM[RM_Qty_Per_Batch]*IFERROR(INDEX(PP_Grid[#Data],M_BOM[PPGridRow],94),0))+IFERROR(INDEX(M_RawMaterials[固定週次消費量_要入力],MATCH($A39,M_RawMaterials[Part Name],0)),0)</f>
        <v/>
      </c>
      <c r="CQ39">
        <f>SUMPRODUCT((M_BOM[Part Name]=$A39)*M_BOM[RM_Qty_Per_Batch]*IFERROR(INDEX(PP_Grid[#Data],M_BOM[PPGridRow],95),0))+IFERROR(INDEX(M_RawMaterials[固定週次消費量_要入力],MATCH($A39,M_RawMaterials[Part Name],0)),0)</f>
        <v/>
      </c>
      <c r="CR39">
        <f>SUMPRODUCT((M_BOM[Part Name]=$A39)*M_BOM[RM_Qty_Per_Batch]*IFERROR(INDEX(PP_Grid[#Data],M_BOM[PPGridRow],96),0))+IFERROR(INDEX(M_RawMaterials[固定週次消費量_要入力],MATCH($A39,M_RawMaterials[Part Name],0)),0)</f>
        <v/>
      </c>
      <c r="CS39">
        <f>SUMPRODUCT((M_BOM[Part Name]=$A39)*M_BOM[RM_Qty_Per_Batch]*IFERROR(INDEX(PP_Grid[#Data],M_BOM[PPGridRow],97),0))+IFERROR(INDEX(M_RawMaterials[固定週次消費量_要入力],MATCH($A39,M_RawMaterials[Part Name],0)),0)</f>
        <v/>
      </c>
      <c r="CT39">
        <f>SUMPRODUCT((M_BOM[Part Name]=$A39)*M_BOM[RM_Qty_Per_Batch]*IFERROR(INDEX(PP_Grid[#Data],M_BOM[PPGridRow],98),0))+IFERROR(INDEX(M_RawMaterials[固定週次消費量_要入力],MATCH($A39,M_RawMaterials[Part Name],0)),0)</f>
        <v/>
      </c>
      <c r="CU39">
        <f>SUMPRODUCT((M_BOM[Part Name]=$A39)*M_BOM[RM_Qty_Per_Batch]*IFERROR(INDEX(PP_Grid[#Data],M_BOM[PPGridRow],99),0))+IFERROR(INDEX(M_RawMaterials[固定週次消費量_要入力],MATCH($A39,M_RawMaterials[Part Name],0)),0)</f>
        <v/>
      </c>
      <c r="CV39">
        <f>SUMPRODUCT((M_BOM[Part Name]=$A39)*M_BOM[RM_Qty_Per_Batch]*IFERROR(INDEX(PP_Grid[#Data],M_BOM[PPGridRow],100),0))+IFERROR(INDEX(M_RawMaterials[固定週次消費量_要入力],MATCH($A39,M_RawMaterials[Part Name],0)),0)</f>
        <v/>
      </c>
      <c r="CW39">
        <f>SUMPRODUCT((M_BOM[Part Name]=$A39)*M_BOM[RM_Qty_Per_Batch]*IFERROR(INDEX(PP_Grid[#Data],M_BOM[PPGridRow],101),0))+IFERROR(INDEX(M_RawMaterials[固定週次消費量_要入力],MATCH($A39,M_RawMaterials[Part Name],0)),0)</f>
        <v/>
      </c>
      <c r="CX39">
        <f>SUMPRODUCT((M_BOM[Part Name]=$A39)*M_BOM[RM_Qty_Per_Batch]*IFERROR(INDEX(PP_Grid[#Data],M_BOM[PPGridRow],102),0))+IFERROR(INDEX(M_RawMaterials[固定週次消費量_要入力],MATCH($A39,M_RawMaterials[Part Name],0)),0)</f>
        <v/>
      </c>
      <c r="CY39">
        <f>SUMPRODUCT((M_BOM[Part Name]=$A39)*M_BOM[RM_Qty_Per_Batch]*IFERROR(INDEX(PP_Grid[#Data],M_BOM[PPGridRow],103),0))+IFERROR(INDEX(M_RawMaterials[固定週次消費量_要入力],MATCH($A39,M_RawMaterials[Part Name],0)),0)</f>
        <v/>
      </c>
      <c r="CZ39">
        <f>SUMPRODUCT((M_BOM[Part Name]=$A39)*M_BOM[RM_Qty_Per_Batch]*IFERROR(INDEX(PP_Grid[#Data],M_BOM[PPGridRow],104),0))+IFERROR(INDEX(M_RawMaterials[固定週次消費量_要入力],MATCH($A39,M_RawMaterials[Part Name],0)),0)</f>
        <v/>
      </c>
      <c r="DA39">
        <f>SUMPRODUCT((M_BOM[Part Name]=$A39)*M_BOM[RM_Qty_Per_Batch]*IFERROR(INDEX(PP_Grid[#Data],M_BOM[PPGridRow],105),0))+IFERROR(INDEX(M_RawMaterials[固定週次消費量_要入力],MATCH($A39,M_RawMaterials[Part Name],0)),0)</f>
        <v/>
      </c>
    </row>
    <row r="40">
      <c r="A40" t="inlineStr">
        <is>
          <t>CHEM-1680</t>
        </is>
      </c>
      <c r="B40">
        <f>SUMPRODUCT((M_BOM[Part Name]=$A40)*M_BOM[RM_Qty_Per_Batch]*IFERROR(INDEX(PP_Grid[#Data],M_BOM[PPGridRow],2),0))+IFERROR(INDEX(M_RawMaterials[固定週次消費量_要入力],MATCH($A40,M_RawMaterials[Part Name],0)),0)</f>
        <v/>
      </c>
      <c r="C40">
        <f>SUMPRODUCT((M_BOM[Part Name]=$A40)*M_BOM[RM_Qty_Per_Batch]*IFERROR(INDEX(PP_Grid[#Data],M_BOM[PPGridRow],3),0))+IFERROR(INDEX(M_RawMaterials[固定週次消費量_要入力],MATCH($A40,M_RawMaterials[Part Name],0)),0)</f>
        <v/>
      </c>
      <c r="D40">
        <f>SUMPRODUCT((M_BOM[Part Name]=$A40)*M_BOM[RM_Qty_Per_Batch]*IFERROR(INDEX(PP_Grid[#Data],M_BOM[PPGridRow],4),0))+IFERROR(INDEX(M_RawMaterials[固定週次消費量_要入力],MATCH($A40,M_RawMaterials[Part Name],0)),0)</f>
        <v/>
      </c>
      <c r="E40">
        <f>SUMPRODUCT((M_BOM[Part Name]=$A40)*M_BOM[RM_Qty_Per_Batch]*IFERROR(INDEX(PP_Grid[#Data],M_BOM[PPGridRow],5),0))+IFERROR(INDEX(M_RawMaterials[固定週次消費量_要入力],MATCH($A40,M_RawMaterials[Part Name],0)),0)</f>
        <v/>
      </c>
      <c r="F40">
        <f>SUMPRODUCT((M_BOM[Part Name]=$A40)*M_BOM[RM_Qty_Per_Batch]*IFERROR(INDEX(PP_Grid[#Data],M_BOM[PPGridRow],6),0))+IFERROR(INDEX(M_RawMaterials[固定週次消費量_要入力],MATCH($A40,M_RawMaterials[Part Name],0)),0)</f>
        <v/>
      </c>
      <c r="G40">
        <f>SUMPRODUCT((M_BOM[Part Name]=$A40)*M_BOM[RM_Qty_Per_Batch]*IFERROR(INDEX(PP_Grid[#Data],M_BOM[PPGridRow],7),0))+IFERROR(INDEX(M_RawMaterials[固定週次消費量_要入力],MATCH($A40,M_RawMaterials[Part Name],0)),0)</f>
        <v/>
      </c>
      <c r="H40">
        <f>SUMPRODUCT((M_BOM[Part Name]=$A40)*M_BOM[RM_Qty_Per_Batch]*IFERROR(INDEX(PP_Grid[#Data],M_BOM[PPGridRow],8),0))+IFERROR(INDEX(M_RawMaterials[固定週次消費量_要入力],MATCH($A40,M_RawMaterials[Part Name],0)),0)</f>
        <v/>
      </c>
      <c r="I40">
        <f>SUMPRODUCT((M_BOM[Part Name]=$A40)*M_BOM[RM_Qty_Per_Batch]*IFERROR(INDEX(PP_Grid[#Data],M_BOM[PPGridRow],9),0))+IFERROR(INDEX(M_RawMaterials[固定週次消費量_要入力],MATCH($A40,M_RawMaterials[Part Name],0)),0)</f>
        <v/>
      </c>
      <c r="J40">
        <f>SUMPRODUCT((M_BOM[Part Name]=$A40)*M_BOM[RM_Qty_Per_Batch]*IFERROR(INDEX(PP_Grid[#Data],M_BOM[PPGridRow],10),0))+IFERROR(INDEX(M_RawMaterials[固定週次消費量_要入力],MATCH($A40,M_RawMaterials[Part Name],0)),0)</f>
        <v/>
      </c>
      <c r="K40">
        <f>SUMPRODUCT((M_BOM[Part Name]=$A40)*M_BOM[RM_Qty_Per_Batch]*IFERROR(INDEX(PP_Grid[#Data],M_BOM[PPGridRow],11),0))+IFERROR(INDEX(M_RawMaterials[固定週次消費量_要入力],MATCH($A40,M_RawMaterials[Part Name],0)),0)</f>
        <v/>
      </c>
      <c r="L40">
        <f>SUMPRODUCT((M_BOM[Part Name]=$A40)*M_BOM[RM_Qty_Per_Batch]*IFERROR(INDEX(PP_Grid[#Data],M_BOM[PPGridRow],12),0))+IFERROR(INDEX(M_RawMaterials[固定週次消費量_要入力],MATCH($A40,M_RawMaterials[Part Name],0)),0)</f>
        <v/>
      </c>
      <c r="M40">
        <f>SUMPRODUCT((M_BOM[Part Name]=$A40)*M_BOM[RM_Qty_Per_Batch]*IFERROR(INDEX(PP_Grid[#Data],M_BOM[PPGridRow],13),0))+IFERROR(INDEX(M_RawMaterials[固定週次消費量_要入力],MATCH($A40,M_RawMaterials[Part Name],0)),0)</f>
        <v/>
      </c>
      <c r="N40">
        <f>SUMPRODUCT((M_BOM[Part Name]=$A40)*M_BOM[RM_Qty_Per_Batch]*IFERROR(INDEX(PP_Grid[#Data],M_BOM[PPGridRow],14),0))+IFERROR(INDEX(M_RawMaterials[固定週次消費量_要入力],MATCH($A40,M_RawMaterials[Part Name],0)),0)</f>
        <v/>
      </c>
      <c r="O40">
        <f>SUMPRODUCT((M_BOM[Part Name]=$A40)*M_BOM[RM_Qty_Per_Batch]*IFERROR(INDEX(PP_Grid[#Data],M_BOM[PPGridRow],15),0))+IFERROR(INDEX(M_RawMaterials[固定週次消費量_要入力],MATCH($A40,M_RawMaterials[Part Name],0)),0)</f>
        <v/>
      </c>
      <c r="P40">
        <f>SUMPRODUCT((M_BOM[Part Name]=$A40)*M_BOM[RM_Qty_Per_Batch]*IFERROR(INDEX(PP_Grid[#Data],M_BOM[PPGridRow],16),0))+IFERROR(INDEX(M_RawMaterials[固定週次消費量_要入力],MATCH($A40,M_RawMaterials[Part Name],0)),0)</f>
        <v/>
      </c>
      <c r="Q40">
        <f>SUMPRODUCT((M_BOM[Part Name]=$A40)*M_BOM[RM_Qty_Per_Batch]*IFERROR(INDEX(PP_Grid[#Data],M_BOM[PPGridRow],17),0))+IFERROR(INDEX(M_RawMaterials[固定週次消費量_要入力],MATCH($A40,M_RawMaterials[Part Name],0)),0)</f>
        <v/>
      </c>
      <c r="R40">
        <f>SUMPRODUCT((M_BOM[Part Name]=$A40)*M_BOM[RM_Qty_Per_Batch]*IFERROR(INDEX(PP_Grid[#Data],M_BOM[PPGridRow],18),0))+IFERROR(INDEX(M_RawMaterials[固定週次消費量_要入力],MATCH($A40,M_RawMaterials[Part Name],0)),0)</f>
        <v/>
      </c>
      <c r="S40">
        <f>SUMPRODUCT((M_BOM[Part Name]=$A40)*M_BOM[RM_Qty_Per_Batch]*IFERROR(INDEX(PP_Grid[#Data],M_BOM[PPGridRow],19),0))+IFERROR(INDEX(M_RawMaterials[固定週次消費量_要入力],MATCH($A40,M_RawMaterials[Part Name],0)),0)</f>
        <v/>
      </c>
      <c r="T40">
        <f>SUMPRODUCT((M_BOM[Part Name]=$A40)*M_BOM[RM_Qty_Per_Batch]*IFERROR(INDEX(PP_Grid[#Data],M_BOM[PPGridRow],20),0))+IFERROR(INDEX(M_RawMaterials[固定週次消費量_要入力],MATCH($A40,M_RawMaterials[Part Name],0)),0)</f>
        <v/>
      </c>
      <c r="U40">
        <f>SUMPRODUCT((M_BOM[Part Name]=$A40)*M_BOM[RM_Qty_Per_Batch]*IFERROR(INDEX(PP_Grid[#Data],M_BOM[PPGridRow],21),0))+IFERROR(INDEX(M_RawMaterials[固定週次消費量_要入力],MATCH($A40,M_RawMaterials[Part Name],0)),0)</f>
        <v/>
      </c>
      <c r="V40">
        <f>SUMPRODUCT((M_BOM[Part Name]=$A40)*M_BOM[RM_Qty_Per_Batch]*IFERROR(INDEX(PP_Grid[#Data],M_BOM[PPGridRow],22),0))+IFERROR(INDEX(M_RawMaterials[固定週次消費量_要入力],MATCH($A40,M_RawMaterials[Part Name],0)),0)</f>
        <v/>
      </c>
      <c r="W40">
        <f>SUMPRODUCT((M_BOM[Part Name]=$A40)*M_BOM[RM_Qty_Per_Batch]*IFERROR(INDEX(PP_Grid[#Data],M_BOM[PPGridRow],23),0))+IFERROR(INDEX(M_RawMaterials[固定週次消費量_要入力],MATCH($A40,M_RawMaterials[Part Name],0)),0)</f>
        <v/>
      </c>
      <c r="X40">
        <f>SUMPRODUCT((M_BOM[Part Name]=$A40)*M_BOM[RM_Qty_Per_Batch]*IFERROR(INDEX(PP_Grid[#Data],M_BOM[PPGridRow],24),0))+IFERROR(INDEX(M_RawMaterials[固定週次消費量_要入力],MATCH($A40,M_RawMaterials[Part Name],0)),0)</f>
        <v/>
      </c>
      <c r="Y40">
        <f>SUMPRODUCT((M_BOM[Part Name]=$A40)*M_BOM[RM_Qty_Per_Batch]*IFERROR(INDEX(PP_Grid[#Data],M_BOM[PPGridRow],25),0))+IFERROR(INDEX(M_RawMaterials[固定週次消費量_要入力],MATCH($A40,M_RawMaterials[Part Name],0)),0)</f>
        <v/>
      </c>
      <c r="Z40">
        <f>SUMPRODUCT((M_BOM[Part Name]=$A40)*M_BOM[RM_Qty_Per_Batch]*IFERROR(INDEX(PP_Grid[#Data],M_BOM[PPGridRow],26),0))+IFERROR(INDEX(M_RawMaterials[固定週次消費量_要入力],MATCH($A40,M_RawMaterials[Part Name],0)),0)</f>
        <v/>
      </c>
      <c r="AA40">
        <f>SUMPRODUCT((M_BOM[Part Name]=$A40)*M_BOM[RM_Qty_Per_Batch]*IFERROR(INDEX(PP_Grid[#Data],M_BOM[PPGridRow],27),0))+IFERROR(INDEX(M_RawMaterials[固定週次消費量_要入力],MATCH($A40,M_RawMaterials[Part Name],0)),0)</f>
        <v/>
      </c>
      <c r="AB40">
        <f>SUMPRODUCT((M_BOM[Part Name]=$A40)*M_BOM[RM_Qty_Per_Batch]*IFERROR(INDEX(PP_Grid[#Data],M_BOM[PPGridRow],28),0))+IFERROR(INDEX(M_RawMaterials[固定週次消費量_要入力],MATCH($A40,M_RawMaterials[Part Name],0)),0)</f>
        <v/>
      </c>
      <c r="AC40">
        <f>SUMPRODUCT((M_BOM[Part Name]=$A40)*M_BOM[RM_Qty_Per_Batch]*IFERROR(INDEX(PP_Grid[#Data],M_BOM[PPGridRow],29),0))+IFERROR(INDEX(M_RawMaterials[固定週次消費量_要入力],MATCH($A40,M_RawMaterials[Part Name],0)),0)</f>
        <v/>
      </c>
      <c r="AD40">
        <f>SUMPRODUCT((M_BOM[Part Name]=$A40)*M_BOM[RM_Qty_Per_Batch]*IFERROR(INDEX(PP_Grid[#Data],M_BOM[PPGridRow],30),0))+IFERROR(INDEX(M_RawMaterials[固定週次消費量_要入力],MATCH($A40,M_RawMaterials[Part Name],0)),0)</f>
        <v/>
      </c>
      <c r="AE40">
        <f>SUMPRODUCT((M_BOM[Part Name]=$A40)*M_BOM[RM_Qty_Per_Batch]*IFERROR(INDEX(PP_Grid[#Data],M_BOM[PPGridRow],31),0))+IFERROR(INDEX(M_RawMaterials[固定週次消費量_要入力],MATCH($A40,M_RawMaterials[Part Name],0)),0)</f>
        <v/>
      </c>
      <c r="AF40">
        <f>SUMPRODUCT((M_BOM[Part Name]=$A40)*M_BOM[RM_Qty_Per_Batch]*IFERROR(INDEX(PP_Grid[#Data],M_BOM[PPGridRow],32),0))+IFERROR(INDEX(M_RawMaterials[固定週次消費量_要入力],MATCH($A40,M_RawMaterials[Part Name],0)),0)</f>
        <v/>
      </c>
      <c r="AG40">
        <f>SUMPRODUCT((M_BOM[Part Name]=$A40)*M_BOM[RM_Qty_Per_Batch]*IFERROR(INDEX(PP_Grid[#Data],M_BOM[PPGridRow],33),0))+IFERROR(INDEX(M_RawMaterials[固定週次消費量_要入力],MATCH($A40,M_RawMaterials[Part Name],0)),0)</f>
        <v/>
      </c>
      <c r="AH40">
        <f>SUMPRODUCT((M_BOM[Part Name]=$A40)*M_BOM[RM_Qty_Per_Batch]*IFERROR(INDEX(PP_Grid[#Data],M_BOM[PPGridRow],34),0))+IFERROR(INDEX(M_RawMaterials[固定週次消費量_要入力],MATCH($A40,M_RawMaterials[Part Name],0)),0)</f>
        <v/>
      </c>
      <c r="AI40">
        <f>SUMPRODUCT((M_BOM[Part Name]=$A40)*M_BOM[RM_Qty_Per_Batch]*IFERROR(INDEX(PP_Grid[#Data],M_BOM[PPGridRow],35),0))+IFERROR(INDEX(M_RawMaterials[固定週次消費量_要入力],MATCH($A40,M_RawMaterials[Part Name],0)),0)</f>
        <v/>
      </c>
      <c r="AJ40">
        <f>SUMPRODUCT((M_BOM[Part Name]=$A40)*M_BOM[RM_Qty_Per_Batch]*IFERROR(INDEX(PP_Grid[#Data],M_BOM[PPGridRow],36),0))+IFERROR(INDEX(M_RawMaterials[固定週次消費量_要入力],MATCH($A40,M_RawMaterials[Part Name],0)),0)</f>
        <v/>
      </c>
      <c r="AK40">
        <f>SUMPRODUCT((M_BOM[Part Name]=$A40)*M_BOM[RM_Qty_Per_Batch]*IFERROR(INDEX(PP_Grid[#Data],M_BOM[PPGridRow],37),0))+IFERROR(INDEX(M_RawMaterials[固定週次消費量_要入力],MATCH($A40,M_RawMaterials[Part Name],0)),0)</f>
        <v/>
      </c>
      <c r="AL40">
        <f>SUMPRODUCT((M_BOM[Part Name]=$A40)*M_BOM[RM_Qty_Per_Batch]*IFERROR(INDEX(PP_Grid[#Data],M_BOM[PPGridRow],38),0))+IFERROR(INDEX(M_RawMaterials[固定週次消費量_要入力],MATCH($A40,M_RawMaterials[Part Name],0)),0)</f>
        <v/>
      </c>
      <c r="AM40">
        <f>SUMPRODUCT((M_BOM[Part Name]=$A40)*M_BOM[RM_Qty_Per_Batch]*IFERROR(INDEX(PP_Grid[#Data],M_BOM[PPGridRow],39),0))+IFERROR(INDEX(M_RawMaterials[固定週次消費量_要入力],MATCH($A40,M_RawMaterials[Part Name],0)),0)</f>
        <v/>
      </c>
      <c r="AN40">
        <f>SUMPRODUCT((M_BOM[Part Name]=$A40)*M_BOM[RM_Qty_Per_Batch]*IFERROR(INDEX(PP_Grid[#Data],M_BOM[PPGridRow],40),0))+IFERROR(INDEX(M_RawMaterials[固定週次消費量_要入力],MATCH($A40,M_RawMaterials[Part Name],0)),0)</f>
        <v/>
      </c>
      <c r="AO40">
        <f>SUMPRODUCT((M_BOM[Part Name]=$A40)*M_BOM[RM_Qty_Per_Batch]*IFERROR(INDEX(PP_Grid[#Data],M_BOM[PPGridRow],41),0))+IFERROR(INDEX(M_RawMaterials[固定週次消費量_要入力],MATCH($A40,M_RawMaterials[Part Name],0)),0)</f>
        <v/>
      </c>
      <c r="AP40">
        <f>SUMPRODUCT((M_BOM[Part Name]=$A40)*M_BOM[RM_Qty_Per_Batch]*IFERROR(INDEX(PP_Grid[#Data],M_BOM[PPGridRow],42),0))+IFERROR(INDEX(M_RawMaterials[固定週次消費量_要入力],MATCH($A40,M_RawMaterials[Part Name],0)),0)</f>
        <v/>
      </c>
      <c r="AQ40">
        <f>SUMPRODUCT((M_BOM[Part Name]=$A40)*M_BOM[RM_Qty_Per_Batch]*IFERROR(INDEX(PP_Grid[#Data],M_BOM[PPGridRow],43),0))+IFERROR(INDEX(M_RawMaterials[固定週次消費量_要入力],MATCH($A40,M_RawMaterials[Part Name],0)),0)</f>
        <v/>
      </c>
      <c r="AR40">
        <f>SUMPRODUCT((M_BOM[Part Name]=$A40)*M_BOM[RM_Qty_Per_Batch]*IFERROR(INDEX(PP_Grid[#Data],M_BOM[PPGridRow],44),0))+IFERROR(INDEX(M_RawMaterials[固定週次消費量_要入力],MATCH($A40,M_RawMaterials[Part Name],0)),0)</f>
        <v/>
      </c>
      <c r="AS40">
        <f>SUMPRODUCT((M_BOM[Part Name]=$A40)*M_BOM[RM_Qty_Per_Batch]*IFERROR(INDEX(PP_Grid[#Data],M_BOM[PPGridRow],45),0))+IFERROR(INDEX(M_RawMaterials[固定週次消費量_要入力],MATCH($A40,M_RawMaterials[Part Name],0)),0)</f>
        <v/>
      </c>
      <c r="AT40">
        <f>SUMPRODUCT((M_BOM[Part Name]=$A40)*M_BOM[RM_Qty_Per_Batch]*IFERROR(INDEX(PP_Grid[#Data],M_BOM[PPGridRow],46),0))+IFERROR(INDEX(M_RawMaterials[固定週次消費量_要入力],MATCH($A40,M_RawMaterials[Part Name],0)),0)</f>
        <v/>
      </c>
      <c r="AU40">
        <f>SUMPRODUCT((M_BOM[Part Name]=$A40)*M_BOM[RM_Qty_Per_Batch]*IFERROR(INDEX(PP_Grid[#Data],M_BOM[PPGridRow],47),0))+IFERROR(INDEX(M_RawMaterials[固定週次消費量_要入力],MATCH($A40,M_RawMaterials[Part Name],0)),0)</f>
        <v/>
      </c>
      <c r="AV40">
        <f>SUMPRODUCT((M_BOM[Part Name]=$A40)*M_BOM[RM_Qty_Per_Batch]*IFERROR(INDEX(PP_Grid[#Data],M_BOM[PPGridRow],48),0))+IFERROR(INDEX(M_RawMaterials[固定週次消費量_要入力],MATCH($A40,M_RawMaterials[Part Name],0)),0)</f>
        <v/>
      </c>
      <c r="AW40">
        <f>SUMPRODUCT((M_BOM[Part Name]=$A40)*M_BOM[RM_Qty_Per_Batch]*IFERROR(INDEX(PP_Grid[#Data],M_BOM[PPGridRow],49),0))+IFERROR(INDEX(M_RawMaterials[固定週次消費量_要入力],MATCH($A40,M_RawMaterials[Part Name],0)),0)</f>
        <v/>
      </c>
      <c r="AX40">
        <f>SUMPRODUCT((M_BOM[Part Name]=$A40)*M_BOM[RM_Qty_Per_Batch]*IFERROR(INDEX(PP_Grid[#Data],M_BOM[PPGridRow],50),0))+IFERROR(INDEX(M_RawMaterials[固定週次消費量_要入力],MATCH($A40,M_RawMaterials[Part Name],0)),0)</f>
        <v/>
      </c>
      <c r="AY40">
        <f>SUMPRODUCT((M_BOM[Part Name]=$A40)*M_BOM[RM_Qty_Per_Batch]*IFERROR(INDEX(PP_Grid[#Data],M_BOM[PPGridRow],51),0))+IFERROR(INDEX(M_RawMaterials[固定週次消費量_要入力],MATCH($A40,M_RawMaterials[Part Name],0)),0)</f>
        <v/>
      </c>
      <c r="AZ40">
        <f>SUMPRODUCT((M_BOM[Part Name]=$A40)*M_BOM[RM_Qty_Per_Batch]*IFERROR(INDEX(PP_Grid[#Data],M_BOM[PPGridRow],52),0))+IFERROR(INDEX(M_RawMaterials[固定週次消費量_要入力],MATCH($A40,M_RawMaterials[Part Name],0)),0)</f>
        <v/>
      </c>
      <c r="BA40">
        <f>SUMPRODUCT((M_BOM[Part Name]=$A40)*M_BOM[RM_Qty_Per_Batch]*IFERROR(INDEX(PP_Grid[#Data],M_BOM[PPGridRow],53),0))+IFERROR(INDEX(M_RawMaterials[固定週次消費量_要入力],MATCH($A40,M_RawMaterials[Part Name],0)),0)</f>
        <v/>
      </c>
      <c r="BB40">
        <f>SUMPRODUCT((M_BOM[Part Name]=$A40)*M_BOM[RM_Qty_Per_Batch]*IFERROR(INDEX(PP_Grid[#Data],M_BOM[PPGridRow],54),0))+IFERROR(INDEX(M_RawMaterials[固定週次消費量_要入力],MATCH($A40,M_RawMaterials[Part Name],0)),0)</f>
        <v/>
      </c>
      <c r="BC40">
        <f>SUMPRODUCT((M_BOM[Part Name]=$A40)*M_BOM[RM_Qty_Per_Batch]*IFERROR(INDEX(PP_Grid[#Data],M_BOM[PPGridRow],55),0))+IFERROR(INDEX(M_RawMaterials[固定週次消費量_要入力],MATCH($A40,M_RawMaterials[Part Name],0)),0)</f>
        <v/>
      </c>
      <c r="BD40">
        <f>SUMPRODUCT((M_BOM[Part Name]=$A40)*M_BOM[RM_Qty_Per_Batch]*IFERROR(INDEX(PP_Grid[#Data],M_BOM[PPGridRow],56),0))+IFERROR(INDEX(M_RawMaterials[固定週次消費量_要入力],MATCH($A40,M_RawMaterials[Part Name],0)),0)</f>
        <v/>
      </c>
      <c r="BE40">
        <f>SUMPRODUCT((M_BOM[Part Name]=$A40)*M_BOM[RM_Qty_Per_Batch]*IFERROR(INDEX(PP_Grid[#Data],M_BOM[PPGridRow],57),0))+IFERROR(INDEX(M_RawMaterials[固定週次消費量_要入力],MATCH($A40,M_RawMaterials[Part Name],0)),0)</f>
        <v/>
      </c>
      <c r="BF40">
        <f>SUMPRODUCT((M_BOM[Part Name]=$A40)*M_BOM[RM_Qty_Per_Batch]*IFERROR(INDEX(PP_Grid[#Data],M_BOM[PPGridRow],58),0))+IFERROR(INDEX(M_RawMaterials[固定週次消費量_要入力],MATCH($A40,M_RawMaterials[Part Name],0)),0)</f>
        <v/>
      </c>
      <c r="BG40">
        <f>SUMPRODUCT((M_BOM[Part Name]=$A40)*M_BOM[RM_Qty_Per_Batch]*IFERROR(INDEX(PP_Grid[#Data],M_BOM[PPGridRow],59),0))+IFERROR(INDEX(M_RawMaterials[固定週次消費量_要入力],MATCH($A40,M_RawMaterials[Part Name],0)),0)</f>
        <v/>
      </c>
      <c r="BH40">
        <f>SUMPRODUCT((M_BOM[Part Name]=$A40)*M_BOM[RM_Qty_Per_Batch]*IFERROR(INDEX(PP_Grid[#Data],M_BOM[PPGridRow],60),0))+IFERROR(INDEX(M_RawMaterials[固定週次消費量_要入力],MATCH($A40,M_RawMaterials[Part Name],0)),0)</f>
        <v/>
      </c>
      <c r="BI40">
        <f>SUMPRODUCT((M_BOM[Part Name]=$A40)*M_BOM[RM_Qty_Per_Batch]*IFERROR(INDEX(PP_Grid[#Data],M_BOM[PPGridRow],61),0))+IFERROR(INDEX(M_RawMaterials[固定週次消費量_要入力],MATCH($A40,M_RawMaterials[Part Name],0)),0)</f>
        <v/>
      </c>
      <c r="BJ40">
        <f>SUMPRODUCT((M_BOM[Part Name]=$A40)*M_BOM[RM_Qty_Per_Batch]*IFERROR(INDEX(PP_Grid[#Data],M_BOM[PPGridRow],62),0))+IFERROR(INDEX(M_RawMaterials[固定週次消費量_要入力],MATCH($A40,M_RawMaterials[Part Name],0)),0)</f>
        <v/>
      </c>
      <c r="BK40">
        <f>SUMPRODUCT((M_BOM[Part Name]=$A40)*M_BOM[RM_Qty_Per_Batch]*IFERROR(INDEX(PP_Grid[#Data],M_BOM[PPGridRow],63),0))+IFERROR(INDEX(M_RawMaterials[固定週次消費量_要入力],MATCH($A40,M_RawMaterials[Part Name],0)),0)</f>
        <v/>
      </c>
      <c r="BL40">
        <f>SUMPRODUCT((M_BOM[Part Name]=$A40)*M_BOM[RM_Qty_Per_Batch]*IFERROR(INDEX(PP_Grid[#Data],M_BOM[PPGridRow],64),0))+IFERROR(INDEX(M_RawMaterials[固定週次消費量_要入力],MATCH($A40,M_RawMaterials[Part Name],0)),0)</f>
        <v/>
      </c>
      <c r="BM40">
        <f>SUMPRODUCT((M_BOM[Part Name]=$A40)*M_BOM[RM_Qty_Per_Batch]*IFERROR(INDEX(PP_Grid[#Data],M_BOM[PPGridRow],65),0))+IFERROR(INDEX(M_RawMaterials[固定週次消費量_要入力],MATCH($A40,M_RawMaterials[Part Name],0)),0)</f>
        <v/>
      </c>
      <c r="BN40">
        <f>SUMPRODUCT((M_BOM[Part Name]=$A40)*M_BOM[RM_Qty_Per_Batch]*IFERROR(INDEX(PP_Grid[#Data],M_BOM[PPGridRow],66),0))+IFERROR(INDEX(M_RawMaterials[固定週次消費量_要入力],MATCH($A40,M_RawMaterials[Part Name],0)),0)</f>
        <v/>
      </c>
      <c r="BO40">
        <f>SUMPRODUCT((M_BOM[Part Name]=$A40)*M_BOM[RM_Qty_Per_Batch]*IFERROR(INDEX(PP_Grid[#Data],M_BOM[PPGridRow],67),0))+IFERROR(INDEX(M_RawMaterials[固定週次消費量_要入力],MATCH($A40,M_RawMaterials[Part Name],0)),0)</f>
        <v/>
      </c>
      <c r="BP40">
        <f>SUMPRODUCT((M_BOM[Part Name]=$A40)*M_BOM[RM_Qty_Per_Batch]*IFERROR(INDEX(PP_Grid[#Data],M_BOM[PPGridRow],68),0))+IFERROR(INDEX(M_RawMaterials[固定週次消費量_要入力],MATCH($A40,M_RawMaterials[Part Name],0)),0)</f>
        <v/>
      </c>
      <c r="BQ40">
        <f>SUMPRODUCT((M_BOM[Part Name]=$A40)*M_BOM[RM_Qty_Per_Batch]*IFERROR(INDEX(PP_Grid[#Data],M_BOM[PPGridRow],69),0))+IFERROR(INDEX(M_RawMaterials[固定週次消費量_要入力],MATCH($A40,M_RawMaterials[Part Name],0)),0)</f>
        <v/>
      </c>
      <c r="BR40">
        <f>SUMPRODUCT((M_BOM[Part Name]=$A40)*M_BOM[RM_Qty_Per_Batch]*IFERROR(INDEX(PP_Grid[#Data],M_BOM[PPGridRow],70),0))+IFERROR(INDEX(M_RawMaterials[固定週次消費量_要入力],MATCH($A40,M_RawMaterials[Part Name],0)),0)</f>
        <v/>
      </c>
      <c r="BS40">
        <f>SUMPRODUCT((M_BOM[Part Name]=$A40)*M_BOM[RM_Qty_Per_Batch]*IFERROR(INDEX(PP_Grid[#Data],M_BOM[PPGridRow],71),0))+IFERROR(INDEX(M_RawMaterials[固定週次消費量_要入力],MATCH($A40,M_RawMaterials[Part Name],0)),0)</f>
        <v/>
      </c>
      <c r="BT40">
        <f>SUMPRODUCT((M_BOM[Part Name]=$A40)*M_BOM[RM_Qty_Per_Batch]*IFERROR(INDEX(PP_Grid[#Data],M_BOM[PPGridRow],72),0))+IFERROR(INDEX(M_RawMaterials[固定週次消費量_要入力],MATCH($A40,M_RawMaterials[Part Name],0)),0)</f>
        <v/>
      </c>
      <c r="BU40">
        <f>SUMPRODUCT((M_BOM[Part Name]=$A40)*M_BOM[RM_Qty_Per_Batch]*IFERROR(INDEX(PP_Grid[#Data],M_BOM[PPGridRow],73),0))+IFERROR(INDEX(M_RawMaterials[固定週次消費量_要入力],MATCH($A40,M_RawMaterials[Part Name],0)),0)</f>
        <v/>
      </c>
      <c r="BV40">
        <f>SUMPRODUCT((M_BOM[Part Name]=$A40)*M_BOM[RM_Qty_Per_Batch]*IFERROR(INDEX(PP_Grid[#Data],M_BOM[PPGridRow],74),0))+IFERROR(INDEX(M_RawMaterials[固定週次消費量_要入力],MATCH($A40,M_RawMaterials[Part Name],0)),0)</f>
        <v/>
      </c>
      <c r="BW40">
        <f>SUMPRODUCT((M_BOM[Part Name]=$A40)*M_BOM[RM_Qty_Per_Batch]*IFERROR(INDEX(PP_Grid[#Data],M_BOM[PPGridRow],75),0))+IFERROR(INDEX(M_RawMaterials[固定週次消費量_要入力],MATCH($A40,M_RawMaterials[Part Name],0)),0)</f>
        <v/>
      </c>
      <c r="BX40">
        <f>SUMPRODUCT((M_BOM[Part Name]=$A40)*M_BOM[RM_Qty_Per_Batch]*IFERROR(INDEX(PP_Grid[#Data],M_BOM[PPGridRow],76),0))+IFERROR(INDEX(M_RawMaterials[固定週次消費量_要入力],MATCH($A40,M_RawMaterials[Part Name],0)),0)</f>
        <v/>
      </c>
      <c r="BY40">
        <f>SUMPRODUCT((M_BOM[Part Name]=$A40)*M_BOM[RM_Qty_Per_Batch]*IFERROR(INDEX(PP_Grid[#Data],M_BOM[PPGridRow],77),0))+IFERROR(INDEX(M_RawMaterials[固定週次消費量_要入力],MATCH($A40,M_RawMaterials[Part Name],0)),0)</f>
        <v/>
      </c>
      <c r="BZ40">
        <f>SUMPRODUCT((M_BOM[Part Name]=$A40)*M_BOM[RM_Qty_Per_Batch]*IFERROR(INDEX(PP_Grid[#Data],M_BOM[PPGridRow],78),0))+IFERROR(INDEX(M_RawMaterials[固定週次消費量_要入力],MATCH($A40,M_RawMaterials[Part Name],0)),0)</f>
        <v/>
      </c>
      <c r="CA40">
        <f>SUMPRODUCT((M_BOM[Part Name]=$A40)*M_BOM[RM_Qty_Per_Batch]*IFERROR(INDEX(PP_Grid[#Data],M_BOM[PPGridRow],79),0))+IFERROR(INDEX(M_RawMaterials[固定週次消費量_要入力],MATCH($A40,M_RawMaterials[Part Name],0)),0)</f>
        <v/>
      </c>
      <c r="CB40">
        <f>SUMPRODUCT((M_BOM[Part Name]=$A40)*M_BOM[RM_Qty_Per_Batch]*IFERROR(INDEX(PP_Grid[#Data],M_BOM[PPGridRow],80),0))+IFERROR(INDEX(M_RawMaterials[固定週次消費量_要入力],MATCH($A40,M_RawMaterials[Part Name],0)),0)</f>
        <v/>
      </c>
      <c r="CC40">
        <f>SUMPRODUCT((M_BOM[Part Name]=$A40)*M_BOM[RM_Qty_Per_Batch]*IFERROR(INDEX(PP_Grid[#Data],M_BOM[PPGridRow],81),0))+IFERROR(INDEX(M_RawMaterials[固定週次消費量_要入力],MATCH($A40,M_RawMaterials[Part Name],0)),0)</f>
        <v/>
      </c>
      <c r="CD40">
        <f>SUMPRODUCT((M_BOM[Part Name]=$A40)*M_BOM[RM_Qty_Per_Batch]*IFERROR(INDEX(PP_Grid[#Data],M_BOM[PPGridRow],82),0))+IFERROR(INDEX(M_RawMaterials[固定週次消費量_要入力],MATCH($A40,M_RawMaterials[Part Name],0)),0)</f>
        <v/>
      </c>
      <c r="CE40">
        <f>SUMPRODUCT((M_BOM[Part Name]=$A40)*M_BOM[RM_Qty_Per_Batch]*IFERROR(INDEX(PP_Grid[#Data],M_BOM[PPGridRow],83),0))+IFERROR(INDEX(M_RawMaterials[固定週次消費量_要入力],MATCH($A40,M_RawMaterials[Part Name],0)),0)</f>
        <v/>
      </c>
      <c r="CF40">
        <f>SUMPRODUCT((M_BOM[Part Name]=$A40)*M_BOM[RM_Qty_Per_Batch]*IFERROR(INDEX(PP_Grid[#Data],M_BOM[PPGridRow],84),0))+IFERROR(INDEX(M_RawMaterials[固定週次消費量_要入力],MATCH($A40,M_RawMaterials[Part Name],0)),0)</f>
        <v/>
      </c>
      <c r="CG40">
        <f>SUMPRODUCT((M_BOM[Part Name]=$A40)*M_BOM[RM_Qty_Per_Batch]*IFERROR(INDEX(PP_Grid[#Data],M_BOM[PPGridRow],85),0))+IFERROR(INDEX(M_RawMaterials[固定週次消費量_要入力],MATCH($A40,M_RawMaterials[Part Name],0)),0)</f>
        <v/>
      </c>
      <c r="CH40">
        <f>SUMPRODUCT((M_BOM[Part Name]=$A40)*M_BOM[RM_Qty_Per_Batch]*IFERROR(INDEX(PP_Grid[#Data],M_BOM[PPGridRow],86),0))+IFERROR(INDEX(M_RawMaterials[固定週次消費量_要入力],MATCH($A40,M_RawMaterials[Part Name],0)),0)</f>
        <v/>
      </c>
      <c r="CI40">
        <f>SUMPRODUCT((M_BOM[Part Name]=$A40)*M_BOM[RM_Qty_Per_Batch]*IFERROR(INDEX(PP_Grid[#Data],M_BOM[PPGridRow],87),0))+IFERROR(INDEX(M_RawMaterials[固定週次消費量_要入力],MATCH($A40,M_RawMaterials[Part Name],0)),0)</f>
        <v/>
      </c>
      <c r="CJ40">
        <f>SUMPRODUCT((M_BOM[Part Name]=$A40)*M_BOM[RM_Qty_Per_Batch]*IFERROR(INDEX(PP_Grid[#Data],M_BOM[PPGridRow],88),0))+IFERROR(INDEX(M_RawMaterials[固定週次消費量_要入力],MATCH($A40,M_RawMaterials[Part Name],0)),0)</f>
        <v/>
      </c>
      <c r="CK40">
        <f>SUMPRODUCT((M_BOM[Part Name]=$A40)*M_BOM[RM_Qty_Per_Batch]*IFERROR(INDEX(PP_Grid[#Data],M_BOM[PPGridRow],89),0))+IFERROR(INDEX(M_RawMaterials[固定週次消費量_要入力],MATCH($A40,M_RawMaterials[Part Name],0)),0)</f>
        <v/>
      </c>
      <c r="CL40">
        <f>SUMPRODUCT((M_BOM[Part Name]=$A40)*M_BOM[RM_Qty_Per_Batch]*IFERROR(INDEX(PP_Grid[#Data],M_BOM[PPGridRow],90),0))+IFERROR(INDEX(M_RawMaterials[固定週次消費量_要入力],MATCH($A40,M_RawMaterials[Part Name],0)),0)</f>
        <v/>
      </c>
      <c r="CM40">
        <f>SUMPRODUCT((M_BOM[Part Name]=$A40)*M_BOM[RM_Qty_Per_Batch]*IFERROR(INDEX(PP_Grid[#Data],M_BOM[PPGridRow],91),0))+IFERROR(INDEX(M_RawMaterials[固定週次消費量_要入力],MATCH($A40,M_RawMaterials[Part Name],0)),0)</f>
        <v/>
      </c>
      <c r="CN40">
        <f>SUMPRODUCT((M_BOM[Part Name]=$A40)*M_BOM[RM_Qty_Per_Batch]*IFERROR(INDEX(PP_Grid[#Data],M_BOM[PPGridRow],92),0))+IFERROR(INDEX(M_RawMaterials[固定週次消費量_要入力],MATCH($A40,M_RawMaterials[Part Name],0)),0)</f>
        <v/>
      </c>
      <c r="CO40">
        <f>SUMPRODUCT((M_BOM[Part Name]=$A40)*M_BOM[RM_Qty_Per_Batch]*IFERROR(INDEX(PP_Grid[#Data],M_BOM[PPGridRow],93),0))+IFERROR(INDEX(M_RawMaterials[固定週次消費量_要入力],MATCH($A40,M_RawMaterials[Part Name],0)),0)</f>
        <v/>
      </c>
      <c r="CP40">
        <f>SUMPRODUCT((M_BOM[Part Name]=$A40)*M_BOM[RM_Qty_Per_Batch]*IFERROR(INDEX(PP_Grid[#Data],M_BOM[PPGridRow],94),0))+IFERROR(INDEX(M_RawMaterials[固定週次消費量_要入力],MATCH($A40,M_RawMaterials[Part Name],0)),0)</f>
        <v/>
      </c>
      <c r="CQ40">
        <f>SUMPRODUCT((M_BOM[Part Name]=$A40)*M_BOM[RM_Qty_Per_Batch]*IFERROR(INDEX(PP_Grid[#Data],M_BOM[PPGridRow],95),0))+IFERROR(INDEX(M_RawMaterials[固定週次消費量_要入力],MATCH($A40,M_RawMaterials[Part Name],0)),0)</f>
        <v/>
      </c>
      <c r="CR40">
        <f>SUMPRODUCT((M_BOM[Part Name]=$A40)*M_BOM[RM_Qty_Per_Batch]*IFERROR(INDEX(PP_Grid[#Data],M_BOM[PPGridRow],96),0))+IFERROR(INDEX(M_RawMaterials[固定週次消費量_要入力],MATCH($A40,M_RawMaterials[Part Name],0)),0)</f>
        <v/>
      </c>
      <c r="CS40">
        <f>SUMPRODUCT((M_BOM[Part Name]=$A40)*M_BOM[RM_Qty_Per_Batch]*IFERROR(INDEX(PP_Grid[#Data],M_BOM[PPGridRow],97),0))+IFERROR(INDEX(M_RawMaterials[固定週次消費量_要入力],MATCH($A40,M_RawMaterials[Part Name],0)),0)</f>
        <v/>
      </c>
      <c r="CT40">
        <f>SUMPRODUCT((M_BOM[Part Name]=$A40)*M_BOM[RM_Qty_Per_Batch]*IFERROR(INDEX(PP_Grid[#Data],M_BOM[PPGridRow],98),0))+IFERROR(INDEX(M_RawMaterials[固定週次消費量_要入力],MATCH($A40,M_RawMaterials[Part Name],0)),0)</f>
        <v/>
      </c>
      <c r="CU40">
        <f>SUMPRODUCT((M_BOM[Part Name]=$A40)*M_BOM[RM_Qty_Per_Batch]*IFERROR(INDEX(PP_Grid[#Data],M_BOM[PPGridRow],99),0))+IFERROR(INDEX(M_RawMaterials[固定週次消費量_要入力],MATCH($A40,M_RawMaterials[Part Name],0)),0)</f>
        <v/>
      </c>
      <c r="CV40">
        <f>SUMPRODUCT((M_BOM[Part Name]=$A40)*M_BOM[RM_Qty_Per_Batch]*IFERROR(INDEX(PP_Grid[#Data],M_BOM[PPGridRow],100),0))+IFERROR(INDEX(M_RawMaterials[固定週次消費量_要入力],MATCH($A40,M_RawMaterials[Part Name],0)),0)</f>
        <v/>
      </c>
      <c r="CW40">
        <f>SUMPRODUCT((M_BOM[Part Name]=$A40)*M_BOM[RM_Qty_Per_Batch]*IFERROR(INDEX(PP_Grid[#Data],M_BOM[PPGridRow],101),0))+IFERROR(INDEX(M_RawMaterials[固定週次消費量_要入力],MATCH($A40,M_RawMaterials[Part Name],0)),0)</f>
        <v/>
      </c>
      <c r="CX40">
        <f>SUMPRODUCT((M_BOM[Part Name]=$A40)*M_BOM[RM_Qty_Per_Batch]*IFERROR(INDEX(PP_Grid[#Data],M_BOM[PPGridRow],102),0))+IFERROR(INDEX(M_RawMaterials[固定週次消費量_要入力],MATCH($A40,M_RawMaterials[Part Name],0)),0)</f>
        <v/>
      </c>
      <c r="CY40">
        <f>SUMPRODUCT((M_BOM[Part Name]=$A40)*M_BOM[RM_Qty_Per_Batch]*IFERROR(INDEX(PP_Grid[#Data],M_BOM[PPGridRow],103),0))+IFERROR(INDEX(M_RawMaterials[固定週次消費量_要入力],MATCH($A40,M_RawMaterials[Part Name],0)),0)</f>
        <v/>
      </c>
      <c r="CZ40">
        <f>SUMPRODUCT((M_BOM[Part Name]=$A40)*M_BOM[RM_Qty_Per_Batch]*IFERROR(INDEX(PP_Grid[#Data],M_BOM[PPGridRow],104),0))+IFERROR(INDEX(M_RawMaterials[固定週次消費量_要入力],MATCH($A40,M_RawMaterials[Part Name],0)),0)</f>
        <v/>
      </c>
      <c r="DA40">
        <f>SUMPRODUCT((M_BOM[Part Name]=$A40)*M_BOM[RM_Qty_Per_Batch]*IFERROR(INDEX(PP_Grid[#Data],M_BOM[PPGridRow],105),0))+IFERROR(INDEX(M_RawMaterials[固定週次消費量_要入力],MATCH($A40,M_RawMaterials[Part Name],0)),0)</f>
        <v/>
      </c>
    </row>
    <row r="41">
      <c r="A41" t="inlineStr">
        <is>
          <t>CHEM-1730</t>
        </is>
      </c>
      <c r="B41">
        <f>SUMPRODUCT((M_BOM[Part Name]=$A41)*M_BOM[RM_Qty_Per_Batch]*IFERROR(INDEX(PP_Grid[#Data],M_BOM[PPGridRow],2),0))+IFERROR(INDEX(M_RawMaterials[固定週次消費量_要入力],MATCH($A41,M_RawMaterials[Part Name],0)),0)</f>
        <v/>
      </c>
      <c r="C41">
        <f>SUMPRODUCT((M_BOM[Part Name]=$A41)*M_BOM[RM_Qty_Per_Batch]*IFERROR(INDEX(PP_Grid[#Data],M_BOM[PPGridRow],3),0))+IFERROR(INDEX(M_RawMaterials[固定週次消費量_要入力],MATCH($A41,M_RawMaterials[Part Name],0)),0)</f>
        <v/>
      </c>
      <c r="D41">
        <f>SUMPRODUCT((M_BOM[Part Name]=$A41)*M_BOM[RM_Qty_Per_Batch]*IFERROR(INDEX(PP_Grid[#Data],M_BOM[PPGridRow],4),0))+IFERROR(INDEX(M_RawMaterials[固定週次消費量_要入力],MATCH($A41,M_RawMaterials[Part Name],0)),0)</f>
        <v/>
      </c>
      <c r="E41">
        <f>SUMPRODUCT((M_BOM[Part Name]=$A41)*M_BOM[RM_Qty_Per_Batch]*IFERROR(INDEX(PP_Grid[#Data],M_BOM[PPGridRow],5),0))+IFERROR(INDEX(M_RawMaterials[固定週次消費量_要入力],MATCH($A41,M_RawMaterials[Part Name],0)),0)</f>
        <v/>
      </c>
      <c r="F41">
        <f>SUMPRODUCT((M_BOM[Part Name]=$A41)*M_BOM[RM_Qty_Per_Batch]*IFERROR(INDEX(PP_Grid[#Data],M_BOM[PPGridRow],6),0))+IFERROR(INDEX(M_RawMaterials[固定週次消費量_要入力],MATCH($A41,M_RawMaterials[Part Name],0)),0)</f>
        <v/>
      </c>
      <c r="G41">
        <f>SUMPRODUCT((M_BOM[Part Name]=$A41)*M_BOM[RM_Qty_Per_Batch]*IFERROR(INDEX(PP_Grid[#Data],M_BOM[PPGridRow],7),0))+IFERROR(INDEX(M_RawMaterials[固定週次消費量_要入力],MATCH($A41,M_RawMaterials[Part Name],0)),0)</f>
        <v/>
      </c>
      <c r="H41">
        <f>SUMPRODUCT((M_BOM[Part Name]=$A41)*M_BOM[RM_Qty_Per_Batch]*IFERROR(INDEX(PP_Grid[#Data],M_BOM[PPGridRow],8),0))+IFERROR(INDEX(M_RawMaterials[固定週次消費量_要入力],MATCH($A41,M_RawMaterials[Part Name],0)),0)</f>
        <v/>
      </c>
      <c r="I41">
        <f>SUMPRODUCT((M_BOM[Part Name]=$A41)*M_BOM[RM_Qty_Per_Batch]*IFERROR(INDEX(PP_Grid[#Data],M_BOM[PPGridRow],9),0))+IFERROR(INDEX(M_RawMaterials[固定週次消費量_要入力],MATCH($A41,M_RawMaterials[Part Name],0)),0)</f>
        <v/>
      </c>
      <c r="J41">
        <f>SUMPRODUCT((M_BOM[Part Name]=$A41)*M_BOM[RM_Qty_Per_Batch]*IFERROR(INDEX(PP_Grid[#Data],M_BOM[PPGridRow],10),0))+IFERROR(INDEX(M_RawMaterials[固定週次消費量_要入力],MATCH($A41,M_RawMaterials[Part Name],0)),0)</f>
        <v/>
      </c>
      <c r="K41">
        <f>SUMPRODUCT((M_BOM[Part Name]=$A41)*M_BOM[RM_Qty_Per_Batch]*IFERROR(INDEX(PP_Grid[#Data],M_BOM[PPGridRow],11),0))+IFERROR(INDEX(M_RawMaterials[固定週次消費量_要入力],MATCH($A41,M_RawMaterials[Part Name],0)),0)</f>
        <v/>
      </c>
      <c r="L41">
        <f>SUMPRODUCT((M_BOM[Part Name]=$A41)*M_BOM[RM_Qty_Per_Batch]*IFERROR(INDEX(PP_Grid[#Data],M_BOM[PPGridRow],12),0))+IFERROR(INDEX(M_RawMaterials[固定週次消費量_要入力],MATCH($A41,M_RawMaterials[Part Name],0)),0)</f>
        <v/>
      </c>
      <c r="M41">
        <f>SUMPRODUCT((M_BOM[Part Name]=$A41)*M_BOM[RM_Qty_Per_Batch]*IFERROR(INDEX(PP_Grid[#Data],M_BOM[PPGridRow],13),0))+IFERROR(INDEX(M_RawMaterials[固定週次消費量_要入力],MATCH($A41,M_RawMaterials[Part Name],0)),0)</f>
        <v/>
      </c>
      <c r="N41">
        <f>SUMPRODUCT((M_BOM[Part Name]=$A41)*M_BOM[RM_Qty_Per_Batch]*IFERROR(INDEX(PP_Grid[#Data],M_BOM[PPGridRow],14),0))+IFERROR(INDEX(M_RawMaterials[固定週次消費量_要入力],MATCH($A41,M_RawMaterials[Part Name],0)),0)</f>
        <v/>
      </c>
      <c r="O41">
        <f>SUMPRODUCT((M_BOM[Part Name]=$A41)*M_BOM[RM_Qty_Per_Batch]*IFERROR(INDEX(PP_Grid[#Data],M_BOM[PPGridRow],15),0))+IFERROR(INDEX(M_RawMaterials[固定週次消費量_要入力],MATCH($A41,M_RawMaterials[Part Name],0)),0)</f>
        <v/>
      </c>
      <c r="P41">
        <f>SUMPRODUCT((M_BOM[Part Name]=$A41)*M_BOM[RM_Qty_Per_Batch]*IFERROR(INDEX(PP_Grid[#Data],M_BOM[PPGridRow],16),0))+IFERROR(INDEX(M_RawMaterials[固定週次消費量_要入力],MATCH($A41,M_RawMaterials[Part Name],0)),0)</f>
        <v/>
      </c>
      <c r="Q41">
        <f>SUMPRODUCT((M_BOM[Part Name]=$A41)*M_BOM[RM_Qty_Per_Batch]*IFERROR(INDEX(PP_Grid[#Data],M_BOM[PPGridRow],17),0))+IFERROR(INDEX(M_RawMaterials[固定週次消費量_要入力],MATCH($A41,M_RawMaterials[Part Name],0)),0)</f>
        <v/>
      </c>
      <c r="R41">
        <f>SUMPRODUCT((M_BOM[Part Name]=$A41)*M_BOM[RM_Qty_Per_Batch]*IFERROR(INDEX(PP_Grid[#Data],M_BOM[PPGridRow],18),0))+IFERROR(INDEX(M_RawMaterials[固定週次消費量_要入力],MATCH($A41,M_RawMaterials[Part Name],0)),0)</f>
        <v/>
      </c>
      <c r="S41">
        <f>SUMPRODUCT((M_BOM[Part Name]=$A41)*M_BOM[RM_Qty_Per_Batch]*IFERROR(INDEX(PP_Grid[#Data],M_BOM[PPGridRow],19),0))+IFERROR(INDEX(M_RawMaterials[固定週次消費量_要入力],MATCH($A41,M_RawMaterials[Part Name],0)),0)</f>
        <v/>
      </c>
      <c r="T41">
        <f>SUMPRODUCT((M_BOM[Part Name]=$A41)*M_BOM[RM_Qty_Per_Batch]*IFERROR(INDEX(PP_Grid[#Data],M_BOM[PPGridRow],20),0))+IFERROR(INDEX(M_RawMaterials[固定週次消費量_要入力],MATCH($A41,M_RawMaterials[Part Name],0)),0)</f>
        <v/>
      </c>
      <c r="U41">
        <f>SUMPRODUCT((M_BOM[Part Name]=$A41)*M_BOM[RM_Qty_Per_Batch]*IFERROR(INDEX(PP_Grid[#Data],M_BOM[PPGridRow],21),0))+IFERROR(INDEX(M_RawMaterials[固定週次消費量_要入力],MATCH($A41,M_RawMaterials[Part Name],0)),0)</f>
        <v/>
      </c>
      <c r="V41">
        <f>SUMPRODUCT((M_BOM[Part Name]=$A41)*M_BOM[RM_Qty_Per_Batch]*IFERROR(INDEX(PP_Grid[#Data],M_BOM[PPGridRow],22),0))+IFERROR(INDEX(M_RawMaterials[固定週次消費量_要入力],MATCH($A41,M_RawMaterials[Part Name],0)),0)</f>
        <v/>
      </c>
      <c r="W41">
        <f>SUMPRODUCT((M_BOM[Part Name]=$A41)*M_BOM[RM_Qty_Per_Batch]*IFERROR(INDEX(PP_Grid[#Data],M_BOM[PPGridRow],23),0))+IFERROR(INDEX(M_RawMaterials[固定週次消費量_要入力],MATCH($A41,M_RawMaterials[Part Name],0)),0)</f>
        <v/>
      </c>
      <c r="X41">
        <f>SUMPRODUCT((M_BOM[Part Name]=$A41)*M_BOM[RM_Qty_Per_Batch]*IFERROR(INDEX(PP_Grid[#Data],M_BOM[PPGridRow],24),0))+IFERROR(INDEX(M_RawMaterials[固定週次消費量_要入力],MATCH($A41,M_RawMaterials[Part Name],0)),0)</f>
        <v/>
      </c>
      <c r="Y41">
        <f>SUMPRODUCT((M_BOM[Part Name]=$A41)*M_BOM[RM_Qty_Per_Batch]*IFERROR(INDEX(PP_Grid[#Data],M_BOM[PPGridRow],25),0))+IFERROR(INDEX(M_RawMaterials[固定週次消費量_要入力],MATCH($A41,M_RawMaterials[Part Name],0)),0)</f>
        <v/>
      </c>
      <c r="Z41">
        <f>SUMPRODUCT((M_BOM[Part Name]=$A41)*M_BOM[RM_Qty_Per_Batch]*IFERROR(INDEX(PP_Grid[#Data],M_BOM[PPGridRow],26),0))+IFERROR(INDEX(M_RawMaterials[固定週次消費量_要入力],MATCH($A41,M_RawMaterials[Part Name],0)),0)</f>
        <v/>
      </c>
      <c r="AA41">
        <f>SUMPRODUCT((M_BOM[Part Name]=$A41)*M_BOM[RM_Qty_Per_Batch]*IFERROR(INDEX(PP_Grid[#Data],M_BOM[PPGridRow],27),0))+IFERROR(INDEX(M_RawMaterials[固定週次消費量_要入力],MATCH($A41,M_RawMaterials[Part Name],0)),0)</f>
        <v/>
      </c>
      <c r="AB41">
        <f>SUMPRODUCT((M_BOM[Part Name]=$A41)*M_BOM[RM_Qty_Per_Batch]*IFERROR(INDEX(PP_Grid[#Data],M_BOM[PPGridRow],28),0))+IFERROR(INDEX(M_RawMaterials[固定週次消費量_要入力],MATCH($A41,M_RawMaterials[Part Name],0)),0)</f>
        <v/>
      </c>
      <c r="AC41">
        <f>SUMPRODUCT((M_BOM[Part Name]=$A41)*M_BOM[RM_Qty_Per_Batch]*IFERROR(INDEX(PP_Grid[#Data],M_BOM[PPGridRow],29),0))+IFERROR(INDEX(M_RawMaterials[固定週次消費量_要入力],MATCH($A41,M_RawMaterials[Part Name],0)),0)</f>
        <v/>
      </c>
      <c r="AD41">
        <f>SUMPRODUCT((M_BOM[Part Name]=$A41)*M_BOM[RM_Qty_Per_Batch]*IFERROR(INDEX(PP_Grid[#Data],M_BOM[PPGridRow],30),0))+IFERROR(INDEX(M_RawMaterials[固定週次消費量_要入力],MATCH($A41,M_RawMaterials[Part Name],0)),0)</f>
        <v/>
      </c>
      <c r="AE41">
        <f>SUMPRODUCT((M_BOM[Part Name]=$A41)*M_BOM[RM_Qty_Per_Batch]*IFERROR(INDEX(PP_Grid[#Data],M_BOM[PPGridRow],31),0))+IFERROR(INDEX(M_RawMaterials[固定週次消費量_要入力],MATCH($A41,M_RawMaterials[Part Name],0)),0)</f>
        <v/>
      </c>
      <c r="AF41">
        <f>SUMPRODUCT((M_BOM[Part Name]=$A41)*M_BOM[RM_Qty_Per_Batch]*IFERROR(INDEX(PP_Grid[#Data],M_BOM[PPGridRow],32),0))+IFERROR(INDEX(M_RawMaterials[固定週次消費量_要入力],MATCH($A41,M_RawMaterials[Part Name],0)),0)</f>
        <v/>
      </c>
      <c r="AG41">
        <f>SUMPRODUCT((M_BOM[Part Name]=$A41)*M_BOM[RM_Qty_Per_Batch]*IFERROR(INDEX(PP_Grid[#Data],M_BOM[PPGridRow],33),0))+IFERROR(INDEX(M_RawMaterials[固定週次消費量_要入力],MATCH($A41,M_RawMaterials[Part Name],0)),0)</f>
        <v/>
      </c>
      <c r="AH41">
        <f>SUMPRODUCT((M_BOM[Part Name]=$A41)*M_BOM[RM_Qty_Per_Batch]*IFERROR(INDEX(PP_Grid[#Data],M_BOM[PPGridRow],34),0))+IFERROR(INDEX(M_RawMaterials[固定週次消費量_要入力],MATCH($A41,M_RawMaterials[Part Name],0)),0)</f>
        <v/>
      </c>
      <c r="AI41">
        <f>SUMPRODUCT((M_BOM[Part Name]=$A41)*M_BOM[RM_Qty_Per_Batch]*IFERROR(INDEX(PP_Grid[#Data],M_BOM[PPGridRow],35),0))+IFERROR(INDEX(M_RawMaterials[固定週次消費量_要入力],MATCH($A41,M_RawMaterials[Part Name],0)),0)</f>
        <v/>
      </c>
      <c r="AJ41">
        <f>SUMPRODUCT((M_BOM[Part Name]=$A41)*M_BOM[RM_Qty_Per_Batch]*IFERROR(INDEX(PP_Grid[#Data],M_BOM[PPGridRow],36),0))+IFERROR(INDEX(M_RawMaterials[固定週次消費量_要入力],MATCH($A41,M_RawMaterials[Part Name],0)),0)</f>
        <v/>
      </c>
      <c r="AK41">
        <f>SUMPRODUCT((M_BOM[Part Name]=$A41)*M_BOM[RM_Qty_Per_Batch]*IFERROR(INDEX(PP_Grid[#Data],M_BOM[PPGridRow],37),0))+IFERROR(INDEX(M_RawMaterials[固定週次消費量_要入力],MATCH($A41,M_RawMaterials[Part Name],0)),0)</f>
        <v/>
      </c>
      <c r="AL41">
        <f>SUMPRODUCT((M_BOM[Part Name]=$A41)*M_BOM[RM_Qty_Per_Batch]*IFERROR(INDEX(PP_Grid[#Data],M_BOM[PPGridRow],38),0))+IFERROR(INDEX(M_RawMaterials[固定週次消費量_要入力],MATCH($A41,M_RawMaterials[Part Name],0)),0)</f>
        <v/>
      </c>
      <c r="AM41">
        <f>SUMPRODUCT((M_BOM[Part Name]=$A41)*M_BOM[RM_Qty_Per_Batch]*IFERROR(INDEX(PP_Grid[#Data],M_BOM[PPGridRow],39),0))+IFERROR(INDEX(M_RawMaterials[固定週次消費量_要入力],MATCH($A41,M_RawMaterials[Part Name],0)),0)</f>
        <v/>
      </c>
      <c r="AN41">
        <f>SUMPRODUCT((M_BOM[Part Name]=$A41)*M_BOM[RM_Qty_Per_Batch]*IFERROR(INDEX(PP_Grid[#Data],M_BOM[PPGridRow],40),0))+IFERROR(INDEX(M_RawMaterials[固定週次消費量_要入力],MATCH($A41,M_RawMaterials[Part Name],0)),0)</f>
        <v/>
      </c>
      <c r="AO41">
        <f>SUMPRODUCT((M_BOM[Part Name]=$A41)*M_BOM[RM_Qty_Per_Batch]*IFERROR(INDEX(PP_Grid[#Data],M_BOM[PPGridRow],41),0))+IFERROR(INDEX(M_RawMaterials[固定週次消費量_要入力],MATCH($A41,M_RawMaterials[Part Name],0)),0)</f>
        <v/>
      </c>
      <c r="AP41">
        <f>SUMPRODUCT((M_BOM[Part Name]=$A41)*M_BOM[RM_Qty_Per_Batch]*IFERROR(INDEX(PP_Grid[#Data],M_BOM[PPGridRow],42),0))+IFERROR(INDEX(M_RawMaterials[固定週次消費量_要入力],MATCH($A41,M_RawMaterials[Part Name],0)),0)</f>
        <v/>
      </c>
      <c r="AQ41">
        <f>SUMPRODUCT((M_BOM[Part Name]=$A41)*M_BOM[RM_Qty_Per_Batch]*IFERROR(INDEX(PP_Grid[#Data],M_BOM[PPGridRow],43),0))+IFERROR(INDEX(M_RawMaterials[固定週次消費量_要入力],MATCH($A41,M_RawMaterials[Part Name],0)),0)</f>
        <v/>
      </c>
      <c r="AR41">
        <f>SUMPRODUCT((M_BOM[Part Name]=$A41)*M_BOM[RM_Qty_Per_Batch]*IFERROR(INDEX(PP_Grid[#Data],M_BOM[PPGridRow],44),0))+IFERROR(INDEX(M_RawMaterials[固定週次消費量_要入力],MATCH($A41,M_RawMaterials[Part Name],0)),0)</f>
        <v/>
      </c>
      <c r="AS41">
        <f>SUMPRODUCT((M_BOM[Part Name]=$A41)*M_BOM[RM_Qty_Per_Batch]*IFERROR(INDEX(PP_Grid[#Data],M_BOM[PPGridRow],45),0))+IFERROR(INDEX(M_RawMaterials[固定週次消費量_要入力],MATCH($A41,M_RawMaterials[Part Name],0)),0)</f>
        <v/>
      </c>
      <c r="AT41">
        <f>SUMPRODUCT((M_BOM[Part Name]=$A41)*M_BOM[RM_Qty_Per_Batch]*IFERROR(INDEX(PP_Grid[#Data],M_BOM[PPGridRow],46),0))+IFERROR(INDEX(M_RawMaterials[固定週次消費量_要入力],MATCH($A41,M_RawMaterials[Part Name],0)),0)</f>
        <v/>
      </c>
      <c r="AU41">
        <f>SUMPRODUCT((M_BOM[Part Name]=$A41)*M_BOM[RM_Qty_Per_Batch]*IFERROR(INDEX(PP_Grid[#Data],M_BOM[PPGridRow],47),0))+IFERROR(INDEX(M_RawMaterials[固定週次消費量_要入力],MATCH($A41,M_RawMaterials[Part Name],0)),0)</f>
        <v/>
      </c>
      <c r="AV41">
        <f>SUMPRODUCT((M_BOM[Part Name]=$A41)*M_BOM[RM_Qty_Per_Batch]*IFERROR(INDEX(PP_Grid[#Data],M_BOM[PPGridRow],48),0))+IFERROR(INDEX(M_RawMaterials[固定週次消費量_要入力],MATCH($A41,M_RawMaterials[Part Name],0)),0)</f>
        <v/>
      </c>
      <c r="AW41">
        <f>SUMPRODUCT((M_BOM[Part Name]=$A41)*M_BOM[RM_Qty_Per_Batch]*IFERROR(INDEX(PP_Grid[#Data],M_BOM[PPGridRow],49),0))+IFERROR(INDEX(M_RawMaterials[固定週次消費量_要入力],MATCH($A41,M_RawMaterials[Part Name],0)),0)</f>
        <v/>
      </c>
      <c r="AX41">
        <f>SUMPRODUCT((M_BOM[Part Name]=$A41)*M_BOM[RM_Qty_Per_Batch]*IFERROR(INDEX(PP_Grid[#Data],M_BOM[PPGridRow],50),0))+IFERROR(INDEX(M_RawMaterials[固定週次消費量_要入力],MATCH($A41,M_RawMaterials[Part Name],0)),0)</f>
        <v/>
      </c>
      <c r="AY41">
        <f>SUMPRODUCT((M_BOM[Part Name]=$A41)*M_BOM[RM_Qty_Per_Batch]*IFERROR(INDEX(PP_Grid[#Data],M_BOM[PPGridRow],51),0))+IFERROR(INDEX(M_RawMaterials[固定週次消費量_要入力],MATCH($A41,M_RawMaterials[Part Name],0)),0)</f>
        <v/>
      </c>
      <c r="AZ41">
        <f>SUMPRODUCT((M_BOM[Part Name]=$A41)*M_BOM[RM_Qty_Per_Batch]*IFERROR(INDEX(PP_Grid[#Data],M_BOM[PPGridRow],52),0))+IFERROR(INDEX(M_RawMaterials[固定週次消費量_要入力],MATCH($A41,M_RawMaterials[Part Name],0)),0)</f>
        <v/>
      </c>
      <c r="BA41">
        <f>SUMPRODUCT((M_BOM[Part Name]=$A41)*M_BOM[RM_Qty_Per_Batch]*IFERROR(INDEX(PP_Grid[#Data],M_BOM[PPGridRow],53),0))+IFERROR(INDEX(M_RawMaterials[固定週次消費量_要入力],MATCH($A41,M_RawMaterials[Part Name],0)),0)</f>
        <v/>
      </c>
      <c r="BB41">
        <f>SUMPRODUCT((M_BOM[Part Name]=$A41)*M_BOM[RM_Qty_Per_Batch]*IFERROR(INDEX(PP_Grid[#Data],M_BOM[PPGridRow],54),0))+IFERROR(INDEX(M_RawMaterials[固定週次消費量_要入力],MATCH($A41,M_RawMaterials[Part Name],0)),0)</f>
        <v/>
      </c>
      <c r="BC41">
        <f>SUMPRODUCT((M_BOM[Part Name]=$A41)*M_BOM[RM_Qty_Per_Batch]*IFERROR(INDEX(PP_Grid[#Data],M_BOM[PPGridRow],55),0))+IFERROR(INDEX(M_RawMaterials[固定週次消費量_要入力],MATCH($A41,M_RawMaterials[Part Name],0)),0)</f>
        <v/>
      </c>
      <c r="BD41">
        <f>SUMPRODUCT((M_BOM[Part Name]=$A41)*M_BOM[RM_Qty_Per_Batch]*IFERROR(INDEX(PP_Grid[#Data],M_BOM[PPGridRow],56),0))+IFERROR(INDEX(M_RawMaterials[固定週次消費量_要入力],MATCH($A41,M_RawMaterials[Part Name],0)),0)</f>
        <v/>
      </c>
      <c r="BE41">
        <f>SUMPRODUCT((M_BOM[Part Name]=$A41)*M_BOM[RM_Qty_Per_Batch]*IFERROR(INDEX(PP_Grid[#Data],M_BOM[PPGridRow],57),0))+IFERROR(INDEX(M_RawMaterials[固定週次消費量_要入力],MATCH($A41,M_RawMaterials[Part Name],0)),0)</f>
        <v/>
      </c>
      <c r="BF41">
        <f>SUMPRODUCT((M_BOM[Part Name]=$A41)*M_BOM[RM_Qty_Per_Batch]*IFERROR(INDEX(PP_Grid[#Data],M_BOM[PPGridRow],58),0))+IFERROR(INDEX(M_RawMaterials[固定週次消費量_要入力],MATCH($A41,M_RawMaterials[Part Name],0)),0)</f>
        <v/>
      </c>
      <c r="BG41">
        <f>SUMPRODUCT((M_BOM[Part Name]=$A41)*M_BOM[RM_Qty_Per_Batch]*IFERROR(INDEX(PP_Grid[#Data],M_BOM[PPGridRow],59),0))+IFERROR(INDEX(M_RawMaterials[固定週次消費量_要入力],MATCH($A41,M_RawMaterials[Part Name],0)),0)</f>
        <v/>
      </c>
      <c r="BH41">
        <f>SUMPRODUCT((M_BOM[Part Name]=$A41)*M_BOM[RM_Qty_Per_Batch]*IFERROR(INDEX(PP_Grid[#Data],M_BOM[PPGridRow],60),0))+IFERROR(INDEX(M_RawMaterials[固定週次消費量_要入力],MATCH($A41,M_RawMaterials[Part Name],0)),0)</f>
        <v/>
      </c>
      <c r="BI41">
        <f>SUMPRODUCT((M_BOM[Part Name]=$A41)*M_BOM[RM_Qty_Per_Batch]*IFERROR(INDEX(PP_Grid[#Data],M_BOM[PPGridRow],61),0))+IFERROR(INDEX(M_RawMaterials[固定週次消費量_要入力],MATCH($A41,M_RawMaterials[Part Name],0)),0)</f>
        <v/>
      </c>
      <c r="BJ41">
        <f>SUMPRODUCT((M_BOM[Part Name]=$A41)*M_BOM[RM_Qty_Per_Batch]*IFERROR(INDEX(PP_Grid[#Data],M_BOM[PPGridRow],62),0))+IFERROR(INDEX(M_RawMaterials[固定週次消費量_要入力],MATCH($A41,M_RawMaterials[Part Name],0)),0)</f>
        <v/>
      </c>
      <c r="BK41">
        <f>SUMPRODUCT((M_BOM[Part Name]=$A41)*M_BOM[RM_Qty_Per_Batch]*IFERROR(INDEX(PP_Grid[#Data],M_BOM[PPGridRow],63),0))+IFERROR(INDEX(M_RawMaterials[固定週次消費量_要入力],MATCH($A41,M_RawMaterials[Part Name],0)),0)</f>
        <v/>
      </c>
      <c r="BL41">
        <f>SUMPRODUCT((M_BOM[Part Name]=$A41)*M_BOM[RM_Qty_Per_Batch]*IFERROR(INDEX(PP_Grid[#Data],M_BOM[PPGridRow],64),0))+IFERROR(INDEX(M_RawMaterials[固定週次消費量_要入力],MATCH($A41,M_RawMaterials[Part Name],0)),0)</f>
        <v/>
      </c>
      <c r="BM41">
        <f>SUMPRODUCT((M_BOM[Part Name]=$A41)*M_BOM[RM_Qty_Per_Batch]*IFERROR(INDEX(PP_Grid[#Data],M_BOM[PPGridRow],65),0))+IFERROR(INDEX(M_RawMaterials[固定週次消費量_要入力],MATCH($A41,M_RawMaterials[Part Name],0)),0)</f>
        <v/>
      </c>
      <c r="BN41">
        <f>SUMPRODUCT((M_BOM[Part Name]=$A41)*M_BOM[RM_Qty_Per_Batch]*IFERROR(INDEX(PP_Grid[#Data],M_BOM[PPGridRow],66),0))+IFERROR(INDEX(M_RawMaterials[固定週次消費量_要入力],MATCH($A41,M_RawMaterials[Part Name],0)),0)</f>
        <v/>
      </c>
      <c r="BO41">
        <f>SUMPRODUCT((M_BOM[Part Name]=$A41)*M_BOM[RM_Qty_Per_Batch]*IFERROR(INDEX(PP_Grid[#Data],M_BOM[PPGridRow],67),0))+IFERROR(INDEX(M_RawMaterials[固定週次消費量_要入力],MATCH($A41,M_RawMaterials[Part Name],0)),0)</f>
        <v/>
      </c>
      <c r="BP41">
        <f>SUMPRODUCT((M_BOM[Part Name]=$A41)*M_BOM[RM_Qty_Per_Batch]*IFERROR(INDEX(PP_Grid[#Data],M_BOM[PPGridRow],68),0))+IFERROR(INDEX(M_RawMaterials[固定週次消費量_要入力],MATCH($A41,M_RawMaterials[Part Name],0)),0)</f>
        <v/>
      </c>
      <c r="BQ41">
        <f>SUMPRODUCT((M_BOM[Part Name]=$A41)*M_BOM[RM_Qty_Per_Batch]*IFERROR(INDEX(PP_Grid[#Data],M_BOM[PPGridRow],69),0))+IFERROR(INDEX(M_RawMaterials[固定週次消費量_要入力],MATCH($A41,M_RawMaterials[Part Name],0)),0)</f>
        <v/>
      </c>
      <c r="BR41">
        <f>SUMPRODUCT((M_BOM[Part Name]=$A41)*M_BOM[RM_Qty_Per_Batch]*IFERROR(INDEX(PP_Grid[#Data],M_BOM[PPGridRow],70),0))+IFERROR(INDEX(M_RawMaterials[固定週次消費量_要入力],MATCH($A41,M_RawMaterials[Part Name],0)),0)</f>
        <v/>
      </c>
      <c r="BS41">
        <f>SUMPRODUCT((M_BOM[Part Name]=$A41)*M_BOM[RM_Qty_Per_Batch]*IFERROR(INDEX(PP_Grid[#Data],M_BOM[PPGridRow],71),0))+IFERROR(INDEX(M_RawMaterials[固定週次消費量_要入力],MATCH($A41,M_RawMaterials[Part Name],0)),0)</f>
        <v/>
      </c>
      <c r="BT41">
        <f>SUMPRODUCT((M_BOM[Part Name]=$A41)*M_BOM[RM_Qty_Per_Batch]*IFERROR(INDEX(PP_Grid[#Data],M_BOM[PPGridRow],72),0))+IFERROR(INDEX(M_RawMaterials[固定週次消費量_要入力],MATCH($A41,M_RawMaterials[Part Name],0)),0)</f>
        <v/>
      </c>
      <c r="BU41">
        <f>SUMPRODUCT((M_BOM[Part Name]=$A41)*M_BOM[RM_Qty_Per_Batch]*IFERROR(INDEX(PP_Grid[#Data],M_BOM[PPGridRow],73),0))+IFERROR(INDEX(M_RawMaterials[固定週次消費量_要入力],MATCH($A41,M_RawMaterials[Part Name],0)),0)</f>
        <v/>
      </c>
      <c r="BV41">
        <f>SUMPRODUCT((M_BOM[Part Name]=$A41)*M_BOM[RM_Qty_Per_Batch]*IFERROR(INDEX(PP_Grid[#Data],M_BOM[PPGridRow],74),0))+IFERROR(INDEX(M_RawMaterials[固定週次消費量_要入力],MATCH($A41,M_RawMaterials[Part Name],0)),0)</f>
        <v/>
      </c>
      <c r="BW41">
        <f>SUMPRODUCT((M_BOM[Part Name]=$A41)*M_BOM[RM_Qty_Per_Batch]*IFERROR(INDEX(PP_Grid[#Data],M_BOM[PPGridRow],75),0))+IFERROR(INDEX(M_RawMaterials[固定週次消費量_要入力],MATCH($A41,M_RawMaterials[Part Name],0)),0)</f>
        <v/>
      </c>
      <c r="BX41">
        <f>SUMPRODUCT((M_BOM[Part Name]=$A41)*M_BOM[RM_Qty_Per_Batch]*IFERROR(INDEX(PP_Grid[#Data],M_BOM[PPGridRow],76),0))+IFERROR(INDEX(M_RawMaterials[固定週次消費量_要入力],MATCH($A41,M_RawMaterials[Part Name],0)),0)</f>
        <v/>
      </c>
      <c r="BY41">
        <f>SUMPRODUCT((M_BOM[Part Name]=$A41)*M_BOM[RM_Qty_Per_Batch]*IFERROR(INDEX(PP_Grid[#Data],M_BOM[PPGridRow],77),0))+IFERROR(INDEX(M_RawMaterials[固定週次消費量_要入力],MATCH($A41,M_RawMaterials[Part Name],0)),0)</f>
        <v/>
      </c>
      <c r="BZ41">
        <f>SUMPRODUCT((M_BOM[Part Name]=$A41)*M_BOM[RM_Qty_Per_Batch]*IFERROR(INDEX(PP_Grid[#Data],M_BOM[PPGridRow],78),0))+IFERROR(INDEX(M_RawMaterials[固定週次消費量_要入力],MATCH($A41,M_RawMaterials[Part Name],0)),0)</f>
        <v/>
      </c>
      <c r="CA41">
        <f>SUMPRODUCT((M_BOM[Part Name]=$A41)*M_BOM[RM_Qty_Per_Batch]*IFERROR(INDEX(PP_Grid[#Data],M_BOM[PPGridRow],79),0))+IFERROR(INDEX(M_RawMaterials[固定週次消費量_要入力],MATCH($A41,M_RawMaterials[Part Name],0)),0)</f>
        <v/>
      </c>
      <c r="CB41">
        <f>SUMPRODUCT((M_BOM[Part Name]=$A41)*M_BOM[RM_Qty_Per_Batch]*IFERROR(INDEX(PP_Grid[#Data],M_BOM[PPGridRow],80),0))+IFERROR(INDEX(M_RawMaterials[固定週次消費量_要入力],MATCH($A41,M_RawMaterials[Part Name],0)),0)</f>
        <v/>
      </c>
      <c r="CC41">
        <f>SUMPRODUCT((M_BOM[Part Name]=$A41)*M_BOM[RM_Qty_Per_Batch]*IFERROR(INDEX(PP_Grid[#Data],M_BOM[PPGridRow],81),0))+IFERROR(INDEX(M_RawMaterials[固定週次消費量_要入力],MATCH($A41,M_RawMaterials[Part Name],0)),0)</f>
        <v/>
      </c>
      <c r="CD41">
        <f>SUMPRODUCT((M_BOM[Part Name]=$A41)*M_BOM[RM_Qty_Per_Batch]*IFERROR(INDEX(PP_Grid[#Data],M_BOM[PPGridRow],82),0))+IFERROR(INDEX(M_RawMaterials[固定週次消費量_要入力],MATCH($A41,M_RawMaterials[Part Name],0)),0)</f>
        <v/>
      </c>
      <c r="CE41">
        <f>SUMPRODUCT((M_BOM[Part Name]=$A41)*M_BOM[RM_Qty_Per_Batch]*IFERROR(INDEX(PP_Grid[#Data],M_BOM[PPGridRow],83),0))+IFERROR(INDEX(M_RawMaterials[固定週次消費量_要入力],MATCH($A41,M_RawMaterials[Part Name],0)),0)</f>
        <v/>
      </c>
      <c r="CF41">
        <f>SUMPRODUCT((M_BOM[Part Name]=$A41)*M_BOM[RM_Qty_Per_Batch]*IFERROR(INDEX(PP_Grid[#Data],M_BOM[PPGridRow],84),0))+IFERROR(INDEX(M_RawMaterials[固定週次消費量_要入力],MATCH($A41,M_RawMaterials[Part Name],0)),0)</f>
        <v/>
      </c>
      <c r="CG41">
        <f>SUMPRODUCT((M_BOM[Part Name]=$A41)*M_BOM[RM_Qty_Per_Batch]*IFERROR(INDEX(PP_Grid[#Data],M_BOM[PPGridRow],85),0))+IFERROR(INDEX(M_RawMaterials[固定週次消費量_要入力],MATCH($A41,M_RawMaterials[Part Name],0)),0)</f>
        <v/>
      </c>
      <c r="CH41">
        <f>SUMPRODUCT((M_BOM[Part Name]=$A41)*M_BOM[RM_Qty_Per_Batch]*IFERROR(INDEX(PP_Grid[#Data],M_BOM[PPGridRow],86),0))+IFERROR(INDEX(M_RawMaterials[固定週次消費量_要入力],MATCH($A41,M_RawMaterials[Part Name],0)),0)</f>
        <v/>
      </c>
      <c r="CI41">
        <f>SUMPRODUCT((M_BOM[Part Name]=$A41)*M_BOM[RM_Qty_Per_Batch]*IFERROR(INDEX(PP_Grid[#Data],M_BOM[PPGridRow],87),0))+IFERROR(INDEX(M_RawMaterials[固定週次消費量_要入力],MATCH($A41,M_RawMaterials[Part Name],0)),0)</f>
        <v/>
      </c>
      <c r="CJ41">
        <f>SUMPRODUCT((M_BOM[Part Name]=$A41)*M_BOM[RM_Qty_Per_Batch]*IFERROR(INDEX(PP_Grid[#Data],M_BOM[PPGridRow],88),0))+IFERROR(INDEX(M_RawMaterials[固定週次消費量_要入力],MATCH($A41,M_RawMaterials[Part Name],0)),0)</f>
        <v/>
      </c>
      <c r="CK41">
        <f>SUMPRODUCT((M_BOM[Part Name]=$A41)*M_BOM[RM_Qty_Per_Batch]*IFERROR(INDEX(PP_Grid[#Data],M_BOM[PPGridRow],89),0))+IFERROR(INDEX(M_RawMaterials[固定週次消費量_要入力],MATCH($A41,M_RawMaterials[Part Name],0)),0)</f>
        <v/>
      </c>
      <c r="CL41">
        <f>SUMPRODUCT((M_BOM[Part Name]=$A41)*M_BOM[RM_Qty_Per_Batch]*IFERROR(INDEX(PP_Grid[#Data],M_BOM[PPGridRow],90),0))+IFERROR(INDEX(M_RawMaterials[固定週次消費量_要入力],MATCH($A41,M_RawMaterials[Part Name],0)),0)</f>
        <v/>
      </c>
      <c r="CM41">
        <f>SUMPRODUCT((M_BOM[Part Name]=$A41)*M_BOM[RM_Qty_Per_Batch]*IFERROR(INDEX(PP_Grid[#Data],M_BOM[PPGridRow],91),0))+IFERROR(INDEX(M_RawMaterials[固定週次消費量_要入力],MATCH($A41,M_RawMaterials[Part Name],0)),0)</f>
        <v/>
      </c>
      <c r="CN41">
        <f>SUMPRODUCT((M_BOM[Part Name]=$A41)*M_BOM[RM_Qty_Per_Batch]*IFERROR(INDEX(PP_Grid[#Data],M_BOM[PPGridRow],92),0))+IFERROR(INDEX(M_RawMaterials[固定週次消費量_要入力],MATCH($A41,M_RawMaterials[Part Name],0)),0)</f>
        <v/>
      </c>
      <c r="CO41">
        <f>SUMPRODUCT((M_BOM[Part Name]=$A41)*M_BOM[RM_Qty_Per_Batch]*IFERROR(INDEX(PP_Grid[#Data],M_BOM[PPGridRow],93),0))+IFERROR(INDEX(M_RawMaterials[固定週次消費量_要入力],MATCH($A41,M_RawMaterials[Part Name],0)),0)</f>
        <v/>
      </c>
      <c r="CP41">
        <f>SUMPRODUCT((M_BOM[Part Name]=$A41)*M_BOM[RM_Qty_Per_Batch]*IFERROR(INDEX(PP_Grid[#Data],M_BOM[PPGridRow],94),0))+IFERROR(INDEX(M_RawMaterials[固定週次消費量_要入力],MATCH($A41,M_RawMaterials[Part Name],0)),0)</f>
        <v/>
      </c>
      <c r="CQ41">
        <f>SUMPRODUCT((M_BOM[Part Name]=$A41)*M_BOM[RM_Qty_Per_Batch]*IFERROR(INDEX(PP_Grid[#Data],M_BOM[PPGridRow],95),0))+IFERROR(INDEX(M_RawMaterials[固定週次消費量_要入力],MATCH($A41,M_RawMaterials[Part Name],0)),0)</f>
        <v/>
      </c>
      <c r="CR41">
        <f>SUMPRODUCT((M_BOM[Part Name]=$A41)*M_BOM[RM_Qty_Per_Batch]*IFERROR(INDEX(PP_Grid[#Data],M_BOM[PPGridRow],96),0))+IFERROR(INDEX(M_RawMaterials[固定週次消費量_要入力],MATCH($A41,M_RawMaterials[Part Name],0)),0)</f>
        <v/>
      </c>
      <c r="CS41">
        <f>SUMPRODUCT((M_BOM[Part Name]=$A41)*M_BOM[RM_Qty_Per_Batch]*IFERROR(INDEX(PP_Grid[#Data],M_BOM[PPGridRow],97),0))+IFERROR(INDEX(M_RawMaterials[固定週次消費量_要入力],MATCH($A41,M_RawMaterials[Part Name],0)),0)</f>
        <v/>
      </c>
      <c r="CT41">
        <f>SUMPRODUCT((M_BOM[Part Name]=$A41)*M_BOM[RM_Qty_Per_Batch]*IFERROR(INDEX(PP_Grid[#Data],M_BOM[PPGridRow],98),0))+IFERROR(INDEX(M_RawMaterials[固定週次消費量_要入力],MATCH($A41,M_RawMaterials[Part Name],0)),0)</f>
        <v/>
      </c>
      <c r="CU41">
        <f>SUMPRODUCT((M_BOM[Part Name]=$A41)*M_BOM[RM_Qty_Per_Batch]*IFERROR(INDEX(PP_Grid[#Data],M_BOM[PPGridRow],99),0))+IFERROR(INDEX(M_RawMaterials[固定週次消費量_要入力],MATCH($A41,M_RawMaterials[Part Name],0)),0)</f>
        <v/>
      </c>
      <c r="CV41">
        <f>SUMPRODUCT((M_BOM[Part Name]=$A41)*M_BOM[RM_Qty_Per_Batch]*IFERROR(INDEX(PP_Grid[#Data],M_BOM[PPGridRow],100),0))+IFERROR(INDEX(M_RawMaterials[固定週次消費量_要入力],MATCH($A41,M_RawMaterials[Part Name],0)),0)</f>
        <v/>
      </c>
      <c r="CW41">
        <f>SUMPRODUCT((M_BOM[Part Name]=$A41)*M_BOM[RM_Qty_Per_Batch]*IFERROR(INDEX(PP_Grid[#Data],M_BOM[PPGridRow],101),0))+IFERROR(INDEX(M_RawMaterials[固定週次消費量_要入力],MATCH($A41,M_RawMaterials[Part Name],0)),0)</f>
        <v/>
      </c>
      <c r="CX41">
        <f>SUMPRODUCT((M_BOM[Part Name]=$A41)*M_BOM[RM_Qty_Per_Batch]*IFERROR(INDEX(PP_Grid[#Data],M_BOM[PPGridRow],102),0))+IFERROR(INDEX(M_RawMaterials[固定週次消費量_要入力],MATCH($A41,M_RawMaterials[Part Name],0)),0)</f>
        <v/>
      </c>
      <c r="CY41">
        <f>SUMPRODUCT((M_BOM[Part Name]=$A41)*M_BOM[RM_Qty_Per_Batch]*IFERROR(INDEX(PP_Grid[#Data],M_BOM[PPGridRow],103),0))+IFERROR(INDEX(M_RawMaterials[固定週次消費量_要入力],MATCH($A41,M_RawMaterials[Part Name],0)),0)</f>
        <v/>
      </c>
      <c r="CZ41">
        <f>SUMPRODUCT((M_BOM[Part Name]=$A41)*M_BOM[RM_Qty_Per_Batch]*IFERROR(INDEX(PP_Grid[#Data],M_BOM[PPGridRow],104),0))+IFERROR(INDEX(M_RawMaterials[固定週次消費量_要入力],MATCH($A41,M_RawMaterials[Part Name],0)),0)</f>
        <v/>
      </c>
      <c r="DA41">
        <f>SUMPRODUCT((M_BOM[Part Name]=$A41)*M_BOM[RM_Qty_Per_Batch]*IFERROR(INDEX(PP_Grid[#Data],M_BOM[PPGridRow],105),0))+IFERROR(INDEX(M_RawMaterials[固定週次消費量_要入力],MATCH($A41,M_RawMaterials[Part Name],0)),0)</f>
        <v/>
      </c>
    </row>
    <row r="42">
      <c r="A42" t="inlineStr">
        <is>
          <t>CHEM-1280</t>
        </is>
      </c>
      <c r="B42">
        <f>SUMPRODUCT((M_BOM[Part Name]=$A42)*M_BOM[RM_Qty_Per_Batch]*IFERROR(INDEX(PP_Grid[#Data],M_BOM[PPGridRow],2),0))+IFERROR(INDEX(M_RawMaterials[固定週次消費量_要入力],MATCH($A42,M_RawMaterials[Part Name],0)),0)</f>
        <v/>
      </c>
      <c r="C42">
        <f>SUMPRODUCT((M_BOM[Part Name]=$A42)*M_BOM[RM_Qty_Per_Batch]*IFERROR(INDEX(PP_Grid[#Data],M_BOM[PPGridRow],3),0))+IFERROR(INDEX(M_RawMaterials[固定週次消費量_要入力],MATCH($A42,M_RawMaterials[Part Name],0)),0)</f>
        <v/>
      </c>
      <c r="D42">
        <f>SUMPRODUCT((M_BOM[Part Name]=$A42)*M_BOM[RM_Qty_Per_Batch]*IFERROR(INDEX(PP_Grid[#Data],M_BOM[PPGridRow],4),0))+IFERROR(INDEX(M_RawMaterials[固定週次消費量_要入力],MATCH($A42,M_RawMaterials[Part Name],0)),0)</f>
        <v/>
      </c>
      <c r="E42">
        <f>SUMPRODUCT((M_BOM[Part Name]=$A42)*M_BOM[RM_Qty_Per_Batch]*IFERROR(INDEX(PP_Grid[#Data],M_BOM[PPGridRow],5),0))+IFERROR(INDEX(M_RawMaterials[固定週次消費量_要入力],MATCH($A42,M_RawMaterials[Part Name],0)),0)</f>
        <v/>
      </c>
      <c r="F42">
        <f>SUMPRODUCT((M_BOM[Part Name]=$A42)*M_BOM[RM_Qty_Per_Batch]*IFERROR(INDEX(PP_Grid[#Data],M_BOM[PPGridRow],6),0))+IFERROR(INDEX(M_RawMaterials[固定週次消費量_要入力],MATCH($A42,M_RawMaterials[Part Name],0)),0)</f>
        <v/>
      </c>
      <c r="G42">
        <f>SUMPRODUCT((M_BOM[Part Name]=$A42)*M_BOM[RM_Qty_Per_Batch]*IFERROR(INDEX(PP_Grid[#Data],M_BOM[PPGridRow],7),0))+IFERROR(INDEX(M_RawMaterials[固定週次消費量_要入力],MATCH($A42,M_RawMaterials[Part Name],0)),0)</f>
        <v/>
      </c>
      <c r="H42">
        <f>SUMPRODUCT((M_BOM[Part Name]=$A42)*M_BOM[RM_Qty_Per_Batch]*IFERROR(INDEX(PP_Grid[#Data],M_BOM[PPGridRow],8),0))+IFERROR(INDEX(M_RawMaterials[固定週次消費量_要入力],MATCH($A42,M_RawMaterials[Part Name],0)),0)</f>
        <v/>
      </c>
      <c r="I42">
        <f>SUMPRODUCT((M_BOM[Part Name]=$A42)*M_BOM[RM_Qty_Per_Batch]*IFERROR(INDEX(PP_Grid[#Data],M_BOM[PPGridRow],9),0))+IFERROR(INDEX(M_RawMaterials[固定週次消費量_要入力],MATCH($A42,M_RawMaterials[Part Name],0)),0)</f>
        <v/>
      </c>
      <c r="J42">
        <f>SUMPRODUCT((M_BOM[Part Name]=$A42)*M_BOM[RM_Qty_Per_Batch]*IFERROR(INDEX(PP_Grid[#Data],M_BOM[PPGridRow],10),0))+IFERROR(INDEX(M_RawMaterials[固定週次消費量_要入力],MATCH($A42,M_RawMaterials[Part Name],0)),0)</f>
        <v/>
      </c>
      <c r="K42">
        <f>SUMPRODUCT((M_BOM[Part Name]=$A42)*M_BOM[RM_Qty_Per_Batch]*IFERROR(INDEX(PP_Grid[#Data],M_BOM[PPGridRow],11),0))+IFERROR(INDEX(M_RawMaterials[固定週次消費量_要入力],MATCH($A42,M_RawMaterials[Part Name],0)),0)</f>
        <v/>
      </c>
      <c r="L42">
        <f>SUMPRODUCT((M_BOM[Part Name]=$A42)*M_BOM[RM_Qty_Per_Batch]*IFERROR(INDEX(PP_Grid[#Data],M_BOM[PPGridRow],12),0))+IFERROR(INDEX(M_RawMaterials[固定週次消費量_要入力],MATCH($A42,M_RawMaterials[Part Name],0)),0)</f>
        <v/>
      </c>
      <c r="M42">
        <f>SUMPRODUCT((M_BOM[Part Name]=$A42)*M_BOM[RM_Qty_Per_Batch]*IFERROR(INDEX(PP_Grid[#Data],M_BOM[PPGridRow],13),0))+IFERROR(INDEX(M_RawMaterials[固定週次消費量_要入力],MATCH($A42,M_RawMaterials[Part Name],0)),0)</f>
        <v/>
      </c>
      <c r="N42">
        <f>SUMPRODUCT((M_BOM[Part Name]=$A42)*M_BOM[RM_Qty_Per_Batch]*IFERROR(INDEX(PP_Grid[#Data],M_BOM[PPGridRow],14),0))+IFERROR(INDEX(M_RawMaterials[固定週次消費量_要入力],MATCH($A42,M_RawMaterials[Part Name],0)),0)</f>
        <v/>
      </c>
      <c r="O42">
        <f>SUMPRODUCT((M_BOM[Part Name]=$A42)*M_BOM[RM_Qty_Per_Batch]*IFERROR(INDEX(PP_Grid[#Data],M_BOM[PPGridRow],15),0))+IFERROR(INDEX(M_RawMaterials[固定週次消費量_要入力],MATCH($A42,M_RawMaterials[Part Name],0)),0)</f>
        <v/>
      </c>
      <c r="P42">
        <f>SUMPRODUCT((M_BOM[Part Name]=$A42)*M_BOM[RM_Qty_Per_Batch]*IFERROR(INDEX(PP_Grid[#Data],M_BOM[PPGridRow],16),0))+IFERROR(INDEX(M_RawMaterials[固定週次消費量_要入力],MATCH($A42,M_RawMaterials[Part Name],0)),0)</f>
        <v/>
      </c>
      <c r="Q42">
        <f>SUMPRODUCT((M_BOM[Part Name]=$A42)*M_BOM[RM_Qty_Per_Batch]*IFERROR(INDEX(PP_Grid[#Data],M_BOM[PPGridRow],17),0))+IFERROR(INDEX(M_RawMaterials[固定週次消費量_要入力],MATCH($A42,M_RawMaterials[Part Name],0)),0)</f>
        <v/>
      </c>
      <c r="R42">
        <f>SUMPRODUCT((M_BOM[Part Name]=$A42)*M_BOM[RM_Qty_Per_Batch]*IFERROR(INDEX(PP_Grid[#Data],M_BOM[PPGridRow],18),0))+IFERROR(INDEX(M_RawMaterials[固定週次消費量_要入力],MATCH($A42,M_RawMaterials[Part Name],0)),0)</f>
        <v/>
      </c>
      <c r="S42">
        <f>SUMPRODUCT((M_BOM[Part Name]=$A42)*M_BOM[RM_Qty_Per_Batch]*IFERROR(INDEX(PP_Grid[#Data],M_BOM[PPGridRow],19),0))+IFERROR(INDEX(M_RawMaterials[固定週次消費量_要入力],MATCH($A42,M_RawMaterials[Part Name],0)),0)</f>
        <v/>
      </c>
      <c r="T42">
        <f>SUMPRODUCT((M_BOM[Part Name]=$A42)*M_BOM[RM_Qty_Per_Batch]*IFERROR(INDEX(PP_Grid[#Data],M_BOM[PPGridRow],20),0))+IFERROR(INDEX(M_RawMaterials[固定週次消費量_要入力],MATCH($A42,M_RawMaterials[Part Name],0)),0)</f>
        <v/>
      </c>
      <c r="U42">
        <f>SUMPRODUCT((M_BOM[Part Name]=$A42)*M_BOM[RM_Qty_Per_Batch]*IFERROR(INDEX(PP_Grid[#Data],M_BOM[PPGridRow],21),0))+IFERROR(INDEX(M_RawMaterials[固定週次消費量_要入力],MATCH($A42,M_RawMaterials[Part Name],0)),0)</f>
        <v/>
      </c>
      <c r="V42">
        <f>SUMPRODUCT((M_BOM[Part Name]=$A42)*M_BOM[RM_Qty_Per_Batch]*IFERROR(INDEX(PP_Grid[#Data],M_BOM[PPGridRow],22),0))+IFERROR(INDEX(M_RawMaterials[固定週次消費量_要入力],MATCH($A42,M_RawMaterials[Part Name],0)),0)</f>
        <v/>
      </c>
      <c r="W42">
        <f>SUMPRODUCT((M_BOM[Part Name]=$A42)*M_BOM[RM_Qty_Per_Batch]*IFERROR(INDEX(PP_Grid[#Data],M_BOM[PPGridRow],23),0))+IFERROR(INDEX(M_RawMaterials[固定週次消費量_要入力],MATCH($A42,M_RawMaterials[Part Name],0)),0)</f>
        <v/>
      </c>
      <c r="X42">
        <f>SUMPRODUCT((M_BOM[Part Name]=$A42)*M_BOM[RM_Qty_Per_Batch]*IFERROR(INDEX(PP_Grid[#Data],M_BOM[PPGridRow],24),0))+IFERROR(INDEX(M_RawMaterials[固定週次消費量_要入力],MATCH($A42,M_RawMaterials[Part Name],0)),0)</f>
        <v/>
      </c>
      <c r="Y42">
        <f>SUMPRODUCT((M_BOM[Part Name]=$A42)*M_BOM[RM_Qty_Per_Batch]*IFERROR(INDEX(PP_Grid[#Data],M_BOM[PPGridRow],25),0))+IFERROR(INDEX(M_RawMaterials[固定週次消費量_要入力],MATCH($A42,M_RawMaterials[Part Name],0)),0)</f>
        <v/>
      </c>
      <c r="Z42">
        <f>SUMPRODUCT((M_BOM[Part Name]=$A42)*M_BOM[RM_Qty_Per_Batch]*IFERROR(INDEX(PP_Grid[#Data],M_BOM[PPGridRow],26),0))+IFERROR(INDEX(M_RawMaterials[固定週次消費量_要入力],MATCH($A42,M_RawMaterials[Part Name],0)),0)</f>
        <v/>
      </c>
      <c r="AA42">
        <f>SUMPRODUCT((M_BOM[Part Name]=$A42)*M_BOM[RM_Qty_Per_Batch]*IFERROR(INDEX(PP_Grid[#Data],M_BOM[PPGridRow],27),0))+IFERROR(INDEX(M_RawMaterials[固定週次消費量_要入力],MATCH($A42,M_RawMaterials[Part Name],0)),0)</f>
        <v/>
      </c>
      <c r="AB42">
        <f>SUMPRODUCT((M_BOM[Part Name]=$A42)*M_BOM[RM_Qty_Per_Batch]*IFERROR(INDEX(PP_Grid[#Data],M_BOM[PPGridRow],28),0))+IFERROR(INDEX(M_RawMaterials[固定週次消費量_要入力],MATCH($A42,M_RawMaterials[Part Name],0)),0)</f>
        <v/>
      </c>
      <c r="AC42">
        <f>SUMPRODUCT((M_BOM[Part Name]=$A42)*M_BOM[RM_Qty_Per_Batch]*IFERROR(INDEX(PP_Grid[#Data],M_BOM[PPGridRow],29),0))+IFERROR(INDEX(M_RawMaterials[固定週次消費量_要入力],MATCH($A42,M_RawMaterials[Part Name],0)),0)</f>
        <v/>
      </c>
      <c r="AD42">
        <f>SUMPRODUCT((M_BOM[Part Name]=$A42)*M_BOM[RM_Qty_Per_Batch]*IFERROR(INDEX(PP_Grid[#Data],M_BOM[PPGridRow],30),0))+IFERROR(INDEX(M_RawMaterials[固定週次消費量_要入力],MATCH($A42,M_RawMaterials[Part Name],0)),0)</f>
        <v/>
      </c>
      <c r="AE42">
        <f>SUMPRODUCT((M_BOM[Part Name]=$A42)*M_BOM[RM_Qty_Per_Batch]*IFERROR(INDEX(PP_Grid[#Data],M_BOM[PPGridRow],31),0))+IFERROR(INDEX(M_RawMaterials[固定週次消費量_要入力],MATCH($A42,M_RawMaterials[Part Name],0)),0)</f>
        <v/>
      </c>
      <c r="AF42">
        <f>SUMPRODUCT((M_BOM[Part Name]=$A42)*M_BOM[RM_Qty_Per_Batch]*IFERROR(INDEX(PP_Grid[#Data],M_BOM[PPGridRow],32),0))+IFERROR(INDEX(M_RawMaterials[固定週次消費量_要入力],MATCH($A42,M_RawMaterials[Part Name],0)),0)</f>
        <v/>
      </c>
      <c r="AG42">
        <f>SUMPRODUCT((M_BOM[Part Name]=$A42)*M_BOM[RM_Qty_Per_Batch]*IFERROR(INDEX(PP_Grid[#Data],M_BOM[PPGridRow],33),0))+IFERROR(INDEX(M_RawMaterials[固定週次消費量_要入力],MATCH($A42,M_RawMaterials[Part Name],0)),0)</f>
        <v/>
      </c>
      <c r="AH42">
        <f>SUMPRODUCT((M_BOM[Part Name]=$A42)*M_BOM[RM_Qty_Per_Batch]*IFERROR(INDEX(PP_Grid[#Data],M_BOM[PPGridRow],34),0))+IFERROR(INDEX(M_RawMaterials[固定週次消費量_要入力],MATCH($A42,M_RawMaterials[Part Name],0)),0)</f>
        <v/>
      </c>
      <c r="AI42">
        <f>SUMPRODUCT((M_BOM[Part Name]=$A42)*M_BOM[RM_Qty_Per_Batch]*IFERROR(INDEX(PP_Grid[#Data],M_BOM[PPGridRow],35),0))+IFERROR(INDEX(M_RawMaterials[固定週次消費量_要入力],MATCH($A42,M_RawMaterials[Part Name],0)),0)</f>
        <v/>
      </c>
      <c r="AJ42">
        <f>SUMPRODUCT((M_BOM[Part Name]=$A42)*M_BOM[RM_Qty_Per_Batch]*IFERROR(INDEX(PP_Grid[#Data],M_BOM[PPGridRow],36),0))+IFERROR(INDEX(M_RawMaterials[固定週次消費量_要入力],MATCH($A42,M_RawMaterials[Part Name],0)),0)</f>
        <v/>
      </c>
      <c r="AK42">
        <f>SUMPRODUCT((M_BOM[Part Name]=$A42)*M_BOM[RM_Qty_Per_Batch]*IFERROR(INDEX(PP_Grid[#Data],M_BOM[PPGridRow],37),0))+IFERROR(INDEX(M_RawMaterials[固定週次消費量_要入力],MATCH($A42,M_RawMaterials[Part Name],0)),0)</f>
        <v/>
      </c>
      <c r="AL42">
        <f>SUMPRODUCT((M_BOM[Part Name]=$A42)*M_BOM[RM_Qty_Per_Batch]*IFERROR(INDEX(PP_Grid[#Data],M_BOM[PPGridRow],38),0))+IFERROR(INDEX(M_RawMaterials[固定週次消費量_要入力],MATCH($A42,M_RawMaterials[Part Name],0)),0)</f>
        <v/>
      </c>
      <c r="AM42">
        <f>SUMPRODUCT((M_BOM[Part Name]=$A42)*M_BOM[RM_Qty_Per_Batch]*IFERROR(INDEX(PP_Grid[#Data],M_BOM[PPGridRow],39),0))+IFERROR(INDEX(M_RawMaterials[固定週次消費量_要入力],MATCH($A42,M_RawMaterials[Part Name],0)),0)</f>
        <v/>
      </c>
      <c r="AN42">
        <f>SUMPRODUCT((M_BOM[Part Name]=$A42)*M_BOM[RM_Qty_Per_Batch]*IFERROR(INDEX(PP_Grid[#Data],M_BOM[PPGridRow],40),0))+IFERROR(INDEX(M_RawMaterials[固定週次消費量_要入力],MATCH($A42,M_RawMaterials[Part Name],0)),0)</f>
        <v/>
      </c>
      <c r="AO42">
        <f>SUMPRODUCT((M_BOM[Part Name]=$A42)*M_BOM[RM_Qty_Per_Batch]*IFERROR(INDEX(PP_Grid[#Data],M_BOM[PPGridRow],41),0))+IFERROR(INDEX(M_RawMaterials[固定週次消費量_要入力],MATCH($A42,M_RawMaterials[Part Name],0)),0)</f>
        <v/>
      </c>
      <c r="AP42">
        <f>SUMPRODUCT((M_BOM[Part Name]=$A42)*M_BOM[RM_Qty_Per_Batch]*IFERROR(INDEX(PP_Grid[#Data],M_BOM[PPGridRow],42),0))+IFERROR(INDEX(M_RawMaterials[固定週次消費量_要入力],MATCH($A42,M_RawMaterials[Part Name],0)),0)</f>
        <v/>
      </c>
      <c r="AQ42">
        <f>SUMPRODUCT((M_BOM[Part Name]=$A42)*M_BOM[RM_Qty_Per_Batch]*IFERROR(INDEX(PP_Grid[#Data],M_BOM[PPGridRow],43),0))+IFERROR(INDEX(M_RawMaterials[固定週次消費量_要入力],MATCH($A42,M_RawMaterials[Part Name],0)),0)</f>
        <v/>
      </c>
      <c r="AR42">
        <f>SUMPRODUCT((M_BOM[Part Name]=$A42)*M_BOM[RM_Qty_Per_Batch]*IFERROR(INDEX(PP_Grid[#Data],M_BOM[PPGridRow],44),0))+IFERROR(INDEX(M_RawMaterials[固定週次消費量_要入力],MATCH($A42,M_RawMaterials[Part Name],0)),0)</f>
        <v/>
      </c>
      <c r="AS42">
        <f>SUMPRODUCT((M_BOM[Part Name]=$A42)*M_BOM[RM_Qty_Per_Batch]*IFERROR(INDEX(PP_Grid[#Data],M_BOM[PPGridRow],45),0))+IFERROR(INDEX(M_RawMaterials[固定週次消費量_要入力],MATCH($A42,M_RawMaterials[Part Name],0)),0)</f>
        <v/>
      </c>
      <c r="AT42">
        <f>SUMPRODUCT((M_BOM[Part Name]=$A42)*M_BOM[RM_Qty_Per_Batch]*IFERROR(INDEX(PP_Grid[#Data],M_BOM[PPGridRow],46),0))+IFERROR(INDEX(M_RawMaterials[固定週次消費量_要入力],MATCH($A42,M_RawMaterials[Part Name],0)),0)</f>
        <v/>
      </c>
      <c r="AU42">
        <f>SUMPRODUCT((M_BOM[Part Name]=$A42)*M_BOM[RM_Qty_Per_Batch]*IFERROR(INDEX(PP_Grid[#Data],M_BOM[PPGridRow],47),0))+IFERROR(INDEX(M_RawMaterials[固定週次消費量_要入力],MATCH($A42,M_RawMaterials[Part Name],0)),0)</f>
        <v/>
      </c>
      <c r="AV42">
        <f>SUMPRODUCT((M_BOM[Part Name]=$A42)*M_BOM[RM_Qty_Per_Batch]*IFERROR(INDEX(PP_Grid[#Data],M_BOM[PPGridRow],48),0))+IFERROR(INDEX(M_RawMaterials[固定週次消費量_要入力],MATCH($A42,M_RawMaterials[Part Name],0)),0)</f>
        <v/>
      </c>
      <c r="AW42">
        <f>SUMPRODUCT((M_BOM[Part Name]=$A42)*M_BOM[RM_Qty_Per_Batch]*IFERROR(INDEX(PP_Grid[#Data],M_BOM[PPGridRow],49),0))+IFERROR(INDEX(M_RawMaterials[固定週次消費量_要入力],MATCH($A42,M_RawMaterials[Part Name],0)),0)</f>
        <v/>
      </c>
      <c r="AX42">
        <f>SUMPRODUCT((M_BOM[Part Name]=$A42)*M_BOM[RM_Qty_Per_Batch]*IFERROR(INDEX(PP_Grid[#Data],M_BOM[PPGridRow],50),0))+IFERROR(INDEX(M_RawMaterials[固定週次消費量_要入力],MATCH($A42,M_RawMaterials[Part Name],0)),0)</f>
        <v/>
      </c>
      <c r="AY42">
        <f>SUMPRODUCT((M_BOM[Part Name]=$A42)*M_BOM[RM_Qty_Per_Batch]*IFERROR(INDEX(PP_Grid[#Data],M_BOM[PPGridRow],51),0))+IFERROR(INDEX(M_RawMaterials[固定週次消費量_要入力],MATCH($A42,M_RawMaterials[Part Name],0)),0)</f>
        <v/>
      </c>
      <c r="AZ42">
        <f>SUMPRODUCT((M_BOM[Part Name]=$A42)*M_BOM[RM_Qty_Per_Batch]*IFERROR(INDEX(PP_Grid[#Data],M_BOM[PPGridRow],52),0))+IFERROR(INDEX(M_RawMaterials[固定週次消費量_要入力],MATCH($A42,M_RawMaterials[Part Name],0)),0)</f>
        <v/>
      </c>
      <c r="BA42">
        <f>SUMPRODUCT((M_BOM[Part Name]=$A42)*M_BOM[RM_Qty_Per_Batch]*IFERROR(INDEX(PP_Grid[#Data],M_BOM[PPGridRow],53),0))+IFERROR(INDEX(M_RawMaterials[固定週次消費量_要入力],MATCH($A42,M_RawMaterials[Part Name],0)),0)</f>
        <v/>
      </c>
      <c r="BB42">
        <f>SUMPRODUCT((M_BOM[Part Name]=$A42)*M_BOM[RM_Qty_Per_Batch]*IFERROR(INDEX(PP_Grid[#Data],M_BOM[PPGridRow],54),0))+IFERROR(INDEX(M_RawMaterials[固定週次消費量_要入力],MATCH($A42,M_RawMaterials[Part Name],0)),0)</f>
        <v/>
      </c>
      <c r="BC42">
        <f>SUMPRODUCT((M_BOM[Part Name]=$A42)*M_BOM[RM_Qty_Per_Batch]*IFERROR(INDEX(PP_Grid[#Data],M_BOM[PPGridRow],55),0))+IFERROR(INDEX(M_RawMaterials[固定週次消費量_要入力],MATCH($A42,M_RawMaterials[Part Name],0)),0)</f>
        <v/>
      </c>
      <c r="BD42">
        <f>SUMPRODUCT((M_BOM[Part Name]=$A42)*M_BOM[RM_Qty_Per_Batch]*IFERROR(INDEX(PP_Grid[#Data],M_BOM[PPGridRow],56),0))+IFERROR(INDEX(M_RawMaterials[固定週次消費量_要入力],MATCH($A42,M_RawMaterials[Part Name],0)),0)</f>
        <v/>
      </c>
      <c r="BE42">
        <f>SUMPRODUCT((M_BOM[Part Name]=$A42)*M_BOM[RM_Qty_Per_Batch]*IFERROR(INDEX(PP_Grid[#Data],M_BOM[PPGridRow],57),0))+IFERROR(INDEX(M_RawMaterials[固定週次消費量_要入力],MATCH($A42,M_RawMaterials[Part Name],0)),0)</f>
        <v/>
      </c>
      <c r="BF42">
        <f>SUMPRODUCT((M_BOM[Part Name]=$A42)*M_BOM[RM_Qty_Per_Batch]*IFERROR(INDEX(PP_Grid[#Data],M_BOM[PPGridRow],58),0))+IFERROR(INDEX(M_RawMaterials[固定週次消費量_要入力],MATCH($A42,M_RawMaterials[Part Name],0)),0)</f>
        <v/>
      </c>
      <c r="BG42">
        <f>SUMPRODUCT((M_BOM[Part Name]=$A42)*M_BOM[RM_Qty_Per_Batch]*IFERROR(INDEX(PP_Grid[#Data],M_BOM[PPGridRow],59),0))+IFERROR(INDEX(M_RawMaterials[固定週次消費量_要入力],MATCH($A42,M_RawMaterials[Part Name],0)),0)</f>
        <v/>
      </c>
      <c r="BH42">
        <f>SUMPRODUCT((M_BOM[Part Name]=$A42)*M_BOM[RM_Qty_Per_Batch]*IFERROR(INDEX(PP_Grid[#Data],M_BOM[PPGridRow],60),0))+IFERROR(INDEX(M_RawMaterials[固定週次消費量_要入力],MATCH($A42,M_RawMaterials[Part Name],0)),0)</f>
        <v/>
      </c>
      <c r="BI42">
        <f>SUMPRODUCT((M_BOM[Part Name]=$A42)*M_BOM[RM_Qty_Per_Batch]*IFERROR(INDEX(PP_Grid[#Data],M_BOM[PPGridRow],61),0))+IFERROR(INDEX(M_RawMaterials[固定週次消費量_要入力],MATCH($A42,M_RawMaterials[Part Name],0)),0)</f>
        <v/>
      </c>
      <c r="BJ42">
        <f>SUMPRODUCT((M_BOM[Part Name]=$A42)*M_BOM[RM_Qty_Per_Batch]*IFERROR(INDEX(PP_Grid[#Data],M_BOM[PPGridRow],62),0))+IFERROR(INDEX(M_RawMaterials[固定週次消費量_要入力],MATCH($A42,M_RawMaterials[Part Name],0)),0)</f>
        <v/>
      </c>
      <c r="BK42">
        <f>SUMPRODUCT((M_BOM[Part Name]=$A42)*M_BOM[RM_Qty_Per_Batch]*IFERROR(INDEX(PP_Grid[#Data],M_BOM[PPGridRow],63),0))+IFERROR(INDEX(M_RawMaterials[固定週次消費量_要入力],MATCH($A42,M_RawMaterials[Part Name],0)),0)</f>
        <v/>
      </c>
      <c r="BL42">
        <f>SUMPRODUCT((M_BOM[Part Name]=$A42)*M_BOM[RM_Qty_Per_Batch]*IFERROR(INDEX(PP_Grid[#Data],M_BOM[PPGridRow],64),0))+IFERROR(INDEX(M_RawMaterials[固定週次消費量_要入力],MATCH($A42,M_RawMaterials[Part Name],0)),0)</f>
        <v/>
      </c>
      <c r="BM42">
        <f>SUMPRODUCT((M_BOM[Part Name]=$A42)*M_BOM[RM_Qty_Per_Batch]*IFERROR(INDEX(PP_Grid[#Data],M_BOM[PPGridRow],65),0))+IFERROR(INDEX(M_RawMaterials[固定週次消費量_要入力],MATCH($A42,M_RawMaterials[Part Name],0)),0)</f>
        <v/>
      </c>
      <c r="BN42">
        <f>SUMPRODUCT((M_BOM[Part Name]=$A42)*M_BOM[RM_Qty_Per_Batch]*IFERROR(INDEX(PP_Grid[#Data],M_BOM[PPGridRow],66),0))+IFERROR(INDEX(M_RawMaterials[固定週次消費量_要入力],MATCH($A42,M_RawMaterials[Part Name],0)),0)</f>
        <v/>
      </c>
      <c r="BO42">
        <f>SUMPRODUCT((M_BOM[Part Name]=$A42)*M_BOM[RM_Qty_Per_Batch]*IFERROR(INDEX(PP_Grid[#Data],M_BOM[PPGridRow],67),0))+IFERROR(INDEX(M_RawMaterials[固定週次消費量_要入力],MATCH($A42,M_RawMaterials[Part Name],0)),0)</f>
        <v/>
      </c>
      <c r="BP42">
        <f>SUMPRODUCT((M_BOM[Part Name]=$A42)*M_BOM[RM_Qty_Per_Batch]*IFERROR(INDEX(PP_Grid[#Data],M_BOM[PPGridRow],68),0))+IFERROR(INDEX(M_RawMaterials[固定週次消費量_要入力],MATCH($A42,M_RawMaterials[Part Name],0)),0)</f>
        <v/>
      </c>
      <c r="BQ42">
        <f>SUMPRODUCT((M_BOM[Part Name]=$A42)*M_BOM[RM_Qty_Per_Batch]*IFERROR(INDEX(PP_Grid[#Data],M_BOM[PPGridRow],69),0))+IFERROR(INDEX(M_RawMaterials[固定週次消費量_要入力],MATCH($A42,M_RawMaterials[Part Name],0)),0)</f>
        <v/>
      </c>
      <c r="BR42">
        <f>SUMPRODUCT((M_BOM[Part Name]=$A42)*M_BOM[RM_Qty_Per_Batch]*IFERROR(INDEX(PP_Grid[#Data],M_BOM[PPGridRow],70),0))+IFERROR(INDEX(M_RawMaterials[固定週次消費量_要入力],MATCH($A42,M_RawMaterials[Part Name],0)),0)</f>
        <v/>
      </c>
      <c r="BS42">
        <f>SUMPRODUCT((M_BOM[Part Name]=$A42)*M_BOM[RM_Qty_Per_Batch]*IFERROR(INDEX(PP_Grid[#Data],M_BOM[PPGridRow],71),0))+IFERROR(INDEX(M_RawMaterials[固定週次消費量_要入力],MATCH($A42,M_RawMaterials[Part Name],0)),0)</f>
        <v/>
      </c>
      <c r="BT42">
        <f>SUMPRODUCT((M_BOM[Part Name]=$A42)*M_BOM[RM_Qty_Per_Batch]*IFERROR(INDEX(PP_Grid[#Data],M_BOM[PPGridRow],72),0))+IFERROR(INDEX(M_RawMaterials[固定週次消費量_要入力],MATCH($A42,M_RawMaterials[Part Name],0)),0)</f>
        <v/>
      </c>
      <c r="BU42">
        <f>SUMPRODUCT((M_BOM[Part Name]=$A42)*M_BOM[RM_Qty_Per_Batch]*IFERROR(INDEX(PP_Grid[#Data],M_BOM[PPGridRow],73),0))+IFERROR(INDEX(M_RawMaterials[固定週次消費量_要入力],MATCH($A42,M_RawMaterials[Part Name],0)),0)</f>
        <v/>
      </c>
      <c r="BV42">
        <f>SUMPRODUCT((M_BOM[Part Name]=$A42)*M_BOM[RM_Qty_Per_Batch]*IFERROR(INDEX(PP_Grid[#Data],M_BOM[PPGridRow],74),0))+IFERROR(INDEX(M_RawMaterials[固定週次消費量_要入力],MATCH($A42,M_RawMaterials[Part Name],0)),0)</f>
        <v/>
      </c>
      <c r="BW42">
        <f>SUMPRODUCT((M_BOM[Part Name]=$A42)*M_BOM[RM_Qty_Per_Batch]*IFERROR(INDEX(PP_Grid[#Data],M_BOM[PPGridRow],75),0))+IFERROR(INDEX(M_RawMaterials[固定週次消費量_要入力],MATCH($A42,M_RawMaterials[Part Name],0)),0)</f>
        <v/>
      </c>
      <c r="BX42">
        <f>SUMPRODUCT((M_BOM[Part Name]=$A42)*M_BOM[RM_Qty_Per_Batch]*IFERROR(INDEX(PP_Grid[#Data],M_BOM[PPGridRow],76),0))+IFERROR(INDEX(M_RawMaterials[固定週次消費量_要入力],MATCH($A42,M_RawMaterials[Part Name],0)),0)</f>
        <v/>
      </c>
      <c r="BY42">
        <f>SUMPRODUCT((M_BOM[Part Name]=$A42)*M_BOM[RM_Qty_Per_Batch]*IFERROR(INDEX(PP_Grid[#Data],M_BOM[PPGridRow],77),0))+IFERROR(INDEX(M_RawMaterials[固定週次消費量_要入力],MATCH($A42,M_RawMaterials[Part Name],0)),0)</f>
        <v/>
      </c>
      <c r="BZ42">
        <f>SUMPRODUCT((M_BOM[Part Name]=$A42)*M_BOM[RM_Qty_Per_Batch]*IFERROR(INDEX(PP_Grid[#Data],M_BOM[PPGridRow],78),0))+IFERROR(INDEX(M_RawMaterials[固定週次消費量_要入力],MATCH($A42,M_RawMaterials[Part Name],0)),0)</f>
        <v/>
      </c>
      <c r="CA42">
        <f>SUMPRODUCT((M_BOM[Part Name]=$A42)*M_BOM[RM_Qty_Per_Batch]*IFERROR(INDEX(PP_Grid[#Data],M_BOM[PPGridRow],79),0))+IFERROR(INDEX(M_RawMaterials[固定週次消費量_要入力],MATCH($A42,M_RawMaterials[Part Name],0)),0)</f>
        <v/>
      </c>
      <c r="CB42">
        <f>SUMPRODUCT((M_BOM[Part Name]=$A42)*M_BOM[RM_Qty_Per_Batch]*IFERROR(INDEX(PP_Grid[#Data],M_BOM[PPGridRow],80),0))+IFERROR(INDEX(M_RawMaterials[固定週次消費量_要入力],MATCH($A42,M_RawMaterials[Part Name],0)),0)</f>
        <v/>
      </c>
      <c r="CC42">
        <f>SUMPRODUCT((M_BOM[Part Name]=$A42)*M_BOM[RM_Qty_Per_Batch]*IFERROR(INDEX(PP_Grid[#Data],M_BOM[PPGridRow],81),0))+IFERROR(INDEX(M_RawMaterials[固定週次消費量_要入力],MATCH($A42,M_RawMaterials[Part Name],0)),0)</f>
        <v/>
      </c>
      <c r="CD42">
        <f>SUMPRODUCT((M_BOM[Part Name]=$A42)*M_BOM[RM_Qty_Per_Batch]*IFERROR(INDEX(PP_Grid[#Data],M_BOM[PPGridRow],82),0))+IFERROR(INDEX(M_RawMaterials[固定週次消費量_要入力],MATCH($A42,M_RawMaterials[Part Name],0)),0)</f>
        <v/>
      </c>
      <c r="CE42">
        <f>SUMPRODUCT((M_BOM[Part Name]=$A42)*M_BOM[RM_Qty_Per_Batch]*IFERROR(INDEX(PP_Grid[#Data],M_BOM[PPGridRow],83),0))+IFERROR(INDEX(M_RawMaterials[固定週次消費量_要入力],MATCH($A42,M_RawMaterials[Part Name],0)),0)</f>
        <v/>
      </c>
      <c r="CF42">
        <f>SUMPRODUCT((M_BOM[Part Name]=$A42)*M_BOM[RM_Qty_Per_Batch]*IFERROR(INDEX(PP_Grid[#Data],M_BOM[PPGridRow],84),0))+IFERROR(INDEX(M_RawMaterials[固定週次消費量_要入力],MATCH($A42,M_RawMaterials[Part Name],0)),0)</f>
        <v/>
      </c>
      <c r="CG42">
        <f>SUMPRODUCT((M_BOM[Part Name]=$A42)*M_BOM[RM_Qty_Per_Batch]*IFERROR(INDEX(PP_Grid[#Data],M_BOM[PPGridRow],85),0))+IFERROR(INDEX(M_RawMaterials[固定週次消費量_要入力],MATCH($A42,M_RawMaterials[Part Name],0)),0)</f>
        <v/>
      </c>
      <c r="CH42">
        <f>SUMPRODUCT((M_BOM[Part Name]=$A42)*M_BOM[RM_Qty_Per_Batch]*IFERROR(INDEX(PP_Grid[#Data],M_BOM[PPGridRow],86),0))+IFERROR(INDEX(M_RawMaterials[固定週次消費量_要入力],MATCH($A42,M_RawMaterials[Part Name],0)),0)</f>
        <v/>
      </c>
      <c r="CI42">
        <f>SUMPRODUCT((M_BOM[Part Name]=$A42)*M_BOM[RM_Qty_Per_Batch]*IFERROR(INDEX(PP_Grid[#Data],M_BOM[PPGridRow],87),0))+IFERROR(INDEX(M_RawMaterials[固定週次消費量_要入力],MATCH($A42,M_RawMaterials[Part Name],0)),0)</f>
        <v/>
      </c>
      <c r="CJ42">
        <f>SUMPRODUCT((M_BOM[Part Name]=$A42)*M_BOM[RM_Qty_Per_Batch]*IFERROR(INDEX(PP_Grid[#Data],M_BOM[PPGridRow],88),0))+IFERROR(INDEX(M_RawMaterials[固定週次消費量_要入力],MATCH($A42,M_RawMaterials[Part Name],0)),0)</f>
        <v/>
      </c>
      <c r="CK42">
        <f>SUMPRODUCT((M_BOM[Part Name]=$A42)*M_BOM[RM_Qty_Per_Batch]*IFERROR(INDEX(PP_Grid[#Data],M_BOM[PPGridRow],89),0))+IFERROR(INDEX(M_RawMaterials[固定週次消費量_要入力],MATCH($A42,M_RawMaterials[Part Name],0)),0)</f>
        <v/>
      </c>
      <c r="CL42">
        <f>SUMPRODUCT((M_BOM[Part Name]=$A42)*M_BOM[RM_Qty_Per_Batch]*IFERROR(INDEX(PP_Grid[#Data],M_BOM[PPGridRow],90),0))+IFERROR(INDEX(M_RawMaterials[固定週次消費量_要入力],MATCH($A42,M_RawMaterials[Part Name],0)),0)</f>
        <v/>
      </c>
      <c r="CM42">
        <f>SUMPRODUCT((M_BOM[Part Name]=$A42)*M_BOM[RM_Qty_Per_Batch]*IFERROR(INDEX(PP_Grid[#Data],M_BOM[PPGridRow],91),0))+IFERROR(INDEX(M_RawMaterials[固定週次消費量_要入力],MATCH($A42,M_RawMaterials[Part Name],0)),0)</f>
        <v/>
      </c>
      <c r="CN42">
        <f>SUMPRODUCT((M_BOM[Part Name]=$A42)*M_BOM[RM_Qty_Per_Batch]*IFERROR(INDEX(PP_Grid[#Data],M_BOM[PPGridRow],92),0))+IFERROR(INDEX(M_RawMaterials[固定週次消費量_要入力],MATCH($A42,M_RawMaterials[Part Name],0)),0)</f>
        <v/>
      </c>
      <c r="CO42">
        <f>SUMPRODUCT((M_BOM[Part Name]=$A42)*M_BOM[RM_Qty_Per_Batch]*IFERROR(INDEX(PP_Grid[#Data],M_BOM[PPGridRow],93),0))+IFERROR(INDEX(M_RawMaterials[固定週次消費量_要入力],MATCH($A42,M_RawMaterials[Part Name],0)),0)</f>
        <v/>
      </c>
      <c r="CP42">
        <f>SUMPRODUCT((M_BOM[Part Name]=$A42)*M_BOM[RM_Qty_Per_Batch]*IFERROR(INDEX(PP_Grid[#Data],M_BOM[PPGridRow],94),0))+IFERROR(INDEX(M_RawMaterials[固定週次消費量_要入力],MATCH($A42,M_RawMaterials[Part Name],0)),0)</f>
        <v/>
      </c>
      <c r="CQ42">
        <f>SUMPRODUCT((M_BOM[Part Name]=$A42)*M_BOM[RM_Qty_Per_Batch]*IFERROR(INDEX(PP_Grid[#Data],M_BOM[PPGridRow],95),0))+IFERROR(INDEX(M_RawMaterials[固定週次消費量_要入力],MATCH($A42,M_RawMaterials[Part Name],0)),0)</f>
        <v/>
      </c>
      <c r="CR42">
        <f>SUMPRODUCT((M_BOM[Part Name]=$A42)*M_BOM[RM_Qty_Per_Batch]*IFERROR(INDEX(PP_Grid[#Data],M_BOM[PPGridRow],96),0))+IFERROR(INDEX(M_RawMaterials[固定週次消費量_要入力],MATCH($A42,M_RawMaterials[Part Name],0)),0)</f>
        <v/>
      </c>
      <c r="CS42">
        <f>SUMPRODUCT((M_BOM[Part Name]=$A42)*M_BOM[RM_Qty_Per_Batch]*IFERROR(INDEX(PP_Grid[#Data],M_BOM[PPGridRow],97),0))+IFERROR(INDEX(M_RawMaterials[固定週次消費量_要入力],MATCH($A42,M_RawMaterials[Part Name],0)),0)</f>
        <v/>
      </c>
      <c r="CT42">
        <f>SUMPRODUCT((M_BOM[Part Name]=$A42)*M_BOM[RM_Qty_Per_Batch]*IFERROR(INDEX(PP_Grid[#Data],M_BOM[PPGridRow],98),0))+IFERROR(INDEX(M_RawMaterials[固定週次消費量_要入力],MATCH($A42,M_RawMaterials[Part Name],0)),0)</f>
        <v/>
      </c>
      <c r="CU42">
        <f>SUMPRODUCT((M_BOM[Part Name]=$A42)*M_BOM[RM_Qty_Per_Batch]*IFERROR(INDEX(PP_Grid[#Data],M_BOM[PPGridRow],99),0))+IFERROR(INDEX(M_RawMaterials[固定週次消費量_要入力],MATCH($A42,M_RawMaterials[Part Name],0)),0)</f>
        <v/>
      </c>
      <c r="CV42">
        <f>SUMPRODUCT((M_BOM[Part Name]=$A42)*M_BOM[RM_Qty_Per_Batch]*IFERROR(INDEX(PP_Grid[#Data],M_BOM[PPGridRow],100),0))+IFERROR(INDEX(M_RawMaterials[固定週次消費量_要入力],MATCH($A42,M_RawMaterials[Part Name],0)),0)</f>
        <v/>
      </c>
      <c r="CW42">
        <f>SUMPRODUCT((M_BOM[Part Name]=$A42)*M_BOM[RM_Qty_Per_Batch]*IFERROR(INDEX(PP_Grid[#Data],M_BOM[PPGridRow],101),0))+IFERROR(INDEX(M_RawMaterials[固定週次消費量_要入力],MATCH($A42,M_RawMaterials[Part Name],0)),0)</f>
        <v/>
      </c>
      <c r="CX42">
        <f>SUMPRODUCT((M_BOM[Part Name]=$A42)*M_BOM[RM_Qty_Per_Batch]*IFERROR(INDEX(PP_Grid[#Data],M_BOM[PPGridRow],102),0))+IFERROR(INDEX(M_RawMaterials[固定週次消費量_要入力],MATCH($A42,M_RawMaterials[Part Name],0)),0)</f>
        <v/>
      </c>
      <c r="CY42">
        <f>SUMPRODUCT((M_BOM[Part Name]=$A42)*M_BOM[RM_Qty_Per_Batch]*IFERROR(INDEX(PP_Grid[#Data],M_BOM[PPGridRow],103),0))+IFERROR(INDEX(M_RawMaterials[固定週次消費量_要入力],MATCH($A42,M_RawMaterials[Part Name],0)),0)</f>
        <v/>
      </c>
      <c r="CZ42">
        <f>SUMPRODUCT((M_BOM[Part Name]=$A42)*M_BOM[RM_Qty_Per_Batch]*IFERROR(INDEX(PP_Grid[#Data],M_BOM[PPGridRow],104),0))+IFERROR(INDEX(M_RawMaterials[固定週次消費量_要入力],MATCH($A42,M_RawMaterials[Part Name],0)),0)</f>
        <v/>
      </c>
      <c r="DA42">
        <f>SUMPRODUCT((M_BOM[Part Name]=$A42)*M_BOM[RM_Qty_Per_Batch]*IFERROR(INDEX(PP_Grid[#Data],M_BOM[PPGridRow],105),0))+IFERROR(INDEX(M_RawMaterials[固定週次消費量_要入力],MATCH($A42,M_RawMaterials[Part Name],0)),0)</f>
        <v/>
      </c>
    </row>
    <row r="43">
      <c r="A43" t="inlineStr">
        <is>
          <t>CHEM-1570</t>
        </is>
      </c>
      <c r="B43">
        <f>SUMPRODUCT((M_BOM[Part Name]=$A43)*M_BOM[RM_Qty_Per_Batch]*IFERROR(INDEX(PP_Grid[#Data],M_BOM[PPGridRow],2),0))+IFERROR(INDEX(M_RawMaterials[固定週次消費量_要入力],MATCH($A43,M_RawMaterials[Part Name],0)),0)</f>
        <v/>
      </c>
      <c r="C43">
        <f>SUMPRODUCT((M_BOM[Part Name]=$A43)*M_BOM[RM_Qty_Per_Batch]*IFERROR(INDEX(PP_Grid[#Data],M_BOM[PPGridRow],3),0))+IFERROR(INDEX(M_RawMaterials[固定週次消費量_要入力],MATCH($A43,M_RawMaterials[Part Name],0)),0)</f>
        <v/>
      </c>
      <c r="D43">
        <f>SUMPRODUCT((M_BOM[Part Name]=$A43)*M_BOM[RM_Qty_Per_Batch]*IFERROR(INDEX(PP_Grid[#Data],M_BOM[PPGridRow],4),0))+IFERROR(INDEX(M_RawMaterials[固定週次消費量_要入力],MATCH($A43,M_RawMaterials[Part Name],0)),0)</f>
        <v/>
      </c>
      <c r="E43">
        <f>SUMPRODUCT((M_BOM[Part Name]=$A43)*M_BOM[RM_Qty_Per_Batch]*IFERROR(INDEX(PP_Grid[#Data],M_BOM[PPGridRow],5),0))+IFERROR(INDEX(M_RawMaterials[固定週次消費量_要入力],MATCH($A43,M_RawMaterials[Part Name],0)),0)</f>
        <v/>
      </c>
      <c r="F43">
        <f>SUMPRODUCT((M_BOM[Part Name]=$A43)*M_BOM[RM_Qty_Per_Batch]*IFERROR(INDEX(PP_Grid[#Data],M_BOM[PPGridRow],6),0))+IFERROR(INDEX(M_RawMaterials[固定週次消費量_要入力],MATCH($A43,M_RawMaterials[Part Name],0)),0)</f>
        <v/>
      </c>
      <c r="G43">
        <f>SUMPRODUCT((M_BOM[Part Name]=$A43)*M_BOM[RM_Qty_Per_Batch]*IFERROR(INDEX(PP_Grid[#Data],M_BOM[PPGridRow],7),0))+IFERROR(INDEX(M_RawMaterials[固定週次消費量_要入力],MATCH($A43,M_RawMaterials[Part Name],0)),0)</f>
        <v/>
      </c>
      <c r="H43">
        <f>SUMPRODUCT((M_BOM[Part Name]=$A43)*M_BOM[RM_Qty_Per_Batch]*IFERROR(INDEX(PP_Grid[#Data],M_BOM[PPGridRow],8),0))+IFERROR(INDEX(M_RawMaterials[固定週次消費量_要入力],MATCH($A43,M_RawMaterials[Part Name],0)),0)</f>
        <v/>
      </c>
      <c r="I43">
        <f>SUMPRODUCT((M_BOM[Part Name]=$A43)*M_BOM[RM_Qty_Per_Batch]*IFERROR(INDEX(PP_Grid[#Data],M_BOM[PPGridRow],9),0))+IFERROR(INDEX(M_RawMaterials[固定週次消費量_要入力],MATCH($A43,M_RawMaterials[Part Name],0)),0)</f>
        <v/>
      </c>
      <c r="J43">
        <f>SUMPRODUCT((M_BOM[Part Name]=$A43)*M_BOM[RM_Qty_Per_Batch]*IFERROR(INDEX(PP_Grid[#Data],M_BOM[PPGridRow],10),0))+IFERROR(INDEX(M_RawMaterials[固定週次消費量_要入力],MATCH($A43,M_RawMaterials[Part Name],0)),0)</f>
        <v/>
      </c>
      <c r="K43">
        <f>SUMPRODUCT((M_BOM[Part Name]=$A43)*M_BOM[RM_Qty_Per_Batch]*IFERROR(INDEX(PP_Grid[#Data],M_BOM[PPGridRow],11),0))+IFERROR(INDEX(M_RawMaterials[固定週次消費量_要入力],MATCH($A43,M_RawMaterials[Part Name],0)),0)</f>
        <v/>
      </c>
      <c r="L43">
        <f>SUMPRODUCT((M_BOM[Part Name]=$A43)*M_BOM[RM_Qty_Per_Batch]*IFERROR(INDEX(PP_Grid[#Data],M_BOM[PPGridRow],12),0))+IFERROR(INDEX(M_RawMaterials[固定週次消費量_要入力],MATCH($A43,M_RawMaterials[Part Name],0)),0)</f>
        <v/>
      </c>
      <c r="M43">
        <f>SUMPRODUCT((M_BOM[Part Name]=$A43)*M_BOM[RM_Qty_Per_Batch]*IFERROR(INDEX(PP_Grid[#Data],M_BOM[PPGridRow],13),0))+IFERROR(INDEX(M_RawMaterials[固定週次消費量_要入力],MATCH($A43,M_RawMaterials[Part Name],0)),0)</f>
        <v/>
      </c>
      <c r="N43">
        <f>SUMPRODUCT((M_BOM[Part Name]=$A43)*M_BOM[RM_Qty_Per_Batch]*IFERROR(INDEX(PP_Grid[#Data],M_BOM[PPGridRow],14),0))+IFERROR(INDEX(M_RawMaterials[固定週次消費量_要入力],MATCH($A43,M_RawMaterials[Part Name],0)),0)</f>
        <v/>
      </c>
      <c r="O43">
        <f>SUMPRODUCT((M_BOM[Part Name]=$A43)*M_BOM[RM_Qty_Per_Batch]*IFERROR(INDEX(PP_Grid[#Data],M_BOM[PPGridRow],15),0))+IFERROR(INDEX(M_RawMaterials[固定週次消費量_要入力],MATCH($A43,M_RawMaterials[Part Name],0)),0)</f>
        <v/>
      </c>
      <c r="P43">
        <f>SUMPRODUCT((M_BOM[Part Name]=$A43)*M_BOM[RM_Qty_Per_Batch]*IFERROR(INDEX(PP_Grid[#Data],M_BOM[PPGridRow],16),0))+IFERROR(INDEX(M_RawMaterials[固定週次消費量_要入力],MATCH($A43,M_RawMaterials[Part Name],0)),0)</f>
        <v/>
      </c>
      <c r="Q43">
        <f>SUMPRODUCT((M_BOM[Part Name]=$A43)*M_BOM[RM_Qty_Per_Batch]*IFERROR(INDEX(PP_Grid[#Data],M_BOM[PPGridRow],17),0))+IFERROR(INDEX(M_RawMaterials[固定週次消費量_要入力],MATCH($A43,M_RawMaterials[Part Name],0)),0)</f>
        <v/>
      </c>
      <c r="R43">
        <f>SUMPRODUCT((M_BOM[Part Name]=$A43)*M_BOM[RM_Qty_Per_Batch]*IFERROR(INDEX(PP_Grid[#Data],M_BOM[PPGridRow],18),0))+IFERROR(INDEX(M_RawMaterials[固定週次消費量_要入力],MATCH($A43,M_RawMaterials[Part Name],0)),0)</f>
        <v/>
      </c>
      <c r="S43">
        <f>SUMPRODUCT((M_BOM[Part Name]=$A43)*M_BOM[RM_Qty_Per_Batch]*IFERROR(INDEX(PP_Grid[#Data],M_BOM[PPGridRow],19),0))+IFERROR(INDEX(M_RawMaterials[固定週次消費量_要入力],MATCH($A43,M_RawMaterials[Part Name],0)),0)</f>
        <v/>
      </c>
      <c r="T43">
        <f>SUMPRODUCT((M_BOM[Part Name]=$A43)*M_BOM[RM_Qty_Per_Batch]*IFERROR(INDEX(PP_Grid[#Data],M_BOM[PPGridRow],20),0))+IFERROR(INDEX(M_RawMaterials[固定週次消費量_要入力],MATCH($A43,M_RawMaterials[Part Name],0)),0)</f>
        <v/>
      </c>
      <c r="U43">
        <f>SUMPRODUCT((M_BOM[Part Name]=$A43)*M_BOM[RM_Qty_Per_Batch]*IFERROR(INDEX(PP_Grid[#Data],M_BOM[PPGridRow],21),0))+IFERROR(INDEX(M_RawMaterials[固定週次消費量_要入力],MATCH($A43,M_RawMaterials[Part Name],0)),0)</f>
        <v/>
      </c>
      <c r="V43">
        <f>SUMPRODUCT((M_BOM[Part Name]=$A43)*M_BOM[RM_Qty_Per_Batch]*IFERROR(INDEX(PP_Grid[#Data],M_BOM[PPGridRow],22),0))+IFERROR(INDEX(M_RawMaterials[固定週次消費量_要入力],MATCH($A43,M_RawMaterials[Part Name],0)),0)</f>
        <v/>
      </c>
      <c r="W43">
        <f>SUMPRODUCT((M_BOM[Part Name]=$A43)*M_BOM[RM_Qty_Per_Batch]*IFERROR(INDEX(PP_Grid[#Data],M_BOM[PPGridRow],23),0))+IFERROR(INDEX(M_RawMaterials[固定週次消費量_要入力],MATCH($A43,M_RawMaterials[Part Name],0)),0)</f>
        <v/>
      </c>
      <c r="X43">
        <f>SUMPRODUCT((M_BOM[Part Name]=$A43)*M_BOM[RM_Qty_Per_Batch]*IFERROR(INDEX(PP_Grid[#Data],M_BOM[PPGridRow],24),0))+IFERROR(INDEX(M_RawMaterials[固定週次消費量_要入力],MATCH($A43,M_RawMaterials[Part Name],0)),0)</f>
        <v/>
      </c>
      <c r="Y43">
        <f>SUMPRODUCT((M_BOM[Part Name]=$A43)*M_BOM[RM_Qty_Per_Batch]*IFERROR(INDEX(PP_Grid[#Data],M_BOM[PPGridRow],25),0))+IFERROR(INDEX(M_RawMaterials[固定週次消費量_要入力],MATCH($A43,M_RawMaterials[Part Name],0)),0)</f>
        <v/>
      </c>
      <c r="Z43">
        <f>SUMPRODUCT((M_BOM[Part Name]=$A43)*M_BOM[RM_Qty_Per_Batch]*IFERROR(INDEX(PP_Grid[#Data],M_BOM[PPGridRow],26),0))+IFERROR(INDEX(M_RawMaterials[固定週次消費量_要入力],MATCH($A43,M_RawMaterials[Part Name],0)),0)</f>
        <v/>
      </c>
      <c r="AA43">
        <f>SUMPRODUCT((M_BOM[Part Name]=$A43)*M_BOM[RM_Qty_Per_Batch]*IFERROR(INDEX(PP_Grid[#Data],M_BOM[PPGridRow],27),0))+IFERROR(INDEX(M_RawMaterials[固定週次消費量_要入力],MATCH($A43,M_RawMaterials[Part Name],0)),0)</f>
        <v/>
      </c>
      <c r="AB43">
        <f>SUMPRODUCT((M_BOM[Part Name]=$A43)*M_BOM[RM_Qty_Per_Batch]*IFERROR(INDEX(PP_Grid[#Data],M_BOM[PPGridRow],28),0))+IFERROR(INDEX(M_RawMaterials[固定週次消費量_要入力],MATCH($A43,M_RawMaterials[Part Name],0)),0)</f>
        <v/>
      </c>
      <c r="AC43">
        <f>SUMPRODUCT((M_BOM[Part Name]=$A43)*M_BOM[RM_Qty_Per_Batch]*IFERROR(INDEX(PP_Grid[#Data],M_BOM[PPGridRow],29),0))+IFERROR(INDEX(M_RawMaterials[固定週次消費量_要入力],MATCH($A43,M_RawMaterials[Part Name],0)),0)</f>
        <v/>
      </c>
      <c r="AD43">
        <f>SUMPRODUCT((M_BOM[Part Name]=$A43)*M_BOM[RM_Qty_Per_Batch]*IFERROR(INDEX(PP_Grid[#Data],M_BOM[PPGridRow],30),0))+IFERROR(INDEX(M_RawMaterials[固定週次消費量_要入力],MATCH($A43,M_RawMaterials[Part Name],0)),0)</f>
        <v/>
      </c>
      <c r="AE43">
        <f>SUMPRODUCT((M_BOM[Part Name]=$A43)*M_BOM[RM_Qty_Per_Batch]*IFERROR(INDEX(PP_Grid[#Data],M_BOM[PPGridRow],31),0))+IFERROR(INDEX(M_RawMaterials[固定週次消費量_要入力],MATCH($A43,M_RawMaterials[Part Name],0)),0)</f>
        <v/>
      </c>
      <c r="AF43">
        <f>SUMPRODUCT((M_BOM[Part Name]=$A43)*M_BOM[RM_Qty_Per_Batch]*IFERROR(INDEX(PP_Grid[#Data],M_BOM[PPGridRow],32),0))+IFERROR(INDEX(M_RawMaterials[固定週次消費量_要入力],MATCH($A43,M_RawMaterials[Part Name],0)),0)</f>
        <v/>
      </c>
      <c r="AG43">
        <f>SUMPRODUCT((M_BOM[Part Name]=$A43)*M_BOM[RM_Qty_Per_Batch]*IFERROR(INDEX(PP_Grid[#Data],M_BOM[PPGridRow],33),0))+IFERROR(INDEX(M_RawMaterials[固定週次消費量_要入力],MATCH($A43,M_RawMaterials[Part Name],0)),0)</f>
        <v/>
      </c>
      <c r="AH43">
        <f>SUMPRODUCT((M_BOM[Part Name]=$A43)*M_BOM[RM_Qty_Per_Batch]*IFERROR(INDEX(PP_Grid[#Data],M_BOM[PPGridRow],34),0))+IFERROR(INDEX(M_RawMaterials[固定週次消費量_要入力],MATCH($A43,M_RawMaterials[Part Name],0)),0)</f>
        <v/>
      </c>
      <c r="AI43">
        <f>SUMPRODUCT((M_BOM[Part Name]=$A43)*M_BOM[RM_Qty_Per_Batch]*IFERROR(INDEX(PP_Grid[#Data],M_BOM[PPGridRow],35),0))+IFERROR(INDEX(M_RawMaterials[固定週次消費量_要入力],MATCH($A43,M_RawMaterials[Part Name],0)),0)</f>
        <v/>
      </c>
      <c r="AJ43">
        <f>SUMPRODUCT((M_BOM[Part Name]=$A43)*M_BOM[RM_Qty_Per_Batch]*IFERROR(INDEX(PP_Grid[#Data],M_BOM[PPGridRow],36),0))+IFERROR(INDEX(M_RawMaterials[固定週次消費量_要入力],MATCH($A43,M_RawMaterials[Part Name],0)),0)</f>
        <v/>
      </c>
      <c r="AK43">
        <f>SUMPRODUCT((M_BOM[Part Name]=$A43)*M_BOM[RM_Qty_Per_Batch]*IFERROR(INDEX(PP_Grid[#Data],M_BOM[PPGridRow],37),0))+IFERROR(INDEX(M_RawMaterials[固定週次消費量_要入力],MATCH($A43,M_RawMaterials[Part Name],0)),0)</f>
        <v/>
      </c>
      <c r="AL43">
        <f>SUMPRODUCT((M_BOM[Part Name]=$A43)*M_BOM[RM_Qty_Per_Batch]*IFERROR(INDEX(PP_Grid[#Data],M_BOM[PPGridRow],38),0))+IFERROR(INDEX(M_RawMaterials[固定週次消費量_要入力],MATCH($A43,M_RawMaterials[Part Name],0)),0)</f>
        <v/>
      </c>
      <c r="AM43">
        <f>SUMPRODUCT((M_BOM[Part Name]=$A43)*M_BOM[RM_Qty_Per_Batch]*IFERROR(INDEX(PP_Grid[#Data],M_BOM[PPGridRow],39),0))+IFERROR(INDEX(M_RawMaterials[固定週次消費量_要入力],MATCH($A43,M_RawMaterials[Part Name],0)),0)</f>
        <v/>
      </c>
      <c r="AN43">
        <f>SUMPRODUCT((M_BOM[Part Name]=$A43)*M_BOM[RM_Qty_Per_Batch]*IFERROR(INDEX(PP_Grid[#Data],M_BOM[PPGridRow],40),0))+IFERROR(INDEX(M_RawMaterials[固定週次消費量_要入力],MATCH($A43,M_RawMaterials[Part Name],0)),0)</f>
        <v/>
      </c>
      <c r="AO43">
        <f>SUMPRODUCT((M_BOM[Part Name]=$A43)*M_BOM[RM_Qty_Per_Batch]*IFERROR(INDEX(PP_Grid[#Data],M_BOM[PPGridRow],41),0))+IFERROR(INDEX(M_RawMaterials[固定週次消費量_要入力],MATCH($A43,M_RawMaterials[Part Name],0)),0)</f>
        <v/>
      </c>
      <c r="AP43">
        <f>SUMPRODUCT((M_BOM[Part Name]=$A43)*M_BOM[RM_Qty_Per_Batch]*IFERROR(INDEX(PP_Grid[#Data],M_BOM[PPGridRow],42),0))+IFERROR(INDEX(M_RawMaterials[固定週次消費量_要入力],MATCH($A43,M_RawMaterials[Part Name],0)),0)</f>
        <v/>
      </c>
      <c r="AQ43">
        <f>SUMPRODUCT((M_BOM[Part Name]=$A43)*M_BOM[RM_Qty_Per_Batch]*IFERROR(INDEX(PP_Grid[#Data],M_BOM[PPGridRow],43),0))+IFERROR(INDEX(M_RawMaterials[固定週次消費量_要入力],MATCH($A43,M_RawMaterials[Part Name],0)),0)</f>
        <v/>
      </c>
      <c r="AR43">
        <f>SUMPRODUCT((M_BOM[Part Name]=$A43)*M_BOM[RM_Qty_Per_Batch]*IFERROR(INDEX(PP_Grid[#Data],M_BOM[PPGridRow],44),0))+IFERROR(INDEX(M_RawMaterials[固定週次消費量_要入力],MATCH($A43,M_RawMaterials[Part Name],0)),0)</f>
        <v/>
      </c>
      <c r="AS43">
        <f>SUMPRODUCT((M_BOM[Part Name]=$A43)*M_BOM[RM_Qty_Per_Batch]*IFERROR(INDEX(PP_Grid[#Data],M_BOM[PPGridRow],45),0))+IFERROR(INDEX(M_RawMaterials[固定週次消費量_要入力],MATCH($A43,M_RawMaterials[Part Name],0)),0)</f>
        <v/>
      </c>
      <c r="AT43">
        <f>SUMPRODUCT((M_BOM[Part Name]=$A43)*M_BOM[RM_Qty_Per_Batch]*IFERROR(INDEX(PP_Grid[#Data],M_BOM[PPGridRow],46),0))+IFERROR(INDEX(M_RawMaterials[固定週次消費量_要入力],MATCH($A43,M_RawMaterials[Part Name],0)),0)</f>
        <v/>
      </c>
      <c r="AU43">
        <f>SUMPRODUCT((M_BOM[Part Name]=$A43)*M_BOM[RM_Qty_Per_Batch]*IFERROR(INDEX(PP_Grid[#Data],M_BOM[PPGridRow],47),0))+IFERROR(INDEX(M_RawMaterials[固定週次消費量_要入力],MATCH($A43,M_RawMaterials[Part Name],0)),0)</f>
        <v/>
      </c>
      <c r="AV43">
        <f>SUMPRODUCT((M_BOM[Part Name]=$A43)*M_BOM[RM_Qty_Per_Batch]*IFERROR(INDEX(PP_Grid[#Data],M_BOM[PPGridRow],48),0))+IFERROR(INDEX(M_RawMaterials[固定週次消費量_要入力],MATCH($A43,M_RawMaterials[Part Name],0)),0)</f>
        <v/>
      </c>
      <c r="AW43">
        <f>SUMPRODUCT((M_BOM[Part Name]=$A43)*M_BOM[RM_Qty_Per_Batch]*IFERROR(INDEX(PP_Grid[#Data],M_BOM[PPGridRow],49),0))+IFERROR(INDEX(M_RawMaterials[固定週次消費量_要入力],MATCH($A43,M_RawMaterials[Part Name],0)),0)</f>
        <v/>
      </c>
      <c r="AX43">
        <f>SUMPRODUCT((M_BOM[Part Name]=$A43)*M_BOM[RM_Qty_Per_Batch]*IFERROR(INDEX(PP_Grid[#Data],M_BOM[PPGridRow],50),0))+IFERROR(INDEX(M_RawMaterials[固定週次消費量_要入力],MATCH($A43,M_RawMaterials[Part Name],0)),0)</f>
        <v/>
      </c>
      <c r="AY43">
        <f>SUMPRODUCT((M_BOM[Part Name]=$A43)*M_BOM[RM_Qty_Per_Batch]*IFERROR(INDEX(PP_Grid[#Data],M_BOM[PPGridRow],51),0))+IFERROR(INDEX(M_RawMaterials[固定週次消費量_要入力],MATCH($A43,M_RawMaterials[Part Name],0)),0)</f>
        <v/>
      </c>
      <c r="AZ43">
        <f>SUMPRODUCT((M_BOM[Part Name]=$A43)*M_BOM[RM_Qty_Per_Batch]*IFERROR(INDEX(PP_Grid[#Data],M_BOM[PPGridRow],52),0))+IFERROR(INDEX(M_RawMaterials[固定週次消費量_要入力],MATCH($A43,M_RawMaterials[Part Name],0)),0)</f>
        <v/>
      </c>
      <c r="BA43">
        <f>SUMPRODUCT((M_BOM[Part Name]=$A43)*M_BOM[RM_Qty_Per_Batch]*IFERROR(INDEX(PP_Grid[#Data],M_BOM[PPGridRow],53),0))+IFERROR(INDEX(M_RawMaterials[固定週次消費量_要入力],MATCH($A43,M_RawMaterials[Part Name],0)),0)</f>
        <v/>
      </c>
      <c r="BB43">
        <f>SUMPRODUCT((M_BOM[Part Name]=$A43)*M_BOM[RM_Qty_Per_Batch]*IFERROR(INDEX(PP_Grid[#Data],M_BOM[PPGridRow],54),0))+IFERROR(INDEX(M_RawMaterials[固定週次消費量_要入力],MATCH($A43,M_RawMaterials[Part Name],0)),0)</f>
        <v/>
      </c>
      <c r="BC43">
        <f>SUMPRODUCT((M_BOM[Part Name]=$A43)*M_BOM[RM_Qty_Per_Batch]*IFERROR(INDEX(PP_Grid[#Data],M_BOM[PPGridRow],55),0))+IFERROR(INDEX(M_RawMaterials[固定週次消費量_要入力],MATCH($A43,M_RawMaterials[Part Name],0)),0)</f>
        <v/>
      </c>
      <c r="BD43">
        <f>SUMPRODUCT((M_BOM[Part Name]=$A43)*M_BOM[RM_Qty_Per_Batch]*IFERROR(INDEX(PP_Grid[#Data],M_BOM[PPGridRow],56),0))+IFERROR(INDEX(M_RawMaterials[固定週次消費量_要入力],MATCH($A43,M_RawMaterials[Part Name],0)),0)</f>
        <v/>
      </c>
      <c r="BE43">
        <f>SUMPRODUCT((M_BOM[Part Name]=$A43)*M_BOM[RM_Qty_Per_Batch]*IFERROR(INDEX(PP_Grid[#Data],M_BOM[PPGridRow],57),0))+IFERROR(INDEX(M_RawMaterials[固定週次消費量_要入力],MATCH($A43,M_RawMaterials[Part Name],0)),0)</f>
        <v/>
      </c>
      <c r="BF43">
        <f>SUMPRODUCT((M_BOM[Part Name]=$A43)*M_BOM[RM_Qty_Per_Batch]*IFERROR(INDEX(PP_Grid[#Data],M_BOM[PPGridRow],58),0))+IFERROR(INDEX(M_RawMaterials[固定週次消費量_要入力],MATCH($A43,M_RawMaterials[Part Name],0)),0)</f>
        <v/>
      </c>
      <c r="BG43">
        <f>SUMPRODUCT((M_BOM[Part Name]=$A43)*M_BOM[RM_Qty_Per_Batch]*IFERROR(INDEX(PP_Grid[#Data],M_BOM[PPGridRow],59),0))+IFERROR(INDEX(M_RawMaterials[固定週次消費量_要入力],MATCH($A43,M_RawMaterials[Part Name],0)),0)</f>
        <v/>
      </c>
      <c r="BH43">
        <f>SUMPRODUCT((M_BOM[Part Name]=$A43)*M_BOM[RM_Qty_Per_Batch]*IFERROR(INDEX(PP_Grid[#Data],M_BOM[PPGridRow],60),0))+IFERROR(INDEX(M_RawMaterials[固定週次消費量_要入力],MATCH($A43,M_RawMaterials[Part Name],0)),0)</f>
        <v/>
      </c>
      <c r="BI43">
        <f>SUMPRODUCT((M_BOM[Part Name]=$A43)*M_BOM[RM_Qty_Per_Batch]*IFERROR(INDEX(PP_Grid[#Data],M_BOM[PPGridRow],61),0))+IFERROR(INDEX(M_RawMaterials[固定週次消費量_要入力],MATCH($A43,M_RawMaterials[Part Name],0)),0)</f>
        <v/>
      </c>
      <c r="BJ43">
        <f>SUMPRODUCT((M_BOM[Part Name]=$A43)*M_BOM[RM_Qty_Per_Batch]*IFERROR(INDEX(PP_Grid[#Data],M_BOM[PPGridRow],62),0))+IFERROR(INDEX(M_RawMaterials[固定週次消費量_要入力],MATCH($A43,M_RawMaterials[Part Name],0)),0)</f>
        <v/>
      </c>
      <c r="BK43">
        <f>SUMPRODUCT((M_BOM[Part Name]=$A43)*M_BOM[RM_Qty_Per_Batch]*IFERROR(INDEX(PP_Grid[#Data],M_BOM[PPGridRow],63),0))+IFERROR(INDEX(M_RawMaterials[固定週次消費量_要入力],MATCH($A43,M_RawMaterials[Part Name],0)),0)</f>
        <v/>
      </c>
      <c r="BL43">
        <f>SUMPRODUCT((M_BOM[Part Name]=$A43)*M_BOM[RM_Qty_Per_Batch]*IFERROR(INDEX(PP_Grid[#Data],M_BOM[PPGridRow],64),0))+IFERROR(INDEX(M_RawMaterials[固定週次消費量_要入力],MATCH($A43,M_RawMaterials[Part Name],0)),0)</f>
        <v/>
      </c>
      <c r="BM43">
        <f>SUMPRODUCT((M_BOM[Part Name]=$A43)*M_BOM[RM_Qty_Per_Batch]*IFERROR(INDEX(PP_Grid[#Data],M_BOM[PPGridRow],65),0))+IFERROR(INDEX(M_RawMaterials[固定週次消費量_要入力],MATCH($A43,M_RawMaterials[Part Name],0)),0)</f>
        <v/>
      </c>
      <c r="BN43">
        <f>SUMPRODUCT((M_BOM[Part Name]=$A43)*M_BOM[RM_Qty_Per_Batch]*IFERROR(INDEX(PP_Grid[#Data],M_BOM[PPGridRow],66),0))+IFERROR(INDEX(M_RawMaterials[固定週次消費量_要入力],MATCH($A43,M_RawMaterials[Part Name],0)),0)</f>
        <v/>
      </c>
      <c r="BO43">
        <f>SUMPRODUCT((M_BOM[Part Name]=$A43)*M_BOM[RM_Qty_Per_Batch]*IFERROR(INDEX(PP_Grid[#Data],M_BOM[PPGridRow],67),0))+IFERROR(INDEX(M_RawMaterials[固定週次消費量_要入力],MATCH($A43,M_RawMaterials[Part Name],0)),0)</f>
        <v/>
      </c>
      <c r="BP43">
        <f>SUMPRODUCT((M_BOM[Part Name]=$A43)*M_BOM[RM_Qty_Per_Batch]*IFERROR(INDEX(PP_Grid[#Data],M_BOM[PPGridRow],68),0))+IFERROR(INDEX(M_RawMaterials[固定週次消費量_要入力],MATCH($A43,M_RawMaterials[Part Name],0)),0)</f>
        <v/>
      </c>
      <c r="BQ43">
        <f>SUMPRODUCT((M_BOM[Part Name]=$A43)*M_BOM[RM_Qty_Per_Batch]*IFERROR(INDEX(PP_Grid[#Data],M_BOM[PPGridRow],69),0))+IFERROR(INDEX(M_RawMaterials[固定週次消費量_要入力],MATCH($A43,M_RawMaterials[Part Name],0)),0)</f>
        <v/>
      </c>
      <c r="BR43">
        <f>SUMPRODUCT((M_BOM[Part Name]=$A43)*M_BOM[RM_Qty_Per_Batch]*IFERROR(INDEX(PP_Grid[#Data],M_BOM[PPGridRow],70),0))+IFERROR(INDEX(M_RawMaterials[固定週次消費量_要入力],MATCH($A43,M_RawMaterials[Part Name],0)),0)</f>
        <v/>
      </c>
      <c r="BS43">
        <f>SUMPRODUCT((M_BOM[Part Name]=$A43)*M_BOM[RM_Qty_Per_Batch]*IFERROR(INDEX(PP_Grid[#Data],M_BOM[PPGridRow],71),0))+IFERROR(INDEX(M_RawMaterials[固定週次消費量_要入力],MATCH($A43,M_RawMaterials[Part Name],0)),0)</f>
        <v/>
      </c>
      <c r="BT43">
        <f>SUMPRODUCT((M_BOM[Part Name]=$A43)*M_BOM[RM_Qty_Per_Batch]*IFERROR(INDEX(PP_Grid[#Data],M_BOM[PPGridRow],72),0))+IFERROR(INDEX(M_RawMaterials[固定週次消費量_要入力],MATCH($A43,M_RawMaterials[Part Name],0)),0)</f>
        <v/>
      </c>
      <c r="BU43">
        <f>SUMPRODUCT((M_BOM[Part Name]=$A43)*M_BOM[RM_Qty_Per_Batch]*IFERROR(INDEX(PP_Grid[#Data],M_BOM[PPGridRow],73),0))+IFERROR(INDEX(M_RawMaterials[固定週次消費量_要入力],MATCH($A43,M_RawMaterials[Part Name],0)),0)</f>
        <v/>
      </c>
      <c r="BV43">
        <f>SUMPRODUCT((M_BOM[Part Name]=$A43)*M_BOM[RM_Qty_Per_Batch]*IFERROR(INDEX(PP_Grid[#Data],M_BOM[PPGridRow],74),0))+IFERROR(INDEX(M_RawMaterials[固定週次消費量_要入力],MATCH($A43,M_RawMaterials[Part Name],0)),0)</f>
        <v/>
      </c>
      <c r="BW43">
        <f>SUMPRODUCT((M_BOM[Part Name]=$A43)*M_BOM[RM_Qty_Per_Batch]*IFERROR(INDEX(PP_Grid[#Data],M_BOM[PPGridRow],75),0))+IFERROR(INDEX(M_RawMaterials[固定週次消費量_要入力],MATCH($A43,M_RawMaterials[Part Name],0)),0)</f>
        <v/>
      </c>
      <c r="BX43">
        <f>SUMPRODUCT((M_BOM[Part Name]=$A43)*M_BOM[RM_Qty_Per_Batch]*IFERROR(INDEX(PP_Grid[#Data],M_BOM[PPGridRow],76),0))+IFERROR(INDEX(M_RawMaterials[固定週次消費量_要入力],MATCH($A43,M_RawMaterials[Part Name],0)),0)</f>
        <v/>
      </c>
      <c r="BY43">
        <f>SUMPRODUCT((M_BOM[Part Name]=$A43)*M_BOM[RM_Qty_Per_Batch]*IFERROR(INDEX(PP_Grid[#Data],M_BOM[PPGridRow],77),0))+IFERROR(INDEX(M_RawMaterials[固定週次消費量_要入力],MATCH($A43,M_RawMaterials[Part Name],0)),0)</f>
        <v/>
      </c>
      <c r="BZ43">
        <f>SUMPRODUCT((M_BOM[Part Name]=$A43)*M_BOM[RM_Qty_Per_Batch]*IFERROR(INDEX(PP_Grid[#Data],M_BOM[PPGridRow],78),0))+IFERROR(INDEX(M_RawMaterials[固定週次消費量_要入力],MATCH($A43,M_RawMaterials[Part Name],0)),0)</f>
        <v/>
      </c>
      <c r="CA43">
        <f>SUMPRODUCT((M_BOM[Part Name]=$A43)*M_BOM[RM_Qty_Per_Batch]*IFERROR(INDEX(PP_Grid[#Data],M_BOM[PPGridRow],79),0))+IFERROR(INDEX(M_RawMaterials[固定週次消費量_要入力],MATCH($A43,M_RawMaterials[Part Name],0)),0)</f>
        <v/>
      </c>
      <c r="CB43">
        <f>SUMPRODUCT((M_BOM[Part Name]=$A43)*M_BOM[RM_Qty_Per_Batch]*IFERROR(INDEX(PP_Grid[#Data],M_BOM[PPGridRow],80),0))+IFERROR(INDEX(M_RawMaterials[固定週次消費量_要入力],MATCH($A43,M_RawMaterials[Part Name],0)),0)</f>
        <v/>
      </c>
      <c r="CC43">
        <f>SUMPRODUCT((M_BOM[Part Name]=$A43)*M_BOM[RM_Qty_Per_Batch]*IFERROR(INDEX(PP_Grid[#Data],M_BOM[PPGridRow],81),0))+IFERROR(INDEX(M_RawMaterials[固定週次消費量_要入力],MATCH($A43,M_RawMaterials[Part Name],0)),0)</f>
        <v/>
      </c>
      <c r="CD43">
        <f>SUMPRODUCT((M_BOM[Part Name]=$A43)*M_BOM[RM_Qty_Per_Batch]*IFERROR(INDEX(PP_Grid[#Data],M_BOM[PPGridRow],82),0))+IFERROR(INDEX(M_RawMaterials[固定週次消費量_要入力],MATCH($A43,M_RawMaterials[Part Name],0)),0)</f>
        <v/>
      </c>
      <c r="CE43">
        <f>SUMPRODUCT((M_BOM[Part Name]=$A43)*M_BOM[RM_Qty_Per_Batch]*IFERROR(INDEX(PP_Grid[#Data],M_BOM[PPGridRow],83),0))+IFERROR(INDEX(M_RawMaterials[固定週次消費量_要入力],MATCH($A43,M_RawMaterials[Part Name],0)),0)</f>
        <v/>
      </c>
      <c r="CF43">
        <f>SUMPRODUCT((M_BOM[Part Name]=$A43)*M_BOM[RM_Qty_Per_Batch]*IFERROR(INDEX(PP_Grid[#Data],M_BOM[PPGridRow],84),0))+IFERROR(INDEX(M_RawMaterials[固定週次消費量_要入力],MATCH($A43,M_RawMaterials[Part Name],0)),0)</f>
        <v/>
      </c>
      <c r="CG43">
        <f>SUMPRODUCT((M_BOM[Part Name]=$A43)*M_BOM[RM_Qty_Per_Batch]*IFERROR(INDEX(PP_Grid[#Data],M_BOM[PPGridRow],85),0))+IFERROR(INDEX(M_RawMaterials[固定週次消費量_要入力],MATCH($A43,M_RawMaterials[Part Name],0)),0)</f>
        <v/>
      </c>
      <c r="CH43">
        <f>SUMPRODUCT((M_BOM[Part Name]=$A43)*M_BOM[RM_Qty_Per_Batch]*IFERROR(INDEX(PP_Grid[#Data],M_BOM[PPGridRow],86),0))+IFERROR(INDEX(M_RawMaterials[固定週次消費量_要入力],MATCH($A43,M_RawMaterials[Part Name],0)),0)</f>
        <v/>
      </c>
      <c r="CI43">
        <f>SUMPRODUCT((M_BOM[Part Name]=$A43)*M_BOM[RM_Qty_Per_Batch]*IFERROR(INDEX(PP_Grid[#Data],M_BOM[PPGridRow],87),0))+IFERROR(INDEX(M_RawMaterials[固定週次消費量_要入力],MATCH($A43,M_RawMaterials[Part Name],0)),0)</f>
        <v/>
      </c>
      <c r="CJ43">
        <f>SUMPRODUCT((M_BOM[Part Name]=$A43)*M_BOM[RM_Qty_Per_Batch]*IFERROR(INDEX(PP_Grid[#Data],M_BOM[PPGridRow],88),0))+IFERROR(INDEX(M_RawMaterials[固定週次消費量_要入力],MATCH($A43,M_RawMaterials[Part Name],0)),0)</f>
        <v/>
      </c>
      <c r="CK43">
        <f>SUMPRODUCT((M_BOM[Part Name]=$A43)*M_BOM[RM_Qty_Per_Batch]*IFERROR(INDEX(PP_Grid[#Data],M_BOM[PPGridRow],89),0))+IFERROR(INDEX(M_RawMaterials[固定週次消費量_要入力],MATCH($A43,M_RawMaterials[Part Name],0)),0)</f>
        <v/>
      </c>
      <c r="CL43">
        <f>SUMPRODUCT((M_BOM[Part Name]=$A43)*M_BOM[RM_Qty_Per_Batch]*IFERROR(INDEX(PP_Grid[#Data],M_BOM[PPGridRow],90),0))+IFERROR(INDEX(M_RawMaterials[固定週次消費量_要入力],MATCH($A43,M_RawMaterials[Part Name],0)),0)</f>
        <v/>
      </c>
      <c r="CM43">
        <f>SUMPRODUCT((M_BOM[Part Name]=$A43)*M_BOM[RM_Qty_Per_Batch]*IFERROR(INDEX(PP_Grid[#Data],M_BOM[PPGridRow],91),0))+IFERROR(INDEX(M_RawMaterials[固定週次消費量_要入力],MATCH($A43,M_RawMaterials[Part Name],0)),0)</f>
        <v/>
      </c>
      <c r="CN43">
        <f>SUMPRODUCT((M_BOM[Part Name]=$A43)*M_BOM[RM_Qty_Per_Batch]*IFERROR(INDEX(PP_Grid[#Data],M_BOM[PPGridRow],92),0))+IFERROR(INDEX(M_RawMaterials[固定週次消費量_要入力],MATCH($A43,M_RawMaterials[Part Name],0)),0)</f>
        <v/>
      </c>
      <c r="CO43">
        <f>SUMPRODUCT((M_BOM[Part Name]=$A43)*M_BOM[RM_Qty_Per_Batch]*IFERROR(INDEX(PP_Grid[#Data],M_BOM[PPGridRow],93),0))+IFERROR(INDEX(M_RawMaterials[固定週次消費量_要入力],MATCH($A43,M_RawMaterials[Part Name],0)),0)</f>
        <v/>
      </c>
      <c r="CP43">
        <f>SUMPRODUCT((M_BOM[Part Name]=$A43)*M_BOM[RM_Qty_Per_Batch]*IFERROR(INDEX(PP_Grid[#Data],M_BOM[PPGridRow],94),0))+IFERROR(INDEX(M_RawMaterials[固定週次消費量_要入力],MATCH($A43,M_RawMaterials[Part Name],0)),0)</f>
        <v/>
      </c>
      <c r="CQ43">
        <f>SUMPRODUCT((M_BOM[Part Name]=$A43)*M_BOM[RM_Qty_Per_Batch]*IFERROR(INDEX(PP_Grid[#Data],M_BOM[PPGridRow],95),0))+IFERROR(INDEX(M_RawMaterials[固定週次消費量_要入力],MATCH($A43,M_RawMaterials[Part Name],0)),0)</f>
        <v/>
      </c>
      <c r="CR43">
        <f>SUMPRODUCT((M_BOM[Part Name]=$A43)*M_BOM[RM_Qty_Per_Batch]*IFERROR(INDEX(PP_Grid[#Data],M_BOM[PPGridRow],96),0))+IFERROR(INDEX(M_RawMaterials[固定週次消費量_要入力],MATCH($A43,M_RawMaterials[Part Name],0)),0)</f>
        <v/>
      </c>
      <c r="CS43">
        <f>SUMPRODUCT((M_BOM[Part Name]=$A43)*M_BOM[RM_Qty_Per_Batch]*IFERROR(INDEX(PP_Grid[#Data],M_BOM[PPGridRow],97),0))+IFERROR(INDEX(M_RawMaterials[固定週次消費量_要入力],MATCH($A43,M_RawMaterials[Part Name],0)),0)</f>
        <v/>
      </c>
      <c r="CT43">
        <f>SUMPRODUCT((M_BOM[Part Name]=$A43)*M_BOM[RM_Qty_Per_Batch]*IFERROR(INDEX(PP_Grid[#Data],M_BOM[PPGridRow],98),0))+IFERROR(INDEX(M_RawMaterials[固定週次消費量_要入力],MATCH($A43,M_RawMaterials[Part Name],0)),0)</f>
        <v/>
      </c>
      <c r="CU43">
        <f>SUMPRODUCT((M_BOM[Part Name]=$A43)*M_BOM[RM_Qty_Per_Batch]*IFERROR(INDEX(PP_Grid[#Data],M_BOM[PPGridRow],99),0))+IFERROR(INDEX(M_RawMaterials[固定週次消費量_要入力],MATCH($A43,M_RawMaterials[Part Name],0)),0)</f>
        <v/>
      </c>
      <c r="CV43">
        <f>SUMPRODUCT((M_BOM[Part Name]=$A43)*M_BOM[RM_Qty_Per_Batch]*IFERROR(INDEX(PP_Grid[#Data],M_BOM[PPGridRow],100),0))+IFERROR(INDEX(M_RawMaterials[固定週次消費量_要入力],MATCH($A43,M_RawMaterials[Part Name],0)),0)</f>
        <v/>
      </c>
      <c r="CW43">
        <f>SUMPRODUCT((M_BOM[Part Name]=$A43)*M_BOM[RM_Qty_Per_Batch]*IFERROR(INDEX(PP_Grid[#Data],M_BOM[PPGridRow],101),0))+IFERROR(INDEX(M_RawMaterials[固定週次消費量_要入力],MATCH($A43,M_RawMaterials[Part Name],0)),0)</f>
        <v/>
      </c>
      <c r="CX43">
        <f>SUMPRODUCT((M_BOM[Part Name]=$A43)*M_BOM[RM_Qty_Per_Batch]*IFERROR(INDEX(PP_Grid[#Data],M_BOM[PPGridRow],102),0))+IFERROR(INDEX(M_RawMaterials[固定週次消費量_要入力],MATCH($A43,M_RawMaterials[Part Name],0)),0)</f>
        <v/>
      </c>
      <c r="CY43">
        <f>SUMPRODUCT((M_BOM[Part Name]=$A43)*M_BOM[RM_Qty_Per_Batch]*IFERROR(INDEX(PP_Grid[#Data],M_BOM[PPGridRow],103),0))+IFERROR(INDEX(M_RawMaterials[固定週次消費量_要入力],MATCH($A43,M_RawMaterials[Part Name],0)),0)</f>
        <v/>
      </c>
      <c r="CZ43">
        <f>SUMPRODUCT((M_BOM[Part Name]=$A43)*M_BOM[RM_Qty_Per_Batch]*IFERROR(INDEX(PP_Grid[#Data],M_BOM[PPGridRow],104),0))+IFERROR(INDEX(M_RawMaterials[固定週次消費量_要入力],MATCH($A43,M_RawMaterials[Part Name],0)),0)</f>
        <v/>
      </c>
      <c r="DA43">
        <f>SUMPRODUCT((M_BOM[Part Name]=$A43)*M_BOM[RM_Qty_Per_Batch]*IFERROR(INDEX(PP_Grid[#Data],M_BOM[PPGridRow],105),0))+IFERROR(INDEX(M_RawMaterials[固定週次消費量_要入力],MATCH($A43,M_RawMaterials[Part Name],0)),0)</f>
        <v/>
      </c>
    </row>
    <row r="44">
      <c r="A44" t="inlineStr">
        <is>
          <t>CHEM-1450</t>
        </is>
      </c>
      <c r="B44">
        <f>SUMPRODUCT((M_BOM[Part Name]=$A44)*M_BOM[RM_Qty_Per_Batch]*IFERROR(INDEX(PP_Grid[#Data],M_BOM[PPGridRow],2),0))+IFERROR(INDEX(M_RawMaterials[固定週次消費量_要入力],MATCH($A44,M_RawMaterials[Part Name],0)),0)</f>
        <v/>
      </c>
      <c r="C44">
        <f>SUMPRODUCT((M_BOM[Part Name]=$A44)*M_BOM[RM_Qty_Per_Batch]*IFERROR(INDEX(PP_Grid[#Data],M_BOM[PPGridRow],3),0))+IFERROR(INDEX(M_RawMaterials[固定週次消費量_要入力],MATCH($A44,M_RawMaterials[Part Name],0)),0)</f>
        <v/>
      </c>
      <c r="D44">
        <f>SUMPRODUCT((M_BOM[Part Name]=$A44)*M_BOM[RM_Qty_Per_Batch]*IFERROR(INDEX(PP_Grid[#Data],M_BOM[PPGridRow],4),0))+IFERROR(INDEX(M_RawMaterials[固定週次消費量_要入力],MATCH($A44,M_RawMaterials[Part Name],0)),0)</f>
        <v/>
      </c>
      <c r="E44">
        <f>SUMPRODUCT((M_BOM[Part Name]=$A44)*M_BOM[RM_Qty_Per_Batch]*IFERROR(INDEX(PP_Grid[#Data],M_BOM[PPGridRow],5),0))+IFERROR(INDEX(M_RawMaterials[固定週次消費量_要入力],MATCH($A44,M_RawMaterials[Part Name],0)),0)</f>
        <v/>
      </c>
      <c r="F44">
        <f>SUMPRODUCT((M_BOM[Part Name]=$A44)*M_BOM[RM_Qty_Per_Batch]*IFERROR(INDEX(PP_Grid[#Data],M_BOM[PPGridRow],6),0))+IFERROR(INDEX(M_RawMaterials[固定週次消費量_要入力],MATCH($A44,M_RawMaterials[Part Name],0)),0)</f>
        <v/>
      </c>
      <c r="G44">
        <f>SUMPRODUCT((M_BOM[Part Name]=$A44)*M_BOM[RM_Qty_Per_Batch]*IFERROR(INDEX(PP_Grid[#Data],M_BOM[PPGridRow],7),0))+IFERROR(INDEX(M_RawMaterials[固定週次消費量_要入力],MATCH($A44,M_RawMaterials[Part Name],0)),0)</f>
        <v/>
      </c>
      <c r="H44">
        <f>SUMPRODUCT((M_BOM[Part Name]=$A44)*M_BOM[RM_Qty_Per_Batch]*IFERROR(INDEX(PP_Grid[#Data],M_BOM[PPGridRow],8),0))+IFERROR(INDEX(M_RawMaterials[固定週次消費量_要入力],MATCH($A44,M_RawMaterials[Part Name],0)),0)</f>
        <v/>
      </c>
      <c r="I44">
        <f>SUMPRODUCT((M_BOM[Part Name]=$A44)*M_BOM[RM_Qty_Per_Batch]*IFERROR(INDEX(PP_Grid[#Data],M_BOM[PPGridRow],9),0))+IFERROR(INDEX(M_RawMaterials[固定週次消費量_要入力],MATCH($A44,M_RawMaterials[Part Name],0)),0)</f>
        <v/>
      </c>
      <c r="J44">
        <f>SUMPRODUCT((M_BOM[Part Name]=$A44)*M_BOM[RM_Qty_Per_Batch]*IFERROR(INDEX(PP_Grid[#Data],M_BOM[PPGridRow],10),0))+IFERROR(INDEX(M_RawMaterials[固定週次消費量_要入力],MATCH($A44,M_RawMaterials[Part Name],0)),0)</f>
        <v/>
      </c>
      <c r="K44">
        <f>SUMPRODUCT((M_BOM[Part Name]=$A44)*M_BOM[RM_Qty_Per_Batch]*IFERROR(INDEX(PP_Grid[#Data],M_BOM[PPGridRow],11),0))+IFERROR(INDEX(M_RawMaterials[固定週次消費量_要入力],MATCH($A44,M_RawMaterials[Part Name],0)),0)</f>
        <v/>
      </c>
      <c r="L44">
        <f>SUMPRODUCT((M_BOM[Part Name]=$A44)*M_BOM[RM_Qty_Per_Batch]*IFERROR(INDEX(PP_Grid[#Data],M_BOM[PPGridRow],12),0))+IFERROR(INDEX(M_RawMaterials[固定週次消費量_要入力],MATCH($A44,M_RawMaterials[Part Name],0)),0)</f>
        <v/>
      </c>
      <c r="M44">
        <f>SUMPRODUCT((M_BOM[Part Name]=$A44)*M_BOM[RM_Qty_Per_Batch]*IFERROR(INDEX(PP_Grid[#Data],M_BOM[PPGridRow],13),0))+IFERROR(INDEX(M_RawMaterials[固定週次消費量_要入力],MATCH($A44,M_RawMaterials[Part Name],0)),0)</f>
        <v/>
      </c>
      <c r="N44">
        <f>SUMPRODUCT((M_BOM[Part Name]=$A44)*M_BOM[RM_Qty_Per_Batch]*IFERROR(INDEX(PP_Grid[#Data],M_BOM[PPGridRow],14),0))+IFERROR(INDEX(M_RawMaterials[固定週次消費量_要入力],MATCH($A44,M_RawMaterials[Part Name],0)),0)</f>
        <v/>
      </c>
      <c r="O44">
        <f>SUMPRODUCT((M_BOM[Part Name]=$A44)*M_BOM[RM_Qty_Per_Batch]*IFERROR(INDEX(PP_Grid[#Data],M_BOM[PPGridRow],15),0))+IFERROR(INDEX(M_RawMaterials[固定週次消費量_要入力],MATCH($A44,M_RawMaterials[Part Name],0)),0)</f>
        <v/>
      </c>
      <c r="P44">
        <f>SUMPRODUCT((M_BOM[Part Name]=$A44)*M_BOM[RM_Qty_Per_Batch]*IFERROR(INDEX(PP_Grid[#Data],M_BOM[PPGridRow],16),0))+IFERROR(INDEX(M_RawMaterials[固定週次消費量_要入力],MATCH($A44,M_RawMaterials[Part Name],0)),0)</f>
        <v/>
      </c>
      <c r="Q44">
        <f>SUMPRODUCT((M_BOM[Part Name]=$A44)*M_BOM[RM_Qty_Per_Batch]*IFERROR(INDEX(PP_Grid[#Data],M_BOM[PPGridRow],17),0))+IFERROR(INDEX(M_RawMaterials[固定週次消費量_要入力],MATCH($A44,M_RawMaterials[Part Name],0)),0)</f>
        <v/>
      </c>
      <c r="R44">
        <f>SUMPRODUCT((M_BOM[Part Name]=$A44)*M_BOM[RM_Qty_Per_Batch]*IFERROR(INDEX(PP_Grid[#Data],M_BOM[PPGridRow],18),0))+IFERROR(INDEX(M_RawMaterials[固定週次消費量_要入力],MATCH($A44,M_RawMaterials[Part Name],0)),0)</f>
        <v/>
      </c>
      <c r="S44">
        <f>SUMPRODUCT((M_BOM[Part Name]=$A44)*M_BOM[RM_Qty_Per_Batch]*IFERROR(INDEX(PP_Grid[#Data],M_BOM[PPGridRow],19),0))+IFERROR(INDEX(M_RawMaterials[固定週次消費量_要入力],MATCH($A44,M_RawMaterials[Part Name],0)),0)</f>
        <v/>
      </c>
      <c r="T44">
        <f>SUMPRODUCT((M_BOM[Part Name]=$A44)*M_BOM[RM_Qty_Per_Batch]*IFERROR(INDEX(PP_Grid[#Data],M_BOM[PPGridRow],20),0))+IFERROR(INDEX(M_RawMaterials[固定週次消費量_要入力],MATCH($A44,M_RawMaterials[Part Name],0)),0)</f>
        <v/>
      </c>
      <c r="U44">
        <f>SUMPRODUCT((M_BOM[Part Name]=$A44)*M_BOM[RM_Qty_Per_Batch]*IFERROR(INDEX(PP_Grid[#Data],M_BOM[PPGridRow],21),0))+IFERROR(INDEX(M_RawMaterials[固定週次消費量_要入力],MATCH($A44,M_RawMaterials[Part Name],0)),0)</f>
        <v/>
      </c>
      <c r="V44">
        <f>SUMPRODUCT((M_BOM[Part Name]=$A44)*M_BOM[RM_Qty_Per_Batch]*IFERROR(INDEX(PP_Grid[#Data],M_BOM[PPGridRow],22),0))+IFERROR(INDEX(M_RawMaterials[固定週次消費量_要入力],MATCH($A44,M_RawMaterials[Part Name],0)),0)</f>
        <v/>
      </c>
      <c r="W44">
        <f>SUMPRODUCT((M_BOM[Part Name]=$A44)*M_BOM[RM_Qty_Per_Batch]*IFERROR(INDEX(PP_Grid[#Data],M_BOM[PPGridRow],23),0))+IFERROR(INDEX(M_RawMaterials[固定週次消費量_要入力],MATCH($A44,M_RawMaterials[Part Name],0)),0)</f>
        <v/>
      </c>
      <c r="X44">
        <f>SUMPRODUCT((M_BOM[Part Name]=$A44)*M_BOM[RM_Qty_Per_Batch]*IFERROR(INDEX(PP_Grid[#Data],M_BOM[PPGridRow],24),0))+IFERROR(INDEX(M_RawMaterials[固定週次消費量_要入力],MATCH($A44,M_RawMaterials[Part Name],0)),0)</f>
        <v/>
      </c>
      <c r="Y44">
        <f>SUMPRODUCT((M_BOM[Part Name]=$A44)*M_BOM[RM_Qty_Per_Batch]*IFERROR(INDEX(PP_Grid[#Data],M_BOM[PPGridRow],25),0))+IFERROR(INDEX(M_RawMaterials[固定週次消費量_要入力],MATCH($A44,M_RawMaterials[Part Name],0)),0)</f>
        <v/>
      </c>
      <c r="Z44">
        <f>SUMPRODUCT((M_BOM[Part Name]=$A44)*M_BOM[RM_Qty_Per_Batch]*IFERROR(INDEX(PP_Grid[#Data],M_BOM[PPGridRow],26),0))+IFERROR(INDEX(M_RawMaterials[固定週次消費量_要入力],MATCH($A44,M_RawMaterials[Part Name],0)),0)</f>
        <v/>
      </c>
      <c r="AA44">
        <f>SUMPRODUCT((M_BOM[Part Name]=$A44)*M_BOM[RM_Qty_Per_Batch]*IFERROR(INDEX(PP_Grid[#Data],M_BOM[PPGridRow],27),0))+IFERROR(INDEX(M_RawMaterials[固定週次消費量_要入力],MATCH($A44,M_RawMaterials[Part Name],0)),0)</f>
        <v/>
      </c>
      <c r="AB44">
        <f>SUMPRODUCT((M_BOM[Part Name]=$A44)*M_BOM[RM_Qty_Per_Batch]*IFERROR(INDEX(PP_Grid[#Data],M_BOM[PPGridRow],28),0))+IFERROR(INDEX(M_RawMaterials[固定週次消費量_要入力],MATCH($A44,M_RawMaterials[Part Name],0)),0)</f>
        <v/>
      </c>
      <c r="AC44">
        <f>SUMPRODUCT((M_BOM[Part Name]=$A44)*M_BOM[RM_Qty_Per_Batch]*IFERROR(INDEX(PP_Grid[#Data],M_BOM[PPGridRow],29),0))+IFERROR(INDEX(M_RawMaterials[固定週次消費量_要入力],MATCH($A44,M_RawMaterials[Part Name],0)),0)</f>
        <v/>
      </c>
      <c r="AD44">
        <f>SUMPRODUCT((M_BOM[Part Name]=$A44)*M_BOM[RM_Qty_Per_Batch]*IFERROR(INDEX(PP_Grid[#Data],M_BOM[PPGridRow],30),0))+IFERROR(INDEX(M_RawMaterials[固定週次消費量_要入力],MATCH($A44,M_RawMaterials[Part Name],0)),0)</f>
        <v/>
      </c>
      <c r="AE44">
        <f>SUMPRODUCT((M_BOM[Part Name]=$A44)*M_BOM[RM_Qty_Per_Batch]*IFERROR(INDEX(PP_Grid[#Data],M_BOM[PPGridRow],31),0))+IFERROR(INDEX(M_RawMaterials[固定週次消費量_要入力],MATCH($A44,M_RawMaterials[Part Name],0)),0)</f>
        <v/>
      </c>
      <c r="AF44">
        <f>SUMPRODUCT((M_BOM[Part Name]=$A44)*M_BOM[RM_Qty_Per_Batch]*IFERROR(INDEX(PP_Grid[#Data],M_BOM[PPGridRow],32),0))+IFERROR(INDEX(M_RawMaterials[固定週次消費量_要入力],MATCH($A44,M_RawMaterials[Part Name],0)),0)</f>
        <v/>
      </c>
      <c r="AG44">
        <f>SUMPRODUCT((M_BOM[Part Name]=$A44)*M_BOM[RM_Qty_Per_Batch]*IFERROR(INDEX(PP_Grid[#Data],M_BOM[PPGridRow],33),0))+IFERROR(INDEX(M_RawMaterials[固定週次消費量_要入力],MATCH($A44,M_RawMaterials[Part Name],0)),0)</f>
        <v/>
      </c>
      <c r="AH44">
        <f>SUMPRODUCT((M_BOM[Part Name]=$A44)*M_BOM[RM_Qty_Per_Batch]*IFERROR(INDEX(PP_Grid[#Data],M_BOM[PPGridRow],34),0))+IFERROR(INDEX(M_RawMaterials[固定週次消費量_要入力],MATCH($A44,M_RawMaterials[Part Name],0)),0)</f>
        <v/>
      </c>
      <c r="AI44">
        <f>SUMPRODUCT((M_BOM[Part Name]=$A44)*M_BOM[RM_Qty_Per_Batch]*IFERROR(INDEX(PP_Grid[#Data],M_BOM[PPGridRow],35),0))+IFERROR(INDEX(M_RawMaterials[固定週次消費量_要入力],MATCH($A44,M_RawMaterials[Part Name],0)),0)</f>
        <v/>
      </c>
      <c r="AJ44">
        <f>SUMPRODUCT((M_BOM[Part Name]=$A44)*M_BOM[RM_Qty_Per_Batch]*IFERROR(INDEX(PP_Grid[#Data],M_BOM[PPGridRow],36),0))+IFERROR(INDEX(M_RawMaterials[固定週次消費量_要入力],MATCH($A44,M_RawMaterials[Part Name],0)),0)</f>
        <v/>
      </c>
      <c r="AK44">
        <f>SUMPRODUCT((M_BOM[Part Name]=$A44)*M_BOM[RM_Qty_Per_Batch]*IFERROR(INDEX(PP_Grid[#Data],M_BOM[PPGridRow],37),0))+IFERROR(INDEX(M_RawMaterials[固定週次消費量_要入力],MATCH($A44,M_RawMaterials[Part Name],0)),0)</f>
        <v/>
      </c>
      <c r="AL44">
        <f>SUMPRODUCT((M_BOM[Part Name]=$A44)*M_BOM[RM_Qty_Per_Batch]*IFERROR(INDEX(PP_Grid[#Data],M_BOM[PPGridRow],38),0))+IFERROR(INDEX(M_RawMaterials[固定週次消費量_要入力],MATCH($A44,M_RawMaterials[Part Name],0)),0)</f>
        <v/>
      </c>
      <c r="AM44">
        <f>SUMPRODUCT((M_BOM[Part Name]=$A44)*M_BOM[RM_Qty_Per_Batch]*IFERROR(INDEX(PP_Grid[#Data],M_BOM[PPGridRow],39),0))+IFERROR(INDEX(M_RawMaterials[固定週次消費量_要入力],MATCH($A44,M_RawMaterials[Part Name],0)),0)</f>
        <v/>
      </c>
      <c r="AN44">
        <f>SUMPRODUCT((M_BOM[Part Name]=$A44)*M_BOM[RM_Qty_Per_Batch]*IFERROR(INDEX(PP_Grid[#Data],M_BOM[PPGridRow],40),0))+IFERROR(INDEX(M_RawMaterials[固定週次消費量_要入力],MATCH($A44,M_RawMaterials[Part Name],0)),0)</f>
        <v/>
      </c>
      <c r="AO44">
        <f>SUMPRODUCT((M_BOM[Part Name]=$A44)*M_BOM[RM_Qty_Per_Batch]*IFERROR(INDEX(PP_Grid[#Data],M_BOM[PPGridRow],41),0))+IFERROR(INDEX(M_RawMaterials[固定週次消費量_要入力],MATCH($A44,M_RawMaterials[Part Name],0)),0)</f>
        <v/>
      </c>
      <c r="AP44">
        <f>SUMPRODUCT((M_BOM[Part Name]=$A44)*M_BOM[RM_Qty_Per_Batch]*IFERROR(INDEX(PP_Grid[#Data],M_BOM[PPGridRow],42),0))+IFERROR(INDEX(M_RawMaterials[固定週次消費量_要入力],MATCH($A44,M_RawMaterials[Part Name],0)),0)</f>
        <v/>
      </c>
      <c r="AQ44">
        <f>SUMPRODUCT((M_BOM[Part Name]=$A44)*M_BOM[RM_Qty_Per_Batch]*IFERROR(INDEX(PP_Grid[#Data],M_BOM[PPGridRow],43),0))+IFERROR(INDEX(M_RawMaterials[固定週次消費量_要入力],MATCH($A44,M_RawMaterials[Part Name],0)),0)</f>
        <v/>
      </c>
      <c r="AR44">
        <f>SUMPRODUCT((M_BOM[Part Name]=$A44)*M_BOM[RM_Qty_Per_Batch]*IFERROR(INDEX(PP_Grid[#Data],M_BOM[PPGridRow],44),0))+IFERROR(INDEX(M_RawMaterials[固定週次消費量_要入力],MATCH($A44,M_RawMaterials[Part Name],0)),0)</f>
        <v/>
      </c>
      <c r="AS44">
        <f>SUMPRODUCT((M_BOM[Part Name]=$A44)*M_BOM[RM_Qty_Per_Batch]*IFERROR(INDEX(PP_Grid[#Data],M_BOM[PPGridRow],45),0))+IFERROR(INDEX(M_RawMaterials[固定週次消費量_要入力],MATCH($A44,M_RawMaterials[Part Name],0)),0)</f>
        <v/>
      </c>
      <c r="AT44">
        <f>SUMPRODUCT((M_BOM[Part Name]=$A44)*M_BOM[RM_Qty_Per_Batch]*IFERROR(INDEX(PP_Grid[#Data],M_BOM[PPGridRow],46),0))+IFERROR(INDEX(M_RawMaterials[固定週次消費量_要入力],MATCH($A44,M_RawMaterials[Part Name],0)),0)</f>
        <v/>
      </c>
      <c r="AU44">
        <f>SUMPRODUCT((M_BOM[Part Name]=$A44)*M_BOM[RM_Qty_Per_Batch]*IFERROR(INDEX(PP_Grid[#Data],M_BOM[PPGridRow],47),0))+IFERROR(INDEX(M_RawMaterials[固定週次消費量_要入力],MATCH($A44,M_RawMaterials[Part Name],0)),0)</f>
        <v/>
      </c>
      <c r="AV44">
        <f>SUMPRODUCT((M_BOM[Part Name]=$A44)*M_BOM[RM_Qty_Per_Batch]*IFERROR(INDEX(PP_Grid[#Data],M_BOM[PPGridRow],48),0))+IFERROR(INDEX(M_RawMaterials[固定週次消費量_要入力],MATCH($A44,M_RawMaterials[Part Name],0)),0)</f>
        <v/>
      </c>
      <c r="AW44">
        <f>SUMPRODUCT((M_BOM[Part Name]=$A44)*M_BOM[RM_Qty_Per_Batch]*IFERROR(INDEX(PP_Grid[#Data],M_BOM[PPGridRow],49),0))+IFERROR(INDEX(M_RawMaterials[固定週次消費量_要入力],MATCH($A44,M_RawMaterials[Part Name],0)),0)</f>
        <v/>
      </c>
      <c r="AX44">
        <f>SUMPRODUCT((M_BOM[Part Name]=$A44)*M_BOM[RM_Qty_Per_Batch]*IFERROR(INDEX(PP_Grid[#Data],M_BOM[PPGridRow],50),0))+IFERROR(INDEX(M_RawMaterials[固定週次消費量_要入力],MATCH($A44,M_RawMaterials[Part Name],0)),0)</f>
        <v/>
      </c>
      <c r="AY44">
        <f>SUMPRODUCT((M_BOM[Part Name]=$A44)*M_BOM[RM_Qty_Per_Batch]*IFERROR(INDEX(PP_Grid[#Data],M_BOM[PPGridRow],51),0))+IFERROR(INDEX(M_RawMaterials[固定週次消費量_要入力],MATCH($A44,M_RawMaterials[Part Name],0)),0)</f>
        <v/>
      </c>
      <c r="AZ44">
        <f>SUMPRODUCT((M_BOM[Part Name]=$A44)*M_BOM[RM_Qty_Per_Batch]*IFERROR(INDEX(PP_Grid[#Data],M_BOM[PPGridRow],52),0))+IFERROR(INDEX(M_RawMaterials[固定週次消費量_要入力],MATCH($A44,M_RawMaterials[Part Name],0)),0)</f>
        <v/>
      </c>
      <c r="BA44">
        <f>SUMPRODUCT((M_BOM[Part Name]=$A44)*M_BOM[RM_Qty_Per_Batch]*IFERROR(INDEX(PP_Grid[#Data],M_BOM[PPGridRow],53),0))+IFERROR(INDEX(M_RawMaterials[固定週次消費量_要入力],MATCH($A44,M_RawMaterials[Part Name],0)),0)</f>
        <v/>
      </c>
      <c r="BB44">
        <f>SUMPRODUCT((M_BOM[Part Name]=$A44)*M_BOM[RM_Qty_Per_Batch]*IFERROR(INDEX(PP_Grid[#Data],M_BOM[PPGridRow],54),0))+IFERROR(INDEX(M_RawMaterials[固定週次消費量_要入力],MATCH($A44,M_RawMaterials[Part Name],0)),0)</f>
        <v/>
      </c>
      <c r="BC44">
        <f>SUMPRODUCT((M_BOM[Part Name]=$A44)*M_BOM[RM_Qty_Per_Batch]*IFERROR(INDEX(PP_Grid[#Data],M_BOM[PPGridRow],55),0))+IFERROR(INDEX(M_RawMaterials[固定週次消費量_要入力],MATCH($A44,M_RawMaterials[Part Name],0)),0)</f>
        <v/>
      </c>
      <c r="BD44">
        <f>SUMPRODUCT((M_BOM[Part Name]=$A44)*M_BOM[RM_Qty_Per_Batch]*IFERROR(INDEX(PP_Grid[#Data],M_BOM[PPGridRow],56),0))+IFERROR(INDEX(M_RawMaterials[固定週次消費量_要入力],MATCH($A44,M_RawMaterials[Part Name],0)),0)</f>
        <v/>
      </c>
      <c r="BE44">
        <f>SUMPRODUCT((M_BOM[Part Name]=$A44)*M_BOM[RM_Qty_Per_Batch]*IFERROR(INDEX(PP_Grid[#Data],M_BOM[PPGridRow],57),0))+IFERROR(INDEX(M_RawMaterials[固定週次消費量_要入力],MATCH($A44,M_RawMaterials[Part Name],0)),0)</f>
        <v/>
      </c>
      <c r="BF44">
        <f>SUMPRODUCT((M_BOM[Part Name]=$A44)*M_BOM[RM_Qty_Per_Batch]*IFERROR(INDEX(PP_Grid[#Data],M_BOM[PPGridRow],58),0))+IFERROR(INDEX(M_RawMaterials[固定週次消費量_要入力],MATCH($A44,M_RawMaterials[Part Name],0)),0)</f>
        <v/>
      </c>
      <c r="BG44">
        <f>SUMPRODUCT((M_BOM[Part Name]=$A44)*M_BOM[RM_Qty_Per_Batch]*IFERROR(INDEX(PP_Grid[#Data],M_BOM[PPGridRow],59),0))+IFERROR(INDEX(M_RawMaterials[固定週次消費量_要入力],MATCH($A44,M_RawMaterials[Part Name],0)),0)</f>
        <v/>
      </c>
      <c r="BH44">
        <f>SUMPRODUCT((M_BOM[Part Name]=$A44)*M_BOM[RM_Qty_Per_Batch]*IFERROR(INDEX(PP_Grid[#Data],M_BOM[PPGridRow],60),0))+IFERROR(INDEX(M_RawMaterials[固定週次消費量_要入力],MATCH($A44,M_RawMaterials[Part Name],0)),0)</f>
        <v/>
      </c>
      <c r="BI44">
        <f>SUMPRODUCT((M_BOM[Part Name]=$A44)*M_BOM[RM_Qty_Per_Batch]*IFERROR(INDEX(PP_Grid[#Data],M_BOM[PPGridRow],61),0))+IFERROR(INDEX(M_RawMaterials[固定週次消費量_要入力],MATCH($A44,M_RawMaterials[Part Name],0)),0)</f>
        <v/>
      </c>
      <c r="BJ44">
        <f>SUMPRODUCT((M_BOM[Part Name]=$A44)*M_BOM[RM_Qty_Per_Batch]*IFERROR(INDEX(PP_Grid[#Data],M_BOM[PPGridRow],62),0))+IFERROR(INDEX(M_RawMaterials[固定週次消費量_要入力],MATCH($A44,M_RawMaterials[Part Name],0)),0)</f>
        <v/>
      </c>
      <c r="BK44">
        <f>SUMPRODUCT((M_BOM[Part Name]=$A44)*M_BOM[RM_Qty_Per_Batch]*IFERROR(INDEX(PP_Grid[#Data],M_BOM[PPGridRow],63),0))+IFERROR(INDEX(M_RawMaterials[固定週次消費量_要入力],MATCH($A44,M_RawMaterials[Part Name],0)),0)</f>
        <v/>
      </c>
      <c r="BL44">
        <f>SUMPRODUCT((M_BOM[Part Name]=$A44)*M_BOM[RM_Qty_Per_Batch]*IFERROR(INDEX(PP_Grid[#Data],M_BOM[PPGridRow],64),0))+IFERROR(INDEX(M_RawMaterials[固定週次消費量_要入力],MATCH($A44,M_RawMaterials[Part Name],0)),0)</f>
        <v/>
      </c>
      <c r="BM44">
        <f>SUMPRODUCT((M_BOM[Part Name]=$A44)*M_BOM[RM_Qty_Per_Batch]*IFERROR(INDEX(PP_Grid[#Data],M_BOM[PPGridRow],65),0))+IFERROR(INDEX(M_RawMaterials[固定週次消費量_要入力],MATCH($A44,M_RawMaterials[Part Name],0)),0)</f>
        <v/>
      </c>
      <c r="BN44">
        <f>SUMPRODUCT((M_BOM[Part Name]=$A44)*M_BOM[RM_Qty_Per_Batch]*IFERROR(INDEX(PP_Grid[#Data],M_BOM[PPGridRow],66),0))+IFERROR(INDEX(M_RawMaterials[固定週次消費量_要入力],MATCH($A44,M_RawMaterials[Part Name],0)),0)</f>
        <v/>
      </c>
      <c r="BO44">
        <f>SUMPRODUCT((M_BOM[Part Name]=$A44)*M_BOM[RM_Qty_Per_Batch]*IFERROR(INDEX(PP_Grid[#Data],M_BOM[PPGridRow],67),0))+IFERROR(INDEX(M_RawMaterials[固定週次消費量_要入力],MATCH($A44,M_RawMaterials[Part Name],0)),0)</f>
        <v/>
      </c>
      <c r="BP44">
        <f>SUMPRODUCT((M_BOM[Part Name]=$A44)*M_BOM[RM_Qty_Per_Batch]*IFERROR(INDEX(PP_Grid[#Data],M_BOM[PPGridRow],68),0))+IFERROR(INDEX(M_RawMaterials[固定週次消費量_要入力],MATCH($A44,M_RawMaterials[Part Name],0)),0)</f>
        <v/>
      </c>
      <c r="BQ44">
        <f>SUMPRODUCT((M_BOM[Part Name]=$A44)*M_BOM[RM_Qty_Per_Batch]*IFERROR(INDEX(PP_Grid[#Data],M_BOM[PPGridRow],69),0))+IFERROR(INDEX(M_RawMaterials[固定週次消費量_要入力],MATCH($A44,M_RawMaterials[Part Name],0)),0)</f>
        <v/>
      </c>
      <c r="BR44">
        <f>SUMPRODUCT((M_BOM[Part Name]=$A44)*M_BOM[RM_Qty_Per_Batch]*IFERROR(INDEX(PP_Grid[#Data],M_BOM[PPGridRow],70),0))+IFERROR(INDEX(M_RawMaterials[固定週次消費量_要入力],MATCH($A44,M_RawMaterials[Part Name],0)),0)</f>
        <v/>
      </c>
      <c r="BS44">
        <f>SUMPRODUCT((M_BOM[Part Name]=$A44)*M_BOM[RM_Qty_Per_Batch]*IFERROR(INDEX(PP_Grid[#Data],M_BOM[PPGridRow],71),0))+IFERROR(INDEX(M_RawMaterials[固定週次消費量_要入力],MATCH($A44,M_RawMaterials[Part Name],0)),0)</f>
        <v/>
      </c>
      <c r="BT44">
        <f>SUMPRODUCT((M_BOM[Part Name]=$A44)*M_BOM[RM_Qty_Per_Batch]*IFERROR(INDEX(PP_Grid[#Data],M_BOM[PPGridRow],72),0))+IFERROR(INDEX(M_RawMaterials[固定週次消費量_要入力],MATCH($A44,M_RawMaterials[Part Name],0)),0)</f>
        <v/>
      </c>
      <c r="BU44">
        <f>SUMPRODUCT((M_BOM[Part Name]=$A44)*M_BOM[RM_Qty_Per_Batch]*IFERROR(INDEX(PP_Grid[#Data],M_BOM[PPGridRow],73),0))+IFERROR(INDEX(M_RawMaterials[固定週次消費量_要入力],MATCH($A44,M_RawMaterials[Part Name],0)),0)</f>
        <v/>
      </c>
      <c r="BV44">
        <f>SUMPRODUCT((M_BOM[Part Name]=$A44)*M_BOM[RM_Qty_Per_Batch]*IFERROR(INDEX(PP_Grid[#Data],M_BOM[PPGridRow],74),0))+IFERROR(INDEX(M_RawMaterials[固定週次消費量_要入力],MATCH($A44,M_RawMaterials[Part Name],0)),0)</f>
        <v/>
      </c>
      <c r="BW44">
        <f>SUMPRODUCT((M_BOM[Part Name]=$A44)*M_BOM[RM_Qty_Per_Batch]*IFERROR(INDEX(PP_Grid[#Data],M_BOM[PPGridRow],75),0))+IFERROR(INDEX(M_RawMaterials[固定週次消費量_要入力],MATCH($A44,M_RawMaterials[Part Name],0)),0)</f>
        <v/>
      </c>
      <c r="BX44">
        <f>SUMPRODUCT((M_BOM[Part Name]=$A44)*M_BOM[RM_Qty_Per_Batch]*IFERROR(INDEX(PP_Grid[#Data],M_BOM[PPGridRow],76),0))+IFERROR(INDEX(M_RawMaterials[固定週次消費量_要入力],MATCH($A44,M_RawMaterials[Part Name],0)),0)</f>
        <v/>
      </c>
      <c r="BY44">
        <f>SUMPRODUCT((M_BOM[Part Name]=$A44)*M_BOM[RM_Qty_Per_Batch]*IFERROR(INDEX(PP_Grid[#Data],M_BOM[PPGridRow],77),0))+IFERROR(INDEX(M_RawMaterials[固定週次消費量_要入力],MATCH($A44,M_RawMaterials[Part Name],0)),0)</f>
        <v/>
      </c>
      <c r="BZ44">
        <f>SUMPRODUCT((M_BOM[Part Name]=$A44)*M_BOM[RM_Qty_Per_Batch]*IFERROR(INDEX(PP_Grid[#Data],M_BOM[PPGridRow],78),0))+IFERROR(INDEX(M_RawMaterials[固定週次消費量_要入力],MATCH($A44,M_RawMaterials[Part Name],0)),0)</f>
        <v/>
      </c>
      <c r="CA44">
        <f>SUMPRODUCT((M_BOM[Part Name]=$A44)*M_BOM[RM_Qty_Per_Batch]*IFERROR(INDEX(PP_Grid[#Data],M_BOM[PPGridRow],79),0))+IFERROR(INDEX(M_RawMaterials[固定週次消費量_要入力],MATCH($A44,M_RawMaterials[Part Name],0)),0)</f>
        <v/>
      </c>
      <c r="CB44">
        <f>SUMPRODUCT((M_BOM[Part Name]=$A44)*M_BOM[RM_Qty_Per_Batch]*IFERROR(INDEX(PP_Grid[#Data],M_BOM[PPGridRow],80),0))+IFERROR(INDEX(M_RawMaterials[固定週次消費量_要入力],MATCH($A44,M_RawMaterials[Part Name],0)),0)</f>
        <v/>
      </c>
      <c r="CC44">
        <f>SUMPRODUCT((M_BOM[Part Name]=$A44)*M_BOM[RM_Qty_Per_Batch]*IFERROR(INDEX(PP_Grid[#Data],M_BOM[PPGridRow],81),0))+IFERROR(INDEX(M_RawMaterials[固定週次消費量_要入力],MATCH($A44,M_RawMaterials[Part Name],0)),0)</f>
        <v/>
      </c>
      <c r="CD44">
        <f>SUMPRODUCT((M_BOM[Part Name]=$A44)*M_BOM[RM_Qty_Per_Batch]*IFERROR(INDEX(PP_Grid[#Data],M_BOM[PPGridRow],82),0))+IFERROR(INDEX(M_RawMaterials[固定週次消費量_要入力],MATCH($A44,M_RawMaterials[Part Name],0)),0)</f>
        <v/>
      </c>
      <c r="CE44">
        <f>SUMPRODUCT((M_BOM[Part Name]=$A44)*M_BOM[RM_Qty_Per_Batch]*IFERROR(INDEX(PP_Grid[#Data],M_BOM[PPGridRow],83),0))+IFERROR(INDEX(M_RawMaterials[固定週次消費量_要入力],MATCH($A44,M_RawMaterials[Part Name],0)),0)</f>
        <v/>
      </c>
      <c r="CF44">
        <f>SUMPRODUCT((M_BOM[Part Name]=$A44)*M_BOM[RM_Qty_Per_Batch]*IFERROR(INDEX(PP_Grid[#Data],M_BOM[PPGridRow],84),0))+IFERROR(INDEX(M_RawMaterials[固定週次消費量_要入力],MATCH($A44,M_RawMaterials[Part Name],0)),0)</f>
        <v/>
      </c>
      <c r="CG44">
        <f>SUMPRODUCT((M_BOM[Part Name]=$A44)*M_BOM[RM_Qty_Per_Batch]*IFERROR(INDEX(PP_Grid[#Data],M_BOM[PPGridRow],85),0))+IFERROR(INDEX(M_RawMaterials[固定週次消費量_要入力],MATCH($A44,M_RawMaterials[Part Name],0)),0)</f>
        <v/>
      </c>
      <c r="CH44">
        <f>SUMPRODUCT((M_BOM[Part Name]=$A44)*M_BOM[RM_Qty_Per_Batch]*IFERROR(INDEX(PP_Grid[#Data],M_BOM[PPGridRow],86),0))+IFERROR(INDEX(M_RawMaterials[固定週次消費量_要入力],MATCH($A44,M_RawMaterials[Part Name],0)),0)</f>
        <v/>
      </c>
      <c r="CI44">
        <f>SUMPRODUCT((M_BOM[Part Name]=$A44)*M_BOM[RM_Qty_Per_Batch]*IFERROR(INDEX(PP_Grid[#Data],M_BOM[PPGridRow],87),0))+IFERROR(INDEX(M_RawMaterials[固定週次消費量_要入力],MATCH($A44,M_RawMaterials[Part Name],0)),0)</f>
        <v/>
      </c>
      <c r="CJ44">
        <f>SUMPRODUCT((M_BOM[Part Name]=$A44)*M_BOM[RM_Qty_Per_Batch]*IFERROR(INDEX(PP_Grid[#Data],M_BOM[PPGridRow],88),0))+IFERROR(INDEX(M_RawMaterials[固定週次消費量_要入力],MATCH($A44,M_RawMaterials[Part Name],0)),0)</f>
        <v/>
      </c>
      <c r="CK44">
        <f>SUMPRODUCT((M_BOM[Part Name]=$A44)*M_BOM[RM_Qty_Per_Batch]*IFERROR(INDEX(PP_Grid[#Data],M_BOM[PPGridRow],89),0))+IFERROR(INDEX(M_RawMaterials[固定週次消費量_要入力],MATCH($A44,M_RawMaterials[Part Name],0)),0)</f>
        <v/>
      </c>
      <c r="CL44">
        <f>SUMPRODUCT((M_BOM[Part Name]=$A44)*M_BOM[RM_Qty_Per_Batch]*IFERROR(INDEX(PP_Grid[#Data],M_BOM[PPGridRow],90),0))+IFERROR(INDEX(M_RawMaterials[固定週次消費量_要入力],MATCH($A44,M_RawMaterials[Part Name],0)),0)</f>
        <v/>
      </c>
      <c r="CM44">
        <f>SUMPRODUCT((M_BOM[Part Name]=$A44)*M_BOM[RM_Qty_Per_Batch]*IFERROR(INDEX(PP_Grid[#Data],M_BOM[PPGridRow],91),0))+IFERROR(INDEX(M_RawMaterials[固定週次消費量_要入力],MATCH($A44,M_RawMaterials[Part Name],0)),0)</f>
        <v/>
      </c>
      <c r="CN44">
        <f>SUMPRODUCT((M_BOM[Part Name]=$A44)*M_BOM[RM_Qty_Per_Batch]*IFERROR(INDEX(PP_Grid[#Data],M_BOM[PPGridRow],92),0))+IFERROR(INDEX(M_RawMaterials[固定週次消費量_要入力],MATCH($A44,M_RawMaterials[Part Name],0)),0)</f>
        <v/>
      </c>
      <c r="CO44">
        <f>SUMPRODUCT((M_BOM[Part Name]=$A44)*M_BOM[RM_Qty_Per_Batch]*IFERROR(INDEX(PP_Grid[#Data],M_BOM[PPGridRow],93),0))+IFERROR(INDEX(M_RawMaterials[固定週次消費量_要入力],MATCH($A44,M_RawMaterials[Part Name],0)),0)</f>
        <v/>
      </c>
      <c r="CP44">
        <f>SUMPRODUCT((M_BOM[Part Name]=$A44)*M_BOM[RM_Qty_Per_Batch]*IFERROR(INDEX(PP_Grid[#Data],M_BOM[PPGridRow],94),0))+IFERROR(INDEX(M_RawMaterials[固定週次消費量_要入力],MATCH($A44,M_RawMaterials[Part Name],0)),0)</f>
        <v/>
      </c>
      <c r="CQ44">
        <f>SUMPRODUCT((M_BOM[Part Name]=$A44)*M_BOM[RM_Qty_Per_Batch]*IFERROR(INDEX(PP_Grid[#Data],M_BOM[PPGridRow],95),0))+IFERROR(INDEX(M_RawMaterials[固定週次消費量_要入力],MATCH($A44,M_RawMaterials[Part Name],0)),0)</f>
        <v/>
      </c>
      <c r="CR44">
        <f>SUMPRODUCT((M_BOM[Part Name]=$A44)*M_BOM[RM_Qty_Per_Batch]*IFERROR(INDEX(PP_Grid[#Data],M_BOM[PPGridRow],96),0))+IFERROR(INDEX(M_RawMaterials[固定週次消費量_要入力],MATCH($A44,M_RawMaterials[Part Name],0)),0)</f>
        <v/>
      </c>
      <c r="CS44">
        <f>SUMPRODUCT((M_BOM[Part Name]=$A44)*M_BOM[RM_Qty_Per_Batch]*IFERROR(INDEX(PP_Grid[#Data],M_BOM[PPGridRow],97),0))+IFERROR(INDEX(M_RawMaterials[固定週次消費量_要入力],MATCH($A44,M_RawMaterials[Part Name],0)),0)</f>
        <v/>
      </c>
      <c r="CT44">
        <f>SUMPRODUCT((M_BOM[Part Name]=$A44)*M_BOM[RM_Qty_Per_Batch]*IFERROR(INDEX(PP_Grid[#Data],M_BOM[PPGridRow],98),0))+IFERROR(INDEX(M_RawMaterials[固定週次消費量_要入力],MATCH($A44,M_RawMaterials[Part Name],0)),0)</f>
        <v/>
      </c>
      <c r="CU44">
        <f>SUMPRODUCT((M_BOM[Part Name]=$A44)*M_BOM[RM_Qty_Per_Batch]*IFERROR(INDEX(PP_Grid[#Data],M_BOM[PPGridRow],99),0))+IFERROR(INDEX(M_RawMaterials[固定週次消費量_要入力],MATCH($A44,M_RawMaterials[Part Name],0)),0)</f>
        <v/>
      </c>
      <c r="CV44">
        <f>SUMPRODUCT((M_BOM[Part Name]=$A44)*M_BOM[RM_Qty_Per_Batch]*IFERROR(INDEX(PP_Grid[#Data],M_BOM[PPGridRow],100),0))+IFERROR(INDEX(M_RawMaterials[固定週次消費量_要入力],MATCH($A44,M_RawMaterials[Part Name],0)),0)</f>
        <v/>
      </c>
      <c r="CW44">
        <f>SUMPRODUCT((M_BOM[Part Name]=$A44)*M_BOM[RM_Qty_Per_Batch]*IFERROR(INDEX(PP_Grid[#Data],M_BOM[PPGridRow],101),0))+IFERROR(INDEX(M_RawMaterials[固定週次消費量_要入力],MATCH($A44,M_RawMaterials[Part Name],0)),0)</f>
        <v/>
      </c>
      <c r="CX44">
        <f>SUMPRODUCT((M_BOM[Part Name]=$A44)*M_BOM[RM_Qty_Per_Batch]*IFERROR(INDEX(PP_Grid[#Data],M_BOM[PPGridRow],102),0))+IFERROR(INDEX(M_RawMaterials[固定週次消費量_要入力],MATCH($A44,M_RawMaterials[Part Name],0)),0)</f>
        <v/>
      </c>
      <c r="CY44">
        <f>SUMPRODUCT((M_BOM[Part Name]=$A44)*M_BOM[RM_Qty_Per_Batch]*IFERROR(INDEX(PP_Grid[#Data],M_BOM[PPGridRow],103),0))+IFERROR(INDEX(M_RawMaterials[固定週次消費量_要入力],MATCH($A44,M_RawMaterials[Part Name],0)),0)</f>
        <v/>
      </c>
      <c r="CZ44">
        <f>SUMPRODUCT((M_BOM[Part Name]=$A44)*M_BOM[RM_Qty_Per_Batch]*IFERROR(INDEX(PP_Grid[#Data],M_BOM[PPGridRow],104),0))+IFERROR(INDEX(M_RawMaterials[固定週次消費量_要入力],MATCH($A44,M_RawMaterials[Part Name],0)),0)</f>
        <v/>
      </c>
      <c r="DA44">
        <f>SUMPRODUCT((M_BOM[Part Name]=$A44)*M_BOM[RM_Qty_Per_Batch]*IFERROR(INDEX(PP_Grid[#Data],M_BOM[PPGridRow],105),0))+IFERROR(INDEX(M_RawMaterials[固定週次消費量_要入力],MATCH($A44,M_RawMaterials[Part Name],0)),0)</f>
        <v/>
      </c>
    </row>
    <row r="45">
      <c r="A45" t="inlineStr">
        <is>
          <t>CHEM-1770</t>
        </is>
      </c>
      <c r="B45">
        <f>SUMPRODUCT((M_BOM[Part Name]=$A45)*M_BOM[RM_Qty_Per_Batch]*IFERROR(INDEX(PP_Grid[#Data],M_BOM[PPGridRow],2),0))+IFERROR(INDEX(M_RawMaterials[固定週次消費量_要入力],MATCH($A45,M_RawMaterials[Part Name],0)),0)</f>
        <v/>
      </c>
      <c r="C45">
        <f>SUMPRODUCT((M_BOM[Part Name]=$A45)*M_BOM[RM_Qty_Per_Batch]*IFERROR(INDEX(PP_Grid[#Data],M_BOM[PPGridRow],3),0))+IFERROR(INDEX(M_RawMaterials[固定週次消費量_要入力],MATCH($A45,M_RawMaterials[Part Name],0)),0)</f>
        <v/>
      </c>
      <c r="D45">
        <f>SUMPRODUCT((M_BOM[Part Name]=$A45)*M_BOM[RM_Qty_Per_Batch]*IFERROR(INDEX(PP_Grid[#Data],M_BOM[PPGridRow],4),0))+IFERROR(INDEX(M_RawMaterials[固定週次消費量_要入力],MATCH($A45,M_RawMaterials[Part Name],0)),0)</f>
        <v/>
      </c>
      <c r="E45">
        <f>SUMPRODUCT((M_BOM[Part Name]=$A45)*M_BOM[RM_Qty_Per_Batch]*IFERROR(INDEX(PP_Grid[#Data],M_BOM[PPGridRow],5),0))+IFERROR(INDEX(M_RawMaterials[固定週次消費量_要入力],MATCH($A45,M_RawMaterials[Part Name],0)),0)</f>
        <v/>
      </c>
      <c r="F45">
        <f>SUMPRODUCT((M_BOM[Part Name]=$A45)*M_BOM[RM_Qty_Per_Batch]*IFERROR(INDEX(PP_Grid[#Data],M_BOM[PPGridRow],6),0))+IFERROR(INDEX(M_RawMaterials[固定週次消費量_要入力],MATCH($A45,M_RawMaterials[Part Name],0)),0)</f>
        <v/>
      </c>
      <c r="G45">
        <f>SUMPRODUCT((M_BOM[Part Name]=$A45)*M_BOM[RM_Qty_Per_Batch]*IFERROR(INDEX(PP_Grid[#Data],M_BOM[PPGridRow],7),0))+IFERROR(INDEX(M_RawMaterials[固定週次消費量_要入力],MATCH($A45,M_RawMaterials[Part Name],0)),0)</f>
        <v/>
      </c>
      <c r="H45">
        <f>SUMPRODUCT((M_BOM[Part Name]=$A45)*M_BOM[RM_Qty_Per_Batch]*IFERROR(INDEX(PP_Grid[#Data],M_BOM[PPGridRow],8),0))+IFERROR(INDEX(M_RawMaterials[固定週次消費量_要入力],MATCH($A45,M_RawMaterials[Part Name],0)),0)</f>
        <v/>
      </c>
      <c r="I45">
        <f>SUMPRODUCT((M_BOM[Part Name]=$A45)*M_BOM[RM_Qty_Per_Batch]*IFERROR(INDEX(PP_Grid[#Data],M_BOM[PPGridRow],9),0))+IFERROR(INDEX(M_RawMaterials[固定週次消費量_要入力],MATCH($A45,M_RawMaterials[Part Name],0)),0)</f>
        <v/>
      </c>
      <c r="J45">
        <f>SUMPRODUCT((M_BOM[Part Name]=$A45)*M_BOM[RM_Qty_Per_Batch]*IFERROR(INDEX(PP_Grid[#Data],M_BOM[PPGridRow],10),0))+IFERROR(INDEX(M_RawMaterials[固定週次消費量_要入力],MATCH($A45,M_RawMaterials[Part Name],0)),0)</f>
        <v/>
      </c>
      <c r="K45">
        <f>SUMPRODUCT((M_BOM[Part Name]=$A45)*M_BOM[RM_Qty_Per_Batch]*IFERROR(INDEX(PP_Grid[#Data],M_BOM[PPGridRow],11),0))+IFERROR(INDEX(M_RawMaterials[固定週次消費量_要入力],MATCH($A45,M_RawMaterials[Part Name],0)),0)</f>
        <v/>
      </c>
      <c r="L45">
        <f>SUMPRODUCT((M_BOM[Part Name]=$A45)*M_BOM[RM_Qty_Per_Batch]*IFERROR(INDEX(PP_Grid[#Data],M_BOM[PPGridRow],12),0))+IFERROR(INDEX(M_RawMaterials[固定週次消費量_要入力],MATCH($A45,M_RawMaterials[Part Name],0)),0)</f>
        <v/>
      </c>
      <c r="M45">
        <f>SUMPRODUCT((M_BOM[Part Name]=$A45)*M_BOM[RM_Qty_Per_Batch]*IFERROR(INDEX(PP_Grid[#Data],M_BOM[PPGridRow],13),0))+IFERROR(INDEX(M_RawMaterials[固定週次消費量_要入力],MATCH($A45,M_RawMaterials[Part Name],0)),0)</f>
        <v/>
      </c>
      <c r="N45">
        <f>SUMPRODUCT((M_BOM[Part Name]=$A45)*M_BOM[RM_Qty_Per_Batch]*IFERROR(INDEX(PP_Grid[#Data],M_BOM[PPGridRow],14),0))+IFERROR(INDEX(M_RawMaterials[固定週次消費量_要入力],MATCH($A45,M_RawMaterials[Part Name],0)),0)</f>
        <v/>
      </c>
      <c r="O45">
        <f>SUMPRODUCT((M_BOM[Part Name]=$A45)*M_BOM[RM_Qty_Per_Batch]*IFERROR(INDEX(PP_Grid[#Data],M_BOM[PPGridRow],15),0))+IFERROR(INDEX(M_RawMaterials[固定週次消費量_要入力],MATCH($A45,M_RawMaterials[Part Name],0)),0)</f>
        <v/>
      </c>
      <c r="P45">
        <f>SUMPRODUCT((M_BOM[Part Name]=$A45)*M_BOM[RM_Qty_Per_Batch]*IFERROR(INDEX(PP_Grid[#Data],M_BOM[PPGridRow],16),0))+IFERROR(INDEX(M_RawMaterials[固定週次消費量_要入力],MATCH($A45,M_RawMaterials[Part Name],0)),0)</f>
        <v/>
      </c>
      <c r="Q45">
        <f>SUMPRODUCT((M_BOM[Part Name]=$A45)*M_BOM[RM_Qty_Per_Batch]*IFERROR(INDEX(PP_Grid[#Data],M_BOM[PPGridRow],17),0))+IFERROR(INDEX(M_RawMaterials[固定週次消費量_要入力],MATCH($A45,M_RawMaterials[Part Name],0)),0)</f>
        <v/>
      </c>
      <c r="R45">
        <f>SUMPRODUCT((M_BOM[Part Name]=$A45)*M_BOM[RM_Qty_Per_Batch]*IFERROR(INDEX(PP_Grid[#Data],M_BOM[PPGridRow],18),0))+IFERROR(INDEX(M_RawMaterials[固定週次消費量_要入力],MATCH($A45,M_RawMaterials[Part Name],0)),0)</f>
        <v/>
      </c>
      <c r="S45">
        <f>SUMPRODUCT((M_BOM[Part Name]=$A45)*M_BOM[RM_Qty_Per_Batch]*IFERROR(INDEX(PP_Grid[#Data],M_BOM[PPGridRow],19),0))+IFERROR(INDEX(M_RawMaterials[固定週次消費量_要入力],MATCH($A45,M_RawMaterials[Part Name],0)),0)</f>
        <v/>
      </c>
      <c r="T45">
        <f>SUMPRODUCT((M_BOM[Part Name]=$A45)*M_BOM[RM_Qty_Per_Batch]*IFERROR(INDEX(PP_Grid[#Data],M_BOM[PPGridRow],20),0))+IFERROR(INDEX(M_RawMaterials[固定週次消費量_要入力],MATCH($A45,M_RawMaterials[Part Name],0)),0)</f>
        <v/>
      </c>
      <c r="U45">
        <f>SUMPRODUCT((M_BOM[Part Name]=$A45)*M_BOM[RM_Qty_Per_Batch]*IFERROR(INDEX(PP_Grid[#Data],M_BOM[PPGridRow],21),0))+IFERROR(INDEX(M_RawMaterials[固定週次消費量_要入力],MATCH($A45,M_RawMaterials[Part Name],0)),0)</f>
        <v/>
      </c>
      <c r="V45">
        <f>SUMPRODUCT((M_BOM[Part Name]=$A45)*M_BOM[RM_Qty_Per_Batch]*IFERROR(INDEX(PP_Grid[#Data],M_BOM[PPGridRow],22),0))+IFERROR(INDEX(M_RawMaterials[固定週次消費量_要入力],MATCH($A45,M_RawMaterials[Part Name],0)),0)</f>
        <v/>
      </c>
      <c r="W45">
        <f>SUMPRODUCT((M_BOM[Part Name]=$A45)*M_BOM[RM_Qty_Per_Batch]*IFERROR(INDEX(PP_Grid[#Data],M_BOM[PPGridRow],23),0))+IFERROR(INDEX(M_RawMaterials[固定週次消費量_要入力],MATCH($A45,M_RawMaterials[Part Name],0)),0)</f>
        <v/>
      </c>
      <c r="X45">
        <f>SUMPRODUCT((M_BOM[Part Name]=$A45)*M_BOM[RM_Qty_Per_Batch]*IFERROR(INDEX(PP_Grid[#Data],M_BOM[PPGridRow],24),0))+IFERROR(INDEX(M_RawMaterials[固定週次消費量_要入力],MATCH($A45,M_RawMaterials[Part Name],0)),0)</f>
        <v/>
      </c>
      <c r="Y45">
        <f>SUMPRODUCT((M_BOM[Part Name]=$A45)*M_BOM[RM_Qty_Per_Batch]*IFERROR(INDEX(PP_Grid[#Data],M_BOM[PPGridRow],25),0))+IFERROR(INDEX(M_RawMaterials[固定週次消費量_要入力],MATCH($A45,M_RawMaterials[Part Name],0)),0)</f>
        <v/>
      </c>
      <c r="Z45">
        <f>SUMPRODUCT((M_BOM[Part Name]=$A45)*M_BOM[RM_Qty_Per_Batch]*IFERROR(INDEX(PP_Grid[#Data],M_BOM[PPGridRow],26),0))+IFERROR(INDEX(M_RawMaterials[固定週次消費量_要入力],MATCH($A45,M_RawMaterials[Part Name],0)),0)</f>
        <v/>
      </c>
      <c r="AA45">
        <f>SUMPRODUCT((M_BOM[Part Name]=$A45)*M_BOM[RM_Qty_Per_Batch]*IFERROR(INDEX(PP_Grid[#Data],M_BOM[PPGridRow],27),0))+IFERROR(INDEX(M_RawMaterials[固定週次消費量_要入力],MATCH($A45,M_RawMaterials[Part Name],0)),0)</f>
        <v/>
      </c>
      <c r="AB45">
        <f>SUMPRODUCT((M_BOM[Part Name]=$A45)*M_BOM[RM_Qty_Per_Batch]*IFERROR(INDEX(PP_Grid[#Data],M_BOM[PPGridRow],28),0))+IFERROR(INDEX(M_RawMaterials[固定週次消費量_要入力],MATCH($A45,M_RawMaterials[Part Name],0)),0)</f>
        <v/>
      </c>
      <c r="AC45">
        <f>SUMPRODUCT((M_BOM[Part Name]=$A45)*M_BOM[RM_Qty_Per_Batch]*IFERROR(INDEX(PP_Grid[#Data],M_BOM[PPGridRow],29),0))+IFERROR(INDEX(M_RawMaterials[固定週次消費量_要入力],MATCH($A45,M_RawMaterials[Part Name],0)),0)</f>
        <v/>
      </c>
      <c r="AD45">
        <f>SUMPRODUCT((M_BOM[Part Name]=$A45)*M_BOM[RM_Qty_Per_Batch]*IFERROR(INDEX(PP_Grid[#Data],M_BOM[PPGridRow],30),0))+IFERROR(INDEX(M_RawMaterials[固定週次消費量_要入力],MATCH($A45,M_RawMaterials[Part Name],0)),0)</f>
        <v/>
      </c>
      <c r="AE45">
        <f>SUMPRODUCT((M_BOM[Part Name]=$A45)*M_BOM[RM_Qty_Per_Batch]*IFERROR(INDEX(PP_Grid[#Data],M_BOM[PPGridRow],31),0))+IFERROR(INDEX(M_RawMaterials[固定週次消費量_要入力],MATCH($A45,M_RawMaterials[Part Name],0)),0)</f>
        <v/>
      </c>
      <c r="AF45">
        <f>SUMPRODUCT((M_BOM[Part Name]=$A45)*M_BOM[RM_Qty_Per_Batch]*IFERROR(INDEX(PP_Grid[#Data],M_BOM[PPGridRow],32),0))+IFERROR(INDEX(M_RawMaterials[固定週次消費量_要入力],MATCH($A45,M_RawMaterials[Part Name],0)),0)</f>
        <v/>
      </c>
      <c r="AG45">
        <f>SUMPRODUCT((M_BOM[Part Name]=$A45)*M_BOM[RM_Qty_Per_Batch]*IFERROR(INDEX(PP_Grid[#Data],M_BOM[PPGridRow],33),0))+IFERROR(INDEX(M_RawMaterials[固定週次消費量_要入力],MATCH($A45,M_RawMaterials[Part Name],0)),0)</f>
        <v/>
      </c>
      <c r="AH45">
        <f>SUMPRODUCT((M_BOM[Part Name]=$A45)*M_BOM[RM_Qty_Per_Batch]*IFERROR(INDEX(PP_Grid[#Data],M_BOM[PPGridRow],34),0))+IFERROR(INDEX(M_RawMaterials[固定週次消費量_要入力],MATCH($A45,M_RawMaterials[Part Name],0)),0)</f>
        <v/>
      </c>
      <c r="AI45">
        <f>SUMPRODUCT((M_BOM[Part Name]=$A45)*M_BOM[RM_Qty_Per_Batch]*IFERROR(INDEX(PP_Grid[#Data],M_BOM[PPGridRow],35),0))+IFERROR(INDEX(M_RawMaterials[固定週次消費量_要入力],MATCH($A45,M_RawMaterials[Part Name],0)),0)</f>
        <v/>
      </c>
      <c r="AJ45">
        <f>SUMPRODUCT((M_BOM[Part Name]=$A45)*M_BOM[RM_Qty_Per_Batch]*IFERROR(INDEX(PP_Grid[#Data],M_BOM[PPGridRow],36),0))+IFERROR(INDEX(M_RawMaterials[固定週次消費量_要入力],MATCH($A45,M_RawMaterials[Part Name],0)),0)</f>
        <v/>
      </c>
      <c r="AK45">
        <f>SUMPRODUCT((M_BOM[Part Name]=$A45)*M_BOM[RM_Qty_Per_Batch]*IFERROR(INDEX(PP_Grid[#Data],M_BOM[PPGridRow],37),0))+IFERROR(INDEX(M_RawMaterials[固定週次消費量_要入力],MATCH($A45,M_RawMaterials[Part Name],0)),0)</f>
        <v/>
      </c>
      <c r="AL45">
        <f>SUMPRODUCT((M_BOM[Part Name]=$A45)*M_BOM[RM_Qty_Per_Batch]*IFERROR(INDEX(PP_Grid[#Data],M_BOM[PPGridRow],38),0))+IFERROR(INDEX(M_RawMaterials[固定週次消費量_要入力],MATCH($A45,M_RawMaterials[Part Name],0)),0)</f>
        <v/>
      </c>
      <c r="AM45">
        <f>SUMPRODUCT((M_BOM[Part Name]=$A45)*M_BOM[RM_Qty_Per_Batch]*IFERROR(INDEX(PP_Grid[#Data],M_BOM[PPGridRow],39),0))+IFERROR(INDEX(M_RawMaterials[固定週次消費量_要入力],MATCH($A45,M_RawMaterials[Part Name],0)),0)</f>
        <v/>
      </c>
      <c r="AN45">
        <f>SUMPRODUCT((M_BOM[Part Name]=$A45)*M_BOM[RM_Qty_Per_Batch]*IFERROR(INDEX(PP_Grid[#Data],M_BOM[PPGridRow],40),0))+IFERROR(INDEX(M_RawMaterials[固定週次消費量_要入力],MATCH($A45,M_RawMaterials[Part Name],0)),0)</f>
        <v/>
      </c>
      <c r="AO45">
        <f>SUMPRODUCT((M_BOM[Part Name]=$A45)*M_BOM[RM_Qty_Per_Batch]*IFERROR(INDEX(PP_Grid[#Data],M_BOM[PPGridRow],41),0))+IFERROR(INDEX(M_RawMaterials[固定週次消費量_要入力],MATCH($A45,M_RawMaterials[Part Name],0)),0)</f>
        <v/>
      </c>
      <c r="AP45">
        <f>SUMPRODUCT((M_BOM[Part Name]=$A45)*M_BOM[RM_Qty_Per_Batch]*IFERROR(INDEX(PP_Grid[#Data],M_BOM[PPGridRow],42),0))+IFERROR(INDEX(M_RawMaterials[固定週次消費量_要入力],MATCH($A45,M_RawMaterials[Part Name],0)),0)</f>
        <v/>
      </c>
      <c r="AQ45">
        <f>SUMPRODUCT((M_BOM[Part Name]=$A45)*M_BOM[RM_Qty_Per_Batch]*IFERROR(INDEX(PP_Grid[#Data],M_BOM[PPGridRow],43),0))+IFERROR(INDEX(M_RawMaterials[固定週次消費量_要入力],MATCH($A45,M_RawMaterials[Part Name],0)),0)</f>
        <v/>
      </c>
      <c r="AR45">
        <f>SUMPRODUCT((M_BOM[Part Name]=$A45)*M_BOM[RM_Qty_Per_Batch]*IFERROR(INDEX(PP_Grid[#Data],M_BOM[PPGridRow],44),0))+IFERROR(INDEX(M_RawMaterials[固定週次消費量_要入力],MATCH($A45,M_RawMaterials[Part Name],0)),0)</f>
        <v/>
      </c>
      <c r="AS45">
        <f>SUMPRODUCT((M_BOM[Part Name]=$A45)*M_BOM[RM_Qty_Per_Batch]*IFERROR(INDEX(PP_Grid[#Data],M_BOM[PPGridRow],45),0))+IFERROR(INDEX(M_RawMaterials[固定週次消費量_要入力],MATCH($A45,M_RawMaterials[Part Name],0)),0)</f>
        <v/>
      </c>
      <c r="AT45">
        <f>SUMPRODUCT((M_BOM[Part Name]=$A45)*M_BOM[RM_Qty_Per_Batch]*IFERROR(INDEX(PP_Grid[#Data],M_BOM[PPGridRow],46),0))+IFERROR(INDEX(M_RawMaterials[固定週次消費量_要入力],MATCH($A45,M_RawMaterials[Part Name],0)),0)</f>
        <v/>
      </c>
      <c r="AU45">
        <f>SUMPRODUCT((M_BOM[Part Name]=$A45)*M_BOM[RM_Qty_Per_Batch]*IFERROR(INDEX(PP_Grid[#Data],M_BOM[PPGridRow],47),0))+IFERROR(INDEX(M_RawMaterials[固定週次消費量_要入力],MATCH($A45,M_RawMaterials[Part Name],0)),0)</f>
        <v/>
      </c>
      <c r="AV45">
        <f>SUMPRODUCT((M_BOM[Part Name]=$A45)*M_BOM[RM_Qty_Per_Batch]*IFERROR(INDEX(PP_Grid[#Data],M_BOM[PPGridRow],48),0))+IFERROR(INDEX(M_RawMaterials[固定週次消費量_要入力],MATCH($A45,M_RawMaterials[Part Name],0)),0)</f>
        <v/>
      </c>
      <c r="AW45">
        <f>SUMPRODUCT((M_BOM[Part Name]=$A45)*M_BOM[RM_Qty_Per_Batch]*IFERROR(INDEX(PP_Grid[#Data],M_BOM[PPGridRow],49),0))+IFERROR(INDEX(M_RawMaterials[固定週次消費量_要入力],MATCH($A45,M_RawMaterials[Part Name],0)),0)</f>
        <v/>
      </c>
      <c r="AX45">
        <f>SUMPRODUCT((M_BOM[Part Name]=$A45)*M_BOM[RM_Qty_Per_Batch]*IFERROR(INDEX(PP_Grid[#Data],M_BOM[PPGridRow],50),0))+IFERROR(INDEX(M_RawMaterials[固定週次消費量_要入力],MATCH($A45,M_RawMaterials[Part Name],0)),0)</f>
        <v/>
      </c>
      <c r="AY45">
        <f>SUMPRODUCT((M_BOM[Part Name]=$A45)*M_BOM[RM_Qty_Per_Batch]*IFERROR(INDEX(PP_Grid[#Data],M_BOM[PPGridRow],51),0))+IFERROR(INDEX(M_RawMaterials[固定週次消費量_要入力],MATCH($A45,M_RawMaterials[Part Name],0)),0)</f>
        <v/>
      </c>
      <c r="AZ45">
        <f>SUMPRODUCT((M_BOM[Part Name]=$A45)*M_BOM[RM_Qty_Per_Batch]*IFERROR(INDEX(PP_Grid[#Data],M_BOM[PPGridRow],52),0))+IFERROR(INDEX(M_RawMaterials[固定週次消費量_要入力],MATCH($A45,M_RawMaterials[Part Name],0)),0)</f>
        <v/>
      </c>
      <c r="BA45">
        <f>SUMPRODUCT((M_BOM[Part Name]=$A45)*M_BOM[RM_Qty_Per_Batch]*IFERROR(INDEX(PP_Grid[#Data],M_BOM[PPGridRow],53),0))+IFERROR(INDEX(M_RawMaterials[固定週次消費量_要入力],MATCH($A45,M_RawMaterials[Part Name],0)),0)</f>
        <v/>
      </c>
      <c r="BB45">
        <f>SUMPRODUCT((M_BOM[Part Name]=$A45)*M_BOM[RM_Qty_Per_Batch]*IFERROR(INDEX(PP_Grid[#Data],M_BOM[PPGridRow],54),0))+IFERROR(INDEX(M_RawMaterials[固定週次消費量_要入力],MATCH($A45,M_RawMaterials[Part Name],0)),0)</f>
        <v/>
      </c>
      <c r="BC45">
        <f>SUMPRODUCT((M_BOM[Part Name]=$A45)*M_BOM[RM_Qty_Per_Batch]*IFERROR(INDEX(PP_Grid[#Data],M_BOM[PPGridRow],55),0))+IFERROR(INDEX(M_RawMaterials[固定週次消費量_要入力],MATCH($A45,M_RawMaterials[Part Name],0)),0)</f>
        <v/>
      </c>
      <c r="BD45">
        <f>SUMPRODUCT((M_BOM[Part Name]=$A45)*M_BOM[RM_Qty_Per_Batch]*IFERROR(INDEX(PP_Grid[#Data],M_BOM[PPGridRow],56),0))+IFERROR(INDEX(M_RawMaterials[固定週次消費量_要入力],MATCH($A45,M_RawMaterials[Part Name],0)),0)</f>
        <v/>
      </c>
      <c r="BE45">
        <f>SUMPRODUCT((M_BOM[Part Name]=$A45)*M_BOM[RM_Qty_Per_Batch]*IFERROR(INDEX(PP_Grid[#Data],M_BOM[PPGridRow],57),0))+IFERROR(INDEX(M_RawMaterials[固定週次消費量_要入力],MATCH($A45,M_RawMaterials[Part Name],0)),0)</f>
        <v/>
      </c>
      <c r="BF45">
        <f>SUMPRODUCT((M_BOM[Part Name]=$A45)*M_BOM[RM_Qty_Per_Batch]*IFERROR(INDEX(PP_Grid[#Data],M_BOM[PPGridRow],58),0))+IFERROR(INDEX(M_RawMaterials[固定週次消費量_要入力],MATCH($A45,M_RawMaterials[Part Name],0)),0)</f>
        <v/>
      </c>
      <c r="BG45">
        <f>SUMPRODUCT((M_BOM[Part Name]=$A45)*M_BOM[RM_Qty_Per_Batch]*IFERROR(INDEX(PP_Grid[#Data],M_BOM[PPGridRow],59),0))+IFERROR(INDEX(M_RawMaterials[固定週次消費量_要入力],MATCH($A45,M_RawMaterials[Part Name],0)),0)</f>
        <v/>
      </c>
      <c r="BH45">
        <f>SUMPRODUCT((M_BOM[Part Name]=$A45)*M_BOM[RM_Qty_Per_Batch]*IFERROR(INDEX(PP_Grid[#Data],M_BOM[PPGridRow],60),0))+IFERROR(INDEX(M_RawMaterials[固定週次消費量_要入力],MATCH($A45,M_RawMaterials[Part Name],0)),0)</f>
        <v/>
      </c>
      <c r="BI45">
        <f>SUMPRODUCT((M_BOM[Part Name]=$A45)*M_BOM[RM_Qty_Per_Batch]*IFERROR(INDEX(PP_Grid[#Data],M_BOM[PPGridRow],61),0))+IFERROR(INDEX(M_RawMaterials[固定週次消費量_要入力],MATCH($A45,M_RawMaterials[Part Name],0)),0)</f>
        <v/>
      </c>
      <c r="BJ45">
        <f>SUMPRODUCT((M_BOM[Part Name]=$A45)*M_BOM[RM_Qty_Per_Batch]*IFERROR(INDEX(PP_Grid[#Data],M_BOM[PPGridRow],62),0))+IFERROR(INDEX(M_RawMaterials[固定週次消費量_要入力],MATCH($A45,M_RawMaterials[Part Name],0)),0)</f>
        <v/>
      </c>
      <c r="BK45">
        <f>SUMPRODUCT((M_BOM[Part Name]=$A45)*M_BOM[RM_Qty_Per_Batch]*IFERROR(INDEX(PP_Grid[#Data],M_BOM[PPGridRow],63),0))+IFERROR(INDEX(M_RawMaterials[固定週次消費量_要入力],MATCH($A45,M_RawMaterials[Part Name],0)),0)</f>
        <v/>
      </c>
      <c r="BL45">
        <f>SUMPRODUCT((M_BOM[Part Name]=$A45)*M_BOM[RM_Qty_Per_Batch]*IFERROR(INDEX(PP_Grid[#Data],M_BOM[PPGridRow],64),0))+IFERROR(INDEX(M_RawMaterials[固定週次消費量_要入力],MATCH($A45,M_RawMaterials[Part Name],0)),0)</f>
        <v/>
      </c>
      <c r="BM45">
        <f>SUMPRODUCT((M_BOM[Part Name]=$A45)*M_BOM[RM_Qty_Per_Batch]*IFERROR(INDEX(PP_Grid[#Data],M_BOM[PPGridRow],65),0))+IFERROR(INDEX(M_RawMaterials[固定週次消費量_要入力],MATCH($A45,M_RawMaterials[Part Name],0)),0)</f>
        <v/>
      </c>
      <c r="BN45">
        <f>SUMPRODUCT((M_BOM[Part Name]=$A45)*M_BOM[RM_Qty_Per_Batch]*IFERROR(INDEX(PP_Grid[#Data],M_BOM[PPGridRow],66),0))+IFERROR(INDEX(M_RawMaterials[固定週次消費量_要入力],MATCH($A45,M_RawMaterials[Part Name],0)),0)</f>
        <v/>
      </c>
      <c r="BO45">
        <f>SUMPRODUCT((M_BOM[Part Name]=$A45)*M_BOM[RM_Qty_Per_Batch]*IFERROR(INDEX(PP_Grid[#Data],M_BOM[PPGridRow],67),0))+IFERROR(INDEX(M_RawMaterials[固定週次消費量_要入力],MATCH($A45,M_RawMaterials[Part Name],0)),0)</f>
        <v/>
      </c>
      <c r="BP45">
        <f>SUMPRODUCT((M_BOM[Part Name]=$A45)*M_BOM[RM_Qty_Per_Batch]*IFERROR(INDEX(PP_Grid[#Data],M_BOM[PPGridRow],68),0))+IFERROR(INDEX(M_RawMaterials[固定週次消費量_要入力],MATCH($A45,M_RawMaterials[Part Name],0)),0)</f>
        <v/>
      </c>
      <c r="BQ45">
        <f>SUMPRODUCT((M_BOM[Part Name]=$A45)*M_BOM[RM_Qty_Per_Batch]*IFERROR(INDEX(PP_Grid[#Data],M_BOM[PPGridRow],69),0))+IFERROR(INDEX(M_RawMaterials[固定週次消費量_要入力],MATCH($A45,M_RawMaterials[Part Name],0)),0)</f>
        <v/>
      </c>
      <c r="BR45">
        <f>SUMPRODUCT((M_BOM[Part Name]=$A45)*M_BOM[RM_Qty_Per_Batch]*IFERROR(INDEX(PP_Grid[#Data],M_BOM[PPGridRow],70),0))+IFERROR(INDEX(M_RawMaterials[固定週次消費量_要入力],MATCH($A45,M_RawMaterials[Part Name],0)),0)</f>
        <v/>
      </c>
      <c r="BS45">
        <f>SUMPRODUCT((M_BOM[Part Name]=$A45)*M_BOM[RM_Qty_Per_Batch]*IFERROR(INDEX(PP_Grid[#Data],M_BOM[PPGridRow],71),0))+IFERROR(INDEX(M_RawMaterials[固定週次消費量_要入力],MATCH($A45,M_RawMaterials[Part Name],0)),0)</f>
        <v/>
      </c>
      <c r="BT45">
        <f>SUMPRODUCT((M_BOM[Part Name]=$A45)*M_BOM[RM_Qty_Per_Batch]*IFERROR(INDEX(PP_Grid[#Data],M_BOM[PPGridRow],72),0))+IFERROR(INDEX(M_RawMaterials[固定週次消費量_要入力],MATCH($A45,M_RawMaterials[Part Name],0)),0)</f>
        <v/>
      </c>
      <c r="BU45">
        <f>SUMPRODUCT((M_BOM[Part Name]=$A45)*M_BOM[RM_Qty_Per_Batch]*IFERROR(INDEX(PP_Grid[#Data],M_BOM[PPGridRow],73),0))+IFERROR(INDEX(M_RawMaterials[固定週次消費量_要入力],MATCH($A45,M_RawMaterials[Part Name],0)),0)</f>
        <v/>
      </c>
      <c r="BV45">
        <f>SUMPRODUCT((M_BOM[Part Name]=$A45)*M_BOM[RM_Qty_Per_Batch]*IFERROR(INDEX(PP_Grid[#Data],M_BOM[PPGridRow],74),0))+IFERROR(INDEX(M_RawMaterials[固定週次消費量_要入力],MATCH($A45,M_RawMaterials[Part Name],0)),0)</f>
        <v/>
      </c>
      <c r="BW45">
        <f>SUMPRODUCT((M_BOM[Part Name]=$A45)*M_BOM[RM_Qty_Per_Batch]*IFERROR(INDEX(PP_Grid[#Data],M_BOM[PPGridRow],75),0))+IFERROR(INDEX(M_RawMaterials[固定週次消費量_要入力],MATCH($A45,M_RawMaterials[Part Name],0)),0)</f>
        <v/>
      </c>
      <c r="BX45">
        <f>SUMPRODUCT((M_BOM[Part Name]=$A45)*M_BOM[RM_Qty_Per_Batch]*IFERROR(INDEX(PP_Grid[#Data],M_BOM[PPGridRow],76),0))+IFERROR(INDEX(M_RawMaterials[固定週次消費量_要入力],MATCH($A45,M_RawMaterials[Part Name],0)),0)</f>
        <v/>
      </c>
      <c r="BY45">
        <f>SUMPRODUCT((M_BOM[Part Name]=$A45)*M_BOM[RM_Qty_Per_Batch]*IFERROR(INDEX(PP_Grid[#Data],M_BOM[PPGridRow],77),0))+IFERROR(INDEX(M_RawMaterials[固定週次消費量_要入力],MATCH($A45,M_RawMaterials[Part Name],0)),0)</f>
        <v/>
      </c>
      <c r="BZ45">
        <f>SUMPRODUCT((M_BOM[Part Name]=$A45)*M_BOM[RM_Qty_Per_Batch]*IFERROR(INDEX(PP_Grid[#Data],M_BOM[PPGridRow],78),0))+IFERROR(INDEX(M_RawMaterials[固定週次消費量_要入力],MATCH($A45,M_RawMaterials[Part Name],0)),0)</f>
        <v/>
      </c>
      <c r="CA45">
        <f>SUMPRODUCT((M_BOM[Part Name]=$A45)*M_BOM[RM_Qty_Per_Batch]*IFERROR(INDEX(PP_Grid[#Data],M_BOM[PPGridRow],79),0))+IFERROR(INDEX(M_RawMaterials[固定週次消費量_要入力],MATCH($A45,M_RawMaterials[Part Name],0)),0)</f>
        <v/>
      </c>
      <c r="CB45">
        <f>SUMPRODUCT((M_BOM[Part Name]=$A45)*M_BOM[RM_Qty_Per_Batch]*IFERROR(INDEX(PP_Grid[#Data],M_BOM[PPGridRow],80),0))+IFERROR(INDEX(M_RawMaterials[固定週次消費量_要入力],MATCH($A45,M_RawMaterials[Part Name],0)),0)</f>
        <v/>
      </c>
      <c r="CC45">
        <f>SUMPRODUCT((M_BOM[Part Name]=$A45)*M_BOM[RM_Qty_Per_Batch]*IFERROR(INDEX(PP_Grid[#Data],M_BOM[PPGridRow],81),0))+IFERROR(INDEX(M_RawMaterials[固定週次消費量_要入力],MATCH($A45,M_RawMaterials[Part Name],0)),0)</f>
        <v/>
      </c>
      <c r="CD45">
        <f>SUMPRODUCT((M_BOM[Part Name]=$A45)*M_BOM[RM_Qty_Per_Batch]*IFERROR(INDEX(PP_Grid[#Data],M_BOM[PPGridRow],82),0))+IFERROR(INDEX(M_RawMaterials[固定週次消費量_要入力],MATCH($A45,M_RawMaterials[Part Name],0)),0)</f>
        <v/>
      </c>
      <c r="CE45">
        <f>SUMPRODUCT((M_BOM[Part Name]=$A45)*M_BOM[RM_Qty_Per_Batch]*IFERROR(INDEX(PP_Grid[#Data],M_BOM[PPGridRow],83),0))+IFERROR(INDEX(M_RawMaterials[固定週次消費量_要入力],MATCH($A45,M_RawMaterials[Part Name],0)),0)</f>
        <v/>
      </c>
      <c r="CF45">
        <f>SUMPRODUCT((M_BOM[Part Name]=$A45)*M_BOM[RM_Qty_Per_Batch]*IFERROR(INDEX(PP_Grid[#Data],M_BOM[PPGridRow],84),0))+IFERROR(INDEX(M_RawMaterials[固定週次消費量_要入力],MATCH($A45,M_RawMaterials[Part Name],0)),0)</f>
        <v/>
      </c>
      <c r="CG45">
        <f>SUMPRODUCT((M_BOM[Part Name]=$A45)*M_BOM[RM_Qty_Per_Batch]*IFERROR(INDEX(PP_Grid[#Data],M_BOM[PPGridRow],85),0))+IFERROR(INDEX(M_RawMaterials[固定週次消費量_要入力],MATCH($A45,M_RawMaterials[Part Name],0)),0)</f>
        <v/>
      </c>
      <c r="CH45">
        <f>SUMPRODUCT((M_BOM[Part Name]=$A45)*M_BOM[RM_Qty_Per_Batch]*IFERROR(INDEX(PP_Grid[#Data],M_BOM[PPGridRow],86),0))+IFERROR(INDEX(M_RawMaterials[固定週次消費量_要入力],MATCH($A45,M_RawMaterials[Part Name],0)),0)</f>
        <v/>
      </c>
      <c r="CI45">
        <f>SUMPRODUCT((M_BOM[Part Name]=$A45)*M_BOM[RM_Qty_Per_Batch]*IFERROR(INDEX(PP_Grid[#Data],M_BOM[PPGridRow],87),0))+IFERROR(INDEX(M_RawMaterials[固定週次消費量_要入力],MATCH($A45,M_RawMaterials[Part Name],0)),0)</f>
        <v/>
      </c>
      <c r="CJ45">
        <f>SUMPRODUCT((M_BOM[Part Name]=$A45)*M_BOM[RM_Qty_Per_Batch]*IFERROR(INDEX(PP_Grid[#Data],M_BOM[PPGridRow],88),0))+IFERROR(INDEX(M_RawMaterials[固定週次消費量_要入力],MATCH($A45,M_RawMaterials[Part Name],0)),0)</f>
        <v/>
      </c>
      <c r="CK45">
        <f>SUMPRODUCT((M_BOM[Part Name]=$A45)*M_BOM[RM_Qty_Per_Batch]*IFERROR(INDEX(PP_Grid[#Data],M_BOM[PPGridRow],89),0))+IFERROR(INDEX(M_RawMaterials[固定週次消費量_要入力],MATCH($A45,M_RawMaterials[Part Name],0)),0)</f>
        <v/>
      </c>
      <c r="CL45">
        <f>SUMPRODUCT((M_BOM[Part Name]=$A45)*M_BOM[RM_Qty_Per_Batch]*IFERROR(INDEX(PP_Grid[#Data],M_BOM[PPGridRow],90),0))+IFERROR(INDEX(M_RawMaterials[固定週次消費量_要入力],MATCH($A45,M_RawMaterials[Part Name],0)),0)</f>
        <v/>
      </c>
      <c r="CM45">
        <f>SUMPRODUCT((M_BOM[Part Name]=$A45)*M_BOM[RM_Qty_Per_Batch]*IFERROR(INDEX(PP_Grid[#Data],M_BOM[PPGridRow],91),0))+IFERROR(INDEX(M_RawMaterials[固定週次消費量_要入力],MATCH($A45,M_RawMaterials[Part Name],0)),0)</f>
        <v/>
      </c>
      <c r="CN45">
        <f>SUMPRODUCT((M_BOM[Part Name]=$A45)*M_BOM[RM_Qty_Per_Batch]*IFERROR(INDEX(PP_Grid[#Data],M_BOM[PPGridRow],92),0))+IFERROR(INDEX(M_RawMaterials[固定週次消費量_要入力],MATCH($A45,M_RawMaterials[Part Name],0)),0)</f>
        <v/>
      </c>
      <c r="CO45">
        <f>SUMPRODUCT((M_BOM[Part Name]=$A45)*M_BOM[RM_Qty_Per_Batch]*IFERROR(INDEX(PP_Grid[#Data],M_BOM[PPGridRow],93),0))+IFERROR(INDEX(M_RawMaterials[固定週次消費量_要入力],MATCH($A45,M_RawMaterials[Part Name],0)),0)</f>
        <v/>
      </c>
      <c r="CP45">
        <f>SUMPRODUCT((M_BOM[Part Name]=$A45)*M_BOM[RM_Qty_Per_Batch]*IFERROR(INDEX(PP_Grid[#Data],M_BOM[PPGridRow],94),0))+IFERROR(INDEX(M_RawMaterials[固定週次消費量_要入力],MATCH($A45,M_RawMaterials[Part Name],0)),0)</f>
        <v/>
      </c>
      <c r="CQ45">
        <f>SUMPRODUCT((M_BOM[Part Name]=$A45)*M_BOM[RM_Qty_Per_Batch]*IFERROR(INDEX(PP_Grid[#Data],M_BOM[PPGridRow],95),0))+IFERROR(INDEX(M_RawMaterials[固定週次消費量_要入力],MATCH($A45,M_RawMaterials[Part Name],0)),0)</f>
        <v/>
      </c>
      <c r="CR45">
        <f>SUMPRODUCT((M_BOM[Part Name]=$A45)*M_BOM[RM_Qty_Per_Batch]*IFERROR(INDEX(PP_Grid[#Data],M_BOM[PPGridRow],96),0))+IFERROR(INDEX(M_RawMaterials[固定週次消費量_要入力],MATCH($A45,M_RawMaterials[Part Name],0)),0)</f>
        <v/>
      </c>
      <c r="CS45">
        <f>SUMPRODUCT((M_BOM[Part Name]=$A45)*M_BOM[RM_Qty_Per_Batch]*IFERROR(INDEX(PP_Grid[#Data],M_BOM[PPGridRow],97),0))+IFERROR(INDEX(M_RawMaterials[固定週次消費量_要入力],MATCH($A45,M_RawMaterials[Part Name],0)),0)</f>
        <v/>
      </c>
      <c r="CT45">
        <f>SUMPRODUCT((M_BOM[Part Name]=$A45)*M_BOM[RM_Qty_Per_Batch]*IFERROR(INDEX(PP_Grid[#Data],M_BOM[PPGridRow],98),0))+IFERROR(INDEX(M_RawMaterials[固定週次消費量_要入力],MATCH($A45,M_RawMaterials[Part Name],0)),0)</f>
        <v/>
      </c>
      <c r="CU45">
        <f>SUMPRODUCT((M_BOM[Part Name]=$A45)*M_BOM[RM_Qty_Per_Batch]*IFERROR(INDEX(PP_Grid[#Data],M_BOM[PPGridRow],99),0))+IFERROR(INDEX(M_RawMaterials[固定週次消費量_要入力],MATCH($A45,M_RawMaterials[Part Name],0)),0)</f>
        <v/>
      </c>
      <c r="CV45">
        <f>SUMPRODUCT((M_BOM[Part Name]=$A45)*M_BOM[RM_Qty_Per_Batch]*IFERROR(INDEX(PP_Grid[#Data],M_BOM[PPGridRow],100),0))+IFERROR(INDEX(M_RawMaterials[固定週次消費量_要入力],MATCH($A45,M_RawMaterials[Part Name],0)),0)</f>
        <v/>
      </c>
      <c r="CW45">
        <f>SUMPRODUCT((M_BOM[Part Name]=$A45)*M_BOM[RM_Qty_Per_Batch]*IFERROR(INDEX(PP_Grid[#Data],M_BOM[PPGridRow],101),0))+IFERROR(INDEX(M_RawMaterials[固定週次消費量_要入力],MATCH($A45,M_RawMaterials[Part Name],0)),0)</f>
        <v/>
      </c>
      <c r="CX45">
        <f>SUMPRODUCT((M_BOM[Part Name]=$A45)*M_BOM[RM_Qty_Per_Batch]*IFERROR(INDEX(PP_Grid[#Data],M_BOM[PPGridRow],102),0))+IFERROR(INDEX(M_RawMaterials[固定週次消費量_要入力],MATCH($A45,M_RawMaterials[Part Name],0)),0)</f>
        <v/>
      </c>
      <c r="CY45">
        <f>SUMPRODUCT((M_BOM[Part Name]=$A45)*M_BOM[RM_Qty_Per_Batch]*IFERROR(INDEX(PP_Grid[#Data],M_BOM[PPGridRow],103),0))+IFERROR(INDEX(M_RawMaterials[固定週次消費量_要入力],MATCH($A45,M_RawMaterials[Part Name],0)),0)</f>
        <v/>
      </c>
      <c r="CZ45">
        <f>SUMPRODUCT((M_BOM[Part Name]=$A45)*M_BOM[RM_Qty_Per_Batch]*IFERROR(INDEX(PP_Grid[#Data],M_BOM[PPGridRow],104),0))+IFERROR(INDEX(M_RawMaterials[固定週次消費量_要入力],MATCH($A45,M_RawMaterials[Part Name],0)),0)</f>
        <v/>
      </c>
      <c r="DA45">
        <f>SUMPRODUCT((M_BOM[Part Name]=$A45)*M_BOM[RM_Qty_Per_Batch]*IFERROR(INDEX(PP_Grid[#Data],M_BOM[PPGridRow],105),0))+IFERROR(INDEX(M_RawMaterials[固定週次消費量_要入力],MATCH($A45,M_RawMaterials[Part Name],0)),0)</f>
        <v/>
      </c>
    </row>
    <row r="46">
      <c r="A46" t="inlineStr">
        <is>
          <t>CHEM-1430</t>
        </is>
      </c>
      <c r="B46">
        <f>SUMPRODUCT((M_BOM[Part Name]=$A46)*M_BOM[RM_Qty_Per_Batch]*IFERROR(INDEX(PP_Grid[#Data],M_BOM[PPGridRow],2),0))+IFERROR(INDEX(M_RawMaterials[固定週次消費量_要入力],MATCH($A46,M_RawMaterials[Part Name],0)),0)</f>
        <v/>
      </c>
      <c r="C46">
        <f>SUMPRODUCT((M_BOM[Part Name]=$A46)*M_BOM[RM_Qty_Per_Batch]*IFERROR(INDEX(PP_Grid[#Data],M_BOM[PPGridRow],3),0))+IFERROR(INDEX(M_RawMaterials[固定週次消費量_要入力],MATCH($A46,M_RawMaterials[Part Name],0)),0)</f>
        <v/>
      </c>
      <c r="D46">
        <f>SUMPRODUCT((M_BOM[Part Name]=$A46)*M_BOM[RM_Qty_Per_Batch]*IFERROR(INDEX(PP_Grid[#Data],M_BOM[PPGridRow],4),0))+IFERROR(INDEX(M_RawMaterials[固定週次消費量_要入力],MATCH($A46,M_RawMaterials[Part Name],0)),0)</f>
        <v/>
      </c>
      <c r="E46">
        <f>SUMPRODUCT((M_BOM[Part Name]=$A46)*M_BOM[RM_Qty_Per_Batch]*IFERROR(INDEX(PP_Grid[#Data],M_BOM[PPGridRow],5),0))+IFERROR(INDEX(M_RawMaterials[固定週次消費量_要入力],MATCH($A46,M_RawMaterials[Part Name],0)),0)</f>
        <v/>
      </c>
      <c r="F46">
        <f>SUMPRODUCT((M_BOM[Part Name]=$A46)*M_BOM[RM_Qty_Per_Batch]*IFERROR(INDEX(PP_Grid[#Data],M_BOM[PPGridRow],6),0))+IFERROR(INDEX(M_RawMaterials[固定週次消費量_要入力],MATCH($A46,M_RawMaterials[Part Name],0)),0)</f>
        <v/>
      </c>
      <c r="G46">
        <f>SUMPRODUCT((M_BOM[Part Name]=$A46)*M_BOM[RM_Qty_Per_Batch]*IFERROR(INDEX(PP_Grid[#Data],M_BOM[PPGridRow],7),0))+IFERROR(INDEX(M_RawMaterials[固定週次消費量_要入力],MATCH($A46,M_RawMaterials[Part Name],0)),0)</f>
        <v/>
      </c>
      <c r="H46">
        <f>SUMPRODUCT((M_BOM[Part Name]=$A46)*M_BOM[RM_Qty_Per_Batch]*IFERROR(INDEX(PP_Grid[#Data],M_BOM[PPGridRow],8),0))+IFERROR(INDEX(M_RawMaterials[固定週次消費量_要入力],MATCH($A46,M_RawMaterials[Part Name],0)),0)</f>
        <v/>
      </c>
      <c r="I46">
        <f>SUMPRODUCT((M_BOM[Part Name]=$A46)*M_BOM[RM_Qty_Per_Batch]*IFERROR(INDEX(PP_Grid[#Data],M_BOM[PPGridRow],9),0))+IFERROR(INDEX(M_RawMaterials[固定週次消費量_要入力],MATCH($A46,M_RawMaterials[Part Name],0)),0)</f>
        <v/>
      </c>
      <c r="J46">
        <f>SUMPRODUCT((M_BOM[Part Name]=$A46)*M_BOM[RM_Qty_Per_Batch]*IFERROR(INDEX(PP_Grid[#Data],M_BOM[PPGridRow],10),0))+IFERROR(INDEX(M_RawMaterials[固定週次消費量_要入力],MATCH($A46,M_RawMaterials[Part Name],0)),0)</f>
        <v/>
      </c>
      <c r="K46">
        <f>SUMPRODUCT((M_BOM[Part Name]=$A46)*M_BOM[RM_Qty_Per_Batch]*IFERROR(INDEX(PP_Grid[#Data],M_BOM[PPGridRow],11),0))+IFERROR(INDEX(M_RawMaterials[固定週次消費量_要入力],MATCH($A46,M_RawMaterials[Part Name],0)),0)</f>
        <v/>
      </c>
      <c r="L46">
        <f>SUMPRODUCT((M_BOM[Part Name]=$A46)*M_BOM[RM_Qty_Per_Batch]*IFERROR(INDEX(PP_Grid[#Data],M_BOM[PPGridRow],12),0))+IFERROR(INDEX(M_RawMaterials[固定週次消費量_要入力],MATCH($A46,M_RawMaterials[Part Name],0)),0)</f>
        <v/>
      </c>
      <c r="M46">
        <f>SUMPRODUCT((M_BOM[Part Name]=$A46)*M_BOM[RM_Qty_Per_Batch]*IFERROR(INDEX(PP_Grid[#Data],M_BOM[PPGridRow],13),0))+IFERROR(INDEX(M_RawMaterials[固定週次消費量_要入力],MATCH($A46,M_RawMaterials[Part Name],0)),0)</f>
        <v/>
      </c>
      <c r="N46">
        <f>SUMPRODUCT((M_BOM[Part Name]=$A46)*M_BOM[RM_Qty_Per_Batch]*IFERROR(INDEX(PP_Grid[#Data],M_BOM[PPGridRow],14),0))+IFERROR(INDEX(M_RawMaterials[固定週次消費量_要入力],MATCH($A46,M_RawMaterials[Part Name],0)),0)</f>
        <v/>
      </c>
      <c r="O46">
        <f>SUMPRODUCT((M_BOM[Part Name]=$A46)*M_BOM[RM_Qty_Per_Batch]*IFERROR(INDEX(PP_Grid[#Data],M_BOM[PPGridRow],15),0))+IFERROR(INDEX(M_RawMaterials[固定週次消費量_要入力],MATCH($A46,M_RawMaterials[Part Name],0)),0)</f>
        <v/>
      </c>
      <c r="P46">
        <f>SUMPRODUCT((M_BOM[Part Name]=$A46)*M_BOM[RM_Qty_Per_Batch]*IFERROR(INDEX(PP_Grid[#Data],M_BOM[PPGridRow],16),0))+IFERROR(INDEX(M_RawMaterials[固定週次消費量_要入力],MATCH($A46,M_RawMaterials[Part Name],0)),0)</f>
        <v/>
      </c>
      <c r="Q46">
        <f>SUMPRODUCT((M_BOM[Part Name]=$A46)*M_BOM[RM_Qty_Per_Batch]*IFERROR(INDEX(PP_Grid[#Data],M_BOM[PPGridRow],17),0))+IFERROR(INDEX(M_RawMaterials[固定週次消費量_要入力],MATCH($A46,M_RawMaterials[Part Name],0)),0)</f>
        <v/>
      </c>
      <c r="R46">
        <f>SUMPRODUCT((M_BOM[Part Name]=$A46)*M_BOM[RM_Qty_Per_Batch]*IFERROR(INDEX(PP_Grid[#Data],M_BOM[PPGridRow],18),0))+IFERROR(INDEX(M_RawMaterials[固定週次消費量_要入力],MATCH($A46,M_RawMaterials[Part Name],0)),0)</f>
        <v/>
      </c>
      <c r="S46">
        <f>SUMPRODUCT((M_BOM[Part Name]=$A46)*M_BOM[RM_Qty_Per_Batch]*IFERROR(INDEX(PP_Grid[#Data],M_BOM[PPGridRow],19),0))+IFERROR(INDEX(M_RawMaterials[固定週次消費量_要入力],MATCH($A46,M_RawMaterials[Part Name],0)),0)</f>
        <v/>
      </c>
      <c r="T46">
        <f>SUMPRODUCT((M_BOM[Part Name]=$A46)*M_BOM[RM_Qty_Per_Batch]*IFERROR(INDEX(PP_Grid[#Data],M_BOM[PPGridRow],20),0))+IFERROR(INDEX(M_RawMaterials[固定週次消費量_要入力],MATCH($A46,M_RawMaterials[Part Name],0)),0)</f>
        <v/>
      </c>
      <c r="U46">
        <f>SUMPRODUCT((M_BOM[Part Name]=$A46)*M_BOM[RM_Qty_Per_Batch]*IFERROR(INDEX(PP_Grid[#Data],M_BOM[PPGridRow],21),0))+IFERROR(INDEX(M_RawMaterials[固定週次消費量_要入力],MATCH($A46,M_RawMaterials[Part Name],0)),0)</f>
        <v/>
      </c>
      <c r="V46">
        <f>SUMPRODUCT((M_BOM[Part Name]=$A46)*M_BOM[RM_Qty_Per_Batch]*IFERROR(INDEX(PP_Grid[#Data],M_BOM[PPGridRow],22),0))+IFERROR(INDEX(M_RawMaterials[固定週次消費量_要入力],MATCH($A46,M_RawMaterials[Part Name],0)),0)</f>
        <v/>
      </c>
      <c r="W46">
        <f>SUMPRODUCT((M_BOM[Part Name]=$A46)*M_BOM[RM_Qty_Per_Batch]*IFERROR(INDEX(PP_Grid[#Data],M_BOM[PPGridRow],23),0))+IFERROR(INDEX(M_RawMaterials[固定週次消費量_要入力],MATCH($A46,M_RawMaterials[Part Name],0)),0)</f>
        <v/>
      </c>
      <c r="X46">
        <f>SUMPRODUCT((M_BOM[Part Name]=$A46)*M_BOM[RM_Qty_Per_Batch]*IFERROR(INDEX(PP_Grid[#Data],M_BOM[PPGridRow],24),0))+IFERROR(INDEX(M_RawMaterials[固定週次消費量_要入力],MATCH($A46,M_RawMaterials[Part Name],0)),0)</f>
        <v/>
      </c>
      <c r="Y46">
        <f>SUMPRODUCT((M_BOM[Part Name]=$A46)*M_BOM[RM_Qty_Per_Batch]*IFERROR(INDEX(PP_Grid[#Data],M_BOM[PPGridRow],25),0))+IFERROR(INDEX(M_RawMaterials[固定週次消費量_要入力],MATCH($A46,M_RawMaterials[Part Name],0)),0)</f>
        <v/>
      </c>
      <c r="Z46">
        <f>SUMPRODUCT((M_BOM[Part Name]=$A46)*M_BOM[RM_Qty_Per_Batch]*IFERROR(INDEX(PP_Grid[#Data],M_BOM[PPGridRow],26),0))+IFERROR(INDEX(M_RawMaterials[固定週次消費量_要入力],MATCH($A46,M_RawMaterials[Part Name],0)),0)</f>
        <v/>
      </c>
      <c r="AA46">
        <f>SUMPRODUCT((M_BOM[Part Name]=$A46)*M_BOM[RM_Qty_Per_Batch]*IFERROR(INDEX(PP_Grid[#Data],M_BOM[PPGridRow],27),0))+IFERROR(INDEX(M_RawMaterials[固定週次消費量_要入力],MATCH($A46,M_RawMaterials[Part Name],0)),0)</f>
        <v/>
      </c>
      <c r="AB46">
        <f>SUMPRODUCT((M_BOM[Part Name]=$A46)*M_BOM[RM_Qty_Per_Batch]*IFERROR(INDEX(PP_Grid[#Data],M_BOM[PPGridRow],28),0))+IFERROR(INDEX(M_RawMaterials[固定週次消費量_要入力],MATCH($A46,M_RawMaterials[Part Name],0)),0)</f>
        <v/>
      </c>
      <c r="AC46">
        <f>SUMPRODUCT((M_BOM[Part Name]=$A46)*M_BOM[RM_Qty_Per_Batch]*IFERROR(INDEX(PP_Grid[#Data],M_BOM[PPGridRow],29),0))+IFERROR(INDEX(M_RawMaterials[固定週次消費量_要入力],MATCH($A46,M_RawMaterials[Part Name],0)),0)</f>
        <v/>
      </c>
      <c r="AD46">
        <f>SUMPRODUCT((M_BOM[Part Name]=$A46)*M_BOM[RM_Qty_Per_Batch]*IFERROR(INDEX(PP_Grid[#Data],M_BOM[PPGridRow],30),0))+IFERROR(INDEX(M_RawMaterials[固定週次消費量_要入力],MATCH($A46,M_RawMaterials[Part Name],0)),0)</f>
        <v/>
      </c>
      <c r="AE46">
        <f>SUMPRODUCT((M_BOM[Part Name]=$A46)*M_BOM[RM_Qty_Per_Batch]*IFERROR(INDEX(PP_Grid[#Data],M_BOM[PPGridRow],31),0))+IFERROR(INDEX(M_RawMaterials[固定週次消費量_要入力],MATCH($A46,M_RawMaterials[Part Name],0)),0)</f>
        <v/>
      </c>
      <c r="AF46">
        <f>SUMPRODUCT((M_BOM[Part Name]=$A46)*M_BOM[RM_Qty_Per_Batch]*IFERROR(INDEX(PP_Grid[#Data],M_BOM[PPGridRow],32),0))+IFERROR(INDEX(M_RawMaterials[固定週次消費量_要入力],MATCH($A46,M_RawMaterials[Part Name],0)),0)</f>
        <v/>
      </c>
      <c r="AG46">
        <f>SUMPRODUCT((M_BOM[Part Name]=$A46)*M_BOM[RM_Qty_Per_Batch]*IFERROR(INDEX(PP_Grid[#Data],M_BOM[PPGridRow],33),0))+IFERROR(INDEX(M_RawMaterials[固定週次消費量_要入力],MATCH($A46,M_RawMaterials[Part Name],0)),0)</f>
        <v/>
      </c>
      <c r="AH46">
        <f>SUMPRODUCT((M_BOM[Part Name]=$A46)*M_BOM[RM_Qty_Per_Batch]*IFERROR(INDEX(PP_Grid[#Data],M_BOM[PPGridRow],34),0))+IFERROR(INDEX(M_RawMaterials[固定週次消費量_要入力],MATCH($A46,M_RawMaterials[Part Name],0)),0)</f>
        <v/>
      </c>
      <c r="AI46">
        <f>SUMPRODUCT((M_BOM[Part Name]=$A46)*M_BOM[RM_Qty_Per_Batch]*IFERROR(INDEX(PP_Grid[#Data],M_BOM[PPGridRow],35),0))+IFERROR(INDEX(M_RawMaterials[固定週次消費量_要入力],MATCH($A46,M_RawMaterials[Part Name],0)),0)</f>
        <v/>
      </c>
      <c r="AJ46">
        <f>SUMPRODUCT((M_BOM[Part Name]=$A46)*M_BOM[RM_Qty_Per_Batch]*IFERROR(INDEX(PP_Grid[#Data],M_BOM[PPGridRow],36),0))+IFERROR(INDEX(M_RawMaterials[固定週次消費量_要入力],MATCH($A46,M_RawMaterials[Part Name],0)),0)</f>
        <v/>
      </c>
      <c r="AK46">
        <f>SUMPRODUCT((M_BOM[Part Name]=$A46)*M_BOM[RM_Qty_Per_Batch]*IFERROR(INDEX(PP_Grid[#Data],M_BOM[PPGridRow],37),0))+IFERROR(INDEX(M_RawMaterials[固定週次消費量_要入力],MATCH($A46,M_RawMaterials[Part Name],0)),0)</f>
        <v/>
      </c>
      <c r="AL46">
        <f>SUMPRODUCT((M_BOM[Part Name]=$A46)*M_BOM[RM_Qty_Per_Batch]*IFERROR(INDEX(PP_Grid[#Data],M_BOM[PPGridRow],38),0))+IFERROR(INDEX(M_RawMaterials[固定週次消費量_要入力],MATCH($A46,M_RawMaterials[Part Name],0)),0)</f>
        <v/>
      </c>
      <c r="AM46">
        <f>SUMPRODUCT((M_BOM[Part Name]=$A46)*M_BOM[RM_Qty_Per_Batch]*IFERROR(INDEX(PP_Grid[#Data],M_BOM[PPGridRow],39),0))+IFERROR(INDEX(M_RawMaterials[固定週次消費量_要入力],MATCH($A46,M_RawMaterials[Part Name],0)),0)</f>
        <v/>
      </c>
      <c r="AN46">
        <f>SUMPRODUCT((M_BOM[Part Name]=$A46)*M_BOM[RM_Qty_Per_Batch]*IFERROR(INDEX(PP_Grid[#Data],M_BOM[PPGridRow],40),0))+IFERROR(INDEX(M_RawMaterials[固定週次消費量_要入力],MATCH($A46,M_RawMaterials[Part Name],0)),0)</f>
        <v/>
      </c>
      <c r="AO46">
        <f>SUMPRODUCT((M_BOM[Part Name]=$A46)*M_BOM[RM_Qty_Per_Batch]*IFERROR(INDEX(PP_Grid[#Data],M_BOM[PPGridRow],41),0))+IFERROR(INDEX(M_RawMaterials[固定週次消費量_要入力],MATCH($A46,M_RawMaterials[Part Name],0)),0)</f>
        <v/>
      </c>
      <c r="AP46">
        <f>SUMPRODUCT((M_BOM[Part Name]=$A46)*M_BOM[RM_Qty_Per_Batch]*IFERROR(INDEX(PP_Grid[#Data],M_BOM[PPGridRow],42),0))+IFERROR(INDEX(M_RawMaterials[固定週次消費量_要入力],MATCH($A46,M_RawMaterials[Part Name],0)),0)</f>
        <v/>
      </c>
      <c r="AQ46">
        <f>SUMPRODUCT((M_BOM[Part Name]=$A46)*M_BOM[RM_Qty_Per_Batch]*IFERROR(INDEX(PP_Grid[#Data],M_BOM[PPGridRow],43),0))+IFERROR(INDEX(M_RawMaterials[固定週次消費量_要入力],MATCH($A46,M_RawMaterials[Part Name],0)),0)</f>
        <v/>
      </c>
      <c r="AR46">
        <f>SUMPRODUCT((M_BOM[Part Name]=$A46)*M_BOM[RM_Qty_Per_Batch]*IFERROR(INDEX(PP_Grid[#Data],M_BOM[PPGridRow],44),0))+IFERROR(INDEX(M_RawMaterials[固定週次消費量_要入力],MATCH($A46,M_RawMaterials[Part Name],0)),0)</f>
        <v/>
      </c>
      <c r="AS46">
        <f>SUMPRODUCT((M_BOM[Part Name]=$A46)*M_BOM[RM_Qty_Per_Batch]*IFERROR(INDEX(PP_Grid[#Data],M_BOM[PPGridRow],45),0))+IFERROR(INDEX(M_RawMaterials[固定週次消費量_要入力],MATCH($A46,M_RawMaterials[Part Name],0)),0)</f>
        <v/>
      </c>
      <c r="AT46">
        <f>SUMPRODUCT((M_BOM[Part Name]=$A46)*M_BOM[RM_Qty_Per_Batch]*IFERROR(INDEX(PP_Grid[#Data],M_BOM[PPGridRow],46),0))+IFERROR(INDEX(M_RawMaterials[固定週次消費量_要入力],MATCH($A46,M_RawMaterials[Part Name],0)),0)</f>
        <v/>
      </c>
      <c r="AU46">
        <f>SUMPRODUCT((M_BOM[Part Name]=$A46)*M_BOM[RM_Qty_Per_Batch]*IFERROR(INDEX(PP_Grid[#Data],M_BOM[PPGridRow],47),0))+IFERROR(INDEX(M_RawMaterials[固定週次消費量_要入力],MATCH($A46,M_RawMaterials[Part Name],0)),0)</f>
        <v/>
      </c>
      <c r="AV46">
        <f>SUMPRODUCT((M_BOM[Part Name]=$A46)*M_BOM[RM_Qty_Per_Batch]*IFERROR(INDEX(PP_Grid[#Data],M_BOM[PPGridRow],48),0))+IFERROR(INDEX(M_RawMaterials[固定週次消費量_要入力],MATCH($A46,M_RawMaterials[Part Name],0)),0)</f>
        <v/>
      </c>
      <c r="AW46">
        <f>SUMPRODUCT((M_BOM[Part Name]=$A46)*M_BOM[RM_Qty_Per_Batch]*IFERROR(INDEX(PP_Grid[#Data],M_BOM[PPGridRow],49),0))+IFERROR(INDEX(M_RawMaterials[固定週次消費量_要入力],MATCH($A46,M_RawMaterials[Part Name],0)),0)</f>
        <v/>
      </c>
      <c r="AX46">
        <f>SUMPRODUCT((M_BOM[Part Name]=$A46)*M_BOM[RM_Qty_Per_Batch]*IFERROR(INDEX(PP_Grid[#Data],M_BOM[PPGridRow],50),0))+IFERROR(INDEX(M_RawMaterials[固定週次消費量_要入力],MATCH($A46,M_RawMaterials[Part Name],0)),0)</f>
        <v/>
      </c>
      <c r="AY46">
        <f>SUMPRODUCT((M_BOM[Part Name]=$A46)*M_BOM[RM_Qty_Per_Batch]*IFERROR(INDEX(PP_Grid[#Data],M_BOM[PPGridRow],51),0))+IFERROR(INDEX(M_RawMaterials[固定週次消費量_要入力],MATCH($A46,M_RawMaterials[Part Name],0)),0)</f>
        <v/>
      </c>
      <c r="AZ46">
        <f>SUMPRODUCT((M_BOM[Part Name]=$A46)*M_BOM[RM_Qty_Per_Batch]*IFERROR(INDEX(PP_Grid[#Data],M_BOM[PPGridRow],52),0))+IFERROR(INDEX(M_RawMaterials[固定週次消費量_要入力],MATCH($A46,M_RawMaterials[Part Name],0)),0)</f>
        <v/>
      </c>
      <c r="BA46">
        <f>SUMPRODUCT((M_BOM[Part Name]=$A46)*M_BOM[RM_Qty_Per_Batch]*IFERROR(INDEX(PP_Grid[#Data],M_BOM[PPGridRow],53),0))+IFERROR(INDEX(M_RawMaterials[固定週次消費量_要入力],MATCH($A46,M_RawMaterials[Part Name],0)),0)</f>
        <v/>
      </c>
      <c r="BB46">
        <f>SUMPRODUCT((M_BOM[Part Name]=$A46)*M_BOM[RM_Qty_Per_Batch]*IFERROR(INDEX(PP_Grid[#Data],M_BOM[PPGridRow],54),0))+IFERROR(INDEX(M_RawMaterials[固定週次消費量_要入力],MATCH($A46,M_RawMaterials[Part Name],0)),0)</f>
        <v/>
      </c>
      <c r="BC46">
        <f>SUMPRODUCT((M_BOM[Part Name]=$A46)*M_BOM[RM_Qty_Per_Batch]*IFERROR(INDEX(PP_Grid[#Data],M_BOM[PPGridRow],55),0))+IFERROR(INDEX(M_RawMaterials[固定週次消費量_要入力],MATCH($A46,M_RawMaterials[Part Name],0)),0)</f>
        <v/>
      </c>
      <c r="BD46">
        <f>SUMPRODUCT((M_BOM[Part Name]=$A46)*M_BOM[RM_Qty_Per_Batch]*IFERROR(INDEX(PP_Grid[#Data],M_BOM[PPGridRow],56),0))+IFERROR(INDEX(M_RawMaterials[固定週次消費量_要入力],MATCH($A46,M_RawMaterials[Part Name],0)),0)</f>
        <v/>
      </c>
      <c r="BE46">
        <f>SUMPRODUCT((M_BOM[Part Name]=$A46)*M_BOM[RM_Qty_Per_Batch]*IFERROR(INDEX(PP_Grid[#Data],M_BOM[PPGridRow],57),0))+IFERROR(INDEX(M_RawMaterials[固定週次消費量_要入力],MATCH($A46,M_RawMaterials[Part Name],0)),0)</f>
        <v/>
      </c>
      <c r="BF46">
        <f>SUMPRODUCT((M_BOM[Part Name]=$A46)*M_BOM[RM_Qty_Per_Batch]*IFERROR(INDEX(PP_Grid[#Data],M_BOM[PPGridRow],58),0))+IFERROR(INDEX(M_RawMaterials[固定週次消費量_要入力],MATCH($A46,M_RawMaterials[Part Name],0)),0)</f>
        <v/>
      </c>
      <c r="BG46">
        <f>SUMPRODUCT((M_BOM[Part Name]=$A46)*M_BOM[RM_Qty_Per_Batch]*IFERROR(INDEX(PP_Grid[#Data],M_BOM[PPGridRow],59),0))+IFERROR(INDEX(M_RawMaterials[固定週次消費量_要入力],MATCH($A46,M_RawMaterials[Part Name],0)),0)</f>
        <v/>
      </c>
      <c r="BH46">
        <f>SUMPRODUCT((M_BOM[Part Name]=$A46)*M_BOM[RM_Qty_Per_Batch]*IFERROR(INDEX(PP_Grid[#Data],M_BOM[PPGridRow],60),0))+IFERROR(INDEX(M_RawMaterials[固定週次消費量_要入力],MATCH($A46,M_RawMaterials[Part Name],0)),0)</f>
        <v/>
      </c>
      <c r="BI46">
        <f>SUMPRODUCT((M_BOM[Part Name]=$A46)*M_BOM[RM_Qty_Per_Batch]*IFERROR(INDEX(PP_Grid[#Data],M_BOM[PPGridRow],61),0))+IFERROR(INDEX(M_RawMaterials[固定週次消費量_要入力],MATCH($A46,M_RawMaterials[Part Name],0)),0)</f>
        <v/>
      </c>
      <c r="BJ46">
        <f>SUMPRODUCT((M_BOM[Part Name]=$A46)*M_BOM[RM_Qty_Per_Batch]*IFERROR(INDEX(PP_Grid[#Data],M_BOM[PPGridRow],62),0))+IFERROR(INDEX(M_RawMaterials[固定週次消費量_要入力],MATCH($A46,M_RawMaterials[Part Name],0)),0)</f>
        <v/>
      </c>
      <c r="BK46">
        <f>SUMPRODUCT((M_BOM[Part Name]=$A46)*M_BOM[RM_Qty_Per_Batch]*IFERROR(INDEX(PP_Grid[#Data],M_BOM[PPGridRow],63),0))+IFERROR(INDEX(M_RawMaterials[固定週次消費量_要入力],MATCH($A46,M_RawMaterials[Part Name],0)),0)</f>
        <v/>
      </c>
      <c r="BL46">
        <f>SUMPRODUCT((M_BOM[Part Name]=$A46)*M_BOM[RM_Qty_Per_Batch]*IFERROR(INDEX(PP_Grid[#Data],M_BOM[PPGridRow],64),0))+IFERROR(INDEX(M_RawMaterials[固定週次消費量_要入力],MATCH($A46,M_RawMaterials[Part Name],0)),0)</f>
        <v/>
      </c>
      <c r="BM46">
        <f>SUMPRODUCT((M_BOM[Part Name]=$A46)*M_BOM[RM_Qty_Per_Batch]*IFERROR(INDEX(PP_Grid[#Data],M_BOM[PPGridRow],65),0))+IFERROR(INDEX(M_RawMaterials[固定週次消費量_要入力],MATCH($A46,M_RawMaterials[Part Name],0)),0)</f>
        <v/>
      </c>
      <c r="BN46">
        <f>SUMPRODUCT((M_BOM[Part Name]=$A46)*M_BOM[RM_Qty_Per_Batch]*IFERROR(INDEX(PP_Grid[#Data],M_BOM[PPGridRow],66),0))+IFERROR(INDEX(M_RawMaterials[固定週次消費量_要入力],MATCH($A46,M_RawMaterials[Part Name],0)),0)</f>
        <v/>
      </c>
      <c r="BO46">
        <f>SUMPRODUCT((M_BOM[Part Name]=$A46)*M_BOM[RM_Qty_Per_Batch]*IFERROR(INDEX(PP_Grid[#Data],M_BOM[PPGridRow],67),0))+IFERROR(INDEX(M_RawMaterials[固定週次消費量_要入力],MATCH($A46,M_RawMaterials[Part Name],0)),0)</f>
        <v/>
      </c>
      <c r="BP46">
        <f>SUMPRODUCT((M_BOM[Part Name]=$A46)*M_BOM[RM_Qty_Per_Batch]*IFERROR(INDEX(PP_Grid[#Data],M_BOM[PPGridRow],68),0))+IFERROR(INDEX(M_RawMaterials[固定週次消費量_要入力],MATCH($A46,M_RawMaterials[Part Name],0)),0)</f>
        <v/>
      </c>
      <c r="BQ46">
        <f>SUMPRODUCT((M_BOM[Part Name]=$A46)*M_BOM[RM_Qty_Per_Batch]*IFERROR(INDEX(PP_Grid[#Data],M_BOM[PPGridRow],69),0))+IFERROR(INDEX(M_RawMaterials[固定週次消費量_要入力],MATCH($A46,M_RawMaterials[Part Name],0)),0)</f>
        <v/>
      </c>
      <c r="BR46">
        <f>SUMPRODUCT((M_BOM[Part Name]=$A46)*M_BOM[RM_Qty_Per_Batch]*IFERROR(INDEX(PP_Grid[#Data],M_BOM[PPGridRow],70),0))+IFERROR(INDEX(M_RawMaterials[固定週次消費量_要入力],MATCH($A46,M_RawMaterials[Part Name],0)),0)</f>
        <v/>
      </c>
      <c r="BS46">
        <f>SUMPRODUCT((M_BOM[Part Name]=$A46)*M_BOM[RM_Qty_Per_Batch]*IFERROR(INDEX(PP_Grid[#Data],M_BOM[PPGridRow],71),0))+IFERROR(INDEX(M_RawMaterials[固定週次消費量_要入力],MATCH($A46,M_RawMaterials[Part Name],0)),0)</f>
        <v/>
      </c>
      <c r="BT46">
        <f>SUMPRODUCT((M_BOM[Part Name]=$A46)*M_BOM[RM_Qty_Per_Batch]*IFERROR(INDEX(PP_Grid[#Data],M_BOM[PPGridRow],72),0))+IFERROR(INDEX(M_RawMaterials[固定週次消費量_要入力],MATCH($A46,M_RawMaterials[Part Name],0)),0)</f>
        <v/>
      </c>
      <c r="BU46">
        <f>SUMPRODUCT((M_BOM[Part Name]=$A46)*M_BOM[RM_Qty_Per_Batch]*IFERROR(INDEX(PP_Grid[#Data],M_BOM[PPGridRow],73),0))+IFERROR(INDEX(M_RawMaterials[固定週次消費量_要入力],MATCH($A46,M_RawMaterials[Part Name],0)),0)</f>
        <v/>
      </c>
      <c r="BV46">
        <f>SUMPRODUCT((M_BOM[Part Name]=$A46)*M_BOM[RM_Qty_Per_Batch]*IFERROR(INDEX(PP_Grid[#Data],M_BOM[PPGridRow],74),0))+IFERROR(INDEX(M_RawMaterials[固定週次消費量_要入力],MATCH($A46,M_RawMaterials[Part Name],0)),0)</f>
        <v/>
      </c>
      <c r="BW46">
        <f>SUMPRODUCT((M_BOM[Part Name]=$A46)*M_BOM[RM_Qty_Per_Batch]*IFERROR(INDEX(PP_Grid[#Data],M_BOM[PPGridRow],75),0))+IFERROR(INDEX(M_RawMaterials[固定週次消費量_要入力],MATCH($A46,M_RawMaterials[Part Name],0)),0)</f>
        <v/>
      </c>
      <c r="BX46">
        <f>SUMPRODUCT((M_BOM[Part Name]=$A46)*M_BOM[RM_Qty_Per_Batch]*IFERROR(INDEX(PP_Grid[#Data],M_BOM[PPGridRow],76),0))+IFERROR(INDEX(M_RawMaterials[固定週次消費量_要入力],MATCH($A46,M_RawMaterials[Part Name],0)),0)</f>
        <v/>
      </c>
      <c r="BY46">
        <f>SUMPRODUCT((M_BOM[Part Name]=$A46)*M_BOM[RM_Qty_Per_Batch]*IFERROR(INDEX(PP_Grid[#Data],M_BOM[PPGridRow],77),0))+IFERROR(INDEX(M_RawMaterials[固定週次消費量_要入力],MATCH($A46,M_RawMaterials[Part Name],0)),0)</f>
        <v/>
      </c>
      <c r="BZ46">
        <f>SUMPRODUCT((M_BOM[Part Name]=$A46)*M_BOM[RM_Qty_Per_Batch]*IFERROR(INDEX(PP_Grid[#Data],M_BOM[PPGridRow],78),0))+IFERROR(INDEX(M_RawMaterials[固定週次消費量_要入力],MATCH($A46,M_RawMaterials[Part Name],0)),0)</f>
        <v/>
      </c>
      <c r="CA46">
        <f>SUMPRODUCT((M_BOM[Part Name]=$A46)*M_BOM[RM_Qty_Per_Batch]*IFERROR(INDEX(PP_Grid[#Data],M_BOM[PPGridRow],79),0))+IFERROR(INDEX(M_RawMaterials[固定週次消費量_要入力],MATCH($A46,M_RawMaterials[Part Name],0)),0)</f>
        <v/>
      </c>
      <c r="CB46">
        <f>SUMPRODUCT((M_BOM[Part Name]=$A46)*M_BOM[RM_Qty_Per_Batch]*IFERROR(INDEX(PP_Grid[#Data],M_BOM[PPGridRow],80),0))+IFERROR(INDEX(M_RawMaterials[固定週次消費量_要入力],MATCH($A46,M_RawMaterials[Part Name],0)),0)</f>
        <v/>
      </c>
      <c r="CC46">
        <f>SUMPRODUCT((M_BOM[Part Name]=$A46)*M_BOM[RM_Qty_Per_Batch]*IFERROR(INDEX(PP_Grid[#Data],M_BOM[PPGridRow],81),0))+IFERROR(INDEX(M_RawMaterials[固定週次消費量_要入力],MATCH($A46,M_RawMaterials[Part Name],0)),0)</f>
        <v/>
      </c>
      <c r="CD46">
        <f>SUMPRODUCT((M_BOM[Part Name]=$A46)*M_BOM[RM_Qty_Per_Batch]*IFERROR(INDEX(PP_Grid[#Data],M_BOM[PPGridRow],82),0))+IFERROR(INDEX(M_RawMaterials[固定週次消費量_要入力],MATCH($A46,M_RawMaterials[Part Name],0)),0)</f>
        <v/>
      </c>
      <c r="CE46">
        <f>SUMPRODUCT((M_BOM[Part Name]=$A46)*M_BOM[RM_Qty_Per_Batch]*IFERROR(INDEX(PP_Grid[#Data],M_BOM[PPGridRow],83),0))+IFERROR(INDEX(M_RawMaterials[固定週次消費量_要入力],MATCH($A46,M_RawMaterials[Part Name],0)),0)</f>
        <v/>
      </c>
      <c r="CF46">
        <f>SUMPRODUCT((M_BOM[Part Name]=$A46)*M_BOM[RM_Qty_Per_Batch]*IFERROR(INDEX(PP_Grid[#Data],M_BOM[PPGridRow],84),0))+IFERROR(INDEX(M_RawMaterials[固定週次消費量_要入力],MATCH($A46,M_RawMaterials[Part Name],0)),0)</f>
        <v/>
      </c>
      <c r="CG46">
        <f>SUMPRODUCT((M_BOM[Part Name]=$A46)*M_BOM[RM_Qty_Per_Batch]*IFERROR(INDEX(PP_Grid[#Data],M_BOM[PPGridRow],85),0))+IFERROR(INDEX(M_RawMaterials[固定週次消費量_要入力],MATCH($A46,M_RawMaterials[Part Name],0)),0)</f>
        <v/>
      </c>
      <c r="CH46">
        <f>SUMPRODUCT((M_BOM[Part Name]=$A46)*M_BOM[RM_Qty_Per_Batch]*IFERROR(INDEX(PP_Grid[#Data],M_BOM[PPGridRow],86),0))+IFERROR(INDEX(M_RawMaterials[固定週次消費量_要入力],MATCH($A46,M_RawMaterials[Part Name],0)),0)</f>
        <v/>
      </c>
      <c r="CI46">
        <f>SUMPRODUCT((M_BOM[Part Name]=$A46)*M_BOM[RM_Qty_Per_Batch]*IFERROR(INDEX(PP_Grid[#Data],M_BOM[PPGridRow],87),0))+IFERROR(INDEX(M_RawMaterials[固定週次消費量_要入力],MATCH($A46,M_RawMaterials[Part Name],0)),0)</f>
        <v/>
      </c>
      <c r="CJ46">
        <f>SUMPRODUCT((M_BOM[Part Name]=$A46)*M_BOM[RM_Qty_Per_Batch]*IFERROR(INDEX(PP_Grid[#Data],M_BOM[PPGridRow],88),0))+IFERROR(INDEX(M_RawMaterials[固定週次消費量_要入力],MATCH($A46,M_RawMaterials[Part Name],0)),0)</f>
        <v/>
      </c>
      <c r="CK46">
        <f>SUMPRODUCT((M_BOM[Part Name]=$A46)*M_BOM[RM_Qty_Per_Batch]*IFERROR(INDEX(PP_Grid[#Data],M_BOM[PPGridRow],89),0))+IFERROR(INDEX(M_RawMaterials[固定週次消費量_要入力],MATCH($A46,M_RawMaterials[Part Name],0)),0)</f>
        <v/>
      </c>
      <c r="CL46">
        <f>SUMPRODUCT((M_BOM[Part Name]=$A46)*M_BOM[RM_Qty_Per_Batch]*IFERROR(INDEX(PP_Grid[#Data],M_BOM[PPGridRow],90),0))+IFERROR(INDEX(M_RawMaterials[固定週次消費量_要入力],MATCH($A46,M_RawMaterials[Part Name],0)),0)</f>
        <v/>
      </c>
      <c r="CM46">
        <f>SUMPRODUCT((M_BOM[Part Name]=$A46)*M_BOM[RM_Qty_Per_Batch]*IFERROR(INDEX(PP_Grid[#Data],M_BOM[PPGridRow],91),0))+IFERROR(INDEX(M_RawMaterials[固定週次消費量_要入力],MATCH($A46,M_RawMaterials[Part Name],0)),0)</f>
        <v/>
      </c>
      <c r="CN46">
        <f>SUMPRODUCT((M_BOM[Part Name]=$A46)*M_BOM[RM_Qty_Per_Batch]*IFERROR(INDEX(PP_Grid[#Data],M_BOM[PPGridRow],92),0))+IFERROR(INDEX(M_RawMaterials[固定週次消費量_要入力],MATCH($A46,M_RawMaterials[Part Name],0)),0)</f>
        <v/>
      </c>
      <c r="CO46">
        <f>SUMPRODUCT((M_BOM[Part Name]=$A46)*M_BOM[RM_Qty_Per_Batch]*IFERROR(INDEX(PP_Grid[#Data],M_BOM[PPGridRow],93),0))+IFERROR(INDEX(M_RawMaterials[固定週次消費量_要入力],MATCH($A46,M_RawMaterials[Part Name],0)),0)</f>
        <v/>
      </c>
      <c r="CP46">
        <f>SUMPRODUCT((M_BOM[Part Name]=$A46)*M_BOM[RM_Qty_Per_Batch]*IFERROR(INDEX(PP_Grid[#Data],M_BOM[PPGridRow],94),0))+IFERROR(INDEX(M_RawMaterials[固定週次消費量_要入力],MATCH($A46,M_RawMaterials[Part Name],0)),0)</f>
        <v/>
      </c>
      <c r="CQ46">
        <f>SUMPRODUCT((M_BOM[Part Name]=$A46)*M_BOM[RM_Qty_Per_Batch]*IFERROR(INDEX(PP_Grid[#Data],M_BOM[PPGridRow],95),0))+IFERROR(INDEX(M_RawMaterials[固定週次消費量_要入力],MATCH($A46,M_RawMaterials[Part Name],0)),0)</f>
        <v/>
      </c>
      <c r="CR46">
        <f>SUMPRODUCT((M_BOM[Part Name]=$A46)*M_BOM[RM_Qty_Per_Batch]*IFERROR(INDEX(PP_Grid[#Data],M_BOM[PPGridRow],96),0))+IFERROR(INDEX(M_RawMaterials[固定週次消費量_要入力],MATCH($A46,M_RawMaterials[Part Name],0)),0)</f>
        <v/>
      </c>
      <c r="CS46">
        <f>SUMPRODUCT((M_BOM[Part Name]=$A46)*M_BOM[RM_Qty_Per_Batch]*IFERROR(INDEX(PP_Grid[#Data],M_BOM[PPGridRow],97),0))+IFERROR(INDEX(M_RawMaterials[固定週次消費量_要入力],MATCH($A46,M_RawMaterials[Part Name],0)),0)</f>
        <v/>
      </c>
      <c r="CT46">
        <f>SUMPRODUCT((M_BOM[Part Name]=$A46)*M_BOM[RM_Qty_Per_Batch]*IFERROR(INDEX(PP_Grid[#Data],M_BOM[PPGridRow],98),0))+IFERROR(INDEX(M_RawMaterials[固定週次消費量_要入力],MATCH($A46,M_RawMaterials[Part Name],0)),0)</f>
        <v/>
      </c>
      <c r="CU46">
        <f>SUMPRODUCT((M_BOM[Part Name]=$A46)*M_BOM[RM_Qty_Per_Batch]*IFERROR(INDEX(PP_Grid[#Data],M_BOM[PPGridRow],99),0))+IFERROR(INDEX(M_RawMaterials[固定週次消費量_要入力],MATCH($A46,M_RawMaterials[Part Name],0)),0)</f>
        <v/>
      </c>
      <c r="CV46">
        <f>SUMPRODUCT((M_BOM[Part Name]=$A46)*M_BOM[RM_Qty_Per_Batch]*IFERROR(INDEX(PP_Grid[#Data],M_BOM[PPGridRow],100),0))+IFERROR(INDEX(M_RawMaterials[固定週次消費量_要入力],MATCH($A46,M_RawMaterials[Part Name],0)),0)</f>
        <v/>
      </c>
      <c r="CW46">
        <f>SUMPRODUCT((M_BOM[Part Name]=$A46)*M_BOM[RM_Qty_Per_Batch]*IFERROR(INDEX(PP_Grid[#Data],M_BOM[PPGridRow],101),0))+IFERROR(INDEX(M_RawMaterials[固定週次消費量_要入力],MATCH($A46,M_RawMaterials[Part Name],0)),0)</f>
        <v/>
      </c>
      <c r="CX46">
        <f>SUMPRODUCT((M_BOM[Part Name]=$A46)*M_BOM[RM_Qty_Per_Batch]*IFERROR(INDEX(PP_Grid[#Data],M_BOM[PPGridRow],102),0))+IFERROR(INDEX(M_RawMaterials[固定週次消費量_要入力],MATCH($A46,M_RawMaterials[Part Name],0)),0)</f>
        <v/>
      </c>
      <c r="CY46">
        <f>SUMPRODUCT((M_BOM[Part Name]=$A46)*M_BOM[RM_Qty_Per_Batch]*IFERROR(INDEX(PP_Grid[#Data],M_BOM[PPGridRow],103),0))+IFERROR(INDEX(M_RawMaterials[固定週次消費量_要入力],MATCH($A46,M_RawMaterials[Part Name],0)),0)</f>
        <v/>
      </c>
      <c r="CZ46">
        <f>SUMPRODUCT((M_BOM[Part Name]=$A46)*M_BOM[RM_Qty_Per_Batch]*IFERROR(INDEX(PP_Grid[#Data],M_BOM[PPGridRow],104),0))+IFERROR(INDEX(M_RawMaterials[固定週次消費量_要入力],MATCH($A46,M_RawMaterials[Part Name],0)),0)</f>
        <v/>
      </c>
      <c r="DA46">
        <f>SUMPRODUCT((M_BOM[Part Name]=$A46)*M_BOM[RM_Qty_Per_Batch]*IFERROR(INDEX(PP_Grid[#Data],M_BOM[PPGridRow],105),0))+IFERROR(INDEX(M_RawMaterials[固定週次消費量_要入力],MATCH($A46,M_RawMaterials[Part Name],0)),0)</f>
        <v/>
      </c>
    </row>
    <row r="47">
      <c r="A47" t="inlineStr">
        <is>
          <t>CHEM-1470</t>
        </is>
      </c>
      <c r="B47">
        <f>SUMPRODUCT((M_BOM[Part Name]=$A47)*M_BOM[RM_Qty_Per_Batch]*IFERROR(INDEX(PP_Grid[#Data],M_BOM[PPGridRow],2),0))+IFERROR(INDEX(M_RawMaterials[固定週次消費量_要入力],MATCH($A47,M_RawMaterials[Part Name],0)),0)</f>
        <v/>
      </c>
      <c r="C47">
        <f>SUMPRODUCT((M_BOM[Part Name]=$A47)*M_BOM[RM_Qty_Per_Batch]*IFERROR(INDEX(PP_Grid[#Data],M_BOM[PPGridRow],3),0))+IFERROR(INDEX(M_RawMaterials[固定週次消費量_要入力],MATCH($A47,M_RawMaterials[Part Name],0)),0)</f>
        <v/>
      </c>
      <c r="D47">
        <f>SUMPRODUCT((M_BOM[Part Name]=$A47)*M_BOM[RM_Qty_Per_Batch]*IFERROR(INDEX(PP_Grid[#Data],M_BOM[PPGridRow],4),0))+IFERROR(INDEX(M_RawMaterials[固定週次消費量_要入力],MATCH($A47,M_RawMaterials[Part Name],0)),0)</f>
        <v/>
      </c>
      <c r="E47">
        <f>SUMPRODUCT((M_BOM[Part Name]=$A47)*M_BOM[RM_Qty_Per_Batch]*IFERROR(INDEX(PP_Grid[#Data],M_BOM[PPGridRow],5),0))+IFERROR(INDEX(M_RawMaterials[固定週次消費量_要入力],MATCH($A47,M_RawMaterials[Part Name],0)),0)</f>
        <v/>
      </c>
      <c r="F47">
        <f>SUMPRODUCT((M_BOM[Part Name]=$A47)*M_BOM[RM_Qty_Per_Batch]*IFERROR(INDEX(PP_Grid[#Data],M_BOM[PPGridRow],6),0))+IFERROR(INDEX(M_RawMaterials[固定週次消費量_要入力],MATCH($A47,M_RawMaterials[Part Name],0)),0)</f>
        <v/>
      </c>
      <c r="G47">
        <f>SUMPRODUCT((M_BOM[Part Name]=$A47)*M_BOM[RM_Qty_Per_Batch]*IFERROR(INDEX(PP_Grid[#Data],M_BOM[PPGridRow],7),0))+IFERROR(INDEX(M_RawMaterials[固定週次消費量_要入力],MATCH($A47,M_RawMaterials[Part Name],0)),0)</f>
        <v/>
      </c>
      <c r="H47">
        <f>SUMPRODUCT((M_BOM[Part Name]=$A47)*M_BOM[RM_Qty_Per_Batch]*IFERROR(INDEX(PP_Grid[#Data],M_BOM[PPGridRow],8),0))+IFERROR(INDEX(M_RawMaterials[固定週次消費量_要入力],MATCH($A47,M_RawMaterials[Part Name],0)),0)</f>
        <v/>
      </c>
      <c r="I47">
        <f>SUMPRODUCT((M_BOM[Part Name]=$A47)*M_BOM[RM_Qty_Per_Batch]*IFERROR(INDEX(PP_Grid[#Data],M_BOM[PPGridRow],9),0))+IFERROR(INDEX(M_RawMaterials[固定週次消費量_要入力],MATCH($A47,M_RawMaterials[Part Name],0)),0)</f>
        <v/>
      </c>
      <c r="J47">
        <f>SUMPRODUCT((M_BOM[Part Name]=$A47)*M_BOM[RM_Qty_Per_Batch]*IFERROR(INDEX(PP_Grid[#Data],M_BOM[PPGridRow],10),0))+IFERROR(INDEX(M_RawMaterials[固定週次消費量_要入力],MATCH($A47,M_RawMaterials[Part Name],0)),0)</f>
        <v/>
      </c>
      <c r="K47">
        <f>SUMPRODUCT((M_BOM[Part Name]=$A47)*M_BOM[RM_Qty_Per_Batch]*IFERROR(INDEX(PP_Grid[#Data],M_BOM[PPGridRow],11),0))+IFERROR(INDEX(M_RawMaterials[固定週次消費量_要入力],MATCH($A47,M_RawMaterials[Part Name],0)),0)</f>
        <v/>
      </c>
      <c r="L47">
        <f>SUMPRODUCT((M_BOM[Part Name]=$A47)*M_BOM[RM_Qty_Per_Batch]*IFERROR(INDEX(PP_Grid[#Data],M_BOM[PPGridRow],12),0))+IFERROR(INDEX(M_RawMaterials[固定週次消費量_要入力],MATCH($A47,M_RawMaterials[Part Name],0)),0)</f>
        <v/>
      </c>
      <c r="M47">
        <f>SUMPRODUCT((M_BOM[Part Name]=$A47)*M_BOM[RM_Qty_Per_Batch]*IFERROR(INDEX(PP_Grid[#Data],M_BOM[PPGridRow],13),0))+IFERROR(INDEX(M_RawMaterials[固定週次消費量_要入力],MATCH($A47,M_RawMaterials[Part Name],0)),0)</f>
        <v/>
      </c>
      <c r="N47">
        <f>SUMPRODUCT((M_BOM[Part Name]=$A47)*M_BOM[RM_Qty_Per_Batch]*IFERROR(INDEX(PP_Grid[#Data],M_BOM[PPGridRow],14),0))+IFERROR(INDEX(M_RawMaterials[固定週次消費量_要入力],MATCH($A47,M_RawMaterials[Part Name],0)),0)</f>
        <v/>
      </c>
      <c r="O47">
        <f>SUMPRODUCT((M_BOM[Part Name]=$A47)*M_BOM[RM_Qty_Per_Batch]*IFERROR(INDEX(PP_Grid[#Data],M_BOM[PPGridRow],15),0))+IFERROR(INDEX(M_RawMaterials[固定週次消費量_要入力],MATCH($A47,M_RawMaterials[Part Name],0)),0)</f>
        <v/>
      </c>
      <c r="P47">
        <f>SUMPRODUCT((M_BOM[Part Name]=$A47)*M_BOM[RM_Qty_Per_Batch]*IFERROR(INDEX(PP_Grid[#Data],M_BOM[PPGridRow],16),0))+IFERROR(INDEX(M_RawMaterials[固定週次消費量_要入力],MATCH($A47,M_RawMaterials[Part Name],0)),0)</f>
        <v/>
      </c>
      <c r="Q47">
        <f>SUMPRODUCT((M_BOM[Part Name]=$A47)*M_BOM[RM_Qty_Per_Batch]*IFERROR(INDEX(PP_Grid[#Data],M_BOM[PPGridRow],17),0))+IFERROR(INDEX(M_RawMaterials[固定週次消費量_要入力],MATCH($A47,M_RawMaterials[Part Name],0)),0)</f>
        <v/>
      </c>
      <c r="R47">
        <f>SUMPRODUCT((M_BOM[Part Name]=$A47)*M_BOM[RM_Qty_Per_Batch]*IFERROR(INDEX(PP_Grid[#Data],M_BOM[PPGridRow],18),0))+IFERROR(INDEX(M_RawMaterials[固定週次消費量_要入力],MATCH($A47,M_RawMaterials[Part Name],0)),0)</f>
        <v/>
      </c>
      <c r="S47">
        <f>SUMPRODUCT((M_BOM[Part Name]=$A47)*M_BOM[RM_Qty_Per_Batch]*IFERROR(INDEX(PP_Grid[#Data],M_BOM[PPGridRow],19),0))+IFERROR(INDEX(M_RawMaterials[固定週次消費量_要入力],MATCH($A47,M_RawMaterials[Part Name],0)),0)</f>
        <v/>
      </c>
      <c r="T47">
        <f>SUMPRODUCT((M_BOM[Part Name]=$A47)*M_BOM[RM_Qty_Per_Batch]*IFERROR(INDEX(PP_Grid[#Data],M_BOM[PPGridRow],20),0))+IFERROR(INDEX(M_RawMaterials[固定週次消費量_要入力],MATCH($A47,M_RawMaterials[Part Name],0)),0)</f>
        <v/>
      </c>
      <c r="U47">
        <f>SUMPRODUCT((M_BOM[Part Name]=$A47)*M_BOM[RM_Qty_Per_Batch]*IFERROR(INDEX(PP_Grid[#Data],M_BOM[PPGridRow],21),0))+IFERROR(INDEX(M_RawMaterials[固定週次消費量_要入力],MATCH($A47,M_RawMaterials[Part Name],0)),0)</f>
        <v/>
      </c>
      <c r="V47">
        <f>SUMPRODUCT((M_BOM[Part Name]=$A47)*M_BOM[RM_Qty_Per_Batch]*IFERROR(INDEX(PP_Grid[#Data],M_BOM[PPGridRow],22),0))+IFERROR(INDEX(M_RawMaterials[固定週次消費量_要入力],MATCH($A47,M_RawMaterials[Part Name],0)),0)</f>
        <v/>
      </c>
      <c r="W47">
        <f>SUMPRODUCT((M_BOM[Part Name]=$A47)*M_BOM[RM_Qty_Per_Batch]*IFERROR(INDEX(PP_Grid[#Data],M_BOM[PPGridRow],23),0))+IFERROR(INDEX(M_RawMaterials[固定週次消費量_要入力],MATCH($A47,M_RawMaterials[Part Name],0)),0)</f>
        <v/>
      </c>
      <c r="X47">
        <f>SUMPRODUCT((M_BOM[Part Name]=$A47)*M_BOM[RM_Qty_Per_Batch]*IFERROR(INDEX(PP_Grid[#Data],M_BOM[PPGridRow],24),0))+IFERROR(INDEX(M_RawMaterials[固定週次消費量_要入力],MATCH($A47,M_RawMaterials[Part Name],0)),0)</f>
        <v/>
      </c>
      <c r="Y47">
        <f>SUMPRODUCT((M_BOM[Part Name]=$A47)*M_BOM[RM_Qty_Per_Batch]*IFERROR(INDEX(PP_Grid[#Data],M_BOM[PPGridRow],25),0))+IFERROR(INDEX(M_RawMaterials[固定週次消費量_要入力],MATCH($A47,M_RawMaterials[Part Name],0)),0)</f>
        <v/>
      </c>
      <c r="Z47">
        <f>SUMPRODUCT((M_BOM[Part Name]=$A47)*M_BOM[RM_Qty_Per_Batch]*IFERROR(INDEX(PP_Grid[#Data],M_BOM[PPGridRow],26),0))+IFERROR(INDEX(M_RawMaterials[固定週次消費量_要入力],MATCH($A47,M_RawMaterials[Part Name],0)),0)</f>
        <v/>
      </c>
      <c r="AA47">
        <f>SUMPRODUCT((M_BOM[Part Name]=$A47)*M_BOM[RM_Qty_Per_Batch]*IFERROR(INDEX(PP_Grid[#Data],M_BOM[PPGridRow],27),0))+IFERROR(INDEX(M_RawMaterials[固定週次消費量_要入力],MATCH($A47,M_RawMaterials[Part Name],0)),0)</f>
        <v/>
      </c>
      <c r="AB47">
        <f>SUMPRODUCT((M_BOM[Part Name]=$A47)*M_BOM[RM_Qty_Per_Batch]*IFERROR(INDEX(PP_Grid[#Data],M_BOM[PPGridRow],28),0))+IFERROR(INDEX(M_RawMaterials[固定週次消費量_要入力],MATCH($A47,M_RawMaterials[Part Name],0)),0)</f>
        <v/>
      </c>
      <c r="AC47">
        <f>SUMPRODUCT((M_BOM[Part Name]=$A47)*M_BOM[RM_Qty_Per_Batch]*IFERROR(INDEX(PP_Grid[#Data],M_BOM[PPGridRow],29),0))+IFERROR(INDEX(M_RawMaterials[固定週次消費量_要入力],MATCH($A47,M_RawMaterials[Part Name],0)),0)</f>
        <v/>
      </c>
      <c r="AD47">
        <f>SUMPRODUCT((M_BOM[Part Name]=$A47)*M_BOM[RM_Qty_Per_Batch]*IFERROR(INDEX(PP_Grid[#Data],M_BOM[PPGridRow],30),0))+IFERROR(INDEX(M_RawMaterials[固定週次消費量_要入力],MATCH($A47,M_RawMaterials[Part Name],0)),0)</f>
        <v/>
      </c>
      <c r="AE47">
        <f>SUMPRODUCT((M_BOM[Part Name]=$A47)*M_BOM[RM_Qty_Per_Batch]*IFERROR(INDEX(PP_Grid[#Data],M_BOM[PPGridRow],31),0))+IFERROR(INDEX(M_RawMaterials[固定週次消費量_要入力],MATCH($A47,M_RawMaterials[Part Name],0)),0)</f>
        <v/>
      </c>
      <c r="AF47">
        <f>SUMPRODUCT((M_BOM[Part Name]=$A47)*M_BOM[RM_Qty_Per_Batch]*IFERROR(INDEX(PP_Grid[#Data],M_BOM[PPGridRow],32),0))+IFERROR(INDEX(M_RawMaterials[固定週次消費量_要入力],MATCH($A47,M_RawMaterials[Part Name],0)),0)</f>
        <v/>
      </c>
      <c r="AG47">
        <f>SUMPRODUCT((M_BOM[Part Name]=$A47)*M_BOM[RM_Qty_Per_Batch]*IFERROR(INDEX(PP_Grid[#Data],M_BOM[PPGridRow],33),0))+IFERROR(INDEX(M_RawMaterials[固定週次消費量_要入力],MATCH($A47,M_RawMaterials[Part Name],0)),0)</f>
        <v/>
      </c>
      <c r="AH47">
        <f>SUMPRODUCT((M_BOM[Part Name]=$A47)*M_BOM[RM_Qty_Per_Batch]*IFERROR(INDEX(PP_Grid[#Data],M_BOM[PPGridRow],34),0))+IFERROR(INDEX(M_RawMaterials[固定週次消費量_要入力],MATCH($A47,M_RawMaterials[Part Name],0)),0)</f>
        <v/>
      </c>
      <c r="AI47">
        <f>SUMPRODUCT((M_BOM[Part Name]=$A47)*M_BOM[RM_Qty_Per_Batch]*IFERROR(INDEX(PP_Grid[#Data],M_BOM[PPGridRow],35),0))+IFERROR(INDEX(M_RawMaterials[固定週次消費量_要入力],MATCH($A47,M_RawMaterials[Part Name],0)),0)</f>
        <v/>
      </c>
      <c r="AJ47">
        <f>SUMPRODUCT((M_BOM[Part Name]=$A47)*M_BOM[RM_Qty_Per_Batch]*IFERROR(INDEX(PP_Grid[#Data],M_BOM[PPGridRow],36),0))+IFERROR(INDEX(M_RawMaterials[固定週次消費量_要入力],MATCH($A47,M_RawMaterials[Part Name],0)),0)</f>
        <v/>
      </c>
      <c r="AK47">
        <f>SUMPRODUCT((M_BOM[Part Name]=$A47)*M_BOM[RM_Qty_Per_Batch]*IFERROR(INDEX(PP_Grid[#Data],M_BOM[PPGridRow],37),0))+IFERROR(INDEX(M_RawMaterials[固定週次消費量_要入力],MATCH($A47,M_RawMaterials[Part Name],0)),0)</f>
        <v/>
      </c>
      <c r="AL47">
        <f>SUMPRODUCT((M_BOM[Part Name]=$A47)*M_BOM[RM_Qty_Per_Batch]*IFERROR(INDEX(PP_Grid[#Data],M_BOM[PPGridRow],38),0))+IFERROR(INDEX(M_RawMaterials[固定週次消費量_要入力],MATCH($A47,M_RawMaterials[Part Name],0)),0)</f>
        <v/>
      </c>
      <c r="AM47">
        <f>SUMPRODUCT((M_BOM[Part Name]=$A47)*M_BOM[RM_Qty_Per_Batch]*IFERROR(INDEX(PP_Grid[#Data],M_BOM[PPGridRow],39),0))+IFERROR(INDEX(M_RawMaterials[固定週次消費量_要入力],MATCH($A47,M_RawMaterials[Part Name],0)),0)</f>
        <v/>
      </c>
      <c r="AN47">
        <f>SUMPRODUCT((M_BOM[Part Name]=$A47)*M_BOM[RM_Qty_Per_Batch]*IFERROR(INDEX(PP_Grid[#Data],M_BOM[PPGridRow],40),0))+IFERROR(INDEX(M_RawMaterials[固定週次消費量_要入力],MATCH($A47,M_RawMaterials[Part Name],0)),0)</f>
        <v/>
      </c>
      <c r="AO47">
        <f>SUMPRODUCT((M_BOM[Part Name]=$A47)*M_BOM[RM_Qty_Per_Batch]*IFERROR(INDEX(PP_Grid[#Data],M_BOM[PPGridRow],41),0))+IFERROR(INDEX(M_RawMaterials[固定週次消費量_要入力],MATCH($A47,M_RawMaterials[Part Name],0)),0)</f>
        <v/>
      </c>
      <c r="AP47">
        <f>SUMPRODUCT((M_BOM[Part Name]=$A47)*M_BOM[RM_Qty_Per_Batch]*IFERROR(INDEX(PP_Grid[#Data],M_BOM[PPGridRow],42),0))+IFERROR(INDEX(M_RawMaterials[固定週次消費量_要入力],MATCH($A47,M_RawMaterials[Part Name],0)),0)</f>
        <v/>
      </c>
      <c r="AQ47">
        <f>SUMPRODUCT((M_BOM[Part Name]=$A47)*M_BOM[RM_Qty_Per_Batch]*IFERROR(INDEX(PP_Grid[#Data],M_BOM[PPGridRow],43),0))+IFERROR(INDEX(M_RawMaterials[固定週次消費量_要入力],MATCH($A47,M_RawMaterials[Part Name],0)),0)</f>
        <v/>
      </c>
      <c r="AR47">
        <f>SUMPRODUCT((M_BOM[Part Name]=$A47)*M_BOM[RM_Qty_Per_Batch]*IFERROR(INDEX(PP_Grid[#Data],M_BOM[PPGridRow],44),0))+IFERROR(INDEX(M_RawMaterials[固定週次消費量_要入力],MATCH($A47,M_RawMaterials[Part Name],0)),0)</f>
        <v/>
      </c>
      <c r="AS47">
        <f>SUMPRODUCT((M_BOM[Part Name]=$A47)*M_BOM[RM_Qty_Per_Batch]*IFERROR(INDEX(PP_Grid[#Data],M_BOM[PPGridRow],45),0))+IFERROR(INDEX(M_RawMaterials[固定週次消費量_要入力],MATCH($A47,M_RawMaterials[Part Name],0)),0)</f>
        <v/>
      </c>
      <c r="AT47">
        <f>SUMPRODUCT((M_BOM[Part Name]=$A47)*M_BOM[RM_Qty_Per_Batch]*IFERROR(INDEX(PP_Grid[#Data],M_BOM[PPGridRow],46),0))+IFERROR(INDEX(M_RawMaterials[固定週次消費量_要入力],MATCH($A47,M_RawMaterials[Part Name],0)),0)</f>
        <v/>
      </c>
      <c r="AU47">
        <f>SUMPRODUCT((M_BOM[Part Name]=$A47)*M_BOM[RM_Qty_Per_Batch]*IFERROR(INDEX(PP_Grid[#Data],M_BOM[PPGridRow],47),0))+IFERROR(INDEX(M_RawMaterials[固定週次消費量_要入力],MATCH($A47,M_RawMaterials[Part Name],0)),0)</f>
        <v/>
      </c>
      <c r="AV47">
        <f>SUMPRODUCT((M_BOM[Part Name]=$A47)*M_BOM[RM_Qty_Per_Batch]*IFERROR(INDEX(PP_Grid[#Data],M_BOM[PPGridRow],48),0))+IFERROR(INDEX(M_RawMaterials[固定週次消費量_要入力],MATCH($A47,M_RawMaterials[Part Name],0)),0)</f>
        <v/>
      </c>
      <c r="AW47">
        <f>SUMPRODUCT((M_BOM[Part Name]=$A47)*M_BOM[RM_Qty_Per_Batch]*IFERROR(INDEX(PP_Grid[#Data],M_BOM[PPGridRow],49),0))+IFERROR(INDEX(M_RawMaterials[固定週次消費量_要入力],MATCH($A47,M_RawMaterials[Part Name],0)),0)</f>
        <v/>
      </c>
      <c r="AX47">
        <f>SUMPRODUCT((M_BOM[Part Name]=$A47)*M_BOM[RM_Qty_Per_Batch]*IFERROR(INDEX(PP_Grid[#Data],M_BOM[PPGridRow],50),0))+IFERROR(INDEX(M_RawMaterials[固定週次消費量_要入力],MATCH($A47,M_RawMaterials[Part Name],0)),0)</f>
        <v/>
      </c>
      <c r="AY47">
        <f>SUMPRODUCT((M_BOM[Part Name]=$A47)*M_BOM[RM_Qty_Per_Batch]*IFERROR(INDEX(PP_Grid[#Data],M_BOM[PPGridRow],51),0))+IFERROR(INDEX(M_RawMaterials[固定週次消費量_要入力],MATCH($A47,M_RawMaterials[Part Name],0)),0)</f>
        <v/>
      </c>
      <c r="AZ47">
        <f>SUMPRODUCT((M_BOM[Part Name]=$A47)*M_BOM[RM_Qty_Per_Batch]*IFERROR(INDEX(PP_Grid[#Data],M_BOM[PPGridRow],52),0))+IFERROR(INDEX(M_RawMaterials[固定週次消費量_要入力],MATCH($A47,M_RawMaterials[Part Name],0)),0)</f>
        <v/>
      </c>
      <c r="BA47">
        <f>SUMPRODUCT((M_BOM[Part Name]=$A47)*M_BOM[RM_Qty_Per_Batch]*IFERROR(INDEX(PP_Grid[#Data],M_BOM[PPGridRow],53),0))+IFERROR(INDEX(M_RawMaterials[固定週次消費量_要入力],MATCH($A47,M_RawMaterials[Part Name],0)),0)</f>
        <v/>
      </c>
      <c r="BB47">
        <f>SUMPRODUCT((M_BOM[Part Name]=$A47)*M_BOM[RM_Qty_Per_Batch]*IFERROR(INDEX(PP_Grid[#Data],M_BOM[PPGridRow],54),0))+IFERROR(INDEX(M_RawMaterials[固定週次消費量_要入力],MATCH($A47,M_RawMaterials[Part Name],0)),0)</f>
        <v/>
      </c>
      <c r="BC47">
        <f>SUMPRODUCT((M_BOM[Part Name]=$A47)*M_BOM[RM_Qty_Per_Batch]*IFERROR(INDEX(PP_Grid[#Data],M_BOM[PPGridRow],55),0))+IFERROR(INDEX(M_RawMaterials[固定週次消費量_要入力],MATCH($A47,M_RawMaterials[Part Name],0)),0)</f>
        <v/>
      </c>
      <c r="BD47">
        <f>SUMPRODUCT((M_BOM[Part Name]=$A47)*M_BOM[RM_Qty_Per_Batch]*IFERROR(INDEX(PP_Grid[#Data],M_BOM[PPGridRow],56),0))+IFERROR(INDEX(M_RawMaterials[固定週次消費量_要入力],MATCH($A47,M_RawMaterials[Part Name],0)),0)</f>
        <v/>
      </c>
      <c r="BE47">
        <f>SUMPRODUCT((M_BOM[Part Name]=$A47)*M_BOM[RM_Qty_Per_Batch]*IFERROR(INDEX(PP_Grid[#Data],M_BOM[PPGridRow],57),0))+IFERROR(INDEX(M_RawMaterials[固定週次消費量_要入力],MATCH($A47,M_RawMaterials[Part Name],0)),0)</f>
        <v/>
      </c>
      <c r="BF47">
        <f>SUMPRODUCT((M_BOM[Part Name]=$A47)*M_BOM[RM_Qty_Per_Batch]*IFERROR(INDEX(PP_Grid[#Data],M_BOM[PPGridRow],58),0))+IFERROR(INDEX(M_RawMaterials[固定週次消費量_要入力],MATCH($A47,M_RawMaterials[Part Name],0)),0)</f>
        <v/>
      </c>
      <c r="BG47">
        <f>SUMPRODUCT((M_BOM[Part Name]=$A47)*M_BOM[RM_Qty_Per_Batch]*IFERROR(INDEX(PP_Grid[#Data],M_BOM[PPGridRow],59),0))+IFERROR(INDEX(M_RawMaterials[固定週次消費量_要入力],MATCH($A47,M_RawMaterials[Part Name],0)),0)</f>
        <v/>
      </c>
      <c r="BH47">
        <f>SUMPRODUCT((M_BOM[Part Name]=$A47)*M_BOM[RM_Qty_Per_Batch]*IFERROR(INDEX(PP_Grid[#Data],M_BOM[PPGridRow],60),0))+IFERROR(INDEX(M_RawMaterials[固定週次消費量_要入力],MATCH($A47,M_RawMaterials[Part Name],0)),0)</f>
        <v/>
      </c>
      <c r="BI47">
        <f>SUMPRODUCT((M_BOM[Part Name]=$A47)*M_BOM[RM_Qty_Per_Batch]*IFERROR(INDEX(PP_Grid[#Data],M_BOM[PPGridRow],61),0))+IFERROR(INDEX(M_RawMaterials[固定週次消費量_要入力],MATCH($A47,M_RawMaterials[Part Name],0)),0)</f>
        <v/>
      </c>
      <c r="BJ47">
        <f>SUMPRODUCT((M_BOM[Part Name]=$A47)*M_BOM[RM_Qty_Per_Batch]*IFERROR(INDEX(PP_Grid[#Data],M_BOM[PPGridRow],62),0))+IFERROR(INDEX(M_RawMaterials[固定週次消費量_要入力],MATCH($A47,M_RawMaterials[Part Name],0)),0)</f>
        <v/>
      </c>
      <c r="BK47">
        <f>SUMPRODUCT((M_BOM[Part Name]=$A47)*M_BOM[RM_Qty_Per_Batch]*IFERROR(INDEX(PP_Grid[#Data],M_BOM[PPGridRow],63),0))+IFERROR(INDEX(M_RawMaterials[固定週次消費量_要入力],MATCH($A47,M_RawMaterials[Part Name],0)),0)</f>
        <v/>
      </c>
      <c r="BL47">
        <f>SUMPRODUCT((M_BOM[Part Name]=$A47)*M_BOM[RM_Qty_Per_Batch]*IFERROR(INDEX(PP_Grid[#Data],M_BOM[PPGridRow],64),0))+IFERROR(INDEX(M_RawMaterials[固定週次消費量_要入力],MATCH($A47,M_RawMaterials[Part Name],0)),0)</f>
        <v/>
      </c>
      <c r="BM47">
        <f>SUMPRODUCT((M_BOM[Part Name]=$A47)*M_BOM[RM_Qty_Per_Batch]*IFERROR(INDEX(PP_Grid[#Data],M_BOM[PPGridRow],65),0))+IFERROR(INDEX(M_RawMaterials[固定週次消費量_要入力],MATCH($A47,M_RawMaterials[Part Name],0)),0)</f>
        <v/>
      </c>
      <c r="BN47">
        <f>SUMPRODUCT((M_BOM[Part Name]=$A47)*M_BOM[RM_Qty_Per_Batch]*IFERROR(INDEX(PP_Grid[#Data],M_BOM[PPGridRow],66),0))+IFERROR(INDEX(M_RawMaterials[固定週次消費量_要入力],MATCH($A47,M_RawMaterials[Part Name],0)),0)</f>
        <v/>
      </c>
      <c r="BO47">
        <f>SUMPRODUCT((M_BOM[Part Name]=$A47)*M_BOM[RM_Qty_Per_Batch]*IFERROR(INDEX(PP_Grid[#Data],M_BOM[PPGridRow],67),0))+IFERROR(INDEX(M_RawMaterials[固定週次消費量_要入力],MATCH($A47,M_RawMaterials[Part Name],0)),0)</f>
        <v/>
      </c>
      <c r="BP47">
        <f>SUMPRODUCT((M_BOM[Part Name]=$A47)*M_BOM[RM_Qty_Per_Batch]*IFERROR(INDEX(PP_Grid[#Data],M_BOM[PPGridRow],68),0))+IFERROR(INDEX(M_RawMaterials[固定週次消費量_要入力],MATCH($A47,M_RawMaterials[Part Name],0)),0)</f>
        <v/>
      </c>
      <c r="BQ47">
        <f>SUMPRODUCT((M_BOM[Part Name]=$A47)*M_BOM[RM_Qty_Per_Batch]*IFERROR(INDEX(PP_Grid[#Data],M_BOM[PPGridRow],69),0))+IFERROR(INDEX(M_RawMaterials[固定週次消費量_要入力],MATCH($A47,M_RawMaterials[Part Name],0)),0)</f>
        <v/>
      </c>
      <c r="BR47">
        <f>SUMPRODUCT((M_BOM[Part Name]=$A47)*M_BOM[RM_Qty_Per_Batch]*IFERROR(INDEX(PP_Grid[#Data],M_BOM[PPGridRow],70),0))+IFERROR(INDEX(M_RawMaterials[固定週次消費量_要入力],MATCH($A47,M_RawMaterials[Part Name],0)),0)</f>
        <v/>
      </c>
      <c r="BS47">
        <f>SUMPRODUCT((M_BOM[Part Name]=$A47)*M_BOM[RM_Qty_Per_Batch]*IFERROR(INDEX(PP_Grid[#Data],M_BOM[PPGridRow],71),0))+IFERROR(INDEX(M_RawMaterials[固定週次消費量_要入力],MATCH($A47,M_RawMaterials[Part Name],0)),0)</f>
        <v/>
      </c>
      <c r="BT47">
        <f>SUMPRODUCT((M_BOM[Part Name]=$A47)*M_BOM[RM_Qty_Per_Batch]*IFERROR(INDEX(PP_Grid[#Data],M_BOM[PPGridRow],72),0))+IFERROR(INDEX(M_RawMaterials[固定週次消費量_要入力],MATCH($A47,M_RawMaterials[Part Name],0)),0)</f>
        <v/>
      </c>
      <c r="BU47">
        <f>SUMPRODUCT((M_BOM[Part Name]=$A47)*M_BOM[RM_Qty_Per_Batch]*IFERROR(INDEX(PP_Grid[#Data],M_BOM[PPGridRow],73),0))+IFERROR(INDEX(M_RawMaterials[固定週次消費量_要入力],MATCH($A47,M_RawMaterials[Part Name],0)),0)</f>
        <v/>
      </c>
      <c r="BV47">
        <f>SUMPRODUCT((M_BOM[Part Name]=$A47)*M_BOM[RM_Qty_Per_Batch]*IFERROR(INDEX(PP_Grid[#Data],M_BOM[PPGridRow],74),0))+IFERROR(INDEX(M_RawMaterials[固定週次消費量_要入力],MATCH($A47,M_RawMaterials[Part Name],0)),0)</f>
        <v/>
      </c>
      <c r="BW47">
        <f>SUMPRODUCT((M_BOM[Part Name]=$A47)*M_BOM[RM_Qty_Per_Batch]*IFERROR(INDEX(PP_Grid[#Data],M_BOM[PPGridRow],75),0))+IFERROR(INDEX(M_RawMaterials[固定週次消費量_要入力],MATCH($A47,M_RawMaterials[Part Name],0)),0)</f>
        <v/>
      </c>
      <c r="BX47">
        <f>SUMPRODUCT((M_BOM[Part Name]=$A47)*M_BOM[RM_Qty_Per_Batch]*IFERROR(INDEX(PP_Grid[#Data],M_BOM[PPGridRow],76),0))+IFERROR(INDEX(M_RawMaterials[固定週次消費量_要入力],MATCH($A47,M_RawMaterials[Part Name],0)),0)</f>
        <v/>
      </c>
      <c r="BY47">
        <f>SUMPRODUCT((M_BOM[Part Name]=$A47)*M_BOM[RM_Qty_Per_Batch]*IFERROR(INDEX(PP_Grid[#Data],M_BOM[PPGridRow],77),0))+IFERROR(INDEX(M_RawMaterials[固定週次消費量_要入力],MATCH($A47,M_RawMaterials[Part Name],0)),0)</f>
        <v/>
      </c>
      <c r="BZ47">
        <f>SUMPRODUCT((M_BOM[Part Name]=$A47)*M_BOM[RM_Qty_Per_Batch]*IFERROR(INDEX(PP_Grid[#Data],M_BOM[PPGridRow],78),0))+IFERROR(INDEX(M_RawMaterials[固定週次消費量_要入力],MATCH($A47,M_RawMaterials[Part Name],0)),0)</f>
        <v/>
      </c>
      <c r="CA47">
        <f>SUMPRODUCT((M_BOM[Part Name]=$A47)*M_BOM[RM_Qty_Per_Batch]*IFERROR(INDEX(PP_Grid[#Data],M_BOM[PPGridRow],79),0))+IFERROR(INDEX(M_RawMaterials[固定週次消費量_要入力],MATCH($A47,M_RawMaterials[Part Name],0)),0)</f>
        <v/>
      </c>
      <c r="CB47">
        <f>SUMPRODUCT((M_BOM[Part Name]=$A47)*M_BOM[RM_Qty_Per_Batch]*IFERROR(INDEX(PP_Grid[#Data],M_BOM[PPGridRow],80),0))+IFERROR(INDEX(M_RawMaterials[固定週次消費量_要入力],MATCH($A47,M_RawMaterials[Part Name],0)),0)</f>
        <v/>
      </c>
      <c r="CC47">
        <f>SUMPRODUCT((M_BOM[Part Name]=$A47)*M_BOM[RM_Qty_Per_Batch]*IFERROR(INDEX(PP_Grid[#Data],M_BOM[PPGridRow],81),0))+IFERROR(INDEX(M_RawMaterials[固定週次消費量_要入力],MATCH($A47,M_RawMaterials[Part Name],0)),0)</f>
        <v/>
      </c>
      <c r="CD47">
        <f>SUMPRODUCT((M_BOM[Part Name]=$A47)*M_BOM[RM_Qty_Per_Batch]*IFERROR(INDEX(PP_Grid[#Data],M_BOM[PPGridRow],82),0))+IFERROR(INDEX(M_RawMaterials[固定週次消費量_要入力],MATCH($A47,M_RawMaterials[Part Name],0)),0)</f>
        <v/>
      </c>
      <c r="CE47">
        <f>SUMPRODUCT((M_BOM[Part Name]=$A47)*M_BOM[RM_Qty_Per_Batch]*IFERROR(INDEX(PP_Grid[#Data],M_BOM[PPGridRow],83),0))+IFERROR(INDEX(M_RawMaterials[固定週次消費量_要入力],MATCH($A47,M_RawMaterials[Part Name],0)),0)</f>
        <v/>
      </c>
      <c r="CF47">
        <f>SUMPRODUCT((M_BOM[Part Name]=$A47)*M_BOM[RM_Qty_Per_Batch]*IFERROR(INDEX(PP_Grid[#Data],M_BOM[PPGridRow],84),0))+IFERROR(INDEX(M_RawMaterials[固定週次消費量_要入力],MATCH($A47,M_RawMaterials[Part Name],0)),0)</f>
        <v/>
      </c>
      <c r="CG47">
        <f>SUMPRODUCT((M_BOM[Part Name]=$A47)*M_BOM[RM_Qty_Per_Batch]*IFERROR(INDEX(PP_Grid[#Data],M_BOM[PPGridRow],85),0))+IFERROR(INDEX(M_RawMaterials[固定週次消費量_要入力],MATCH($A47,M_RawMaterials[Part Name],0)),0)</f>
        <v/>
      </c>
      <c r="CH47">
        <f>SUMPRODUCT((M_BOM[Part Name]=$A47)*M_BOM[RM_Qty_Per_Batch]*IFERROR(INDEX(PP_Grid[#Data],M_BOM[PPGridRow],86),0))+IFERROR(INDEX(M_RawMaterials[固定週次消費量_要入力],MATCH($A47,M_RawMaterials[Part Name],0)),0)</f>
        <v/>
      </c>
      <c r="CI47">
        <f>SUMPRODUCT((M_BOM[Part Name]=$A47)*M_BOM[RM_Qty_Per_Batch]*IFERROR(INDEX(PP_Grid[#Data],M_BOM[PPGridRow],87),0))+IFERROR(INDEX(M_RawMaterials[固定週次消費量_要入力],MATCH($A47,M_RawMaterials[Part Name],0)),0)</f>
        <v/>
      </c>
      <c r="CJ47">
        <f>SUMPRODUCT((M_BOM[Part Name]=$A47)*M_BOM[RM_Qty_Per_Batch]*IFERROR(INDEX(PP_Grid[#Data],M_BOM[PPGridRow],88),0))+IFERROR(INDEX(M_RawMaterials[固定週次消費量_要入力],MATCH($A47,M_RawMaterials[Part Name],0)),0)</f>
        <v/>
      </c>
      <c r="CK47">
        <f>SUMPRODUCT((M_BOM[Part Name]=$A47)*M_BOM[RM_Qty_Per_Batch]*IFERROR(INDEX(PP_Grid[#Data],M_BOM[PPGridRow],89),0))+IFERROR(INDEX(M_RawMaterials[固定週次消費量_要入力],MATCH($A47,M_RawMaterials[Part Name],0)),0)</f>
        <v/>
      </c>
      <c r="CL47">
        <f>SUMPRODUCT((M_BOM[Part Name]=$A47)*M_BOM[RM_Qty_Per_Batch]*IFERROR(INDEX(PP_Grid[#Data],M_BOM[PPGridRow],90),0))+IFERROR(INDEX(M_RawMaterials[固定週次消費量_要入力],MATCH($A47,M_RawMaterials[Part Name],0)),0)</f>
        <v/>
      </c>
      <c r="CM47">
        <f>SUMPRODUCT((M_BOM[Part Name]=$A47)*M_BOM[RM_Qty_Per_Batch]*IFERROR(INDEX(PP_Grid[#Data],M_BOM[PPGridRow],91),0))+IFERROR(INDEX(M_RawMaterials[固定週次消費量_要入力],MATCH($A47,M_RawMaterials[Part Name],0)),0)</f>
        <v/>
      </c>
      <c r="CN47">
        <f>SUMPRODUCT((M_BOM[Part Name]=$A47)*M_BOM[RM_Qty_Per_Batch]*IFERROR(INDEX(PP_Grid[#Data],M_BOM[PPGridRow],92),0))+IFERROR(INDEX(M_RawMaterials[固定週次消費量_要入力],MATCH($A47,M_RawMaterials[Part Name],0)),0)</f>
        <v/>
      </c>
      <c r="CO47">
        <f>SUMPRODUCT((M_BOM[Part Name]=$A47)*M_BOM[RM_Qty_Per_Batch]*IFERROR(INDEX(PP_Grid[#Data],M_BOM[PPGridRow],93),0))+IFERROR(INDEX(M_RawMaterials[固定週次消費量_要入力],MATCH($A47,M_RawMaterials[Part Name],0)),0)</f>
        <v/>
      </c>
      <c r="CP47">
        <f>SUMPRODUCT((M_BOM[Part Name]=$A47)*M_BOM[RM_Qty_Per_Batch]*IFERROR(INDEX(PP_Grid[#Data],M_BOM[PPGridRow],94),0))+IFERROR(INDEX(M_RawMaterials[固定週次消費量_要入力],MATCH($A47,M_RawMaterials[Part Name],0)),0)</f>
        <v/>
      </c>
      <c r="CQ47">
        <f>SUMPRODUCT((M_BOM[Part Name]=$A47)*M_BOM[RM_Qty_Per_Batch]*IFERROR(INDEX(PP_Grid[#Data],M_BOM[PPGridRow],95),0))+IFERROR(INDEX(M_RawMaterials[固定週次消費量_要入力],MATCH($A47,M_RawMaterials[Part Name],0)),0)</f>
        <v/>
      </c>
      <c r="CR47">
        <f>SUMPRODUCT((M_BOM[Part Name]=$A47)*M_BOM[RM_Qty_Per_Batch]*IFERROR(INDEX(PP_Grid[#Data],M_BOM[PPGridRow],96),0))+IFERROR(INDEX(M_RawMaterials[固定週次消費量_要入力],MATCH($A47,M_RawMaterials[Part Name],0)),0)</f>
        <v/>
      </c>
      <c r="CS47">
        <f>SUMPRODUCT((M_BOM[Part Name]=$A47)*M_BOM[RM_Qty_Per_Batch]*IFERROR(INDEX(PP_Grid[#Data],M_BOM[PPGridRow],97),0))+IFERROR(INDEX(M_RawMaterials[固定週次消費量_要入力],MATCH($A47,M_RawMaterials[Part Name],0)),0)</f>
        <v/>
      </c>
      <c r="CT47">
        <f>SUMPRODUCT((M_BOM[Part Name]=$A47)*M_BOM[RM_Qty_Per_Batch]*IFERROR(INDEX(PP_Grid[#Data],M_BOM[PPGridRow],98),0))+IFERROR(INDEX(M_RawMaterials[固定週次消費量_要入力],MATCH($A47,M_RawMaterials[Part Name],0)),0)</f>
        <v/>
      </c>
      <c r="CU47">
        <f>SUMPRODUCT((M_BOM[Part Name]=$A47)*M_BOM[RM_Qty_Per_Batch]*IFERROR(INDEX(PP_Grid[#Data],M_BOM[PPGridRow],99),0))+IFERROR(INDEX(M_RawMaterials[固定週次消費量_要入力],MATCH($A47,M_RawMaterials[Part Name],0)),0)</f>
        <v/>
      </c>
      <c r="CV47">
        <f>SUMPRODUCT((M_BOM[Part Name]=$A47)*M_BOM[RM_Qty_Per_Batch]*IFERROR(INDEX(PP_Grid[#Data],M_BOM[PPGridRow],100),0))+IFERROR(INDEX(M_RawMaterials[固定週次消費量_要入力],MATCH($A47,M_RawMaterials[Part Name],0)),0)</f>
        <v/>
      </c>
      <c r="CW47">
        <f>SUMPRODUCT((M_BOM[Part Name]=$A47)*M_BOM[RM_Qty_Per_Batch]*IFERROR(INDEX(PP_Grid[#Data],M_BOM[PPGridRow],101),0))+IFERROR(INDEX(M_RawMaterials[固定週次消費量_要入力],MATCH($A47,M_RawMaterials[Part Name],0)),0)</f>
        <v/>
      </c>
      <c r="CX47">
        <f>SUMPRODUCT((M_BOM[Part Name]=$A47)*M_BOM[RM_Qty_Per_Batch]*IFERROR(INDEX(PP_Grid[#Data],M_BOM[PPGridRow],102),0))+IFERROR(INDEX(M_RawMaterials[固定週次消費量_要入力],MATCH($A47,M_RawMaterials[Part Name],0)),0)</f>
        <v/>
      </c>
      <c r="CY47">
        <f>SUMPRODUCT((M_BOM[Part Name]=$A47)*M_BOM[RM_Qty_Per_Batch]*IFERROR(INDEX(PP_Grid[#Data],M_BOM[PPGridRow],103),0))+IFERROR(INDEX(M_RawMaterials[固定週次消費量_要入力],MATCH($A47,M_RawMaterials[Part Name],0)),0)</f>
        <v/>
      </c>
      <c r="CZ47">
        <f>SUMPRODUCT((M_BOM[Part Name]=$A47)*M_BOM[RM_Qty_Per_Batch]*IFERROR(INDEX(PP_Grid[#Data],M_BOM[PPGridRow],104),0))+IFERROR(INDEX(M_RawMaterials[固定週次消費量_要入力],MATCH($A47,M_RawMaterials[Part Name],0)),0)</f>
        <v/>
      </c>
      <c r="DA47">
        <f>SUMPRODUCT((M_BOM[Part Name]=$A47)*M_BOM[RM_Qty_Per_Batch]*IFERROR(INDEX(PP_Grid[#Data],M_BOM[PPGridRow],105),0))+IFERROR(INDEX(M_RawMaterials[固定週次消費量_要入力],MATCH($A47,M_RawMaterials[Part Name],0)),0)</f>
        <v/>
      </c>
    </row>
    <row r="48">
      <c r="A48" t="inlineStr">
        <is>
          <t>CHEM-1010</t>
        </is>
      </c>
      <c r="B48">
        <f>SUMPRODUCT((M_BOM[Part Name]=$A48)*M_BOM[RM_Qty_Per_Batch]*IFERROR(INDEX(PP_Grid[#Data],M_BOM[PPGridRow],2),0))+IFERROR(INDEX(M_RawMaterials[固定週次消費量_要入力],MATCH($A48,M_RawMaterials[Part Name],0)),0)</f>
        <v/>
      </c>
      <c r="C48">
        <f>SUMPRODUCT((M_BOM[Part Name]=$A48)*M_BOM[RM_Qty_Per_Batch]*IFERROR(INDEX(PP_Grid[#Data],M_BOM[PPGridRow],3),0))+IFERROR(INDEX(M_RawMaterials[固定週次消費量_要入力],MATCH($A48,M_RawMaterials[Part Name],0)),0)</f>
        <v/>
      </c>
      <c r="D48">
        <f>SUMPRODUCT((M_BOM[Part Name]=$A48)*M_BOM[RM_Qty_Per_Batch]*IFERROR(INDEX(PP_Grid[#Data],M_BOM[PPGridRow],4),0))+IFERROR(INDEX(M_RawMaterials[固定週次消費量_要入力],MATCH($A48,M_RawMaterials[Part Name],0)),0)</f>
        <v/>
      </c>
      <c r="E48">
        <f>SUMPRODUCT((M_BOM[Part Name]=$A48)*M_BOM[RM_Qty_Per_Batch]*IFERROR(INDEX(PP_Grid[#Data],M_BOM[PPGridRow],5),0))+IFERROR(INDEX(M_RawMaterials[固定週次消費量_要入力],MATCH($A48,M_RawMaterials[Part Name],0)),0)</f>
        <v/>
      </c>
      <c r="F48">
        <f>SUMPRODUCT((M_BOM[Part Name]=$A48)*M_BOM[RM_Qty_Per_Batch]*IFERROR(INDEX(PP_Grid[#Data],M_BOM[PPGridRow],6),0))+IFERROR(INDEX(M_RawMaterials[固定週次消費量_要入力],MATCH($A48,M_RawMaterials[Part Name],0)),0)</f>
        <v/>
      </c>
      <c r="G48">
        <f>SUMPRODUCT((M_BOM[Part Name]=$A48)*M_BOM[RM_Qty_Per_Batch]*IFERROR(INDEX(PP_Grid[#Data],M_BOM[PPGridRow],7),0))+IFERROR(INDEX(M_RawMaterials[固定週次消費量_要入力],MATCH($A48,M_RawMaterials[Part Name],0)),0)</f>
        <v/>
      </c>
      <c r="H48">
        <f>SUMPRODUCT((M_BOM[Part Name]=$A48)*M_BOM[RM_Qty_Per_Batch]*IFERROR(INDEX(PP_Grid[#Data],M_BOM[PPGridRow],8),0))+IFERROR(INDEX(M_RawMaterials[固定週次消費量_要入力],MATCH($A48,M_RawMaterials[Part Name],0)),0)</f>
        <v/>
      </c>
      <c r="I48">
        <f>SUMPRODUCT((M_BOM[Part Name]=$A48)*M_BOM[RM_Qty_Per_Batch]*IFERROR(INDEX(PP_Grid[#Data],M_BOM[PPGridRow],9),0))+IFERROR(INDEX(M_RawMaterials[固定週次消費量_要入力],MATCH($A48,M_RawMaterials[Part Name],0)),0)</f>
        <v/>
      </c>
      <c r="J48">
        <f>SUMPRODUCT((M_BOM[Part Name]=$A48)*M_BOM[RM_Qty_Per_Batch]*IFERROR(INDEX(PP_Grid[#Data],M_BOM[PPGridRow],10),0))+IFERROR(INDEX(M_RawMaterials[固定週次消費量_要入力],MATCH($A48,M_RawMaterials[Part Name],0)),0)</f>
        <v/>
      </c>
      <c r="K48">
        <f>SUMPRODUCT((M_BOM[Part Name]=$A48)*M_BOM[RM_Qty_Per_Batch]*IFERROR(INDEX(PP_Grid[#Data],M_BOM[PPGridRow],11),0))+IFERROR(INDEX(M_RawMaterials[固定週次消費量_要入力],MATCH($A48,M_RawMaterials[Part Name],0)),0)</f>
        <v/>
      </c>
      <c r="L48">
        <f>SUMPRODUCT((M_BOM[Part Name]=$A48)*M_BOM[RM_Qty_Per_Batch]*IFERROR(INDEX(PP_Grid[#Data],M_BOM[PPGridRow],12),0))+IFERROR(INDEX(M_RawMaterials[固定週次消費量_要入力],MATCH($A48,M_RawMaterials[Part Name],0)),0)</f>
        <v/>
      </c>
      <c r="M48">
        <f>SUMPRODUCT((M_BOM[Part Name]=$A48)*M_BOM[RM_Qty_Per_Batch]*IFERROR(INDEX(PP_Grid[#Data],M_BOM[PPGridRow],13),0))+IFERROR(INDEX(M_RawMaterials[固定週次消費量_要入力],MATCH($A48,M_RawMaterials[Part Name],0)),0)</f>
        <v/>
      </c>
      <c r="N48">
        <f>SUMPRODUCT((M_BOM[Part Name]=$A48)*M_BOM[RM_Qty_Per_Batch]*IFERROR(INDEX(PP_Grid[#Data],M_BOM[PPGridRow],14),0))+IFERROR(INDEX(M_RawMaterials[固定週次消費量_要入力],MATCH($A48,M_RawMaterials[Part Name],0)),0)</f>
        <v/>
      </c>
      <c r="O48">
        <f>SUMPRODUCT((M_BOM[Part Name]=$A48)*M_BOM[RM_Qty_Per_Batch]*IFERROR(INDEX(PP_Grid[#Data],M_BOM[PPGridRow],15),0))+IFERROR(INDEX(M_RawMaterials[固定週次消費量_要入力],MATCH($A48,M_RawMaterials[Part Name],0)),0)</f>
        <v/>
      </c>
      <c r="P48">
        <f>SUMPRODUCT((M_BOM[Part Name]=$A48)*M_BOM[RM_Qty_Per_Batch]*IFERROR(INDEX(PP_Grid[#Data],M_BOM[PPGridRow],16),0))+IFERROR(INDEX(M_RawMaterials[固定週次消費量_要入力],MATCH($A48,M_RawMaterials[Part Name],0)),0)</f>
        <v/>
      </c>
      <c r="Q48">
        <f>SUMPRODUCT((M_BOM[Part Name]=$A48)*M_BOM[RM_Qty_Per_Batch]*IFERROR(INDEX(PP_Grid[#Data],M_BOM[PPGridRow],17),0))+IFERROR(INDEX(M_RawMaterials[固定週次消費量_要入力],MATCH($A48,M_RawMaterials[Part Name],0)),0)</f>
        <v/>
      </c>
      <c r="R48">
        <f>SUMPRODUCT((M_BOM[Part Name]=$A48)*M_BOM[RM_Qty_Per_Batch]*IFERROR(INDEX(PP_Grid[#Data],M_BOM[PPGridRow],18),0))+IFERROR(INDEX(M_RawMaterials[固定週次消費量_要入力],MATCH($A48,M_RawMaterials[Part Name],0)),0)</f>
        <v/>
      </c>
      <c r="S48">
        <f>SUMPRODUCT((M_BOM[Part Name]=$A48)*M_BOM[RM_Qty_Per_Batch]*IFERROR(INDEX(PP_Grid[#Data],M_BOM[PPGridRow],19),0))+IFERROR(INDEX(M_RawMaterials[固定週次消費量_要入力],MATCH($A48,M_RawMaterials[Part Name],0)),0)</f>
        <v/>
      </c>
      <c r="T48">
        <f>SUMPRODUCT((M_BOM[Part Name]=$A48)*M_BOM[RM_Qty_Per_Batch]*IFERROR(INDEX(PP_Grid[#Data],M_BOM[PPGridRow],20),0))+IFERROR(INDEX(M_RawMaterials[固定週次消費量_要入力],MATCH($A48,M_RawMaterials[Part Name],0)),0)</f>
        <v/>
      </c>
      <c r="U48">
        <f>SUMPRODUCT((M_BOM[Part Name]=$A48)*M_BOM[RM_Qty_Per_Batch]*IFERROR(INDEX(PP_Grid[#Data],M_BOM[PPGridRow],21),0))+IFERROR(INDEX(M_RawMaterials[固定週次消費量_要入力],MATCH($A48,M_RawMaterials[Part Name],0)),0)</f>
        <v/>
      </c>
      <c r="V48">
        <f>SUMPRODUCT((M_BOM[Part Name]=$A48)*M_BOM[RM_Qty_Per_Batch]*IFERROR(INDEX(PP_Grid[#Data],M_BOM[PPGridRow],22),0))+IFERROR(INDEX(M_RawMaterials[固定週次消費量_要入力],MATCH($A48,M_RawMaterials[Part Name],0)),0)</f>
        <v/>
      </c>
      <c r="W48">
        <f>SUMPRODUCT((M_BOM[Part Name]=$A48)*M_BOM[RM_Qty_Per_Batch]*IFERROR(INDEX(PP_Grid[#Data],M_BOM[PPGridRow],23),0))+IFERROR(INDEX(M_RawMaterials[固定週次消費量_要入力],MATCH($A48,M_RawMaterials[Part Name],0)),0)</f>
        <v/>
      </c>
      <c r="X48">
        <f>SUMPRODUCT((M_BOM[Part Name]=$A48)*M_BOM[RM_Qty_Per_Batch]*IFERROR(INDEX(PP_Grid[#Data],M_BOM[PPGridRow],24),0))+IFERROR(INDEX(M_RawMaterials[固定週次消費量_要入力],MATCH($A48,M_RawMaterials[Part Name],0)),0)</f>
        <v/>
      </c>
      <c r="Y48">
        <f>SUMPRODUCT((M_BOM[Part Name]=$A48)*M_BOM[RM_Qty_Per_Batch]*IFERROR(INDEX(PP_Grid[#Data],M_BOM[PPGridRow],25),0))+IFERROR(INDEX(M_RawMaterials[固定週次消費量_要入力],MATCH($A48,M_RawMaterials[Part Name],0)),0)</f>
        <v/>
      </c>
      <c r="Z48">
        <f>SUMPRODUCT((M_BOM[Part Name]=$A48)*M_BOM[RM_Qty_Per_Batch]*IFERROR(INDEX(PP_Grid[#Data],M_BOM[PPGridRow],26),0))+IFERROR(INDEX(M_RawMaterials[固定週次消費量_要入力],MATCH($A48,M_RawMaterials[Part Name],0)),0)</f>
        <v/>
      </c>
      <c r="AA48">
        <f>SUMPRODUCT((M_BOM[Part Name]=$A48)*M_BOM[RM_Qty_Per_Batch]*IFERROR(INDEX(PP_Grid[#Data],M_BOM[PPGridRow],27),0))+IFERROR(INDEX(M_RawMaterials[固定週次消費量_要入力],MATCH($A48,M_RawMaterials[Part Name],0)),0)</f>
        <v/>
      </c>
      <c r="AB48">
        <f>SUMPRODUCT((M_BOM[Part Name]=$A48)*M_BOM[RM_Qty_Per_Batch]*IFERROR(INDEX(PP_Grid[#Data],M_BOM[PPGridRow],28),0))+IFERROR(INDEX(M_RawMaterials[固定週次消費量_要入力],MATCH($A48,M_RawMaterials[Part Name],0)),0)</f>
        <v/>
      </c>
      <c r="AC48">
        <f>SUMPRODUCT((M_BOM[Part Name]=$A48)*M_BOM[RM_Qty_Per_Batch]*IFERROR(INDEX(PP_Grid[#Data],M_BOM[PPGridRow],29),0))+IFERROR(INDEX(M_RawMaterials[固定週次消費量_要入力],MATCH($A48,M_RawMaterials[Part Name],0)),0)</f>
        <v/>
      </c>
      <c r="AD48">
        <f>SUMPRODUCT((M_BOM[Part Name]=$A48)*M_BOM[RM_Qty_Per_Batch]*IFERROR(INDEX(PP_Grid[#Data],M_BOM[PPGridRow],30),0))+IFERROR(INDEX(M_RawMaterials[固定週次消費量_要入力],MATCH($A48,M_RawMaterials[Part Name],0)),0)</f>
        <v/>
      </c>
      <c r="AE48">
        <f>SUMPRODUCT((M_BOM[Part Name]=$A48)*M_BOM[RM_Qty_Per_Batch]*IFERROR(INDEX(PP_Grid[#Data],M_BOM[PPGridRow],31),0))+IFERROR(INDEX(M_RawMaterials[固定週次消費量_要入力],MATCH($A48,M_RawMaterials[Part Name],0)),0)</f>
        <v/>
      </c>
      <c r="AF48">
        <f>SUMPRODUCT((M_BOM[Part Name]=$A48)*M_BOM[RM_Qty_Per_Batch]*IFERROR(INDEX(PP_Grid[#Data],M_BOM[PPGridRow],32),0))+IFERROR(INDEX(M_RawMaterials[固定週次消費量_要入力],MATCH($A48,M_RawMaterials[Part Name],0)),0)</f>
        <v/>
      </c>
      <c r="AG48">
        <f>SUMPRODUCT((M_BOM[Part Name]=$A48)*M_BOM[RM_Qty_Per_Batch]*IFERROR(INDEX(PP_Grid[#Data],M_BOM[PPGridRow],33),0))+IFERROR(INDEX(M_RawMaterials[固定週次消費量_要入力],MATCH($A48,M_RawMaterials[Part Name],0)),0)</f>
        <v/>
      </c>
      <c r="AH48">
        <f>SUMPRODUCT((M_BOM[Part Name]=$A48)*M_BOM[RM_Qty_Per_Batch]*IFERROR(INDEX(PP_Grid[#Data],M_BOM[PPGridRow],34),0))+IFERROR(INDEX(M_RawMaterials[固定週次消費量_要入力],MATCH($A48,M_RawMaterials[Part Name],0)),0)</f>
        <v/>
      </c>
      <c r="AI48">
        <f>SUMPRODUCT((M_BOM[Part Name]=$A48)*M_BOM[RM_Qty_Per_Batch]*IFERROR(INDEX(PP_Grid[#Data],M_BOM[PPGridRow],35),0))+IFERROR(INDEX(M_RawMaterials[固定週次消費量_要入力],MATCH($A48,M_RawMaterials[Part Name],0)),0)</f>
        <v/>
      </c>
      <c r="AJ48">
        <f>SUMPRODUCT((M_BOM[Part Name]=$A48)*M_BOM[RM_Qty_Per_Batch]*IFERROR(INDEX(PP_Grid[#Data],M_BOM[PPGridRow],36),0))+IFERROR(INDEX(M_RawMaterials[固定週次消費量_要入力],MATCH($A48,M_RawMaterials[Part Name],0)),0)</f>
        <v/>
      </c>
      <c r="AK48">
        <f>SUMPRODUCT((M_BOM[Part Name]=$A48)*M_BOM[RM_Qty_Per_Batch]*IFERROR(INDEX(PP_Grid[#Data],M_BOM[PPGridRow],37),0))+IFERROR(INDEX(M_RawMaterials[固定週次消費量_要入力],MATCH($A48,M_RawMaterials[Part Name],0)),0)</f>
        <v/>
      </c>
      <c r="AL48">
        <f>SUMPRODUCT((M_BOM[Part Name]=$A48)*M_BOM[RM_Qty_Per_Batch]*IFERROR(INDEX(PP_Grid[#Data],M_BOM[PPGridRow],38),0))+IFERROR(INDEX(M_RawMaterials[固定週次消費量_要入力],MATCH($A48,M_RawMaterials[Part Name],0)),0)</f>
        <v/>
      </c>
      <c r="AM48">
        <f>SUMPRODUCT((M_BOM[Part Name]=$A48)*M_BOM[RM_Qty_Per_Batch]*IFERROR(INDEX(PP_Grid[#Data],M_BOM[PPGridRow],39),0))+IFERROR(INDEX(M_RawMaterials[固定週次消費量_要入力],MATCH($A48,M_RawMaterials[Part Name],0)),0)</f>
        <v/>
      </c>
      <c r="AN48">
        <f>SUMPRODUCT((M_BOM[Part Name]=$A48)*M_BOM[RM_Qty_Per_Batch]*IFERROR(INDEX(PP_Grid[#Data],M_BOM[PPGridRow],40),0))+IFERROR(INDEX(M_RawMaterials[固定週次消費量_要入力],MATCH($A48,M_RawMaterials[Part Name],0)),0)</f>
        <v/>
      </c>
      <c r="AO48">
        <f>SUMPRODUCT((M_BOM[Part Name]=$A48)*M_BOM[RM_Qty_Per_Batch]*IFERROR(INDEX(PP_Grid[#Data],M_BOM[PPGridRow],41),0))+IFERROR(INDEX(M_RawMaterials[固定週次消費量_要入力],MATCH($A48,M_RawMaterials[Part Name],0)),0)</f>
        <v/>
      </c>
      <c r="AP48">
        <f>SUMPRODUCT((M_BOM[Part Name]=$A48)*M_BOM[RM_Qty_Per_Batch]*IFERROR(INDEX(PP_Grid[#Data],M_BOM[PPGridRow],42),0))+IFERROR(INDEX(M_RawMaterials[固定週次消費量_要入力],MATCH($A48,M_RawMaterials[Part Name],0)),0)</f>
        <v/>
      </c>
      <c r="AQ48">
        <f>SUMPRODUCT((M_BOM[Part Name]=$A48)*M_BOM[RM_Qty_Per_Batch]*IFERROR(INDEX(PP_Grid[#Data],M_BOM[PPGridRow],43),0))+IFERROR(INDEX(M_RawMaterials[固定週次消費量_要入力],MATCH($A48,M_RawMaterials[Part Name],0)),0)</f>
        <v/>
      </c>
      <c r="AR48">
        <f>SUMPRODUCT((M_BOM[Part Name]=$A48)*M_BOM[RM_Qty_Per_Batch]*IFERROR(INDEX(PP_Grid[#Data],M_BOM[PPGridRow],44),0))+IFERROR(INDEX(M_RawMaterials[固定週次消費量_要入力],MATCH($A48,M_RawMaterials[Part Name],0)),0)</f>
        <v/>
      </c>
      <c r="AS48">
        <f>SUMPRODUCT((M_BOM[Part Name]=$A48)*M_BOM[RM_Qty_Per_Batch]*IFERROR(INDEX(PP_Grid[#Data],M_BOM[PPGridRow],45),0))+IFERROR(INDEX(M_RawMaterials[固定週次消費量_要入力],MATCH($A48,M_RawMaterials[Part Name],0)),0)</f>
        <v/>
      </c>
      <c r="AT48">
        <f>SUMPRODUCT((M_BOM[Part Name]=$A48)*M_BOM[RM_Qty_Per_Batch]*IFERROR(INDEX(PP_Grid[#Data],M_BOM[PPGridRow],46),0))+IFERROR(INDEX(M_RawMaterials[固定週次消費量_要入力],MATCH($A48,M_RawMaterials[Part Name],0)),0)</f>
        <v/>
      </c>
      <c r="AU48">
        <f>SUMPRODUCT((M_BOM[Part Name]=$A48)*M_BOM[RM_Qty_Per_Batch]*IFERROR(INDEX(PP_Grid[#Data],M_BOM[PPGridRow],47),0))+IFERROR(INDEX(M_RawMaterials[固定週次消費量_要入力],MATCH($A48,M_RawMaterials[Part Name],0)),0)</f>
        <v/>
      </c>
      <c r="AV48">
        <f>SUMPRODUCT((M_BOM[Part Name]=$A48)*M_BOM[RM_Qty_Per_Batch]*IFERROR(INDEX(PP_Grid[#Data],M_BOM[PPGridRow],48),0))+IFERROR(INDEX(M_RawMaterials[固定週次消費量_要入力],MATCH($A48,M_RawMaterials[Part Name],0)),0)</f>
        <v/>
      </c>
      <c r="AW48">
        <f>SUMPRODUCT((M_BOM[Part Name]=$A48)*M_BOM[RM_Qty_Per_Batch]*IFERROR(INDEX(PP_Grid[#Data],M_BOM[PPGridRow],49),0))+IFERROR(INDEX(M_RawMaterials[固定週次消費量_要入力],MATCH($A48,M_RawMaterials[Part Name],0)),0)</f>
        <v/>
      </c>
      <c r="AX48">
        <f>SUMPRODUCT((M_BOM[Part Name]=$A48)*M_BOM[RM_Qty_Per_Batch]*IFERROR(INDEX(PP_Grid[#Data],M_BOM[PPGridRow],50),0))+IFERROR(INDEX(M_RawMaterials[固定週次消費量_要入力],MATCH($A48,M_RawMaterials[Part Name],0)),0)</f>
        <v/>
      </c>
      <c r="AY48">
        <f>SUMPRODUCT((M_BOM[Part Name]=$A48)*M_BOM[RM_Qty_Per_Batch]*IFERROR(INDEX(PP_Grid[#Data],M_BOM[PPGridRow],51),0))+IFERROR(INDEX(M_RawMaterials[固定週次消費量_要入力],MATCH($A48,M_RawMaterials[Part Name],0)),0)</f>
        <v/>
      </c>
      <c r="AZ48">
        <f>SUMPRODUCT((M_BOM[Part Name]=$A48)*M_BOM[RM_Qty_Per_Batch]*IFERROR(INDEX(PP_Grid[#Data],M_BOM[PPGridRow],52),0))+IFERROR(INDEX(M_RawMaterials[固定週次消費量_要入力],MATCH($A48,M_RawMaterials[Part Name],0)),0)</f>
        <v/>
      </c>
      <c r="BA48">
        <f>SUMPRODUCT((M_BOM[Part Name]=$A48)*M_BOM[RM_Qty_Per_Batch]*IFERROR(INDEX(PP_Grid[#Data],M_BOM[PPGridRow],53),0))+IFERROR(INDEX(M_RawMaterials[固定週次消費量_要入力],MATCH($A48,M_RawMaterials[Part Name],0)),0)</f>
        <v/>
      </c>
      <c r="BB48">
        <f>SUMPRODUCT((M_BOM[Part Name]=$A48)*M_BOM[RM_Qty_Per_Batch]*IFERROR(INDEX(PP_Grid[#Data],M_BOM[PPGridRow],54),0))+IFERROR(INDEX(M_RawMaterials[固定週次消費量_要入力],MATCH($A48,M_RawMaterials[Part Name],0)),0)</f>
        <v/>
      </c>
      <c r="BC48">
        <f>SUMPRODUCT((M_BOM[Part Name]=$A48)*M_BOM[RM_Qty_Per_Batch]*IFERROR(INDEX(PP_Grid[#Data],M_BOM[PPGridRow],55),0))+IFERROR(INDEX(M_RawMaterials[固定週次消費量_要入力],MATCH($A48,M_RawMaterials[Part Name],0)),0)</f>
        <v/>
      </c>
      <c r="BD48">
        <f>SUMPRODUCT((M_BOM[Part Name]=$A48)*M_BOM[RM_Qty_Per_Batch]*IFERROR(INDEX(PP_Grid[#Data],M_BOM[PPGridRow],56),0))+IFERROR(INDEX(M_RawMaterials[固定週次消費量_要入力],MATCH($A48,M_RawMaterials[Part Name],0)),0)</f>
        <v/>
      </c>
      <c r="BE48">
        <f>SUMPRODUCT((M_BOM[Part Name]=$A48)*M_BOM[RM_Qty_Per_Batch]*IFERROR(INDEX(PP_Grid[#Data],M_BOM[PPGridRow],57),0))+IFERROR(INDEX(M_RawMaterials[固定週次消費量_要入力],MATCH($A48,M_RawMaterials[Part Name],0)),0)</f>
        <v/>
      </c>
      <c r="BF48">
        <f>SUMPRODUCT((M_BOM[Part Name]=$A48)*M_BOM[RM_Qty_Per_Batch]*IFERROR(INDEX(PP_Grid[#Data],M_BOM[PPGridRow],58),0))+IFERROR(INDEX(M_RawMaterials[固定週次消費量_要入力],MATCH($A48,M_RawMaterials[Part Name],0)),0)</f>
        <v/>
      </c>
      <c r="BG48">
        <f>SUMPRODUCT((M_BOM[Part Name]=$A48)*M_BOM[RM_Qty_Per_Batch]*IFERROR(INDEX(PP_Grid[#Data],M_BOM[PPGridRow],59),0))+IFERROR(INDEX(M_RawMaterials[固定週次消費量_要入力],MATCH($A48,M_RawMaterials[Part Name],0)),0)</f>
        <v/>
      </c>
      <c r="BH48">
        <f>SUMPRODUCT((M_BOM[Part Name]=$A48)*M_BOM[RM_Qty_Per_Batch]*IFERROR(INDEX(PP_Grid[#Data],M_BOM[PPGridRow],60),0))+IFERROR(INDEX(M_RawMaterials[固定週次消費量_要入力],MATCH($A48,M_RawMaterials[Part Name],0)),0)</f>
        <v/>
      </c>
      <c r="BI48">
        <f>SUMPRODUCT((M_BOM[Part Name]=$A48)*M_BOM[RM_Qty_Per_Batch]*IFERROR(INDEX(PP_Grid[#Data],M_BOM[PPGridRow],61),0))+IFERROR(INDEX(M_RawMaterials[固定週次消費量_要入力],MATCH($A48,M_RawMaterials[Part Name],0)),0)</f>
        <v/>
      </c>
      <c r="BJ48">
        <f>SUMPRODUCT((M_BOM[Part Name]=$A48)*M_BOM[RM_Qty_Per_Batch]*IFERROR(INDEX(PP_Grid[#Data],M_BOM[PPGridRow],62),0))+IFERROR(INDEX(M_RawMaterials[固定週次消費量_要入力],MATCH($A48,M_RawMaterials[Part Name],0)),0)</f>
        <v/>
      </c>
      <c r="BK48">
        <f>SUMPRODUCT((M_BOM[Part Name]=$A48)*M_BOM[RM_Qty_Per_Batch]*IFERROR(INDEX(PP_Grid[#Data],M_BOM[PPGridRow],63),0))+IFERROR(INDEX(M_RawMaterials[固定週次消費量_要入力],MATCH($A48,M_RawMaterials[Part Name],0)),0)</f>
        <v/>
      </c>
      <c r="BL48">
        <f>SUMPRODUCT((M_BOM[Part Name]=$A48)*M_BOM[RM_Qty_Per_Batch]*IFERROR(INDEX(PP_Grid[#Data],M_BOM[PPGridRow],64),0))+IFERROR(INDEX(M_RawMaterials[固定週次消費量_要入力],MATCH($A48,M_RawMaterials[Part Name],0)),0)</f>
        <v/>
      </c>
      <c r="BM48">
        <f>SUMPRODUCT((M_BOM[Part Name]=$A48)*M_BOM[RM_Qty_Per_Batch]*IFERROR(INDEX(PP_Grid[#Data],M_BOM[PPGridRow],65),0))+IFERROR(INDEX(M_RawMaterials[固定週次消費量_要入力],MATCH($A48,M_RawMaterials[Part Name],0)),0)</f>
        <v/>
      </c>
      <c r="BN48">
        <f>SUMPRODUCT((M_BOM[Part Name]=$A48)*M_BOM[RM_Qty_Per_Batch]*IFERROR(INDEX(PP_Grid[#Data],M_BOM[PPGridRow],66),0))+IFERROR(INDEX(M_RawMaterials[固定週次消費量_要入力],MATCH($A48,M_RawMaterials[Part Name],0)),0)</f>
        <v/>
      </c>
      <c r="BO48">
        <f>SUMPRODUCT((M_BOM[Part Name]=$A48)*M_BOM[RM_Qty_Per_Batch]*IFERROR(INDEX(PP_Grid[#Data],M_BOM[PPGridRow],67),0))+IFERROR(INDEX(M_RawMaterials[固定週次消費量_要入力],MATCH($A48,M_RawMaterials[Part Name],0)),0)</f>
        <v/>
      </c>
      <c r="BP48">
        <f>SUMPRODUCT((M_BOM[Part Name]=$A48)*M_BOM[RM_Qty_Per_Batch]*IFERROR(INDEX(PP_Grid[#Data],M_BOM[PPGridRow],68),0))+IFERROR(INDEX(M_RawMaterials[固定週次消費量_要入力],MATCH($A48,M_RawMaterials[Part Name],0)),0)</f>
        <v/>
      </c>
      <c r="BQ48">
        <f>SUMPRODUCT((M_BOM[Part Name]=$A48)*M_BOM[RM_Qty_Per_Batch]*IFERROR(INDEX(PP_Grid[#Data],M_BOM[PPGridRow],69),0))+IFERROR(INDEX(M_RawMaterials[固定週次消費量_要入力],MATCH($A48,M_RawMaterials[Part Name],0)),0)</f>
        <v/>
      </c>
      <c r="BR48">
        <f>SUMPRODUCT((M_BOM[Part Name]=$A48)*M_BOM[RM_Qty_Per_Batch]*IFERROR(INDEX(PP_Grid[#Data],M_BOM[PPGridRow],70),0))+IFERROR(INDEX(M_RawMaterials[固定週次消費量_要入力],MATCH($A48,M_RawMaterials[Part Name],0)),0)</f>
        <v/>
      </c>
      <c r="BS48">
        <f>SUMPRODUCT((M_BOM[Part Name]=$A48)*M_BOM[RM_Qty_Per_Batch]*IFERROR(INDEX(PP_Grid[#Data],M_BOM[PPGridRow],71),0))+IFERROR(INDEX(M_RawMaterials[固定週次消費量_要入力],MATCH($A48,M_RawMaterials[Part Name],0)),0)</f>
        <v/>
      </c>
      <c r="BT48">
        <f>SUMPRODUCT((M_BOM[Part Name]=$A48)*M_BOM[RM_Qty_Per_Batch]*IFERROR(INDEX(PP_Grid[#Data],M_BOM[PPGridRow],72),0))+IFERROR(INDEX(M_RawMaterials[固定週次消費量_要入力],MATCH($A48,M_RawMaterials[Part Name],0)),0)</f>
        <v/>
      </c>
      <c r="BU48">
        <f>SUMPRODUCT((M_BOM[Part Name]=$A48)*M_BOM[RM_Qty_Per_Batch]*IFERROR(INDEX(PP_Grid[#Data],M_BOM[PPGridRow],73),0))+IFERROR(INDEX(M_RawMaterials[固定週次消費量_要入力],MATCH($A48,M_RawMaterials[Part Name],0)),0)</f>
        <v/>
      </c>
      <c r="BV48">
        <f>SUMPRODUCT((M_BOM[Part Name]=$A48)*M_BOM[RM_Qty_Per_Batch]*IFERROR(INDEX(PP_Grid[#Data],M_BOM[PPGridRow],74),0))+IFERROR(INDEX(M_RawMaterials[固定週次消費量_要入力],MATCH($A48,M_RawMaterials[Part Name],0)),0)</f>
        <v/>
      </c>
      <c r="BW48">
        <f>SUMPRODUCT((M_BOM[Part Name]=$A48)*M_BOM[RM_Qty_Per_Batch]*IFERROR(INDEX(PP_Grid[#Data],M_BOM[PPGridRow],75),0))+IFERROR(INDEX(M_RawMaterials[固定週次消費量_要入力],MATCH($A48,M_RawMaterials[Part Name],0)),0)</f>
        <v/>
      </c>
      <c r="BX48">
        <f>SUMPRODUCT((M_BOM[Part Name]=$A48)*M_BOM[RM_Qty_Per_Batch]*IFERROR(INDEX(PP_Grid[#Data],M_BOM[PPGridRow],76),0))+IFERROR(INDEX(M_RawMaterials[固定週次消費量_要入力],MATCH($A48,M_RawMaterials[Part Name],0)),0)</f>
        <v/>
      </c>
      <c r="BY48">
        <f>SUMPRODUCT((M_BOM[Part Name]=$A48)*M_BOM[RM_Qty_Per_Batch]*IFERROR(INDEX(PP_Grid[#Data],M_BOM[PPGridRow],77),0))+IFERROR(INDEX(M_RawMaterials[固定週次消費量_要入力],MATCH($A48,M_RawMaterials[Part Name],0)),0)</f>
        <v/>
      </c>
      <c r="BZ48">
        <f>SUMPRODUCT((M_BOM[Part Name]=$A48)*M_BOM[RM_Qty_Per_Batch]*IFERROR(INDEX(PP_Grid[#Data],M_BOM[PPGridRow],78),0))+IFERROR(INDEX(M_RawMaterials[固定週次消費量_要入力],MATCH($A48,M_RawMaterials[Part Name],0)),0)</f>
        <v/>
      </c>
      <c r="CA48">
        <f>SUMPRODUCT((M_BOM[Part Name]=$A48)*M_BOM[RM_Qty_Per_Batch]*IFERROR(INDEX(PP_Grid[#Data],M_BOM[PPGridRow],79),0))+IFERROR(INDEX(M_RawMaterials[固定週次消費量_要入力],MATCH($A48,M_RawMaterials[Part Name],0)),0)</f>
        <v/>
      </c>
      <c r="CB48">
        <f>SUMPRODUCT((M_BOM[Part Name]=$A48)*M_BOM[RM_Qty_Per_Batch]*IFERROR(INDEX(PP_Grid[#Data],M_BOM[PPGridRow],80),0))+IFERROR(INDEX(M_RawMaterials[固定週次消費量_要入力],MATCH($A48,M_RawMaterials[Part Name],0)),0)</f>
        <v/>
      </c>
      <c r="CC48">
        <f>SUMPRODUCT((M_BOM[Part Name]=$A48)*M_BOM[RM_Qty_Per_Batch]*IFERROR(INDEX(PP_Grid[#Data],M_BOM[PPGridRow],81),0))+IFERROR(INDEX(M_RawMaterials[固定週次消費量_要入力],MATCH($A48,M_RawMaterials[Part Name],0)),0)</f>
        <v/>
      </c>
      <c r="CD48">
        <f>SUMPRODUCT((M_BOM[Part Name]=$A48)*M_BOM[RM_Qty_Per_Batch]*IFERROR(INDEX(PP_Grid[#Data],M_BOM[PPGridRow],82),0))+IFERROR(INDEX(M_RawMaterials[固定週次消費量_要入力],MATCH($A48,M_RawMaterials[Part Name],0)),0)</f>
        <v/>
      </c>
      <c r="CE48">
        <f>SUMPRODUCT((M_BOM[Part Name]=$A48)*M_BOM[RM_Qty_Per_Batch]*IFERROR(INDEX(PP_Grid[#Data],M_BOM[PPGridRow],83),0))+IFERROR(INDEX(M_RawMaterials[固定週次消費量_要入力],MATCH($A48,M_RawMaterials[Part Name],0)),0)</f>
        <v/>
      </c>
      <c r="CF48">
        <f>SUMPRODUCT((M_BOM[Part Name]=$A48)*M_BOM[RM_Qty_Per_Batch]*IFERROR(INDEX(PP_Grid[#Data],M_BOM[PPGridRow],84),0))+IFERROR(INDEX(M_RawMaterials[固定週次消費量_要入力],MATCH($A48,M_RawMaterials[Part Name],0)),0)</f>
        <v/>
      </c>
      <c r="CG48">
        <f>SUMPRODUCT((M_BOM[Part Name]=$A48)*M_BOM[RM_Qty_Per_Batch]*IFERROR(INDEX(PP_Grid[#Data],M_BOM[PPGridRow],85),0))+IFERROR(INDEX(M_RawMaterials[固定週次消費量_要入力],MATCH($A48,M_RawMaterials[Part Name],0)),0)</f>
        <v/>
      </c>
      <c r="CH48">
        <f>SUMPRODUCT((M_BOM[Part Name]=$A48)*M_BOM[RM_Qty_Per_Batch]*IFERROR(INDEX(PP_Grid[#Data],M_BOM[PPGridRow],86),0))+IFERROR(INDEX(M_RawMaterials[固定週次消費量_要入力],MATCH($A48,M_RawMaterials[Part Name],0)),0)</f>
        <v/>
      </c>
      <c r="CI48">
        <f>SUMPRODUCT((M_BOM[Part Name]=$A48)*M_BOM[RM_Qty_Per_Batch]*IFERROR(INDEX(PP_Grid[#Data],M_BOM[PPGridRow],87),0))+IFERROR(INDEX(M_RawMaterials[固定週次消費量_要入力],MATCH($A48,M_RawMaterials[Part Name],0)),0)</f>
        <v/>
      </c>
      <c r="CJ48">
        <f>SUMPRODUCT((M_BOM[Part Name]=$A48)*M_BOM[RM_Qty_Per_Batch]*IFERROR(INDEX(PP_Grid[#Data],M_BOM[PPGridRow],88),0))+IFERROR(INDEX(M_RawMaterials[固定週次消費量_要入力],MATCH($A48,M_RawMaterials[Part Name],0)),0)</f>
        <v/>
      </c>
      <c r="CK48">
        <f>SUMPRODUCT((M_BOM[Part Name]=$A48)*M_BOM[RM_Qty_Per_Batch]*IFERROR(INDEX(PP_Grid[#Data],M_BOM[PPGridRow],89),0))+IFERROR(INDEX(M_RawMaterials[固定週次消費量_要入力],MATCH($A48,M_RawMaterials[Part Name],0)),0)</f>
        <v/>
      </c>
      <c r="CL48">
        <f>SUMPRODUCT((M_BOM[Part Name]=$A48)*M_BOM[RM_Qty_Per_Batch]*IFERROR(INDEX(PP_Grid[#Data],M_BOM[PPGridRow],90),0))+IFERROR(INDEX(M_RawMaterials[固定週次消費量_要入力],MATCH($A48,M_RawMaterials[Part Name],0)),0)</f>
        <v/>
      </c>
      <c r="CM48">
        <f>SUMPRODUCT((M_BOM[Part Name]=$A48)*M_BOM[RM_Qty_Per_Batch]*IFERROR(INDEX(PP_Grid[#Data],M_BOM[PPGridRow],91),0))+IFERROR(INDEX(M_RawMaterials[固定週次消費量_要入力],MATCH($A48,M_RawMaterials[Part Name],0)),0)</f>
        <v/>
      </c>
      <c r="CN48">
        <f>SUMPRODUCT((M_BOM[Part Name]=$A48)*M_BOM[RM_Qty_Per_Batch]*IFERROR(INDEX(PP_Grid[#Data],M_BOM[PPGridRow],92),0))+IFERROR(INDEX(M_RawMaterials[固定週次消費量_要入力],MATCH($A48,M_RawMaterials[Part Name],0)),0)</f>
        <v/>
      </c>
      <c r="CO48">
        <f>SUMPRODUCT((M_BOM[Part Name]=$A48)*M_BOM[RM_Qty_Per_Batch]*IFERROR(INDEX(PP_Grid[#Data],M_BOM[PPGridRow],93),0))+IFERROR(INDEX(M_RawMaterials[固定週次消費量_要入力],MATCH($A48,M_RawMaterials[Part Name],0)),0)</f>
        <v/>
      </c>
      <c r="CP48">
        <f>SUMPRODUCT((M_BOM[Part Name]=$A48)*M_BOM[RM_Qty_Per_Batch]*IFERROR(INDEX(PP_Grid[#Data],M_BOM[PPGridRow],94),0))+IFERROR(INDEX(M_RawMaterials[固定週次消費量_要入力],MATCH($A48,M_RawMaterials[Part Name],0)),0)</f>
        <v/>
      </c>
      <c r="CQ48">
        <f>SUMPRODUCT((M_BOM[Part Name]=$A48)*M_BOM[RM_Qty_Per_Batch]*IFERROR(INDEX(PP_Grid[#Data],M_BOM[PPGridRow],95),0))+IFERROR(INDEX(M_RawMaterials[固定週次消費量_要入力],MATCH($A48,M_RawMaterials[Part Name],0)),0)</f>
        <v/>
      </c>
      <c r="CR48">
        <f>SUMPRODUCT((M_BOM[Part Name]=$A48)*M_BOM[RM_Qty_Per_Batch]*IFERROR(INDEX(PP_Grid[#Data],M_BOM[PPGridRow],96),0))+IFERROR(INDEX(M_RawMaterials[固定週次消費量_要入力],MATCH($A48,M_RawMaterials[Part Name],0)),0)</f>
        <v/>
      </c>
      <c r="CS48">
        <f>SUMPRODUCT((M_BOM[Part Name]=$A48)*M_BOM[RM_Qty_Per_Batch]*IFERROR(INDEX(PP_Grid[#Data],M_BOM[PPGridRow],97),0))+IFERROR(INDEX(M_RawMaterials[固定週次消費量_要入力],MATCH($A48,M_RawMaterials[Part Name],0)),0)</f>
        <v/>
      </c>
      <c r="CT48">
        <f>SUMPRODUCT((M_BOM[Part Name]=$A48)*M_BOM[RM_Qty_Per_Batch]*IFERROR(INDEX(PP_Grid[#Data],M_BOM[PPGridRow],98),0))+IFERROR(INDEX(M_RawMaterials[固定週次消費量_要入力],MATCH($A48,M_RawMaterials[Part Name],0)),0)</f>
        <v/>
      </c>
      <c r="CU48">
        <f>SUMPRODUCT((M_BOM[Part Name]=$A48)*M_BOM[RM_Qty_Per_Batch]*IFERROR(INDEX(PP_Grid[#Data],M_BOM[PPGridRow],99),0))+IFERROR(INDEX(M_RawMaterials[固定週次消費量_要入力],MATCH($A48,M_RawMaterials[Part Name],0)),0)</f>
        <v/>
      </c>
      <c r="CV48">
        <f>SUMPRODUCT((M_BOM[Part Name]=$A48)*M_BOM[RM_Qty_Per_Batch]*IFERROR(INDEX(PP_Grid[#Data],M_BOM[PPGridRow],100),0))+IFERROR(INDEX(M_RawMaterials[固定週次消費量_要入力],MATCH($A48,M_RawMaterials[Part Name],0)),0)</f>
        <v/>
      </c>
      <c r="CW48">
        <f>SUMPRODUCT((M_BOM[Part Name]=$A48)*M_BOM[RM_Qty_Per_Batch]*IFERROR(INDEX(PP_Grid[#Data],M_BOM[PPGridRow],101),0))+IFERROR(INDEX(M_RawMaterials[固定週次消費量_要入力],MATCH($A48,M_RawMaterials[Part Name],0)),0)</f>
        <v/>
      </c>
      <c r="CX48">
        <f>SUMPRODUCT((M_BOM[Part Name]=$A48)*M_BOM[RM_Qty_Per_Batch]*IFERROR(INDEX(PP_Grid[#Data],M_BOM[PPGridRow],102),0))+IFERROR(INDEX(M_RawMaterials[固定週次消費量_要入力],MATCH($A48,M_RawMaterials[Part Name],0)),0)</f>
        <v/>
      </c>
      <c r="CY48">
        <f>SUMPRODUCT((M_BOM[Part Name]=$A48)*M_BOM[RM_Qty_Per_Batch]*IFERROR(INDEX(PP_Grid[#Data],M_BOM[PPGridRow],103),0))+IFERROR(INDEX(M_RawMaterials[固定週次消費量_要入力],MATCH($A48,M_RawMaterials[Part Name],0)),0)</f>
        <v/>
      </c>
      <c r="CZ48">
        <f>SUMPRODUCT((M_BOM[Part Name]=$A48)*M_BOM[RM_Qty_Per_Batch]*IFERROR(INDEX(PP_Grid[#Data],M_BOM[PPGridRow],104),0))+IFERROR(INDEX(M_RawMaterials[固定週次消費量_要入力],MATCH($A48,M_RawMaterials[Part Name],0)),0)</f>
        <v/>
      </c>
      <c r="DA48">
        <f>SUMPRODUCT((M_BOM[Part Name]=$A48)*M_BOM[RM_Qty_Per_Batch]*IFERROR(INDEX(PP_Grid[#Data],M_BOM[PPGridRow],105),0))+IFERROR(INDEX(M_RawMaterials[固定週次消費量_要入力],MATCH($A48,M_RawMaterials[Part Name],0)),0)</f>
        <v/>
      </c>
    </row>
    <row r="49">
      <c r="A49" t="inlineStr">
        <is>
          <t>CHEM-1760</t>
        </is>
      </c>
      <c r="B49">
        <f>SUMPRODUCT((M_BOM[Part Name]=$A49)*M_BOM[RM_Qty_Per_Batch]*IFERROR(INDEX(PP_Grid[#Data],M_BOM[PPGridRow],2),0))+IFERROR(INDEX(M_RawMaterials[固定週次消費量_要入力],MATCH($A49,M_RawMaterials[Part Name],0)),0)</f>
        <v/>
      </c>
      <c r="C49">
        <f>SUMPRODUCT((M_BOM[Part Name]=$A49)*M_BOM[RM_Qty_Per_Batch]*IFERROR(INDEX(PP_Grid[#Data],M_BOM[PPGridRow],3),0))+IFERROR(INDEX(M_RawMaterials[固定週次消費量_要入力],MATCH($A49,M_RawMaterials[Part Name],0)),0)</f>
        <v/>
      </c>
      <c r="D49">
        <f>SUMPRODUCT((M_BOM[Part Name]=$A49)*M_BOM[RM_Qty_Per_Batch]*IFERROR(INDEX(PP_Grid[#Data],M_BOM[PPGridRow],4),0))+IFERROR(INDEX(M_RawMaterials[固定週次消費量_要入力],MATCH($A49,M_RawMaterials[Part Name],0)),0)</f>
        <v/>
      </c>
      <c r="E49">
        <f>SUMPRODUCT((M_BOM[Part Name]=$A49)*M_BOM[RM_Qty_Per_Batch]*IFERROR(INDEX(PP_Grid[#Data],M_BOM[PPGridRow],5),0))+IFERROR(INDEX(M_RawMaterials[固定週次消費量_要入力],MATCH($A49,M_RawMaterials[Part Name],0)),0)</f>
        <v/>
      </c>
      <c r="F49">
        <f>SUMPRODUCT((M_BOM[Part Name]=$A49)*M_BOM[RM_Qty_Per_Batch]*IFERROR(INDEX(PP_Grid[#Data],M_BOM[PPGridRow],6),0))+IFERROR(INDEX(M_RawMaterials[固定週次消費量_要入力],MATCH($A49,M_RawMaterials[Part Name],0)),0)</f>
        <v/>
      </c>
      <c r="G49">
        <f>SUMPRODUCT((M_BOM[Part Name]=$A49)*M_BOM[RM_Qty_Per_Batch]*IFERROR(INDEX(PP_Grid[#Data],M_BOM[PPGridRow],7),0))+IFERROR(INDEX(M_RawMaterials[固定週次消費量_要入力],MATCH($A49,M_RawMaterials[Part Name],0)),0)</f>
        <v/>
      </c>
      <c r="H49">
        <f>SUMPRODUCT((M_BOM[Part Name]=$A49)*M_BOM[RM_Qty_Per_Batch]*IFERROR(INDEX(PP_Grid[#Data],M_BOM[PPGridRow],8),0))+IFERROR(INDEX(M_RawMaterials[固定週次消費量_要入力],MATCH($A49,M_RawMaterials[Part Name],0)),0)</f>
        <v/>
      </c>
      <c r="I49">
        <f>SUMPRODUCT((M_BOM[Part Name]=$A49)*M_BOM[RM_Qty_Per_Batch]*IFERROR(INDEX(PP_Grid[#Data],M_BOM[PPGridRow],9),0))+IFERROR(INDEX(M_RawMaterials[固定週次消費量_要入力],MATCH($A49,M_RawMaterials[Part Name],0)),0)</f>
        <v/>
      </c>
      <c r="J49">
        <f>SUMPRODUCT((M_BOM[Part Name]=$A49)*M_BOM[RM_Qty_Per_Batch]*IFERROR(INDEX(PP_Grid[#Data],M_BOM[PPGridRow],10),0))+IFERROR(INDEX(M_RawMaterials[固定週次消費量_要入力],MATCH($A49,M_RawMaterials[Part Name],0)),0)</f>
        <v/>
      </c>
      <c r="K49">
        <f>SUMPRODUCT((M_BOM[Part Name]=$A49)*M_BOM[RM_Qty_Per_Batch]*IFERROR(INDEX(PP_Grid[#Data],M_BOM[PPGridRow],11),0))+IFERROR(INDEX(M_RawMaterials[固定週次消費量_要入力],MATCH($A49,M_RawMaterials[Part Name],0)),0)</f>
        <v/>
      </c>
      <c r="L49">
        <f>SUMPRODUCT((M_BOM[Part Name]=$A49)*M_BOM[RM_Qty_Per_Batch]*IFERROR(INDEX(PP_Grid[#Data],M_BOM[PPGridRow],12),0))+IFERROR(INDEX(M_RawMaterials[固定週次消費量_要入力],MATCH($A49,M_RawMaterials[Part Name],0)),0)</f>
        <v/>
      </c>
      <c r="M49">
        <f>SUMPRODUCT((M_BOM[Part Name]=$A49)*M_BOM[RM_Qty_Per_Batch]*IFERROR(INDEX(PP_Grid[#Data],M_BOM[PPGridRow],13),0))+IFERROR(INDEX(M_RawMaterials[固定週次消費量_要入力],MATCH($A49,M_RawMaterials[Part Name],0)),0)</f>
        <v/>
      </c>
      <c r="N49">
        <f>SUMPRODUCT((M_BOM[Part Name]=$A49)*M_BOM[RM_Qty_Per_Batch]*IFERROR(INDEX(PP_Grid[#Data],M_BOM[PPGridRow],14),0))+IFERROR(INDEX(M_RawMaterials[固定週次消費量_要入力],MATCH($A49,M_RawMaterials[Part Name],0)),0)</f>
        <v/>
      </c>
      <c r="O49">
        <f>SUMPRODUCT((M_BOM[Part Name]=$A49)*M_BOM[RM_Qty_Per_Batch]*IFERROR(INDEX(PP_Grid[#Data],M_BOM[PPGridRow],15),0))+IFERROR(INDEX(M_RawMaterials[固定週次消費量_要入力],MATCH($A49,M_RawMaterials[Part Name],0)),0)</f>
        <v/>
      </c>
      <c r="P49">
        <f>SUMPRODUCT((M_BOM[Part Name]=$A49)*M_BOM[RM_Qty_Per_Batch]*IFERROR(INDEX(PP_Grid[#Data],M_BOM[PPGridRow],16),0))+IFERROR(INDEX(M_RawMaterials[固定週次消費量_要入力],MATCH($A49,M_RawMaterials[Part Name],0)),0)</f>
        <v/>
      </c>
      <c r="Q49">
        <f>SUMPRODUCT((M_BOM[Part Name]=$A49)*M_BOM[RM_Qty_Per_Batch]*IFERROR(INDEX(PP_Grid[#Data],M_BOM[PPGridRow],17),0))+IFERROR(INDEX(M_RawMaterials[固定週次消費量_要入力],MATCH($A49,M_RawMaterials[Part Name],0)),0)</f>
        <v/>
      </c>
      <c r="R49">
        <f>SUMPRODUCT((M_BOM[Part Name]=$A49)*M_BOM[RM_Qty_Per_Batch]*IFERROR(INDEX(PP_Grid[#Data],M_BOM[PPGridRow],18),0))+IFERROR(INDEX(M_RawMaterials[固定週次消費量_要入力],MATCH($A49,M_RawMaterials[Part Name],0)),0)</f>
        <v/>
      </c>
      <c r="S49">
        <f>SUMPRODUCT((M_BOM[Part Name]=$A49)*M_BOM[RM_Qty_Per_Batch]*IFERROR(INDEX(PP_Grid[#Data],M_BOM[PPGridRow],19),0))+IFERROR(INDEX(M_RawMaterials[固定週次消費量_要入力],MATCH($A49,M_RawMaterials[Part Name],0)),0)</f>
        <v/>
      </c>
      <c r="T49">
        <f>SUMPRODUCT((M_BOM[Part Name]=$A49)*M_BOM[RM_Qty_Per_Batch]*IFERROR(INDEX(PP_Grid[#Data],M_BOM[PPGridRow],20),0))+IFERROR(INDEX(M_RawMaterials[固定週次消費量_要入力],MATCH($A49,M_RawMaterials[Part Name],0)),0)</f>
        <v/>
      </c>
      <c r="U49">
        <f>SUMPRODUCT((M_BOM[Part Name]=$A49)*M_BOM[RM_Qty_Per_Batch]*IFERROR(INDEX(PP_Grid[#Data],M_BOM[PPGridRow],21),0))+IFERROR(INDEX(M_RawMaterials[固定週次消費量_要入力],MATCH($A49,M_RawMaterials[Part Name],0)),0)</f>
        <v/>
      </c>
      <c r="V49">
        <f>SUMPRODUCT((M_BOM[Part Name]=$A49)*M_BOM[RM_Qty_Per_Batch]*IFERROR(INDEX(PP_Grid[#Data],M_BOM[PPGridRow],22),0))+IFERROR(INDEX(M_RawMaterials[固定週次消費量_要入力],MATCH($A49,M_RawMaterials[Part Name],0)),0)</f>
        <v/>
      </c>
      <c r="W49">
        <f>SUMPRODUCT((M_BOM[Part Name]=$A49)*M_BOM[RM_Qty_Per_Batch]*IFERROR(INDEX(PP_Grid[#Data],M_BOM[PPGridRow],23),0))+IFERROR(INDEX(M_RawMaterials[固定週次消費量_要入力],MATCH($A49,M_RawMaterials[Part Name],0)),0)</f>
        <v/>
      </c>
      <c r="X49">
        <f>SUMPRODUCT((M_BOM[Part Name]=$A49)*M_BOM[RM_Qty_Per_Batch]*IFERROR(INDEX(PP_Grid[#Data],M_BOM[PPGridRow],24),0))+IFERROR(INDEX(M_RawMaterials[固定週次消費量_要入力],MATCH($A49,M_RawMaterials[Part Name],0)),0)</f>
        <v/>
      </c>
      <c r="Y49">
        <f>SUMPRODUCT((M_BOM[Part Name]=$A49)*M_BOM[RM_Qty_Per_Batch]*IFERROR(INDEX(PP_Grid[#Data],M_BOM[PPGridRow],25),0))+IFERROR(INDEX(M_RawMaterials[固定週次消費量_要入力],MATCH($A49,M_RawMaterials[Part Name],0)),0)</f>
        <v/>
      </c>
      <c r="Z49">
        <f>SUMPRODUCT((M_BOM[Part Name]=$A49)*M_BOM[RM_Qty_Per_Batch]*IFERROR(INDEX(PP_Grid[#Data],M_BOM[PPGridRow],26),0))+IFERROR(INDEX(M_RawMaterials[固定週次消費量_要入力],MATCH($A49,M_RawMaterials[Part Name],0)),0)</f>
        <v/>
      </c>
      <c r="AA49">
        <f>SUMPRODUCT((M_BOM[Part Name]=$A49)*M_BOM[RM_Qty_Per_Batch]*IFERROR(INDEX(PP_Grid[#Data],M_BOM[PPGridRow],27),0))+IFERROR(INDEX(M_RawMaterials[固定週次消費量_要入力],MATCH($A49,M_RawMaterials[Part Name],0)),0)</f>
        <v/>
      </c>
      <c r="AB49">
        <f>SUMPRODUCT((M_BOM[Part Name]=$A49)*M_BOM[RM_Qty_Per_Batch]*IFERROR(INDEX(PP_Grid[#Data],M_BOM[PPGridRow],28),0))+IFERROR(INDEX(M_RawMaterials[固定週次消費量_要入力],MATCH($A49,M_RawMaterials[Part Name],0)),0)</f>
        <v/>
      </c>
      <c r="AC49">
        <f>SUMPRODUCT((M_BOM[Part Name]=$A49)*M_BOM[RM_Qty_Per_Batch]*IFERROR(INDEX(PP_Grid[#Data],M_BOM[PPGridRow],29),0))+IFERROR(INDEX(M_RawMaterials[固定週次消費量_要入力],MATCH($A49,M_RawMaterials[Part Name],0)),0)</f>
        <v/>
      </c>
      <c r="AD49">
        <f>SUMPRODUCT((M_BOM[Part Name]=$A49)*M_BOM[RM_Qty_Per_Batch]*IFERROR(INDEX(PP_Grid[#Data],M_BOM[PPGridRow],30),0))+IFERROR(INDEX(M_RawMaterials[固定週次消費量_要入力],MATCH($A49,M_RawMaterials[Part Name],0)),0)</f>
        <v/>
      </c>
      <c r="AE49">
        <f>SUMPRODUCT((M_BOM[Part Name]=$A49)*M_BOM[RM_Qty_Per_Batch]*IFERROR(INDEX(PP_Grid[#Data],M_BOM[PPGridRow],31),0))+IFERROR(INDEX(M_RawMaterials[固定週次消費量_要入力],MATCH($A49,M_RawMaterials[Part Name],0)),0)</f>
        <v/>
      </c>
      <c r="AF49">
        <f>SUMPRODUCT((M_BOM[Part Name]=$A49)*M_BOM[RM_Qty_Per_Batch]*IFERROR(INDEX(PP_Grid[#Data],M_BOM[PPGridRow],32),0))+IFERROR(INDEX(M_RawMaterials[固定週次消費量_要入力],MATCH($A49,M_RawMaterials[Part Name],0)),0)</f>
        <v/>
      </c>
      <c r="AG49">
        <f>SUMPRODUCT((M_BOM[Part Name]=$A49)*M_BOM[RM_Qty_Per_Batch]*IFERROR(INDEX(PP_Grid[#Data],M_BOM[PPGridRow],33),0))+IFERROR(INDEX(M_RawMaterials[固定週次消費量_要入力],MATCH($A49,M_RawMaterials[Part Name],0)),0)</f>
        <v/>
      </c>
      <c r="AH49">
        <f>SUMPRODUCT((M_BOM[Part Name]=$A49)*M_BOM[RM_Qty_Per_Batch]*IFERROR(INDEX(PP_Grid[#Data],M_BOM[PPGridRow],34),0))+IFERROR(INDEX(M_RawMaterials[固定週次消費量_要入力],MATCH($A49,M_RawMaterials[Part Name],0)),0)</f>
        <v/>
      </c>
      <c r="AI49">
        <f>SUMPRODUCT((M_BOM[Part Name]=$A49)*M_BOM[RM_Qty_Per_Batch]*IFERROR(INDEX(PP_Grid[#Data],M_BOM[PPGridRow],35),0))+IFERROR(INDEX(M_RawMaterials[固定週次消費量_要入力],MATCH($A49,M_RawMaterials[Part Name],0)),0)</f>
        <v/>
      </c>
      <c r="AJ49">
        <f>SUMPRODUCT((M_BOM[Part Name]=$A49)*M_BOM[RM_Qty_Per_Batch]*IFERROR(INDEX(PP_Grid[#Data],M_BOM[PPGridRow],36),0))+IFERROR(INDEX(M_RawMaterials[固定週次消費量_要入力],MATCH($A49,M_RawMaterials[Part Name],0)),0)</f>
        <v/>
      </c>
      <c r="AK49">
        <f>SUMPRODUCT((M_BOM[Part Name]=$A49)*M_BOM[RM_Qty_Per_Batch]*IFERROR(INDEX(PP_Grid[#Data],M_BOM[PPGridRow],37),0))+IFERROR(INDEX(M_RawMaterials[固定週次消費量_要入力],MATCH($A49,M_RawMaterials[Part Name],0)),0)</f>
        <v/>
      </c>
      <c r="AL49">
        <f>SUMPRODUCT((M_BOM[Part Name]=$A49)*M_BOM[RM_Qty_Per_Batch]*IFERROR(INDEX(PP_Grid[#Data],M_BOM[PPGridRow],38),0))+IFERROR(INDEX(M_RawMaterials[固定週次消費量_要入力],MATCH($A49,M_RawMaterials[Part Name],0)),0)</f>
        <v/>
      </c>
      <c r="AM49">
        <f>SUMPRODUCT((M_BOM[Part Name]=$A49)*M_BOM[RM_Qty_Per_Batch]*IFERROR(INDEX(PP_Grid[#Data],M_BOM[PPGridRow],39),0))+IFERROR(INDEX(M_RawMaterials[固定週次消費量_要入力],MATCH($A49,M_RawMaterials[Part Name],0)),0)</f>
        <v/>
      </c>
      <c r="AN49">
        <f>SUMPRODUCT((M_BOM[Part Name]=$A49)*M_BOM[RM_Qty_Per_Batch]*IFERROR(INDEX(PP_Grid[#Data],M_BOM[PPGridRow],40),0))+IFERROR(INDEX(M_RawMaterials[固定週次消費量_要入力],MATCH($A49,M_RawMaterials[Part Name],0)),0)</f>
        <v/>
      </c>
      <c r="AO49">
        <f>SUMPRODUCT((M_BOM[Part Name]=$A49)*M_BOM[RM_Qty_Per_Batch]*IFERROR(INDEX(PP_Grid[#Data],M_BOM[PPGridRow],41),0))+IFERROR(INDEX(M_RawMaterials[固定週次消費量_要入力],MATCH($A49,M_RawMaterials[Part Name],0)),0)</f>
        <v/>
      </c>
      <c r="AP49">
        <f>SUMPRODUCT((M_BOM[Part Name]=$A49)*M_BOM[RM_Qty_Per_Batch]*IFERROR(INDEX(PP_Grid[#Data],M_BOM[PPGridRow],42),0))+IFERROR(INDEX(M_RawMaterials[固定週次消費量_要入力],MATCH($A49,M_RawMaterials[Part Name],0)),0)</f>
        <v/>
      </c>
      <c r="AQ49">
        <f>SUMPRODUCT((M_BOM[Part Name]=$A49)*M_BOM[RM_Qty_Per_Batch]*IFERROR(INDEX(PP_Grid[#Data],M_BOM[PPGridRow],43),0))+IFERROR(INDEX(M_RawMaterials[固定週次消費量_要入力],MATCH($A49,M_RawMaterials[Part Name],0)),0)</f>
        <v/>
      </c>
      <c r="AR49">
        <f>SUMPRODUCT((M_BOM[Part Name]=$A49)*M_BOM[RM_Qty_Per_Batch]*IFERROR(INDEX(PP_Grid[#Data],M_BOM[PPGridRow],44),0))+IFERROR(INDEX(M_RawMaterials[固定週次消費量_要入力],MATCH($A49,M_RawMaterials[Part Name],0)),0)</f>
        <v/>
      </c>
      <c r="AS49">
        <f>SUMPRODUCT((M_BOM[Part Name]=$A49)*M_BOM[RM_Qty_Per_Batch]*IFERROR(INDEX(PP_Grid[#Data],M_BOM[PPGridRow],45),0))+IFERROR(INDEX(M_RawMaterials[固定週次消費量_要入力],MATCH($A49,M_RawMaterials[Part Name],0)),0)</f>
        <v/>
      </c>
      <c r="AT49">
        <f>SUMPRODUCT((M_BOM[Part Name]=$A49)*M_BOM[RM_Qty_Per_Batch]*IFERROR(INDEX(PP_Grid[#Data],M_BOM[PPGridRow],46),0))+IFERROR(INDEX(M_RawMaterials[固定週次消費量_要入力],MATCH($A49,M_RawMaterials[Part Name],0)),0)</f>
        <v/>
      </c>
      <c r="AU49">
        <f>SUMPRODUCT((M_BOM[Part Name]=$A49)*M_BOM[RM_Qty_Per_Batch]*IFERROR(INDEX(PP_Grid[#Data],M_BOM[PPGridRow],47),0))+IFERROR(INDEX(M_RawMaterials[固定週次消費量_要入力],MATCH($A49,M_RawMaterials[Part Name],0)),0)</f>
        <v/>
      </c>
      <c r="AV49">
        <f>SUMPRODUCT((M_BOM[Part Name]=$A49)*M_BOM[RM_Qty_Per_Batch]*IFERROR(INDEX(PP_Grid[#Data],M_BOM[PPGridRow],48),0))+IFERROR(INDEX(M_RawMaterials[固定週次消費量_要入力],MATCH($A49,M_RawMaterials[Part Name],0)),0)</f>
        <v/>
      </c>
      <c r="AW49">
        <f>SUMPRODUCT((M_BOM[Part Name]=$A49)*M_BOM[RM_Qty_Per_Batch]*IFERROR(INDEX(PP_Grid[#Data],M_BOM[PPGridRow],49),0))+IFERROR(INDEX(M_RawMaterials[固定週次消費量_要入力],MATCH($A49,M_RawMaterials[Part Name],0)),0)</f>
        <v/>
      </c>
      <c r="AX49">
        <f>SUMPRODUCT((M_BOM[Part Name]=$A49)*M_BOM[RM_Qty_Per_Batch]*IFERROR(INDEX(PP_Grid[#Data],M_BOM[PPGridRow],50),0))+IFERROR(INDEX(M_RawMaterials[固定週次消費量_要入力],MATCH($A49,M_RawMaterials[Part Name],0)),0)</f>
        <v/>
      </c>
      <c r="AY49">
        <f>SUMPRODUCT((M_BOM[Part Name]=$A49)*M_BOM[RM_Qty_Per_Batch]*IFERROR(INDEX(PP_Grid[#Data],M_BOM[PPGridRow],51),0))+IFERROR(INDEX(M_RawMaterials[固定週次消費量_要入力],MATCH($A49,M_RawMaterials[Part Name],0)),0)</f>
        <v/>
      </c>
      <c r="AZ49">
        <f>SUMPRODUCT((M_BOM[Part Name]=$A49)*M_BOM[RM_Qty_Per_Batch]*IFERROR(INDEX(PP_Grid[#Data],M_BOM[PPGridRow],52),0))+IFERROR(INDEX(M_RawMaterials[固定週次消費量_要入力],MATCH($A49,M_RawMaterials[Part Name],0)),0)</f>
        <v/>
      </c>
      <c r="BA49">
        <f>SUMPRODUCT((M_BOM[Part Name]=$A49)*M_BOM[RM_Qty_Per_Batch]*IFERROR(INDEX(PP_Grid[#Data],M_BOM[PPGridRow],53),0))+IFERROR(INDEX(M_RawMaterials[固定週次消費量_要入力],MATCH($A49,M_RawMaterials[Part Name],0)),0)</f>
        <v/>
      </c>
      <c r="BB49">
        <f>SUMPRODUCT((M_BOM[Part Name]=$A49)*M_BOM[RM_Qty_Per_Batch]*IFERROR(INDEX(PP_Grid[#Data],M_BOM[PPGridRow],54),0))+IFERROR(INDEX(M_RawMaterials[固定週次消費量_要入力],MATCH($A49,M_RawMaterials[Part Name],0)),0)</f>
        <v/>
      </c>
      <c r="BC49">
        <f>SUMPRODUCT((M_BOM[Part Name]=$A49)*M_BOM[RM_Qty_Per_Batch]*IFERROR(INDEX(PP_Grid[#Data],M_BOM[PPGridRow],55),0))+IFERROR(INDEX(M_RawMaterials[固定週次消費量_要入力],MATCH($A49,M_RawMaterials[Part Name],0)),0)</f>
        <v/>
      </c>
      <c r="BD49">
        <f>SUMPRODUCT((M_BOM[Part Name]=$A49)*M_BOM[RM_Qty_Per_Batch]*IFERROR(INDEX(PP_Grid[#Data],M_BOM[PPGridRow],56),0))+IFERROR(INDEX(M_RawMaterials[固定週次消費量_要入力],MATCH($A49,M_RawMaterials[Part Name],0)),0)</f>
        <v/>
      </c>
      <c r="BE49">
        <f>SUMPRODUCT((M_BOM[Part Name]=$A49)*M_BOM[RM_Qty_Per_Batch]*IFERROR(INDEX(PP_Grid[#Data],M_BOM[PPGridRow],57),0))+IFERROR(INDEX(M_RawMaterials[固定週次消費量_要入力],MATCH($A49,M_RawMaterials[Part Name],0)),0)</f>
        <v/>
      </c>
      <c r="BF49">
        <f>SUMPRODUCT((M_BOM[Part Name]=$A49)*M_BOM[RM_Qty_Per_Batch]*IFERROR(INDEX(PP_Grid[#Data],M_BOM[PPGridRow],58),0))+IFERROR(INDEX(M_RawMaterials[固定週次消費量_要入力],MATCH($A49,M_RawMaterials[Part Name],0)),0)</f>
        <v/>
      </c>
      <c r="BG49">
        <f>SUMPRODUCT((M_BOM[Part Name]=$A49)*M_BOM[RM_Qty_Per_Batch]*IFERROR(INDEX(PP_Grid[#Data],M_BOM[PPGridRow],59),0))+IFERROR(INDEX(M_RawMaterials[固定週次消費量_要入力],MATCH($A49,M_RawMaterials[Part Name],0)),0)</f>
        <v/>
      </c>
      <c r="BH49">
        <f>SUMPRODUCT((M_BOM[Part Name]=$A49)*M_BOM[RM_Qty_Per_Batch]*IFERROR(INDEX(PP_Grid[#Data],M_BOM[PPGridRow],60),0))+IFERROR(INDEX(M_RawMaterials[固定週次消費量_要入力],MATCH($A49,M_RawMaterials[Part Name],0)),0)</f>
        <v/>
      </c>
      <c r="BI49">
        <f>SUMPRODUCT((M_BOM[Part Name]=$A49)*M_BOM[RM_Qty_Per_Batch]*IFERROR(INDEX(PP_Grid[#Data],M_BOM[PPGridRow],61),0))+IFERROR(INDEX(M_RawMaterials[固定週次消費量_要入力],MATCH($A49,M_RawMaterials[Part Name],0)),0)</f>
        <v/>
      </c>
      <c r="BJ49">
        <f>SUMPRODUCT((M_BOM[Part Name]=$A49)*M_BOM[RM_Qty_Per_Batch]*IFERROR(INDEX(PP_Grid[#Data],M_BOM[PPGridRow],62),0))+IFERROR(INDEX(M_RawMaterials[固定週次消費量_要入力],MATCH($A49,M_RawMaterials[Part Name],0)),0)</f>
        <v/>
      </c>
      <c r="BK49">
        <f>SUMPRODUCT((M_BOM[Part Name]=$A49)*M_BOM[RM_Qty_Per_Batch]*IFERROR(INDEX(PP_Grid[#Data],M_BOM[PPGridRow],63),0))+IFERROR(INDEX(M_RawMaterials[固定週次消費量_要入力],MATCH($A49,M_RawMaterials[Part Name],0)),0)</f>
        <v/>
      </c>
      <c r="BL49">
        <f>SUMPRODUCT((M_BOM[Part Name]=$A49)*M_BOM[RM_Qty_Per_Batch]*IFERROR(INDEX(PP_Grid[#Data],M_BOM[PPGridRow],64),0))+IFERROR(INDEX(M_RawMaterials[固定週次消費量_要入力],MATCH($A49,M_RawMaterials[Part Name],0)),0)</f>
        <v/>
      </c>
      <c r="BM49">
        <f>SUMPRODUCT((M_BOM[Part Name]=$A49)*M_BOM[RM_Qty_Per_Batch]*IFERROR(INDEX(PP_Grid[#Data],M_BOM[PPGridRow],65),0))+IFERROR(INDEX(M_RawMaterials[固定週次消費量_要入力],MATCH($A49,M_RawMaterials[Part Name],0)),0)</f>
        <v/>
      </c>
      <c r="BN49">
        <f>SUMPRODUCT((M_BOM[Part Name]=$A49)*M_BOM[RM_Qty_Per_Batch]*IFERROR(INDEX(PP_Grid[#Data],M_BOM[PPGridRow],66),0))+IFERROR(INDEX(M_RawMaterials[固定週次消費量_要入力],MATCH($A49,M_RawMaterials[Part Name],0)),0)</f>
        <v/>
      </c>
      <c r="BO49">
        <f>SUMPRODUCT((M_BOM[Part Name]=$A49)*M_BOM[RM_Qty_Per_Batch]*IFERROR(INDEX(PP_Grid[#Data],M_BOM[PPGridRow],67),0))+IFERROR(INDEX(M_RawMaterials[固定週次消費量_要入力],MATCH($A49,M_RawMaterials[Part Name],0)),0)</f>
        <v/>
      </c>
      <c r="BP49">
        <f>SUMPRODUCT((M_BOM[Part Name]=$A49)*M_BOM[RM_Qty_Per_Batch]*IFERROR(INDEX(PP_Grid[#Data],M_BOM[PPGridRow],68),0))+IFERROR(INDEX(M_RawMaterials[固定週次消費量_要入力],MATCH($A49,M_RawMaterials[Part Name],0)),0)</f>
        <v/>
      </c>
      <c r="BQ49">
        <f>SUMPRODUCT((M_BOM[Part Name]=$A49)*M_BOM[RM_Qty_Per_Batch]*IFERROR(INDEX(PP_Grid[#Data],M_BOM[PPGridRow],69),0))+IFERROR(INDEX(M_RawMaterials[固定週次消費量_要入力],MATCH($A49,M_RawMaterials[Part Name],0)),0)</f>
        <v/>
      </c>
      <c r="BR49">
        <f>SUMPRODUCT((M_BOM[Part Name]=$A49)*M_BOM[RM_Qty_Per_Batch]*IFERROR(INDEX(PP_Grid[#Data],M_BOM[PPGridRow],70),0))+IFERROR(INDEX(M_RawMaterials[固定週次消費量_要入力],MATCH($A49,M_RawMaterials[Part Name],0)),0)</f>
        <v/>
      </c>
      <c r="BS49">
        <f>SUMPRODUCT((M_BOM[Part Name]=$A49)*M_BOM[RM_Qty_Per_Batch]*IFERROR(INDEX(PP_Grid[#Data],M_BOM[PPGridRow],71),0))+IFERROR(INDEX(M_RawMaterials[固定週次消費量_要入力],MATCH($A49,M_RawMaterials[Part Name],0)),0)</f>
        <v/>
      </c>
      <c r="BT49">
        <f>SUMPRODUCT((M_BOM[Part Name]=$A49)*M_BOM[RM_Qty_Per_Batch]*IFERROR(INDEX(PP_Grid[#Data],M_BOM[PPGridRow],72),0))+IFERROR(INDEX(M_RawMaterials[固定週次消費量_要入力],MATCH($A49,M_RawMaterials[Part Name],0)),0)</f>
        <v/>
      </c>
      <c r="BU49">
        <f>SUMPRODUCT((M_BOM[Part Name]=$A49)*M_BOM[RM_Qty_Per_Batch]*IFERROR(INDEX(PP_Grid[#Data],M_BOM[PPGridRow],73),0))+IFERROR(INDEX(M_RawMaterials[固定週次消費量_要入力],MATCH($A49,M_RawMaterials[Part Name],0)),0)</f>
        <v/>
      </c>
      <c r="BV49">
        <f>SUMPRODUCT((M_BOM[Part Name]=$A49)*M_BOM[RM_Qty_Per_Batch]*IFERROR(INDEX(PP_Grid[#Data],M_BOM[PPGridRow],74),0))+IFERROR(INDEX(M_RawMaterials[固定週次消費量_要入力],MATCH($A49,M_RawMaterials[Part Name],0)),0)</f>
        <v/>
      </c>
      <c r="BW49">
        <f>SUMPRODUCT((M_BOM[Part Name]=$A49)*M_BOM[RM_Qty_Per_Batch]*IFERROR(INDEX(PP_Grid[#Data],M_BOM[PPGridRow],75),0))+IFERROR(INDEX(M_RawMaterials[固定週次消費量_要入力],MATCH($A49,M_RawMaterials[Part Name],0)),0)</f>
        <v/>
      </c>
      <c r="BX49">
        <f>SUMPRODUCT((M_BOM[Part Name]=$A49)*M_BOM[RM_Qty_Per_Batch]*IFERROR(INDEX(PP_Grid[#Data],M_BOM[PPGridRow],76),0))+IFERROR(INDEX(M_RawMaterials[固定週次消費量_要入力],MATCH($A49,M_RawMaterials[Part Name],0)),0)</f>
        <v/>
      </c>
      <c r="BY49">
        <f>SUMPRODUCT((M_BOM[Part Name]=$A49)*M_BOM[RM_Qty_Per_Batch]*IFERROR(INDEX(PP_Grid[#Data],M_BOM[PPGridRow],77),0))+IFERROR(INDEX(M_RawMaterials[固定週次消費量_要入力],MATCH($A49,M_RawMaterials[Part Name],0)),0)</f>
        <v/>
      </c>
      <c r="BZ49">
        <f>SUMPRODUCT((M_BOM[Part Name]=$A49)*M_BOM[RM_Qty_Per_Batch]*IFERROR(INDEX(PP_Grid[#Data],M_BOM[PPGridRow],78),0))+IFERROR(INDEX(M_RawMaterials[固定週次消費量_要入力],MATCH($A49,M_RawMaterials[Part Name],0)),0)</f>
        <v/>
      </c>
      <c r="CA49">
        <f>SUMPRODUCT((M_BOM[Part Name]=$A49)*M_BOM[RM_Qty_Per_Batch]*IFERROR(INDEX(PP_Grid[#Data],M_BOM[PPGridRow],79),0))+IFERROR(INDEX(M_RawMaterials[固定週次消費量_要入力],MATCH($A49,M_RawMaterials[Part Name],0)),0)</f>
        <v/>
      </c>
      <c r="CB49">
        <f>SUMPRODUCT((M_BOM[Part Name]=$A49)*M_BOM[RM_Qty_Per_Batch]*IFERROR(INDEX(PP_Grid[#Data],M_BOM[PPGridRow],80),0))+IFERROR(INDEX(M_RawMaterials[固定週次消費量_要入力],MATCH($A49,M_RawMaterials[Part Name],0)),0)</f>
        <v/>
      </c>
      <c r="CC49">
        <f>SUMPRODUCT((M_BOM[Part Name]=$A49)*M_BOM[RM_Qty_Per_Batch]*IFERROR(INDEX(PP_Grid[#Data],M_BOM[PPGridRow],81),0))+IFERROR(INDEX(M_RawMaterials[固定週次消費量_要入力],MATCH($A49,M_RawMaterials[Part Name],0)),0)</f>
        <v/>
      </c>
      <c r="CD49">
        <f>SUMPRODUCT((M_BOM[Part Name]=$A49)*M_BOM[RM_Qty_Per_Batch]*IFERROR(INDEX(PP_Grid[#Data],M_BOM[PPGridRow],82),0))+IFERROR(INDEX(M_RawMaterials[固定週次消費量_要入力],MATCH($A49,M_RawMaterials[Part Name],0)),0)</f>
        <v/>
      </c>
      <c r="CE49">
        <f>SUMPRODUCT((M_BOM[Part Name]=$A49)*M_BOM[RM_Qty_Per_Batch]*IFERROR(INDEX(PP_Grid[#Data],M_BOM[PPGridRow],83),0))+IFERROR(INDEX(M_RawMaterials[固定週次消費量_要入力],MATCH($A49,M_RawMaterials[Part Name],0)),0)</f>
        <v/>
      </c>
      <c r="CF49">
        <f>SUMPRODUCT((M_BOM[Part Name]=$A49)*M_BOM[RM_Qty_Per_Batch]*IFERROR(INDEX(PP_Grid[#Data],M_BOM[PPGridRow],84),0))+IFERROR(INDEX(M_RawMaterials[固定週次消費量_要入力],MATCH($A49,M_RawMaterials[Part Name],0)),0)</f>
        <v/>
      </c>
      <c r="CG49">
        <f>SUMPRODUCT((M_BOM[Part Name]=$A49)*M_BOM[RM_Qty_Per_Batch]*IFERROR(INDEX(PP_Grid[#Data],M_BOM[PPGridRow],85),0))+IFERROR(INDEX(M_RawMaterials[固定週次消費量_要入力],MATCH($A49,M_RawMaterials[Part Name],0)),0)</f>
        <v/>
      </c>
      <c r="CH49">
        <f>SUMPRODUCT((M_BOM[Part Name]=$A49)*M_BOM[RM_Qty_Per_Batch]*IFERROR(INDEX(PP_Grid[#Data],M_BOM[PPGridRow],86),0))+IFERROR(INDEX(M_RawMaterials[固定週次消費量_要入力],MATCH($A49,M_RawMaterials[Part Name],0)),0)</f>
        <v/>
      </c>
      <c r="CI49">
        <f>SUMPRODUCT((M_BOM[Part Name]=$A49)*M_BOM[RM_Qty_Per_Batch]*IFERROR(INDEX(PP_Grid[#Data],M_BOM[PPGridRow],87),0))+IFERROR(INDEX(M_RawMaterials[固定週次消費量_要入力],MATCH($A49,M_RawMaterials[Part Name],0)),0)</f>
        <v/>
      </c>
      <c r="CJ49">
        <f>SUMPRODUCT((M_BOM[Part Name]=$A49)*M_BOM[RM_Qty_Per_Batch]*IFERROR(INDEX(PP_Grid[#Data],M_BOM[PPGridRow],88),0))+IFERROR(INDEX(M_RawMaterials[固定週次消費量_要入力],MATCH($A49,M_RawMaterials[Part Name],0)),0)</f>
        <v/>
      </c>
      <c r="CK49">
        <f>SUMPRODUCT((M_BOM[Part Name]=$A49)*M_BOM[RM_Qty_Per_Batch]*IFERROR(INDEX(PP_Grid[#Data],M_BOM[PPGridRow],89),0))+IFERROR(INDEX(M_RawMaterials[固定週次消費量_要入力],MATCH($A49,M_RawMaterials[Part Name],0)),0)</f>
        <v/>
      </c>
      <c r="CL49">
        <f>SUMPRODUCT((M_BOM[Part Name]=$A49)*M_BOM[RM_Qty_Per_Batch]*IFERROR(INDEX(PP_Grid[#Data],M_BOM[PPGridRow],90),0))+IFERROR(INDEX(M_RawMaterials[固定週次消費量_要入力],MATCH($A49,M_RawMaterials[Part Name],0)),0)</f>
        <v/>
      </c>
      <c r="CM49">
        <f>SUMPRODUCT((M_BOM[Part Name]=$A49)*M_BOM[RM_Qty_Per_Batch]*IFERROR(INDEX(PP_Grid[#Data],M_BOM[PPGridRow],91),0))+IFERROR(INDEX(M_RawMaterials[固定週次消費量_要入力],MATCH($A49,M_RawMaterials[Part Name],0)),0)</f>
        <v/>
      </c>
      <c r="CN49">
        <f>SUMPRODUCT((M_BOM[Part Name]=$A49)*M_BOM[RM_Qty_Per_Batch]*IFERROR(INDEX(PP_Grid[#Data],M_BOM[PPGridRow],92),0))+IFERROR(INDEX(M_RawMaterials[固定週次消費量_要入力],MATCH($A49,M_RawMaterials[Part Name],0)),0)</f>
        <v/>
      </c>
      <c r="CO49">
        <f>SUMPRODUCT((M_BOM[Part Name]=$A49)*M_BOM[RM_Qty_Per_Batch]*IFERROR(INDEX(PP_Grid[#Data],M_BOM[PPGridRow],93),0))+IFERROR(INDEX(M_RawMaterials[固定週次消費量_要入力],MATCH($A49,M_RawMaterials[Part Name],0)),0)</f>
        <v/>
      </c>
      <c r="CP49">
        <f>SUMPRODUCT((M_BOM[Part Name]=$A49)*M_BOM[RM_Qty_Per_Batch]*IFERROR(INDEX(PP_Grid[#Data],M_BOM[PPGridRow],94),0))+IFERROR(INDEX(M_RawMaterials[固定週次消費量_要入力],MATCH($A49,M_RawMaterials[Part Name],0)),0)</f>
        <v/>
      </c>
      <c r="CQ49">
        <f>SUMPRODUCT((M_BOM[Part Name]=$A49)*M_BOM[RM_Qty_Per_Batch]*IFERROR(INDEX(PP_Grid[#Data],M_BOM[PPGridRow],95),0))+IFERROR(INDEX(M_RawMaterials[固定週次消費量_要入力],MATCH($A49,M_RawMaterials[Part Name],0)),0)</f>
        <v/>
      </c>
      <c r="CR49">
        <f>SUMPRODUCT((M_BOM[Part Name]=$A49)*M_BOM[RM_Qty_Per_Batch]*IFERROR(INDEX(PP_Grid[#Data],M_BOM[PPGridRow],96),0))+IFERROR(INDEX(M_RawMaterials[固定週次消費量_要入力],MATCH($A49,M_RawMaterials[Part Name],0)),0)</f>
        <v/>
      </c>
      <c r="CS49">
        <f>SUMPRODUCT((M_BOM[Part Name]=$A49)*M_BOM[RM_Qty_Per_Batch]*IFERROR(INDEX(PP_Grid[#Data],M_BOM[PPGridRow],97),0))+IFERROR(INDEX(M_RawMaterials[固定週次消費量_要入力],MATCH($A49,M_RawMaterials[Part Name],0)),0)</f>
        <v/>
      </c>
      <c r="CT49">
        <f>SUMPRODUCT((M_BOM[Part Name]=$A49)*M_BOM[RM_Qty_Per_Batch]*IFERROR(INDEX(PP_Grid[#Data],M_BOM[PPGridRow],98),0))+IFERROR(INDEX(M_RawMaterials[固定週次消費量_要入力],MATCH($A49,M_RawMaterials[Part Name],0)),0)</f>
        <v/>
      </c>
      <c r="CU49">
        <f>SUMPRODUCT((M_BOM[Part Name]=$A49)*M_BOM[RM_Qty_Per_Batch]*IFERROR(INDEX(PP_Grid[#Data],M_BOM[PPGridRow],99),0))+IFERROR(INDEX(M_RawMaterials[固定週次消費量_要入力],MATCH($A49,M_RawMaterials[Part Name],0)),0)</f>
        <v/>
      </c>
      <c r="CV49">
        <f>SUMPRODUCT((M_BOM[Part Name]=$A49)*M_BOM[RM_Qty_Per_Batch]*IFERROR(INDEX(PP_Grid[#Data],M_BOM[PPGridRow],100),0))+IFERROR(INDEX(M_RawMaterials[固定週次消費量_要入力],MATCH($A49,M_RawMaterials[Part Name],0)),0)</f>
        <v/>
      </c>
      <c r="CW49">
        <f>SUMPRODUCT((M_BOM[Part Name]=$A49)*M_BOM[RM_Qty_Per_Batch]*IFERROR(INDEX(PP_Grid[#Data],M_BOM[PPGridRow],101),0))+IFERROR(INDEX(M_RawMaterials[固定週次消費量_要入力],MATCH($A49,M_RawMaterials[Part Name],0)),0)</f>
        <v/>
      </c>
      <c r="CX49">
        <f>SUMPRODUCT((M_BOM[Part Name]=$A49)*M_BOM[RM_Qty_Per_Batch]*IFERROR(INDEX(PP_Grid[#Data],M_BOM[PPGridRow],102),0))+IFERROR(INDEX(M_RawMaterials[固定週次消費量_要入力],MATCH($A49,M_RawMaterials[Part Name],0)),0)</f>
        <v/>
      </c>
      <c r="CY49">
        <f>SUMPRODUCT((M_BOM[Part Name]=$A49)*M_BOM[RM_Qty_Per_Batch]*IFERROR(INDEX(PP_Grid[#Data],M_BOM[PPGridRow],103),0))+IFERROR(INDEX(M_RawMaterials[固定週次消費量_要入力],MATCH($A49,M_RawMaterials[Part Name],0)),0)</f>
        <v/>
      </c>
      <c r="CZ49">
        <f>SUMPRODUCT((M_BOM[Part Name]=$A49)*M_BOM[RM_Qty_Per_Batch]*IFERROR(INDEX(PP_Grid[#Data],M_BOM[PPGridRow],104),0))+IFERROR(INDEX(M_RawMaterials[固定週次消費量_要入力],MATCH($A49,M_RawMaterials[Part Name],0)),0)</f>
        <v/>
      </c>
      <c r="DA49">
        <f>SUMPRODUCT((M_BOM[Part Name]=$A49)*M_BOM[RM_Qty_Per_Batch]*IFERROR(INDEX(PP_Grid[#Data],M_BOM[PPGridRow],105),0))+IFERROR(INDEX(M_RawMaterials[固定週次消費量_要入力],MATCH($A49,M_RawMaterials[Part Name],0)),0)</f>
        <v/>
      </c>
    </row>
    <row r="50">
      <c r="A50" t="inlineStr">
        <is>
          <t>CHEM-1700</t>
        </is>
      </c>
      <c r="B50">
        <f>SUMPRODUCT((M_BOM[Part Name]=$A50)*M_BOM[RM_Qty_Per_Batch]*IFERROR(INDEX(PP_Grid[#Data],M_BOM[PPGridRow],2),0))+IFERROR(INDEX(M_RawMaterials[固定週次消費量_要入力],MATCH($A50,M_RawMaterials[Part Name],0)),0)</f>
        <v/>
      </c>
      <c r="C50">
        <f>SUMPRODUCT((M_BOM[Part Name]=$A50)*M_BOM[RM_Qty_Per_Batch]*IFERROR(INDEX(PP_Grid[#Data],M_BOM[PPGridRow],3),0))+IFERROR(INDEX(M_RawMaterials[固定週次消費量_要入力],MATCH($A50,M_RawMaterials[Part Name],0)),0)</f>
        <v/>
      </c>
      <c r="D50">
        <f>SUMPRODUCT((M_BOM[Part Name]=$A50)*M_BOM[RM_Qty_Per_Batch]*IFERROR(INDEX(PP_Grid[#Data],M_BOM[PPGridRow],4),0))+IFERROR(INDEX(M_RawMaterials[固定週次消費量_要入力],MATCH($A50,M_RawMaterials[Part Name],0)),0)</f>
        <v/>
      </c>
      <c r="E50">
        <f>SUMPRODUCT((M_BOM[Part Name]=$A50)*M_BOM[RM_Qty_Per_Batch]*IFERROR(INDEX(PP_Grid[#Data],M_BOM[PPGridRow],5),0))+IFERROR(INDEX(M_RawMaterials[固定週次消費量_要入力],MATCH($A50,M_RawMaterials[Part Name],0)),0)</f>
        <v/>
      </c>
      <c r="F50">
        <f>SUMPRODUCT((M_BOM[Part Name]=$A50)*M_BOM[RM_Qty_Per_Batch]*IFERROR(INDEX(PP_Grid[#Data],M_BOM[PPGridRow],6),0))+IFERROR(INDEX(M_RawMaterials[固定週次消費量_要入力],MATCH($A50,M_RawMaterials[Part Name],0)),0)</f>
        <v/>
      </c>
      <c r="G50">
        <f>SUMPRODUCT((M_BOM[Part Name]=$A50)*M_BOM[RM_Qty_Per_Batch]*IFERROR(INDEX(PP_Grid[#Data],M_BOM[PPGridRow],7),0))+IFERROR(INDEX(M_RawMaterials[固定週次消費量_要入力],MATCH($A50,M_RawMaterials[Part Name],0)),0)</f>
        <v/>
      </c>
      <c r="H50">
        <f>SUMPRODUCT((M_BOM[Part Name]=$A50)*M_BOM[RM_Qty_Per_Batch]*IFERROR(INDEX(PP_Grid[#Data],M_BOM[PPGridRow],8),0))+IFERROR(INDEX(M_RawMaterials[固定週次消費量_要入力],MATCH($A50,M_RawMaterials[Part Name],0)),0)</f>
        <v/>
      </c>
      <c r="I50">
        <f>SUMPRODUCT((M_BOM[Part Name]=$A50)*M_BOM[RM_Qty_Per_Batch]*IFERROR(INDEX(PP_Grid[#Data],M_BOM[PPGridRow],9),0))+IFERROR(INDEX(M_RawMaterials[固定週次消費量_要入力],MATCH($A50,M_RawMaterials[Part Name],0)),0)</f>
        <v/>
      </c>
      <c r="J50">
        <f>SUMPRODUCT((M_BOM[Part Name]=$A50)*M_BOM[RM_Qty_Per_Batch]*IFERROR(INDEX(PP_Grid[#Data],M_BOM[PPGridRow],10),0))+IFERROR(INDEX(M_RawMaterials[固定週次消費量_要入力],MATCH($A50,M_RawMaterials[Part Name],0)),0)</f>
        <v/>
      </c>
      <c r="K50">
        <f>SUMPRODUCT((M_BOM[Part Name]=$A50)*M_BOM[RM_Qty_Per_Batch]*IFERROR(INDEX(PP_Grid[#Data],M_BOM[PPGridRow],11),0))+IFERROR(INDEX(M_RawMaterials[固定週次消費量_要入力],MATCH($A50,M_RawMaterials[Part Name],0)),0)</f>
        <v/>
      </c>
      <c r="L50">
        <f>SUMPRODUCT((M_BOM[Part Name]=$A50)*M_BOM[RM_Qty_Per_Batch]*IFERROR(INDEX(PP_Grid[#Data],M_BOM[PPGridRow],12),0))+IFERROR(INDEX(M_RawMaterials[固定週次消費量_要入力],MATCH($A50,M_RawMaterials[Part Name],0)),0)</f>
        <v/>
      </c>
      <c r="M50">
        <f>SUMPRODUCT((M_BOM[Part Name]=$A50)*M_BOM[RM_Qty_Per_Batch]*IFERROR(INDEX(PP_Grid[#Data],M_BOM[PPGridRow],13),0))+IFERROR(INDEX(M_RawMaterials[固定週次消費量_要入力],MATCH($A50,M_RawMaterials[Part Name],0)),0)</f>
        <v/>
      </c>
      <c r="N50">
        <f>SUMPRODUCT((M_BOM[Part Name]=$A50)*M_BOM[RM_Qty_Per_Batch]*IFERROR(INDEX(PP_Grid[#Data],M_BOM[PPGridRow],14),0))+IFERROR(INDEX(M_RawMaterials[固定週次消費量_要入力],MATCH($A50,M_RawMaterials[Part Name],0)),0)</f>
        <v/>
      </c>
      <c r="O50">
        <f>SUMPRODUCT((M_BOM[Part Name]=$A50)*M_BOM[RM_Qty_Per_Batch]*IFERROR(INDEX(PP_Grid[#Data],M_BOM[PPGridRow],15),0))+IFERROR(INDEX(M_RawMaterials[固定週次消費量_要入力],MATCH($A50,M_RawMaterials[Part Name],0)),0)</f>
        <v/>
      </c>
      <c r="P50">
        <f>SUMPRODUCT((M_BOM[Part Name]=$A50)*M_BOM[RM_Qty_Per_Batch]*IFERROR(INDEX(PP_Grid[#Data],M_BOM[PPGridRow],16),0))+IFERROR(INDEX(M_RawMaterials[固定週次消費量_要入力],MATCH($A50,M_RawMaterials[Part Name],0)),0)</f>
        <v/>
      </c>
      <c r="Q50">
        <f>SUMPRODUCT((M_BOM[Part Name]=$A50)*M_BOM[RM_Qty_Per_Batch]*IFERROR(INDEX(PP_Grid[#Data],M_BOM[PPGridRow],17),0))+IFERROR(INDEX(M_RawMaterials[固定週次消費量_要入力],MATCH($A50,M_RawMaterials[Part Name],0)),0)</f>
        <v/>
      </c>
      <c r="R50">
        <f>SUMPRODUCT((M_BOM[Part Name]=$A50)*M_BOM[RM_Qty_Per_Batch]*IFERROR(INDEX(PP_Grid[#Data],M_BOM[PPGridRow],18),0))+IFERROR(INDEX(M_RawMaterials[固定週次消費量_要入力],MATCH($A50,M_RawMaterials[Part Name],0)),0)</f>
        <v/>
      </c>
      <c r="S50">
        <f>SUMPRODUCT((M_BOM[Part Name]=$A50)*M_BOM[RM_Qty_Per_Batch]*IFERROR(INDEX(PP_Grid[#Data],M_BOM[PPGridRow],19),0))+IFERROR(INDEX(M_RawMaterials[固定週次消費量_要入力],MATCH($A50,M_RawMaterials[Part Name],0)),0)</f>
        <v/>
      </c>
      <c r="T50">
        <f>SUMPRODUCT((M_BOM[Part Name]=$A50)*M_BOM[RM_Qty_Per_Batch]*IFERROR(INDEX(PP_Grid[#Data],M_BOM[PPGridRow],20),0))+IFERROR(INDEX(M_RawMaterials[固定週次消費量_要入力],MATCH($A50,M_RawMaterials[Part Name],0)),0)</f>
        <v/>
      </c>
      <c r="U50">
        <f>SUMPRODUCT((M_BOM[Part Name]=$A50)*M_BOM[RM_Qty_Per_Batch]*IFERROR(INDEX(PP_Grid[#Data],M_BOM[PPGridRow],21),0))+IFERROR(INDEX(M_RawMaterials[固定週次消費量_要入力],MATCH($A50,M_RawMaterials[Part Name],0)),0)</f>
        <v/>
      </c>
      <c r="V50">
        <f>SUMPRODUCT((M_BOM[Part Name]=$A50)*M_BOM[RM_Qty_Per_Batch]*IFERROR(INDEX(PP_Grid[#Data],M_BOM[PPGridRow],22),0))+IFERROR(INDEX(M_RawMaterials[固定週次消費量_要入力],MATCH($A50,M_RawMaterials[Part Name],0)),0)</f>
        <v/>
      </c>
      <c r="W50">
        <f>SUMPRODUCT((M_BOM[Part Name]=$A50)*M_BOM[RM_Qty_Per_Batch]*IFERROR(INDEX(PP_Grid[#Data],M_BOM[PPGridRow],23),0))+IFERROR(INDEX(M_RawMaterials[固定週次消費量_要入力],MATCH($A50,M_RawMaterials[Part Name],0)),0)</f>
        <v/>
      </c>
      <c r="X50">
        <f>SUMPRODUCT((M_BOM[Part Name]=$A50)*M_BOM[RM_Qty_Per_Batch]*IFERROR(INDEX(PP_Grid[#Data],M_BOM[PPGridRow],24),0))+IFERROR(INDEX(M_RawMaterials[固定週次消費量_要入力],MATCH($A50,M_RawMaterials[Part Name],0)),0)</f>
        <v/>
      </c>
      <c r="Y50">
        <f>SUMPRODUCT((M_BOM[Part Name]=$A50)*M_BOM[RM_Qty_Per_Batch]*IFERROR(INDEX(PP_Grid[#Data],M_BOM[PPGridRow],25),0))+IFERROR(INDEX(M_RawMaterials[固定週次消費量_要入力],MATCH($A50,M_RawMaterials[Part Name],0)),0)</f>
        <v/>
      </c>
      <c r="Z50">
        <f>SUMPRODUCT((M_BOM[Part Name]=$A50)*M_BOM[RM_Qty_Per_Batch]*IFERROR(INDEX(PP_Grid[#Data],M_BOM[PPGridRow],26),0))+IFERROR(INDEX(M_RawMaterials[固定週次消費量_要入力],MATCH($A50,M_RawMaterials[Part Name],0)),0)</f>
        <v/>
      </c>
      <c r="AA50">
        <f>SUMPRODUCT((M_BOM[Part Name]=$A50)*M_BOM[RM_Qty_Per_Batch]*IFERROR(INDEX(PP_Grid[#Data],M_BOM[PPGridRow],27),0))+IFERROR(INDEX(M_RawMaterials[固定週次消費量_要入力],MATCH($A50,M_RawMaterials[Part Name],0)),0)</f>
        <v/>
      </c>
      <c r="AB50">
        <f>SUMPRODUCT((M_BOM[Part Name]=$A50)*M_BOM[RM_Qty_Per_Batch]*IFERROR(INDEX(PP_Grid[#Data],M_BOM[PPGridRow],28),0))+IFERROR(INDEX(M_RawMaterials[固定週次消費量_要入力],MATCH($A50,M_RawMaterials[Part Name],0)),0)</f>
        <v/>
      </c>
      <c r="AC50">
        <f>SUMPRODUCT((M_BOM[Part Name]=$A50)*M_BOM[RM_Qty_Per_Batch]*IFERROR(INDEX(PP_Grid[#Data],M_BOM[PPGridRow],29),0))+IFERROR(INDEX(M_RawMaterials[固定週次消費量_要入力],MATCH($A50,M_RawMaterials[Part Name],0)),0)</f>
        <v/>
      </c>
      <c r="AD50">
        <f>SUMPRODUCT((M_BOM[Part Name]=$A50)*M_BOM[RM_Qty_Per_Batch]*IFERROR(INDEX(PP_Grid[#Data],M_BOM[PPGridRow],30),0))+IFERROR(INDEX(M_RawMaterials[固定週次消費量_要入力],MATCH($A50,M_RawMaterials[Part Name],0)),0)</f>
        <v/>
      </c>
      <c r="AE50">
        <f>SUMPRODUCT((M_BOM[Part Name]=$A50)*M_BOM[RM_Qty_Per_Batch]*IFERROR(INDEX(PP_Grid[#Data],M_BOM[PPGridRow],31),0))+IFERROR(INDEX(M_RawMaterials[固定週次消費量_要入力],MATCH($A50,M_RawMaterials[Part Name],0)),0)</f>
        <v/>
      </c>
      <c r="AF50">
        <f>SUMPRODUCT((M_BOM[Part Name]=$A50)*M_BOM[RM_Qty_Per_Batch]*IFERROR(INDEX(PP_Grid[#Data],M_BOM[PPGridRow],32),0))+IFERROR(INDEX(M_RawMaterials[固定週次消費量_要入力],MATCH($A50,M_RawMaterials[Part Name],0)),0)</f>
        <v/>
      </c>
      <c r="AG50">
        <f>SUMPRODUCT((M_BOM[Part Name]=$A50)*M_BOM[RM_Qty_Per_Batch]*IFERROR(INDEX(PP_Grid[#Data],M_BOM[PPGridRow],33),0))+IFERROR(INDEX(M_RawMaterials[固定週次消費量_要入力],MATCH($A50,M_RawMaterials[Part Name],0)),0)</f>
        <v/>
      </c>
      <c r="AH50">
        <f>SUMPRODUCT((M_BOM[Part Name]=$A50)*M_BOM[RM_Qty_Per_Batch]*IFERROR(INDEX(PP_Grid[#Data],M_BOM[PPGridRow],34),0))+IFERROR(INDEX(M_RawMaterials[固定週次消費量_要入力],MATCH($A50,M_RawMaterials[Part Name],0)),0)</f>
        <v/>
      </c>
      <c r="AI50">
        <f>SUMPRODUCT((M_BOM[Part Name]=$A50)*M_BOM[RM_Qty_Per_Batch]*IFERROR(INDEX(PP_Grid[#Data],M_BOM[PPGridRow],35),0))+IFERROR(INDEX(M_RawMaterials[固定週次消費量_要入力],MATCH($A50,M_RawMaterials[Part Name],0)),0)</f>
        <v/>
      </c>
      <c r="AJ50">
        <f>SUMPRODUCT((M_BOM[Part Name]=$A50)*M_BOM[RM_Qty_Per_Batch]*IFERROR(INDEX(PP_Grid[#Data],M_BOM[PPGridRow],36),0))+IFERROR(INDEX(M_RawMaterials[固定週次消費量_要入力],MATCH($A50,M_RawMaterials[Part Name],0)),0)</f>
        <v/>
      </c>
      <c r="AK50">
        <f>SUMPRODUCT((M_BOM[Part Name]=$A50)*M_BOM[RM_Qty_Per_Batch]*IFERROR(INDEX(PP_Grid[#Data],M_BOM[PPGridRow],37),0))+IFERROR(INDEX(M_RawMaterials[固定週次消費量_要入力],MATCH($A50,M_RawMaterials[Part Name],0)),0)</f>
        <v/>
      </c>
      <c r="AL50">
        <f>SUMPRODUCT((M_BOM[Part Name]=$A50)*M_BOM[RM_Qty_Per_Batch]*IFERROR(INDEX(PP_Grid[#Data],M_BOM[PPGridRow],38),0))+IFERROR(INDEX(M_RawMaterials[固定週次消費量_要入力],MATCH($A50,M_RawMaterials[Part Name],0)),0)</f>
        <v/>
      </c>
      <c r="AM50">
        <f>SUMPRODUCT((M_BOM[Part Name]=$A50)*M_BOM[RM_Qty_Per_Batch]*IFERROR(INDEX(PP_Grid[#Data],M_BOM[PPGridRow],39),0))+IFERROR(INDEX(M_RawMaterials[固定週次消費量_要入力],MATCH($A50,M_RawMaterials[Part Name],0)),0)</f>
        <v/>
      </c>
      <c r="AN50">
        <f>SUMPRODUCT((M_BOM[Part Name]=$A50)*M_BOM[RM_Qty_Per_Batch]*IFERROR(INDEX(PP_Grid[#Data],M_BOM[PPGridRow],40),0))+IFERROR(INDEX(M_RawMaterials[固定週次消費量_要入力],MATCH($A50,M_RawMaterials[Part Name],0)),0)</f>
        <v/>
      </c>
      <c r="AO50">
        <f>SUMPRODUCT((M_BOM[Part Name]=$A50)*M_BOM[RM_Qty_Per_Batch]*IFERROR(INDEX(PP_Grid[#Data],M_BOM[PPGridRow],41),0))+IFERROR(INDEX(M_RawMaterials[固定週次消費量_要入力],MATCH($A50,M_RawMaterials[Part Name],0)),0)</f>
        <v/>
      </c>
      <c r="AP50">
        <f>SUMPRODUCT((M_BOM[Part Name]=$A50)*M_BOM[RM_Qty_Per_Batch]*IFERROR(INDEX(PP_Grid[#Data],M_BOM[PPGridRow],42),0))+IFERROR(INDEX(M_RawMaterials[固定週次消費量_要入力],MATCH($A50,M_RawMaterials[Part Name],0)),0)</f>
        <v/>
      </c>
      <c r="AQ50">
        <f>SUMPRODUCT((M_BOM[Part Name]=$A50)*M_BOM[RM_Qty_Per_Batch]*IFERROR(INDEX(PP_Grid[#Data],M_BOM[PPGridRow],43),0))+IFERROR(INDEX(M_RawMaterials[固定週次消費量_要入力],MATCH($A50,M_RawMaterials[Part Name],0)),0)</f>
        <v/>
      </c>
      <c r="AR50">
        <f>SUMPRODUCT((M_BOM[Part Name]=$A50)*M_BOM[RM_Qty_Per_Batch]*IFERROR(INDEX(PP_Grid[#Data],M_BOM[PPGridRow],44),0))+IFERROR(INDEX(M_RawMaterials[固定週次消費量_要入力],MATCH($A50,M_RawMaterials[Part Name],0)),0)</f>
        <v/>
      </c>
      <c r="AS50">
        <f>SUMPRODUCT((M_BOM[Part Name]=$A50)*M_BOM[RM_Qty_Per_Batch]*IFERROR(INDEX(PP_Grid[#Data],M_BOM[PPGridRow],45),0))+IFERROR(INDEX(M_RawMaterials[固定週次消費量_要入力],MATCH($A50,M_RawMaterials[Part Name],0)),0)</f>
        <v/>
      </c>
      <c r="AT50">
        <f>SUMPRODUCT((M_BOM[Part Name]=$A50)*M_BOM[RM_Qty_Per_Batch]*IFERROR(INDEX(PP_Grid[#Data],M_BOM[PPGridRow],46),0))+IFERROR(INDEX(M_RawMaterials[固定週次消費量_要入力],MATCH($A50,M_RawMaterials[Part Name],0)),0)</f>
        <v/>
      </c>
      <c r="AU50">
        <f>SUMPRODUCT((M_BOM[Part Name]=$A50)*M_BOM[RM_Qty_Per_Batch]*IFERROR(INDEX(PP_Grid[#Data],M_BOM[PPGridRow],47),0))+IFERROR(INDEX(M_RawMaterials[固定週次消費量_要入力],MATCH($A50,M_RawMaterials[Part Name],0)),0)</f>
        <v/>
      </c>
      <c r="AV50">
        <f>SUMPRODUCT((M_BOM[Part Name]=$A50)*M_BOM[RM_Qty_Per_Batch]*IFERROR(INDEX(PP_Grid[#Data],M_BOM[PPGridRow],48),0))+IFERROR(INDEX(M_RawMaterials[固定週次消費量_要入力],MATCH($A50,M_RawMaterials[Part Name],0)),0)</f>
        <v/>
      </c>
      <c r="AW50">
        <f>SUMPRODUCT((M_BOM[Part Name]=$A50)*M_BOM[RM_Qty_Per_Batch]*IFERROR(INDEX(PP_Grid[#Data],M_BOM[PPGridRow],49),0))+IFERROR(INDEX(M_RawMaterials[固定週次消費量_要入力],MATCH($A50,M_RawMaterials[Part Name],0)),0)</f>
        <v/>
      </c>
      <c r="AX50">
        <f>SUMPRODUCT((M_BOM[Part Name]=$A50)*M_BOM[RM_Qty_Per_Batch]*IFERROR(INDEX(PP_Grid[#Data],M_BOM[PPGridRow],50),0))+IFERROR(INDEX(M_RawMaterials[固定週次消費量_要入力],MATCH($A50,M_RawMaterials[Part Name],0)),0)</f>
        <v/>
      </c>
      <c r="AY50">
        <f>SUMPRODUCT((M_BOM[Part Name]=$A50)*M_BOM[RM_Qty_Per_Batch]*IFERROR(INDEX(PP_Grid[#Data],M_BOM[PPGridRow],51),0))+IFERROR(INDEX(M_RawMaterials[固定週次消費量_要入力],MATCH($A50,M_RawMaterials[Part Name],0)),0)</f>
        <v/>
      </c>
      <c r="AZ50">
        <f>SUMPRODUCT((M_BOM[Part Name]=$A50)*M_BOM[RM_Qty_Per_Batch]*IFERROR(INDEX(PP_Grid[#Data],M_BOM[PPGridRow],52),0))+IFERROR(INDEX(M_RawMaterials[固定週次消費量_要入力],MATCH($A50,M_RawMaterials[Part Name],0)),0)</f>
        <v/>
      </c>
      <c r="BA50">
        <f>SUMPRODUCT((M_BOM[Part Name]=$A50)*M_BOM[RM_Qty_Per_Batch]*IFERROR(INDEX(PP_Grid[#Data],M_BOM[PPGridRow],53),0))+IFERROR(INDEX(M_RawMaterials[固定週次消費量_要入力],MATCH($A50,M_RawMaterials[Part Name],0)),0)</f>
        <v/>
      </c>
      <c r="BB50">
        <f>SUMPRODUCT((M_BOM[Part Name]=$A50)*M_BOM[RM_Qty_Per_Batch]*IFERROR(INDEX(PP_Grid[#Data],M_BOM[PPGridRow],54),0))+IFERROR(INDEX(M_RawMaterials[固定週次消費量_要入力],MATCH($A50,M_RawMaterials[Part Name],0)),0)</f>
        <v/>
      </c>
      <c r="BC50">
        <f>SUMPRODUCT((M_BOM[Part Name]=$A50)*M_BOM[RM_Qty_Per_Batch]*IFERROR(INDEX(PP_Grid[#Data],M_BOM[PPGridRow],55),0))+IFERROR(INDEX(M_RawMaterials[固定週次消費量_要入力],MATCH($A50,M_RawMaterials[Part Name],0)),0)</f>
        <v/>
      </c>
      <c r="BD50">
        <f>SUMPRODUCT((M_BOM[Part Name]=$A50)*M_BOM[RM_Qty_Per_Batch]*IFERROR(INDEX(PP_Grid[#Data],M_BOM[PPGridRow],56),0))+IFERROR(INDEX(M_RawMaterials[固定週次消費量_要入力],MATCH($A50,M_RawMaterials[Part Name],0)),0)</f>
        <v/>
      </c>
      <c r="BE50">
        <f>SUMPRODUCT((M_BOM[Part Name]=$A50)*M_BOM[RM_Qty_Per_Batch]*IFERROR(INDEX(PP_Grid[#Data],M_BOM[PPGridRow],57),0))+IFERROR(INDEX(M_RawMaterials[固定週次消費量_要入力],MATCH($A50,M_RawMaterials[Part Name],0)),0)</f>
        <v/>
      </c>
      <c r="BF50">
        <f>SUMPRODUCT((M_BOM[Part Name]=$A50)*M_BOM[RM_Qty_Per_Batch]*IFERROR(INDEX(PP_Grid[#Data],M_BOM[PPGridRow],58),0))+IFERROR(INDEX(M_RawMaterials[固定週次消費量_要入力],MATCH($A50,M_RawMaterials[Part Name],0)),0)</f>
        <v/>
      </c>
      <c r="BG50">
        <f>SUMPRODUCT((M_BOM[Part Name]=$A50)*M_BOM[RM_Qty_Per_Batch]*IFERROR(INDEX(PP_Grid[#Data],M_BOM[PPGridRow],59),0))+IFERROR(INDEX(M_RawMaterials[固定週次消費量_要入力],MATCH($A50,M_RawMaterials[Part Name],0)),0)</f>
        <v/>
      </c>
      <c r="BH50">
        <f>SUMPRODUCT((M_BOM[Part Name]=$A50)*M_BOM[RM_Qty_Per_Batch]*IFERROR(INDEX(PP_Grid[#Data],M_BOM[PPGridRow],60),0))+IFERROR(INDEX(M_RawMaterials[固定週次消費量_要入力],MATCH($A50,M_RawMaterials[Part Name],0)),0)</f>
        <v/>
      </c>
      <c r="BI50">
        <f>SUMPRODUCT((M_BOM[Part Name]=$A50)*M_BOM[RM_Qty_Per_Batch]*IFERROR(INDEX(PP_Grid[#Data],M_BOM[PPGridRow],61),0))+IFERROR(INDEX(M_RawMaterials[固定週次消費量_要入力],MATCH($A50,M_RawMaterials[Part Name],0)),0)</f>
        <v/>
      </c>
      <c r="BJ50">
        <f>SUMPRODUCT((M_BOM[Part Name]=$A50)*M_BOM[RM_Qty_Per_Batch]*IFERROR(INDEX(PP_Grid[#Data],M_BOM[PPGridRow],62),0))+IFERROR(INDEX(M_RawMaterials[固定週次消費量_要入力],MATCH($A50,M_RawMaterials[Part Name],0)),0)</f>
        <v/>
      </c>
      <c r="BK50">
        <f>SUMPRODUCT((M_BOM[Part Name]=$A50)*M_BOM[RM_Qty_Per_Batch]*IFERROR(INDEX(PP_Grid[#Data],M_BOM[PPGridRow],63),0))+IFERROR(INDEX(M_RawMaterials[固定週次消費量_要入力],MATCH($A50,M_RawMaterials[Part Name],0)),0)</f>
        <v/>
      </c>
      <c r="BL50">
        <f>SUMPRODUCT((M_BOM[Part Name]=$A50)*M_BOM[RM_Qty_Per_Batch]*IFERROR(INDEX(PP_Grid[#Data],M_BOM[PPGridRow],64),0))+IFERROR(INDEX(M_RawMaterials[固定週次消費量_要入力],MATCH($A50,M_RawMaterials[Part Name],0)),0)</f>
        <v/>
      </c>
      <c r="BM50">
        <f>SUMPRODUCT((M_BOM[Part Name]=$A50)*M_BOM[RM_Qty_Per_Batch]*IFERROR(INDEX(PP_Grid[#Data],M_BOM[PPGridRow],65),0))+IFERROR(INDEX(M_RawMaterials[固定週次消費量_要入力],MATCH($A50,M_RawMaterials[Part Name],0)),0)</f>
        <v/>
      </c>
      <c r="BN50">
        <f>SUMPRODUCT((M_BOM[Part Name]=$A50)*M_BOM[RM_Qty_Per_Batch]*IFERROR(INDEX(PP_Grid[#Data],M_BOM[PPGridRow],66),0))+IFERROR(INDEX(M_RawMaterials[固定週次消費量_要入力],MATCH($A50,M_RawMaterials[Part Name],0)),0)</f>
        <v/>
      </c>
      <c r="BO50">
        <f>SUMPRODUCT((M_BOM[Part Name]=$A50)*M_BOM[RM_Qty_Per_Batch]*IFERROR(INDEX(PP_Grid[#Data],M_BOM[PPGridRow],67),0))+IFERROR(INDEX(M_RawMaterials[固定週次消費量_要入力],MATCH($A50,M_RawMaterials[Part Name],0)),0)</f>
        <v/>
      </c>
      <c r="BP50">
        <f>SUMPRODUCT((M_BOM[Part Name]=$A50)*M_BOM[RM_Qty_Per_Batch]*IFERROR(INDEX(PP_Grid[#Data],M_BOM[PPGridRow],68),0))+IFERROR(INDEX(M_RawMaterials[固定週次消費量_要入力],MATCH($A50,M_RawMaterials[Part Name],0)),0)</f>
        <v/>
      </c>
      <c r="BQ50">
        <f>SUMPRODUCT((M_BOM[Part Name]=$A50)*M_BOM[RM_Qty_Per_Batch]*IFERROR(INDEX(PP_Grid[#Data],M_BOM[PPGridRow],69),0))+IFERROR(INDEX(M_RawMaterials[固定週次消費量_要入力],MATCH($A50,M_RawMaterials[Part Name],0)),0)</f>
        <v/>
      </c>
      <c r="BR50">
        <f>SUMPRODUCT((M_BOM[Part Name]=$A50)*M_BOM[RM_Qty_Per_Batch]*IFERROR(INDEX(PP_Grid[#Data],M_BOM[PPGridRow],70),0))+IFERROR(INDEX(M_RawMaterials[固定週次消費量_要入力],MATCH($A50,M_RawMaterials[Part Name],0)),0)</f>
        <v/>
      </c>
      <c r="BS50">
        <f>SUMPRODUCT((M_BOM[Part Name]=$A50)*M_BOM[RM_Qty_Per_Batch]*IFERROR(INDEX(PP_Grid[#Data],M_BOM[PPGridRow],71),0))+IFERROR(INDEX(M_RawMaterials[固定週次消費量_要入力],MATCH($A50,M_RawMaterials[Part Name],0)),0)</f>
        <v/>
      </c>
      <c r="BT50">
        <f>SUMPRODUCT((M_BOM[Part Name]=$A50)*M_BOM[RM_Qty_Per_Batch]*IFERROR(INDEX(PP_Grid[#Data],M_BOM[PPGridRow],72),0))+IFERROR(INDEX(M_RawMaterials[固定週次消費量_要入力],MATCH($A50,M_RawMaterials[Part Name],0)),0)</f>
        <v/>
      </c>
      <c r="BU50">
        <f>SUMPRODUCT((M_BOM[Part Name]=$A50)*M_BOM[RM_Qty_Per_Batch]*IFERROR(INDEX(PP_Grid[#Data],M_BOM[PPGridRow],73),0))+IFERROR(INDEX(M_RawMaterials[固定週次消費量_要入力],MATCH($A50,M_RawMaterials[Part Name],0)),0)</f>
        <v/>
      </c>
      <c r="BV50">
        <f>SUMPRODUCT((M_BOM[Part Name]=$A50)*M_BOM[RM_Qty_Per_Batch]*IFERROR(INDEX(PP_Grid[#Data],M_BOM[PPGridRow],74),0))+IFERROR(INDEX(M_RawMaterials[固定週次消費量_要入力],MATCH($A50,M_RawMaterials[Part Name],0)),0)</f>
        <v/>
      </c>
      <c r="BW50">
        <f>SUMPRODUCT((M_BOM[Part Name]=$A50)*M_BOM[RM_Qty_Per_Batch]*IFERROR(INDEX(PP_Grid[#Data],M_BOM[PPGridRow],75),0))+IFERROR(INDEX(M_RawMaterials[固定週次消費量_要入力],MATCH($A50,M_RawMaterials[Part Name],0)),0)</f>
        <v/>
      </c>
      <c r="BX50">
        <f>SUMPRODUCT((M_BOM[Part Name]=$A50)*M_BOM[RM_Qty_Per_Batch]*IFERROR(INDEX(PP_Grid[#Data],M_BOM[PPGridRow],76),0))+IFERROR(INDEX(M_RawMaterials[固定週次消費量_要入力],MATCH($A50,M_RawMaterials[Part Name],0)),0)</f>
        <v/>
      </c>
      <c r="BY50">
        <f>SUMPRODUCT((M_BOM[Part Name]=$A50)*M_BOM[RM_Qty_Per_Batch]*IFERROR(INDEX(PP_Grid[#Data],M_BOM[PPGridRow],77),0))+IFERROR(INDEX(M_RawMaterials[固定週次消費量_要入力],MATCH($A50,M_RawMaterials[Part Name],0)),0)</f>
        <v/>
      </c>
      <c r="BZ50">
        <f>SUMPRODUCT((M_BOM[Part Name]=$A50)*M_BOM[RM_Qty_Per_Batch]*IFERROR(INDEX(PP_Grid[#Data],M_BOM[PPGridRow],78),0))+IFERROR(INDEX(M_RawMaterials[固定週次消費量_要入力],MATCH($A50,M_RawMaterials[Part Name],0)),0)</f>
        <v/>
      </c>
      <c r="CA50">
        <f>SUMPRODUCT((M_BOM[Part Name]=$A50)*M_BOM[RM_Qty_Per_Batch]*IFERROR(INDEX(PP_Grid[#Data],M_BOM[PPGridRow],79),0))+IFERROR(INDEX(M_RawMaterials[固定週次消費量_要入力],MATCH($A50,M_RawMaterials[Part Name],0)),0)</f>
        <v/>
      </c>
      <c r="CB50">
        <f>SUMPRODUCT((M_BOM[Part Name]=$A50)*M_BOM[RM_Qty_Per_Batch]*IFERROR(INDEX(PP_Grid[#Data],M_BOM[PPGridRow],80),0))+IFERROR(INDEX(M_RawMaterials[固定週次消費量_要入力],MATCH($A50,M_RawMaterials[Part Name],0)),0)</f>
        <v/>
      </c>
      <c r="CC50">
        <f>SUMPRODUCT((M_BOM[Part Name]=$A50)*M_BOM[RM_Qty_Per_Batch]*IFERROR(INDEX(PP_Grid[#Data],M_BOM[PPGridRow],81),0))+IFERROR(INDEX(M_RawMaterials[固定週次消費量_要入力],MATCH($A50,M_RawMaterials[Part Name],0)),0)</f>
        <v/>
      </c>
      <c r="CD50">
        <f>SUMPRODUCT((M_BOM[Part Name]=$A50)*M_BOM[RM_Qty_Per_Batch]*IFERROR(INDEX(PP_Grid[#Data],M_BOM[PPGridRow],82),0))+IFERROR(INDEX(M_RawMaterials[固定週次消費量_要入力],MATCH($A50,M_RawMaterials[Part Name],0)),0)</f>
        <v/>
      </c>
      <c r="CE50">
        <f>SUMPRODUCT((M_BOM[Part Name]=$A50)*M_BOM[RM_Qty_Per_Batch]*IFERROR(INDEX(PP_Grid[#Data],M_BOM[PPGridRow],83),0))+IFERROR(INDEX(M_RawMaterials[固定週次消費量_要入力],MATCH($A50,M_RawMaterials[Part Name],0)),0)</f>
        <v/>
      </c>
      <c r="CF50">
        <f>SUMPRODUCT((M_BOM[Part Name]=$A50)*M_BOM[RM_Qty_Per_Batch]*IFERROR(INDEX(PP_Grid[#Data],M_BOM[PPGridRow],84),0))+IFERROR(INDEX(M_RawMaterials[固定週次消費量_要入力],MATCH($A50,M_RawMaterials[Part Name],0)),0)</f>
        <v/>
      </c>
      <c r="CG50">
        <f>SUMPRODUCT((M_BOM[Part Name]=$A50)*M_BOM[RM_Qty_Per_Batch]*IFERROR(INDEX(PP_Grid[#Data],M_BOM[PPGridRow],85),0))+IFERROR(INDEX(M_RawMaterials[固定週次消費量_要入力],MATCH($A50,M_RawMaterials[Part Name],0)),0)</f>
        <v/>
      </c>
      <c r="CH50">
        <f>SUMPRODUCT((M_BOM[Part Name]=$A50)*M_BOM[RM_Qty_Per_Batch]*IFERROR(INDEX(PP_Grid[#Data],M_BOM[PPGridRow],86),0))+IFERROR(INDEX(M_RawMaterials[固定週次消費量_要入力],MATCH($A50,M_RawMaterials[Part Name],0)),0)</f>
        <v/>
      </c>
      <c r="CI50">
        <f>SUMPRODUCT((M_BOM[Part Name]=$A50)*M_BOM[RM_Qty_Per_Batch]*IFERROR(INDEX(PP_Grid[#Data],M_BOM[PPGridRow],87),0))+IFERROR(INDEX(M_RawMaterials[固定週次消費量_要入力],MATCH($A50,M_RawMaterials[Part Name],0)),0)</f>
        <v/>
      </c>
      <c r="CJ50">
        <f>SUMPRODUCT((M_BOM[Part Name]=$A50)*M_BOM[RM_Qty_Per_Batch]*IFERROR(INDEX(PP_Grid[#Data],M_BOM[PPGridRow],88),0))+IFERROR(INDEX(M_RawMaterials[固定週次消費量_要入力],MATCH($A50,M_RawMaterials[Part Name],0)),0)</f>
        <v/>
      </c>
      <c r="CK50">
        <f>SUMPRODUCT((M_BOM[Part Name]=$A50)*M_BOM[RM_Qty_Per_Batch]*IFERROR(INDEX(PP_Grid[#Data],M_BOM[PPGridRow],89),0))+IFERROR(INDEX(M_RawMaterials[固定週次消費量_要入力],MATCH($A50,M_RawMaterials[Part Name],0)),0)</f>
        <v/>
      </c>
      <c r="CL50">
        <f>SUMPRODUCT((M_BOM[Part Name]=$A50)*M_BOM[RM_Qty_Per_Batch]*IFERROR(INDEX(PP_Grid[#Data],M_BOM[PPGridRow],90),0))+IFERROR(INDEX(M_RawMaterials[固定週次消費量_要入力],MATCH($A50,M_RawMaterials[Part Name],0)),0)</f>
        <v/>
      </c>
      <c r="CM50">
        <f>SUMPRODUCT((M_BOM[Part Name]=$A50)*M_BOM[RM_Qty_Per_Batch]*IFERROR(INDEX(PP_Grid[#Data],M_BOM[PPGridRow],91),0))+IFERROR(INDEX(M_RawMaterials[固定週次消費量_要入力],MATCH($A50,M_RawMaterials[Part Name],0)),0)</f>
        <v/>
      </c>
      <c r="CN50">
        <f>SUMPRODUCT((M_BOM[Part Name]=$A50)*M_BOM[RM_Qty_Per_Batch]*IFERROR(INDEX(PP_Grid[#Data],M_BOM[PPGridRow],92),0))+IFERROR(INDEX(M_RawMaterials[固定週次消費量_要入力],MATCH($A50,M_RawMaterials[Part Name],0)),0)</f>
        <v/>
      </c>
      <c r="CO50">
        <f>SUMPRODUCT((M_BOM[Part Name]=$A50)*M_BOM[RM_Qty_Per_Batch]*IFERROR(INDEX(PP_Grid[#Data],M_BOM[PPGridRow],93),0))+IFERROR(INDEX(M_RawMaterials[固定週次消費量_要入力],MATCH($A50,M_RawMaterials[Part Name],0)),0)</f>
        <v/>
      </c>
      <c r="CP50">
        <f>SUMPRODUCT((M_BOM[Part Name]=$A50)*M_BOM[RM_Qty_Per_Batch]*IFERROR(INDEX(PP_Grid[#Data],M_BOM[PPGridRow],94),0))+IFERROR(INDEX(M_RawMaterials[固定週次消費量_要入力],MATCH($A50,M_RawMaterials[Part Name],0)),0)</f>
        <v/>
      </c>
      <c r="CQ50">
        <f>SUMPRODUCT((M_BOM[Part Name]=$A50)*M_BOM[RM_Qty_Per_Batch]*IFERROR(INDEX(PP_Grid[#Data],M_BOM[PPGridRow],95),0))+IFERROR(INDEX(M_RawMaterials[固定週次消費量_要入力],MATCH($A50,M_RawMaterials[Part Name],0)),0)</f>
        <v/>
      </c>
      <c r="CR50">
        <f>SUMPRODUCT((M_BOM[Part Name]=$A50)*M_BOM[RM_Qty_Per_Batch]*IFERROR(INDEX(PP_Grid[#Data],M_BOM[PPGridRow],96),0))+IFERROR(INDEX(M_RawMaterials[固定週次消費量_要入力],MATCH($A50,M_RawMaterials[Part Name],0)),0)</f>
        <v/>
      </c>
      <c r="CS50">
        <f>SUMPRODUCT((M_BOM[Part Name]=$A50)*M_BOM[RM_Qty_Per_Batch]*IFERROR(INDEX(PP_Grid[#Data],M_BOM[PPGridRow],97),0))+IFERROR(INDEX(M_RawMaterials[固定週次消費量_要入力],MATCH($A50,M_RawMaterials[Part Name],0)),0)</f>
        <v/>
      </c>
      <c r="CT50">
        <f>SUMPRODUCT((M_BOM[Part Name]=$A50)*M_BOM[RM_Qty_Per_Batch]*IFERROR(INDEX(PP_Grid[#Data],M_BOM[PPGridRow],98),0))+IFERROR(INDEX(M_RawMaterials[固定週次消費量_要入力],MATCH($A50,M_RawMaterials[Part Name],0)),0)</f>
        <v/>
      </c>
      <c r="CU50">
        <f>SUMPRODUCT((M_BOM[Part Name]=$A50)*M_BOM[RM_Qty_Per_Batch]*IFERROR(INDEX(PP_Grid[#Data],M_BOM[PPGridRow],99),0))+IFERROR(INDEX(M_RawMaterials[固定週次消費量_要入力],MATCH($A50,M_RawMaterials[Part Name],0)),0)</f>
        <v/>
      </c>
      <c r="CV50">
        <f>SUMPRODUCT((M_BOM[Part Name]=$A50)*M_BOM[RM_Qty_Per_Batch]*IFERROR(INDEX(PP_Grid[#Data],M_BOM[PPGridRow],100),0))+IFERROR(INDEX(M_RawMaterials[固定週次消費量_要入力],MATCH($A50,M_RawMaterials[Part Name],0)),0)</f>
        <v/>
      </c>
      <c r="CW50">
        <f>SUMPRODUCT((M_BOM[Part Name]=$A50)*M_BOM[RM_Qty_Per_Batch]*IFERROR(INDEX(PP_Grid[#Data],M_BOM[PPGridRow],101),0))+IFERROR(INDEX(M_RawMaterials[固定週次消費量_要入力],MATCH($A50,M_RawMaterials[Part Name],0)),0)</f>
        <v/>
      </c>
      <c r="CX50">
        <f>SUMPRODUCT((M_BOM[Part Name]=$A50)*M_BOM[RM_Qty_Per_Batch]*IFERROR(INDEX(PP_Grid[#Data],M_BOM[PPGridRow],102),0))+IFERROR(INDEX(M_RawMaterials[固定週次消費量_要入力],MATCH($A50,M_RawMaterials[Part Name],0)),0)</f>
        <v/>
      </c>
      <c r="CY50">
        <f>SUMPRODUCT((M_BOM[Part Name]=$A50)*M_BOM[RM_Qty_Per_Batch]*IFERROR(INDEX(PP_Grid[#Data],M_BOM[PPGridRow],103),0))+IFERROR(INDEX(M_RawMaterials[固定週次消費量_要入力],MATCH($A50,M_RawMaterials[Part Name],0)),0)</f>
        <v/>
      </c>
      <c r="CZ50">
        <f>SUMPRODUCT((M_BOM[Part Name]=$A50)*M_BOM[RM_Qty_Per_Batch]*IFERROR(INDEX(PP_Grid[#Data],M_BOM[PPGridRow],104),0))+IFERROR(INDEX(M_RawMaterials[固定週次消費量_要入力],MATCH($A50,M_RawMaterials[Part Name],0)),0)</f>
        <v/>
      </c>
      <c r="DA50">
        <f>SUMPRODUCT((M_BOM[Part Name]=$A50)*M_BOM[RM_Qty_Per_Batch]*IFERROR(INDEX(PP_Grid[#Data],M_BOM[PPGridRow],105),0))+IFERROR(INDEX(M_RawMaterials[固定週次消費量_要入力],MATCH($A50,M_RawMaterials[Part Name],0)),0)</f>
        <v/>
      </c>
    </row>
    <row r="51">
      <c r="A51" t="inlineStr">
        <is>
          <t>CHEM-1850</t>
        </is>
      </c>
      <c r="B51">
        <f>SUMPRODUCT((M_BOM[Part Name]=$A51)*M_BOM[RM_Qty_Per_Batch]*IFERROR(INDEX(PP_Grid[#Data],M_BOM[PPGridRow],2),0))+IFERROR(INDEX(M_RawMaterials[固定週次消費量_要入力],MATCH($A51,M_RawMaterials[Part Name],0)),0)</f>
        <v/>
      </c>
      <c r="C51">
        <f>SUMPRODUCT((M_BOM[Part Name]=$A51)*M_BOM[RM_Qty_Per_Batch]*IFERROR(INDEX(PP_Grid[#Data],M_BOM[PPGridRow],3),0))+IFERROR(INDEX(M_RawMaterials[固定週次消費量_要入力],MATCH($A51,M_RawMaterials[Part Name],0)),0)</f>
        <v/>
      </c>
      <c r="D51">
        <f>SUMPRODUCT((M_BOM[Part Name]=$A51)*M_BOM[RM_Qty_Per_Batch]*IFERROR(INDEX(PP_Grid[#Data],M_BOM[PPGridRow],4),0))+IFERROR(INDEX(M_RawMaterials[固定週次消費量_要入力],MATCH($A51,M_RawMaterials[Part Name],0)),0)</f>
        <v/>
      </c>
      <c r="E51">
        <f>SUMPRODUCT((M_BOM[Part Name]=$A51)*M_BOM[RM_Qty_Per_Batch]*IFERROR(INDEX(PP_Grid[#Data],M_BOM[PPGridRow],5),0))+IFERROR(INDEX(M_RawMaterials[固定週次消費量_要入力],MATCH($A51,M_RawMaterials[Part Name],0)),0)</f>
        <v/>
      </c>
      <c r="F51">
        <f>SUMPRODUCT((M_BOM[Part Name]=$A51)*M_BOM[RM_Qty_Per_Batch]*IFERROR(INDEX(PP_Grid[#Data],M_BOM[PPGridRow],6),0))+IFERROR(INDEX(M_RawMaterials[固定週次消費量_要入力],MATCH($A51,M_RawMaterials[Part Name],0)),0)</f>
        <v/>
      </c>
      <c r="G51">
        <f>SUMPRODUCT((M_BOM[Part Name]=$A51)*M_BOM[RM_Qty_Per_Batch]*IFERROR(INDEX(PP_Grid[#Data],M_BOM[PPGridRow],7),0))+IFERROR(INDEX(M_RawMaterials[固定週次消費量_要入力],MATCH($A51,M_RawMaterials[Part Name],0)),0)</f>
        <v/>
      </c>
      <c r="H51">
        <f>SUMPRODUCT((M_BOM[Part Name]=$A51)*M_BOM[RM_Qty_Per_Batch]*IFERROR(INDEX(PP_Grid[#Data],M_BOM[PPGridRow],8),0))+IFERROR(INDEX(M_RawMaterials[固定週次消費量_要入力],MATCH($A51,M_RawMaterials[Part Name],0)),0)</f>
        <v/>
      </c>
      <c r="I51">
        <f>SUMPRODUCT((M_BOM[Part Name]=$A51)*M_BOM[RM_Qty_Per_Batch]*IFERROR(INDEX(PP_Grid[#Data],M_BOM[PPGridRow],9),0))+IFERROR(INDEX(M_RawMaterials[固定週次消費量_要入力],MATCH($A51,M_RawMaterials[Part Name],0)),0)</f>
        <v/>
      </c>
      <c r="J51">
        <f>SUMPRODUCT((M_BOM[Part Name]=$A51)*M_BOM[RM_Qty_Per_Batch]*IFERROR(INDEX(PP_Grid[#Data],M_BOM[PPGridRow],10),0))+IFERROR(INDEX(M_RawMaterials[固定週次消費量_要入力],MATCH($A51,M_RawMaterials[Part Name],0)),0)</f>
        <v/>
      </c>
      <c r="K51">
        <f>SUMPRODUCT((M_BOM[Part Name]=$A51)*M_BOM[RM_Qty_Per_Batch]*IFERROR(INDEX(PP_Grid[#Data],M_BOM[PPGridRow],11),0))+IFERROR(INDEX(M_RawMaterials[固定週次消費量_要入力],MATCH($A51,M_RawMaterials[Part Name],0)),0)</f>
        <v/>
      </c>
      <c r="L51">
        <f>SUMPRODUCT((M_BOM[Part Name]=$A51)*M_BOM[RM_Qty_Per_Batch]*IFERROR(INDEX(PP_Grid[#Data],M_BOM[PPGridRow],12),0))+IFERROR(INDEX(M_RawMaterials[固定週次消費量_要入力],MATCH($A51,M_RawMaterials[Part Name],0)),0)</f>
        <v/>
      </c>
      <c r="M51">
        <f>SUMPRODUCT((M_BOM[Part Name]=$A51)*M_BOM[RM_Qty_Per_Batch]*IFERROR(INDEX(PP_Grid[#Data],M_BOM[PPGridRow],13),0))+IFERROR(INDEX(M_RawMaterials[固定週次消費量_要入力],MATCH($A51,M_RawMaterials[Part Name],0)),0)</f>
        <v/>
      </c>
      <c r="N51">
        <f>SUMPRODUCT((M_BOM[Part Name]=$A51)*M_BOM[RM_Qty_Per_Batch]*IFERROR(INDEX(PP_Grid[#Data],M_BOM[PPGridRow],14),0))+IFERROR(INDEX(M_RawMaterials[固定週次消費量_要入力],MATCH($A51,M_RawMaterials[Part Name],0)),0)</f>
        <v/>
      </c>
      <c r="O51">
        <f>SUMPRODUCT((M_BOM[Part Name]=$A51)*M_BOM[RM_Qty_Per_Batch]*IFERROR(INDEX(PP_Grid[#Data],M_BOM[PPGridRow],15),0))+IFERROR(INDEX(M_RawMaterials[固定週次消費量_要入力],MATCH($A51,M_RawMaterials[Part Name],0)),0)</f>
        <v/>
      </c>
      <c r="P51">
        <f>SUMPRODUCT((M_BOM[Part Name]=$A51)*M_BOM[RM_Qty_Per_Batch]*IFERROR(INDEX(PP_Grid[#Data],M_BOM[PPGridRow],16),0))+IFERROR(INDEX(M_RawMaterials[固定週次消費量_要入力],MATCH($A51,M_RawMaterials[Part Name],0)),0)</f>
        <v/>
      </c>
      <c r="Q51">
        <f>SUMPRODUCT((M_BOM[Part Name]=$A51)*M_BOM[RM_Qty_Per_Batch]*IFERROR(INDEX(PP_Grid[#Data],M_BOM[PPGridRow],17),0))+IFERROR(INDEX(M_RawMaterials[固定週次消費量_要入力],MATCH($A51,M_RawMaterials[Part Name],0)),0)</f>
        <v/>
      </c>
      <c r="R51">
        <f>SUMPRODUCT((M_BOM[Part Name]=$A51)*M_BOM[RM_Qty_Per_Batch]*IFERROR(INDEX(PP_Grid[#Data],M_BOM[PPGridRow],18),0))+IFERROR(INDEX(M_RawMaterials[固定週次消費量_要入力],MATCH($A51,M_RawMaterials[Part Name],0)),0)</f>
        <v/>
      </c>
      <c r="S51">
        <f>SUMPRODUCT((M_BOM[Part Name]=$A51)*M_BOM[RM_Qty_Per_Batch]*IFERROR(INDEX(PP_Grid[#Data],M_BOM[PPGridRow],19),0))+IFERROR(INDEX(M_RawMaterials[固定週次消費量_要入力],MATCH($A51,M_RawMaterials[Part Name],0)),0)</f>
        <v/>
      </c>
      <c r="T51">
        <f>SUMPRODUCT((M_BOM[Part Name]=$A51)*M_BOM[RM_Qty_Per_Batch]*IFERROR(INDEX(PP_Grid[#Data],M_BOM[PPGridRow],20),0))+IFERROR(INDEX(M_RawMaterials[固定週次消費量_要入力],MATCH($A51,M_RawMaterials[Part Name],0)),0)</f>
        <v/>
      </c>
      <c r="U51">
        <f>SUMPRODUCT((M_BOM[Part Name]=$A51)*M_BOM[RM_Qty_Per_Batch]*IFERROR(INDEX(PP_Grid[#Data],M_BOM[PPGridRow],21),0))+IFERROR(INDEX(M_RawMaterials[固定週次消費量_要入力],MATCH($A51,M_RawMaterials[Part Name],0)),0)</f>
        <v/>
      </c>
      <c r="V51">
        <f>SUMPRODUCT((M_BOM[Part Name]=$A51)*M_BOM[RM_Qty_Per_Batch]*IFERROR(INDEX(PP_Grid[#Data],M_BOM[PPGridRow],22),0))+IFERROR(INDEX(M_RawMaterials[固定週次消費量_要入力],MATCH($A51,M_RawMaterials[Part Name],0)),0)</f>
        <v/>
      </c>
      <c r="W51">
        <f>SUMPRODUCT((M_BOM[Part Name]=$A51)*M_BOM[RM_Qty_Per_Batch]*IFERROR(INDEX(PP_Grid[#Data],M_BOM[PPGridRow],23),0))+IFERROR(INDEX(M_RawMaterials[固定週次消費量_要入力],MATCH($A51,M_RawMaterials[Part Name],0)),0)</f>
        <v/>
      </c>
      <c r="X51">
        <f>SUMPRODUCT((M_BOM[Part Name]=$A51)*M_BOM[RM_Qty_Per_Batch]*IFERROR(INDEX(PP_Grid[#Data],M_BOM[PPGridRow],24),0))+IFERROR(INDEX(M_RawMaterials[固定週次消費量_要入力],MATCH($A51,M_RawMaterials[Part Name],0)),0)</f>
        <v/>
      </c>
      <c r="Y51">
        <f>SUMPRODUCT((M_BOM[Part Name]=$A51)*M_BOM[RM_Qty_Per_Batch]*IFERROR(INDEX(PP_Grid[#Data],M_BOM[PPGridRow],25),0))+IFERROR(INDEX(M_RawMaterials[固定週次消費量_要入力],MATCH($A51,M_RawMaterials[Part Name],0)),0)</f>
        <v/>
      </c>
      <c r="Z51">
        <f>SUMPRODUCT((M_BOM[Part Name]=$A51)*M_BOM[RM_Qty_Per_Batch]*IFERROR(INDEX(PP_Grid[#Data],M_BOM[PPGridRow],26),0))+IFERROR(INDEX(M_RawMaterials[固定週次消費量_要入力],MATCH($A51,M_RawMaterials[Part Name],0)),0)</f>
        <v/>
      </c>
      <c r="AA51">
        <f>SUMPRODUCT((M_BOM[Part Name]=$A51)*M_BOM[RM_Qty_Per_Batch]*IFERROR(INDEX(PP_Grid[#Data],M_BOM[PPGridRow],27),0))+IFERROR(INDEX(M_RawMaterials[固定週次消費量_要入力],MATCH($A51,M_RawMaterials[Part Name],0)),0)</f>
        <v/>
      </c>
      <c r="AB51">
        <f>SUMPRODUCT((M_BOM[Part Name]=$A51)*M_BOM[RM_Qty_Per_Batch]*IFERROR(INDEX(PP_Grid[#Data],M_BOM[PPGridRow],28),0))+IFERROR(INDEX(M_RawMaterials[固定週次消費量_要入力],MATCH($A51,M_RawMaterials[Part Name],0)),0)</f>
        <v/>
      </c>
      <c r="AC51">
        <f>SUMPRODUCT((M_BOM[Part Name]=$A51)*M_BOM[RM_Qty_Per_Batch]*IFERROR(INDEX(PP_Grid[#Data],M_BOM[PPGridRow],29),0))+IFERROR(INDEX(M_RawMaterials[固定週次消費量_要入力],MATCH($A51,M_RawMaterials[Part Name],0)),0)</f>
        <v/>
      </c>
      <c r="AD51">
        <f>SUMPRODUCT((M_BOM[Part Name]=$A51)*M_BOM[RM_Qty_Per_Batch]*IFERROR(INDEX(PP_Grid[#Data],M_BOM[PPGridRow],30),0))+IFERROR(INDEX(M_RawMaterials[固定週次消費量_要入力],MATCH($A51,M_RawMaterials[Part Name],0)),0)</f>
        <v/>
      </c>
      <c r="AE51">
        <f>SUMPRODUCT((M_BOM[Part Name]=$A51)*M_BOM[RM_Qty_Per_Batch]*IFERROR(INDEX(PP_Grid[#Data],M_BOM[PPGridRow],31),0))+IFERROR(INDEX(M_RawMaterials[固定週次消費量_要入力],MATCH($A51,M_RawMaterials[Part Name],0)),0)</f>
        <v/>
      </c>
      <c r="AF51">
        <f>SUMPRODUCT((M_BOM[Part Name]=$A51)*M_BOM[RM_Qty_Per_Batch]*IFERROR(INDEX(PP_Grid[#Data],M_BOM[PPGridRow],32),0))+IFERROR(INDEX(M_RawMaterials[固定週次消費量_要入力],MATCH($A51,M_RawMaterials[Part Name],0)),0)</f>
        <v/>
      </c>
      <c r="AG51">
        <f>SUMPRODUCT((M_BOM[Part Name]=$A51)*M_BOM[RM_Qty_Per_Batch]*IFERROR(INDEX(PP_Grid[#Data],M_BOM[PPGridRow],33),0))+IFERROR(INDEX(M_RawMaterials[固定週次消費量_要入力],MATCH($A51,M_RawMaterials[Part Name],0)),0)</f>
        <v/>
      </c>
      <c r="AH51">
        <f>SUMPRODUCT((M_BOM[Part Name]=$A51)*M_BOM[RM_Qty_Per_Batch]*IFERROR(INDEX(PP_Grid[#Data],M_BOM[PPGridRow],34),0))+IFERROR(INDEX(M_RawMaterials[固定週次消費量_要入力],MATCH($A51,M_RawMaterials[Part Name],0)),0)</f>
        <v/>
      </c>
      <c r="AI51">
        <f>SUMPRODUCT((M_BOM[Part Name]=$A51)*M_BOM[RM_Qty_Per_Batch]*IFERROR(INDEX(PP_Grid[#Data],M_BOM[PPGridRow],35),0))+IFERROR(INDEX(M_RawMaterials[固定週次消費量_要入力],MATCH($A51,M_RawMaterials[Part Name],0)),0)</f>
        <v/>
      </c>
      <c r="AJ51">
        <f>SUMPRODUCT((M_BOM[Part Name]=$A51)*M_BOM[RM_Qty_Per_Batch]*IFERROR(INDEX(PP_Grid[#Data],M_BOM[PPGridRow],36),0))+IFERROR(INDEX(M_RawMaterials[固定週次消費量_要入力],MATCH($A51,M_RawMaterials[Part Name],0)),0)</f>
        <v/>
      </c>
      <c r="AK51">
        <f>SUMPRODUCT((M_BOM[Part Name]=$A51)*M_BOM[RM_Qty_Per_Batch]*IFERROR(INDEX(PP_Grid[#Data],M_BOM[PPGridRow],37),0))+IFERROR(INDEX(M_RawMaterials[固定週次消費量_要入力],MATCH($A51,M_RawMaterials[Part Name],0)),0)</f>
        <v/>
      </c>
      <c r="AL51">
        <f>SUMPRODUCT((M_BOM[Part Name]=$A51)*M_BOM[RM_Qty_Per_Batch]*IFERROR(INDEX(PP_Grid[#Data],M_BOM[PPGridRow],38),0))+IFERROR(INDEX(M_RawMaterials[固定週次消費量_要入力],MATCH($A51,M_RawMaterials[Part Name],0)),0)</f>
        <v/>
      </c>
      <c r="AM51">
        <f>SUMPRODUCT((M_BOM[Part Name]=$A51)*M_BOM[RM_Qty_Per_Batch]*IFERROR(INDEX(PP_Grid[#Data],M_BOM[PPGridRow],39),0))+IFERROR(INDEX(M_RawMaterials[固定週次消費量_要入力],MATCH($A51,M_RawMaterials[Part Name],0)),0)</f>
        <v/>
      </c>
      <c r="AN51">
        <f>SUMPRODUCT((M_BOM[Part Name]=$A51)*M_BOM[RM_Qty_Per_Batch]*IFERROR(INDEX(PP_Grid[#Data],M_BOM[PPGridRow],40),0))+IFERROR(INDEX(M_RawMaterials[固定週次消費量_要入力],MATCH($A51,M_RawMaterials[Part Name],0)),0)</f>
        <v/>
      </c>
      <c r="AO51">
        <f>SUMPRODUCT((M_BOM[Part Name]=$A51)*M_BOM[RM_Qty_Per_Batch]*IFERROR(INDEX(PP_Grid[#Data],M_BOM[PPGridRow],41),0))+IFERROR(INDEX(M_RawMaterials[固定週次消費量_要入力],MATCH($A51,M_RawMaterials[Part Name],0)),0)</f>
        <v/>
      </c>
      <c r="AP51">
        <f>SUMPRODUCT((M_BOM[Part Name]=$A51)*M_BOM[RM_Qty_Per_Batch]*IFERROR(INDEX(PP_Grid[#Data],M_BOM[PPGridRow],42),0))+IFERROR(INDEX(M_RawMaterials[固定週次消費量_要入力],MATCH($A51,M_RawMaterials[Part Name],0)),0)</f>
        <v/>
      </c>
      <c r="AQ51">
        <f>SUMPRODUCT((M_BOM[Part Name]=$A51)*M_BOM[RM_Qty_Per_Batch]*IFERROR(INDEX(PP_Grid[#Data],M_BOM[PPGridRow],43),0))+IFERROR(INDEX(M_RawMaterials[固定週次消費量_要入力],MATCH($A51,M_RawMaterials[Part Name],0)),0)</f>
        <v/>
      </c>
      <c r="AR51">
        <f>SUMPRODUCT((M_BOM[Part Name]=$A51)*M_BOM[RM_Qty_Per_Batch]*IFERROR(INDEX(PP_Grid[#Data],M_BOM[PPGridRow],44),0))+IFERROR(INDEX(M_RawMaterials[固定週次消費量_要入力],MATCH($A51,M_RawMaterials[Part Name],0)),0)</f>
        <v/>
      </c>
      <c r="AS51">
        <f>SUMPRODUCT((M_BOM[Part Name]=$A51)*M_BOM[RM_Qty_Per_Batch]*IFERROR(INDEX(PP_Grid[#Data],M_BOM[PPGridRow],45),0))+IFERROR(INDEX(M_RawMaterials[固定週次消費量_要入力],MATCH($A51,M_RawMaterials[Part Name],0)),0)</f>
        <v/>
      </c>
      <c r="AT51">
        <f>SUMPRODUCT((M_BOM[Part Name]=$A51)*M_BOM[RM_Qty_Per_Batch]*IFERROR(INDEX(PP_Grid[#Data],M_BOM[PPGridRow],46),0))+IFERROR(INDEX(M_RawMaterials[固定週次消費量_要入力],MATCH($A51,M_RawMaterials[Part Name],0)),0)</f>
        <v/>
      </c>
      <c r="AU51">
        <f>SUMPRODUCT((M_BOM[Part Name]=$A51)*M_BOM[RM_Qty_Per_Batch]*IFERROR(INDEX(PP_Grid[#Data],M_BOM[PPGridRow],47),0))+IFERROR(INDEX(M_RawMaterials[固定週次消費量_要入力],MATCH($A51,M_RawMaterials[Part Name],0)),0)</f>
        <v/>
      </c>
      <c r="AV51">
        <f>SUMPRODUCT((M_BOM[Part Name]=$A51)*M_BOM[RM_Qty_Per_Batch]*IFERROR(INDEX(PP_Grid[#Data],M_BOM[PPGridRow],48),0))+IFERROR(INDEX(M_RawMaterials[固定週次消費量_要入力],MATCH($A51,M_RawMaterials[Part Name],0)),0)</f>
        <v/>
      </c>
      <c r="AW51">
        <f>SUMPRODUCT((M_BOM[Part Name]=$A51)*M_BOM[RM_Qty_Per_Batch]*IFERROR(INDEX(PP_Grid[#Data],M_BOM[PPGridRow],49),0))+IFERROR(INDEX(M_RawMaterials[固定週次消費量_要入力],MATCH($A51,M_RawMaterials[Part Name],0)),0)</f>
        <v/>
      </c>
      <c r="AX51">
        <f>SUMPRODUCT((M_BOM[Part Name]=$A51)*M_BOM[RM_Qty_Per_Batch]*IFERROR(INDEX(PP_Grid[#Data],M_BOM[PPGridRow],50),0))+IFERROR(INDEX(M_RawMaterials[固定週次消費量_要入力],MATCH($A51,M_RawMaterials[Part Name],0)),0)</f>
        <v/>
      </c>
      <c r="AY51">
        <f>SUMPRODUCT((M_BOM[Part Name]=$A51)*M_BOM[RM_Qty_Per_Batch]*IFERROR(INDEX(PP_Grid[#Data],M_BOM[PPGridRow],51),0))+IFERROR(INDEX(M_RawMaterials[固定週次消費量_要入力],MATCH($A51,M_RawMaterials[Part Name],0)),0)</f>
        <v/>
      </c>
      <c r="AZ51">
        <f>SUMPRODUCT((M_BOM[Part Name]=$A51)*M_BOM[RM_Qty_Per_Batch]*IFERROR(INDEX(PP_Grid[#Data],M_BOM[PPGridRow],52),0))+IFERROR(INDEX(M_RawMaterials[固定週次消費量_要入力],MATCH($A51,M_RawMaterials[Part Name],0)),0)</f>
        <v/>
      </c>
      <c r="BA51">
        <f>SUMPRODUCT((M_BOM[Part Name]=$A51)*M_BOM[RM_Qty_Per_Batch]*IFERROR(INDEX(PP_Grid[#Data],M_BOM[PPGridRow],53),0))+IFERROR(INDEX(M_RawMaterials[固定週次消費量_要入力],MATCH($A51,M_RawMaterials[Part Name],0)),0)</f>
        <v/>
      </c>
      <c r="BB51">
        <f>SUMPRODUCT((M_BOM[Part Name]=$A51)*M_BOM[RM_Qty_Per_Batch]*IFERROR(INDEX(PP_Grid[#Data],M_BOM[PPGridRow],54),0))+IFERROR(INDEX(M_RawMaterials[固定週次消費量_要入力],MATCH($A51,M_RawMaterials[Part Name],0)),0)</f>
        <v/>
      </c>
      <c r="BC51">
        <f>SUMPRODUCT((M_BOM[Part Name]=$A51)*M_BOM[RM_Qty_Per_Batch]*IFERROR(INDEX(PP_Grid[#Data],M_BOM[PPGridRow],55),0))+IFERROR(INDEX(M_RawMaterials[固定週次消費量_要入力],MATCH($A51,M_RawMaterials[Part Name],0)),0)</f>
        <v/>
      </c>
      <c r="BD51">
        <f>SUMPRODUCT((M_BOM[Part Name]=$A51)*M_BOM[RM_Qty_Per_Batch]*IFERROR(INDEX(PP_Grid[#Data],M_BOM[PPGridRow],56),0))+IFERROR(INDEX(M_RawMaterials[固定週次消費量_要入力],MATCH($A51,M_RawMaterials[Part Name],0)),0)</f>
        <v/>
      </c>
      <c r="BE51">
        <f>SUMPRODUCT((M_BOM[Part Name]=$A51)*M_BOM[RM_Qty_Per_Batch]*IFERROR(INDEX(PP_Grid[#Data],M_BOM[PPGridRow],57),0))+IFERROR(INDEX(M_RawMaterials[固定週次消費量_要入力],MATCH($A51,M_RawMaterials[Part Name],0)),0)</f>
        <v/>
      </c>
      <c r="BF51">
        <f>SUMPRODUCT((M_BOM[Part Name]=$A51)*M_BOM[RM_Qty_Per_Batch]*IFERROR(INDEX(PP_Grid[#Data],M_BOM[PPGridRow],58),0))+IFERROR(INDEX(M_RawMaterials[固定週次消費量_要入力],MATCH($A51,M_RawMaterials[Part Name],0)),0)</f>
        <v/>
      </c>
      <c r="BG51">
        <f>SUMPRODUCT((M_BOM[Part Name]=$A51)*M_BOM[RM_Qty_Per_Batch]*IFERROR(INDEX(PP_Grid[#Data],M_BOM[PPGridRow],59),0))+IFERROR(INDEX(M_RawMaterials[固定週次消費量_要入力],MATCH($A51,M_RawMaterials[Part Name],0)),0)</f>
        <v/>
      </c>
      <c r="BH51">
        <f>SUMPRODUCT((M_BOM[Part Name]=$A51)*M_BOM[RM_Qty_Per_Batch]*IFERROR(INDEX(PP_Grid[#Data],M_BOM[PPGridRow],60),0))+IFERROR(INDEX(M_RawMaterials[固定週次消費量_要入力],MATCH($A51,M_RawMaterials[Part Name],0)),0)</f>
        <v/>
      </c>
      <c r="BI51">
        <f>SUMPRODUCT((M_BOM[Part Name]=$A51)*M_BOM[RM_Qty_Per_Batch]*IFERROR(INDEX(PP_Grid[#Data],M_BOM[PPGridRow],61),0))+IFERROR(INDEX(M_RawMaterials[固定週次消費量_要入力],MATCH($A51,M_RawMaterials[Part Name],0)),0)</f>
        <v/>
      </c>
      <c r="BJ51">
        <f>SUMPRODUCT((M_BOM[Part Name]=$A51)*M_BOM[RM_Qty_Per_Batch]*IFERROR(INDEX(PP_Grid[#Data],M_BOM[PPGridRow],62),0))+IFERROR(INDEX(M_RawMaterials[固定週次消費量_要入力],MATCH($A51,M_RawMaterials[Part Name],0)),0)</f>
        <v/>
      </c>
      <c r="BK51">
        <f>SUMPRODUCT((M_BOM[Part Name]=$A51)*M_BOM[RM_Qty_Per_Batch]*IFERROR(INDEX(PP_Grid[#Data],M_BOM[PPGridRow],63),0))+IFERROR(INDEX(M_RawMaterials[固定週次消費量_要入力],MATCH($A51,M_RawMaterials[Part Name],0)),0)</f>
        <v/>
      </c>
      <c r="BL51">
        <f>SUMPRODUCT((M_BOM[Part Name]=$A51)*M_BOM[RM_Qty_Per_Batch]*IFERROR(INDEX(PP_Grid[#Data],M_BOM[PPGridRow],64),0))+IFERROR(INDEX(M_RawMaterials[固定週次消費量_要入力],MATCH($A51,M_RawMaterials[Part Name],0)),0)</f>
        <v/>
      </c>
      <c r="BM51">
        <f>SUMPRODUCT((M_BOM[Part Name]=$A51)*M_BOM[RM_Qty_Per_Batch]*IFERROR(INDEX(PP_Grid[#Data],M_BOM[PPGridRow],65),0))+IFERROR(INDEX(M_RawMaterials[固定週次消費量_要入力],MATCH($A51,M_RawMaterials[Part Name],0)),0)</f>
        <v/>
      </c>
      <c r="BN51">
        <f>SUMPRODUCT((M_BOM[Part Name]=$A51)*M_BOM[RM_Qty_Per_Batch]*IFERROR(INDEX(PP_Grid[#Data],M_BOM[PPGridRow],66),0))+IFERROR(INDEX(M_RawMaterials[固定週次消費量_要入力],MATCH($A51,M_RawMaterials[Part Name],0)),0)</f>
        <v/>
      </c>
      <c r="BO51">
        <f>SUMPRODUCT((M_BOM[Part Name]=$A51)*M_BOM[RM_Qty_Per_Batch]*IFERROR(INDEX(PP_Grid[#Data],M_BOM[PPGridRow],67),0))+IFERROR(INDEX(M_RawMaterials[固定週次消費量_要入力],MATCH($A51,M_RawMaterials[Part Name],0)),0)</f>
        <v/>
      </c>
      <c r="BP51">
        <f>SUMPRODUCT((M_BOM[Part Name]=$A51)*M_BOM[RM_Qty_Per_Batch]*IFERROR(INDEX(PP_Grid[#Data],M_BOM[PPGridRow],68),0))+IFERROR(INDEX(M_RawMaterials[固定週次消費量_要入力],MATCH($A51,M_RawMaterials[Part Name],0)),0)</f>
        <v/>
      </c>
      <c r="BQ51">
        <f>SUMPRODUCT((M_BOM[Part Name]=$A51)*M_BOM[RM_Qty_Per_Batch]*IFERROR(INDEX(PP_Grid[#Data],M_BOM[PPGridRow],69),0))+IFERROR(INDEX(M_RawMaterials[固定週次消費量_要入力],MATCH($A51,M_RawMaterials[Part Name],0)),0)</f>
        <v/>
      </c>
      <c r="BR51">
        <f>SUMPRODUCT((M_BOM[Part Name]=$A51)*M_BOM[RM_Qty_Per_Batch]*IFERROR(INDEX(PP_Grid[#Data],M_BOM[PPGridRow],70),0))+IFERROR(INDEX(M_RawMaterials[固定週次消費量_要入力],MATCH($A51,M_RawMaterials[Part Name],0)),0)</f>
        <v/>
      </c>
      <c r="BS51">
        <f>SUMPRODUCT((M_BOM[Part Name]=$A51)*M_BOM[RM_Qty_Per_Batch]*IFERROR(INDEX(PP_Grid[#Data],M_BOM[PPGridRow],71),0))+IFERROR(INDEX(M_RawMaterials[固定週次消費量_要入力],MATCH($A51,M_RawMaterials[Part Name],0)),0)</f>
        <v/>
      </c>
      <c r="BT51">
        <f>SUMPRODUCT((M_BOM[Part Name]=$A51)*M_BOM[RM_Qty_Per_Batch]*IFERROR(INDEX(PP_Grid[#Data],M_BOM[PPGridRow],72),0))+IFERROR(INDEX(M_RawMaterials[固定週次消費量_要入力],MATCH($A51,M_RawMaterials[Part Name],0)),0)</f>
        <v/>
      </c>
      <c r="BU51">
        <f>SUMPRODUCT((M_BOM[Part Name]=$A51)*M_BOM[RM_Qty_Per_Batch]*IFERROR(INDEX(PP_Grid[#Data],M_BOM[PPGridRow],73),0))+IFERROR(INDEX(M_RawMaterials[固定週次消費量_要入力],MATCH($A51,M_RawMaterials[Part Name],0)),0)</f>
        <v/>
      </c>
      <c r="BV51">
        <f>SUMPRODUCT((M_BOM[Part Name]=$A51)*M_BOM[RM_Qty_Per_Batch]*IFERROR(INDEX(PP_Grid[#Data],M_BOM[PPGridRow],74),0))+IFERROR(INDEX(M_RawMaterials[固定週次消費量_要入力],MATCH($A51,M_RawMaterials[Part Name],0)),0)</f>
        <v/>
      </c>
      <c r="BW51">
        <f>SUMPRODUCT((M_BOM[Part Name]=$A51)*M_BOM[RM_Qty_Per_Batch]*IFERROR(INDEX(PP_Grid[#Data],M_BOM[PPGridRow],75),0))+IFERROR(INDEX(M_RawMaterials[固定週次消費量_要入力],MATCH($A51,M_RawMaterials[Part Name],0)),0)</f>
        <v/>
      </c>
      <c r="BX51">
        <f>SUMPRODUCT((M_BOM[Part Name]=$A51)*M_BOM[RM_Qty_Per_Batch]*IFERROR(INDEX(PP_Grid[#Data],M_BOM[PPGridRow],76),0))+IFERROR(INDEX(M_RawMaterials[固定週次消費量_要入力],MATCH($A51,M_RawMaterials[Part Name],0)),0)</f>
        <v/>
      </c>
      <c r="BY51">
        <f>SUMPRODUCT((M_BOM[Part Name]=$A51)*M_BOM[RM_Qty_Per_Batch]*IFERROR(INDEX(PP_Grid[#Data],M_BOM[PPGridRow],77),0))+IFERROR(INDEX(M_RawMaterials[固定週次消費量_要入力],MATCH($A51,M_RawMaterials[Part Name],0)),0)</f>
        <v/>
      </c>
      <c r="BZ51">
        <f>SUMPRODUCT((M_BOM[Part Name]=$A51)*M_BOM[RM_Qty_Per_Batch]*IFERROR(INDEX(PP_Grid[#Data],M_BOM[PPGridRow],78),0))+IFERROR(INDEX(M_RawMaterials[固定週次消費量_要入力],MATCH($A51,M_RawMaterials[Part Name],0)),0)</f>
        <v/>
      </c>
      <c r="CA51">
        <f>SUMPRODUCT((M_BOM[Part Name]=$A51)*M_BOM[RM_Qty_Per_Batch]*IFERROR(INDEX(PP_Grid[#Data],M_BOM[PPGridRow],79),0))+IFERROR(INDEX(M_RawMaterials[固定週次消費量_要入力],MATCH($A51,M_RawMaterials[Part Name],0)),0)</f>
        <v/>
      </c>
      <c r="CB51">
        <f>SUMPRODUCT((M_BOM[Part Name]=$A51)*M_BOM[RM_Qty_Per_Batch]*IFERROR(INDEX(PP_Grid[#Data],M_BOM[PPGridRow],80),0))+IFERROR(INDEX(M_RawMaterials[固定週次消費量_要入力],MATCH($A51,M_RawMaterials[Part Name],0)),0)</f>
        <v/>
      </c>
      <c r="CC51">
        <f>SUMPRODUCT((M_BOM[Part Name]=$A51)*M_BOM[RM_Qty_Per_Batch]*IFERROR(INDEX(PP_Grid[#Data],M_BOM[PPGridRow],81),0))+IFERROR(INDEX(M_RawMaterials[固定週次消費量_要入力],MATCH($A51,M_RawMaterials[Part Name],0)),0)</f>
        <v/>
      </c>
      <c r="CD51">
        <f>SUMPRODUCT((M_BOM[Part Name]=$A51)*M_BOM[RM_Qty_Per_Batch]*IFERROR(INDEX(PP_Grid[#Data],M_BOM[PPGridRow],82),0))+IFERROR(INDEX(M_RawMaterials[固定週次消費量_要入力],MATCH($A51,M_RawMaterials[Part Name],0)),0)</f>
        <v/>
      </c>
      <c r="CE51">
        <f>SUMPRODUCT((M_BOM[Part Name]=$A51)*M_BOM[RM_Qty_Per_Batch]*IFERROR(INDEX(PP_Grid[#Data],M_BOM[PPGridRow],83),0))+IFERROR(INDEX(M_RawMaterials[固定週次消費量_要入力],MATCH($A51,M_RawMaterials[Part Name],0)),0)</f>
        <v/>
      </c>
      <c r="CF51">
        <f>SUMPRODUCT((M_BOM[Part Name]=$A51)*M_BOM[RM_Qty_Per_Batch]*IFERROR(INDEX(PP_Grid[#Data],M_BOM[PPGridRow],84),0))+IFERROR(INDEX(M_RawMaterials[固定週次消費量_要入力],MATCH($A51,M_RawMaterials[Part Name],0)),0)</f>
        <v/>
      </c>
      <c r="CG51">
        <f>SUMPRODUCT((M_BOM[Part Name]=$A51)*M_BOM[RM_Qty_Per_Batch]*IFERROR(INDEX(PP_Grid[#Data],M_BOM[PPGridRow],85),0))+IFERROR(INDEX(M_RawMaterials[固定週次消費量_要入力],MATCH($A51,M_RawMaterials[Part Name],0)),0)</f>
        <v/>
      </c>
      <c r="CH51">
        <f>SUMPRODUCT((M_BOM[Part Name]=$A51)*M_BOM[RM_Qty_Per_Batch]*IFERROR(INDEX(PP_Grid[#Data],M_BOM[PPGridRow],86),0))+IFERROR(INDEX(M_RawMaterials[固定週次消費量_要入力],MATCH($A51,M_RawMaterials[Part Name],0)),0)</f>
        <v/>
      </c>
      <c r="CI51">
        <f>SUMPRODUCT((M_BOM[Part Name]=$A51)*M_BOM[RM_Qty_Per_Batch]*IFERROR(INDEX(PP_Grid[#Data],M_BOM[PPGridRow],87),0))+IFERROR(INDEX(M_RawMaterials[固定週次消費量_要入力],MATCH($A51,M_RawMaterials[Part Name],0)),0)</f>
        <v/>
      </c>
      <c r="CJ51">
        <f>SUMPRODUCT((M_BOM[Part Name]=$A51)*M_BOM[RM_Qty_Per_Batch]*IFERROR(INDEX(PP_Grid[#Data],M_BOM[PPGridRow],88),0))+IFERROR(INDEX(M_RawMaterials[固定週次消費量_要入力],MATCH($A51,M_RawMaterials[Part Name],0)),0)</f>
        <v/>
      </c>
      <c r="CK51">
        <f>SUMPRODUCT((M_BOM[Part Name]=$A51)*M_BOM[RM_Qty_Per_Batch]*IFERROR(INDEX(PP_Grid[#Data],M_BOM[PPGridRow],89),0))+IFERROR(INDEX(M_RawMaterials[固定週次消費量_要入力],MATCH($A51,M_RawMaterials[Part Name],0)),0)</f>
        <v/>
      </c>
      <c r="CL51">
        <f>SUMPRODUCT((M_BOM[Part Name]=$A51)*M_BOM[RM_Qty_Per_Batch]*IFERROR(INDEX(PP_Grid[#Data],M_BOM[PPGridRow],90),0))+IFERROR(INDEX(M_RawMaterials[固定週次消費量_要入力],MATCH($A51,M_RawMaterials[Part Name],0)),0)</f>
        <v/>
      </c>
      <c r="CM51">
        <f>SUMPRODUCT((M_BOM[Part Name]=$A51)*M_BOM[RM_Qty_Per_Batch]*IFERROR(INDEX(PP_Grid[#Data],M_BOM[PPGridRow],91),0))+IFERROR(INDEX(M_RawMaterials[固定週次消費量_要入力],MATCH($A51,M_RawMaterials[Part Name],0)),0)</f>
        <v/>
      </c>
      <c r="CN51">
        <f>SUMPRODUCT((M_BOM[Part Name]=$A51)*M_BOM[RM_Qty_Per_Batch]*IFERROR(INDEX(PP_Grid[#Data],M_BOM[PPGridRow],92),0))+IFERROR(INDEX(M_RawMaterials[固定週次消費量_要入力],MATCH($A51,M_RawMaterials[Part Name],0)),0)</f>
        <v/>
      </c>
      <c r="CO51">
        <f>SUMPRODUCT((M_BOM[Part Name]=$A51)*M_BOM[RM_Qty_Per_Batch]*IFERROR(INDEX(PP_Grid[#Data],M_BOM[PPGridRow],93),0))+IFERROR(INDEX(M_RawMaterials[固定週次消費量_要入力],MATCH($A51,M_RawMaterials[Part Name],0)),0)</f>
        <v/>
      </c>
      <c r="CP51">
        <f>SUMPRODUCT((M_BOM[Part Name]=$A51)*M_BOM[RM_Qty_Per_Batch]*IFERROR(INDEX(PP_Grid[#Data],M_BOM[PPGridRow],94),0))+IFERROR(INDEX(M_RawMaterials[固定週次消費量_要入力],MATCH($A51,M_RawMaterials[Part Name],0)),0)</f>
        <v/>
      </c>
      <c r="CQ51">
        <f>SUMPRODUCT((M_BOM[Part Name]=$A51)*M_BOM[RM_Qty_Per_Batch]*IFERROR(INDEX(PP_Grid[#Data],M_BOM[PPGridRow],95),0))+IFERROR(INDEX(M_RawMaterials[固定週次消費量_要入力],MATCH($A51,M_RawMaterials[Part Name],0)),0)</f>
        <v/>
      </c>
      <c r="CR51">
        <f>SUMPRODUCT((M_BOM[Part Name]=$A51)*M_BOM[RM_Qty_Per_Batch]*IFERROR(INDEX(PP_Grid[#Data],M_BOM[PPGridRow],96),0))+IFERROR(INDEX(M_RawMaterials[固定週次消費量_要入力],MATCH($A51,M_RawMaterials[Part Name],0)),0)</f>
        <v/>
      </c>
      <c r="CS51">
        <f>SUMPRODUCT((M_BOM[Part Name]=$A51)*M_BOM[RM_Qty_Per_Batch]*IFERROR(INDEX(PP_Grid[#Data],M_BOM[PPGridRow],97),0))+IFERROR(INDEX(M_RawMaterials[固定週次消費量_要入力],MATCH($A51,M_RawMaterials[Part Name],0)),0)</f>
        <v/>
      </c>
      <c r="CT51">
        <f>SUMPRODUCT((M_BOM[Part Name]=$A51)*M_BOM[RM_Qty_Per_Batch]*IFERROR(INDEX(PP_Grid[#Data],M_BOM[PPGridRow],98),0))+IFERROR(INDEX(M_RawMaterials[固定週次消費量_要入力],MATCH($A51,M_RawMaterials[Part Name],0)),0)</f>
        <v/>
      </c>
      <c r="CU51">
        <f>SUMPRODUCT((M_BOM[Part Name]=$A51)*M_BOM[RM_Qty_Per_Batch]*IFERROR(INDEX(PP_Grid[#Data],M_BOM[PPGridRow],99),0))+IFERROR(INDEX(M_RawMaterials[固定週次消費量_要入力],MATCH($A51,M_RawMaterials[Part Name],0)),0)</f>
        <v/>
      </c>
      <c r="CV51">
        <f>SUMPRODUCT((M_BOM[Part Name]=$A51)*M_BOM[RM_Qty_Per_Batch]*IFERROR(INDEX(PP_Grid[#Data],M_BOM[PPGridRow],100),0))+IFERROR(INDEX(M_RawMaterials[固定週次消費量_要入力],MATCH($A51,M_RawMaterials[Part Name],0)),0)</f>
        <v/>
      </c>
      <c r="CW51">
        <f>SUMPRODUCT((M_BOM[Part Name]=$A51)*M_BOM[RM_Qty_Per_Batch]*IFERROR(INDEX(PP_Grid[#Data],M_BOM[PPGridRow],101),0))+IFERROR(INDEX(M_RawMaterials[固定週次消費量_要入力],MATCH($A51,M_RawMaterials[Part Name],0)),0)</f>
        <v/>
      </c>
      <c r="CX51">
        <f>SUMPRODUCT((M_BOM[Part Name]=$A51)*M_BOM[RM_Qty_Per_Batch]*IFERROR(INDEX(PP_Grid[#Data],M_BOM[PPGridRow],102),0))+IFERROR(INDEX(M_RawMaterials[固定週次消費量_要入力],MATCH($A51,M_RawMaterials[Part Name],0)),0)</f>
        <v/>
      </c>
      <c r="CY51">
        <f>SUMPRODUCT((M_BOM[Part Name]=$A51)*M_BOM[RM_Qty_Per_Batch]*IFERROR(INDEX(PP_Grid[#Data],M_BOM[PPGridRow],103),0))+IFERROR(INDEX(M_RawMaterials[固定週次消費量_要入力],MATCH($A51,M_RawMaterials[Part Name],0)),0)</f>
        <v/>
      </c>
      <c r="CZ51">
        <f>SUMPRODUCT((M_BOM[Part Name]=$A51)*M_BOM[RM_Qty_Per_Batch]*IFERROR(INDEX(PP_Grid[#Data],M_BOM[PPGridRow],104),0))+IFERROR(INDEX(M_RawMaterials[固定週次消費量_要入力],MATCH($A51,M_RawMaterials[Part Name],0)),0)</f>
        <v/>
      </c>
      <c r="DA51">
        <f>SUMPRODUCT((M_BOM[Part Name]=$A51)*M_BOM[RM_Qty_Per_Batch]*IFERROR(INDEX(PP_Grid[#Data],M_BOM[PPGridRow],105),0))+IFERROR(INDEX(M_RawMaterials[固定週次消費量_要入力],MATCH($A51,M_RawMaterials[Part Name],0)),0)</f>
        <v/>
      </c>
    </row>
    <row r="52">
      <c r="A52" t="inlineStr">
        <is>
          <t>Original Towel</t>
        </is>
      </c>
      <c r="B52">
        <f>SUMPRODUCT((M_BOM[Part Name]=$A52)*M_BOM[RM_Qty_Per_Batch]*IFERROR(INDEX(PP_Grid[#Data],M_BOM[PPGridRow],2),0))+IFERROR(INDEX(M_RawMaterials[固定週次消費量_要入力],MATCH($A52,M_RawMaterials[Part Name],0)),0)</f>
        <v/>
      </c>
      <c r="C52">
        <f>SUMPRODUCT((M_BOM[Part Name]=$A52)*M_BOM[RM_Qty_Per_Batch]*IFERROR(INDEX(PP_Grid[#Data],M_BOM[PPGridRow],3),0))+IFERROR(INDEX(M_RawMaterials[固定週次消費量_要入力],MATCH($A52,M_RawMaterials[Part Name],0)),0)</f>
        <v/>
      </c>
      <c r="D52">
        <f>SUMPRODUCT((M_BOM[Part Name]=$A52)*M_BOM[RM_Qty_Per_Batch]*IFERROR(INDEX(PP_Grid[#Data],M_BOM[PPGridRow],4),0))+IFERROR(INDEX(M_RawMaterials[固定週次消費量_要入力],MATCH($A52,M_RawMaterials[Part Name],0)),0)</f>
        <v/>
      </c>
      <c r="E52">
        <f>SUMPRODUCT((M_BOM[Part Name]=$A52)*M_BOM[RM_Qty_Per_Batch]*IFERROR(INDEX(PP_Grid[#Data],M_BOM[PPGridRow],5),0))+IFERROR(INDEX(M_RawMaterials[固定週次消費量_要入力],MATCH($A52,M_RawMaterials[Part Name],0)),0)</f>
        <v/>
      </c>
      <c r="F52">
        <f>SUMPRODUCT((M_BOM[Part Name]=$A52)*M_BOM[RM_Qty_Per_Batch]*IFERROR(INDEX(PP_Grid[#Data],M_BOM[PPGridRow],6),0))+IFERROR(INDEX(M_RawMaterials[固定週次消費量_要入力],MATCH($A52,M_RawMaterials[Part Name],0)),0)</f>
        <v/>
      </c>
      <c r="G52">
        <f>SUMPRODUCT((M_BOM[Part Name]=$A52)*M_BOM[RM_Qty_Per_Batch]*IFERROR(INDEX(PP_Grid[#Data],M_BOM[PPGridRow],7),0))+IFERROR(INDEX(M_RawMaterials[固定週次消費量_要入力],MATCH($A52,M_RawMaterials[Part Name],0)),0)</f>
        <v/>
      </c>
      <c r="H52">
        <f>SUMPRODUCT((M_BOM[Part Name]=$A52)*M_BOM[RM_Qty_Per_Batch]*IFERROR(INDEX(PP_Grid[#Data],M_BOM[PPGridRow],8),0))+IFERROR(INDEX(M_RawMaterials[固定週次消費量_要入力],MATCH($A52,M_RawMaterials[Part Name],0)),0)</f>
        <v/>
      </c>
      <c r="I52">
        <f>SUMPRODUCT((M_BOM[Part Name]=$A52)*M_BOM[RM_Qty_Per_Batch]*IFERROR(INDEX(PP_Grid[#Data],M_BOM[PPGridRow],9),0))+IFERROR(INDEX(M_RawMaterials[固定週次消費量_要入力],MATCH($A52,M_RawMaterials[Part Name],0)),0)</f>
        <v/>
      </c>
      <c r="J52">
        <f>SUMPRODUCT((M_BOM[Part Name]=$A52)*M_BOM[RM_Qty_Per_Batch]*IFERROR(INDEX(PP_Grid[#Data],M_BOM[PPGridRow],10),0))+IFERROR(INDEX(M_RawMaterials[固定週次消費量_要入力],MATCH($A52,M_RawMaterials[Part Name],0)),0)</f>
        <v/>
      </c>
      <c r="K52">
        <f>SUMPRODUCT((M_BOM[Part Name]=$A52)*M_BOM[RM_Qty_Per_Batch]*IFERROR(INDEX(PP_Grid[#Data],M_BOM[PPGridRow],11),0))+IFERROR(INDEX(M_RawMaterials[固定週次消費量_要入力],MATCH($A52,M_RawMaterials[Part Name],0)),0)</f>
        <v/>
      </c>
      <c r="L52">
        <f>SUMPRODUCT((M_BOM[Part Name]=$A52)*M_BOM[RM_Qty_Per_Batch]*IFERROR(INDEX(PP_Grid[#Data],M_BOM[PPGridRow],12),0))+IFERROR(INDEX(M_RawMaterials[固定週次消費量_要入力],MATCH($A52,M_RawMaterials[Part Name],0)),0)</f>
        <v/>
      </c>
      <c r="M52">
        <f>SUMPRODUCT((M_BOM[Part Name]=$A52)*M_BOM[RM_Qty_Per_Batch]*IFERROR(INDEX(PP_Grid[#Data],M_BOM[PPGridRow],13),0))+IFERROR(INDEX(M_RawMaterials[固定週次消費量_要入力],MATCH($A52,M_RawMaterials[Part Name],0)),0)</f>
        <v/>
      </c>
      <c r="N52">
        <f>SUMPRODUCT((M_BOM[Part Name]=$A52)*M_BOM[RM_Qty_Per_Batch]*IFERROR(INDEX(PP_Grid[#Data],M_BOM[PPGridRow],14),0))+IFERROR(INDEX(M_RawMaterials[固定週次消費量_要入力],MATCH($A52,M_RawMaterials[Part Name],0)),0)</f>
        <v/>
      </c>
      <c r="O52">
        <f>SUMPRODUCT((M_BOM[Part Name]=$A52)*M_BOM[RM_Qty_Per_Batch]*IFERROR(INDEX(PP_Grid[#Data],M_BOM[PPGridRow],15),0))+IFERROR(INDEX(M_RawMaterials[固定週次消費量_要入力],MATCH($A52,M_RawMaterials[Part Name],0)),0)</f>
        <v/>
      </c>
      <c r="P52">
        <f>SUMPRODUCT((M_BOM[Part Name]=$A52)*M_BOM[RM_Qty_Per_Batch]*IFERROR(INDEX(PP_Grid[#Data],M_BOM[PPGridRow],16),0))+IFERROR(INDEX(M_RawMaterials[固定週次消費量_要入力],MATCH($A52,M_RawMaterials[Part Name],0)),0)</f>
        <v/>
      </c>
      <c r="Q52">
        <f>SUMPRODUCT((M_BOM[Part Name]=$A52)*M_BOM[RM_Qty_Per_Batch]*IFERROR(INDEX(PP_Grid[#Data],M_BOM[PPGridRow],17),0))+IFERROR(INDEX(M_RawMaterials[固定週次消費量_要入力],MATCH($A52,M_RawMaterials[Part Name],0)),0)</f>
        <v/>
      </c>
      <c r="R52">
        <f>SUMPRODUCT((M_BOM[Part Name]=$A52)*M_BOM[RM_Qty_Per_Batch]*IFERROR(INDEX(PP_Grid[#Data],M_BOM[PPGridRow],18),0))+IFERROR(INDEX(M_RawMaterials[固定週次消費量_要入力],MATCH($A52,M_RawMaterials[Part Name],0)),0)</f>
        <v/>
      </c>
      <c r="S52">
        <f>SUMPRODUCT((M_BOM[Part Name]=$A52)*M_BOM[RM_Qty_Per_Batch]*IFERROR(INDEX(PP_Grid[#Data],M_BOM[PPGridRow],19),0))+IFERROR(INDEX(M_RawMaterials[固定週次消費量_要入力],MATCH($A52,M_RawMaterials[Part Name],0)),0)</f>
        <v/>
      </c>
      <c r="T52">
        <f>SUMPRODUCT((M_BOM[Part Name]=$A52)*M_BOM[RM_Qty_Per_Batch]*IFERROR(INDEX(PP_Grid[#Data],M_BOM[PPGridRow],20),0))+IFERROR(INDEX(M_RawMaterials[固定週次消費量_要入力],MATCH($A52,M_RawMaterials[Part Name],0)),0)</f>
        <v/>
      </c>
      <c r="U52">
        <f>SUMPRODUCT((M_BOM[Part Name]=$A52)*M_BOM[RM_Qty_Per_Batch]*IFERROR(INDEX(PP_Grid[#Data],M_BOM[PPGridRow],21),0))+IFERROR(INDEX(M_RawMaterials[固定週次消費量_要入力],MATCH($A52,M_RawMaterials[Part Name],0)),0)</f>
        <v/>
      </c>
      <c r="V52">
        <f>SUMPRODUCT((M_BOM[Part Name]=$A52)*M_BOM[RM_Qty_Per_Batch]*IFERROR(INDEX(PP_Grid[#Data],M_BOM[PPGridRow],22),0))+IFERROR(INDEX(M_RawMaterials[固定週次消費量_要入力],MATCH($A52,M_RawMaterials[Part Name],0)),0)</f>
        <v/>
      </c>
      <c r="W52">
        <f>SUMPRODUCT((M_BOM[Part Name]=$A52)*M_BOM[RM_Qty_Per_Batch]*IFERROR(INDEX(PP_Grid[#Data],M_BOM[PPGridRow],23),0))+IFERROR(INDEX(M_RawMaterials[固定週次消費量_要入力],MATCH($A52,M_RawMaterials[Part Name],0)),0)</f>
        <v/>
      </c>
      <c r="X52">
        <f>SUMPRODUCT((M_BOM[Part Name]=$A52)*M_BOM[RM_Qty_Per_Batch]*IFERROR(INDEX(PP_Grid[#Data],M_BOM[PPGridRow],24),0))+IFERROR(INDEX(M_RawMaterials[固定週次消費量_要入力],MATCH($A52,M_RawMaterials[Part Name],0)),0)</f>
        <v/>
      </c>
      <c r="Y52">
        <f>SUMPRODUCT((M_BOM[Part Name]=$A52)*M_BOM[RM_Qty_Per_Batch]*IFERROR(INDEX(PP_Grid[#Data],M_BOM[PPGridRow],25),0))+IFERROR(INDEX(M_RawMaterials[固定週次消費量_要入力],MATCH($A52,M_RawMaterials[Part Name],0)),0)</f>
        <v/>
      </c>
      <c r="Z52">
        <f>SUMPRODUCT((M_BOM[Part Name]=$A52)*M_BOM[RM_Qty_Per_Batch]*IFERROR(INDEX(PP_Grid[#Data],M_BOM[PPGridRow],26),0))+IFERROR(INDEX(M_RawMaterials[固定週次消費量_要入力],MATCH($A52,M_RawMaterials[Part Name],0)),0)</f>
        <v/>
      </c>
      <c r="AA52">
        <f>SUMPRODUCT((M_BOM[Part Name]=$A52)*M_BOM[RM_Qty_Per_Batch]*IFERROR(INDEX(PP_Grid[#Data],M_BOM[PPGridRow],27),0))+IFERROR(INDEX(M_RawMaterials[固定週次消費量_要入力],MATCH($A52,M_RawMaterials[Part Name],0)),0)</f>
        <v/>
      </c>
      <c r="AB52">
        <f>SUMPRODUCT((M_BOM[Part Name]=$A52)*M_BOM[RM_Qty_Per_Batch]*IFERROR(INDEX(PP_Grid[#Data],M_BOM[PPGridRow],28),0))+IFERROR(INDEX(M_RawMaterials[固定週次消費量_要入力],MATCH($A52,M_RawMaterials[Part Name],0)),0)</f>
        <v/>
      </c>
      <c r="AC52">
        <f>SUMPRODUCT((M_BOM[Part Name]=$A52)*M_BOM[RM_Qty_Per_Batch]*IFERROR(INDEX(PP_Grid[#Data],M_BOM[PPGridRow],29),0))+IFERROR(INDEX(M_RawMaterials[固定週次消費量_要入力],MATCH($A52,M_RawMaterials[Part Name],0)),0)</f>
        <v/>
      </c>
      <c r="AD52">
        <f>SUMPRODUCT((M_BOM[Part Name]=$A52)*M_BOM[RM_Qty_Per_Batch]*IFERROR(INDEX(PP_Grid[#Data],M_BOM[PPGridRow],30),0))+IFERROR(INDEX(M_RawMaterials[固定週次消費量_要入力],MATCH($A52,M_RawMaterials[Part Name],0)),0)</f>
        <v/>
      </c>
      <c r="AE52">
        <f>SUMPRODUCT((M_BOM[Part Name]=$A52)*M_BOM[RM_Qty_Per_Batch]*IFERROR(INDEX(PP_Grid[#Data],M_BOM[PPGridRow],31),0))+IFERROR(INDEX(M_RawMaterials[固定週次消費量_要入力],MATCH($A52,M_RawMaterials[Part Name],0)),0)</f>
        <v/>
      </c>
      <c r="AF52">
        <f>SUMPRODUCT((M_BOM[Part Name]=$A52)*M_BOM[RM_Qty_Per_Batch]*IFERROR(INDEX(PP_Grid[#Data],M_BOM[PPGridRow],32),0))+IFERROR(INDEX(M_RawMaterials[固定週次消費量_要入力],MATCH($A52,M_RawMaterials[Part Name],0)),0)</f>
        <v/>
      </c>
      <c r="AG52">
        <f>SUMPRODUCT((M_BOM[Part Name]=$A52)*M_BOM[RM_Qty_Per_Batch]*IFERROR(INDEX(PP_Grid[#Data],M_BOM[PPGridRow],33),0))+IFERROR(INDEX(M_RawMaterials[固定週次消費量_要入力],MATCH($A52,M_RawMaterials[Part Name],0)),0)</f>
        <v/>
      </c>
      <c r="AH52">
        <f>SUMPRODUCT((M_BOM[Part Name]=$A52)*M_BOM[RM_Qty_Per_Batch]*IFERROR(INDEX(PP_Grid[#Data],M_BOM[PPGridRow],34),0))+IFERROR(INDEX(M_RawMaterials[固定週次消費量_要入力],MATCH($A52,M_RawMaterials[Part Name],0)),0)</f>
        <v/>
      </c>
      <c r="AI52">
        <f>SUMPRODUCT((M_BOM[Part Name]=$A52)*M_BOM[RM_Qty_Per_Batch]*IFERROR(INDEX(PP_Grid[#Data],M_BOM[PPGridRow],35),0))+IFERROR(INDEX(M_RawMaterials[固定週次消費量_要入力],MATCH($A52,M_RawMaterials[Part Name],0)),0)</f>
        <v/>
      </c>
      <c r="AJ52">
        <f>SUMPRODUCT((M_BOM[Part Name]=$A52)*M_BOM[RM_Qty_Per_Batch]*IFERROR(INDEX(PP_Grid[#Data],M_BOM[PPGridRow],36),0))+IFERROR(INDEX(M_RawMaterials[固定週次消費量_要入力],MATCH($A52,M_RawMaterials[Part Name],0)),0)</f>
        <v/>
      </c>
      <c r="AK52">
        <f>SUMPRODUCT((M_BOM[Part Name]=$A52)*M_BOM[RM_Qty_Per_Batch]*IFERROR(INDEX(PP_Grid[#Data],M_BOM[PPGridRow],37),0))+IFERROR(INDEX(M_RawMaterials[固定週次消費量_要入力],MATCH($A52,M_RawMaterials[Part Name],0)),0)</f>
        <v/>
      </c>
      <c r="AL52">
        <f>SUMPRODUCT((M_BOM[Part Name]=$A52)*M_BOM[RM_Qty_Per_Batch]*IFERROR(INDEX(PP_Grid[#Data],M_BOM[PPGridRow],38),0))+IFERROR(INDEX(M_RawMaterials[固定週次消費量_要入力],MATCH($A52,M_RawMaterials[Part Name],0)),0)</f>
        <v/>
      </c>
      <c r="AM52">
        <f>SUMPRODUCT((M_BOM[Part Name]=$A52)*M_BOM[RM_Qty_Per_Batch]*IFERROR(INDEX(PP_Grid[#Data],M_BOM[PPGridRow],39),0))+IFERROR(INDEX(M_RawMaterials[固定週次消費量_要入力],MATCH($A52,M_RawMaterials[Part Name],0)),0)</f>
        <v/>
      </c>
      <c r="AN52">
        <f>SUMPRODUCT((M_BOM[Part Name]=$A52)*M_BOM[RM_Qty_Per_Batch]*IFERROR(INDEX(PP_Grid[#Data],M_BOM[PPGridRow],40),0))+IFERROR(INDEX(M_RawMaterials[固定週次消費量_要入力],MATCH($A52,M_RawMaterials[Part Name],0)),0)</f>
        <v/>
      </c>
      <c r="AO52">
        <f>SUMPRODUCT((M_BOM[Part Name]=$A52)*M_BOM[RM_Qty_Per_Batch]*IFERROR(INDEX(PP_Grid[#Data],M_BOM[PPGridRow],41),0))+IFERROR(INDEX(M_RawMaterials[固定週次消費量_要入力],MATCH($A52,M_RawMaterials[Part Name],0)),0)</f>
        <v/>
      </c>
      <c r="AP52">
        <f>SUMPRODUCT((M_BOM[Part Name]=$A52)*M_BOM[RM_Qty_Per_Batch]*IFERROR(INDEX(PP_Grid[#Data],M_BOM[PPGridRow],42),0))+IFERROR(INDEX(M_RawMaterials[固定週次消費量_要入力],MATCH($A52,M_RawMaterials[Part Name],0)),0)</f>
        <v/>
      </c>
      <c r="AQ52">
        <f>SUMPRODUCT((M_BOM[Part Name]=$A52)*M_BOM[RM_Qty_Per_Batch]*IFERROR(INDEX(PP_Grid[#Data],M_BOM[PPGridRow],43),0))+IFERROR(INDEX(M_RawMaterials[固定週次消費量_要入力],MATCH($A52,M_RawMaterials[Part Name],0)),0)</f>
        <v/>
      </c>
      <c r="AR52">
        <f>SUMPRODUCT((M_BOM[Part Name]=$A52)*M_BOM[RM_Qty_Per_Batch]*IFERROR(INDEX(PP_Grid[#Data],M_BOM[PPGridRow],44),0))+IFERROR(INDEX(M_RawMaterials[固定週次消費量_要入力],MATCH($A52,M_RawMaterials[Part Name],0)),0)</f>
        <v/>
      </c>
      <c r="AS52">
        <f>SUMPRODUCT((M_BOM[Part Name]=$A52)*M_BOM[RM_Qty_Per_Batch]*IFERROR(INDEX(PP_Grid[#Data],M_BOM[PPGridRow],45),0))+IFERROR(INDEX(M_RawMaterials[固定週次消費量_要入力],MATCH($A52,M_RawMaterials[Part Name],0)),0)</f>
        <v/>
      </c>
      <c r="AT52">
        <f>SUMPRODUCT((M_BOM[Part Name]=$A52)*M_BOM[RM_Qty_Per_Batch]*IFERROR(INDEX(PP_Grid[#Data],M_BOM[PPGridRow],46),0))+IFERROR(INDEX(M_RawMaterials[固定週次消費量_要入力],MATCH($A52,M_RawMaterials[Part Name],0)),0)</f>
        <v/>
      </c>
      <c r="AU52">
        <f>SUMPRODUCT((M_BOM[Part Name]=$A52)*M_BOM[RM_Qty_Per_Batch]*IFERROR(INDEX(PP_Grid[#Data],M_BOM[PPGridRow],47),0))+IFERROR(INDEX(M_RawMaterials[固定週次消費量_要入力],MATCH($A52,M_RawMaterials[Part Name],0)),0)</f>
        <v/>
      </c>
      <c r="AV52">
        <f>SUMPRODUCT((M_BOM[Part Name]=$A52)*M_BOM[RM_Qty_Per_Batch]*IFERROR(INDEX(PP_Grid[#Data],M_BOM[PPGridRow],48),0))+IFERROR(INDEX(M_RawMaterials[固定週次消費量_要入力],MATCH($A52,M_RawMaterials[Part Name],0)),0)</f>
        <v/>
      </c>
      <c r="AW52">
        <f>SUMPRODUCT((M_BOM[Part Name]=$A52)*M_BOM[RM_Qty_Per_Batch]*IFERROR(INDEX(PP_Grid[#Data],M_BOM[PPGridRow],49),0))+IFERROR(INDEX(M_RawMaterials[固定週次消費量_要入力],MATCH($A52,M_RawMaterials[Part Name],0)),0)</f>
        <v/>
      </c>
      <c r="AX52">
        <f>SUMPRODUCT((M_BOM[Part Name]=$A52)*M_BOM[RM_Qty_Per_Batch]*IFERROR(INDEX(PP_Grid[#Data],M_BOM[PPGridRow],50),0))+IFERROR(INDEX(M_RawMaterials[固定週次消費量_要入力],MATCH($A52,M_RawMaterials[Part Name],0)),0)</f>
        <v/>
      </c>
      <c r="AY52">
        <f>SUMPRODUCT((M_BOM[Part Name]=$A52)*M_BOM[RM_Qty_Per_Batch]*IFERROR(INDEX(PP_Grid[#Data],M_BOM[PPGridRow],51),0))+IFERROR(INDEX(M_RawMaterials[固定週次消費量_要入力],MATCH($A52,M_RawMaterials[Part Name],0)),0)</f>
        <v/>
      </c>
      <c r="AZ52">
        <f>SUMPRODUCT((M_BOM[Part Name]=$A52)*M_BOM[RM_Qty_Per_Batch]*IFERROR(INDEX(PP_Grid[#Data],M_BOM[PPGridRow],52),0))+IFERROR(INDEX(M_RawMaterials[固定週次消費量_要入力],MATCH($A52,M_RawMaterials[Part Name],0)),0)</f>
        <v/>
      </c>
      <c r="BA52">
        <f>SUMPRODUCT((M_BOM[Part Name]=$A52)*M_BOM[RM_Qty_Per_Batch]*IFERROR(INDEX(PP_Grid[#Data],M_BOM[PPGridRow],53),0))+IFERROR(INDEX(M_RawMaterials[固定週次消費量_要入力],MATCH($A52,M_RawMaterials[Part Name],0)),0)</f>
        <v/>
      </c>
      <c r="BB52">
        <f>SUMPRODUCT((M_BOM[Part Name]=$A52)*M_BOM[RM_Qty_Per_Batch]*IFERROR(INDEX(PP_Grid[#Data],M_BOM[PPGridRow],54),0))+IFERROR(INDEX(M_RawMaterials[固定週次消費量_要入力],MATCH($A52,M_RawMaterials[Part Name],0)),0)</f>
        <v/>
      </c>
      <c r="BC52">
        <f>SUMPRODUCT((M_BOM[Part Name]=$A52)*M_BOM[RM_Qty_Per_Batch]*IFERROR(INDEX(PP_Grid[#Data],M_BOM[PPGridRow],55),0))+IFERROR(INDEX(M_RawMaterials[固定週次消費量_要入力],MATCH($A52,M_RawMaterials[Part Name],0)),0)</f>
        <v/>
      </c>
      <c r="BD52">
        <f>SUMPRODUCT((M_BOM[Part Name]=$A52)*M_BOM[RM_Qty_Per_Batch]*IFERROR(INDEX(PP_Grid[#Data],M_BOM[PPGridRow],56),0))+IFERROR(INDEX(M_RawMaterials[固定週次消費量_要入力],MATCH($A52,M_RawMaterials[Part Name],0)),0)</f>
        <v/>
      </c>
      <c r="BE52">
        <f>SUMPRODUCT((M_BOM[Part Name]=$A52)*M_BOM[RM_Qty_Per_Batch]*IFERROR(INDEX(PP_Grid[#Data],M_BOM[PPGridRow],57),0))+IFERROR(INDEX(M_RawMaterials[固定週次消費量_要入力],MATCH($A52,M_RawMaterials[Part Name],0)),0)</f>
        <v/>
      </c>
      <c r="BF52">
        <f>SUMPRODUCT((M_BOM[Part Name]=$A52)*M_BOM[RM_Qty_Per_Batch]*IFERROR(INDEX(PP_Grid[#Data],M_BOM[PPGridRow],58),0))+IFERROR(INDEX(M_RawMaterials[固定週次消費量_要入力],MATCH($A52,M_RawMaterials[Part Name],0)),0)</f>
        <v/>
      </c>
      <c r="BG52">
        <f>SUMPRODUCT((M_BOM[Part Name]=$A52)*M_BOM[RM_Qty_Per_Batch]*IFERROR(INDEX(PP_Grid[#Data],M_BOM[PPGridRow],59),0))+IFERROR(INDEX(M_RawMaterials[固定週次消費量_要入力],MATCH($A52,M_RawMaterials[Part Name],0)),0)</f>
        <v/>
      </c>
      <c r="BH52">
        <f>SUMPRODUCT((M_BOM[Part Name]=$A52)*M_BOM[RM_Qty_Per_Batch]*IFERROR(INDEX(PP_Grid[#Data],M_BOM[PPGridRow],60),0))+IFERROR(INDEX(M_RawMaterials[固定週次消費量_要入力],MATCH($A52,M_RawMaterials[Part Name],0)),0)</f>
        <v/>
      </c>
      <c r="BI52">
        <f>SUMPRODUCT((M_BOM[Part Name]=$A52)*M_BOM[RM_Qty_Per_Batch]*IFERROR(INDEX(PP_Grid[#Data],M_BOM[PPGridRow],61),0))+IFERROR(INDEX(M_RawMaterials[固定週次消費量_要入力],MATCH($A52,M_RawMaterials[Part Name],0)),0)</f>
        <v/>
      </c>
      <c r="BJ52">
        <f>SUMPRODUCT((M_BOM[Part Name]=$A52)*M_BOM[RM_Qty_Per_Batch]*IFERROR(INDEX(PP_Grid[#Data],M_BOM[PPGridRow],62),0))+IFERROR(INDEX(M_RawMaterials[固定週次消費量_要入力],MATCH($A52,M_RawMaterials[Part Name],0)),0)</f>
        <v/>
      </c>
      <c r="BK52">
        <f>SUMPRODUCT((M_BOM[Part Name]=$A52)*M_BOM[RM_Qty_Per_Batch]*IFERROR(INDEX(PP_Grid[#Data],M_BOM[PPGridRow],63),0))+IFERROR(INDEX(M_RawMaterials[固定週次消費量_要入力],MATCH($A52,M_RawMaterials[Part Name],0)),0)</f>
        <v/>
      </c>
      <c r="BL52">
        <f>SUMPRODUCT((M_BOM[Part Name]=$A52)*M_BOM[RM_Qty_Per_Batch]*IFERROR(INDEX(PP_Grid[#Data],M_BOM[PPGridRow],64),0))+IFERROR(INDEX(M_RawMaterials[固定週次消費量_要入力],MATCH($A52,M_RawMaterials[Part Name],0)),0)</f>
        <v/>
      </c>
      <c r="BM52">
        <f>SUMPRODUCT((M_BOM[Part Name]=$A52)*M_BOM[RM_Qty_Per_Batch]*IFERROR(INDEX(PP_Grid[#Data],M_BOM[PPGridRow],65),0))+IFERROR(INDEX(M_RawMaterials[固定週次消費量_要入力],MATCH($A52,M_RawMaterials[Part Name],0)),0)</f>
        <v/>
      </c>
      <c r="BN52">
        <f>SUMPRODUCT((M_BOM[Part Name]=$A52)*M_BOM[RM_Qty_Per_Batch]*IFERROR(INDEX(PP_Grid[#Data],M_BOM[PPGridRow],66),0))+IFERROR(INDEX(M_RawMaterials[固定週次消費量_要入力],MATCH($A52,M_RawMaterials[Part Name],0)),0)</f>
        <v/>
      </c>
      <c r="BO52">
        <f>SUMPRODUCT((M_BOM[Part Name]=$A52)*M_BOM[RM_Qty_Per_Batch]*IFERROR(INDEX(PP_Grid[#Data],M_BOM[PPGridRow],67),0))+IFERROR(INDEX(M_RawMaterials[固定週次消費量_要入力],MATCH($A52,M_RawMaterials[Part Name],0)),0)</f>
        <v/>
      </c>
      <c r="BP52">
        <f>SUMPRODUCT((M_BOM[Part Name]=$A52)*M_BOM[RM_Qty_Per_Batch]*IFERROR(INDEX(PP_Grid[#Data],M_BOM[PPGridRow],68),0))+IFERROR(INDEX(M_RawMaterials[固定週次消費量_要入力],MATCH($A52,M_RawMaterials[Part Name],0)),0)</f>
        <v/>
      </c>
      <c r="BQ52">
        <f>SUMPRODUCT((M_BOM[Part Name]=$A52)*M_BOM[RM_Qty_Per_Batch]*IFERROR(INDEX(PP_Grid[#Data],M_BOM[PPGridRow],69),0))+IFERROR(INDEX(M_RawMaterials[固定週次消費量_要入力],MATCH($A52,M_RawMaterials[Part Name],0)),0)</f>
        <v/>
      </c>
      <c r="BR52">
        <f>SUMPRODUCT((M_BOM[Part Name]=$A52)*M_BOM[RM_Qty_Per_Batch]*IFERROR(INDEX(PP_Grid[#Data],M_BOM[PPGridRow],70),0))+IFERROR(INDEX(M_RawMaterials[固定週次消費量_要入力],MATCH($A52,M_RawMaterials[Part Name],0)),0)</f>
        <v/>
      </c>
      <c r="BS52">
        <f>SUMPRODUCT((M_BOM[Part Name]=$A52)*M_BOM[RM_Qty_Per_Batch]*IFERROR(INDEX(PP_Grid[#Data],M_BOM[PPGridRow],71),0))+IFERROR(INDEX(M_RawMaterials[固定週次消費量_要入力],MATCH($A52,M_RawMaterials[Part Name],0)),0)</f>
        <v/>
      </c>
      <c r="BT52">
        <f>SUMPRODUCT((M_BOM[Part Name]=$A52)*M_BOM[RM_Qty_Per_Batch]*IFERROR(INDEX(PP_Grid[#Data],M_BOM[PPGridRow],72),0))+IFERROR(INDEX(M_RawMaterials[固定週次消費量_要入力],MATCH($A52,M_RawMaterials[Part Name],0)),0)</f>
        <v/>
      </c>
      <c r="BU52">
        <f>SUMPRODUCT((M_BOM[Part Name]=$A52)*M_BOM[RM_Qty_Per_Batch]*IFERROR(INDEX(PP_Grid[#Data],M_BOM[PPGridRow],73),0))+IFERROR(INDEX(M_RawMaterials[固定週次消費量_要入力],MATCH($A52,M_RawMaterials[Part Name],0)),0)</f>
        <v/>
      </c>
      <c r="BV52">
        <f>SUMPRODUCT((M_BOM[Part Name]=$A52)*M_BOM[RM_Qty_Per_Batch]*IFERROR(INDEX(PP_Grid[#Data],M_BOM[PPGridRow],74),0))+IFERROR(INDEX(M_RawMaterials[固定週次消費量_要入力],MATCH($A52,M_RawMaterials[Part Name],0)),0)</f>
        <v/>
      </c>
      <c r="BW52">
        <f>SUMPRODUCT((M_BOM[Part Name]=$A52)*M_BOM[RM_Qty_Per_Batch]*IFERROR(INDEX(PP_Grid[#Data],M_BOM[PPGridRow],75),0))+IFERROR(INDEX(M_RawMaterials[固定週次消費量_要入力],MATCH($A52,M_RawMaterials[Part Name],0)),0)</f>
        <v/>
      </c>
      <c r="BX52">
        <f>SUMPRODUCT((M_BOM[Part Name]=$A52)*M_BOM[RM_Qty_Per_Batch]*IFERROR(INDEX(PP_Grid[#Data],M_BOM[PPGridRow],76),0))+IFERROR(INDEX(M_RawMaterials[固定週次消費量_要入力],MATCH($A52,M_RawMaterials[Part Name],0)),0)</f>
        <v/>
      </c>
      <c r="BY52">
        <f>SUMPRODUCT((M_BOM[Part Name]=$A52)*M_BOM[RM_Qty_Per_Batch]*IFERROR(INDEX(PP_Grid[#Data],M_BOM[PPGridRow],77),0))+IFERROR(INDEX(M_RawMaterials[固定週次消費量_要入力],MATCH($A52,M_RawMaterials[Part Name],0)),0)</f>
        <v/>
      </c>
      <c r="BZ52">
        <f>SUMPRODUCT((M_BOM[Part Name]=$A52)*M_BOM[RM_Qty_Per_Batch]*IFERROR(INDEX(PP_Grid[#Data],M_BOM[PPGridRow],78),0))+IFERROR(INDEX(M_RawMaterials[固定週次消費量_要入力],MATCH($A52,M_RawMaterials[Part Name],0)),0)</f>
        <v/>
      </c>
      <c r="CA52">
        <f>SUMPRODUCT((M_BOM[Part Name]=$A52)*M_BOM[RM_Qty_Per_Batch]*IFERROR(INDEX(PP_Grid[#Data],M_BOM[PPGridRow],79),0))+IFERROR(INDEX(M_RawMaterials[固定週次消費量_要入力],MATCH($A52,M_RawMaterials[Part Name],0)),0)</f>
        <v/>
      </c>
      <c r="CB52">
        <f>SUMPRODUCT((M_BOM[Part Name]=$A52)*M_BOM[RM_Qty_Per_Batch]*IFERROR(INDEX(PP_Grid[#Data],M_BOM[PPGridRow],80),0))+IFERROR(INDEX(M_RawMaterials[固定週次消費量_要入力],MATCH($A52,M_RawMaterials[Part Name],0)),0)</f>
        <v/>
      </c>
      <c r="CC52">
        <f>SUMPRODUCT((M_BOM[Part Name]=$A52)*M_BOM[RM_Qty_Per_Batch]*IFERROR(INDEX(PP_Grid[#Data],M_BOM[PPGridRow],81),0))+IFERROR(INDEX(M_RawMaterials[固定週次消費量_要入力],MATCH($A52,M_RawMaterials[Part Name],0)),0)</f>
        <v/>
      </c>
      <c r="CD52">
        <f>SUMPRODUCT((M_BOM[Part Name]=$A52)*M_BOM[RM_Qty_Per_Batch]*IFERROR(INDEX(PP_Grid[#Data],M_BOM[PPGridRow],82),0))+IFERROR(INDEX(M_RawMaterials[固定週次消費量_要入力],MATCH($A52,M_RawMaterials[Part Name],0)),0)</f>
        <v/>
      </c>
      <c r="CE52">
        <f>SUMPRODUCT((M_BOM[Part Name]=$A52)*M_BOM[RM_Qty_Per_Batch]*IFERROR(INDEX(PP_Grid[#Data],M_BOM[PPGridRow],83),0))+IFERROR(INDEX(M_RawMaterials[固定週次消費量_要入力],MATCH($A52,M_RawMaterials[Part Name],0)),0)</f>
        <v/>
      </c>
      <c r="CF52">
        <f>SUMPRODUCT((M_BOM[Part Name]=$A52)*M_BOM[RM_Qty_Per_Batch]*IFERROR(INDEX(PP_Grid[#Data],M_BOM[PPGridRow],84),0))+IFERROR(INDEX(M_RawMaterials[固定週次消費量_要入力],MATCH($A52,M_RawMaterials[Part Name],0)),0)</f>
        <v/>
      </c>
      <c r="CG52">
        <f>SUMPRODUCT((M_BOM[Part Name]=$A52)*M_BOM[RM_Qty_Per_Batch]*IFERROR(INDEX(PP_Grid[#Data],M_BOM[PPGridRow],85),0))+IFERROR(INDEX(M_RawMaterials[固定週次消費量_要入力],MATCH($A52,M_RawMaterials[Part Name],0)),0)</f>
        <v/>
      </c>
      <c r="CH52">
        <f>SUMPRODUCT((M_BOM[Part Name]=$A52)*M_BOM[RM_Qty_Per_Batch]*IFERROR(INDEX(PP_Grid[#Data],M_BOM[PPGridRow],86),0))+IFERROR(INDEX(M_RawMaterials[固定週次消費量_要入力],MATCH($A52,M_RawMaterials[Part Name],0)),0)</f>
        <v/>
      </c>
      <c r="CI52">
        <f>SUMPRODUCT((M_BOM[Part Name]=$A52)*M_BOM[RM_Qty_Per_Batch]*IFERROR(INDEX(PP_Grid[#Data],M_BOM[PPGridRow],87),0))+IFERROR(INDEX(M_RawMaterials[固定週次消費量_要入力],MATCH($A52,M_RawMaterials[Part Name],0)),0)</f>
        <v/>
      </c>
      <c r="CJ52">
        <f>SUMPRODUCT((M_BOM[Part Name]=$A52)*M_BOM[RM_Qty_Per_Batch]*IFERROR(INDEX(PP_Grid[#Data],M_BOM[PPGridRow],88),0))+IFERROR(INDEX(M_RawMaterials[固定週次消費量_要入力],MATCH($A52,M_RawMaterials[Part Name],0)),0)</f>
        <v/>
      </c>
      <c r="CK52">
        <f>SUMPRODUCT((M_BOM[Part Name]=$A52)*M_BOM[RM_Qty_Per_Batch]*IFERROR(INDEX(PP_Grid[#Data],M_BOM[PPGridRow],89),0))+IFERROR(INDEX(M_RawMaterials[固定週次消費量_要入力],MATCH($A52,M_RawMaterials[Part Name],0)),0)</f>
        <v/>
      </c>
      <c r="CL52">
        <f>SUMPRODUCT((M_BOM[Part Name]=$A52)*M_BOM[RM_Qty_Per_Batch]*IFERROR(INDEX(PP_Grid[#Data],M_BOM[PPGridRow],90),0))+IFERROR(INDEX(M_RawMaterials[固定週次消費量_要入力],MATCH($A52,M_RawMaterials[Part Name],0)),0)</f>
        <v/>
      </c>
      <c r="CM52">
        <f>SUMPRODUCT((M_BOM[Part Name]=$A52)*M_BOM[RM_Qty_Per_Batch]*IFERROR(INDEX(PP_Grid[#Data],M_BOM[PPGridRow],91),0))+IFERROR(INDEX(M_RawMaterials[固定週次消費量_要入力],MATCH($A52,M_RawMaterials[Part Name],0)),0)</f>
        <v/>
      </c>
      <c r="CN52">
        <f>SUMPRODUCT((M_BOM[Part Name]=$A52)*M_BOM[RM_Qty_Per_Batch]*IFERROR(INDEX(PP_Grid[#Data],M_BOM[PPGridRow],92),0))+IFERROR(INDEX(M_RawMaterials[固定週次消費量_要入力],MATCH($A52,M_RawMaterials[Part Name],0)),0)</f>
        <v/>
      </c>
      <c r="CO52">
        <f>SUMPRODUCT((M_BOM[Part Name]=$A52)*M_BOM[RM_Qty_Per_Batch]*IFERROR(INDEX(PP_Grid[#Data],M_BOM[PPGridRow],93),0))+IFERROR(INDEX(M_RawMaterials[固定週次消費量_要入力],MATCH($A52,M_RawMaterials[Part Name],0)),0)</f>
        <v/>
      </c>
      <c r="CP52">
        <f>SUMPRODUCT((M_BOM[Part Name]=$A52)*M_BOM[RM_Qty_Per_Batch]*IFERROR(INDEX(PP_Grid[#Data],M_BOM[PPGridRow],94),0))+IFERROR(INDEX(M_RawMaterials[固定週次消費量_要入力],MATCH($A52,M_RawMaterials[Part Name],0)),0)</f>
        <v/>
      </c>
      <c r="CQ52">
        <f>SUMPRODUCT((M_BOM[Part Name]=$A52)*M_BOM[RM_Qty_Per_Batch]*IFERROR(INDEX(PP_Grid[#Data],M_BOM[PPGridRow],95),0))+IFERROR(INDEX(M_RawMaterials[固定週次消費量_要入力],MATCH($A52,M_RawMaterials[Part Name],0)),0)</f>
        <v/>
      </c>
      <c r="CR52">
        <f>SUMPRODUCT((M_BOM[Part Name]=$A52)*M_BOM[RM_Qty_Per_Batch]*IFERROR(INDEX(PP_Grid[#Data],M_BOM[PPGridRow],96),0))+IFERROR(INDEX(M_RawMaterials[固定週次消費量_要入力],MATCH($A52,M_RawMaterials[Part Name],0)),0)</f>
        <v/>
      </c>
      <c r="CS52">
        <f>SUMPRODUCT((M_BOM[Part Name]=$A52)*M_BOM[RM_Qty_Per_Batch]*IFERROR(INDEX(PP_Grid[#Data],M_BOM[PPGridRow],97),0))+IFERROR(INDEX(M_RawMaterials[固定週次消費量_要入力],MATCH($A52,M_RawMaterials[Part Name],0)),0)</f>
        <v/>
      </c>
      <c r="CT52">
        <f>SUMPRODUCT((M_BOM[Part Name]=$A52)*M_BOM[RM_Qty_Per_Batch]*IFERROR(INDEX(PP_Grid[#Data],M_BOM[PPGridRow],98),0))+IFERROR(INDEX(M_RawMaterials[固定週次消費量_要入力],MATCH($A52,M_RawMaterials[Part Name],0)),0)</f>
        <v/>
      </c>
      <c r="CU52">
        <f>SUMPRODUCT((M_BOM[Part Name]=$A52)*M_BOM[RM_Qty_Per_Batch]*IFERROR(INDEX(PP_Grid[#Data],M_BOM[PPGridRow],99),0))+IFERROR(INDEX(M_RawMaterials[固定週次消費量_要入力],MATCH($A52,M_RawMaterials[Part Name],0)),0)</f>
        <v/>
      </c>
      <c r="CV52">
        <f>SUMPRODUCT((M_BOM[Part Name]=$A52)*M_BOM[RM_Qty_Per_Batch]*IFERROR(INDEX(PP_Grid[#Data],M_BOM[PPGridRow],100),0))+IFERROR(INDEX(M_RawMaterials[固定週次消費量_要入力],MATCH($A52,M_RawMaterials[Part Name],0)),0)</f>
        <v/>
      </c>
      <c r="CW52">
        <f>SUMPRODUCT((M_BOM[Part Name]=$A52)*M_BOM[RM_Qty_Per_Batch]*IFERROR(INDEX(PP_Grid[#Data],M_BOM[PPGridRow],101),0))+IFERROR(INDEX(M_RawMaterials[固定週次消費量_要入力],MATCH($A52,M_RawMaterials[Part Name],0)),0)</f>
        <v/>
      </c>
      <c r="CX52">
        <f>SUMPRODUCT((M_BOM[Part Name]=$A52)*M_BOM[RM_Qty_Per_Batch]*IFERROR(INDEX(PP_Grid[#Data],M_BOM[PPGridRow],102),0))+IFERROR(INDEX(M_RawMaterials[固定週次消費量_要入力],MATCH($A52,M_RawMaterials[Part Name],0)),0)</f>
        <v/>
      </c>
      <c r="CY52">
        <f>SUMPRODUCT((M_BOM[Part Name]=$A52)*M_BOM[RM_Qty_Per_Batch]*IFERROR(INDEX(PP_Grid[#Data],M_BOM[PPGridRow],103),0))+IFERROR(INDEX(M_RawMaterials[固定週次消費量_要入力],MATCH($A52,M_RawMaterials[Part Name],0)),0)</f>
        <v/>
      </c>
      <c r="CZ52">
        <f>SUMPRODUCT((M_BOM[Part Name]=$A52)*M_BOM[RM_Qty_Per_Batch]*IFERROR(INDEX(PP_Grid[#Data],M_BOM[PPGridRow],104),0))+IFERROR(INDEX(M_RawMaterials[固定週次消費量_要入力],MATCH($A52,M_RawMaterials[Part Name],0)),0)</f>
        <v/>
      </c>
      <c r="DA52">
        <f>SUMPRODUCT((M_BOM[Part Name]=$A52)*M_BOM[RM_Qty_Per_Batch]*IFERROR(INDEX(PP_Grid[#Data],M_BOM[PPGridRow],105),0))+IFERROR(INDEX(M_RawMaterials[固定週次消費量_要入力],MATCH($A52,M_RawMaterials[Part Name],0)),0)</f>
        <v/>
      </c>
    </row>
    <row r="53">
      <c r="A53" t="inlineStr">
        <is>
          <t>Ester Film</t>
        </is>
      </c>
      <c r="B53">
        <f>SUMPRODUCT((M_BOM[Part Name]=$A53)*M_BOM[RM_Qty_Per_Batch]*IFERROR(INDEX(PP_Grid[#Data],M_BOM[PPGridRow],2),0))+IFERROR(INDEX(M_RawMaterials[固定週次消費量_要入力],MATCH($A53,M_RawMaterials[Part Name],0)),0)</f>
        <v/>
      </c>
      <c r="C53">
        <f>SUMPRODUCT((M_BOM[Part Name]=$A53)*M_BOM[RM_Qty_Per_Batch]*IFERROR(INDEX(PP_Grid[#Data],M_BOM[PPGridRow],3),0))+IFERROR(INDEX(M_RawMaterials[固定週次消費量_要入力],MATCH($A53,M_RawMaterials[Part Name],0)),0)</f>
        <v/>
      </c>
      <c r="D53">
        <f>SUMPRODUCT((M_BOM[Part Name]=$A53)*M_BOM[RM_Qty_Per_Batch]*IFERROR(INDEX(PP_Grid[#Data],M_BOM[PPGridRow],4),0))+IFERROR(INDEX(M_RawMaterials[固定週次消費量_要入力],MATCH($A53,M_RawMaterials[Part Name],0)),0)</f>
        <v/>
      </c>
      <c r="E53">
        <f>SUMPRODUCT((M_BOM[Part Name]=$A53)*M_BOM[RM_Qty_Per_Batch]*IFERROR(INDEX(PP_Grid[#Data],M_BOM[PPGridRow],5),0))+IFERROR(INDEX(M_RawMaterials[固定週次消費量_要入力],MATCH($A53,M_RawMaterials[Part Name],0)),0)</f>
        <v/>
      </c>
      <c r="F53">
        <f>SUMPRODUCT((M_BOM[Part Name]=$A53)*M_BOM[RM_Qty_Per_Batch]*IFERROR(INDEX(PP_Grid[#Data],M_BOM[PPGridRow],6),0))+IFERROR(INDEX(M_RawMaterials[固定週次消費量_要入力],MATCH($A53,M_RawMaterials[Part Name],0)),0)</f>
        <v/>
      </c>
      <c r="G53">
        <f>SUMPRODUCT((M_BOM[Part Name]=$A53)*M_BOM[RM_Qty_Per_Batch]*IFERROR(INDEX(PP_Grid[#Data],M_BOM[PPGridRow],7),0))+IFERROR(INDEX(M_RawMaterials[固定週次消費量_要入力],MATCH($A53,M_RawMaterials[Part Name],0)),0)</f>
        <v/>
      </c>
      <c r="H53">
        <f>SUMPRODUCT((M_BOM[Part Name]=$A53)*M_BOM[RM_Qty_Per_Batch]*IFERROR(INDEX(PP_Grid[#Data],M_BOM[PPGridRow],8),0))+IFERROR(INDEX(M_RawMaterials[固定週次消費量_要入力],MATCH($A53,M_RawMaterials[Part Name],0)),0)</f>
        <v/>
      </c>
      <c r="I53">
        <f>SUMPRODUCT((M_BOM[Part Name]=$A53)*M_BOM[RM_Qty_Per_Batch]*IFERROR(INDEX(PP_Grid[#Data],M_BOM[PPGridRow],9),0))+IFERROR(INDEX(M_RawMaterials[固定週次消費量_要入力],MATCH($A53,M_RawMaterials[Part Name],0)),0)</f>
        <v/>
      </c>
      <c r="J53">
        <f>SUMPRODUCT((M_BOM[Part Name]=$A53)*M_BOM[RM_Qty_Per_Batch]*IFERROR(INDEX(PP_Grid[#Data],M_BOM[PPGridRow],10),0))+IFERROR(INDEX(M_RawMaterials[固定週次消費量_要入力],MATCH($A53,M_RawMaterials[Part Name],0)),0)</f>
        <v/>
      </c>
      <c r="K53">
        <f>SUMPRODUCT((M_BOM[Part Name]=$A53)*M_BOM[RM_Qty_Per_Batch]*IFERROR(INDEX(PP_Grid[#Data],M_BOM[PPGridRow],11),0))+IFERROR(INDEX(M_RawMaterials[固定週次消費量_要入力],MATCH($A53,M_RawMaterials[Part Name],0)),0)</f>
        <v/>
      </c>
      <c r="L53">
        <f>SUMPRODUCT((M_BOM[Part Name]=$A53)*M_BOM[RM_Qty_Per_Batch]*IFERROR(INDEX(PP_Grid[#Data],M_BOM[PPGridRow],12),0))+IFERROR(INDEX(M_RawMaterials[固定週次消費量_要入力],MATCH($A53,M_RawMaterials[Part Name],0)),0)</f>
        <v/>
      </c>
      <c r="M53">
        <f>SUMPRODUCT((M_BOM[Part Name]=$A53)*M_BOM[RM_Qty_Per_Batch]*IFERROR(INDEX(PP_Grid[#Data],M_BOM[PPGridRow],13),0))+IFERROR(INDEX(M_RawMaterials[固定週次消費量_要入力],MATCH($A53,M_RawMaterials[Part Name],0)),0)</f>
        <v/>
      </c>
      <c r="N53">
        <f>SUMPRODUCT((M_BOM[Part Name]=$A53)*M_BOM[RM_Qty_Per_Batch]*IFERROR(INDEX(PP_Grid[#Data],M_BOM[PPGridRow],14),0))+IFERROR(INDEX(M_RawMaterials[固定週次消費量_要入力],MATCH($A53,M_RawMaterials[Part Name],0)),0)</f>
        <v/>
      </c>
      <c r="O53">
        <f>SUMPRODUCT((M_BOM[Part Name]=$A53)*M_BOM[RM_Qty_Per_Batch]*IFERROR(INDEX(PP_Grid[#Data],M_BOM[PPGridRow],15),0))+IFERROR(INDEX(M_RawMaterials[固定週次消費量_要入力],MATCH($A53,M_RawMaterials[Part Name],0)),0)</f>
        <v/>
      </c>
      <c r="P53">
        <f>SUMPRODUCT((M_BOM[Part Name]=$A53)*M_BOM[RM_Qty_Per_Batch]*IFERROR(INDEX(PP_Grid[#Data],M_BOM[PPGridRow],16),0))+IFERROR(INDEX(M_RawMaterials[固定週次消費量_要入力],MATCH($A53,M_RawMaterials[Part Name],0)),0)</f>
        <v/>
      </c>
      <c r="Q53">
        <f>SUMPRODUCT((M_BOM[Part Name]=$A53)*M_BOM[RM_Qty_Per_Batch]*IFERROR(INDEX(PP_Grid[#Data],M_BOM[PPGridRow],17),0))+IFERROR(INDEX(M_RawMaterials[固定週次消費量_要入力],MATCH($A53,M_RawMaterials[Part Name],0)),0)</f>
        <v/>
      </c>
      <c r="R53">
        <f>SUMPRODUCT((M_BOM[Part Name]=$A53)*M_BOM[RM_Qty_Per_Batch]*IFERROR(INDEX(PP_Grid[#Data],M_BOM[PPGridRow],18),0))+IFERROR(INDEX(M_RawMaterials[固定週次消費量_要入力],MATCH($A53,M_RawMaterials[Part Name],0)),0)</f>
        <v/>
      </c>
      <c r="S53">
        <f>SUMPRODUCT((M_BOM[Part Name]=$A53)*M_BOM[RM_Qty_Per_Batch]*IFERROR(INDEX(PP_Grid[#Data],M_BOM[PPGridRow],19),0))+IFERROR(INDEX(M_RawMaterials[固定週次消費量_要入力],MATCH($A53,M_RawMaterials[Part Name],0)),0)</f>
        <v/>
      </c>
      <c r="T53">
        <f>SUMPRODUCT((M_BOM[Part Name]=$A53)*M_BOM[RM_Qty_Per_Batch]*IFERROR(INDEX(PP_Grid[#Data],M_BOM[PPGridRow],20),0))+IFERROR(INDEX(M_RawMaterials[固定週次消費量_要入力],MATCH($A53,M_RawMaterials[Part Name],0)),0)</f>
        <v/>
      </c>
      <c r="U53">
        <f>SUMPRODUCT((M_BOM[Part Name]=$A53)*M_BOM[RM_Qty_Per_Batch]*IFERROR(INDEX(PP_Grid[#Data],M_BOM[PPGridRow],21),0))+IFERROR(INDEX(M_RawMaterials[固定週次消費量_要入力],MATCH($A53,M_RawMaterials[Part Name],0)),0)</f>
        <v/>
      </c>
      <c r="V53">
        <f>SUMPRODUCT((M_BOM[Part Name]=$A53)*M_BOM[RM_Qty_Per_Batch]*IFERROR(INDEX(PP_Grid[#Data],M_BOM[PPGridRow],22),0))+IFERROR(INDEX(M_RawMaterials[固定週次消費量_要入力],MATCH($A53,M_RawMaterials[Part Name],0)),0)</f>
        <v/>
      </c>
      <c r="W53">
        <f>SUMPRODUCT((M_BOM[Part Name]=$A53)*M_BOM[RM_Qty_Per_Batch]*IFERROR(INDEX(PP_Grid[#Data],M_BOM[PPGridRow],23),0))+IFERROR(INDEX(M_RawMaterials[固定週次消費量_要入力],MATCH($A53,M_RawMaterials[Part Name],0)),0)</f>
        <v/>
      </c>
      <c r="X53">
        <f>SUMPRODUCT((M_BOM[Part Name]=$A53)*M_BOM[RM_Qty_Per_Batch]*IFERROR(INDEX(PP_Grid[#Data],M_BOM[PPGridRow],24),0))+IFERROR(INDEX(M_RawMaterials[固定週次消費量_要入力],MATCH($A53,M_RawMaterials[Part Name],0)),0)</f>
        <v/>
      </c>
      <c r="Y53">
        <f>SUMPRODUCT((M_BOM[Part Name]=$A53)*M_BOM[RM_Qty_Per_Batch]*IFERROR(INDEX(PP_Grid[#Data],M_BOM[PPGridRow],25),0))+IFERROR(INDEX(M_RawMaterials[固定週次消費量_要入力],MATCH($A53,M_RawMaterials[Part Name],0)),0)</f>
        <v/>
      </c>
      <c r="Z53">
        <f>SUMPRODUCT((M_BOM[Part Name]=$A53)*M_BOM[RM_Qty_Per_Batch]*IFERROR(INDEX(PP_Grid[#Data],M_BOM[PPGridRow],26),0))+IFERROR(INDEX(M_RawMaterials[固定週次消費量_要入力],MATCH($A53,M_RawMaterials[Part Name],0)),0)</f>
        <v/>
      </c>
      <c r="AA53">
        <f>SUMPRODUCT((M_BOM[Part Name]=$A53)*M_BOM[RM_Qty_Per_Batch]*IFERROR(INDEX(PP_Grid[#Data],M_BOM[PPGridRow],27),0))+IFERROR(INDEX(M_RawMaterials[固定週次消費量_要入力],MATCH($A53,M_RawMaterials[Part Name],0)),0)</f>
        <v/>
      </c>
      <c r="AB53">
        <f>SUMPRODUCT((M_BOM[Part Name]=$A53)*M_BOM[RM_Qty_Per_Batch]*IFERROR(INDEX(PP_Grid[#Data],M_BOM[PPGridRow],28),0))+IFERROR(INDEX(M_RawMaterials[固定週次消費量_要入力],MATCH($A53,M_RawMaterials[Part Name],0)),0)</f>
        <v/>
      </c>
      <c r="AC53">
        <f>SUMPRODUCT((M_BOM[Part Name]=$A53)*M_BOM[RM_Qty_Per_Batch]*IFERROR(INDEX(PP_Grid[#Data],M_BOM[PPGridRow],29),0))+IFERROR(INDEX(M_RawMaterials[固定週次消費量_要入力],MATCH($A53,M_RawMaterials[Part Name],0)),0)</f>
        <v/>
      </c>
      <c r="AD53">
        <f>SUMPRODUCT((M_BOM[Part Name]=$A53)*M_BOM[RM_Qty_Per_Batch]*IFERROR(INDEX(PP_Grid[#Data],M_BOM[PPGridRow],30),0))+IFERROR(INDEX(M_RawMaterials[固定週次消費量_要入力],MATCH($A53,M_RawMaterials[Part Name],0)),0)</f>
        <v/>
      </c>
      <c r="AE53">
        <f>SUMPRODUCT((M_BOM[Part Name]=$A53)*M_BOM[RM_Qty_Per_Batch]*IFERROR(INDEX(PP_Grid[#Data],M_BOM[PPGridRow],31),0))+IFERROR(INDEX(M_RawMaterials[固定週次消費量_要入力],MATCH($A53,M_RawMaterials[Part Name],0)),0)</f>
        <v/>
      </c>
      <c r="AF53">
        <f>SUMPRODUCT((M_BOM[Part Name]=$A53)*M_BOM[RM_Qty_Per_Batch]*IFERROR(INDEX(PP_Grid[#Data],M_BOM[PPGridRow],32),0))+IFERROR(INDEX(M_RawMaterials[固定週次消費量_要入力],MATCH($A53,M_RawMaterials[Part Name],0)),0)</f>
        <v/>
      </c>
      <c r="AG53">
        <f>SUMPRODUCT((M_BOM[Part Name]=$A53)*M_BOM[RM_Qty_Per_Batch]*IFERROR(INDEX(PP_Grid[#Data],M_BOM[PPGridRow],33),0))+IFERROR(INDEX(M_RawMaterials[固定週次消費量_要入力],MATCH($A53,M_RawMaterials[Part Name],0)),0)</f>
        <v/>
      </c>
      <c r="AH53">
        <f>SUMPRODUCT((M_BOM[Part Name]=$A53)*M_BOM[RM_Qty_Per_Batch]*IFERROR(INDEX(PP_Grid[#Data],M_BOM[PPGridRow],34),0))+IFERROR(INDEX(M_RawMaterials[固定週次消費量_要入力],MATCH($A53,M_RawMaterials[Part Name],0)),0)</f>
        <v/>
      </c>
      <c r="AI53">
        <f>SUMPRODUCT((M_BOM[Part Name]=$A53)*M_BOM[RM_Qty_Per_Batch]*IFERROR(INDEX(PP_Grid[#Data],M_BOM[PPGridRow],35),0))+IFERROR(INDEX(M_RawMaterials[固定週次消費量_要入力],MATCH($A53,M_RawMaterials[Part Name],0)),0)</f>
        <v/>
      </c>
      <c r="AJ53">
        <f>SUMPRODUCT((M_BOM[Part Name]=$A53)*M_BOM[RM_Qty_Per_Batch]*IFERROR(INDEX(PP_Grid[#Data],M_BOM[PPGridRow],36),0))+IFERROR(INDEX(M_RawMaterials[固定週次消費量_要入力],MATCH($A53,M_RawMaterials[Part Name],0)),0)</f>
        <v/>
      </c>
      <c r="AK53">
        <f>SUMPRODUCT((M_BOM[Part Name]=$A53)*M_BOM[RM_Qty_Per_Batch]*IFERROR(INDEX(PP_Grid[#Data],M_BOM[PPGridRow],37),0))+IFERROR(INDEX(M_RawMaterials[固定週次消費量_要入力],MATCH($A53,M_RawMaterials[Part Name],0)),0)</f>
        <v/>
      </c>
      <c r="AL53">
        <f>SUMPRODUCT((M_BOM[Part Name]=$A53)*M_BOM[RM_Qty_Per_Batch]*IFERROR(INDEX(PP_Grid[#Data],M_BOM[PPGridRow],38),0))+IFERROR(INDEX(M_RawMaterials[固定週次消費量_要入力],MATCH($A53,M_RawMaterials[Part Name],0)),0)</f>
        <v/>
      </c>
      <c r="AM53">
        <f>SUMPRODUCT((M_BOM[Part Name]=$A53)*M_BOM[RM_Qty_Per_Batch]*IFERROR(INDEX(PP_Grid[#Data],M_BOM[PPGridRow],39),0))+IFERROR(INDEX(M_RawMaterials[固定週次消費量_要入力],MATCH($A53,M_RawMaterials[Part Name],0)),0)</f>
        <v/>
      </c>
      <c r="AN53">
        <f>SUMPRODUCT((M_BOM[Part Name]=$A53)*M_BOM[RM_Qty_Per_Batch]*IFERROR(INDEX(PP_Grid[#Data],M_BOM[PPGridRow],40),0))+IFERROR(INDEX(M_RawMaterials[固定週次消費量_要入力],MATCH($A53,M_RawMaterials[Part Name],0)),0)</f>
        <v/>
      </c>
      <c r="AO53">
        <f>SUMPRODUCT((M_BOM[Part Name]=$A53)*M_BOM[RM_Qty_Per_Batch]*IFERROR(INDEX(PP_Grid[#Data],M_BOM[PPGridRow],41),0))+IFERROR(INDEX(M_RawMaterials[固定週次消費量_要入力],MATCH($A53,M_RawMaterials[Part Name],0)),0)</f>
        <v/>
      </c>
      <c r="AP53">
        <f>SUMPRODUCT((M_BOM[Part Name]=$A53)*M_BOM[RM_Qty_Per_Batch]*IFERROR(INDEX(PP_Grid[#Data],M_BOM[PPGridRow],42),0))+IFERROR(INDEX(M_RawMaterials[固定週次消費量_要入力],MATCH($A53,M_RawMaterials[Part Name],0)),0)</f>
        <v/>
      </c>
      <c r="AQ53">
        <f>SUMPRODUCT((M_BOM[Part Name]=$A53)*M_BOM[RM_Qty_Per_Batch]*IFERROR(INDEX(PP_Grid[#Data],M_BOM[PPGridRow],43),0))+IFERROR(INDEX(M_RawMaterials[固定週次消費量_要入力],MATCH($A53,M_RawMaterials[Part Name],0)),0)</f>
        <v/>
      </c>
      <c r="AR53">
        <f>SUMPRODUCT((M_BOM[Part Name]=$A53)*M_BOM[RM_Qty_Per_Batch]*IFERROR(INDEX(PP_Grid[#Data],M_BOM[PPGridRow],44),0))+IFERROR(INDEX(M_RawMaterials[固定週次消費量_要入力],MATCH($A53,M_RawMaterials[Part Name],0)),0)</f>
        <v/>
      </c>
      <c r="AS53">
        <f>SUMPRODUCT((M_BOM[Part Name]=$A53)*M_BOM[RM_Qty_Per_Batch]*IFERROR(INDEX(PP_Grid[#Data],M_BOM[PPGridRow],45),0))+IFERROR(INDEX(M_RawMaterials[固定週次消費量_要入力],MATCH($A53,M_RawMaterials[Part Name],0)),0)</f>
        <v/>
      </c>
      <c r="AT53">
        <f>SUMPRODUCT((M_BOM[Part Name]=$A53)*M_BOM[RM_Qty_Per_Batch]*IFERROR(INDEX(PP_Grid[#Data],M_BOM[PPGridRow],46),0))+IFERROR(INDEX(M_RawMaterials[固定週次消費量_要入力],MATCH($A53,M_RawMaterials[Part Name],0)),0)</f>
        <v/>
      </c>
      <c r="AU53">
        <f>SUMPRODUCT((M_BOM[Part Name]=$A53)*M_BOM[RM_Qty_Per_Batch]*IFERROR(INDEX(PP_Grid[#Data],M_BOM[PPGridRow],47),0))+IFERROR(INDEX(M_RawMaterials[固定週次消費量_要入力],MATCH($A53,M_RawMaterials[Part Name],0)),0)</f>
        <v/>
      </c>
      <c r="AV53">
        <f>SUMPRODUCT((M_BOM[Part Name]=$A53)*M_BOM[RM_Qty_Per_Batch]*IFERROR(INDEX(PP_Grid[#Data],M_BOM[PPGridRow],48),0))+IFERROR(INDEX(M_RawMaterials[固定週次消費量_要入力],MATCH($A53,M_RawMaterials[Part Name],0)),0)</f>
        <v/>
      </c>
      <c r="AW53">
        <f>SUMPRODUCT((M_BOM[Part Name]=$A53)*M_BOM[RM_Qty_Per_Batch]*IFERROR(INDEX(PP_Grid[#Data],M_BOM[PPGridRow],49),0))+IFERROR(INDEX(M_RawMaterials[固定週次消費量_要入力],MATCH($A53,M_RawMaterials[Part Name],0)),0)</f>
        <v/>
      </c>
      <c r="AX53">
        <f>SUMPRODUCT((M_BOM[Part Name]=$A53)*M_BOM[RM_Qty_Per_Batch]*IFERROR(INDEX(PP_Grid[#Data],M_BOM[PPGridRow],50),0))+IFERROR(INDEX(M_RawMaterials[固定週次消費量_要入力],MATCH($A53,M_RawMaterials[Part Name],0)),0)</f>
        <v/>
      </c>
      <c r="AY53">
        <f>SUMPRODUCT((M_BOM[Part Name]=$A53)*M_BOM[RM_Qty_Per_Batch]*IFERROR(INDEX(PP_Grid[#Data],M_BOM[PPGridRow],51),0))+IFERROR(INDEX(M_RawMaterials[固定週次消費量_要入力],MATCH($A53,M_RawMaterials[Part Name],0)),0)</f>
        <v/>
      </c>
      <c r="AZ53">
        <f>SUMPRODUCT((M_BOM[Part Name]=$A53)*M_BOM[RM_Qty_Per_Batch]*IFERROR(INDEX(PP_Grid[#Data],M_BOM[PPGridRow],52),0))+IFERROR(INDEX(M_RawMaterials[固定週次消費量_要入力],MATCH($A53,M_RawMaterials[Part Name],0)),0)</f>
        <v/>
      </c>
      <c r="BA53">
        <f>SUMPRODUCT((M_BOM[Part Name]=$A53)*M_BOM[RM_Qty_Per_Batch]*IFERROR(INDEX(PP_Grid[#Data],M_BOM[PPGridRow],53),0))+IFERROR(INDEX(M_RawMaterials[固定週次消費量_要入力],MATCH($A53,M_RawMaterials[Part Name],0)),0)</f>
        <v/>
      </c>
      <c r="BB53">
        <f>SUMPRODUCT((M_BOM[Part Name]=$A53)*M_BOM[RM_Qty_Per_Batch]*IFERROR(INDEX(PP_Grid[#Data],M_BOM[PPGridRow],54),0))+IFERROR(INDEX(M_RawMaterials[固定週次消費量_要入力],MATCH($A53,M_RawMaterials[Part Name],0)),0)</f>
        <v/>
      </c>
      <c r="BC53">
        <f>SUMPRODUCT((M_BOM[Part Name]=$A53)*M_BOM[RM_Qty_Per_Batch]*IFERROR(INDEX(PP_Grid[#Data],M_BOM[PPGridRow],55),0))+IFERROR(INDEX(M_RawMaterials[固定週次消費量_要入力],MATCH($A53,M_RawMaterials[Part Name],0)),0)</f>
        <v/>
      </c>
      <c r="BD53">
        <f>SUMPRODUCT((M_BOM[Part Name]=$A53)*M_BOM[RM_Qty_Per_Batch]*IFERROR(INDEX(PP_Grid[#Data],M_BOM[PPGridRow],56),0))+IFERROR(INDEX(M_RawMaterials[固定週次消費量_要入力],MATCH($A53,M_RawMaterials[Part Name],0)),0)</f>
        <v/>
      </c>
      <c r="BE53">
        <f>SUMPRODUCT((M_BOM[Part Name]=$A53)*M_BOM[RM_Qty_Per_Batch]*IFERROR(INDEX(PP_Grid[#Data],M_BOM[PPGridRow],57),0))+IFERROR(INDEX(M_RawMaterials[固定週次消費量_要入力],MATCH($A53,M_RawMaterials[Part Name],0)),0)</f>
        <v/>
      </c>
      <c r="BF53">
        <f>SUMPRODUCT((M_BOM[Part Name]=$A53)*M_BOM[RM_Qty_Per_Batch]*IFERROR(INDEX(PP_Grid[#Data],M_BOM[PPGridRow],58),0))+IFERROR(INDEX(M_RawMaterials[固定週次消費量_要入力],MATCH($A53,M_RawMaterials[Part Name],0)),0)</f>
        <v/>
      </c>
      <c r="BG53">
        <f>SUMPRODUCT((M_BOM[Part Name]=$A53)*M_BOM[RM_Qty_Per_Batch]*IFERROR(INDEX(PP_Grid[#Data],M_BOM[PPGridRow],59),0))+IFERROR(INDEX(M_RawMaterials[固定週次消費量_要入力],MATCH($A53,M_RawMaterials[Part Name],0)),0)</f>
        <v/>
      </c>
      <c r="BH53">
        <f>SUMPRODUCT((M_BOM[Part Name]=$A53)*M_BOM[RM_Qty_Per_Batch]*IFERROR(INDEX(PP_Grid[#Data],M_BOM[PPGridRow],60),0))+IFERROR(INDEX(M_RawMaterials[固定週次消費量_要入力],MATCH($A53,M_RawMaterials[Part Name],0)),0)</f>
        <v/>
      </c>
      <c r="BI53">
        <f>SUMPRODUCT((M_BOM[Part Name]=$A53)*M_BOM[RM_Qty_Per_Batch]*IFERROR(INDEX(PP_Grid[#Data],M_BOM[PPGridRow],61),0))+IFERROR(INDEX(M_RawMaterials[固定週次消費量_要入力],MATCH($A53,M_RawMaterials[Part Name],0)),0)</f>
        <v/>
      </c>
      <c r="BJ53">
        <f>SUMPRODUCT((M_BOM[Part Name]=$A53)*M_BOM[RM_Qty_Per_Batch]*IFERROR(INDEX(PP_Grid[#Data],M_BOM[PPGridRow],62),0))+IFERROR(INDEX(M_RawMaterials[固定週次消費量_要入力],MATCH($A53,M_RawMaterials[Part Name],0)),0)</f>
        <v/>
      </c>
      <c r="BK53">
        <f>SUMPRODUCT((M_BOM[Part Name]=$A53)*M_BOM[RM_Qty_Per_Batch]*IFERROR(INDEX(PP_Grid[#Data],M_BOM[PPGridRow],63),0))+IFERROR(INDEX(M_RawMaterials[固定週次消費量_要入力],MATCH($A53,M_RawMaterials[Part Name],0)),0)</f>
        <v/>
      </c>
      <c r="BL53">
        <f>SUMPRODUCT((M_BOM[Part Name]=$A53)*M_BOM[RM_Qty_Per_Batch]*IFERROR(INDEX(PP_Grid[#Data],M_BOM[PPGridRow],64),0))+IFERROR(INDEX(M_RawMaterials[固定週次消費量_要入力],MATCH($A53,M_RawMaterials[Part Name],0)),0)</f>
        <v/>
      </c>
      <c r="BM53">
        <f>SUMPRODUCT((M_BOM[Part Name]=$A53)*M_BOM[RM_Qty_Per_Batch]*IFERROR(INDEX(PP_Grid[#Data],M_BOM[PPGridRow],65),0))+IFERROR(INDEX(M_RawMaterials[固定週次消費量_要入力],MATCH($A53,M_RawMaterials[Part Name],0)),0)</f>
        <v/>
      </c>
      <c r="BN53">
        <f>SUMPRODUCT((M_BOM[Part Name]=$A53)*M_BOM[RM_Qty_Per_Batch]*IFERROR(INDEX(PP_Grid[#Data],M_BOM[PPGridRow],66),0))+IFERROR(INDEX(M_RawMaterials[固定週次消費量_要入力],MATCH($A53,M_RawMaterials[Part Name],0)),0)</f>
        <v/>
      </c>
      <c r="BO53">
        <f>SUMPRODUCT((M_BOM[Part Name]=$A53)*M_BOM[RM_Qty_Per_Batch]*IFERROR(INDEX(PP_Grid[#Data],M_BOM[PPGridRow],67),0))+IFERROR(INDEX(M_RawMaterials[固定週次消費量_要入力],MATCH($A53,M_RawMaterials[Part Name],0)),0)</f>
        <v/>
      </c>
      <c r="BP53">
        <f>SUMPRODUCT((M_BOM[Part Name]=$A53)*M_BOM[RM_Qty_Per_Batch]*IFERROR(INDEX(PP_Grid[#Data],M_BOM[PPGridRow],68),0))+IFERROR(INDEX(M_RawMaterials[固定週次消費量_要入力],MATCH($A53,M_RawMaterials[Part Name],0)),0)</f>
        <v/>
      </c>
      <c r="BQ53">
        <f>SUMPRODUCT((M_BOM[Part Name]=$A53)*M_BOM[RM_Qty_Per_Batch]*IFERROR(INDEX(PP_Grid[#Data],M_BOM[PPGridRow],69),0))+IFERROR(INDEX(M_RawMaterials[固定週次消費量_要入力],MATCH($A53,M_RawMaterials[Part Name],0)),0)</f>
        <v/>
      </c>
      <c r="BR53">
        <f>SUMPRODUCT((M_BOM[Part Name]=$A53)*M_BOM[RM_Qty_Per_Batch]*IFERROR(INDEX(PP_Grid[#Data],M_BOM[PPGridRow],70),0))+IFERROR(INDEX(M_RawMaterials[固定週次消費量_要入力],MATCH($A53,M_RawMaterials[Part Name],0)),0)</f>
        <v/>
      </c>
      <c r="BS53">
        <f>SUMPRODUCT((M_BOM[Part Name]=$A53)*M_BOM[RM_Qty_Per_Batch]*IFERROR(INDEX(PP_Grid[#Data],M_BOM[PPGridRow],71),0))+IFERROR(INDEX(M_RawMaterials[固定週次消費量_要入力],MATCH($A53,M_RawMaterials[Part Name],0)),0)</f>
        <v/>
      </c>
      <c r="BT53">
        <f>SUMPRODUCT((M_BOM[Part Name]=$A53)*M_BOM[RM_Qty_Per_Batch]*IFERROR(INDEX(PP_Grid[#Data],M_BOM[PPGridRow],72),0))+IFERROR(INDEX(M_RawMaterials[固定週次消費量_要入力],MATCH($A53,M_RawMaterials[Part Name],0)),0)</f>
        <v/>
      </c>
      <c r="BU53">
        <f>SUMPRODUCT((M_BOM[Part Name]=$A53)*M_BOM[RM_Qty_Per_Batch]*IFERROR(INDEX(PP_Grid[#Data],M_BOM[PPGridRow],73),0))+IFERROR(INDEX(M_RawMaterials[固定週次消費量_要入力],MATCH($A53,M_RawMaterials[Part Name],0)),0)</f>
        <v/>
      </c>
      <c r="BV53">
        <f>SUMPRODUCT((M_BOM[Part Name]=$A53)*M_BOM[RM_Qty_Per_Batch]*IFERROR(INDEX(PP_Grid[#Data],M_BOM[PPGridRow],74),0))+IFERROR(INDEX(M_RawMaterials[固定週次消費量_要入力],MATCH($A53,M_RawMaterials[Part Name],0)),0)</f>
        <v/>
      </c>
      <c r="BW53">
        <f>SUMPRODUCT((M_BOM[Part Name]=$A53)*M_BOM[RM_Qty_Per_Batch]*IFERROR(INDEX(PP_Grid[#Data],M_BOM[PPGridRow],75),0))+IFERROR(INDEX(M_RawMaterials[固定週次消費量_要入力],MATCH($A53,M_RawMaterials[Part Name],0)),0)</f>
        <v/>
      </c>
      <c r="BX53">
        <f>SUMPRODUCT((M_BOM[Part Name]=$A53)*M_BOM[RM_Qty_Per_Batch]*IFERROR(INDEX(PP_Grid[#Data],M_BOM[PPGridRow],76),0))+IFERROR(INDEX(M_RawMaterials[固定週次消費量_要入力],MATCH($A53,M_RawMaterials[Part Name],0)),0)</f>
        <v/>
      </c>
      <c r="BY53">
        <f>SUMPRODUCT((M_BOM[Part Name]=$A53)*M_BOM[RM_Qty_Per_Batch]*IFERROR(INDEX(PP_Grid[#Data],M_BOM[PPGridRow],77),0))+IFERROR(INDEX(M_RawMaterials[固定週次消費量_要入力],MATCH($A53,M_RawMaterials[Part Name],0)),0)</f>
        <v/>
      </c>
      <c r="BZ53">
        <f>SUMPRODUCT((M_BOM[Part Name]=$A53)*M_BOM[RM_Qty_Per_Batch]*IFERROR(INDEX(PP_Grid[#Data],M_BOM[PPGridRow],78),0))+IFERROR(INDEX(M_RawMaterials[固定週次消費量_要入力],MATCH($A53,M_RawMaterials[Part Name],0)),0)</f>
        <v/>
      </c>
      <c r="CA53">
        <f>SUMPRODUCT((M_BOM[Part Name]=$A53)*M_BOM[RM_Qty_Per_Batch]*IFERROR(INDEX(PP_Grid[#Data],M_BOM[PPGridRow],79),0))+IFERROR(INDEX(M_RawMaterials[固定週次消費量_要入力],MATCH($A53,M_RawMaterials[Part Name],0)),0)</f>
        <v/>
      </c>
      <c r="CB53">
        <f>SUMPRODUCT((M_BOM[Part Name]=$A53)*M_BOM[RM_Qty_Per_Batch]*IFERROR(INDEX(PP_Grid[#Data],M_BOM[PPGridRow],80),0))+IFERROR(INDEX(M_RawMaterials[固定週次消費量_要入力],MATCH($A53,M_RawMaterials[Part Name],0)),0)</f>
        <v/>
      </c>
      <c r="CC53">
        <f>SUMPRODUCT((M_BOM[Part Name]=$A53)*M_BOM[RM_Qty_Per_Batch]*IFERROR(INDEX(PP_Grid[#Data],M_BOM[PPGridRow],81),0))+IFERROR(INDEX(M_RawMaterials[固定週次消費量_要入力],MATCH($A53,M_RawMaterials[Part Name],0)),0)</f>
        <v/>
      </c>
      <c r="CD53">
        <f>SUMPRODUCT((M_BOM[Part Name]=$A53)*M_BOM[RM_Qty_Per_Batch]*IFERROR(INDEX(PP_Grid[#Data],M_BOM[PPGridRow],82),0))+IFERROR(INDEX(M_RawMaterials[固定週次消費量_要入力],MATCH($A53,M_RawMaterials[Part Name],0)),0)</f>
        <v/>
      </c>
      <c r="CE53">
        <f>SUMPRODUCT((M_BOM[Part Name]=$A53)*M_BOM[RM_Qty_Per_Batch]*IFERROR(INDEX(PP_Grid[#Data],M_BOM[PPGridRow],83),0))+IFERROR(INDEX(M_RawMaterials[固定週次消費量_要入力],MATCH($A53,M_RawMaterials[Part Name],0)),0)</f>
        <v/>
      </c>
      <c r="CF53">
        <f>SUMPRODUCT((M_BOM[Part Name]=$A53)*M_BOM[RM_Qty_Per_Batch]*IFERROR(INDEX(PP_Grid[#Data],M_BOM[PPGridRow],84),0))+IFERROR(INDEX(M_RawMaterials[固定週次消費量_要入力],MATCH($A53,M_RawMaterials[Part Name],0)),0)</f>
        <v/>
      </c>
      <c r="CG53">
        <f>SUMPRODUCT((M_BOM[Part Name]=$A53)*M_BOM[RM_Qty_Per_Batch]*IFERROR(INDEX(PP_Grid[#Data],M_BOM[PPGridRow],85),0))+IFERROR(INDEX(M_RawMaterials[固定週次消費量_要入力],MATCH($A53,M_RawMaterials[Part Name],0)),0)</f>
        <v/>
      </c>
      <c r="CH53">
        <f>SUMPRODUCT((M_BOM[Part Name]=$A53)*M_BOM[RM_Qty_Per_Batch]*IFERROR(INDEX(PP_Grid[#Data],M_BOM[PPGridRow],86),0))+IFERROR(INDEX(M_RawMaterials[固定週次消費量_要入力],MATCH($A53,M_RawMaterials[Part Name],0)),0)</f>
        <v/>
      </c>
      <c r="CI53">
        <f>SUMPRODUCT((M_BOM[Part Name]=$A53)*M_BOM[RM_Qty_Per_Batch]*IFERROR(INDEX(PP_Grid[#Data],M_BOM[PPGridRow],87),0))+IFERROR(INDEX(M_RawMaterials[固定週次消費量_要入力],MATCH($A53,M_RawMaterials[Part Name],0)),0)</f>
        <v/>
      </c>
      <c r="CJ53">
        <f>SUMPRODUCT((M_BOM[Part Name]=$A53)*M_BOM[RM_Qty_Per_Batch]*IFERROR(INDEX(PP_Grid[#Data],M_BOM[PPGridRow],88),0))+IFERROR(INDEX(M_RawMaterials[固定週次消費量_要入力],MATCH($A53,M_RawMaterials[Part Name],0)),0)</f>
        <v/>
      </c>
      <c r="CK53">
        <f>SUMPRODUCT((M_BOM[Part Name]=$A53)*M_BOM[RM_Qty_Per_Batch]*IFERROR(INDEX(PP_Grid[#Data],M_BOM[PPGridRow],89),0))+IFERROR(INDEX(M_RawMaterials[固定週次消費量_要入力],MATCH($A53,M_RawMaterials[Part Name],0)),0)</f>
        <v/>
      </c>
      <c r="CL53">
        <f>SUMPRODUCT((M_BOM[Part Name]=$A53)*M_BOM[RM_Qty_Per_Batch]*IFERROR(INDEX(PP_Grid[#Data],M_BOM[PPGridRow],90),0))+IFERROR(INDEX(M_RawMaterials[固定週次消費量_要入力],MATCH($A53,M_RawMaterials[Part Name],0)),0)</f>
        <v/>
      </c>
      <c r="CM53">
        <f>SUMPRODUCT((M_BOM[Part Name]=$A53)*M_BOM[RM_Qty_Per_Batch]*IFERROR(INDEX(PP_Grid[#Data],M_BOM[PPGridRow],91),0))+IFERROR(INDEX(M_RawMaterials[固定週次消費量_要入力],MATCH($A53,M_RawMaterials[Part Name],0)),0)</f>
        <v/>
      </c>
      <c r="CN53">
        <f>SUMPRODUCT((M_BOM[Part Name]=$A53)*M_BOM[RM_Qty_Per_Batch]*IFERROR(INDEX(PP_Grid[#Data],M_BOM[PPGridRow],92),0))+IFERROR(INDEX(M_RawMaterials[固定週次消費量_要入力],MATCH($A53,M_RawMaterials[Part Name],0)),0)</f>
        <v/>
      </c>
      <c r="CO53">
        <f>SUMPRODUCT((M_BOM[Part Name]=$A53)*M_BOM[RM_Qty_Per_Batch]*IFERROR(INDEX(PP_Grid[#Data],M_BOM[PPGridRow],93),0))+IFERROR(INDEX(M_RawMaterials[固定週次消費量_要入力],MATCH($A53,M_RawMaterials[Part Name],0)),0)</f>
        <v/>
      </c>
      <c r="CP53">
        <f>SUMPRODUCT((M_BOM[Part Name]=$A53)*M_BOM[RM_Qty_Per_Batch]*IFERROR(INDEX(PP_Grid[#Data],M_BOM[PPGridRow],94),0))+IFERROR(INDEX(M_RawMaterials[固定週次消費量_要入力],MATCH($A53,M_RawMaterials[Part Name],0)),0)</f>
        <v/>
      </c>
      <c r="CQ53">
        <f>SUMPRODUCT((M_BOM[Part Name]=$A53)*M_BOM[RM_Qty_Per_Batch]*IFERROR(INDEX(PP_Grid[#Data],M_BOM[PPGridRow],95),0))+IFERROR(INDEX(M_RawMaterials[固定週次消費量_要入力],MATCH($A53,M_RawMaterials[Part Name],0)),0)</f>
        <v/>
      </c>
      <c r="CR53">
        <f>SUMPRODUCT((M_BOM[Part Name]=$A53)*M_BOM[RM_Qty_Per_Batch]*IFERROR(INDEX(PP_Grid[#Data],M_BOM[PPGridRow],96),0))+IFERROR(INDEX(M_RawMaterials[固定週次消費量_要入力],MATCH($A53,M_RawMaterials[Part Name],0)),0)</f>
        <v/>
      </c>
      <c r="CS53">
        <f>SUMPRODUCT((M_BOM[Part Name]=$A53)*M_BOM[RM_Qty_Per_Batch]*IFERROR(INDEX(PP_Grid[#Data],M_BOM[PPGridRow],97),0))+IFERROR(INDEX(M_RawMaterials[固定週次消費量_要入力],MATCH($A53,M_RawMaterials[Part Name],0)),0)</f>
        <v/>
      </c>
      <c r="CT53">
        <f>SUMPRODUCT((M_BOM[Part Name]=$A53)*M_BOM[RM_Qty_Per_Batch]*IFERROR(INDEX(PP_Grid[#Data],M_BOM[PPGridRow],98),0))+IFERROR(INDEX(M_RawMaterials[固定週次消費量_要入力],MATCH($A53,M_RawMaterials[Part Name],0)),0)</f>
        <v/>
      </c>
      <c r="CU53">
        <f>SUMPRODUCT((M_BOM[Part Name]=$A53)*M_BOM[RM_Qty_Per_Batch]*IFERROR(INDEX(PP_Grid[#Data],M_BOM[PPGridRow],99),0))+IFERROR(INDEX(M_RawMaterials[固定週次消費量_要入力],MATCH($A53,M_RawMaterials[Part Name],0)),0)</f>
        <v/>
      </c>
      <c r="CV53">
        <f>SUMPRODUCT((M_BOM[Part Name]=$A53)*M_BOM[RM_Qty_Per_Batch]*IFERROR(INDEX(PP_Grid[#Data],M_BOM[PPGridRow],100),0))+IFERROR(INDEX(M_RawMaterials[固定週次消費量_要入力],MATCH($A53,M_RawMaterials[Part Name],0)),0)</f>
        <v/>
      </c>
      <c r="CW53">
        <f>SUMPRODUCT((M_BOM[Part Name]=$A53)*M_BOM[RM_Qty_Per_Batch]*IFERROR(INDEX(PP_Grid[#Data],M_BOM[PPGridRow],101),0))+IFERROR(INDEX(M_RawMaterials[固定週次消費量_要入力],MATCH($A53,M_RawMaterials[Part Name],0)),0)</f>
        <v/>
      </c>
      <c r="CX53">
        <f>SUMPRODUCT((M_BOM[Part Name]=$A53)*M_BOM[RM_Qty_Per_Batch]*IFERROR(INDEX(PP_Grid[#Data],M_BOM[PPGridRow],102),0))+IFERROR(INDEX(M_RawMaterials[固定週次消費量_要入力],MATCH($A53,M_RawMaterials[Part Name],0)),0)</f>
        <v/>
      </c>
      <c r="CY53">
        <f>SUMPRODUCT((M_BOM[Part Name]=$A53)*M_BOM[RM_Qty_Per_Batch]*IFERROR(INDEX(PP_Grid[#Data],M_BOM[PPGridRow],103),0))+IFERROR(INDEX(M_RawMaterials[固定週次消費量_要入力],MATCH($A53,M_RawMaterials[Part Name],0)),0)</f>
        <v/>
      </c>
      <c r="CZ53">
        <f>SUMPRODUCT((M_BOM[Part Name]=$A53)*M_BOM[RM_Qty_Per_Batch]*IFERROR(INDEX(PP_Grid[#Data],M_BOM[PPGridRow],104),0))+IFERROR(INDEX(M_RawMaterials[固定週次消費量_要入力],MATCH($A53,M_RawMaterials[Part Name],0)),0)</f>
        <v/>
      </c>
      <c r="DA53">
        <f>SUMPRODUCT((M_BOM[Part Name]=$A53)*M_BOM[RM_Qty_Per_Batch]*IFERROR(INDEX(PP_Grid[#Data],M_BOM[PPGridRow],105),0))+IFERROR(INDEX(M_RawMaterials[固定週次消費量_要入力],MATCH($A53,M_RawMaterials[Part Name],0)),0)</f>
        <v/>
      </c>
    </row>
    <row r="54">
      <c r="A54" t="inlineStr">
        <is>
          <t>PP Film</t>
        </is>
      </c>
      <c r="B54">
        <f>SUMPRODUCT((M_BOM[Part Name]=$A54)*M_BOM[RM_Qty_Per_Batch]*IFERROR(INDEX(PP_Grid[#Data],M_BOM[PPGridRow],2),0))+IFERROR(INDEX(M_RawMaterials[固定週次消費量_要入力],MATCH($A54,M_RawMaterials[Part Name],0)),0)</f>
        <v/>
      </c>
      <c r="C54">
        <f>SUMPRODUCT((M_BOM[Part Name]=$A54)*M_BOM[RM_Qty_Per_Batch]*IFERROR(INDEX(PP_Grid[#Data],M_BOM[PPGridRow],3),0))+IFERROR(INDEX(M_RawMaterials[固定週次消費量_要入力],MATCH($A54,M_RawMaterials[Part Name],0)),0)</f>
        <v/>
      </c>
      <c r="D54">
        <f>SUMPRODUCT((M_BOM[Part Name]=$A54)*M_BOM[RM_Qty_Per_Batch]*IFERROR(INDEX(PP_Grid[#Data],M_BOM[PPGridRow],4),0))+IFERROR(INDEX(M_RawMaterials[固定週次消費量_要入力],MATCH($A54,M_RawMaterials[Part Name],0)),0)</f>
        <v/>
      </c>
      <c r="E54">
        <f>SUMPRODUCT((M_BOM[Part Name]=$A54)*M_BOM[RM_Qty_Per_Batch]*IFERROR(INDEX(PP_Grid[#Data],M_BOM[PPGridRow],5),0))+IFERROR(INDEX(M_RawMaterials[固定週次消費量_要入力],MATCH($A54,M_RawMaterials[Part Name],0)),0)</f>
        <v/>
      </c>
      <c r="F54">
        <f>SUMPRODUCT((M_BOM[Part Name]=$A54)*M_BOM[RM_Qty_Per_Batch]*IFERROR(INDEX(PP_Grid[#Data],M_BOM[PPGridRow],6),0))+IFERROR(INDEX(M_RawMaterials[固定週次消費量_要入力],MATCH($A54,M_RawMaterials[Part Name],0)),0)</f>
        <v/>
      </c>
      <c r="G54">
        <f>SUMPRODUCT((M_BOM[Part Name]=$A54)*M_BOM[RM_Qty_Per_Batch]*IFERROR(INDEX(PP_Grid[#Data],M_BOM[PPGridRow],7),0))+IFERROR(INDEX(M_RawMaterials[固定週次消費量_要入力],MATCH($A54,M_RawMaterials[Part Name],0)),0)</f>
        <v/>
      </c>
      <c r="H54">
        <f>SUMPRODUCT((M_BOM[Part Name]=$A54)*M_BOM[RM_Qty_Per_Batch]*IFERROR(INDEX(PP_Grid[#Data],M_BOM[PPGridRow],8),0))+IFERROR(INDEX(M_RawMaterials[固定週次消費量_要入力],MATCH($A54,M_RawMaterials[Part Name],0)),0)</f>
        <v/>
      </c>
      <c r="I54">
        <f>SUMPRODUCT((M_BOM[Part Name]=$A54)*M_BOM[RM_Qty_Per_Batch]*IFERROR(INDEX(PP_Grid[#Data],M_BOM[PPGridRow],9),0))+IFERROR(INDEX(M_RawMaterials[固定週次消費量_要入力],MATCH($A54,M_RawMaterials[Part Name],0)),0)</f>
        <v/>
      </c>
      <c r="J54">
        <f>SUMPRODUCT((M_BOM[Part Name]=$A54)*M_BOM[RM_Qty_Per_Batch]*IFERROR(INDEX(PP_Grid[#Data],M_BOM[PPGridRow],10),0))+IFERROR(INDEX(M_RawMaterials[固定週次消費量_要入力],MATCH($A54,M_RawMaterials[Part Name],0)),0)</f>
        <v/>
      </c>
      <c r="K54">
        <f>SUMPRODUCT((M_BOM[Part Name]=$A54)*M_BOM[RM_Qty_Per_Batch]*IFERROR(INDEX(PP_Grid[#Data],M_BOM[PPGridRow],11),0))+IFERROR(INDEX(M_RawMaterials[固定週次消費量_要入力],MATCH($A54,M_RawMaterials[Part Name],0)),0)</f>
        <v/>
      </c>
      <c r="L54">
        <f>SUMPRODUCT((M_BOM[Part Name]=$A54)*M_BOM[RM_Qty_Per_Batch]*IFERROR(INDEX(PP_Grid[#Data],M_BOM[PPGridRow],12),0))+IFERROR(INDEX(M_RawMaterials[固定週次消費量_要入力],MATCH($A54,M_RawMaterials[Part Name],0)),0)</f>
        <v/>
      </c>
      <c r="M54">
        <f>SUMPRODUCT((M_BOM[Part Name]=$A54)*M_BOM[RM_Qty_Per_Batch]*IFERROR(INDEX(PP_Grid[#Data],M_BOM[PPGridRow],13),0))+IFERROR(INDEX(M_RawMaterials[固定週次消費量_要入力],MATCH($A54,M_RawMaterials[Part Name],0)),0)</f>
        <v/>
      </c>
      <c r="N54">
        <f>SUMPRODUCT((M_BOM[Part Name]=$A54)*M_BOM[RM_Qty_Per_Batch]*IFERROR(INDEX(PP_Grid[#Data],M_BOM[PPGridRow],14),0))+IFERROR(INDEX(M_RawMaterials[固定週次消費量_要入力],MATCH($A54,M_RawMaterials[Part Name],0)),0)</f>
        <v/>
      </c>
      <c r="O54">
        <f>SUMPRODUCT((M_BOM[Part Name]=$A54)*M_BOM[RM_Qty_Per_Batch]*IFERROR(INDEX(PP_Grid[#Data],M_BOM[PPGridRow],15),0))+IFERROR(INDEX(M_RawMaterials[固定週次消費量_要入力],MATCH($A54,M_RawMaterials[Part Name],0)),0)</f>
        <v/>
      </c>
      <c r="P54">
        <f>SUMPRODUCT((M_BOM[Part Name]=$A54)*M_BOM[RM_Qty_Per_Batch]*IFERROR(INDEX(PP_Grid[#Data],M_BOM[PPGridRow],16),0))+IFERROR(INDEX(M_RawMaterials[固定週次消費量_要入力],MATCH($A54,M_RawMaterials[Part Name],0)),0)</f>
        <v/>
      </c>
      <c r="Q54">
        <f>SUMPRODUCT((M_BOM[Part Name]=$A54)*M_BOM[RM_Qty_Per_Batch]*IFERROR(INDEX(PP_Grid[#Data],M_BOM[PPGridRow],17),0))+IFERROR(INDEX(M_RawMaterials[固定週次消費量_要入力],MATCH($A54,M_RawMaterials[Part Name],0)),0)</f>
        <v/>
      </c>
      <c r="R54">
        <f>SUMPRODUCT((M_BOM[Part Name]=$A54)*M_BOM[RM_Qty_Per_Batch]*IFERROR(INDEX(PP_Grid[#Data],M_BOM[PPGridRow],18),0))+IFERROR(INDEX(M_RawMaterials[固定週次消費量_要入力],MATCH($A54,M_RawMaterials[Part Name],0)),0)</f>
        <v/>
      </c>
      <c r="S54">
        <f>SUMPRODUCT((M_BOM[Part Name]=$A54)*M_BOM[RM_Qty_Per_Batch]*IFERROR(INDEX(PP_Grid[#Data],M_BOM[PPGridRow],19),0))+IFERROR(INDEX(M_RawMaterials[固定週次消費量_要入力],MATCH($A54,M_RawMaterials[Part Name],0)),0)</f>
        <v/>
      </c>
      <c r="T54">
        <f>SUMPRODUCT((M_BOM[Part Name]=$A54)*M_BOM[RM_Qty_Per_Batch]*IFERROR(INDEX(PP_Grid[#Data],M_BOM[PPGridRow],20),0))+IFERROR(INDEX(M_RawMaterials[固定週次消費量_要入力],MATCH($A54,M_RawMaterials[Part Name],0)),0)</f>
        <v/>
      </c>
      <c r="U54">
        <f>SUMPRODUCT((M_BOM[Part Name]=$A54)*M_BOM[RM_Qty_Per_Batch]*IFERROR(INDEX(PP_Grid[#Data],M_BOM[PPGridRow],21),0))+IFERROR(INDEX(M_RawMaterials[固定週次消費量_要入力],MATCH($A54,M_RawMaterials[Part Name],0)),0)</f>
        <v/>
      </c>
      <c r="V54">
        <f>SUMPRODUCT((M_BOM[Part Name]=$A54)*M_BOM[RM_Qty_Per_Batch]*IFERROR(INDEX(PP_Grid[#Data],M_BOM[PPGridRow],22),0))+IFERROR(INDEX(M_RawMaterials[固定週次消費量_要入力],MATCH($A54,M_RawMaterials[Part Name],0)),0)</f>
        <v/>
      </c>
      <c r="W54">
        <f>SUMPRODUCT((M_BOM[Part Name]=$A54)*M_BOM[RM_Qty_Per_Batch]*IFERROR(INDEX(PP_Grid[#Data],M_BOM[PPGridRow],23),0))+IFERROR(INDEX(M_RawMaterials[固定週次消費量_要入力],MATCH($A54,M_RawMaterials[Part Name],0)),0)</f>
        <v/>
      </c>
      <c r="X54">
        <f>SUMPRODUCT((M_BOM[Part Name]=$A54)*M_BOM[RM_Qty_Per_Batch]*IFERROR(INDEX(PP_Grid[#Data],M_BOM[PPGridRow],24),0))+IFERROR(INDEX(M_RawMaterials[固定週次消費量_要入力],MATCH($A54,M_RawMaterials[Part Name],0)),0)</f>
        <v/>
      </c>
      <c r="Y54">
        <f>SUMPRODUCT((M_BOM[Part Name]=$A54)*M_BOM[RM_Qty_Per_Batch]*IFERROR(INDEX(PP_Grid[#Data],M_BOM[PPGridRow],25),0))+IFERROR(INDEX(M_RawMaterials[固定週次消費量_要入力],MATCH($A54,M_RawMaterials[Part Name],0)),0)</f>
        <v/>
      </c>
      <c r="Z54">
        <f>SUMPRODUCT((M_BOM[Part Name]=$A54)*M_BOM[RM_Qty_Per_Batch]*IFERROR(INDEX(PP_Grid[#Data],M_BOM[PPGridRow],26),0))+IFERROR(INDEX(M_RawMaterials[固定週次消費量_要入力],MATCH($A54,M_RawMaterials[Part Name],0)),0)</f>
        <v/>
      </c>
      <c r="AA54">
        <f>SUMPRODUCT((M_BOM[Part Name]=$A54)*M_BOM[RM_Qty_Per_Batch]*IFERROR(INDEX(PP_Grid[#Data],M_BOM[PPGridRow],27),0))+IFERROR(INDEX(M_RawMaterials[固定週次消費量_要入力],MATCH($A54,M_RawMaterials[Part Name],0)),0)</f>
        <v/>
      </c>
      <c r="AB54">
        <f>SUMPRODUCT((M_BOM[Part Name]=$A54)*M_BOM[RM_Qty_Per_Batch]*IFERROR(INDEX(PP_Grid[#Data],M_BOM[PPGridRow],28),0))+IFERROR(INDEX(M_RawMaterials[固定週次消費量_要入力],MATCH($A54,M_RawMaterials[Part Name],0)),0)</f>
        <v/>
      </c>
      <c r="AC54">
        <f>SUMPRODUCT((M_BOM[Part Name]=$A54)*M_BOM[RM_Qty_Per_Batch]*IFERROR(INDEX(PP_Grid[#Data],M_BOM[PPGridRow],29),0))+IFERROR(INDEX(M_RawMaterials[固定週次消費量_要入力],MATCH($A54,M_RawMaterials[Part Name],0)),0)</f>
        <v/>
      </c>
      <c r="AD54">
        <f>SUMPRODUCT((M_BOM[Part Name]=$A54)*M_BOM[RM_Qty_Per_Batch]*IFERROR(INDEX(PP_Grid[#Data],M_BOM[PPGridRow],30),0))+IFERROR(INDEX(M_RawMaterials[固定週次消費量_要入力],MATCH($A54,M_RawMaterials[Part Name],0)),0)</f>
        <v/>
      </c>
      <c r="AE54">
        <f>SUMPRODUCT((M_BOM[Part Name]=$A54)*M_BOM[RM_Qty_Per_Batch]*IFERROR(INDEX(PP_Grid[#Data],M_BOM[PPGridRow],31),0))+IFERROR(INDEX(M_RawMaterials[固定週次消費量_要入力],MATCH($A54,M_RawMaterials[Part Name],0)),0)</f>
        <v/>
      </c>
      <c r="AF54">
        <f>SUMPRODUCT((M_BOM[Part Name]=$A54)*M_BOM[RM_Qty_Per_Batch]*IFERROR(INDEX(PP_Grid[#Data],M_BOM[PPGridRow],32),0))+IFERROR(INDEX(M_RawMaterials[固定週次消費量_要入力],MATCH($A54,M_RawMaterials[Part Name],0)),0)</f>
        <v/>
      </c>
      <c r="AG54">
        <f>SUMPRODUCT((M_BOM[Part Name]=$A54)*M_BOM[RM_Qty_Per_Batch]*IFERROR(INDEX(PP_Grid[#Data],M_BOM[PPGridRow],33),0))+IFERROR(INDEX(M_RawMaterials[固定週次消費量_要入力],MATCH($A54,M_RawMaterials[Part Name],0)),0)</f>
        <v/>
      </c>
      <c r="AH54">
        <f>SUMPRODUCT((M_BOM[Part Name]=$A54)*M_BOM[RM_Qty_Per_Batch]*IFERROR(INDEX(PP_Grid[#Data],M_BOM[PPGridRow],34),0))+IFERROR(INDEX(M_RawMaterials[固定週次消費量_要入力],MATCH($A54,M_RawMaterials[Part Name],0)),0)</f>
        <v/>
      </c>
      <c r="AI54">
        <f>SUMPRODUCT((M_BOM[Part Name]=$A54)*M_BOM[RM_Qty_Per_Batch]*IFERROR(INDEX(PP_Grid[#Data],M_BOM[PPGridRow],35),0))+IFERROR(INDEX(M_RawMaterials[固定週次消費量_要入力],MATCH($A54,M_RawMaterials[Part Name],0)),0)</f>
        <v/>
      </c>
      <c r="AJ54">
        <f>SUMPRODUCT((M_BOM[Part Name]=$A54)*M_BOM[RM_Qty_Per_Batch]*IFERROR(INDEX(PP_Grid[#Data],M_BOM[PPGridRow],36),0))+IFERROR(INDEX(M_RawMaterials[固定週次消費量_要入力],MATCH($A54,M_RawMaterials[Part Name],0)),0)</f>
        <v/>
      </c>
      <c r="AK54">
        <f>SUMPRODUCT((M_BOM[Part Name]=$A54)*M_BOM[RM_Qty_Per_Batch]*IFERROR(INDEX(PP_Grid[#Data],M_BOM[PPGridRow],37),0))+IFERROR(INDEX(M_RawMaterials[固定週次消費量_要入力],MATCH($A54,M_RawMaterials[Part Name],0)),0)</f>
        <v/>
      </c>
      <c r="AL54">
        <f>SUMPRODUCT((M_BOM[Part Name]=$A54)*M_BOM[RM_Qty_Per_Batch]*IFERROR(INDEX(PP_Grid[#Data],M_BOM[PPGridRow],38),0))+IFERROR(INDEX(M_RawMaterials[固定週次消費量_要入力],MATCH($A54,M_RawMaterials[Part Name],0)),0)</f>
        <v/>
      </c>
      <c r="AM54">
        <f>SUMPRODUCT((M_BOM[Part Name]=$A54)*M_BOM[RM_Qty_Per_Batch]*IFERROR(INDEX(PP_Grid[#Data],M_BOM[PPGridRow],39),0))+IFERROR(INDEX(M_RawMaterials[固定週次消費量_要入力],MATCH($A54,M_RawMaterials[Part Name],0)),0)</f>
        <v/>
      </c>
      <c r="AN54">
        <f>SUMPRODUCT((M_BOM[Part Name]=$A54)*M_BOM[RM_Qty_Per_Batch]*IFERROR(INDEX(PP_Grid[#Data],M_BOM[PPGridRow],40),0))+IFERROR(INDEX(M_RawMaterials[固定週次消費量_要入力],MATCH($A54,M_RawMaterials[Part Name],0)),0)</f>
        <v/>
      </c>
      <c r="AO54">
        <f>SUMPRODUCT((M_BOM[Part Name]=$A54)*M_BOM[RM_Qty_Per_Batch]*IFERROR(INDEX(PP_Grid[#Data],M_BOM[PPGridRow],41),0))+IFERROR(INDEX(M_RawMaterials[固定週次消費量_要入力],MATCH($A54,M_RawMaterials[Part Name],0)),0)</f>
        <v/>
      </c>
      <c r="AP54">
        <f>SUMPRODUCT((M_BOM[Part Name]=$A54)*M_BOM[RM_Qty_Per_Batch]*IFERROR(INDEX(PP_Grid[#Data],M_BOM[PPGridRow],42),0))+IFERROR(INDEX(M_RawMaterials[固定週次消費量_要入力],MATCH($A54,M_RawMaterials[Part Name],0)),0)</f>
        <v/>
      </c>
      <c r="AQ54">
        <f>SUMPRODUCT((M_BOM[Part Name]=$A54)*M_BOM[RM_Qty_Per_Batch]*IFERROR(INDEX(PP_Grid[#Data],M_BOM[PPGridRow],43),0))+IFERROR(INDEX(M_RawMaterials[固定週次消費量_要入力],MATCH($A54,M_RawMaterials[Part Name],0)),0)</f>
        <v/>
      </c>
      <c r="AR54">
        <f>SUMPRODUCT((M_BOM[Part Name]=$A54)*M_BOM[RM_Qty_Per_Batch]*IFERROR(INDEX(PP_Grid[#Data],M_BOM[PPGridRow],44),0))+IFERROR(INDEX(M_RawMaterials[固定週次消費量_要入力],MATCH($A54,M_RawMaterials[Part Name],0)),0)</f>
        <v/>
      </c>
      <c r="AS54">
        <f>SUMPRODUCT((M_BOM[Part Name]=$A54)*M_BOM[RM_Qty_Per_Batch]*IFERROR(INDEX(PP_Grid[#Data],M_BOM[PPGridRow],45),0))+IFERROR(INDEX(M_RawMaterials[固定週次消費量_要入力],MATCH($A54,M_RawMaterials[Part Name],0)),0)</f>
        <v/>
      </c>
      <c r="AT54">
        <f>SUMPRODUCT((M_BOM[Part Name]=$A54)*M_BOM[RM_Qty_Per_Batch]*IFERROR(INDEX(PP_Grid[#Data],M_BOM[PPGridRow],46),0))+IFERROR(INDEX(M_RawMaterials[固定週次消費量_要入力],MATCH($A54,M_RawMaterials[Part Name],0)),0)</f>
        <v/>
      </c>
      <c r="AU54">
        <f>SUMPRODUCT((M_BOM[Part Name]=$A54)*M_BOM[RM_Qty_Per_Batch]*IFERROR(INDEX(PP_Grid[#Data],M_BOM[PPGridRow],47),0))+IFERROR(INDEX(M_RawMaterials[固定週次消費量_要入力],MATCH($A54,M_RawMaterials[Part Name],0)),0)</f>
        <v/>
      </c>
      <c r="AV54">
        <f>SUMPRODUCT((M_BOM[Part Name]=$A54)*M_BOM[RM_Qty_Per_Batch]*IFERROR(INDEX(PP_Grid[#Data],M_BOM[PPGridRow],48),0))+IFERROR(INDEX(M_RawMaterials[固定週次消費量_要入力],MATCH($A54,M_RawMaterials[Part Name],0)),0)</f>
        <v/>
      </c>
      <c r="AW54">
        <f>SUMPRODUCT((M_BOM[Part Name]=$A54)*M_BOM[RM_Qty_Per_Batch]*IFERROR(INDEX(PP_Grid[#Data],M_BOM[PPGridRow],49),0))+IFERROR(INDEX(M_RawMaterials[固定週次消費量_要入力],MATCH($A54,M_RawMaterials[Part Name],0)),0)</f>
        <v/>
      </c>
      <c r="AX54">
        <f>SUMPRODUCT((M_BOM[Part Name]=$A54)*M_BOM[RM_Qty_Per_Batch]*IFERROR(INDEX(PP_Grid[#Data],M_BOM[PPGridRow],50),0))+IFERROR(INDEX(M_RawMaterials[固定週次消費量_要入力],MATCH($A54,M_RawMaterials[Part Name],0)),0)</f>
        <v/>
      </c>
      <c r="AY54">
        <f>SUMPRODUCT((M_BOM[Part Name]=$A54)*M_BOM[RM_Qty_Per_Batch]*IFERROR(INDEX(PP_Grid[#Data],M_BOM[PPGridRow],51),0))+IFERROR(INDEX(M_RawMaterials[固定週次消費量_要入力],MATCH($A54,M_RawMaterials[Part Name],0)),0)</f>
        <v/>
      </c>
      <c r="AZ54">
        <f>SUMPRODUCT((M_BOM[Part Name]=$A54)*M_BOM[RM_Qty_Per_Batch]*IFERROR(INDEX(PP_Grid[#Data],M_BOM[PPGridRow],52),0))+IFERROR(INDEX(M_RawMaterials[固定週次消費量_要入力],MATCH($A54,M_RawMaterials[Part Name],0)),0)</f>
        <v/>
      </c>
      <c r="BA54">
        <f>SUMPRODUCT((M_BOM[Part Name]=$A54)*M_BOM[RM_Qty_Per_Batch]*IFERROR(INDEX(PP_Grid[#Data],M_BOM[PPGridRow],53),0))+IFERROR(INDEX(M_RawMaterials[固定週次消費量_要入力],MATCH($A54,M_RawMaterials[Part Name],0)),0)</f>
        <v/>
      </c>
      <c r="BB54">
        <f>SUMPRODUCT((M_BOM[Part Name]=$A54)*M_BOM[RM_Qty_Per_Batch]*IFERROR(INDEX(PP_Grid[#Data],M_BOM[PPGridRow],54),0))+IFERROR(INDEX(M_RawMaterials[固定週次消費量_要入力],MATCH($A54,M_RawMaterials[Part Name],0)),0)</f>
        <v/>
      </c>
      <c r="BC54">
        <f>SUMPRODUCT((M_BOM[Part Name]=$A54)*M_BOM[RM_Qty_Per_Batch]*IFERROR(INDEX(PP_Grid[#Data],M_BOM[PPGridRow],55),0))+IFERROR(INDEX(M_RawMaterials[固定週次消費量_要入力],MATCH($A54,M_RawMaterials[Part Name],0)),0)</f>
        <v/>
      </c>
      <c r="BD54">
        <f>SUMPRODUCT((M_BOM[Part Name]=$A54)*M_BOM[RM_Qty_Per_Batch]*IFERROR(INDEX(PP_Grid[#Data],M_BOM[PPGridRow],56),0))+IFERROR(INDEX(M_RawMaterials[固定週次消費量_要入力],MATCH($A54,M_RawMaterials[Part Name],0)),0)</f>
        <v/>
      </c>
      <c r="BE54">
        <f>SUMPRODUCT((M_BOM[Part Name]=$A54)*M_BOM[RM_Qty_Per_Batch]*IFERROR(INDEX(PP_Grid[#Data],M_BOM[PPGridRow],57),0))+IFERROR(INDEX(M_RawMaterials[固定週次消費量_要入力],MATCH($A54,M_RawMaterials[Part Name],0)),0)</f>
        <v/>
      </c>
      <c r="BF54">
        <f>SUMPRODUCT((M_BOM[Part Name]=$A54)*M_BOM[RM_Qty_Per_Batch]*IFERROR(INDEX(PP_Grid[#Data],M_BOM[PPGridRow],58),0))+IFERROR(INDEX(M_RawMaterials[固定週次消費量_要入力],MATCH($A54,M_RawMaterials[Part Name],0)),0)</f>
        <v/>
      </c>
      <c r="BG54">
        <f>SUMPRODUCT((M_BOM[Part Name]=$A54)*M_BOM[RM_Qty_Per_Batch]*IFERROR(INDEX(PP_Grid[#Data],M_BOM[PPGridRow],59),0))+IFERROR(INDEX(M_RawMaterials[固定週次消費量_要入力],MATCH($A54,M_RawMaterials[Part Name],0)),0)</f>
        <v/>
      </c>
      <c r="BH54">
        <f>SUMPRODUCT((M_BOM[Part Name]=$A54)*M_BOM[RM_Qty_Per_Batch]*IFERROR(INDEX(PP_Grid[#Data],M_BOM[PPGridRow],60),0))+IFERROR(INDEX(M_RawMaterials[固定週次消費量_要入力],MATCH($A54,M_RawMaterials[Part Name],0)),0)</f>
        <v/>
      </c>
      <c r="BI54">
        <f>SUMPRODUCT((M_BOM[Part Name]=$A54)*M_BOM[RM_Qty_Per_Batch]*IFERROR(INDEX(PP_Grid[#Data],M_BOM[PPGridRow],61),0))+IFERROR(INDEX(M_RawMaterials[固定週次消費量_要入力],MATCH($A54,M_RawMaterials[Part Name],0)),0)</f>
        <v/>
      </c>
      <c r="BJ54">
        <f>SUMPRODUCT((M_BOM[Part Name]=$A54)*M_BOM[RM_Qty_Per_Batch]*IFERROR(INDEX(PP_Grid[#Data],M_BOM[PPGridRow],62),0))+IFERROR(INDEX(M_RawMaterials[固定週次消費量_要入力],MATCH($A54,M_RawMaterials[Part Name],0)),0)</f>
        <v/>
      </c>
      <c r="BK54">
        <f>SUMPRODUCT((M_BOM[Part Name]=$A54)*M_BOM[RM_Qty_Per_Batch]*IFERROR(INDEX(PP_Grid[#Data],M_BOM[PPGridRow],63),0))+IFERROR(INDEX(M_RawMaterials[固定週次消費量_要入力],MATCH($A54,M_RawMaterials[Part Name],0)),0)</f>
        <v/>
      </c>
      <c r="BL54">
        <f>SUMPRODUCT((M_BOM[Part Name]=$A54)*M_BOM[RM_Qty_Per_Batch]*IFERROR(INDEX(PP_Grid[#Data],M_BOM[PPGridRow],64),0))+IFERROR(INDEX(M_RawMaterials[固定週次消費量_要入力],MATCH($A54,M_RawMaterials[Part Name],0)),0)</f>
        <v/>
      </c>
      <c r="BM54">
        <f>SUMPRODUCT((M_BOM[Part Name]=$A54)*M_BOM[RM_Qty_Per_Batch]*IFERROR(INDEX(PP_Grid[#Data],M_BOM[PPGridRow],65),0))+IFERROR(INDEX(M_RawMaterials[固定週次消費量_要入力],MATCH($A54,M_RawMaterials[Part Name],0)),0)</f>
        <v/>
      </c>
      <c r="BN54">
        <f>SUMPRODUCT((M_BOM[Part Name]=$A54)*M_BOM[RM_Qty_Per_Batch]*IFERROR(INDEX(PP_Grid[#Data],M_BOM[PPGridRow],66),0))+IFERROR(INDEX(M_RawMaterials[固定週次消費量_要入力],MATCH($A54,M_RawMaterials[Part Name],0)),0)</f>
        <v/>
      </c>
      <c r="BO54">
        <f>SUMPRODUCT((M_BOM[Part Name]=$A54)*M_BOM[RM_Qty_Per_Batch]*IFERROR(INDEX(PP_Grid[#Data],M_BOM[PPGridRow],67),0))+IFERROR(INDEX(M_RawMaterials[固定週次消費量_要入力],MATCH($A54,M_RawMaterials[Part Name],0)),0)</f>
        <v/>
      </c>
      <c r="BP54">
        <f>SUMPRODUCT((M_BOM[Part Name]=$A54)*M_BOM[RM_Qty_Per_Batch]*IFERROR(INDEX(PP_Grid[#Data],M_BOM[PPGridRow],68),0))+IFERROR(INDEX(M_RawMaterials[固定週次消費量_要入力],MATCH($A54,M_RawMaterials[Part Name],0)),0)</f>
        <v/>
      </c>
      <c r="BQ54">
        <f>SUMPRODUCT((M_BOM[Part Name]=$A54)*M_BOM[RM_Qty_Per_Batch]*IFERROR(INDEX(PP_Grid[#Data],M_BOM[PPGridRow],69),0))+IFERROR(INDEX(M_RawMaterials[固定週次消費量_要入力],MATCH($A54,M_RawMaterials[Part Name],0)),0)</f>
        <v/>
      </c>
      <c r="BR54">
        <f>SUMPRODUCT((M_BOM[Part Name]=$A54)*M_BOM[RM_Qty_Per_Batch]*IFERROR(INDEX(PP_Grid[#Data],M_BOM[PPGridRow],70),0))+IFERROR(INDEX(M_RawMaterials[固定週次消費量_要入力],MATCH($A54,M_RawMaterials[Part Name],0)),0)</f>
        <v/>
      </c>
      <c r="BS54">
        <f>SUMPRODUCT((M_BOM[Part Name]=$A54)*M_BOM[RM_Qty_Per_Batch]*IFERROR(INDEX(PP_Grid[#Data],M_BOM[PPGridRow],71),0))+IFERROR(INDEX(M_RawMaterials[固定週次消費量_要入力],MATCH($A54,M_RawMaterials[Part Name],0)),0)</f>
        <v/>
      </c>
      <c r="BT54">
        <f>SUMPRODUCT((M_BOM[Part Name]=$A54)*M_BOM[RM_Qty_Per_Batch]*IFERROR(INDEX(PP_Grid[#Data],M_BOM[PPGridRow],72),0))+IFERROR(INDEX(M_RawMaterials[固定週次消費量_要入力],MATCH($A54,M_RawMaterials[Part Name],0)),0)</f>
        <v/>
      </c>
      <c r="BU54">
        <f>SUMPRODUCT((M_BOM[Part Name]=$A54)*M_BOM[RM_Qty_Per_Batch]*IFERROR(INDEX(PP_Grid[#Data],M_BOM[PPGridRow],73),0))+IFERROR(INDEX(M_RawMaterials[固定週次消費量_要入力],MATCH($A54,M_RawMaterials[Part Name],0)),0)</f>
        <v/>
      </c>
      <c r="BV54">
        <f>SUMPRODUCT((M_BOM[Part Name]=$A54)*M_BOM[RM_Qty_Per_Batch]*IFERROR(INDEX(PP_Grid[#Data],M_BOM[PPGridRow],74),0))+IFERROR(INDEX(M_RawMaterials[固定週次消費量_要入力],MATCH($A54,M_RawMaterials[Part Name],0)),0)</f>
        <v/>
      </c>
      <c r="BW54">
        <f>SUMPRODUCT((M_BOM[Part Name]=$A54)*M_BOM[RM_Qty_Per_Batch]*IFERROR(INDEX(PP_Grid[#Data],M_BOM[PPGridRow],75),0))+IFERROR(INDEX(M_RawMaterials[固定週次消費量_要入力],MATCH($A54,M_RawMaterials[Part Name],0)),0)</f>
        <v/>
      </c>
      <c r="BX54">
        <f>SUMPRODUCT((M_BOM[Part Name]=$A54)*M_BOM[RM_Qty_Per_Batch]*IFERROR(INDEX(PP_Grid[#Data],M_BOM[PPGridRow],76),0))+IFERROR(INDEX(M_RawMaterials[固定週次消費量_要入力],MATCH($A54,M_RawMaterials[Part Name],0)),0)</f>
        <v/>
      </c>
      <c r="BY54">
        <f>SUMPRODUCT((M_BOM[Part Name]=$A54)*M_BOM[RM_Qty_Per_Batch]*IFERROR(INDEX(PP_Grid[#Data],M_BOM[PPGridRow],77),0))+IFERROR(INDEX(M_RawMaterials[固定週次消費量_要入力],MATCH($A54,M_RawMaterials[Part Name],0)),0)</f>
        <v/>
      </c>
      <c r="BZ54">
        <f>SUMPRODUCT((M_BOM[Part Name]=$A54)*M_BOM[RM_Qty_Per_Batch]*IFERROR(INDEX(PP_Grid[#Data],M_BOM[PPGridRow],78),0))+IFERROR(INDEX(M_RawMaterials[固定週次消費量_要入力],MATCH($A54,M_RawMaterials[Part Name],0)),0)</f>
        <v/>
      </c>
      <c r="CA54">
        <f>SUMPRODUCT((M_BOM[Part Name]=$A54)*M_BOM[RM_Qty_Per_Batch]*IFERROR(INDEX(PP_Grid[#Data],M_BOM[PPGridRow],79),0))+IFERROR(INDEX(M_RawMaterials[固定週次消費量_要入力],MATCH($A54,M_RawMaterials[Part Name],0)),0)</f>
        <v/>
      </c>
      <c r="CB54">
        <f>SUMPRODUCT((M_BOM[Part Name]=$A54)*M_BOM[RM_Qty_Per_Batch]*IFERROR(INDEX(PP_Grid[#Data],M_BOM[PPGridRow],80),0))+IFERROR(INDEX(M_RawMaterials[固定週次消費量_要入力],MATCH($A54,M_RawMaterials[Part Name],0)),0)</f>
        <v/>
      </c>
      <c r="CC54">
        <f>SUMPRODUCT((M_BOM[Part Name]=$A54)*M_BOM[RM_Qty_Per_Batch]*IFERROR(INDEX(PP_Grid[#Data],M_BOM[PPGridRow],81),0))+IFERROR(INDEX(M_RawMaterials[固定週次消費量_要入力],MATCH($A54,M_RawMaterials[Part Name],0)),0)</f>
        <v/>
      </c>
      <c r="CD54">
        <f>SUMPRODUCT((M_BOM[Part Name]=$A54)*M_BOM[RM_Qty_Per_Batch]*IFERROR(INDEX(PP_Grid[#Data],M_BOM[PPGridRow],82),0))+IFERROR(INDEX(M_RawMaterials[固定週次消費量_要入力],MATCH($A54,M_RawMaterials[Part Name],0)),0)</f>
        <v/>
      </c>
      <c r="CE54">
        <f>SUMPRODUCT((M_BOM[Part Name]=$A54)*M_BOM[RM_Qty_Per_Batch]*IFERROR(INDEX(PP_Grid[#Data],M_BOM[PPGridRow],83),0))+IFERROR(INDEX(M_RawMaterials[固定週次消費量_要入力],MATCH($A54,M_RawMaterials[Part Name],0)),0)</f>
        <v/>
      </c>
      <c r="CF54">
        <f>SUMPRODUCT((M_BOM[Part Name]=$A54)*M_BOM[RM_Qty_Per_Batch]*IFERROR(INDEX(PP_Grid[#Data],M_BOM[PPGridRow],84),0))+IFERROR(INDEX(M_RawMaterials[固定週次消費量_要入力],MATCH($A54,M_RawMaterials[Part Name],0)),0)</f>
        <v/>
      </c>
      <c r="CG54">
        <f>SUMPRODUCT((M_BOM[Part Name]=$A54)*M_BOM[RM_Qty_Per_Batch]*IFERROR(INDEX(PP_Grid[#Data],M_BOM[PPGridRow],85),0))+IFERROR(INDEX(M_RawMaterials[固定週次消費量_要入力],MATCH($A54,M_RawMaterials[Part Name],0)),0)</f>
        <v/>
      </c>
      <c r="CH54">
        <f>SUMPRODUCT((M_BOM[Part Name]=$A54)*M_BOM[RM_Qty_Per_Batch]*IFERROR(INDEX(PP_Grid[#Data],M_BOM[PPGridRow],86),0))+IFERROR(INDEX(M_RawMaterials[固定週次消費量_要入力],MATCH($A54,M_RawMaterials[Part Name],0)),0)</f>
        <v/>
      </c>
      <c r="CI54">
        <f>SUMPRODUCT((M_BOM[Part Name]=$A54)*M_BOM[RM_Qty_Per_Batch]*IFERROR(INDEX(PP_Grid[#Data],M_BOM[PPGridRow],87),0))+IFERROR(INDEX(M_RawMaterials[固定週次消費量_要入力],MATCH($A54,M_RawMaterials[Part Name],0)),0)</f>
        <v/>
      </c>
      <c r="CJ54">
        <f>SUMPRODUCT((M_BOM[Part Name]=$A54)*M_BOM[RM_Qty_Per_Batch]*IFERROR(INDEX(PP_Grid[#Data],M_BOM[PPGridRow],88),0))+IFERROR(INDEX(M_RawMaterials[固定週次消費量_要入力],MATCH($A54,M_RawMaterials[Part Name],0)),0)</f>
        <v/>
      </c>
      <c r="CK54">
        <f>SUMPRODUCT((M_BOM[Part Name]=$A54)*M_BOM[RM_Qty_Per_Batch]*IFERROR(INDEX(PP_Grid[#Data],M_BOM[PPGridRow],89),0))+IFERROR(INDEX(M_RawMaterials[固定週次消費量_要入力],MATCH($A54,M_RawMaterials[Part Name],0)),0)</f>
        <v/>
      </c>
      <c r="CL54">
        <f>SUMPRODUCT((M_BOM[Part Name]=$A54)*M_BOM[RM_Qty_Per_Batch]*IFERROR(INDEX(PP_Grid[#Data],M_BOM[PPGridRow],90),0))+IFERROR(INDEX(M_RawMaterials[固定週次消費量_要入力],MATCH($A54,M_RawMaterials[Part Name],0)),0)</f>
        <v/>
      </c>
      <c r="CM54">
        <f>SUMPRODUCT((M_BOM[Part Name]=$A54)*M_BOM[RM_Qty_Per_Batch]*IFERROR(INDEX(PP_Grid[#Data],M_BOM[PPGridRow],91),0))+IFERROR(INDEX(M_RawMaterials[固定週次消費量_要入力],MATCH($A54,M_RawMaterials[Part Name],0)),0)</f>
        <v/>
      </c>
      <c r="CN54">
        <f>SUMPRODUCT((M_BOM[Part Name]=$A54)*M_BOM[RM_Qty_Per_Batch]*IFERROR(INDEX(PP_Grid[#Data],M_BOM[PPGridRow],92),0))+IFERROR(INDEX(M_RawMaterials[固定週次消費量_要入力],MATCH($A54,M_RawMaterials[Part Name],0)),0)</f>
        <v/>
      </c>
      <c r="CO54">
        <f>SUMPRODUCT((M_BOM[Part Name]=$A54)*M_BOM[RM_Qty_Per_Batch]*IFERROR(INDEX(PP_Grid[#Data],M_BOM[PPGridRow],93),0))+IFERROR(INDEX(M_RawMaterials[固定週次消費量_要入力],MATCH($A54,M_RawMaterials[Part Name],0)),0)</f>
        <v/>
      </c>
      <c r="CP54">
        <f>SUMPRODUCT((M_BOM[Part Name]=$A54)*M_BOM[RM_Qty_Per_Batch]*IFERROR(INDEX(PP_Grid[#Data],M_BOM[PPGridRow],94),0))+IFERROR(INDEX(M_RawMaterials[固定週次消費量_要入力],MATCH($A54,M_RawMaterials[Part Name],0)),0)</f>
        <v/>
      </c>
      <c r="CQ54">
        <f>SUMPRODUCT((M_BOM[Part Name]=$A54)*M_BOM[RM_Qty_Per_Batch]*IFERROR(INDEX(PP_Grid[#Data],M_BOM[PPGridRow],95),0))+IFERROR(INDEX(M_RawMaterials[固定週次消費量_要入力],MATCH($A54,M_RawMaterials[Part Name],0)),0)</f>
        <v/>
      </c>
      <c r="CR54">
        <f>SUMPRODUCT((M_BOM[Part Name]=$A54)*M_BOM[RM_Qty_Per_Batch]*IFERROR(INDEX(PP_Grid[#Data],M_BOM[PPGridRow],96),0))+IFERROR(INDEX(M_RawMaterials[固定週次消費量_要入力],MATCH($A54,M_RawMaterials[Part Name],0)),0)</f>
        <v/>
      </c>
      <c r="CS54">
        <f>SUMPRODUCT((M_BOM[Part Name]=$A54)*M_BOM[RM_Qty_Per_Batch]*IFERROR(INDEX(PP_Grid[#Data],M_BOM[PPGridRow],97),0))+IFERROR(INDEX(M_RawMaterials[固定週次消費量_要入力],MATCH($A54,M_RawMaterials[Part Name],0)),0)</f>
        <v/>
      </c>
      <c r="CT54">
        <f>SUMPRODUCT((M_BOM[Part Name]=$A54)*M_BOM[RM_Qty_Per_Batch]*IFERROR(INDEX(PP_Grid[#Data],M_BOM[PPGridRow],98),0))+IFERROR(INDEX(M_RawMaterials[固定週次消費量_要入力],MATCH($A54,M_RawMaterials[Part Name],0)),0)</f>
        <v/>
      </c>
      <c r="CU54">
        <f>SUMPRODUCT((M_BOM[Part Name]=$A54)*M_BOM[RM_Qty_Per_Batch]*IFERROR(INDEX(PP_Grid[#Data],M_BOM[PPGridRow],99),0))+IFERROR(INDEX(M_RawMaterials[固定週次消費量_要入力],MATCH($A54,M_RawMaterials[Part Name],0)),0)</f>
        <v/>
      </c>
      <c r="CV54">
        <f>SUMPRODUCT((M_BOM[Part Name]=$A54)*M_BOM[RM_Qty_Per_Batch]*IFERROR(INDEX(PP_Grid[#Data],M_BOM[PPGridRow],100),0))+IFERROR(INDEX(M_RawMaterials[固定週次消費量_要入力],MATCH($A54,M_RawMaterials[Part Name],0)),0)</f>
        <v/>
      </c>
      <c r="CW54">
        <f>SUMPRODUCT((M_BOM[Part Name]=$A54)*M_BOM[RM_Qty_Per_Batch]*IFERROR(INDEX(PP_Grid[#Data],M_BOM[PPGridRow],101),0))+IFERROR(INDEX(M_RawMaterials[固定週次消費量_要入力],MATCH($A54,M_RawMaterials[Part Name],0)),0)</f>
        <v/>
      </c>
      <c r="CX54">
        <f>SUMPRODUCT((M_BOM[Part Name]=$A54)*M_BOM[RM_Qty_Per_Batch]*IFERROR(INDEX(PP_Grid[#Data],M_BOM[PPGridRow],102),0))+IFERROR(INDEX(M_RawMaterials[固定週次消費量_要入力],MATCH($A54,M_RawMaterials[Part Name],0)),0)</f>
        <v/>
      </c>
      <c r="CY54">
        <f>SUMPRODUCT((M_BOM[Part Name]=$A54)*M_BOM[RM_Qty_Per_Batch]*IFERROR(INDEX(PP_Grid[#Data],M_BOM[PPGridRow],103),0))+IFERROR(INDEX(M_RawMaterials[固定週次消費量_要入力],MATCH($A54,M_RawMaterials[Part Name],0)),0)</f>
        <v/>
      </c>
      <c r="CZ54">
        <f>SUMPRODUCT((M_BOM[Part Name]=$A54)*M_BOM[RM_Qty_Per_Batch]*IFERROR(INDEX(PP_Grid[#Data],M_BOM[PPGridRow],104),0))+IFERROR(INDEX(M_RawMaterials[固定週次消費量_要入力],MATCH($A54,M_RawMaterials[Part Name],0)),0)</f>
        <v/>
      </c>
      <c r="DA54">
        <f>SUMPRODUCT((M_BOM[Part Name]=$A54)*M_BOM[RM_Qty_Per_Batch]*IFERROR(INDEX(PP_Grid[#Data],M_BOM[PPGridRow],105),0))+IFERROR(INDEX(M_RawMaterials[固定週次消費量_要入力],MATCH($A54,M_RawMaterials[Part Name],0)),0)</f>
        <v/>
      </c>
    </row>
    <row r="55">
      <c r="A55" t="inlineStr">
        <is>
          <t>CHEM-1560</t>
        </is>
      </c>
      <c r="B55">
        <f>SUMPRODUCT((M_BOM[Part Name]=$A55)*M_BOM[RM_Qty_Per_Batch]*IFERROR(INDEX(PP_Grid[#Data],M_BOM[PPGridRow],2),0))+IFERROR(INDEX(M_RawMaterials[固定週次消費量_要入力],MATCH($A55,M_RawMaterials[Part Name],0)),0)</f>
        <v/>
      </c>
      <c r="C55">
        <f>SUMPRODUCT((M_BOM[Part Name]=$A55)*M_BOM[RM_Qty_Per_Batch]*IFERROR(INDEX(PP_Grid[#Data],M_BOM[PPGridRow],3),0))+IFERROR(INDEX(M_RawMaterials[固定週次消費量_要入力],MATCH($A55,M_RawMaterials[Part Name],0)),0)</f>
        <v/>
      </c>
      <c r="D55">
        <f>SUMPRODUCT((M_BOM[Part Name]=$A55)*M_BOM[RM_Qty_Per_Batch]*IFERROR(INDEX(PP_Grid[#Data],M_BOM[PPGridRow],4),0))+IFERROR(INDEX(M_RawMaterials[固定週次消費量_要入力],MATCH($A55,M_RawMaterials[Part Name],0)),0)</f>
        <v/>
      </c>
      <c r="E55">
        <f>SUMPRODUCT((M_BOM[Part Name]=$A55)*M_BOM[RM_Qty_Per_Batch]*IFERROR(INDEX(PP_Grid[#Data],M_BOM[PPGridRow],5),0))+IFERROR(INDEX(M_RawMaterials[固定週次消費量_要入力],MATCH($A55,M_RawMaterials[Part Name],0)),0)</f>
        <v/>
      </c>
      <c r="F55">
        <f>SUMPRODUCT((M_BOM[Part Name]=$A55)*M_BOM[RM_Qty_Per_Batch]*IFERROR(INDEX(PP_Grid[#Data],M_BOM[PPGridRow],6),0))+IFERROR(INDEX(M_RawMaterials[固定週次消費量_要入力],MATCH($A55,M_RawMaterials[Part Name],0)),0)</f>
        <v/>
      </c>
      <c r="G55">
        <f>SUMPRODUCT((M_BOM[Part Name]=$A55)*M_BOM[RM_Qty_Per_Batch]*IFERROR(INDEX(PP_Grid[#Data],M_BOM[PPGridRow],7),0))+IFERROR(INDEX(M_RawMaterials[固定週次消費量_要入力],MATCH($A55,M_RawMaterials[Part Name],0)),0)</f>
        <v/>
      </c>
      <c r="H55">
        <f>SUMPRODUCT((M_BOM[Part Name]=$A55)*M_BOM[RM_Qty_Per_Batch]*IFERROR(INDEX(PP_Grid[#Data],M_BOM[PPGridRow],8),0))+IFERROR(INDEX(M_RawMaterials[固定週次消費量_要入力],MATCH($A55,M_RawMaterials[Part Name],0)),0)</f>
        <v/>
      </c>
      <c r="I55">
        <f>SUMPRODUCT((M_BOM[Part Name]=$A55)*M_BOM[RM_Qty_Per_Batch]*IFERROR(INDEX(PP_Grid[#Data],M_BOM[PPGridRow],9),0))+IFERROR(INDEX(M_RawMaterials[固定週次消費量_要入力],MATCH($A55,M_RawMaterials[Part Name],0)),0)</f>
        <v/>
      </c>
      <c r="J55">
        <f>SUMPRODUCT((M_BOM[Part Name]=$A55)*M_BOM[RM_Qty_Per_Batch]*IFERROR(INDEX(PP_Grid[#Data],M_BOM[PPGridRow],10),0))+IFERROR(INDEX(M_RawMaterials[固定週次消費量_要入力],MATCH($A55,M_RawMaterials[Part Name],0)),0)</f>
        <v/>
      </c>
      <c r="K55">
        <f>SUMPRODUCT((M_BOM[Part Name]=$A55)*M_BOM[RM_Qty_Per_Batch]*IFERROR(INDEX(PP_Grid[#Data],M_BOM[PPGridRow],11),0))+IFERROR(INDEX(M_RawMaterials[固定週次消費量_要入力],MATCH($A55,M_RawMaterials[Part Name],0)),0)</f>
        <v/>
      </c>
      <c r="L55">
        <f>SUMPRODUCT((M_BOM[Part Name]=$A55)*M_BOM[RM_Qty_Per_Batch]*IFERROR(INDEX(PP_Grid[#Data],M_BOM[PPGridRow],12),0))+IFERROR(INDEX(M_RawMaterials[固定週次消費量_要入力],MATCH($A55,M_RawMaterials[Part Name],0)),0)</f>
        <v/>
      </c>
      <c r="M55">
        <f>SUMPRODUCT((M_BOM[Part Name]=$A55)*M_BOM[RM_Qty_Per_Batch]*IFERROR(INDEX(PP_Grid[#Data],M_BOM[PPGridRow],13),0))+IFERROR(INDEX(M_RawMaterials[固定週次消費量_要入力],MATCH($A55,M_RawMaterials[Part Name],0)),0)</f>
        <v/>
      </c>
      <c r="N55">
        <f>SUMPRODUCT((M_BOM[Part Name]=$A55)*M_BOM[RM_Qty_Per_Batch]*IFERROR(INDEX(PP_Grid[#Data],M_BOM[PPGridRow],14),0))+IFERROR(INDEX(M_RawMaterials[固定週次消費量_要入力],MATCH($A55,M_RawMaterials[Part Name],0)),0)</f>
        <v/>
      </c>
      <c r="O55">
        <f>SUMPRODUCT((M_BOM[Part Name]=$A55)*M_BOM[RM_Qty_Per_Batch]*IFERROR(INDEX(PP_Grid[#Data],M_BOM[PPGridRow],15),0))+IFERROR(INDEX(M_RawMaterials[固定週次消費量_要入力],MATCH($A55,M_RawMaterials[Part Name],0)),0)</f>
        <v/>
      </c>
      <c r="P55">
        <f>SUMPRODUCT((M_BOM[Part Name]=$A55)*M_BOM[RM_Qty_Per_Batch]*IFERROR(INDEX(PP_Grid[#Data],M_BOM[PPGridRow],16),0))+IFERROR(INDEX(M_RawMaterials[固定週次消費量_要入力],MATCH($A55,M_RawMaterials[Part Name],0)),0)</f>
        <v/>
      </c>
      <c r="Q55">
        <f>SUMPRODUCT((M_BOM[Part Name]=$A55)*M_BOM[RM_Qty_Per_Batch]*IFERROR(INDEX(PP_Grid[#Data],M_BOM[PPGridRow],17),0))+IFERROR(INDEX(M_RawMaterials[固定週次消費量_要入力],MATCH($A55,M_RawMaterials[Part Name],0)),0)</f>
        <v/>
      </c>
      <c r="R55">
        <f>SUMPRODUCT((M_BOM[Part Name]=$A55)*M_BOM[RM_Qty_Per_Batch]*IFERROR(INDEX(PP_Grid[#Data],M_BOM[PPGridRow],18),0))+IFERROR(INDEX(M_RawMaterials[固定週次消費量_要入力],MATCH($A55,M_RawMaterials[Part Name],0)),0)</f>
        <v/>
      </c>
      <c r="S55">
        <f>SUMPRODUCT((M_BOM[Part Name]=$A55)*M_BOM[RM_Qty_Per_Batch]*IFERROR(INDEX(PP_Grid[#Data],M_BOM[PPGridRow],19),0))+IFERROR(INDEX(M_RawMaterials[固定週次消費量_要入力],MATCH($A55,M_RawMaterials[Part Name],0)),0)</f>
        <v/>
      </c>
      <c r="T55">
        <f>SUMPRODUCT((M_BOM[Part Name]=$A55)*M_BOM[RM_Qty_Per_Batch]*IFERROR(INDEX(PP_Grid[#Data],M_BOM[PPGridRow],20),0))+IFERROR(INDEX(M_RawMaterials[固定週次消費量_要入力],MATCH($A55,M_RawMaterials[Part Name],0)),0)</f>
        <v/>
      </c>
      <c r="U55">
        <f>SUMPRODUCT((M_BOM[Part Name]=$A55)*M_BOM[RM_Qty_Per_Batch]*IFERROR(INDEX(PP_Grid[#Data],M_BOM[PPGridRow],21),0))+IFERROR(INDEX(M_RawMaterials[固定週次消費量_要入力],MATCH($A55,M_RawMaterials[Part Name],0)),0)</f>
        <v/>
      </c>
      <c r="V55">
        <f>SUMPRODUCT((M_BOM[Part Name]=$A55)*M_BOM[RM_Qty_Per_Batch]*IFERROR(INDEX(PP_Grid[#Data],M_BOM[PPGridRow],22),0))+IFERROR(INDEX(M_RawMaterials[固定週次消費量_要入力],MATCH($A55,M_RawMaterials[Part Name],0)),0)</f>
        <v/>
      </c>
      <c r="W55">
        <f>SUMPRODUCT((M_BOM[Part Name]=$A55)*M_BOM[RM_Qty_Per_Batch]*IFERROR(INDEX(PP_Grid[#Data],M_BOM[PPGridRow],23),0))+IFERROR(INDEX(M_RawMaterials[固定週次消費量_要入力],MATCH($A55,M_RawMaterials[Part Name],0)),0)</f>
        <v/>
      </c>
      <c r="X55">
        <f>SUMPRODUCT((M_BOM[Part Name]=$A55)*M_BOM[RM_Qty_Per_Batch]*IFERROR(INDEX(PP_Grid[#Data],M_BOM[PPGridRow],24),0))+IFERROR(INDEX(M_RawMaterials[固定週次消費量_要入力],MATCH($A55,M_RawMaterials[Part Name],0)),0)</f>
        <v/>
      </c>
      <c r="Y55">
        <f>SUMPRODUCT((M_BOM[Part Name]=$A55)*M_BOM[RM_Qty_Per_Batch]*IFERROR(INDEX(PP_Grid[#Data],M_BOM[PPGridRow],25),0))+IFERROR(INDEX(M_RawMaterials[固定週次消費量_要入力],MATCH($A55,M_RawMaterials[Part Name],0)),0)</f>
        <v/>
      </c>
      <c r="Z55">
        <f>SUMPRODUCT((M_BOM[Part Name]=$A55)*M_BOM[RM_Qty_Per_Batch]*IFERROR(INDEX(PP_Grid[#Data],M_BOM[PPGridRow],26),0))+IFERROR(INDEX(M_RawMaterials[固定週次消費量_要入力],MATCH($A55,M_RawMaterials[Part Name],0)),0)</f>
        <v/>
      </c>
      <c r="AA55">
        <f>SUMPRODUCT((M_BOM[Part Name]=$A55)*M_BOM[RM_Qty_Per_Batch]*IFERROR(INDEX(PP_Grid[#Data],M_BOM[PPGridRow],27),0))+IFERROR(INDEX(M_RawMaterials[固定週次消費量_要入力],MATCH($A55,M_RawMaterials[Part Name],0)),0)</f>
        <v/>
      </c>
      <c r="AB55">
        <f>SUMPRODUCT((M_BOM[Part Name]=$A55)*M_BOM[RM_Qty_Per_Batch]*IFERROR(INDEX(PP_Grid[#Data],M_BOM[PPGridRow],28),0))+IFERROR(INDEX(M_RawMaterials[固定週次消費量_要入力],MATCH($A55,M_RawMaterials[Part Name],0)),0)</f>
        <v/>
      </c>
      <c r="AC55">
        <f>SUMPRODUCT((M_BOM[Part Name]=$A55)*M_BOM[RM_Qty_Per_Batch]*IFERROR(INDEX(PP_Grid[#Data],M_BOM[PPGridRow],29),0))+IFERROR(INDEX(M_RawMaterials[固定週次消費量_要入力],MATCH($A55,M_RawMaterials[Part Name],0)),0)</f>
        <v/>
      </c>
      <c r="AD55">
        <f>SUMPRODUCT((M_BOM[Part Name]=$A55)*M_BOM[RM_Qty_Per_Batch]*IFERROR(INDEX(PP_Grid[#Data],M_BOM[PPGridRow],30),0))+IFERROR(INDEX(M_RawMaterials[固定週次消費量_要入力],MATCH($A55,M_RawMaterials[Part Name],0)),0)</f>
        <v/>
      </c>
      <c r="AE55">
        <f>SUMPRODUCT((M_BOM[Part Name]=$A55)*M_BOM[RM_Qty_Per_Batch]*IFERROR(INDEX(PP_Grid[#Data],M_BOM[PPGridRow],31),0))+IFERROR(INDEX(M_RawMaterials[固定週次消費量_要入力],MATCH($A55,M_RawMaterials[Part Name],0)),0)</f>
        <v/>
      </c>
      <c r="AF55">
        <f>SUMPRODUCT((M_BOM[Part Name]=$A55)*M_BOM[RM_Qty_Per_Batch]*IFERROR(INDEX(PP_Grid[#Data],M_BOM[PPGridRow],32),0))+IFERROR(INDEX(M_RawMaterials[固定週次消費量_要入力],MATCH($A55,M_RawMaterials[Part Name],0)),0)</f>
        <v/>
      </c>
      <c r="AG55">
        <f>SUMPRODUCT((M_BOM[Part Name]=$A55)*M_BOM[RM_Qty_Per_Batch]*IFERROR(INDEX(PP_Grid[#Data],M_BOM[PPGridRow],33),0))+IFERROR(INDEX(M_RawMaterials[固定週次消費量_要入力],MATCH($A55,M_RawMaterials[Part Name],0)),0)</f>
        <v/>
      </c>
      <c r="AH55">
        <f>SUMPRODUCT((M_BOM[Part Name]=$A55)*M_BOM[RM_Qty_Per_Batch]*IFERROR(INDEX(PP_Grid[#Data],M_BOM[PPGridRow],34),0))+IFERROR(INDEX(M_RawMaterials[固定週次消費量_要入力],MATCH($A55,M_RawMaterials[Part Name],0)),0)</f>
        <v/>
      </c>
      <c r="AI55">
        <f>SUMPRODUCT((M_BOM[Part Name]=$A55)*M_BOM[RM_Qty_Per_Batch]*IFERROR(INDEX(PP_Grid[#Data],M_BOM[PPGridRow],35),0))+IFERROR(INDEX(M_RawMaterials[固定週次消費量_要入力],MATCH($A55,M_RawMaterials[Part Name],0)),0)</f>
        <v/>
      </c>
      <c r="AJ55">
        <f>SUMPRODUCT((M_BOM[Part Name]=$A55)*M_BOM[RM_Qty_Per_Batch]*IFERROR(INDEX(PP_Grid[#Data],M_BOM[PPGridRow],36),0))+IFERROR(INDEX(M_RawMaterials[固定週次消費量_要入力],MATCH($A55,M_RawMaterials[Part Name],0)),0)</f>
        <v/>
      </c>
      <c r="AK55">
        <f>SUMPRODUCT((M_BOM[Part Name]=$A55)*M_BOM[RM_Qty_Per_Batch]*IFERROR(INDEX(PP_Grid[#Data],M_BOM[PPGridRow],37),0))+IFERROR(INDEX(M_RawMaterials[固定週次消費量_要入力],MATCH($A55,M_RawMaterials[Part Name],0)),0)</f>
        <v/>
      </c>
      <c r="AL55">
        <f>SUMPRODUCT((M_BOM[Part Name]=$A55)*M_BOM[RM_Qty_Per_Batch]*IFERROR(INDEX(PP_Grid[#Data],M_BOM[PPGridRow],38),0))+IFERROR(INDEX(M_RawMaterials[固定週次消費量_要入力],MATCH($A55,M_RawMaterials[Part Name],0)),0)</f>
        <v/>
      </c>
      <c r="AM55">
        <f>SUMPRODUCT((M_BOM[Part Name]=$A55)*M_BOM[RM_Qty_Per_Batch]*IFERROR(INDEX(PP_Grid[#Data],M_BOM[PPGridRow],39),0))+IFERROR(INDEX(M_RawMaterials[固定週次消費量_要入力],MATCH($A55,M_RawMaterials[Part Name],0)),0)</f>
        <v/>
      </c>
      <c r="AN55">
        <f>SUMPRODUCT((M_BOM[Part Name]=$A55)*M_BOM[RM_Qty_Per_Batch]*IFERROR(INDEX(PP_Grid[#Data],M_BOM[PPGridRow],40),0))+IFERROR(INDEX(M_RawMaterials[固定週次消費量_要入力],MATCH($A55,M_RawMaterials[Part Name],0)),0)</f>
        <v/>
      </c>
      <c r="AO55">
        <f>SUMPRODUCT((M_BOM[Part Name]=$A55)*M_BOM[RM_Qty_Per_Batch]*IFERROR(INDEX(PP_Grid[#Data],M_BOM[PPGridRow],41),0))+IFERROR(INDEX(M_RawMaterials[固定週次消費量_要入力],MATCH($A55,M_RawMaterials[Part Name],0)),0)</f>
        <v/>
      </c>
      <c r="AP55">
        <f>SUMPRODUCT((M_BOM[Part Name]=$A55)*M_BOM[RM_Qty_Per_Batch]*IFERROR(INDEX(PP_Grid[#Data],M_BOM[PPGridRow],42),0))+IFERROR(INDEX(M_RawMaterials[固定週次消費量_要入力],MATCH($A55,M_RawMaterials[Part Name],0)),0)</f>
        <v/>
      </c>
      <c r="AQ55">
        <f>SUMPRODUCT((M_BOM[Part Name]=$A55)*M_BOM[RM_Qty_Per_Batch]*IFERROR(INDEX(PP_Grid[#Data],M_BOM[PPGridRow],43),0))+IFERROR(INDEX(M_RawMaterials[固定週次消費量_要入力],MATCH($A55,M_RawMaterials[Part Name],0)),0)</f>
        <v/>
      </c>
      <c r="AR55">
        <f>SUMPRODUCT((M_BOM[Part Name]=$A55)*M_BOM[RM_Qty_Per_Batch]*IFERROR(INDEX(PP_Grid[#Data],M_BOM[PPGridRow],44),0))+IFERROR(INDEX(M_RawMaterials[固定週次消費量_要入力],MATCH($A55,M_RawMaterials[Part Name],0)),0)</f>
        <v/>
      </c>
      <c r="AS55">
        <f>SUMPRODUCT((M_BOM[Part Name]=$A55)*M_BOM[RM_Qty_Per_Batch]*IFERROR(INDEX(PP_Grid[#Data],M_BOM[PPGridRow],45),0))+IFERROR(INDEX(M_RawMaterials[固定週次消費量_要入力],MATCH($A55,M_RawMaterials[Part Name],0)),0)</f>
        <v/>
      </c>
      <c r="AT55">
        <f>SUMPRODUCT((M_BOM[Part Name]=$A55)*M_BOM[RM_Qty_Per_Batch]*IFERROR(INDEX(PP_Grid[#Data],M_BOM[PPGridRow],46),0))+IFERROR(INDEX(M_RawMaterials[固定週次消費量_要入力],MATCH($A55,M_RawMaterials[Part Name],0)),0)</f>
        <v/>
      </c>
      <c r="AU55">
        <f>SUMPRODUCT((M_BOM[Part Name]=$A55)*M_BOM[RM_Qty_Per_Batch]*IFERROR(INDEX(PP_Grid[#Data],M_BOM[PPGridRow],47),0))+IFERROR(INDEX(M_RawMaterials[固定週次消費量_要入力],MATCH($A55,M_RawMaterials[Part Name],0)),0)</f>
        <v/>
      </c>
      <c r="AV55">
        <f>SUMPRODUCT((M_BOM[Part Name]=$A55)*M_BOM[RM_Qty_Per_Batch]*IFERROR(INDEX(PP_Grid[#Data],M_BOM[PPGridRow],48),0))+IFERROR(INDEX(M_RawMaterials[固定週次消費量_要入力],MATCH($A55,M_RawMaterials[Part Name],0)),0)</f>
        <v/>
      </c>
      <c r="AW55">
        <f>SUMPRODUCT((M_BOM[Part Name]=$A55)*M_BOM[RM_Qty_Per_Batch]*IFERROR(INDEX(PP_Grid[#Data],M_BOM[PPGridRow],49),0))+IFERROR(INDEX(M_RawMaterials[固定週次消費量_要入力],MATCH($A55,M_RawMaterials[Part Name],0)),0)</f>
        <v/>
      </c>
      <c r="AX55">
        <f>SUMPRODUCT((M_BOM[Part Name]=$A55)*M_BOM[RM_Qty_Per_Batch]*IFERROR(INDEX(PP_Grid[#Data],M_BOM[PPGridRow],50),0))+IFERROR(INDEX(M_RawMaterials[固定週次消費量_要入力],MATCH($A55,M_RawMaterials[Part Name],0)),0)</f>
        <v/>
      </c>
      <c r="AY55">
        <f>SUMPRODUCT((M_BOM[Part Name]=$A55)*M_BOM[RM_Qty_Per_Batch]*IFERROR(INDEX(PP_Grid[#Data],M_BOM[PPGridRow],51),0))+IFERROR(INDEX(M_RawMaterials[固定週次消費量_要入力],MATCH($A55,M_RawMaterials[Part Name],0)),0)</f>
        <v/>
      </c>
      <c r="AZ55">
        <f>SUMPRODUCT((M_BOM[Part Name]=$A55)*M_BOM[RM_Qty_Per_Batch]*IFERROR(INDEX(PP_Grid[#Data],M_BOM[PPGridRow],52),0))+IFERROR(INDEX(M_RawMaterials[固定週次消費量_要入力],MATCH($A55,M_RawMaterials[Part Name],0)),0)</f>
        <v/>
      </c>
      <c r="BA55">
        <f>SUMPRODUCT((M_BOM[Part Name]=$A55)*M_BOM[RM_Qty_Per_Batch]*IFERROR(INDEX(PP_Grid[#Data],M_BOM[PPGridRow],53),0))+IFERROR(INDEX(M_RawMaterials[固定週次消費量_要入力],MATCH($A55,M_RawMaterials[Part Name],0)),0)</f>
        <v/>
      </c>
      <c r="BB55">
        <f>SUMPRODUCT((M_BOM[Part Name]=$A55)*M_BOM[RM_Qty_Per_Batch]*IFERROR(INDEX(PP_Grid[#Data],M_BOM[PPGridRow],54),0))+IFERROR(INDEX(M_RawMaterials[固定週次消費量_要入力],MATCH($A55,M_RawMaterials[Part Name],0)),0)</f>
        <v/>
      </c>
      <c r="BC55">
        <f>SUMPRODUCT((M_BOM[Part Name]=$A55)*M_BOM[RM_Qty_Per_Batch]*IFERROR(INDEX(PP_Grid[#Data],M_BOM[PPGridRow],55),0))+IFERROR(INDEX(M_RawMaterials[固定週次消費量_要入力],MATCH($A55,M_RawMaterials[Part Name],0)),0)</f>
        <v/>
      </c>
      <c r="BD55">
        <f>SUMPRODUCT((M_BOM[Part Name]=$A55)*M_BOM[RM_Qty_Per_Batch]*IFERROR(INDEX(PP_Grid[#Data],M_BOM[PPGridRow],56),0))+IFERROR(INDEX(M_RawMaterials[固定週次消費量_要入力],MATCH($A55,M_RawMaterials[Part Name],0)),0)</f>
        <v/>
      </c>
      <c r="BE55">
        <f>SUMPRODUCT((M_BOM[Part Name]=$A55)*M_BOM[RM_Qty_Per_Batch]*IFERROR(INDEX(PP_Grid[#Data],M_BOM[PPGridRow],57),0))+IFERROR(INDEX(M_RawMaterials[固定週次消費量_要入力],MATCH($A55,M_RawMaterials[Part Name],0)),0)</f>
        <v/>
      </c>
      <c r="BF55">
        <f>SUMPRODUCT((M_BOM[Part Name]=$A55)*M_BOM[RM_Qty_Per_Batch]*IFERROR(INDEX(PP_Grid[#Data],M_BOM[PPGridRow],58),0))+IFERROR(INDEX(M_RawMaterials[固定週次消費量_要入力],MATCH($A55,M_RawMaterials[Part Name],0)),0)</f>
        <v/>
      </c>
      <c r="BG55">
        <f>SUMPRODUCT((M_BOM[Part Name]=$A55)*M_BOM[RM_Qty_Per_Batch]*IFERROR(INDEX(PP_Grid[#Data],M_BOM[PPGridRow],59),0))+IFERROR(INDEX(M_RawMaterials[固定週次消費量_要入力],MATCH($A55,M_RawMaterials[Part Name],0)),0)</f>
        <v/>
      </c>
      <c r="BH55">
        <f>SUMPRODUCT((M_BOM[Part Name]=$A55)*M_BOM[RM_Qty_Per_Batch]*IFERROR(INDEX(PP_Grid[#Data],M_BOM[PPGridRow],60),0))+IFERROR(INDEX(M_RawMaterials[固定週次消費量_要入力],MATCH($A55,M_RawMaterials[Part Name],0)),0)</f>
        <v/>
      </c>
      <c r="BI55">
        <f>SUMPRODUCT((M_BOM[Part Name]=$A55)*M_BOM[RM_Qty_Per_Batch]*IFERROR(INDEX(PP_Grid[#Data],M_BOM[PPGridRow],61),0))+IFERROR(INDEX(M_RawMaterials[固定週次消費量_要入力],MATCH($A55,M_RawMaterials[Part Name],0)),0)</f>
        <v/>
      </c>
      <c r="BJ55">
        <f>SUMPRODUCT((M_BOM[Part Name]=$A55)*M_BOM[RM_Qty_Per_Batch]*IFERROR(INDEX(PP_Grid[#Data],M_BOM[PPGridRow],62),0))+IFERROR(INDEX(M_RawMaterials[固定週次消費量_要入力],MATCH($A55,M_RawMaterials[Part Name],0)),0)</f>
        <v/>
      </c>
      <c r="BK55">
        <f>SUMPRODUCT((M_BOM[Part Name]=$A55)*M_BOM[RM_Qty_Per_Batch]*IFERROR(INDEX(PP_Grid[#Data],M_BOM[PPGridRow],63),0))+IFERROR(INDEX(M_RawMaterials[固定週次消費量_要入力],MATCH($A55,M_RawMaterials[Part Name],0)),0)</f>
        <v/>
      </c>
      <c r="BL55">
        <f>SUMPRODUCT((M_BOM[Part Name]=$A55)*M_BOM[RM_Qty_Per_Batch]*IFERROR(INDEX(PP_Grid[#Data],M_BOM[PPGridRow],64),0))+IFERROR(INDEX(M_RawMaterials[固定週次消費量_要入力],MATCH($A55,M_RawMaterials[Part Name],0)),0)</f>
        <v/>
      </c>
      <c r="BM55">
        <f>SUMPRODUCT((M_BOM[Part Name]=$A55)*M_BOM[RM_Qty_Per_Batch]*IFERROR(INDEX(PP_Grid[#Data],M_BOM[PPGridRow],65),0))+IFERROR(INDEX(M_RawMaterials[固定週次消費量_要入力],MATCH($A55,M_RawMaterials[Part Name],0)),0)</f>
        <v/>
      </c>
      <c r="BN55">
        <f>SUMPRODUCT((M_BOM[Part Name]=$A55)*M_BOM[RM_Qty_Per_Batch]*IFERROR(INDEX(PP_Grid[#Data],M_BOM[PPGridRow],66),0))+IFERROR(INDEX(M_RawMaterials[固定週次消費量_要入力],MATCH($A55,M_RawMaterials[Part Name],0)),0)</f>
        <v/>
      </c>
      <c r="BO55">
        <f>SUMPRODUCT((M_BOM[Part Name]=$A55)*M_BOM[RM_Qty_Per_Batch]*IFERROR(INDEX(PP_Grid[#Data],M_BOM[PPGridRow],67),0))+IFERROR(INDEX(M_RawMaterials[固定週次消費量_要入力],MATCH($A55,M_RawMaterials[Part Name],0)),0)</f>
        <v/>
      </c>
      <c r="BP55">
        <f>SUMPRODUCT((M_BOM[Part Name]=$A55)*M_BOM[RM_Qty_Per_Batch]*IFERROR(INDEX(PP_Grid[#Data],M_BOM[PPGridRow],68),0))+IFERROR(INDEX(M_RawMaterials[固定週次消費量_要入力],MATCH($A55,M_RawMaterials[Part Name],0)),0)</f>
        <v/>
      </c>
      <c r="BQ55">
        <f>SUMPRODUCT((M_BOM[Part Name]=$A55)*M_BOM[RM_Qty_Per_Batch]*IFERROR(INDEX(PP_Grid[#Data],M_BOM[PPGridRow],69),0))+IFERROR(INDEX(M_RawMaterials[固定週次消費量_要入力],MATCH($A55,M_RawMaterials[Part Name],0)),0)</f>
        <v/>
      </c>
      <c r="BR55">
        <f>SUMPRODUCT((M_BOM[Part Name]=$A55)*M_BOM[RM_Qty_Per_Batch]*IFERROR(INDEX(PP_Grid[#Data],M_BOM[PPGridRow],70),0))+IFERROR(INDEX(M_RawMaterials[固定週次消費量_要入力],MATCH($A55,M_RawMaterials[Part Name],0)),0)</f>
        <v/>
      </c>
      <c r="BS55">
        <f>SUMPRODUCT((M_BOM[Part Name]=$A55)*M_BOM[RM_Qty_Per_Batch]*IFERROR(INDEX(PP_Grid[#Data],M_BOM[PPGridRow],71),0))+IFERROR(INDEX(M_RawMaterials[固定週次消費量_要入力],MATCH($A55,M_RawMaterials[Part Name],0)),0)</f>
        <v/>
      </c>
      <c r="BT55">
        <f>SUMPRODUCT((M_BOM[Part Name]=$A55)*M_BOM[RM_Qty_Per_Batch]*IFERROR(INDEX(PP_Grid[#Data],M_BOM[PPGridRow],72),0))+IFERROR(INDEX(M_RawMaterials[固定週次消費量_要入力],MATCH($A55,M_RawMaterials[Part Name],0)),0)</f>
        <v/>
      </c>
      <c r="BU55">
        <f>SUMPRODUCT((M_BOM[Part Name]=$A55)*M_BOM[RM_Qty_Per_Batch]*IFERROR(INDEX(PP_Grid[#Data],M_BOM[PPGridRow],73),0))+IFERROR(INDEX(M_RawMaterials[固定週次消費量_要入力],MATCH($A55,M_RawMaterials[Part Name],0)),0)</f>
        <v/>
      </c>
      <c r="BV55">
        <f>SUMPRODUCT((M_BOM[Part Name]=$A55)*M_BOM[RM_Qty_Per_Batch]*IFERROR(INDEX(PP_Grid[#Data],M_BOM[PPGridRow],74),0))+IFERROR(INDEX(M_RawMaterials[固定週次消費量_要入力],MATCH($A55,M_RawMaterials[Part Name],0)),0)</f>
        <v/>
      </c>
      <c r="BW55">
        <f>SUMPRODUCT((M_BOM[Part Name]=$A55)*M_BOM[RM_Qty_Per_Batch]*IFERROR(INDEX(PP_Grid[#Data],M_BOM[PPGridRow],75),0))+IFERROR(INDEX(M_RawMaterials[固定週次消費量_要入力],MATCH($A55,M_RawMaterials[Part Name],0)),0)</f>
        <v/>
      </c>
      <c r="BX55">
        <f>SUMPRODUCT((M_BOM[Part Name]=$A55)*M_BOM[RM_Qty_Per_Batch]*IFERROR(INDEX(PP_Grid[#Data],M_BOM[PPGridRow],76),0))+IFERROR(INDEX(M_RawMaterials[固定週次消費量_要入力],MATCH($A55,M_RawMaterials[Part Name],0)),0)</f>
        <v/>
      </c>
      <c r="BY55">
        <f>SUMPRODUCT((M_BOM[Part Name]=$A55)*M_BOM[RM_Qty_Per_Batch]*IFERROR(INDEX(PP_Grid[#Data],M_BOM[PPGridRow],77),0))+IFERROR(INDEX(M_RawMaterials[固定週次消費量_要入力],MATCH($A55,M_RawMaterials[Part Name],0)),0)</f>
        <v/>
      </c>
      <c r="BZ55">
        <f>SUMPRODUCT((M_BOM[Part Name]=$A55)*M_BOM[RM_Qty_Per_Batch]*IFERROR(INDEX(PP_Grid[#Data],M_BOM[PPGridRow],78),0))+IFERROR(INDEX(M_RawMaterials[固定週次消費量_要入力],MATCH($A55,M_RawMaterials[Part Name],0)),0)</f>
        <v/>
      </c>
      <c r="CA55">
        <f>SUMPRODUCT((M_BOM[Part Name]=$A55)*M_BOM[RM_Qty_Per_Batch]*IFERROR(INDEX(PP_Grid[#Data],M_BOM[PPGridRow],79),0))+IFERROR(INDEX(M_RawMaterials[固定週次消費量_要入力],MATCH($A55,M_RawMaterials[Part Name],0)),0)</f>
        <v/>
      </c>
      <c r="CB55">
        <f>SUMPRODUCT((M_BOM[Part Name]=$A55)*M_BOM[RM_Qty_Per_Batch]*IFERROR(INDEX(PP_Grid[#Data],M_BOM[PPGridRow],80),0))+IFERROR(INDEX(M_RawMaterials[固定週次消費量_要入力],MATCH($A55,M_RawMaterials[Part Name],0)),0)</f>
        <v/>
      </c>
      <c r="CC55">
        <f>SUMPRODUCT((M_BOM[Part Name]=$A55)*M_BOM[RM_Qty_Per_Batch]*IFERROR(INDEX(PP_Grid[#Data],M_BOM[PPGridRow],81),0))+IFERROR(INDEX(M_RawMaterials[固定週次消費量_要入力],MATCH($A55,M_RawMaterials[Part Name],0)),0)</f>
        <v/>
      </c>
      <c r="CD55">
        <f>SUMPRODUCT((M_BOM[Part Name]=$A55)*M_BOM[RM_Qty_Per_Batch]*IFERROR(INDEX(PP_Grid[#Data],M_BOM[PPGridRow],82),0))+IFERROR(INDEX(M_RawMaterials[固定週次消費量_要入力],MATCH($A55,M_RawMaterials[Part Name],0)),0)</f>
        <v/>
      </c>
      <c r="CE55">
        <f>SUMPRODUCT((M_BOM[Part Name]=$A55)*M_BOM[RM_Qty_Per_Batch]*IFERROR(INDEX(PP_Grid[#Data],M_BOM[PPGridRow],83),0))+IFERROR(INDEX(M_RawMaterials[固定週次消費量_要入力],MATCH($A55,M_RawMaterials[Part Name],0)),0)</f>
        <v/>
      </c>
      <c r="CF55">
        <f>SUMPRODUCT((M_BOM[Part Name]=$A55)*M_BOM[RM_Qty_Per_Batch]*IFERROR(INDEX(PP_Grid[#Data],M_BOM[PPGridRow],84),0))+IFERROR(INDEX(M_RawMaterials[固定週次消費量_要入力],MATCH($A55,M_RawMaterials[Part Name],0)),0)</f>
        <v/>
      </c>
      <c r="CG55">
        <f>SUMPRODUCT((M_BOM[Part Name]=$A55)*M_BOM[RM_Qty_Per_Batch]*IFERROR(INDEX(PP_Grid[#Data],M_BOM[PPGridRow],85),0))+IFERROR(INDEX(M_RawMaterials[固定週次消費量_要入力],MATCH($A55,M_RawMaterials[Part Name],0)),0)</f>
        <v/>
      </c>
      <c r="CH55">
        <f>SUMPRODUCT((M_BOM[Part Name]=$A55)*M_BOM[RM_Qty_Per_Batch]*IFERROR(INDEX(PP_Grid[#Data],M_BOM[PPGridRow],86),0))+IFERROR(INDEX(M_RawMaterials[固定週次消費量_要入力],MATCH($A55,M_RawMaterials[Part Name],0)),0)</f>
        <v/>
      </c>
      <c r="CI55">
        <f>SUMPRODUCT((M_BOM[Part Name]=$A55)*M_BOM[RM_Qty_Per_Batch]*IFERROR(INDEX(PP_Grid[#Data],M_BOM[PPGridRow],87),0))+IFERROR(INDEX(M_RawMaterials[固定週次消費量_要入力],MATCH($A55,M_RawMaterials[Part Name],0)),0)</f>
        <v/>
      </c>
      <c r="CJ55">
        <f>SUMPRODUCT((M_BOM[Part Name]=$A55)*M_BOM[RM_Qty_Per_Batch]*IFERROR(INDEX(PP_Grid[#Data],M_BOM[PPGridRow],88),0))+IFERROR(INDEX(M_RawMaterials[固定週次消費量_要入力],MATCH($A55,M_RawMaterials[Part Name],0)),0)</f>
        <v/>
      </c>
      <c r="CK55">
        <f>SUMPRODUCT((M_BOM[Part Name]=$A55)*M_BOM[RM_Qty_Per_Batch]*IFERROR(INDEX(PP_Grid[#Data],M_BOM[PPGridRow],89),0))+IFERROR(INDEX(M_RawMaterials[固定週次消費量_要入力],MATCH($A55,M_RawMaterials[Part Name],0)),0)</f>
        <v/>
      </c>
      <c r="CL55">
        <f>SUMPRODUCT((M_BOM[Part Name]=$A55)*M_BOM[RM_Qty_Per_Batch]*IFERROR(INDEX(PP_Grid[#Data],M_BOM[PPGridRow],90),0))+IFERROR(INDEX(M_RawMaterials[固定週次消費量_要入力],MATCH($A55,M_RawMaterials[Part Name],0)),0)</f>
        <v/>
      </c>
      <c r="CM55">
        <f>SUMPRODUCT((M_BOM[Part Name]=$A55)*M_BOM[RM_Qty_Per_Batch]*IFERROR(INDEX(PP_Grid[#Data],M_BOM[PPGridRow],91),0))+IFERROR(INDEX(M_RawMaterials[固定週次消費量_要入力],MATCH($A55,M_RawMaterials[Part Name],0)),0)</f>
        <v/>
      </c>
      <c r="CN55">
        <f>SUMPRODUCT((M_BOM[Part Name]=$A55)*M_BOM[RM_Qty_Per_Batch]*IFERROR(INDEX(PP_Grid[#Data],M_BOM[PPGridRow],92),0))+IFERROR(INDEX(M_RawMaterials[固定週次消費量_要入力],MATCH($A55,M_RawMaterials[Part Name],0)),0)</f>
        <v/>
      </c>
      <c r="CO55">
        <f>SUMPRODUCT((M_BOM[Part Name]=$A55)*M_BOM[RM_Qty_Per_Batch]*IFERROR(INDEX(PP_Grid[#Data],M_BOM[PPGridRow],93),0))+IFERROR(INDEX(M_RawMaterials[固定週次消費量_要入力],MATCH($A55,M_RawMaterials[Part Name],0)),0)</f>
        <v/>
      </c>
      <c r="CP55">
        <f>SUMPRODUCT((M_BOM[Part Name]=$A55)*M_BOM[RM_Qty_Per_Batch]*IFERROR(INDEX(PP_Grid[#Data],M_BOM[PPGridRow],94),0))+IFERROR(INDEX(M_RawMaterials[固定週次消費量_要入力],MATCH($A55,M_RawMaterials[Part Name],0)),0)</f>
        <v/>
      </c>
      <c r="CQ55">
        <f>SUMPRODUCT((M_BOM[Part Name]=$A55)*M_BOM[RM_Qty_Per_Batch]*IFERROR(INDEX(PP_Grid[#Data],M_BOM[PPGridRow],95),0))+IFERROR(INDEX(M_RawMaterials[固定週次消費量_要入力],MATCH($A55,M_RawMaterials[Part Name],0)),0)</f>
        <v/>
      </c>
      <c r="CR55">
        <f>SUMPRODUCT((M_BOM[Part Name]=$A55)*M_BOM[RM_Qty_Per_Batch]*IFERROR(INDEX(PP_Grid[#Data],M_BOM[PPGridRow],96),0))+IFERROR(INDEX(M_RawMaterials[固定週次消費量_要入力],MATCH($A55,M_RawMaterials[Part Name],0)),0)</f>
        <v/>
      </c>
      <c r="CS55">
        <f>SUMPRODUCT((M_BOM[Part Name]=$A55)*M_BOM[RM_Qty_Per_Batch]*IFERROR(INDEX(PP_Grid[#Data],M_BOM[PPGridRow],97),0))+IFERROR(INDEX(M_RawMaterials[固定週次消費量_要入力],MATCH($A55,M_RawMaterials[Part Name],0)),0)</f>
        <v/>
      </c>
      <c r="CT55">
        <f>SUMPRODUCT((M_BOM[Part Name]=$A55)*M_BOM[RM_Qty_Per_Batch]*IFERROR(INDEX(PP_Grid[#Data],M_BOM[PPGridRow],98),0))+IFERROR(INDEX(M_RawMaterials[固定週次消費量_要入力],MATCH($A55,M_RawMaterials[Part Name],0)),0)</f>
        <v/>
      </c>
      <c r="CU55">
        <f>SUMPRODUCT((M_BOM[Part Name]=$A55)*M_BOM[RM_Qty_Per_Batch]*IFERROR(INDEX(PP_Grid[#Data],M_BOM[PPGridRow],99),0))+IFERROR(INDEX(M_RawMaterials[固定週次消費量_要入力],MATCH($A55,M_RawMaterials[Part Name],0)),0)</f>
        <v/>
      </c>
      <c r="CV55">
        <f>SUMPRODUCT((M_BOM[Part Name]=$A55)*M_BOM[RM_Qty_Per_Batch]*IFERROR(INDEX(PP_Grid[#Data],M_BOM[PPGridRow],100),0))+IFERROR(INDEX(M_RawMaterials[固定週次消費量_要入力],MATCH($A55,M_RawMaterials[Part Name],0)),0)</f>
        <v/>
      </c>
      <c r="CW55">
        <f>SUMPRODUCT((M_BOM[Part Name]=$A55)*M_BOM[RM_Qty_Per_Batch]*IFERROR(INDEX(PP_Grid[#Data],M_BOM[PPGridRow],101),0))+IFERROR(INDEX(M_RawMaterials[固定週次消費量_要入力],MATCH($A55,M_RawMaterials[Part Name],0)),0)</f>
        <v/>
      </c>
      <c r="CX55">
        <f>SUMPRODUCT((M_BOM[Part Name]=$A55)*M_BOM[RM_Qty_Per_Batch]*IFERROR(INDEX(PP_Grid[#Data],M_BOM[PPGridRow],102),0))+IFERROR(INDEX(M_RawMaterials[固定週次消費量_要入力],MATCH($A55,M_RawMaterials[Part Name],0)),0)</f>
        <v/>
      </c>
      <c r="CY55">
        <f>SUMPRODUCT((M_BOM[Part Name]=$A55)*M_BOM[RM_Qty_Per_Batch]*IFERROR(INDEX(PP_Grid[#Data],M_BOM[PPGridRow],103),0))+IFERROR(INDEX(M_RawMaterials[固定週次消費量_要入力],MATCH($A55,M_RawMaterials[Part Name],0)),0)</f>
        <v/>
      </c>
      <c r="CZ55">
        <f>SUMPRODUCT((M_BOM[Part Name]=$A55)*M_BOM[RM_Qty_Per_Batch]*IFERROR(INDEX(PP_Grid[#Data],M_BOM[PPGridRow],104),0))+IFERROR(INDEX(M_RawMaterials[固定週次消費量_要入力],MATCH($A55,M_RawMaterials[Part Name],0)),0)</f>
        <v/>
      </c>
      <c r="DA55">
        <f>SUMPRODUCT((M_BOM[Part Name]=$A55)*M_BOM[RM_Qty_Per_Batch]*IFERROR(INDEX(PP_Grid[#Data],M_BOM[PPGridRow],105),0))+IFERROR(INDEX(M_RawMaterials[固定週次消費量_要入力],MATCH($A55,M_RawMaterials[Part Name],0)),0)</f>
        <v/>
      </c>
    </row>
    <row r="56">
      <c r="A56" t="inlineStr">
        <is>
          <t>CHEM-1690</t>
        </is>
      </c>
      <c r="B56">
        <f>SUMPRODUCT((M_BOM[Part Name]=$A56)*M_BOM[RM_Qty_Per_Batch]*IFERROR(INDEX(PP_Grid[#Data],M_BOM[PPGridRow],2),0))+IFERROR(INDEX(M_RawMaterials[固定週次消費量_要入力],MATCH($A56,M_RawMaterials[Part Name],0)),0)</f>
        <v/>
      </c>
      <c r="C56">
        <f>SUMPRODUCT((M_BOM[Part Name]=$A56)*M_BOM[RM_Qty_Per_Batch]*IFERROR(INDEX(PP_Grid[#Data],M_BOM[PPGridRow],3),0))+IFERROR(INDEX(M_RawMaterials[固定週次消費量_要入力],MATCH($A56,M_RawMaterials[Part Name],0)),0)</f>
        <v/>
      </c>
      <c r="D56">
        <f>SUMPRODUCT((M_BOM[Part Name]=$A56)*M_BOM[RM_Qty_Per_Batch]*IFERROR(INDEX(PP_Grid[#Data],M_BOM[PPGridRow],4),0))+IFERROR(INDEX(M_RawMaterials[固定週次消費量_要入力],MATCH($A56,M_RawMaterials[Part Name],0)),0)</f>
        <v/>
      </c>
      <c r="E56">
        <f>SUMPRODUCT((M_BOM[Part Name]=$A56)*M_BOM[RM_Qty_Per_Batch]*IFERROR(INDEX(PP_Grid[#Data],M_BOM[PPGridRow],5),0))+IFERROR(INDEX(M_RawMaterials[固定週次消費量_要入力],MATCH($A56,M_RawMaterials[Part Name],0)),0)</f>
        <v/>
      </c>
      <c r="F56">
        <f>SUMPRODUCT((M_BOM[Part Name]=$A56)*M_BOM[RM_Qty_Per_Batch]*IFERROR(INDEX(PP_Grid[#Data],M_BOM[PPGridRow],6),0))+IFERROR(INDEX(M_RawMaterials[固定週次消費量_要入力],MATCH($A56,M_RawMaterials[Part Name],0)),0)</f>
        <v/>
      </c>
      <c r="G56">
        <f>SUMPRODUCT((M_BOM[Part Name]=$A56)*M_BOM[RM_Qty_Per_Batch]*IFERROR(INDEX(PP_Grid[#Data],M_BOM[PPGridRow],7),0))+IFERROR(INDEX(M_RawMaterials[固定週次消費量_要入力],MATCH($A56,M_RawMaterials[Part Name],0)),0)</f>
        <v/>
      </c>
      <c r="H56">
        <f>SUMPRODUCT((M_BOM[Part Name]=$A56)*M_BOM[RM_Qty_Per_Batch]*IFERROR(INDEX(PP_Grid[#Data],M_BOM[PPGridRow],8),0))+IFERROR(INDEX(M_RawMaterials[固定週次消費量_要入力],MATCH($A56,M_RawMaterials[Part Name],0)),0)</f>
        <v/>
      </c>
      <c r="I56">
        <f>SUMPRODUCT((M_BOM[Part Name]=$A56)*M_BOM[RM_Qty_Per_Batch]*IFERROR(INDEX(PP_Grid[#Data],M_BOM[PPGridRow],9),0))+IFERROR(INDEX(M_RawMaterials[固定週次消費量_要入力],MATCH($A56,M_RawMaterials[Part Name],0)),0)</f>
        <v/>
      </c>
      <c r="J56">
        <f>SUMPRODUCT((M_BOM[Part Name]=$A56)*M_BOM[RM_Qty_Per_Batch]*IFERROR(INDEX(PP_Grid[#Data],M_BOM[PPGridRow],10),0))+IFERROR(INDEX(M_RawMaterials[固定週次消費量_要入力],MATCH($A56,M_RawMaterials[Part Name],0)),0)</f>
        <v/>
      </c>
      <c r="K56">
        <f>SUMPRODUCT((M_BOM[Part Name]=$A56)*M_BOM[RM_Qty_Per_Batch]*IFERROR(INDEX(PP_Grid[#Data],M_BOM[PPGridRow],11),0))+IFERROR(INDEX(M_RawMaterials[固定週次消費量_要入力],MATCH($A56,M_RawMaterials[Part Name],0)),0)</f>
        <v/>
      </c>
      <c r="L56">
        <f>SUMPRODUCT((M_BOM[Part Name]=$A56)*M_BOM[RM_Qty_Per_Batch]*IFERROR(INDEX(PP_Grid[#Data],M_BOM[PPGridRow],12),0))+IFERROR(INDEX(M_RawMaterials[固定週次消費量_要入力],MATCH($A56,M_RawMaterials[Part Name],0)),0)</f>
        <v/>
      </c>
      <c r="M56">
        <f>SUMPRODUCT((M_BOM[Part Name]=$A56)*M_BOM[RM_Qty_Per_Batch]*IFERROR(INDEX(PP_Grid[#Data],M_BOM[PPGridRow],13),0))+IFERROR(INDEX(M_RawMaterials[固定週次消費量_要入力],MATCH($A56,M_RawMaterials[Part Name],0)),0)</f>
        <v/>
      </c>
      <c r="N56">
        <f>SUMPRODUCT((M_BOM[Part Name]=$A56)*M_BOM[RM_Qty_Per_Batch]*IFERROR(INDEX(PP_Grid[#Data],M_BOM[PPGridRow],14),0))+IFERROR(INDEX(M_RawMaterials[固定週次消費量_要入力],MATCH($A56,M_RawMaterials[Part Name],0)),0)</f>
        <v/>
      </c>
      <c r="O56">
        <f>SUMPRODUCT((M_BOM[Part Name]=$A56)*M_BOM[RM_Qty_Per_Batch]*IFERROR(INDEX(PP_Grid[#Data],M_BOM[PPGridRow],15),0))+IFERROR(INDEX(M_RawMaterials[固定週次消費量_要入力],MATCH($A56,M_RawMaterials[Part Name],0)),0)</f>
        <v/>
      </c>
      <c r="P56">
        <f>SUMPRODUCT((M_BOM[Part Name]=$A56)*M_BOM[RM_Qty_Per_Batch]*IFERROR(INDEX(PP_Grid[#Data],M_BOM[PPGridRow],16),0))+IFERROR(INDEX(M_RawMaterials[固定週次消費量_要入力],MATCH($A56,M_RawMaterials[Part Name],0)),0)</f>
        <v/>
      </c>
      <c r="Q56">
        <f>SUMPRODUCT((M_BOM[Part Name]=$A56)*M_BOM[RM_Qty_Per_Batch]*IFERROR(INDEX(PP_Grid[#Data],M_BOM[PPGridRow],17),0))+IFERROR(INDEX(M_RawMaterials[固定週次消費量_要入力],MATCH($A56,M_RawMaterials[Part Name],0)),0)</f>
        <v/>
      </c>
      <c r="R56">
        <f>SUMPRODUCT((M_BOM[Part Name]=$A56)*M_BOM[RM_Qty_Per_Batch]*IFERROR(INDEX(PP_Grid[#Data],M_BOM[PPGridRow],18),0))+IFERROR(INDEX(M_RawMaterials[固定週次消費量_要入力],MATCH($A56,M_RawMaterials[Part Name],0)),0)</f>
        <v/>
      </c>
      <c r="S56">
        <f>SUMPRODUCT((M_BOM[Part Name]=$A56)*M_BOM[RM_Qty_Per_Batch]*IFERROR(INDEX(PP_Grid[#Data],M_BOM[PPGridRow],19),0))+IFERROR(INDEX(M_RawMaterials[固定週次消費量_要入力],MATCH($A56,M_RawMaterials[Part Name],0)),0)</f>
        <v/>
      </c>
      <c r="T56">
        <f>SUMPRODUCT((M_BOM[Part Name]=$A56)*M_BOM[RM_Qty_Per_Batch]*IFERROR(INDEX(PP_Grid[#Data],M_BOM[PPGridRow],20),0))+IFERROR(INDEX(M_RawMaterials[固定週次消費量_要入力],MATCH($A56,M_RawMaterials[Part Name],0)),0)</f>
        <v/>
      </c>
      <c r="U56">
        <f>SUMPRODUCT((M_BOM[Part Name]=$A56)*M_BOM[RM_Qty_Per_Batch]*IFERROR(INDEX(PP_Grid[#Data],M_BOM[PPGridRow],21),0))+IFERROR(INDEX(M_RawMaterials[固定週次消費量_要入力],MATCH($A56,M_RawMaterials[Part Name],0)),0)</f>
        <v/>
      </c>
      <c r="V56">
        <f>SUMPRODUCT((M_BOM[Part Name]=$A56)*M_BOM[RM_Qty_Per_Batch]*IFERROR(INDEX(PP_Grid[#Data],M_BOM[PPGridRow],22),0))+IFERROR(INDEX(M_RawMaterials[固定週次消費量_要入力],MATCH($A56,M_RawMaterials[Part Name],0)),0)</f>
        <v/>
      </c>
      <c r="W56">
        <f>SUMPRODUCT((M_BOM[Part Name]=$A56)*M_BOM[RM_Qty_Per_Batch]*IFERROR(INDEX(PP_Grid[#Data],M_BOM[PPGridRow],23),0))+IFERROR(INDEX(M_RawMaterials[固定週次消費量_要入力],MATCH($A56,M_RawMaterials[Part Name],0)),0)</f>
        <v/>
      </c>
      <c r="X56">
        <f>SUMPRODUCT((M_BOM[Part Name]=$A56)*M_BOM[RM_Qty_Per_Batch]*IFERROR(INDEX(PP_Grid[#Data],M_BOM[PPGridRow],24),0))+IFERROR(INDEX(M_RawMaterials[固定週次消費量_要入力],MATCH($A56,M_RawMaterials[Part Name],0)),0)</f>
        <v/>
      </c>
      <c r="Y56">
        <f>SUMPRODUCT((M_BOM[Part Name]=$A56)*M_BOM[RM_Qty_Per_Batch]*IFERROR(INDEX(PP_Grid[#Data],M_BOM[PPGridRow],25),0))+IFERROR(INDEX(M_RawMaterials[固定週次消費量_要入力],MATCH($A56,M_RawMaterials[Part Name],0)),0)</f>
        <v/>
      </c>
      <c r="Z56">
        <f>SUMPRODUCT((M_BOM[Part Name]=$A56)*M_BOM[RM_Qty_Per_Batch]*IFERROR(INDEX(PP_Grid[#Data],M_BOM[PPGridRow],26),0))+IFERROR(INDEX(M_RawMaterials[固定週次消費量_要入力],MATCH($A56,M_RawMaterials[Part Name],0)),0)</f>
        <v/>
      </c>
      <c r="AA56">
        <f>SUMPRODUCT((M_BOM[Part Name]=$A56)*M_BOM[RM_Qty_Per_Batch]*IFERROR(INDEX(PP_Grid[#Data],M_BOM[PPGridRow],27),0))+IFERROR(INDEX(M_RawMaterials[固定週次消費量_要入力],MATCH($A56,M_RawMaterials[Part Name],0)),0)</f>
        <v/>
      </c>
      <c r="AB56">
        <f>SUMPRODUCT((M_BOM[Part Name]=$A56)*M_BOM[RM_Qty_Per_Batch]*IFERROR(INDEX(PP_Grid[#Data],M_BOM[PPGridRow],28),0))+IFERROR(INDEX(M_RawMaterials[固定週次消費量_要入力],MATCH($A56,M_RawMaterials[Part Name],0)),0)</f>
        <v/>
      </c>
      <c r="AC56">
        <f>SUMPRODUCT((M_BOM[Part Name]=$A56)*M_BOM[RM_Qty_Per_Batch]*IFERROR(INDEX(PP_Grid[#Data],M_BOM[PPGridRow],29),0))+IFERROR(INDEX(M_RawMaterials[固定週次消費量_要入力],MATCH($A56,M_RawMaterials[Part Name],0)),0)</f>
        <v/>
      </c>
      <c r="AD56">
        <f>SUMPRODUCT((M_BOM[Part Name]=$A56)*M_BOM[RM_Qty_Per_Batch]*IFERROR(INDEX(PP_Grid[#Data],M_BOM[PPGridRow],30),0))+IFERROR(INDEX(M_RawMaterials[固定週次消費量_要入力],MATCH($A56,M_RawMaterials[Part Name],0)),0)</f>
        <v/>
      </c>
      <c r="AE56">
        <f>SUMPRODUCT((M_BOM[Part Name]=$A56)*M_BOM[RM_Qty_Per_Batch]*IFERROR(INDEX(PP_Grid[#Data],M_BOM[PPGridRow],31),0))+IFERROR(INDEX(M_RawMaterials[固定週次消費量_要入力],MATCH($A56,M_RawMaterials[Part Name],0)),0)</f>
        <v/>
      </c>
      <c r="AF56">
        <f>SUMPRODUCT((M_BOM[Part Name]=$A56)*M_BOM[RM_Qty_Per_Batch]*IFERROR(INDEX(PP_Grid[#Data],M_BOM[PPGridRow],32),0))+IFERROR(INDEX(M_RawMaterials[固定週次消費量_要入力],MATCH($A56,M_RawMaterials[Part Name],0)),0)</f>
        <v/>
      </c>
      <c r="AG56">
        <f>SUMPRODUCT((M_BOM[Part Name]=$A56)*M_BOM[RM_Qty_Per_Batch]*IFERROR(INDEX(PP_Grid[#Data],M_BOM[PPGridRow],33),0))+IFERROR(INDEX(M_RawMaterials[固定週次消費量_要入力],MATCH($A56,M_RawMaterials[Part Name],0)),0)</f>
        <v/>
      </c>
      <c r="AH56">
        <f>SUMPRODUCT((M_BOM[Part Name]=$A56)*M_BOM[RM_Qty_Per_Batch]*IFERROR(INDEX(PP_Grid[#Data],M_BOM[PPGridRow],34),0))+IFERROR(INDEX(M_RawMaterials[固定週次消費量_要入力],MATCH($A56,M_RawMaterials[Part Name],0)),0)</f>
        <v/>
      </c>
      <c r="AI56">
        <f>SUMPRODUCT((M_BOM[Part Name]=$A56)*M_BOM[RM_Qty_Per_Batch]*IFERROR(INDEX(PP_Grid[#Data],M_BOM[PPGridRow],35),0))+IFERROR(INDEX(M_RawMaterials[固定週次消費量_要入力],MATCH($A56,M_RawMaterials[Part Name],0)),0)</f>
        <v/>
      </c>
      <c r="AJ56">
        <f>SUMPRODUCT((M_BOM[Part Name]=$A56)*M_BOM[RM_Qty_Per_Batch]*IFERROR(INDEX(PP_Grid[#Data],M_BOM[PPGridRow],36),0))+IFERROR(INDEX(M_RawMaterials[固定週次消費量_要入力],MATCH($A56,M_RawMaterials[Part Name],0)),0)</f>
        <v/>
      </c>
      <c r="AK56">
        <f>SUMPRODUCT((M_BOM[Part Name]=$A56)*M_BOM[RM_Qty_Per_Batch]*IFERROR(INDEX(PP_Grid[#Data],M_BOM[PPGridRow],37),0))+IFERROR(INDEX(M_RawMaterials[固定週次消費量_要入力],MATCH($A56,M_RawMaterials[Part Name],0)),0)</f>
        <v/>
      </c>
      <c r="AL56">
        <f>SUMPRODUCT((M_BOM[Part Name]=$A56)*M_BOM[RM_Qty_Per_Batch]*IFERROR(INDEX(PP_Grid[#Data],M_BOM[PPGridRow],38),0))+IFERROR(INDEX(M_RawMaterials[固定週次消費量_要入力],MATCH($A56,M_RawMaterials[Part Name],0)),0)</f>
        <v/>
      </c>
      <c r="AM56">
        <f>SUMPRODUCT((M_BOM[Part Name]=$A56)*M_BOM[RM_Qty_Per_Batch]*IFERROR(INDEX(PP_Grid[#Data],M_BOM[PPGridRow],39),0))+IFERROR(INDEX(M_RawMaterials[固定週次消費量_要入力],MATCH($A56,M_RawMaterials[Part Name],0)),0)</f>
        <v/>
      </c>
      <c r="AN56">
        <f>SUMPRODUCT((M_BOM[Part Name]=$A56)*M_BOM[RM_Qty_Per_Batch]*IFERROR(INDEX(PP_Grid[#Data],M_BOM[PPGridRow],40),0))+IFERROR(INDEX(M_RawMaterials[固定週次消費量_要入力],MATCH($A56,M_RawMaterials[Part Name],0)),0)</f>
        <v/>
      </c>
      <c r="AO56">
        <f>SUMPRODUCT((M_BOM[Part Name]=$A56)*M_BOM[RM_Qty_Per_Batch]*IFERROR(INDEX(PP_Grid[#Data],M_BOM[PPGridRow],41),0))+IFERROR(INDEX(M_RawMaterials[固定週次消費量_要入力],MATCH($A56,M_RawMaterials[Part Name],0)),0)</f>
        <v/>
      </c>
      <c r="AP56">
        <f>SUMPRODUCT((M_BOM[Part Name]=$A56)*M_BOM[RM_Qty_Per_Batch]*IFERROR(INDEX(PP_Grid[#Data],M_BOM[PPGridRow],42),0))+IFERROR(INDEX(M_RawMaterials[固定週次消費量_要入力],MATCH($A56,M_RawMaterials[Part Name],0)),0)</f>
        <v/>
      </c>
      <c r="AQ56">
        <f>SUMPRODUCT((M_BOM[Part Name]=$A56)*M_BOM[RM_Qty_Per_Batch]*IFERROR(INDEX(PP_Grid[#Data],M_BOM[PPGridRow],43),0))+IFERROR(INDEX(M_RawMaterials[固定週次消費量_要入力],MATCH($A56,M_RawMaterials[Part Name],0)),0)</f>
        <v/>
      </c>
      <c r="AR56">
        <f>SUMPRODUCT((M_BOM[Part Name]=$A56)*M_BOM[RM_Qty_Per_Batch]*IFERROR(INDEX(PP_Grid[#Data],M_BOM[PPGridRow],44),0))+IFERROR(INDEX(M_RawMaterials[固定週次消費量_要入力],MATCH($A56,M_RawMaterials[Part Name],0)),0)</f>
        <v/>
      </c>
      <c r="AS56">
        <f>SUMPRODUCT((M_BOM[Part Name]=$A56)*M_BOM[RM_Qty_Per_Batch]*IFERROR(INDEX(PP_Grid[#Data],M_BOM[PPGridRow],45),0))+IFERROR(INDEX(M_RawMaterials[固定週次消費量_要入力],MATCH($A56,M_RawMaterials[Part Name],0)),0)</f>
        <v/>
      </c>
      <c r="AT56">
        <f>SUMPRODUCT((M_BOM[Part Name]=$A56)*M_BOM[RM_Qty_Per_Batch]*IFERROR(INDEX(PP_Grid[#Data],M_BOM[PPGridRow],46),0))+IFERROR(INDEX(M_RawMaterials[固定週次消費量_要入力],MATCH($A56,M_RawMaterials[Part Name],0)),0)</f>
        <v/>
      </c>
      <c r="AU56">
        <f>SUMPRODUCT((M_BOM[Part Name]=$A56)*M_BOM[RM_Qty_Per_Batch]*IFERROR(INDEX(PP_Grid[#Data],M_BOM[PPGridRow],47),0))+IFERROR(INDEX(M_RawMaterials[固定週次消費量_要入力],MATCH($A56,M_RawMaterials[Part Name],0)),0)</f>
        <v/>
      </c>
      <c r="AV56">
        <f>SUMPRODUCT((M_BOM[Part Name]=$A56)*M_BOM[RM_Qty_Per_Batch]*IFERROR(INDEX(PP_Grid[#Data],M_BOM[PPGridRow],48),0))+IFERROR(INDEX(M_RawMaterials[固定週次消費量_要入力],MATCH($A56,M_RawMaterials[Part Name],0)),0)</f>
        <v/>
      </c>
      <c r="AW56">
        <f>SUMPRODUCT((M_BOM[Part Name]=$A56)*M_BOM[RM_Qty_Per_Batch]*IFERROR(INDEX(PP_Grid[#Data],M_BOM[PPGridRow],49),0))+IFERROR(INDEX(M_RawMaterials[固定週次消費量_要入力],MATCH($A56,M_RawMaterials[Part Name],0)),0)</f>
        <v/>
      </c>
      <c r="AX56">
        <f>SUMPRODUCT((M_BOM[Part Name]=$A56)*M_BOM[RM_Qty_Per_Batch]*IFERROR(INDEX(PP_Grid[#Data],M_BOM[PPGridRow],50),0))+IFERROR(INDEX(M_RawMaterials[固定週次消費量_要入力],MATCH($A56,M_RawMaterials[Part Name],0)),0)</f>
        <v/>
      </c>
      <c r="AY56">
        <f>SUMPRODUCT((M_BOM[Part Name]=$A56)*M_BOM[RM_Qty_Per_Batch]*IFERROR(INDEX(PP_Grid[#Data],M_BOM[PPGridRow],51),0))+IFERROR(INDEX(M_RawMaterials[固定週次消費量_要入力],MATCH($A56,M_RawMaterials[Part Name],0)),0)</f>
        <v/>
      </c>
      <c r="AZ56">
        <f>SUMPRODUCT((M_BOM[Part Name]=$A56)*M_BOM[RM_Qty_Per_Batch]*IFERROR(INDEX(PP_Grid[#Data],M_BOM[PPGridRow],52),0))+IFERROR(INDEX(M_RawMaterials[固定週次消費量_要入力],MATCH($A56,M_RawMaterials[Part Name],0)),0)</f>
        <v/>
      </c>
      <c r="BA56">
        <f>SUMPRODUCT((M_BOM[Part Name]=$A56)*M_BOM[RM_Qty_Per_Batch]*IFERROR(INDEX(PP_Grid[#Data],M_BOM[PPGridRow],53),0))+IFERROR(INDEX(M_RawMaterials[固定週次消費量_要入力],MATCH($A56,M_RawMaterials[Part Name],0)),0)</f>
        <v/>
      </c>
      <c r="BB56">
        <f>SUMPRODUCT((M_BOM[Part Name]=$A56)*M_BOM[RM_Qty_Per_Batch]*IFERROR(INDEX(PP_Grid[#Data],M_BOM[PPGridRow],54),0))+IFERROR(INDEX(M_RawMaterials[固定週次消費量_要入力],MATCH($A56,M_RawMaterials[Part Name],0)),0)</f>
        <v/>
      </c>
      <c r="BC56">
        <f>SUMPRODUCT((M_BOM[Part Name]=$A56)*M_BOM[RM_Qty_Per_Batch]*IFERROR(INDEX(PP_Grid[#Data],M_BOM[PPGridRow],55),0))+IFERROR(INDEX(M_RawMaterials[固定週次消費量_要入力],MATCH($A56,M_RawMaterials[Part Name],0)),0)</f>
        <v/>
      </c>
      <c r="BD56">
        <f>SUMPRODUCT((M_BOM[Part Name]=$A56)*M_BOM[RM_Qty_Per_Batch]*IFERROR(INDEX(PP_Grid[#Data],M_BOM[PPGridRow],56),0))+IFERROR(INDEX(M_RawMaterials[固定週次消費量_要入力],MATCH($A56,M_RawMaterials[Part Name],0)),0)</f>
        <v/>
      </c>
      <c r="BE56">
        <f>SUMPRODUCT((M_BOM[Part Name]=$A56)*M_BOM[RM_Qty_Per_Batch]*IFERROR(INDEX(PP_Grid[#Data],M_BOM[PPGridRow],57),0))+IFERROR(INDEX(M_RawMaterials[固定週次消費量_要入力],MATCH($A56,M_RawMaterials[Part Name],0)),0)</f>
        <v/>
      </c>
      <c r="BF56">
        <f>SUMPRODUCT((M_BOM[Part Name]=$A56)*M_BOM[RM_Qty_Per_Batch]*IFERROR(INDEX(PP_Grid[#Data],M_BOM[PPGridRow],58),0))+IFERROR(INDEX(M_RawMaterials[固定週次消費量_要入力],MATCH($A56,M_RawMaterials[Part Name],0)),0)</f>
        <v/>
      </c>
      <c r="BG56">
        <f>SUMPRODUCT((M_BOM[Part Name]=$A56)*M_BOM[RM_Qty_Per_Batch]*IFERROR(INDEX(PP_Grid[#Data],M_BOM[PPGridRow],59),0))+IFERROR(INDEX(M_RawMaterials[固定週次消費量_要入力],MATCH($A56,M_RawMaterials[Part Name],0)),0)</f>
        <v/>
      </c>
      <c r="BH56">
        <f>SUMPRODUCT((M_BOM[Part Name]=$A56)*M_BOM[RM_Qty_Per_Batch]*IFERROR(INDEX(PP_Grid[#Data],M_BOM[PPGridRow],60),0))+IFERROR(INDEX(M_RawMaterials[固定週次消費量_要入力],MATCH($A56,M_RawMaterials[Part Name],0)),0)</f>
        <v/>
      </c>
      <c r="BI56">
        <f>SUMPRODUCT((M_BOM[Part Name]=$A56)*M_BOM[RM_Qty_Per_Batch]*IFERROR(INDEX(PP_Grid[#Data],M_BOM[PPGridRow],61),0))+IFERROR(INDEX(M_RawMaterials[固定週次消費量_要入力],MATCH($A56,M_RawMaterials[Part Name],0)),0)</f>
        <v/>
      </c>
      <c r="BJ56">
        <f>SUMPRODUCT((M_BOM[Part Name]=$A56)*M_BOM[RM_Qty_Per_Batch]*IFERROR(INDEX(PP_Grid[#Data],M_BOM[PPGridRow],62),0))+IFERROR(INDEX(M_RawMaterials[固定週次消費量_要入力],MATCH($A56,M_RawMaterials[Part Name],0)),0)</f>
        <v/>
      </c>
      <c r="BK56">
        <f>SUMPRODUCT((M_BOM[Part Name]=$A56)*M_BOM[RM_Qty_Per_Batch]*IFERROR(INDEX(PP_Grid[#Data],M_BOM[PPGridRow],63),0))+IFERROR(INDEX(M_RawMaterials[固定週次消費量_要入力],MATCH($A56,M_RawMaterials[Part Name],0)),0)</f>
        <v/>
      </c>
      <c r="BL56">
        <f>SUMPRODUCT((M_BOM[Part Name]=$A56)*M_BOM[RM_Qty_Per_Batch]*IFERROR(INDEX(PP_Grid[#Data],M_BOM[PPGridRow],64),0))+IFERROR(INDEX(M_RawMaterials[固定週次消費量_要入力],MATCH($A56,M_RawMaterials[Part Name],0)),0)</f>
        <v/>
      </c>
      <c r="BM56">
        <f>SUMPRODUCT((M_BOM[Part Name]=$A56)*M_BOM[RM_Qty_Per_Batch]*IFERROR(INDEX(PP_Grid[#Data],M_BOM[PPGridRow],65),0))+IFERROR(INDEX(M_RawMaterials[固定週次消費量_要入力],MATCH($A56,M_RawMaterials[Part Name],0)),0)</f>
        <v/>
      </c>
      <c r="BN56">
        <f>SUMPRODUCT((M_BOM[Part Name]=$A56)*M_BOM[RM_Qty_Per_Batch]*IFERROR(INDEX(PP_Grid[#Data],M_BOM[PPGridRow],66),0))+IFERROR(INDEX(M_RawMaterials[固定週次消費量_要入力],MATCH($A56,M_RawMaterials[Part Name],0)),0)</f>
        <v/>
      </c>
      <c r="BO56">
        <f>SUMPRODUCT((M_BOM[Part Name]=$A56)*M_BOM[RM_Qty_Per_Batch]*IFERROR(INDEX(PP_Grid[#Data],M_BOM[PPGridRow],67),0))+IFERROR(INDEX(M_RawMaterials[固定週次消費量_要入力],MATCH($A56,M_RawMaterials[Part Name],0)),0)</f>
        <v/>
      </c>
      <c r="BP56">
        <f>SUMPRODUCT((M_BOM[Part Name]=$A56)*M_BOM[RM_Qty_Per_Batch]*IFERROR(INDEX(PP_Grid[#Data],M_BOM[PPGridRow],68),0))+IFERROR(INDEX(M_RawMaterials[固定週次消費量_要入力],MATCH($A56,M_RawMaterials[Part Name],0)),0)</f>
        <v/>
      </c>
      <c r="BQ56">
        <f>SUMPRODUCT((M_BOM[Part Name]=$A56)*M_BOM[RM_Qty_Per_Batch]*IFERROR(INDEX(PP_Grid[#Data],M_BOM[PPGridRow],69),0))+IFERROR(INDEX(M_RawMaterials[固定週次消費量_要入力],MATCH($A56,M_RawMaterials[Part Name],0)),0)</f>
        <v/>
      </c>
      <c r="BR56">
        <f>SUMPRODUCT((M_BOM[Part Name]=$A56)*M_BOM[RM_Qty_Per_Batch]*IFERROR(INDEX(PP_Grid[#Data],M_BOM[PPGridRow],70),0))+IFERROR(INDEX(M_RawMaterials[固定週次消費量_要入力],MATCH($A56,M_RawMaterials[Part Name],0)),0)</f>
        <v/>
      </c>
      <c r="BS56">
        <f>SUMPRODUCT((M_BOM[Part Name]=$A56)*M_BOM[RM_Qty_Per_Batch]*IFERROR(INDEX(PP_Grid[#Data],M_BOM[PPGridRow],71),0))+IFERROR(INDEX(M_RawMaterials[固定週次消費量_要入力],MATCH($A56,M_RawMaterials[Part Name],0)),0)</f>
        <v/>
      </c>
      <c r="BT56">
        <f>SUMPRODUCT((M_BOM[Part Name]=$A56)*M_BOM[RM_Qty_Per_Batch]*IFERROR(INDEX(PP_Grid[#Data],M_BOM[PPGridRow],72),0))+IFERROR(INDEX(M_RawMaterials[固定週次消費量_要入力],MATCH($A56,M_RawMaterials[Part Name],0)),0)</f>
        <v/>
      </c>
      <c r="BU56">
        <f>SUMPRODUCT((M_BOM[Part Name]=$A56)*M_BOM[RM_Qty_Per_Batch]*IFERROR(INDEX(PP_Grid[#Data],M_BOM[PPGridRow],73),0))+IFERROR(INDEX(M_RawMaterials[固定週次消費量_要入力],MATCH($A56,M_RawMaterials[Part Name],0)),0)</f>
        <v/>
      </c>
      <c r="BV56">
        <f>SUMPRODUCT((M_BOM[Part Name]=$A56)*M_BOM[RM_Qty_Per_Batch]*IFERROR(INDEX(PP_Grid[#Data],M_BOM[PPGridRow],74),0))+IFERROR(INDEX(M_RawMaterials[固定週次消費量_要入力],MATCH($A56,M_RawMaterials[Part Name],0)),0)</f>
        <v/>
      </c>
      <c r="BW56">
        <f>SUMPRODUCT((M_BOM[Part Name]=$A56)*M_BOM[RM_Qty_Per_Batch]*IFERROR(INDEX(PP_Grid[#Data],M_BOM[PPGridRow],75),0))+IFERROR(INDEX(M_RawMaterials[固定週次消費量_要入力],MATCH($A56,M_RawMaterials[Part Name],0)),0)</f>
        <v/>
      </c>
      <c r="BX56">
        <f>SUMPRODUCT((M_BOM[Part Name]=$A56)*M_BOM[RM_Qty_Per_Batch]*IFERROR(INDEX(PP_Grid[#Data],M_BOM[PPGridRow],76),0))+IFERROR(INDEX(M_RawMaterials[固定週次消費量_要入力],MATCH($A56,M_RawMaterials[Part Name],0)),0)</f>
        <v/>
      </c>
      <c r="BY56">
        <f>SUMPRODUCT((M_BOM[Part Name]=$A56)*M_BOM[RM_Qty_Per_Batch]*IFERROR(INDEX(PP_Grid[#Data],M_BOM[PPGridRow],77),0))+IFERROR(INDEX(M_RawMaterials[固定週次消費量_要入力],MATCH($A56,M_RawMaterials[Part Name],0)),0)</f>
        <v/>
      </c>
      <c r="BZ56">
        <f>SUMPRODUCT((M_BOM[Part Name]=$A56)*M_BOM[RM_Qty_Per_Batch]*IFERROR(INDEX(PP_Grid[#Data],M_BOM[PPGridRow],78),0))+IFERROR(INDEX(M_RawMaterials[固定週次消費量_要入力],MATCH($A56,M_RawMaterials[Part Name],0)),0)</f>
        <v/>
      </c>
      <c r="CA56">
        <f>SUMPRODUCT((M_BOM[Part Name]=$A56)*M_BOM[RM_Qty_Per_Batch]*IFERROR(INDEX(PP_Grid[#Data],M_BOM[PPGridRow],79),0))+IFERROR(INDEX(M_RawMaterials[固定週次消費量_要入力],MATCH($A56,M_RawMaterials[Part Name],0)),0)</f>
        <v/>
      </c>
      <c r="CB56">
        <f>SUMPRODUCT((M_BOM[Part Name]=$A56)*M_BOM[RM_Qty_Per_Batch]*IFERROR(INDEX(PP_Grid[#Data],M_BOM[PPGridRow],80),0))+IFERROR(INDEX(M_RawMaterials[固定週次消費量_要入力],MATCH($A56,M_RawMaterials[Part Name],0)),0)</f>
        <v/>
      </c>
      <c r="CC56">
        <f>SUMPRODUCT((M_BOM[Part Name]=$A56)*M_BOM[RM_Qty_Per_Batch]*IFERROR(INDEX(PP_Grid[#Data],M_BOM[PPGridRow],81),0))+IFERROR(INDEX(M_RawMaterials[固定週次消費量_要入力],MATCH($A56,M_RawMaterials[Part Name],0)),0)</f>
        <v/>
      </c>
      <c r="CD56">
        <f>SUMPRODUCT((M_BOM[Part Name]=$A56)*M_BOM[RM_Qty_Per_Batch]*IFERROR(INDEX(PP_Grid[#Data],M_BOM[PPGridRow],82),0))+IFERROR(INDEX(M_RawMaterials[固定週次消費量_要入力],MATCH($A56,M_RawMaterials[Part Name],0)),0)</f>
        <v/>
      </c>
      <c r="CE56">
        <f>SUMPRODUCT((M_BOM[Part Name]=$A56)*M_BOM[RM_Qty_Per_Batch]*IFERROR(INDEX(PP_Grid[#Data],M_BOM[PPGridRow],83),0))+IFERROR(INDEX(M_RawMaterials[固定週次消費量_要入力],MATCH($A56,M_RawMaterials[Part Name],0)),0)</f>
        <v/>
      </c>
      <c r="CF56">
        <f>SUMPRODUCT((M_BOM[Part Name]=$A56)*M_BOM[RM_Qty_Per_Batch]*IFERROR(INDEX(PP_Grid[#Data],M_BOM[PPGridRow],84),0))+IFERROR(INDEX(M_RawMaterials[固定週次消費量_要入力],MATCH($A56,M_RawMaterials[Part Name],0)),0)</f>
        <v/>
      </c>
      <c r="CG56">
        <f>SUMPRODUCT((M_BOM[Part Name]=$A56)*M_BOM[RM_Qty_Per_Batch]*IFERROR(INDEX(PP_Grid[#Data],M_BOM[PPGridRow],85),0))+IFERROR(INDEX(M_RawMaterials[固定週次消費量_要入力],MATCH($A56,M_RawMaterials[Part Name],0)),0)</f>
        <v/>
      </c>
      <c r="CH56">
        <f>SUMPRODUCT((M_BOM[Part Name]=$A56)*M_BOM[RM_Qty_Per_Batch]*IFERROR(INDEX(PP_Grid[#Data],M_BOM[PPGridRow],86),0))+IFERROR(INDEX(M_RawMaterials[固定週次消費量_要入力],MATCH($A56,M_RawMaterials[Part Name],0)),0)</f>
        <v/>
      </c>
      <c r="CI56">
        <f>SUMPRODUCT((M_BOM[Part Name]=$A56)*M_BOM[RM_Qty_Per_Batch]*IFERROR(INDEX(PP_Grid[#Data],M_BOM[PPGridRow],87),0))+IFERROR(INDEX(M_RawMaterials[固定週次消費量_要入力],MATCH($A56,M_RawMaterials[Part Name],0)),0)</f>
        <v/>
      </c>
      <c r="CJ56">
        <f>SUMPRODUCT((M_BOM[Part Name]=$A56)*M_BOM[RM_Qty_Per_Batch]*IFERROR(INDEX(PP_Grid[#Data],M_BOM[PPGridRow],88),0))+IFERROR(INDEX(M_RawMaterials[固定週次消費量_要入力],MATCH($A56,M_RawMaterials[Part Name],0)),0)</f>
        <v/>
      </c>
      <c r="CK56">
        <f>SUMPRODUCT((M_BOM[Part Name]=$A56)*M_BOM[RM_Qty_Per_Batch]*IFERROR(INDEX(PP_Grid[#Data],M_BOM[PPGridRow],89),0))+IFERROR(INDEX(M_RawMaterials[固定週次消費量_要入力],MATCH($A56,M_RawMaterials[Part Name],0)),0)</f>
        <v/>
      </c>
      <c r="CL56">
        <f>SUMPRODUCT((M_BOM[Part Name]=$A56)*M_BOM[RM_Qty_Per_Batch]*IFERROR(INDEX(PP_Grid[#Data],M_BOM[PPGridRow],90),0))+IFERROR(INDEX(M_RawMaterials[固定週次消費量_要入力],MATCH($A56,M_RawMaterials[Part Name],0)),0)</f>
        <v/>
      </c>
      <c r="CM56">
        <f>SUMPRODUCT((M_BOM[Part Name]=$A56)*M_BOM[RM_Qty_Per_Batch]*IFERROR(INDEX(PP_Grid[#Data],M_BOM[PPGridRow],91),0))+IFERROR(INDEX(M_RawMaterials[固定週次消費量_要入力],MATCH($A56,M_RawMaterials[Part Name],0)),0)</f>
        <v/>
      </c>
      <c r="CN56">
        <f>SUMPRODUCT((M_BOM[Part Name]=$A56)*M_BOM[RM_Qty_Per_Batch]*IFERROR(INDEX(PP_Grid[#Data],M_BOM[PPGridRow],92),0))+IFERROR(INDEX(M_RawMaterials[固定週次消費量_要入力],MATCH($A56,M_RawMaterials[Part Name],0)),0)</f>
        <v/>
      </c>
      <c r="CO56">
        <f>SUMPRODUCT((M_BOM[Part Name]=$A56)*M_BOM[RM_Qty_Per_Batch]*IFERROR(INDEX(PP_Grid[#Data],M_BOM[PPGridRow],93),0))+IFERROR(INDEX(M_RawMaterials[固定週次消費量_要入力],MATCH($A56,M_RawMaterials[Part Name],0)),0)</f>
        <v/>
      </c>
      <c r="CP56">
        <f>SUMPRODUCT((M_BOM[Part Name]=$A56)*M_BOM[RM_Qty_Per_Batch]*IFERROR(INDEX(PP_Grid[#Data],M_BOM[PPGridRow],94),0))+IFERROR(INDEX(M_RawMaterials[固定週次消費量_要入力],MATCH($A56,M_RawMaterials[Part Name],0)),0)</f>
        <v/>
      </c>
      <c r="CQ56">
        <f>SUMPRODUCT((M_BOM[Part Name]=$A56)*M_BOM[RM_Qty_Per_Batch]*IFERROR(INDEX(PP_Grid[#Data],M_BOM[PPGridRow],95),0))+IFERROR(INDEX(M_RawMaterials[固定週次消費量_要入力],MATCH($A56,M_RawMaterials[Part Name],0)),0)</f>
        <v/>
      </c>
      <c r="CR56">
        <f>SUMPRODUCT((M_BOM[Part Name]=$A56)*M_BOM[RM_Qty_Per_Batch]*IFERROR(INDEX(PP_Grid[#Data],M_BOM[PPGridRow],96),0))+IFERROR(INDEX(M_RawMaterials[固定週次消費量_要入力],MATCH($A56,M_RawMaterials[Part Name],0)),0)</f>
        <v/>
      </c>
      <c r="CS56">
        <f>SUMPRODUCT((M_BOM[Part Name]=$A56)*M_BOM[RM_Qty_Per_Batch]*IFERROR(INDEX(PP_Grid[#Data],M_BOM[PPGridRow],97),0))+IFERROR(INDEX(M_RawMaterials[固定週次消費量_要入力],MATCH($A56,M_RawMaterials[Part Name],0)),0)</f>
        <v/>
      </c>
      <c r="CT56">
        <f>SUMPRODUCT((M_BOM[Part Name]=$A56)*M_BOM[RM_Qty_Per_Batch]*IFERROR(INDEX(PP_Grid[#Data],M_BOM[PPGridRow],98),0))+IFERROR(INDEX(M_RawMaterials[固定週次消費量_要入力],MATCH($A56,M_RawMaterials[Part Name],0)),0)</f>
        <v/>
      </c>
      <c r="CU56">
        <f>SUMPRODUCT((M_BOM[Part Name]=$A56)*M_BOM[RM_Qty_Per_Batch]*IFERROR(INDEX(PP_Grid[#Data],M_BOM[PPGridRow],99),0))+IFERROR(INDEX(M_RawMaterials[固定週次消費量_要入力],MATCH($A56,M_RawMaterials[Part Name],0)),0)</f>
        <v/>
      </c>
      <c r="CV56">
        <f>SUMPRODUCT((M_BOM[Part Name]=$A56)*M_BOM[RM_Qty_Per_Batch]*IFERROR(INDEX(PP_Grid[#Data],M_BOM[PPGridRow],100),0))+IFERROR(INDEX(M_RawMaterials[固定週次消費量_要入力],MATCH($A56,M_RawMaterials[Part Name],0)),0)</f>
        <v/>
      </c>
      <c r="CW56">
        <f>SUMPRODUCT((M_BOM[Part Name]=$A56)*M_BOM[RM_Qty_Per_Batch]*IFERROR(INDEX(PP_Grid[#Data],M_BOM[PPGridRow],101),0))+IFERROR(INDEX(M_RawMaterials[固定週次消費量_要入力],MATCH($A56,M_RawMaterials[Part Name],0)),0)</f>
        <v/>
      </c>
      <c r="CX56">
        <f>SUMPRODUCT((M_BOM[Part Name]=$A56)*M_BOM[RM_Qty_Per_Batch]*IFERROR(INDEX(PP_Grid[#Data],M_BOM[PPGridRow],102),0))+IFERROR(INDEX(M_RawMaterials[固定週次消費量_要入力],MATCH($A56,M_RawMaterials[Part Name],0)),0)</f>
        <v/>
      </c>
      <c r="CY56">
        <f>SUMPRODUCT((M_BOM[Part Name]=$A56)*M_BOM[RM_Qty_Per_Batch]*IFERROR(INDEX(PP_Grid[#Data],M_BOM[PPGridRow],103),0))+IFERROR(INDEX(M_RawMaterials[固定週次消費量_要入力],MATCH($A56,M_RawMaterials[Part Name],0)),0)</f>
        <v/>
      </c>
      <c r="CZ56">
        <f>SUMPRODUCT((M_BOM[Part Name]=$A56)*M_BOM[RM_Qty_Per_Batch]*IFERROR(INDEX(PP_Grid[#Data],M_BOM[PPGridRow],104),0))+IFERROR(INDEX(M_RawMaterials[固定週次消費量_要入力],MATCH($A56,M_RawMaterials[Part Name],0)),0)</f>
        <v/>
      </c>
      <c r="DA56">
        <f>SUMPRODUCT((M_BOM[Part Name]=$A56)*M_BOM[RM_Qty_Per_Batch]*IFERROR(INDEX(PP_Grid[#Data],M_BOM[PPGridRow],105),0))+IFERROR(INDEX(M_RawMaterials[固定週次消費量_要入力],MATCH($A56,M_RawMaterials[Part Name],0)),0)</f>
        <v/>
      </c>
    </row>
    <row r="57">
      <c r="A57" t="inlineStr">
        <is>
          <t>CHEM-1720</t>
        </is>
      </c>
      <c r="B57">
        <f>SUMPRODUCT((M_BOM[Part Name]=$A57)*M_BOM[RM_Qty_Per_Batch]*IFERROR(INDEX(PP_Grid[#Data],M_BOM[PPGridRow],2),0))+IFERROR(INDEX(M_RawMaterials[固定週次消費量_要入力],MATCH($A57,M_RawMaterials[Part Name],0)),0)</f>
        <v/>
      </c>
      <c r="C57">
        <f>SUMPRODUCT((M_BOM[Part Name]=$A57)*M_BOM[RM_Qty_Per_Batch]*IFERROR(INDEX(PP_Grid[#Data],M_BOM[PPGridRow],3),0))+IFERROR(INDEX(M_RawMaterials[固定週次消費量_要入力],MATCH($A57,M_RawMaterials[Part Name],0)),0)</f>
        <v/>
      </c>
      <c r="D57">
        <f>SUMPRODUCT((M_BOM[Part Name]=$A57)*M_BOM[RM_Qty_Per_Batch]*IFERROR(INDEX(PP_Grid[#Data],M_BOM[PPGridRow],4),0))+IFERROR(INDEX(M_RawMaterials[固定週次消費量_要入力],MATCH($A57,M_RawMaterials[Part Name],0)),0)</f>
        <v/>
      </c>
      <c r="E57">
        <f>SUMPRODUCT((M_BOM[Part Name]=$A57)*M_BOM[RM_Qty_Per_Batch]*IFERROR(INDEX(PP_Grid[#Data],M_BOM[PPGridRow],5),0))+IFERROR(INDEX(M_RawMaterials[固定週次消費量_要入力],MATCH($A57,M_RawMaterials[Part Name],0)),0)</f>
        <v/>
      </c>
      <c r="F57">
        <f>SUMPRODUCT((M_BOM[Part Name]=$A57)*M_BOM[RM_Qty_Per_Batch]*IFERROR(INDEX(PP_Grid[#Data],M_BOM[PPGridRow],6),0))+IFERROR(INDEX(M_RawMaterials[固定週次消費量_要入力],MATCH($A57,M_RawMaterials[Part Name],0)),0)</f>
        <v/>
      </c>
      <c r="G57">
        <f>SUMPRODUCT((M_BOM[Part Name]=$A57)*M_BOM[RM_Qty_Per_Batch]*IFERROR(INDEX(PP_Grid[#Data],M_BOM[PPGridRow],7),0))+IFERROR(INDEX(M_RawMaterials[固定週次消費量_要入力],MATCH($A57,M_RawMaterials[Part Name],0)),0)</f>
        <v/>
      </c>
      <c r="H57">
        <f>SUMPRODUCT((M_BOM[Part Name]=$A57)*M_BOM[RM_Qty_Per_Batch]*IFERROR(INDEX(PP_Grid[#Data],M_BOM[PPGridRow],8),0))+IFERROR(INDEX(M_RawMaterials[固定週次消費量_要入力],MATCH($A57,M_RawMaterials[Part Name],0)),0)</f>
        <v/>
      </c>
      <c r="I57">
        <f>SUMPRODUCT((M_BOM[Part Name]=$A57)*M_BOM[RM_Qty_Per_Batch]*IFERROR(INDEX(PP_Grid[#Data],M_BOM[PPGridRow],9),0))+IFERROR(INDEX(M_RawMaterials[固定週次消費量_要入力],MATCH($A57,M_RawMaterials[Part Name],0)),0)</f>
        <v/>
      </c>
      <c r="J57">
        <f>SUMPRODUCT((M_BOM[Part Name]=$A57)*M_BOM[RM_Qty_Per_Batch]*IFERROR(INDEX(PP_Grid[#Data],M_BOM[PPGridRow],10),0))+IFERROR(INDEX(M_RawMaterials[固定週次消費量_要入力],MATCH($A57,M_RawMaterials[Part Name],0)),0)</f>
        <v/>
      </c>
      <c r="K57">
        <f>SUMPRODUCT((M_BOM[Part Name]=$A57)*M_BOM[RM_Qty_Per_Batch]*IFERROR(INDEX(PP_Grid[#Data],M_BOM[PPGridRow],11),0))+IFERROR(INDEX(M_RawMaterials[固定週次消費量_要入力],MATCH($A57,M_RawMaterials[Part Name],0)),0)</f>
        <v/>
      </c>
      <c r="L57">
        <f>SUMPRODUCT((M_BOM[Part Name]=$A57)*M_BOM[RM_Qty_Per_Batch]*IFERROR(INDEX(PP_Grid[#Data],M_BOM[PPGridRow],12),0))+IFERROR(INDEX(M_RawMaterials[固定週次消費量_要入力],MATCH($A57,M_RawMaterials[Part Name],0)),0)</f>
        <v/>
      </c>
      <c r="M57">
        <f>SUMPRODUCT((M_BOM[Part Name]=$A57)*M_BOM[RM_Qty_Per_Batch]*IFERROR(INDEX(PP_Grid[#Data],M_BOM[PPGridRow],13),0))+IFERROR(INDEX(M_RawMaterials[固定週次消費量_要入力],MATCH($A57,M_RawMaterials[Part Name],0)),0)</f>
        <v/>
      </c>
      <c r="N57">
        <f>SUMPRODUCT((M_BOM[Part Name]=$A57)*M_BOM[RM_Qty_Per_Batch]*IFERROR(INDEX(PP_Grid[#Data],M_BOM[PPGridRow],14),0))+IFERROR(INDEX(M_RawMaterials[固定週次消費量_要入力],MATCH($A57,M_RawMaterials[Part Name],0)),0)</f>
        <v/>
      </c>
      <c r="O57">
        <f>SUMPRODUCT((M_BOM[Part Name]=$A57)*M_BOM[RM_Qty_Per_Batch]*IFERROR(INDEX(PP_Grid[#Data],M_BOM[PPGridRow],15),0))+IFERROR(INDEX(M_RawMaterials[固定週次消費量_要入力],MATCH($A57,M_RawMaterials[Part Name],0)),0)</f>
        <v/>
      </c>
      <c r="P57">
        <f>SUMPRODUCT((M_BOM[Part Name]=$A57)*M_BOM[RM_Qty_Per_Batch]*IFERROR(INDEX(PP_Grid[#Data],M_BOM[PPGridRow],16),0))+IFERROR(INDEX(M_RawMaterials[固定週次消費量_要入力],MATCH($A57,M_RawMaterials[Part Name],0)),0)</f>
        <v/>
      </c>
      <c r="Q57">
        <f>SUMPRODUCT((M_BOM[Part Name]=$A57)*M_BOM[RM_Qty_Per_Batch]*IFERROR(INDEX(PP_Grid[#Data],M_BOM[PPGridRow],17),0))+IFERROR(INDEX(M_RawMaterials[固定週次消費量_要入力],MATCH($A57,M_RawMaterials[Part Name],0)),0)</f>
        <v/>
      </c>
      <c r="R57">
        <f>SUMPRODUCT((M_BOM[Part Name]=$A57)*M_BOM[RM_Qty_Per_Batch]*IFERROR(INDEX(PP_Grid[#Data],M_BOM[PPGridRow],18),0))+IFERROR(INDEX(M_RawMaterials[固定週次消費量_要入力],MATCH($A57,M_RawMaterials[Part Name],0)),0)</f>
        <v/>
      </c>
      <c r="S57">
        <f>SUMPRODUCT((M_BOM[Part Name]=$A57)*M_BOM[RM_Qty_Per_Batch]*IFERROR(INDEX(PP_Grid[#Data],M_BOM[PPGridRow],19),0))+IFERROR(INDEX(M_RawMaterials[固定週次消費量_要入力],MATCH($A57,M_RawMaterials[Part Name],0)),0)</f>
        <v/>
      </c>
      <c r="T57">
        <f>SUMPRODUCT((M_BOM[Part Name]=$A57)*M_BOM[RM_Qty_Per_Batch]*IFERROR(INDEX(PP_Grid[#Data],M_BOM[PPGridRow],20),0))+IFERROR(INDEX(M_RawMaterials[固定週次消費量_要入力],MATCH($A57,M_RawMaterials[Part Name],0)),0)</f>
        <v/>
      </c>
      <c r="U57">
        <f>SUMPRODUCT((M_BOM[Part Name]=$A57)*M_BOM[RM_Qty_Per_Batch]*IFERROR(INDEX(PP_Grid[#Data],M_BOM[PPGridRow],21),0))+IFERROR(INDEX(M_RawMaterials[固定週次消費量_要入力],MATCH($A57,M_RawMaterials[Part Name],0)),0)</f>
        <v/>
      </c>
      <c r="V57">
        <f>SUMPRODUCT((M_BOM[Part Name]=$A57)*M_BOM[RM_Qty_Per_Batch]*IFERROR(INDEX(PP_Grid[#Data],M_BOM[PPGridRow],22),0))+IFERROR(INDEX(M_RawMaterials[固定週次消費量_要入力],MATCH($A57,M_RawMaterials[Part Name],0)),0)</f>
        <v/>
      </c>
      <c r="W57">
        <f>SUMPRODUCT((M_BOM[Part Name]=$A57)*M_BOM[RM_Qty_Per_Batch]*IFERROR(INDEX(PP_Grid[#Data],M_BOM[PPGridRow],23),0))+IFERROR(INDEX(M_RawMaterials[固定週次消費量_要入力],MATCH($A57,M_RawMaterials[Part Name],0)),0)</f>
        <v/>
      </c>
      <c r="X57">
        <f>SUMPRODUCT((M_BOM[Part Name]=$A57)*M_BOM[RM_Qty_Per_Batch]*IFERROR(INDEX(PP_Grid[#Data],M_BOM[PPGridRow],24),0))+IFERROR(INDEX(M_RawMaterials[固定週次消費量_要入力],MATCH($A57,M_RawMaterials[Part Name],0)),0)</f>
        <v/>
      </c>
      <c r="Y57">
        <f>SUMPRODUCT((M_BOM[Part Name]=$A57)*M_BOM[RM_Qty_Per_Batch]*IFERROR(INDEX(PP_Grid[#Data],M_BOM[PPGridRow],25),0))+IFERROR(INDEX(M_RawMaterials[固定週次消費量_要入力],MATCH($A57,M_RawMaterials[Part Name],0)),0)</f>
        <v/>
      </c>
      <c r="Z57">
        <f>SUMPRODUCT((M_BOM[Part Name]=$A57)*M_BOM[RM_Qty_Per_Batch]*IFERROR(INDEX(PP_Grid[#Data],M_BOM[PPGridRow],26),0))+IFERROR(INDEX(M_RawMaterials[固定週次消費量_要入力],MATCH($A57,M_RawMaterials[Part Name],0)),0)</f>
        <v/>
      </c>
      <c r="AA57">
        <f>SUMPRODUCT((M_BOM[Part Name]=$A57)*M_BOM[RM_Qty_Per_Batch]*IFERROR(INDEX(PP_Grid[#Data],M_BOM[PPGridRow],27),0))+IFERROR(INDEX(M_RawMaterials[固定週次消費量_要入力],MATCH($A57,M_RawMaterials[Part Name],0)),0)</f>
        <v/>
      </c>
      <c r="AB57">
        <f>SUMPRODUCT((M_BOM[Part Name]=$A57)*M_BOM[RM_Qty_Per_Batch]*IFERROR(INDEX(PP_Grid[#Data],M_BOM[PPGridRow],28),0))+IFERROR(INDEX(M_RawMaterials[固定週次消費量_要入力],MATCH($A57,M_RawMaterials[Part Name],0)),0)</f>
        <v/>
      </c>
      <c r="AC57">
        <f>SUMPRODUCT((M_BOM[Part Name]=$A57)*M_BOM[RM_Qty_Per_Batch]*IFERROR(INDEX(PP_Grid[#Data],M_BOM[PPGridRow],29),0))+IFERROR(INDEX(M_RawMaterials[固定週次消費量_要入力],MATCH($A57,M_RawMaterials[Part Name],0)),0)</f>
        <v/>
      </c>
      <c r="AD57">
        <f>SUMPRODUCT((M_BOM[Part Name]=$A57)*M_BOM[RM_Qty_Per_Batch]*IFERROR(INDEX(PP_Grid[#Data],M_BOM[PPGridRow],30),0))+IFERROR(INDEX(M_RawMaterials[固定週次消費量_要入力],MATCH($A57,M_RawMaterials[Part Name],0)),0)</f>
        <v/>
      </c>
      <c r="AE57">
        <f>SUMPRODUCT((M_BOM[Part Name]=$A57)*M_BOM[RM_Qty_Per_Batch]*IFERROR(INDEX(PP_Grid[#Data],M_BOM[PPGridRow],31),0))+IFERROR(INDEX(M_RawMaterials[固定週次消費量_要入力],MATCH($A57,M_RawMaterials[Part Name],0)),0)</f>
        <v/>
      </c>
      <c r="AF57">
        <f>SUMPRODUCT((M_BOM[Part Name]=$A57)*M_BOM[RM_Qty_Per_Batch]*IFERROR(INDEX(PP_Grid[#Data],M_BOM[PPGridRow],32),0))+IFERROR(INDEX(M_RawMaterials[固定週次消費量_要入力],MATCH($A57,M_RawMaterials[Part Name],0)),0)</f>
        <v/>
      </c>
      <c r="AG57">
        <f>SUMPRODUCT((M_BOM[Part Name]=$A57)*M_BOM[RM_Qty_Per_Batch]*IFERROR(INDEX(PP_Grid[#Data],M_BOM[PPGridRow],33),0))+IFERROR(INDEX(M_RawMaterials[固定週次消費量_要入力],MATCH($A57,M_RawMaterials[Part Name],0)),0)</f>
        <v/>
      </c>
      <c r="AH57">
        <f>SUMPRODUCT((M_BOM[Part Name]=$A57)*M_BOM[RM_Qty_Per_Batch]*IFERROR(INDEX(PP_Grid[#Data],M_BOM[PPGridRow],34),0))+IFERROR(INDEX(M_RawMaterials[固定週次消費量_要入力],MATCH($A57,M_RawMaterials[Part Name],0)),0)</f>
        <v/>
      </c>
      <c r="AI57">
        <f>SUMPRODUCT((M_BOM[Part Name]=$A57)*M_BOM[RM_Qty_Per_Batch]*IFERROR(INDEX(PP_Grid[#Data],M_BOM[PPGridRow],35),0))+IFERROR(INDEX(M_RawMaterials[固定週次消費量_要入力],MATCH($A57,M_RawMaterials[Part Name],0)),0)</f>
        <v/>
      </c>
      <c r="AJ57">
        <f>SUMPRODUCT((M_BOM[Part Name]=$A57)*M_BOM[RM_Qty_Per_Batch]*IFERROR(INDEX(PP_Grid[#Data],M_BOM[PPGridRow],36),0))+IFERROR(INDEX(M_RawMaterials[固定週次消費量_要入力],MATCH($A57,M_RawMaterials[Part Name],0)),0)</f>
        <v/>
      </c>
      <c r="AK57">
        <f>SUMPRODUCT((M_BOM[Part Name]=$A57)*M_BOM[RM_Qty_Per_Batch]*IFERROR(INDEX(PP_Grid[#Data],M_BOM[PPGridRow],37),0))+IFERROR(INDEX(M_RawMaterials[固定週次消費量_要入力],MATCH($A57,M_RawMaterials[Part Name],0)),0)</f>
        <v/>
      </c>
      <c r="AL57">
        <f>SUMPRODUCT((M_BOM[Part Name]=$A57)*M_BOM[RM_Qty_Per_Batch]*IFERROR(INDEX(PP_Grid[#Data],M_BOM[PPGridRow],38),0))+IFERROR(INDEX(M_RawMaterials[固定週次消費量_要入力],MATCH($A57,M_RawMaterials[Part Name],0)),0)</f>
        <v/>
      </c>
      <c r="AM57">
        <f>SUMPRODUCT((M_BOM[Part Name]=$A57)*M_BOM[RM_Qty_Per_Batch]*IFERROR(INDEX(PP_Grid[#Data],M_BOM[PPGridRow],39),0))+IFERROR(INDEX(M_RawMaterials[固定週次消費量_要入力],MATCH($A57,M_RawMaterials[Part Name],0)),0)</f>
        <v/>
      </c>
      <c r="AN57">
        <f>SUMPRODUCT((M_BOM[Part Name]=$A57)*M_BOM[RM_Qty_Per_Batch]*IFERROR(INDEX(PP_Grid[#Data],M_BOM[PPGridRow],40),0))+IFERROR(INDEX(M_RawMaterials[固定週次消費量_要入力],MATCH($A57,M_RawMaterials[Part Name],0)),0)</f>
        <v/>
      </c>
      <c r="AO57">
        <f>SUMPRODUCT((M_BOM[Part Name]=$A57)*M_BOM[RM_Qty_Per_Batch]*IFERROR(INDEX(PP_Grid[#Data],M_BOM[PPGridRow],41),0))+IFERROR(INDEX(M_RawMaterials[固定週次消費量_要入力],MATCH($A57,M_RawMaterials[Part Name],0)),0)</f>
        <v/>
      </c>
      <c r="AP57">
        <f>SUMPRODUCT((M_BOM[Part Name]=$A57)*M_BOM[RM_Qty_Per_Batch]*IFERROR(INDEX(PP_Grid[#Data],M_BOM[PPGridRow],42),0))+IFERROR(INDEX(M_RawMaterials[固定週次消費量_要入力],MATCH($A57,M_RawMaterials[Part Name],0)),0)</f>
        <v/>
      </c>
      <c r="AQ57">
        <f>SUMPRODUCT((M_BOM[Part Name]=$A57)*M_BOM[RM_Qty_Per_Batch]*IFERROR(INDEX(PP_Grid[#Data],M_BOM[PPGridRow],43),0))+IFERROR(INDEX(M_RawMaterials[固定週次消費量_要入力],MATCH($A57,M_RawMaterials[Part Name],0)),0)</f>
        <v/>
      </c>
      <c r="AR57">
        <f>SUMPRODUCT((M_BOM[Part Name]=$A57)*M_BOM[RM_Qty_Per_Batch]*IFERROR(INDEX(PP_Grid[#Data],M_BOM[PPGridRow],44),0))+IFERROR(INDEX(M_RawMaterials[固定週次消費量_要入力],MATCH($A57,M_RawMaterials[Part Name],0)),0)</f>
        <v/>
      </c>
      <c r="AS57">
        <f>SUMPRODUCT((M_BOM[Part Name]=$A57)*M_BOM[RM_Qty_Per_Batch]*IFERROR(INDEX(PP_Grid[#Data],M_BOM[PPGridRow],45),0))+IFERROR(INDEX(M_RawMaterials[固定週次消費量_要入力],MATCH($A57,M_RawMaterials[Part Name],0)),0)</f>
        <v/>
      </c>
      <c r="AT57">
        <f>SUMPRODUCT((M_BOM[Part Name]=$A57)*M_BOM[RM_Qty_Per_Batch]*IFERROR(INDEX(PP_Grid[#Data],M_BOM[PPGridRow],46),0))+IFERROR(INDEX(M_RawMaterials[固定週次消費量_要入力],MATCH($A57,M_RawMaterials[Part Name],0)),0)</f>
        <v/>
      </c>
      <c r="AU57">
        <f>SUMPRODUCT((M_BOM[Part Name]=$A57)*M_BOM[RM_Qty_Per_Batch]*IFERROR(INDEX(PP_Grid[#Data],M_BOM[PPGridRow],47),0))+IFERROR(INDEX(M_RawMaterials[固定週次消費量_要入力],MATCH($A57,M_RawMaterials[Part Name],0)),0)</f>
        <v/>
      </c>
      <c r="AV57">
        <f>SUMPRODUCT((M_BOM[Part Name]=$A57)*M_BOM[RM_Qty_Per_Batch]*IFERROR(INDEX(PP_Grid[#Data],M_BOM[PPGridRow],48),0))+IFERROR(INDEX(M_RawMaterials[固定週次消費量_要入力],MATCH($A57,M_RawMaterials[Part Name],0)),0)</f>
        <v/>
      </c>
      <c r="AW57">
        <f>SUMPRODUCT((M_BOM[Part Name]=$A57)*M_BOM[RM_Qty_Per_Batch]*IFERROR(INDEX(PP_Grid[#Data],M_BOM[PPGridRow],49),0))+IFERROR(INDEX(M_RawMaterials[固定週次消費量_要入力],MATCH($A57,M_RawMaterials[Part Name],0)),0)</f>
        <v/>
      </c>
      <c r="AX57">
        <f>SUMPRODUCT((M_BOM[Part Name]=$A57)*M_BOM[RM_Qty_Per_Batch]*IFERROR(INDEX(PP_Grid[#Data],M_BOM[PPGridRow],50),0))+IFERROR(INDEX(M_RawMaterials[固定週次消費量_要入力],MATCH($A57,M_RawMaterials[Part Name],0)),0)</f>
        <v/>
      </c>
      <c r="AY57">
        <f>SUMPRODUCT((M_BOM[Part Name]=$A57)*M_BOM[RM_Qty_Per_Batch]*IFERROR(INDEX(PP_Grid[#Data],M_BOM[PPGridRow],51),0))+IFERROR(INDEX(M_RawMaterials[固定週次消費量_要入力],MATCH($A57,M_RawMaterials[Part Name],0)),0)</f>
        <v/>
      </c>
      <c r="AZ57">
        <f>SUMPRODUCT((M_BOM[Part Name]=$A57)*M_BOM[RM_Qty_Per_Batch]*IFERROR(INDEX(PP_Grid[#Data],M_BOM[PPGridRow],52),0))+IFERROR(INDEX(M_RawMaterials[固定週次消費量_要入力],MATCH($A57,M_RawMaterials[Part Name],0)),0)</f>
        <v/>
      </c>
      <c r="BA57">
        <f>SUMPRODUCT((M_BOM[Part Name]=$A57)*M_BOM[RM_Qty_Per_Batch]*IFERROR(INDEX(PP_Grid[#Data],M_BOM[PPGridRow],53),0))+IFERROR(INDEX(M_RawMaterials[固定週次消費量_要入力],MATCH($A57,M_RawMaterials[Part Name],0)),0)</f>
        <v/>
      </c>
      <c r="BB57">
        <f>SUMPRODUCT((M_BOM[Part Name]=$A57)*M_BOM[RM_Qty_Per_Batch]*IFERROR(INDEX(PP_Grid[#Data],M_BOM[PPGridRow],54),0))+IFERROR(INDEX(M_RawMaterials[固定週次消費量_要入力],MATCH($A57,M_RawMaterials[Part Name],0)),0)</f>
        <v/>
      </c>
      <c r="BC57">
        <f>SUMPRODUCT((M_BOM[Part Name]=$A57)*M_BOM[RM_Qty_Per_Batch]*IFERROR(INDEX(PP_Grid[#Data],M_BOM[PPGridRow],55),0))+IFERROR(INDEX(M_RawMaterials[固定週次消費量_要入力],MATCH($A57,M_RawMaterials[Part Name],0)),0)</f>
        <v/>
      </c>
      <c r="BD57">
        <f>SUMPRODUCT((M_BOM[Part Name]=$A57)*M_BOM[RM_Qty_Per_Batch]*IFERROR(INDEX(PP_Grid[#Data],M_BOM[PPGridRow],56),0))+IFERROR(INDEX(M_RawMaterials[固定週次消費量_要入力],MATCH($A57,M_RawMaterials[Part Name],0)),0)</f>
        <v/>
      </c>
      <c r="BE57">
        <f>SUMPRODUCT((M_BOM[Part Name]=$A57)*M_BOM[RM_Qty_Per_Batch]*IFERROR(INDEX(PP_Grid[#Data],M_BOM[PPGridRow],57),0))+IFERROR(INDEX(M_RawMaterials[固定週次消費量_要入力],MATCH($A57,M_RawMaterials[Part Name],0)),0)</f>
        <v/>
      </c>
      <c r="BF57">
        <f>SUMPRODUCT((M_BOM[Part Name]=$A57)*M_BOM[RM_Qty_Per_Batch]*IFERROR(INDEX(PP_Grid[#Data],M_BOM[PPGridRow],58),0))+IFERROR(INDEX(M_RawMaterials[固定週次消費量_要入力],MATCH($A57,M_RawMaterials[Part Name],0)),0)</f>
        <v/>
      </c>
      <c r="BG57">
        <f>SUMPRODUCT((M_BOM[Part Name]=$A57)*M_BOM[RM_Qty_Per_Batch]*IFERROR(INDEX(PP_Grid[#Data],M_BOM[PPGridRow],59),0))+IFERROR(INDEX(M_RawMaterials[固定週次消費量_要入力],MATCH($A57,M_RawMaterials[Part Name],0)),0)</f>
        <v/>
      </c>
      <c r="BH57">
        <f>SUMPRODUCT((M_BOM[Part Name]=$A57)*M_BOM[RM_Qty_Per_Batch]*IFERROR(INDEX(PP_Grid[#Data],M_BOM[PPGridRow],60),0))+IFERROR(INDEX(M_RawMaterials[固定週次消費量_要入力],MATCH($A57,M_RawMaterials[Part Name],0)),0)</f>
        <v/>
      </c>
      <c r="BI57">
        <f>SUMPRODUCT((M_BOM[Part Name]=$A57)*M_BOM[RM_Qty_Per_Batch]*IFERROR(INDEX(PP_Grid[#Data],M_BOM[PPGridRow],61),0))+IFERROR(INDEX(M_RawMaterials[固定週次消費量_要入力],MATCH($A57,M_RawMaterials[Part Name],0)),0)</f>
        <v/>
      </c>
      <c r="BJ57">
        <f>SUMPRODUCT((M_BOM[Part Name]=$A57)*M_BOM[RM_Qty_Per_Batch]*IFERROR(INDEX(PP_Grid[#Data],M_BOM[PPGridRow],62),0))+IFERROR(INDEX(M_RawMaterials[固定週次消費量_要入力],MATCH($A57,M_RawMaterials[Part Name],0)),0)</f>
        <v/>
      </c>
      <c r="BK57">
        <f>SUMPRODUCT((M_BOM[Part Name]=$A57)*M_BOM[RM_Qty_Per_Batch]*IFERROR(INDEX(PP_Grid[#Data],M_BOM[PPGridRow],63),0))+IFERROR(INDEX(M_RawMaterials[固定週次消費量_要入力],MATCH($A57,M_RawMaterials[Part Name],0)),0)</f>
        <v/>
      </c>
      <c r="BL57">
        <f>SUMPRODUCT((M_BOM[Part Name]=$A57)*M_BOM[RM_Qty_Per_Batch]*IFERROR(INDEX(PP_Grid[#Data],M_BOM[PPGridRow],64),0))+IFERROR(INDEX(M_RawMaterials[固定週次消費量_要入力],MATCH($A57,M_RawMaterials[Part Name],0)),0)</f>
        <v/>
      </c>
      <c r="BM57">
        <f>SUMPRODUCT((M_BOM[Part Name]=$A57)*M_BOM[RM_Qty_Per_Batch]*IFERROR(INDEX(PP_Grid[#Data],M_BOM[PPGridRow],65),0))+IFERROR(INDEX(M_RawMaterials[固定週次消費量_要入力],MATCH($A57,M_RawMaterials[Part Name],0)),0)</f>
        <v/>
      </c>
      <c r="BN57">
        <f>SUMPRODUCT((M_BOM[Part Name]=$A57)*M_BOM[RM_Qty_Per_Batch]*IFERROR(INDEX(PP_Grid[#Data],M_BOM[PPGridRow],66),0))+IFERROR(INDEX(M_RawMaterials[固定週次消費量_要入力],MATCH($A57,M_RawMaterials[Part Name],0)),0)</f>
        <v/>
      </c>
      <c r="BO57">
        <f>SUMPRODUCT((M_BOM[Part Name]=$A57)*M_BOM[RM_Qty_Per_Batch]*IFERROR(INDEX(PP_Grid[#Data],M_BOM[PPGridRow],67),0))+IFERROR(INDEX(M_RawMaterials[固定週次消費量_要入力],MATCH($A57,M_RawMaterials[Part Name],0)),0)</f>
        <v/>
      </c>
      <c r="BP57">
        <f>SUMPRODUCT((M_BOM[Part Name]=$A57)*M_BOM[RM_Qty_Per_Batch]*IFERROR(INDEX(PP_Grid[#Data],M_BOM[PPGridRow],68),0))+IFERROR(INDEX(M_RawMaterials[固定週次消費量_要入力],MATCH($A57,M_RawMaterials[Part Name],0)),0)</f>
        <v/>
      </c>
      <c r="BQ57">
        <f>SUMPRODUCT((M_BOM[Part Name]=$A57)*M_BOM[RM_Qty_Per_Batch]*IFERROR(INDEX(PP_Grid[#Data],M_BOM[PPGridRow],69),0))+IFERROR(INDEX(M_RawMaterials[固定週次消費量_要入力],MATCH($A57,M_RawMaterials[Part Name],0)),0)</f>
        <v/>
      </c>
      <c r="BR57">
        <f>SUMPRODUCT((M_BOM[Part Name]=$A57)*M_BOM[RM_Qty_Per_Batch]*IFERROR(INDEX(PP_Grid[#Data],M_BOM[PPGridRow],70),0))+IFERROR(INDEX(M_RawMaterials[固定週次消費量_要入力],MATCH($A57,M_RawMaterials[Part Name],0)),0)</f>
        <v/>
      </c>
      <c r="BS57">
        <f>SUMPRODUCT((M_BOM[Part Name]=$A57)*M_BOM[RM_Qty_Per_Batch]*IFERROR(INDEX(PP_Grid[#Data],M_BOM[PPGridRow],71),0))+IFERROR(INDEX(M_RawMaterials[固定週次消費量_要入力],MATCH($A57,M_RawMaterials[Part Name],0)),0)</f>
        <v/>
      </c>
      <c r="BT57">
        <f>SUMPRODUCT((M_BOM[Part Name]=$A57)*M_BOM[RM_Qty_Per_Batch]*IFERROR(INDEX(PP_Grid[#Data],M_BOM[PPGridRow],72),0))+IFERROR(INDEX(M_RawMaterials[固定週次消費量_要入力],MATCH($A57,M_RawMaterials[Part Name],0)),0)</f>
        <v/>
      </c>
      <c r="BU57">
        <f>SUMPRODUCT((M_BOM[Part Name]=$A57)*M_BOM[RM_Qty_Per_Batch]*IFERROR(INDEX(PP_Grid[#Data],M_BOM[PPGridRow],73),0))+IFERROR(INDEX(M_RawMaterials[固定週次消費量_要入力],MATCH($A57,M_RawMaterials[Part Name],0)),0)</f>
        <v/>
      </c>
      <c r="BV57">
        <f>SUMPRODUCT((M_BOM[Part Name]=$A57)*M_BOM[RM_Qty_Per_Batch]*IFERROR(INDEX(PP_Grid[#Data],M_BOM[PPGridRow],74),0))+IFERROR(INDEX(M_RawMaterials[固定週次消費量_要入力],MATCH($A57,M_RawMaterials[Part Name],0)),0)</f>
        <v/>
      </c>
      <c r="BW57">
        <f>SUMPRODUCT((M_BOM[Part Name]=$A57)*M_BOM[RM_Qty_Per_Batch]*IFERROR(INDEX(PP_Grid[#Data],M_BOM[PPGridRow],75),0))+IFERROR(INDEX(M_RawMaterials[固定週次消費量_要入力],MATCH($A57,M_RawMaterials[Part Name],0)),0)</f>
        <v/>
      </c>
      <c r="BX57">
        <f>SUMPRODUCT((M_BOM[Part Name]=$A57)*M_BOM[RM_Qty_Per_Batch]*IFERROR(INDEX(PP_Grid[#Data],M_BOM[PPGridRow],76),0))+IFERROR(INDEX(M_RawMaterials[固定週次消費量_要入力],MATCH($A57,M_RawMaterials[Part Name],0)),0)</f>
        <v/>
      </c>
      <c r="BY57">
        <f>SUMPRODUCT((M_BOM[Part Name]=$A57)*M_BOM[RM_Qty_Per_Batch]*IFERROR(INDEX(PP_Grid[#Data],M_BOM[PPGridRow],77),0))+IFERROR(INDEX(M_RawMaterials[固定週次消費量_要入力],MATCH($A57,M_RawMaterials[Part Name],0)),0)</f>
        <v/>
      </c>
      <c r="BZ57">
        <f>SUMPRODUCT((M_BOM[Part Name]=$A57)*M_BOM[RM_Qty_Per_Batch]*IFERROR(INDEX(PP_Grid[#Data],M_BOM[PPGridRow],78),0))+IFERROR(INDEX(M_RawMaterials[固定週次消費量_要入力],MATCH($A57,M_RawMaterials[Part Name],0)),0)</f>
        <v/>
      </c>
      <c r="CA57">
        <f>SUMPRODUCT((M_BOM[Part Name]=$A57)*M_BOM[RM_Qty_Per_Batch]*IFERROR(INDEX(PP_Grid[#Data],M_BOM[PPGridRow],79),0))+IFERROR(INDEX(M_RawMaterials[固定週次消費量_要入力],MATCH($A57,M_RawMaterials[Part Name],0)),0)</f>
        <v/>
      </c>
      <c r="CB57">
        <f>SUMPRODUCT((M_BOM[Part Name]=$A57)*M_BOM[RM_Qty_Per_Batch]*IFERROR(INDEX(PP_Grid[#Data],M_BOM[PPGridRow],80),0))+IFERROR(INDEX(M_RawMaterials[固定週次消費量_要入力],MATCH($A57,M_RawMaterials[Part Name],0)),0)</f>
        <v/>
      </c>
      <c r="CC57">
        <f>SUMPRODUCT((M_BOM[Part Name]=$A57)*M_BOM[RM_Qty_Per_Batch]*IFERROR(INDEX(PP_Grid[#Data],M_BOM[PPGridRow],81),0))+IFERROR(INDEX(M_RawMaterials[固定週次消費量_要入力],MATCH($A57,M_RawMaterials[Part Name],0)),0)</f>
        <v/>
      </c>
      <c r="CD57">
        <f>SUMPRODUCT((M_BOM[Part Name]=$A57)*M_BOM[RM_Qty_Per_Batch]*IFERROR(INDEX(PP_Grid[#Data],M_BOM[PPGridRow],82),0))+IFERROR(INDEX(M_RawMaterials[固定週次消費量_要入力],MATCH($A57,M_RawMaterials[Part Name],0)),0)</f>
        <v/>
      </c>
      <c r="CE57">
        <f>SUMPRODUCT((M_BOM[Part Name]=$A57)*M_BOM[RM_Qty_Per_Batch]*IFERROR(INDEX(PP_Grid[#Data],M_BOM[PPGridRow],83),0))+IFERROR(INDEX(M_RawMaterials[固定週次消費量_要入力],MATCH($A57,M_RawMaterials[Part Name],0)),0)</f>
        <v/>
      </c>
      <c r="CF57">
        <f>SUMPRODUCT((M_BOM[Part Name]=$A57)*M_BOM[RM_Qty_Per_Batch]*IFERROR(INDEX(PP_Grid[#Data],M_BOM[PPGridRow],84),0))+IFERROR(INDEX(M_RawMaterials[固定週次消費量_要入力],MATCH($A57,M_RawMaterials[Part Name],0)),0)</f>
        <v/>
      </c>
      <c r="CG57">
        <f>SUMPRODUCT((M_BOM[Part Name]=$A57)*M_BOM[RM_Qty_Per_Batch]*IFERROR(INDEX(PP_Grid[#Data],M_BOM[PPGridRow],85),0))+IFERROR(INDEX(M_RawMaterials[固定週次消費量_要入力],MATCH($A57,M_RawMaterials[Part Name],0)),0)</f>
        <v/>
      </c>
      <c r="CH57">
        <f>SUMPRODUCT((M_BOM[Part Name]=$A57)*M_BOM[RM_Qty_Per_Batch]*IFERROR(INDEX(PP_Grid[#Data],M_BOM[PPGridRow],86),0))+IFERROR(INDEX(M_RawMaterials[固定週次消費量_要入力],MATCH($A57,M_RawMaterials[Part Name],0)),0)</f>
        <v/>
      </c>
      <c r="CI57">
        <f>SUMPRODUCT((M_BOM[Part Name]=$A57)*M_BOM[RM_Qty_Per_Batch]*IFERROR(INDEX(PP_Grid[#Data],M_BOM[PPGridRow],87),0))+IFERROR(INDEX(M_RawMaterials[固定週次消費量_要入力],MATCH($A57,M_RawMaterials[Part Name],0)),0)</f>
        <v/>
      </c>
      <c r="CJ57">
        <f>SUMPRODUCT((M_BOM[Part Name]=$A57)*M_BOM[RM_Qty_Per_Batch]*IFERROR(INDEX(PP_Grid[#Data],M_BOM[PPGridRow],88),0))+IFERROR(INDEX(M_RawMaterials[固定週次消費量_要入力],MATCH($A57,M_RawMaterials[Part Name],0)),0)</f>
        <v/>
      </c>
      <c r="CK57">
        <f>SUMPRODUCT((M_BOM[Part Name]=$A57)*M_BOM[RM_Qty_Per_Batch]*IFERROR(INDEX(PP_Grid[#Data],M_BOM[PPGridRow],89),0))+IFERROR(INDEX(M_RawMaterials[固定週次消費量_要入力],MATCH($A57,M_RawMaterials[Part Name],0)),0)</f>
        <v/>
      </c>
      <c r="CL57">
        <f>SUMPRODUCT((M_BOM[Part Name]=$A57)*M_BOM[RM_Qty_Per_Batch]*IFERROR(INDEX(PP_Grid[#Data],M_BOM[PPGridRow],90),0))+IFERROR(INDEX(M_RawMaterials[固定週次消費量_要入力],MATCH($A57,M_RawMaterials[Part Name],0)),0)</f>
        <v/>
      </c>
      <c r="CM57">
        <f>SUMPRODUCT((M_BOM[Part Name]=$A57)*M_BOM[RM_Qty_Per_Batch]*IFERROR(INDEX(PP_Grid[#Data],M_BOM[PPGridRow],91),0))+IFERROR(INDEX(M_RawMaterials[固定週次消費量_要入力],MATCH($A57,M_RawMaterials[Part Name],0)),0)</f>
        <v/>
      </c>
      <c r="CN57">
        <f>SUMPRODUCT((M_BOM[Part Name]=$A57)*M_BOM[RM_Qty_Per_Batch]*IFERROR(INDEX(PP_Grid[#Data],M_BOM[PPGridRow],92),0))+IFERROR(INDEX(M_RawMaterials[固定週次消費量_要入力],MATCH($A57,M_RawMaterials[Part Name],0)),0)</f>
        <v/>
      </c>
      <c r="CO57">
        <f>SUMPRODUCT((M_BOM[Part Name]=$A57)*M_BOM[RM_Qty_Per_Batch]*IFERROR(INDEX(PP_Grid[#Data],M_BOM[PPGridRow],93),0))+IFERROR(INDEX(M_RawMaterials[固定週次消費量_要入力],MATCH($A57,M_RawMaterials[Part Name],0)),0)</f>
        <v/>
      </c>
      <c r="CP57">
        <f>SUMPRODUCT((M_BOM[Part Name]=$A57)*M_BOM[RM_Qty_Per_Batch]*IFERROR(INDEX(PP_Grid[#Data],M_BOM[PPGridRow],94),0))+IFERROR(INDEX(M_RawMaterials[固定週次消費量_要入力],MATCH($A57,M_RawMaterials[Part Name],0)),0)</f>
        <v/>
      </c>
      <c r="CQ57">
        <f>SUMPRODUCT((M_BOM[Part Name]=$A57)*M_BOM[RM_Qty_Per_Batch]*IFERROR(INDEX(PP_Grid[#Data],M_BOM[PPGridRow],95),0))+IFERROR(INDEX(M_RawMaterials[固定週次消費量_要入力],MATCH($A57,M_RawMaterials[Part Name],0)),0)</f>
        <v/>
      </c>
      <c r="CR57">
        <f>SUMPRODUCT((M_BOM[Part Name]=$A57)*M_BOM[RM_Qty_Per_Batch]*IFERROR(INDEX(PP_Grid[#Data],M_BOM[PPGridRow],96),0))+IFERROR(INDEX(M_RawMaterials[固定週次消費量_要入力],MATCH($A57,M_RawMaterials[Part Name],0)),0)</f>
        <v/>
      </c>
      <c r="CS57">
        <f>SUMPRODUCT((M_BOM[Part Name]=$A57)*M_BOM[RM_Qty_Per_Batch]*IFERROR(INDEX(PP_Grid[#Data],M_BOM[PPGridRow],97),0))+IFERROR(INDEX(M_RawMaterials[固定週次消費量_要入力],MATCH($A57,M_RawMaterials[Part Name],0)),0)</f>
        <v/>
      </c>
      <c r="CT57">
        <f>SUMPRODUCT((M_BOM[Part Name]=$A57)*M_BOM[RM_Qty_Per_Batch]*IFERROR(INDEX(PP_Grid[#Data],M_BOM[PPGridRow],98),0))+IFERROR(INDEX(M_RawMaterials[固定週次消費量_要入力],MATCH($A57,M_RawMaterials[Part Name],0)),0)</f>
        <v/>
      </c>
      <c r="CU57">
        <f>SUMPRODUCT((M_BOM[Part Name]=$A57)*M_BOM[RM_Qty_Per_Batch]*IFERROR(INDEX(PP_Grid[#Data],M_BOM[PPGridRow],99),0))+IFERROR(INDEX(M_RawMaterials[固定週次消費量_要入力],MATCH($A57,M_RawMaterials[Part Name],0)),0)</f>
        <v/>
      </c>
      <c r="CV57">
        <f>SUMPRODUCT((M_BOM[Part Name]=$A57)*M_BOM[RM_Qty_Per_Batch]*IFERROR(INDEX(PP_Grid[#Data],M_BOM[PPGridRow],100),0))+IFERROR(INDEX(M_RawMaterials[固定週次消費量_要入力],MATCH($A57,M_RawMaterials[Part Name],0)),0)</f>
        <v/>
      </c>
      <c r="CW57">
        <f>SUMPRODUCT((M_BOM[Part Name]=$A57)*M_BOM[RM_Qty_Per_Batch]*IFERROR(INDEX(PP_Grid[#Data],M_BOM[PPGridRow],101),0))+IFERROR(INDEX(M_RawMaterials[固定週次消費量_要入力],MATCH($A57,M_RawMaterials[Part Name],0)),0)</f>
        <v/>
      </c>
      <c r="CX57">
        <f>SUMPRODUCT((M_BOM[Part Name]=$A57)*M_BOM[RM_Qty_Per_Batch]*IFERROR(INDEX(PP_Grid[#Data],M_BOM[PPGridRow],102),0))+IFERROR(INDEX(M_RawMaterials[固定週次消費量_要入力],MATCH($A57,M_RawMaterials[Part Name],0)),0)</f>
        <v/>
      </c>
      <c r="CY57">
        <f>SUMPRODUCT((M_BOM[Part Name]=$A57)*M_BOM[RM_Qty_Per_Batch]*IFERROR(INDEX(PP_Grid[#Data],M_BOM[PPGridRow],103),0))+IFERROR(INDEX(M_RawMaterials[固定週次消費量_要入力],MATCH($A57,M_RawMaterials[Part Name],0)),0)</f>
        <v/>
      </c>
      <c r="CZ57">
        <f>SUMPRODUCT((M_BOM[Part Name]=$A57)*M_BOM[RM_Qty_Per_Batch]*IFERROR(INDEX(PP_Grid[#Data],M_BOM[PPGridRow],104),0))+IFERROR(INDEX(M_RawMaterials[固定週次消費量_要入力],MATCH($A57,M_RawMaterials[Part Name],0)),0)</f>
        <v/>
      </c>
      <c r="DA57">
        <f>SUMPRODUCT((M_BOM[Part Name]=$A57)*M_BOM[RM_Qty_Per_Batch]*IFERROR(INDEX(PP_Grid[#Data],M_BOM[PPGridRow],105),0))+IFERROR(INDEX(M_RawMaterials[固定週次消費量_要入力],MATCH($A57,M_RawMaterials[Part Name],0)),0)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1EK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4HL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9RN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7CL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OJN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TDJ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3TP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KEJ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JEJ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YAN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ABN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OLJ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5SN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8EN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9RJ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5JK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26F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73K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1JN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CHEM-1670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CHEM-1110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CHEM-1240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CHEM-1510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CHEM-1580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CHEM-1250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CHEM-1600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CHEM-1120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CHEM-1550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CHEM-1440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CHEM-1780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CHEM-1400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CHEM-1650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CHEM-1660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CHEM-1420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CHEM-1530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CHEM-1480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CHEM-1540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CHEM-1680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CHEM-1730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CHEM-1280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CHEM-1570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CHEM-1450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CHEM-1770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  <row r="46">
      <c r="A46" t="inlineStr">
        <is>
          <t>CHEM-1430</t>
        </is>
      </c>
      <c r="B46">
        <f>SUMIFS(T_Shipments[Confirmed_Qty],T_Shipments[Part Name],$A46,T_Shipments[Effective_Week],1)</f>
        <v/>
      </c>
      <c r="C46">
        <f>SUMIFS(T_Shipments[Confirmed_Qty],T_Shipments[Part Name],$A46,T_Shipments[Effective_Week],2)</f>
        <v/>
      </c>
      <c r="D46">
        <f>SUMIFS(T_Shipments[Confirmed_Qty],T_Shipments[Part Name],$A46,T_Shipments[Effective_Week],3)</f>
        <v/>
      </c>
      <c r="E46">
        <f>SUMIFS(T_Shipments[Confirmed_Qty],T_Shipments[Part Name],$A46,T_Shipments[Effective_Week],4)</f>
        <v/>
      </c>
      <c r="F46">
        <f>SUMIFS(T_Shipments[Confirmed_Qty],T_Shipments[Part Name],$A46,T_Shipments[Effective_Week],5)</f>
        <v/>
      </c>
      <c r="G46">
        <f>SUMIFS(T_Shipments[Confirmed_Qty],T_Shipments[Part Name],$A46,T_Shipments[Effective_Week],6)</f>
        <v/>
      </c>
      <c r="H46">
        <f>SUMIFS(T_Shipments[Confirmed_Qty],T_Shipments[Part Name],$A46,T_Shipments[Effective_Week],7)</f>
        <v/>
      </c>
      <c r="I46">
        <f>SUMIFS(T_Shipments[Confirmed_Qty],T_Shipments[Part Name],$A46,T_Shipments[Effective_Week],8)</f>
        <v/>
      </c>
      <c r="J46">
        <f>SUMIFS(T_Shipments[Confirmed_Qty],T_Shipments[Part Name],$A46,T_Shipments[Effective_Week],9)</f>
        <v/>
      </c>
      <c r="K46">
        <f>SUMIFS(T_Shipments[Confirmed_Qty],T_Shipments[Part Name],$A46,T_Shipments[Effective_Week],10)</f>
        <v/>
      </c>
      <c r="L46">
        <f>SUMIFS(T_Shipments[Confirmed_Qty],T_Shipments[Part Name],$A46,T_Shipments[Effective_Week],11)</f>
        <v/>
      </c>
      <c r="M46">
        <f>SUMIFS(T_Shipments[Confirmed_Qty],T_Shipments[Part Name],$A46,T_Shipments[Effective_Week],12)</f>
        <v/>
      </c>
      <c r="N46">
        <f>SUMIFS(T_Shipments[Confirmed_Qty],T_Shipments[Part Name],$A46,T_Shipments[Effective_Week],13)</f>
        <v/>
      </c>
      <c r="O46">
        <f>SUMIFS(T_Shipments[Confirmed_Qty],T_Shipments[Part Name],$A46,T_Shipments[Effective_Week],14)</f>
        <v/>
      </c>
      <c r="P46">
        <f>SUMIFS(T_Shipments[Confirmed_Qty],T_Shipments[Part Name],$A46,T_Shipments[Effective_Week],15)</f>
        <v/>
      </c>
      <c r="Q46">
        <f>SUMIFS(T_Shipments[Confirmed_Qty],T_Shipments[Part Name],$A46,T_Shipments[Effective_Week],16)</f>
        <v/>
      </c>
      <c r="R46">
        <f>SUMIFS(T_Shipments[Confirmed_Qty],T_Shipments[Part Name],$A46,T_Shipments[Effective_Week],17)</f>
        <v/>
      </c>
      <c r="S46">
        <f>SUMIFS(T_Shipments[Confirmed_Qty],T_Shipments[Part Name],$A46,T_Shipments[Effective_Week],18)</f>
        <v/>
      </c>
      <c r="T46">
        <f>SUMIFS(T_Shipments[Confirmed_Qty],T_Shipments[Part Name],$A46,T_Shipments[Effective_Week],19)</f>
        <v/>
      </c>
      <c r="U46">
        <f>SUMIFS(T_Shipments[Confirmed_Qty],T_Shipments[Part Name],$A46,T_Shipments[Effective_Week],20)</f>
        <v/>
      </c>
      <c r="V46">
        <f>SUMIFS(T_Shipments[Confirmed_Qty],T_Shipments[Part Name],$A46,T_Shipments[Effective_Week],21)</f>
        <v/>
      </c>
      <c r="W46">
        <f>SUMIFS(T_Shipments[Confirmed_Qty],T_Shipments[Part Name],$A46,T_Shipments[Effective_Week],22)</f>
        <v/>
      </c>
      <c r="X46">
        <f>SUMIFS(T_Shipments[Confirmed_Qty],T_Shipments[Part Name],$A46,T_Shipments[Effective_Week],23)</f>
        <v/>
      </c>
      <c r="Y46">
        <f>SUMIFS(T_Shipments[Confirmed_Qty],T_Shipments[Part Name],$A46,T_Shipments[Effective_Week],24)</f>
        <v/>
      </c>
      <c r="Z46">
        <f>SUMIFS(T_Shipments[Confirmed_Qty],T_Shipments[Part Name],$A46,T_Shipments[Effective_Week],25)</f>
        <v/>
      </c>
      <c r="AA46">
        <f>SUMIFS(T_Shipments[Confirmed_Qty],T_Shipments[Part Name],$A46,T_Shipments[Effective_Week],26)</f>
        <v/>
      </c>
      <c r="AB46">
        <f>SUMIFS(T_Shipments[Confirmed_Qty],T_Shipments[Part Name],$A46,T_Shipments[Effective_Week],27)</f>
        <v/>
      </c>
      <c r="AC46">
        <f>SUMIFS(T_Shipments[Confirmed_Qty],T_Shipments[Part Name],$A46,T_Shipments[Effective_Week],28)</f>
        <v/>
      </c>
      <c r="AD46">
        <f>SUMIFS(T_Shipments[Confirmed_Qty],T_Shipments[Part Name],$A46,T_Shipments[Effective_Week],29)</f>
        <v/>
      </c>
      <c r="AE46">
        <f>SUMIFS(T_Shipments[Confirmed_Qty],T_Shipments[Part Name],$A46,T_Shipments[Effective_Week],30)</f>
        <v/>
      </c>
      <c r="AF46">
        <f>SUMIFS(T_Shipments[Confirmed_Qty],T_Shipments[Part Name],$A46,T_Shipments[Effective_Week],31)</f>
        <v/>
      </c>
      <c r="AG46">
        <f>SUMIFS(T_Shipments[Confirmed_Qty],T_Shipments[Part Name],$A46,T_Shipments[Effective_Week],32)</f>
        <v/>
      </c>
      <c r="AH46">
        <f>SUMIFS(T_Shipments[Confirmed_Qty],T_Shipments[Part Name],$A46,T_Shipments[Effective_Week],33)</f>
        <v/>
      </c>
      <c r="AI46">
        <f>SUMIFS(T_Shipments[Confirmed_Qty],T_Shipments[Part Name],$A46,T_Shipments[Effective_Week],34)</f>
        <v/>
      </c>
      <c r="AJ46">
        <f>SUMIFS(T_Shipments[Confirmed_Qty],T_Shipments[Part Name],$A46,T_Shipments[Effective_Week],35)</f>
        <v/>
      </c>
      <c r="AK46">
        <f>SUMIFS(T_Shipments[Confirmed_Qty],T_Shipments[Part Name],$A46,T_Shipments[Effective_Week],36)</f>
        <v/>
      </c>
      <c r="AL46">
        <f>SUMIFS(T_Shipments[Confirmed_Qty],T_Shipments[Part Name],$A46,T_Shipments[Effective_Week],37)</f>
        <v/>
      </c>
      <c r="AM46">
        <f>SUMIFS(T_Shipments[Confirmed_Qty],T_Shipments[Part Name],$A46,T_Shipments[Effective_Week],38)</f>
        <v/>
      </c>
      <c r="AN46">
        <f>SUMIFS(T_Shipments[Confirmed_Qty],T_Shipments[Part Name],$A46,T_Shipments[Effective_Week],39)</f>
        <v/>
      </c>
      <c r="AO46">
        <f>SUMIFS(T_Shipments[Confirmed_Qty],T_Shipments[Part Name],$A46,T_Shipments[Effective_Week],40)</f>
        <v/>
      </c>
      <c r="AP46">
        <f>SUMIFS(T_Shipments[Confirmed_Qty],T_Shipments[Part Name],$A46,T_Shipments[Effective_Week],41)</f>
        <v/>
      </c>
      <c r="AQ46">
        <f>SUMIFS(T_Shipments[Confirmed_Qty],T_Shipments[Part Name],$A46,T_Shipments[Effective_Week],42)</f>
        <v/>
      </c>
      <c r="AR46">
        <f>SUMIFS(T_Shipments[Confirmed_Qty],T_Shipments[Part Name],$A46,T_Shipments[Effective_Week],43)</f>
        <v/>
      </c>
      <c r="AS46">
        <f>SUMIFS(T_Shipments[Confirmed_Qty],T_Shipments[Part Name],$A46,T_Shipments[Effective_Week],44)</f>
        <v/>
      </c>
      <c r="AT46">
        <f>SUMIFS(T_Shipments[Confirmed_Qty],T_Shipments[Part Name],$A46,T_Shipments[Effective_Week],45)</f>
        <v/>
      </c>
      <c r="AU46">
        <f>SUMIFS(T_Shipments[Confirmed_Qty],T_Shipments[Part Name],$A46,T_Shipments[Effective_Week],46)</f>
        <v/>
      </c>
      <c r="AV46">
        <f>SUMIFS(T_Shipments[Confirmed_Qty],T_Shipments[Part Name],$A46,T_Shipments[Effective_Week],47)</f>
        <v/>
      </c>
      <c r="AW46">
        <f>SUMIFS(T_Shipments[Confirmed_Qty],T_Shipments[Part Name],$A46,T_Shipments[Effective_Week],48)</f>
        <v/>
      </c>
      <c r="AX46">
        <f>SUMIFS(T_Shipments[Confirmed_Qty],T_Shipments[Part Name],$A46,T_Shipments[Effective_Week],49)</f>
        <v/>
      </c>
      <c r="AY46">
        <f>SUMIFS(T_Shipments[Confirmed_Qty],T_Shipments[Part Name],$A46,T_Shipments[Effective_Week],50)</f>
        <v/>
      </c>
      <c r="AZ46">
        <f>SUMIFS(T_Shipments[Confirmed_Qty],T_Shipments[Part Name],$A46,T_Shipments[Effective_Week],51)</f>
        <v/>
      </c>
      <c r="BA46">
        <f>SUMIFS(T_Shipments[Confirmed_Qty],T_Shipments[Part Name],$A46,T_Shipments[Effective_Week],52)</f>
        <v/>
      </c>
      <c r="BB46">
        <f>SUMIFS(T_Shipments[Confirmed_Qty],T_Shipments[Part Name],$A46,T_Shipments[Effective_Week],53)</f>
        <v/>
      </c>
      <c r="BC46">
        <f>SUMIFS(T_Shipments[Confirmed_Qty],T_Shipments[Part Name],$A46,T_Shipments[Effective_Week],54)</f>
        <v/>
      </c>
      <c r="BD46">
        <f>SUMIFS(T_Shipments[Confirmed_Qty],T_Shipments[Part Name],$A46,T_Shipments[Effective_Week],55)</f>
        <v/>
      </c>
      <c r="BE46">
        <f>SUMIFS(T_Shipments[Confirmed_Qty],T_Shipments[Part Name],$A46,T_Shipments[Effective_Week],56)</f>
        <v/>
      </c>
      <c r="BF46">
        <f>SUMIFS(T_Shipments[Confirmed_Qty],T_Shipments[Part Name],$A46,T_Shipments[Effective_Week],57)</f>
        <v/>
      </c>
      <c r="BG46">
        <f>SUMIFS(T_Shipments[Confirmed_Qty],T_Shipments[Part Name],$A46,T_Shipments[Effective_Week],58)</f>
        <v/>
      </c>
      <c r="BH46">
        <f>SUMIFS(T_Shipments[Confirmed_Qty],T_Shipments[Part Name],$A46,T_Shipments[Effective_Week],59)</f>
        <v/>
      </c>
      <c r="BI46">
        <f>SUMIFS(T_Shipments[Confirmed_Qty],T_Shipments[Part Name],$A46,T_Shipments[Effective_Week],60)</f>
        <v/>
      </c>
      <c r="BJ46">
        <f>SUMIFS(T_Shipments[Confirmed_Qty],T_Shipments[Part Name],$A46,T_Shipments[Effective_Week],61)</f>
        <v/>
      </c>
      <c r="BK46">
        <f>SUMIFS(T_Shipments[Confirmed_Qty],T_Shipments[Part Name],$A46,T_Shipments[Effective_Week],62)</f>
        <v/>
      </c>
      <c r="BL46">
        <f>SUMIFS(T_Shipments[Confirmed_Qty],T_Shipments[Part Name],$A46,T_Shipments[Effective_Week],63)</f>
        <v/>
      </c>
      <c r="BM46">
        <f>SUMIFS(T_Shipments[Confirmed_Qty],T_Shipments[Part Name],$A46,T_Shipments[Effective_Week],64)</f>
        <v/>
      </c>
      <c r="BN46">
        <f>SUMIFS(T_Shipments[Confirmed_Qty],T_Shipments[Part Name],$A46,T_Shipments[Effective_Week],65)</f>
        <v/>
      </c>
      <c r="BO46">
        <f>SUMIFS(T_Shipments[Confirmed_Qty],T_Shipments[Part Name],$A46,T_Shipments[Effective_Week],66)</f>
        <v/>
      </c>
      <c r="BP46">
        <f>SUMIFS(T_Shipments[Confirmed_Qty],T_Shipments[Part Name],$A46,T_Shipments[Effective_Week],67)</f>
        <v/>
      </c>
      <c r="BQ46">
        <f>SUMIFS(T_Shipments[Confirmed_Qty],T_Shipments[Part Name],$A46,T_Shipments[Effective_Week],68)</f>
        <v/>
      </c>
      <c r="BR46">
        <f>SUMIFS(T_Shipments[Confirmed_Qty],T_Shipments[Part Name],$A46,T_Shipments[Effective_Week],69)</f>
        <v/>
      </c>
      <c r="BS46">
        <f>SUMIFS(T_Shipments[Confirmed_Qty],T_Shipments[Part Name],$A46,T_Shipments[Effective_Week],70)</f>
        <v/>
      </c>
      <c r="BT46">
        <f>SUMIFS(T_Shipments[Confirmed_Qty],T_Shipments[Part Name],$A46,T_Shipments[Effective_Week],71)</f>
        <v/>
      </c>
      <c r="BU46">
        <f>SUMIFS(T_Shipments[Confirmed_Qty],T_Shipments[Part Name],$A46,T_Shipments[Effective_Week],72)</f>
        <v/>
      </c>
      <c r="BV46">
        <f>SUMIFS(T_Shipments[Confirmed_Qty],T_Shipments[Part Name],$A46,T_Shipments[Effective_Week],73)</f>
        <v/>
      </c>
      <c r="BW46">
        <f>SUMIFS(T_Shipments[Confirmed_Qty],T_Shipments[Part Name],$A46,T_Shipments[Effective_Week],74)</f>
        <v/>
      </c>
      <c r="BX46">
        <f>SUMIFS(T_Shipments[Confirmed_Qty],T_Shipments[Part Name],$A46,T_Shipments[Effective_Week],75)</f>
        <v/>
      </c>
      <c r="BY46">
        <f>SUMIFS(T_Shipments[Confirmed_Qty],T_Shipments[Part Name],$A46,T_Shipments[Effective_Week],76)</f>
        <v/>
      </c>
      <c r="BZ46">
        <f>SUMIFS(T_Shipments[Confirmed_Qty],T_Shipments[Part Name],$A46,T_Shipments[Effective_Week],77)</f>
        <v/>
      </c>
      <c r="CA46">
        <f>SUMIFS(T_Shipments[Confirmed_Qty],T_Shipments[Part Name],$A46,T_Shipments[Effective_Week],78)</f>
        <v/>
      </c>
      <c r="CB46">
        <f>SUMIFS(T_Shipments[Confirmed_Qty],T_Shipments[Part Name],$A46,T_Shipments[Effective_Week],79)</f>
        <v/>
      </c>
      <c r="CC46">
        <f>SUMIFS(T_Shipments[Confirmed_Qty],T_Shipments[Part Name],$A46,T_Shipments[Effective_Week],80)</f>
        <v/>
      </c>
      <c r="CD46">
        <f>SUMIFS(T_Shipments[Confirmed_Qty],T_Shipments[Part Name],$A46,T_Shipments[Effective_Week],81)</f>
        <v/>
      </c>
      <c r="CE46">
        <f>SUMIFS(T_Shipments[Confirmed_Qty],T_Shipments[Part Name],$A46,T_Shipments[Effective_Week],82)</f>
        <v/>
      </c>
      <c r="CF46">
        <f>SUMIFS(T_Shipments[Confirmed_Qty],T_Shipments[Part Name],$A46,T_Shipments[Effective_Week],83)</f>
        <v/>
      </c>
      <c r="CG46">
        <f>SUMIFS(T_Shipments[Confirmed_Qty],T_Shipments[Part Name],$A46,T_Shipments[Effective_Week],84)</f>
        <v/>
      </c>
      <c r="CH46">
        <f>SUMIFS(T_Shipments[Confirmed_Qty],T_Shipments[Part Name],$A46,T_Shipments[Effective_Week],85)</f>
        <v/>
      </c>
      <c r="CI46">
        <f>SUMIFS(T_Shipments[Confirmed_Qty],T_Shipments[Part Name],$A46,T_Shipments[Effective_Week],86)</f>
        <v/>
      </c>
      <c r="CJ46">
        <f>SUMIFS(T_Shipments[Confirmed_Qty],T_Shipments[Part Name],$A46,T_Shipments[Effective_Week],87)</f>
        <v/>
      </c>
      <c r="CK46">
        <f>SUMIFS(T_Shipments[Confirmed_Qty],T_Shipments[Part Name],$A46,T_Shipments[Effective_Week],88)</f>
        <v/>
      </c>
      <c r="CL46">
        <f>SUMIFS(T_Shipments[Confirmed_Qty],T_Shipments[Part Name],$A46,T_Shipments[Effective_Week],89)</f>
        <v/>
      </c>
      <c r="CM46">
        <f>SUMIFS(T_Shipments[Confirmed_Qty],T_Shipments[Part Name],$A46,T_Shipments[Effective_Week],90)</f>
        <v/>
      </c>
      <c r="CN46">
        <f>SUMIFS(T_Shipments[Confirmed_Qty],T_Shipments[Part Name],$A46,T_Shipments[Effective_Week],91)</f>
        <v/>
      </c>
      <c r="CO46">
        <f>SUMIFS(T_Shipments[Confirmed_Qty],T_Shipments[Part Name],$A46,T_Shipments[Effective_Week],92)</f>
        <v/>
      </c>
      <c r="CP46">
        <f>SUMIFS(T_Shipments[Confirmed_Qty],T_Shipments[Part Name],$A46,T_Shipments[Effective_Week],93)</f>
        <v/>
      </c>
      <c r="CQ46">
        <f>SUMIFS(T_Shipments[Confirmed_Qty],T_Shipments[Part Name],$A46,T_Shipments[Effective_Week],94)</f>
        <v/>
      </c>
      <c r="CR46">
        <f>SUMIFS(T_Shipments[Confirmed_Qty],T_Shipments[Part Name],$A46,T_Shipments[Effective_Week],95)</f>
        <v/>
      </c>
      <c r="CS46">
        <f>SUMIFS(T_Shipments[Confirmed_Qty],T_Shipments[Part Name],$A46,T_Shipments[Effective_Week],96)</f>
        <v/>
      </c>
      <c r="CT46">
        <f>SUMIFS(T_Shipments[Confirmed_Qty],T_Shipments[Part Name],$A46,T_Shipments[Effective_Week],97)</f>
        <v/>
      </c>
      <c r="CU46">
        <f>SUMIFS(T_Shipments[Confirmed_Qty],T_Shipments[Part Name],$A46,T_Shipments[Effective_Week],98)</f>
        <v/>
      </c>
      <c r="CV46">
        <f>SUMIFS(T_Shipments[Confirmed_Qty],T_Shipments[Part Name],$A46,T_Shipments[Effective_Week],99)</f>
        <v/>
      </c>
      <c r="CW46">
        <f>SUMIFS(T_Shipments[Confirmed_Qty],T_Shipments[Part Name],$A46,T_Shipments[Effective_Week],100)</f>
        <v/>
      </c>
      <c r="CX46">
        <f>SUMIFS(T_Shipments[Confirmed_Qty],T_Shipments[Part Name],$A46,T_Shipments[Effective_Week],101)</f>
        <v/>
      </c>
      <c r="CY46">
        <f>SUMIFS(T_Shipments[Confirmed_Qty],T_Shipments[Part Name],$A46,T_Shipments[Effective_Week],102)</f>
        <v/>
      </c>
      <c r="CZ46">
        <f>SUMIFS(T_Shipments[Confirmed_Qty],T_Shipments[Part Name],$A46,T_Shipments[Effective_Week],103)</f>
        <v/>
      </c>
      <c r="DA46">
        <f>SUMIFS(T_Shipments[Confirmed_Qty],T_Shipments[Part Name],$A46,T_Shipments[Effective_Week],104)</f>
        <v/>
      </c>
    </row>
    <row r="47">
      <c r="A47" t="inlineStr">
        <is>
          <t>CHEM-1470</t>
        </is>
      </c>
      <c r="B47">
        <f>SUMIFS(T_Shipments[Confirmed_Qty],T_Shipments[Part Name],$A47,T_Shipments[Effective_Week],1)</f>
        <v/>
      </c>
      <c r="C47">
        <f>SUMIFS(T_Shipments[Confirmed_Qty],T_Shipments[Part Name],$A47,T_Shipments[Effective_Week],2)</f>
        <v/>
      </c>
      <c r="D47">
        <f>SUMIFS(T_Shipments[Confirmed_Qty],T_Shipments[Part Name],$A47,T_Shipments[Effective_Week],3)</f>
        <v/>
      </c>
      <c r="E47">
        <f>SUMIFS(T_Shipments[Confirmed_Qty],T_Shipments[Part Name],$A47,T_Shipments[Effective_Week],4)</f>
        <v/>
      </c>
      <c r="F47">
        <f>SUMIFS(T_Shipments[Confirmed_Qty],T_Shipments[Part Name],$A47,T_Shipments[Effective_Week],5)</f>
        <v/>
      </c>
      <c r="G47">
        <f>SUMIFS(T_Shipments[Confirmed_Qty],T_Shipments[Part Name],$A47,T_Shipments[Effective_Week],6)</f>
        <v/>
      </c>
      <c r="H47">
        <f>SUMIFS(T_Shipments[Confirmed_Qty],T_Shipments[Part Name],$A47,T_Shipments[Effective_Week],7)</f>
        <v/>
      </c>
      <c r="I47">
        <f>SUMIFS(T_Shipments[Confirmed_Qty],T_Shipments[Part Name],$A47,T_Shipments[Effective_Week],8)</f>
        <v/>
      </c>
      <c r="J47">
        <f>SUMIFS(T_Shipments[Confirmed_Qty],T_Shipments[Part Name],$A47,T_Shipments[Effective_Week],9)</f>
        <v/>
      </c>
      <c r="K47">
        <f>SUMIFS(T_Shipments[Confirmed_Qty],T_Shipments[Part Name],$A47,T_Shipments[Effective_Week],10)</f>
        <v/>
      </c>
      <c r="L47">
        <f>SUMIFS(T_Shipments[Confirmed_Qty],T_Shipments[Part Name],$A47,T_Shipments[Effective_Week],11)</f>
        <v/>
      </c>
      <c r="M47">
        <f>SUMIFS(T_Shipments[Confirmed_Qty],T_Shipments[Part Name],$A47,T_Shipments[Effective_Week],12)</f>
        <v/>
      </c>
      <c r="N47">
        <f>SUMIFS(T_Shipments[Confirmed_Qty],T_Shipments[Part Name],$A47,T_Shipments[Effective_Week],13)</f>
        <v/>
      </c>
      <c r="O47">
        <f>SUMIFS(T_Shipments[Confirmed_Qty],T_Shipments[Part Name],$A47,T_Shipments[Effective_Week],14)</f>
        <v/>
      </c>
      <c r="P47">
        <f>SUMIFS(T_Shipments[Confirmed_Qty],T_Shipments[Part Name],$A47,T_Shipments[Effective_Week],15)</f>
        <v/>
      </c>
      <c r="Q47">
        <f>SUMIFS(T_Shipments[Confirmed_Qty],T_Shipments[Part Name],$A47,T_Shipments[Effective_Week],16)</f>
        <v/>
      </c>
      <c r="R47">
        <f>SUMIFS(T_Shipments[Confirmed_Qty],T_Shipments[Part Name],$A47,T_Shipments[Effective_Week],17)</f>
        <v/>
      </c>
      <c r="S47">
        <f>SUMIFS(T_Shipments[Confirmed_Qty],T_Shipments[Part Name],$A47,T_Shipments[Effective_Week],18)</f>
        <v/>
      </c>
      <c r="T47">
        <f>SUMIFS(T_Shipments[Confirmed_Qty],T_Shipments[Part Name],$A47,T_Shipments[Effective_Week],19)</f>
        <v/>
      </c>
      <c r="U47">
        <f>SUMIFS(T_Shipments[Confirmed_Qty],T_Shipments[Part Name],$A47,T_Shipments[Effective_Week],20)</f>
        <v/>
      </c>
      <c r="V47">
        <f>SUMIFS(T_Shipments[Confirmed_Qty],T_Shipments[Part Name],$A47,T_Shipments[Effective_Week],21)</f>
        <v/>
      </c>
      <c r="W47">
        <f>SUMIFS(T_Shipments[Confirmed_Qty],T_Shipments[Part Name],$A47,T_Shipments[Effective_Week],22)</f>
        <v/>
      </c>
      <c r="X47">
        <f>SUMIFS(T_Shipments[Confirmed_Qty],T_Shipments[Part Name],$A47,T_Shipments[Effective_Week],23)</f>
        <v/>
      </c>
      <c r="Y47">
        <f>SUMIFS(T_Shipments[Confirmed_Qty],T_Shipments[Part Name],$A47,T_Shipments[Effective_Week],24)</f>
        <v/>
      </c>
      <c r="Z47">
        <f>SUMIFS(T_Shipments[Confirmed_Qty],T_Shipments[Part Name],$A47,T_Shipments[Effective_Week],25)</f>
        <v/>
      </c>
      <c r="AA47">
        <f>SUMIFS(T_Shipments[Confirmed_Qty],T_Shipments[Part Name],$A47,T_Shipments[Effective_Week],26)</f>
        <v/>
      </c>
      <c r="AB47">
        <f>SUMIFS(T_Shipments[Confirmed_Qty],T_Shipments[Part Name],$A47,T_Shipments[Effective_Week],27)</f>
        <v/>
      </c>
      <c r="AC47">
        <f>SUMIFS(T_Shipments[Confirmed_Qty],T_Shipments[Part Name],$A47,T_Shipments[Effective_Week],28)</f>
        <v/>
      </c>
      <c r="AD47">
        <f>SUMIFS(T_Shipments[Confirmed_Qty],T_Shipments[Part Name],$A47,T_Shipments[Effective_Week],29)</f>
        <v/>
      </c>
      <c r="AE47">
        <f>SUMIFS(T_Shipments[Confirmed_Qty],T_Shipments[Part Name],$A47,T_Shipments[Effective_Week],30)</f>
        <v/>
      </c>
      <c r="AF47">
        <f>SUMIFS(T_Shipments[Confirmed_Qty],T_Shipments[Part Name],$A47,T_Shipments[Effective_Week],31)</f>
        <v/>
      </c>
      <c r="AG47">
        <f>SUMIFS(T_Shipments[Confirmed_Qty],T_Shipments[Part Name],$A47,T_Shipments[Effective_Week],32)</f>
        <v/>
      </c>
      <c r="AH47">
        <f>SUMIFS(T_Shipments[Confirmed_Qty],T_Shipments[Part Name],$A47,T_Shipments[Effective_Week],33)</f>
        <v/>
      </c>
      <c r="AI47">
        <f>SUMIFS(T_Shipments[Confirmed_Qty],T_Shipments[Part Name],$A47,T_Shipments[Effective_Week],34)</f>
        <v/>
      </c>
      <c r="AJ47">
        <f>SUMIFS(T_Shipments[Confirmed_Qty],T_Shipments[Part Name],$A47,T_Shipments[Effective_Week],35)</f>
        <v/>
      </c>
      <c r="AK47">
        <f>SUMIFS(T_Shipments[Confirmed_Qty],T_Shipments[Part Name],$A47,T_Shipments[Effective_Week],36)</f>
        <v/>
      </c>
      <c r="AL47">
        <f>SUMIFS(T_Shipments[Confirmed_Qty],T_Shipments[Part Name],$A47,T_Shipments[Effective_Week],37)</f>
        <v/>
      </c>
      <c r="AM47">
        <f>SUMIFS(T_Shipments[Confirmed_Qty],T_Shipments[Part Name],$A47,T_Shipments[Effective_Week],38)</f>
        <v/>
      </c>
      <c r="AN47">
        <f>SUMIFS(T_Shipments[Confirmed_Qty],T_Shipments[Part Name],$A47,T_Shipments[Effective_Week],39)</f>
        <v/>
      </c>
      <c r="AO47">
        <f>SUMIFS(T_Shipments[Confirmed_Qty],T_Shipments[Part Name],$A47,T_Shipments[Effective_Week],40)</f>
        <v/>
      </c>
      <c r="AP47">
        <f>SUMIFS(T_Shipments[Confirmed_Qty],T_Shipments[Part Name],$A47,T_Shipments[Effective_Week],41)</f>
        <v/>
      </c>
      <c r="AQ47">
        <f>SUMIFS(T_Shipments[Confirmed_Qty],T_Shipments[Part Name],$A47,T_Shipments[Effective_Week],42)</f>
        <v/>
      </c>
      <c r="AR47">
        <f>SUMIFS(T_Shipments[Confirmed_Qty],T_Shipments[Part Name],$A47,T_Shipments[Effective_Week],43)</f>
        <v/>
      </c>
      <c r="AS47">
        <f>SUMIFS(T_Shipments[Confirmed_Qty],T_Shipments[Part Name],$A47,T_Shipments[Effective_Week],44)</f>
        <v/>
      </c>
      <c r="AT47">
        <f>SUMIFS(T_Shipments[Confirmed_Qty],T_Shipments[Part Name],$A47,T_Shipments[Effective_Week],45)</f>
        <v/>
      </c>
      <c r="AU47">
        <f>SUMIFS(T_Shipments[Confirmed_Qty],T_Shipments[Part Name],$A47,T_Shipments[Effective_Week],46)</f>
        <v/>
      </c>
      <c r="AV47">
        <f>SUMIFS(T_Shipments[Confirmed_Qty],T_Shipments[Part Name],$A47,T_Shipments[Effective_Week],47)</f>
        <v/>
      </c>
      <c r="AW47">
        <f>SUMIFS(T_Shipments[Confirmed_Qty],T_Shipments[Part Name],$A47,T_Shipments[Effective_Week],48)</f>
        <v/>
      </c>
      <c r="AX47">
        <f>SUMIFS(T_Shipments[Confirmed_Qty],T_Shipments[Part Name],$A47,T_Shipments[Effective_Week],49)</f>
        <v/>
      </c>
      <c r="AY47">
        <f>SUMIFS(T_Shipments[Confirmed_Qty],T_Shipments[Part Name],$A47,T_Shipments[Effective_Week],50)</f>
        <v/>
      </c>
      <c r="AZ47">
        <f>SUMIFS(T_Shipments[Confirmed_Qty],T_Shipments[Part Name],$A47,T_Shipments[Effective_Week],51)</f>
        <v/>
      </c>
      <c r="BA47">
        <f>SUMIFS(T_Shipments[Confirmed_Qty],T_Shipments[Part Name],$A47,T_Shipments[Effective_Week],52)</f>
        <v/>
      </c>
      <c r="BB47">
        <f>SUMIFS(T_Shipments[Confirmed_Qty],T_Shipments[Part Name],$A47,T_Shipments[Effective_Week],53)</f>
        <v/>
      </c>
      <c r="BC47">
        <f>SUMIFS(T_Shipments[Confirmed_Qty],T_Shipments[Part Name],$A47,T_Shipments[Effective_Week],54)</f>
        <v/>
      </c>
      <c r="BD47">
        <f>SUMIFS(T_Shipments[Confirmed_Qty],T_Shipments[Part Name],$A47,T_Shipments[Effective_Week],55)</f>
        <v/>
      </c>
      <c r="BE47">
        <f>SUMIFS(T_Shipments[Confirmed_Qty],T_Shipments[Part Name],$A47,T_Shipments[Effective_Week],56)</f>
        <v/>
      </c>
      <c r="BF47">
        <f>SUMIFS(T_Shipments[Confirmed_Qty],T_Shipments[Part Name],$A47,T_Shipments[Effective_Week],57)</f>
        <v/>
      </c>
      <c r="BG47">
        <f>SUMIFS(T_Shipments[Confirmed_Qty],T_Shipments[Part Name],$A47,T_Shipments[Effective_Week],58)</f>
        <v/>
      </c>
      <c r="BH47">
        <f>SUMIFS(T_Shipments[Confirmed_Qty],T_Shipments[Part Name],$A47,T_Shipments[Effective_Week],59)</f>
        <v/>
      </c>
      <c r="BI47">
        <f>SUMIFS(T_Shipments[Confirmed_Qty],T_Shipments[Part Name],$A47,T_Shipments[Effective_Week],60)</f>
        <v/>
      </c>
      <c r="BJ47">
        <f>SUMIFS(T_Shipments[Confirmed_Qty],T_Shipments[Part Name],$A47,T_Shipments[Effective_Week],61)</f>
        <v/>
      </c>
      <c r="BK47">
        <f>SUMIFS(T_Shipments[Confirmed_Qty],T_Shipments[Part Name],$A47,T_Shipments[Effective_Week],62)</f>
        <v/>
      </c>
      <c r="BL47">
        <f>SUMIFS(T_Shipments[Confirmed_Qty],T_Shipments[Part Name],$A47,T_Shipments[Effective_Week],63)</f>
        <v/>
      </c>
      <c r="BM47">
        <f>SUMIFS(T_Shipments[Confirmed_Qty],T_Shipments[Part Name],$A47,T_Shipments[Effective_Week],64)</f>
        <v/>
      </c>
      <c r="BN47">
        <f>SUMIFS(T_Shipments[Confirmed_Qty],T_Shipments[Part Name],$A47,T_Shipments[Effective_Week],65)</f>
        <v/>
      </c>
      <c r="BO47">
        <f>SUMIFS(T_Shipments[Confirmed_Qty],T_Shipments[Part Name],$A47,T_Shipments[Effective_Week],66)</f>
        <v/>
      </c>
      <c r="BP47">
        <f>SUMIFS(T_Shipments[Confirmed_Qty],T_Shipments[Part Name],$A47,T_Shipments[Effective_Week],67)</f>
        <v/>
      </c>
      <c r="BQ47">
        <f>SUMIFS(T_Shipments[Confirmed_Qty],T_Shipments[Part Name],$A47,T_Shipments[Effective_Week],68)</f>
        <v/>
      </c>
      <c r="BR47">
        <f>SUMIFS(T_Shipments[Confirmed_Qty],T_Shipments[Part Name],$A47,T_Shipments[Effective_Week],69)</f>
        <v/>
      </c>
      <c r="BS47">
        <f>SUMIFS(T_Shipments[Confirmed_Qty],T_Shipments[Part Name],$A47,T_Shipments[Effective_Week],70)</f>
        <v/>
      </c>
      <c r="BT47">
        <f>SUMIFS(T_Shipments[Confirmed_Qty],T_Shipments[Part Name],$A47,T_Shipments[Effective_Week],71)</f>
        <v/>
      </c>
      <c r="BU47">
        <f>SUMIFS(T_Shipments[Confirmed_Qty],T_Shipments[Part Name],$A47,T_Shipments[Effective_Week],72)</f>
        <v/>
      </c>
      <c r="BV47">
        <f>SUMIFS(T_Shipments[Confirmed_Qty],T_Shipments[Part Name],$A47,T_Shipments[Effective_Week],73)</f>
        <v/>
      </c>
      <c r="BW47">
        <f>SUMIFS(T_Shipments[Confirmed_Qty],T_Shipments[Part Name],$A47,T_Shipments[Effective_Week],74)</f>
        <v/>
      </c>
      <c r="BX47">
        <f>SUMIFS(T_Shipments[Confirmed_Qty],T_Shipments[Part Name],$A47,T_Shipments[Effective_Week],75)</f>
        <v/>
      </c>
      <c r="BY47">
        <f>SUMIFS(T_Shipments[Confirmed_Qty],T_Shipments[Part Name],$A47,T_Shipments[Effective_Week],76)</f>
        <v/>
      </c>
      <c r="BZ47">
        <f>SUMIFS(T_Shipments[Confirmed_Qty],T_Shipments[Part Name],$A47,T_Shipments[Effective_Week],77)</f>
        <v/>
      </c>
      <c r="CA47">
        <f>SUMIFS(T_Shipments[Confirmed_Qty],T_Shipments[Part Name],$A47,T_Shipments[Effective_Week],78)</f>
        <v/>
      </c>
      <c r="CB47">
        <f>SUMIFS(T_Shipments[Confirmed_Qty],T_Shipments[Part Name],$A47,T_Shipments[Effective_Week],79)</f>
        <v/>
      </c>
      <c r="CC47">
        <f>SUMIFS(T_Shipments[Confirmed_Qty],T_Shipments[Part Name],$A47,T_Shipments[Effective_Week],80)</f>
        <v/>
      </c>
      <c r="CD47">
        <f>SUMIFS(T_Shipments[Confirmed_Qty],T_Shipments[Part Name],$A47,T_Shipments[Effective_Week],81)</f>
        <v/>
      </c>
      <c r="CE47">
        <f>SUMIFS(T_Shipments[Confirmed_Qty],T_Shipments[Part Name],$A47,T_Shipments[Effective_Week],82)</f>
        <v/>
      </c>
      <c r="CF47">
        <f>SUMIFS(T_Shipments[Confirmed_Qty],T_Shipments[Part Name],$A47,T_Shipments[Effective_Week],83)</f>
        <v/>
      </c>
      <c r="CG47">
        <f>SUMIFS(T_Shipments[Confirmed_Qty],T_Shipments[Part Name],$A47,T_Shipments[Effective_Week],84)</f>
        <v/>
      </c>
      <c r="CH47">
        <f>SUMIFS(T_Shipments[Confirmed_Qty],T_Shipments[Part Name],$A47,T_Shipments[Effective_Week],85)</f>
        <v/>
      </c>
      <c r="CI47">
        <f>SUMIFS(T_Shipments[Confirmed_Qty],T_Shipments[Part Name],$A47,T_Shipments[Effective_Week],86)</f>
        <v/>
      </c>
      <c r="CJ47">
        <f>SUMIFS(T_Shipments[Confirmed_Qty],T_Shipments[Part Name],$A47,T_Shipments[Effective_Week],87)</f>
        <v/>
      </c>
      <c r="CK47">
        <f>SUMIFS(T_Shipments[Confirmed_Qty],T_Shipments[Part Name],$A47,T_Shipments[Effective_Week],88)</f>
        <v/>
      </c>
      <c r="CL47">
        <f>SUMIFS(T_Shipments[Confirmed_Qty],T_Shipments[Part Name],$A47,T_Shipments[Effective_Week],89)</f>
        <v/>
      </c>
      <c r="CM47">
        <f>SUMIFS(T_Shipments[Confirmed_Qty],T_Shipments[Part Name],$A47,T_Shipments[Effective_Week],90)</f>
        <v/>
      </c>
      <c r="CN47">
        <f>SUMIFS(T_Shipments[Confirmed_Qty],T_Shipments[Part Name],$A47,T_Shipments[Effective_Week],91)</f>
        <v/>
      </c>
      <c r="CO47">
        <f>SUMIFS(T_Shipments[Confirmed_Qty],T_Shipments[Part Name],$A47,T_Shipments[Effective_Week],92)</f>
        <v/>
      </c>
      <c r="CP47">
        <f>SUMIFS(T_Shipments[Confirmed_Qty],T_Shipments[Part Name],$A47,T_Shipments[Effective_Week],93)</f>
        <v/>
      </c>
      <c r="CQ47">
        <f>SUMIFS(T_Shipments[Confirmed_Qty],T_Shipments[Part Name],$A47,T_Shipments[Effective_Week],94)</f>
        <v/>
      </c>
      <c r="CR47">
        <f>SUMIFS(T_Shipments[Confirmed_Qty],T_Shipments[Part Name],$A47,T_Shipments[Effective_Week],95)</f>
        <v/>
      </c>
      <c r="CS47">
        <f>SUMIFS(T_Shipments[Confirmed_Qty],T_Shipments[Part Name],$A47,T_Shipments[Effective_Week],96)</f>
        <v/>
      </c>
      <c r="CT47">
        <f>SUMIFS(T_Shipments[Confirmed_Qty],T_Shipments[Part Name],$A47,T_Shipments[Effective_Week],97)</f>
        <v/>
      </c>
      <c r="CU47">
        <f>SUMIFS(T_Shipments[Confirmed_Qty],T_Shipments[Part Name],$A47,T_Shipments[Effective_Week],98)</f>
        <v/>
      </c>
      <c r="CV47">
        <f>SUMIFS(T_Shipments[Confirmed_Qty],T_Shipments[Part Name],$A47,T_Shipments[Effective_Week],99)</f>
        <v/>
      </c>
      <c r="CW47">
        <f>SUMIFS(T_Shipments[Confirmed_Qty],T_Shipments[Part Name],$A47,T_Shipments[Effective_Week],100)</f>
        <v/>
      </c>
      <c r="CX47">
        <f>SUMIFS(T_Shipments[Confirmed_Qty],T_Shipments[Part Name],$A47,T_Shipments[Effective_Week],101)</f>
        <v/>
      </c>
      <c r="CY47">
        <f>SUMIFS(T_Shipments[Confirmed_Qty],T_Shipments[Part Name],$A47,T_Shipments[Effective_Week],102)</f>
        <v/>
      </c>
      <c r="CZ47">
        <f>SUMIFS(T_Shipments[Confirmed_Qty],T_Shipments[Part Name],$A47,T_Shipments[Effective_Week],103)</f>
        <v/>
      </c>
      <c r="DA47">
        <f>SUMIFS(T_Shipments[Confirmed_Qty],T_Shipments[Part Name],$A47,T_Shipments[Effective_Week],104)</f>
        <v/>
      </c>
    </row>
    <row r="48">
      <c r="A48" t="inlineStr">
        <is>
          <t>CHEM-1010</t>
        </is>
      </c>
      <c r="B48">
        <f>SUMIFS(T_Shipments[Confirmed_Qty],T_Shipments[Part Name],$A48,T_Shipments[Effective_Week],1)</f>
        <v/>
      </c>
      <c r="C48">
        <f>SUMIFS(T_Shipments[Confirmed_Qty],T_Shipments[Part Name],$A48,T_Shipments[Effective_Week],2)</f>
        <v/>
      </c>
      <c r="D48">
        <f>SUMIFS(T_Shipments[Confirmed_Qty],T_Shipments[Part Name],$A48,T_Shipments[Effective_Week],3)</f>
        <v/>
      </c>
      <c r="E48">
        <f>SUMIFS(T_Shipments[Confirmed_Qty],T_Shipments[Part Name],$A48,T_Shipments[Effective_Week],4)</f>
        <v/>
      </c>
      <c r="F48">
        <f>SUMIFS(T_Shipments[Confirmed_Qty],T_Shipments[Part Name],$A48,T_Shipments[Effective_Week],5)</f>
        <v/>
      </c>
      <c r="G48">
        <f>SUMIFS(T_Shipments[Confirmed_Qty],T_Shipments[Part Name],$A48,T_Shipments[Effective_Week],6)</f>
        <v/>
      </c>
      <c r="H48">
        <f>SUMIFS(T_Shipments[Confirmed_Qty],T_Shipments[Part Name],$A48,T_Shipments[Effective_Week],7)</f>
        <v/>
      </c>
      <c r="I48">
        <f>SUMIFS(T_Shipments[Confirmed_Qty],T_Shipments[Part Name],$A48,T_Shipments[Effective_Week],8)</f>
        <v/>
      </c>
      <c r="J48">
        <f>SUMIFS(T_Shipments[Confirmed_Qty],T_Shipments[Part Name],$A48,T_Shipments[Effective_Week],9)</f>
        <v/>
      </c>
      <c r="K48">
        <f>SUMIFS(T_Shipments[Confirmed_Qty],T_Shipments[Part Name],$A48,T_Shipments[Effective_Week],10)</f>
        <v/>
      </c>
      <c r="L48">
        <f>SUMIFS(T_Shipments[Confirmed_Qty],T_Shipments[Part Name],$A48,T_Shipments[Effective_Week],11)</f>
        <v/>
      </c>
      <c r="M48">
        <f>SUMIFS(T_Shipments[Confirmed_Qty],T_Shipments[Part Name],$A48,T_Shipments[Effective_Week],12)</f>
        <v/>
      </c>
      <c r="N48">
        <f>SUMIFS(T_Shipments[Confirmed_Qty],T_Shipments[Part Name],$A48,T_Shipments[Effective_Week],13)</f>
        <v/>
      </c>
      <c r="O48">
        <f>SUMIFS(T_Shipments[Confirmed_Qty],T_Shipments[Part Name],$A48,T_Shipments[Effective_Week],14)</f>
        <v/>
      </c>
      <c r="P48">
        <f>SUMIFS(T_Shipments[Confirmed_Qty],T_Shipments[Part Name],$A48,T_Shipments[Effective_Week],15)</f>
        <v/>
      </c>
      <c r="Q48">
        <f>SUMIFS(T_Shipments[Confirmed_Qty],T_Shipments[Part Name],$A48,T_Shipments[Effective_Week],16)</f>
        <v/>
      </c>
      <c r="R48">
        <f>SUMIFS(T_Shipments[Confirmed_Qty],T_Shipments[Part Name],$A48,T_Shipments[Effective_Week],17)</f>
        <v/>
      </c>
      <c r="S48">
        <f>SUMIFS(T_Shipments[Confirmed_Qty],T_Shipments[Part Name],$A48,T_Shipments[Effective_Week],18)</f>
        <v/>
      </c>
      <c r="T48">
        <f>SUMIFS(T_Shipments[Confirmed_Qty],T_Shipments[Part Name],$A48,T_Shipments[Effective_Week],19)</f>
        <v/>
      </c>
      <c r="U48">
        <f>SUMIFS(T_Shipments[Confirmed_Qty],T_Shipments[Part Name],$A48,T_Shipments[Effective_Week],20)</f>
        <v/>
      </c>
      <c r="V48">
        <f>SUMIFS(T_Shipments[Confirmed_Qty],T_Shipments[Part Name],$A48,T_Shipments[Effective_Week],21)</f>
        <v/>
      </c>
      <c r="W48">
        <f>SUMIFS(T_Shipments[Confirmed_Qty],T_Shipments[Part Name],$A48,T_Shipments[Effective_Week],22)</f>
        <v/>
      </c>
      <c r="X48">
        <f>SUMIFS(T_Shipments[Confirmed_Qty],T_Shipments[Part Name],$A48,T_Shipments[Effective_Week],23)</f>
        <v/>
      </c>
      <c r="Y48">
        <f>SUMIFS(T_Shipments[Confirmed_Qty],T_Shipments[Part Name],$A48,T_Shipments[Effective_Week],24)</f>
        <v/>
      </c>
      <c r="Z48">
        <f>SUMIFS(T_Shipments[Confirmed_Qty],T_Shipments[Part Name],$A48,T_Shipments[Effective_Week],25)</f>
        <v/>
      </c>
      <c r="AA48">
        <f>SUMIFS(T_Shipments[Confirmed_Qty],T_Shipments[Part Name],$A48,T_Shipments[Effective_Week],26)</f>
        <v/>
      </c>
      <c r="AB48">
        <f>SUMIFS(T_Shipments[Confirmed_Qty],T_Shipments[Part Name],$A48,T_Shipments[Effective_Week],27)</f>
        <v/>
      </c>
      <c r="AC48">
        <f>SUMIFS(T_Shipments[Confirmed_Qty],T_Shipments[Part Name],$A48,T_Shipments[Effective_Week],28)</f>
        <v/>
      </c>
      <c r="AD48">
        <f>SUMIFS(T_Shipments[Confirmed_Qty],T_Shipments[Part Name],$A48,T_Shipments[Effective_Week],29)</f>
        <v/>
      </c>
      <c r="AE48">
        <f>SUMIFS(T_Shipments[Confirmed_Qty],T_Shipments[Part Name],$A48,T_Shipments[Effective_Week],30)</f>
        <v/>
      </c>
      <c r="AF48">
        <f>SUMIFS(T_Shipments[Confirmed_Qty],T_Shipments[Part Name],$A48,T_Shipments[Effective_Week],31)</f>
        <v/>
      </c>
      <c r="AG48">
        <f>SUMIFS(T_Shipments[Confirmed_Qty],T_Shipments[Part Name],$A48,T_Shipments[Effective_Week],32)</f>
        <v/>
      </c>
      <c r="AH48">
        <f>SUMIFS(T_Shipments[Confirmed_Qty],T_Shipments[Part Name],$A48,T_Shipments[Effective_Week],33)</f>
        <v/>
      </c>
      <c r="AI48">
        <f>SUMIFS(T_Shipments[Confirmed_Qty],T_Shipments[Part Name],$A48,T_Shipments[Effective_Week],34)</f>
        <v/>
      </c>
      <c r="AJ48">
        <f>SUMIFS(T_Shipments[Confirmed_Qty],T_Shipments[Part Name],$A48,T_Shipments[Effective_Week],35)</f>
        <v/>
      </c>
      <c r="AK48">
        <f>SUMIFS(T_Shipments[Confirmed_Qty],T_Shipments[Part Name],$A48,T_Shipments[Effective_Week],36)</f>
        <v/>
      </c>
      <c r="AL48">
        <f>SUMIFS(T_Shipments[Confirmed_Qty],T_Shipments[Part Name],$A48,T_Shipments[Effective_Week],37)</f>
        <v/>
      </c>
      <c r="AM48">
        <f>SUMIFS(T_Shipments[Confirmed_Qty],T_Shipments[Part Name],$A48,T_Shipments[Effective_Week],38)</f>
        <v/>
      </c>
      <c r="AN48">
        <f>SUMIFS(T_Shipments[Confirmed_Qty],T_Shipments[Part Name],$A48,T_Shipments[Effective_Week],39)</f>
        <v/>
      </c>
      <c r="AO48">
        <f>SUMIFS(T_Shipments[Confirmed_Qty],T_Shipments[Part Name],$A48,T_Shipments[Effective_Week],40)</f>
        <v/>
      </c>
      <c r="AP48">
        <f>SUMIFS(T_Shipments[Confirmed_Qty],T_Shipments[Part Name],$A48,T_Shipments[Effective_Week],41)</f>
        <v/>
      </c>
      <c r="AQ48">
        <f>SUMIFS(T_Shipments[Confirmed_Qty],T_Shipments[Part Name],$A48,T_Shipments[Effective_Week],42)</f>
        <v/>
      </c>
      <c r="AR48">
        <f>SUMIFS(T_Shipments[Confirmed_Qty],T_Shipments[Part Name],$A48,T_Shipments[Effective_Week],43)</f>
        <v/>
      </c>
      <c r="AS48">
        <f>SUMIFS(T_Shipments[Confirmed_Qty],T_Shipments[Part Name],$A48,T_Shipments[Effective_Week],44)</f>
        <v/>
      </c>
      <c r="AT48">
        <f>SUMIFS(T_Shipments[Confirmed_Qty],T_Shipments[Part Name],$A48,T_Shipments[Effective_Week],45)</f>
        <v/>
      </c>
      <c r="AU48">
        <f>SUMIFS(T_Shipments[Confirmed_Qty],T_Shipments[Part Name],$A48,T_Shipments[Effective_Week],46)</f>
        <v/>
      </c>
      <c r="AV48">
        <f>SUMIFS(T_Shipments[Confirmed_Qty],T_Shipments[Part Name],$A48,T_Shipments[Effective_Week],47)</f>
        <v/>
      </c>
      <c r="AW48">
        <f>SUMIFS(T_Shipments[Confirmed_Qty],T_Shipments[Part Name],$A48,T_Shipments[Effective_Week],48)</f>
        <v/>
      </c>
      <c r="AX48">
        <f>SUMIFS(T_Shipments[Confirmed_Qty],T_Shipments[Part Name],$A48,T_Shipments[Effective_Week],49)</f>
        <v/>
      </c>
      <c r="AY48">
        <f>SUMIFS(T_Shipments[Confirmed_Qty],T_Shipments[Part Name],$A48,T_Shipments[Effective_Week],50)</f>
        <v/>
      </c>
      <c r="AZ48">
        <f>SUMIFS(T_Shipments[Confirmed_Qty],T_Shipments[Part Name],$A48,T_Shipments[Effective_Week],51)</f>
        <v/>
      </c>
      <c r="BA48">
        <f>SUMIFS(T_Shipments[Confirmed_Qty],T_Shipments[Part Name],$A48,T_Shipments[Effective_Week],52)</f>
        <v/>
      </c>
      <c r="BB48">
        <f>SUMIFS(T_Shipments[Confirmed_Qty],T_Shipments[Part Name],$A48,T_Shipments[Effective_Week],53)</f>
        <v/>
      </c>
      <c r="BC48">
        <f>SUMIFS(T_Shipments[Confirmed_Qty],T_Shipments[Part Name],$A48,T_Shipments[Effective_Week],54)</f>
        <v/>
      </c>
      <c r="BD48">
        <f>SUMIFS(T_Shipments[Confirmed_Qty],T_Shipments[Part Name],$A48,T_Shipments[Effective_Week],55)</f>
        <v/>
      </c>
      <c r="BE48">
        <f>SUMIFS(T_Shipments[Confirmed_Qty],T_Shipments[Part Name],$A48,T_Shipments[Effective_Week],56)</f>
        <v/>
      </c>
      <c r="BF48">
        <f>SUMIFS(T_Shipments[Confirmed_Qty],T_Shipments[Part Name],$A48,T_Shipments[Effective_Week],57)</f>
        <v/>
      </c>
      <c r="BG48">
        <f>SUMIFS(T_Shipments[Confirmed_Qty],T_Shipments[Part Name],$A48,T_Shipments[Effective_Week],58)</f>
        <v/>
      </c>
      <c r="BH48">
        <f>SUMIFS(T_Shipments[Confirmed_Qty],T_Shipments[Part Name],$A48,T_Shipments[Effective_Week],59)</f>
        <v/>
      </c>
      <c r="BI48">
        <f>SUMIFS(T_Shipments[Confirmed_Qty],T_Shipments[Part Name],$A48,T_Shipments[Effective_Week],60)</f>
        <v/>
      </c>
      <c r="BJ48">
        <f>SUMIFS(T_Shipments[Confirmed_Qty],T_Shipments[Part Name],$A48,T_Shipments[Effective_Week],61)</f>
        <v/>
      </c>
      <c r="BK48">
        <f>SUMIFS(T_Shipments[Confirmed_Qty],T_Shipments[Part Name],$A48,T_Shipments[Effective_Week],62)</f>
        <v/>
      </c>
      <c r="BL48">
        <f>SUMIFS(T_Shipments[Confirmed_Qty],T_Shipments[Part Name],$A48,T_Shipments[Effective_Week],63)</f>
        <v/>
      </c>
      <c r="BM48">
        <f>SUMIFS(T_Shipments[Confirmed_Qty],T_Shipments[Part Name],$A48,T_Shipments[Effective_Week],64)</f>
        <v/>
      </c>
      <c r="BN48">
        <f>SUMIFS(T_Shipments[Confirmed_Qty],T_Shipments[Part Name],$A48,T_Shipments[Effective_Week],65)</f>
        <v/>
      </c>
      <c r="BO48">
        <f>SUMIFS(T_Shipments[Confirmed_Qty],T_Shipments[Part Name],$A48,T_Shipments[Effective_Week],66)</f>
        <v/>
      </c>
      <c r="BP48">
        <f>SUMIFS(T_Shipments[Confirmed_Qty],T_Shipments[Part Name],$A48,T_Shipments[Effective_Week],67)</f>
        <v/>
      </c>
      <c r="BQ48">
        <f>SUMIFS(T_Shipments[Confirmed_Qty],T_Shipments[Part Name],$A48,T_Shipments[Effective_Week],68)</f>
        <v/>
      </c>
      <c r="BR48">
        <f>SUMIFS(T_Shipments[Confirmed_Qty],T_Shipments[Part Name],$A48,T_Shipments[Effective_Week],69)</f>
        <v/>
      </c>
      <c r="BS48">
        <f>SUMIFS(T_Shipments[Confirmed_Qty],T_Shipments[Part Name],$A48,T_Shipments[Effective_Week],70)</f>
        <v/>
      </c>
      <c r="BT48">
        <f>SUMIFS(T_Shipments[Confirmed_Qty],T_Shipments[Part Name],$A48,T_Shipments[Effective_Week],71)</f>
        <v/>
      </c>
      <c r="BU48">
        <f>SUMIFS(T_Shipments[Confirmed_Qty],T_Shipments[Part Name],$A48,T_Shipments[Effective_Week],72)</f>
        <v/>
      </c>
      <c r="BV48">
        <f>SUMIFS(T_Shipments[Confirmed_Qty],T_Shipments[Part Name],$A48,T_Shipments[Effective_Week],73)</f>
        <v/>
      </c>
      <c r="BW48">
        <f>SUMIFS(T_Shipments[Confirmed_Qty],T_Shipments[Part Name],$A48,T_Shipments[Effective_Week],74)</f>
        <v/>
      </c>
      <c r="BX48">
        <f>SUMIFS(T_Shipments[Confirmed_Qty],T_Shipments[Part Name],$A48,T_Shipments[Effective_Week],75)</f>
        <v/>
      </c>
      <c r="BY48">
        <f>SUMIFS(T_Shipments[Confirmed_Qty],T_Shipments[Part Name],$A48,T_Shipments[Effective_Week],76)</f>
        <v/>
      </c>
      <c r="BZ48">
        <f>SUMIFS(T_Shipments[Confirmed_Qty],T_Shipments[Part Name],$A48,T_Shipments[Effective_Week],77)</f>
        <v/>
      </c>
      <c r="CA48">
        <f>SUMIFS(T_Shipments[Confirmed_Qty],T_Shipments[Part Name],$A48,T_Shipments[Effective_Week],78)</f>
        <v/>
      </c>
      <c r="CB48">
        <f>SUMIFS(T_Shipments[Confirmed_Qty],T_Shipments[Part Name],$A48,T_Shipments[Effective_Week],79)</f>
        <v/>
      </c>
      <c r="CC48">
        <f>SUMIFS(T_Shipments[Confirmed_Qty],T_Shipments[Part Name],$A48,T_Shipments[Effective_Week],80)</f>
        <v/>
      </c>
      <c r="CD48">
        <f>SUMIFS(T_Shipments[Confirmed_Qty],T_Shipments[Part Name],$A48,T_Shipments[Effective_Week],81)</f>
        <v/>
      </c>
      <c r="CE48">
        <f>SUMIFS(T_Shipments[Confirmed_Qty],T_Shipments[Part Name],$A48,T_Shipments[Effective_Week],82)</f>
        <v/>
      </c>
      <c r="CF48">
        <f>SUMIFS(T_Shipments[Confirmed_Qty],T_Shipments[Part Name],$A48,T_Shipments[Effective_Week],83)</f>
        <v/>
      </c>
      <c r="CG48">
        <f>SUMIFS(T_Shipments[Confirmed_Qty],T_Shipments[Part Name],$A48,T_Shipments[Effective_Week],84)</f>
        <v/>
      </c>
      <c r="CH48">
        <f>SUMIFS(T_Shipments[Confirmed_Qty],T_Shipments[Part Name],$A48,T_Shipments[Effective_Week],85)</f>
        <v/>
      </c>
      <c r="CI48">
        <f>SUMIFS(T_Shipments[Confirmed_Qty],T_Shipments[Part Name],$A48,T_Shipments[Effective_Week],86)</f>
        <v/>
      </c>
      <c r="CJ48">
        <f>SUMIFS(T_Shipments[Confirmed_Qty],T_Shipments[Part Name],$A48,T_Shipments[Effective_Week],87)</f>
        <v/>
      </c>
      <c r="CK48">
        <f>SUMIFS(T_Shipments[Confirmed_Qty],T_Shipments[Part Name],$A48,T_Shipments[Effective_Week],88)</f>
        <v/>
      </c>
      <c r="CL48">
        <f>SUMIFS(T_Shipments[Confirmed_Qty],T_Shipments[Part Name],$A48,T_Shipments[Effective_Week],89)</f>
        <v/>
      </c>
      <c r="CM48">
        <f>SUMIFS(T_Shipments[Confirmed_Qty],T_Shipments[Part Name],$A48,T_Shipments[Effective_Week],90)</f>
        <v/>
      </c>
      <c r="CN48">
        <f>SUMIFS(T_Shipments[Confirmed_Qty],T_Shipments[Part Name],$A48,T_Shipments[Effective_Week],91)</f>
        <v/>
      </c>
      <c r="CO48">
        <f>SUMIFS(T_Shipments[Confirmed_Qty],T_Shipments[Part Name],$A48,T_Shipments[Effective_Week],92)</f>
        <v/>
      </c>
      <c r="CP48">
        <f>SUMIFS(T_Shipments[Confirmed_Qty],T_Shipments[Part Name],$A48,T_Shipments[Effective_Week],93)</f>
        <v/>
      </c>
      <c r="CQ48">
        <f>SUMIFS(T_Shipments[Confirmed_Qty],T_Shipments[Part Name],$A48,T_Shipments[Effective_Week],94)</f>
        <v/>
      </c>
      <c r="CR48">
        <f>SUMIFS(T_Shipments[Confirmed_Qty],T_Shipments[Part Name],$A48,T_Shipments[Effective_Week],95)</f>
        <v/>
      </c>
      <c r="CS48">
        <f>SUMIFS(T_Shipments[Confirmed_Qty],T_Shipments[Part Name],$A48,T_Shipments[Effective_Week],96)</f>
        <v/>
      </c>
      <c r="CT48">
        <f>SUMIFS(T_Shipments[Confirmed_Qty],T_Shipments[Part Name],$A48,T_Shipments[Effective_Week],97)</f>
        <v/>
      </c>
      <c r="CU48">
        <f>SUMIFS(T_Shipments[Confirmed_Qty],T_Shipments[Part Name],$A48,T_Shipments[Effective_Week],98)</f>
        <v/>
      </c>
      <c r="CV48">
        <f>SUMIFS(T_Shipments[Confirmed_Qty],T_Shipments[Part Name],$A48,T_Shipments[Effective_Week],99)</f>
        <v/>
      </c>
      <c r="CW48">
        <f>SUMIFS(T_Shipments[Confirmed_Qty],T_Shipments[Part Name],$A48,T_Shipments[Effective_Week],100)</f>
        <v/>
      </c>
      <c r="CX48">
        <f>SUMIFS(T_Shipments[Confirmed_Qty],T_Shipments[Part Name],$A48,T_Shipments[Effective_Week],101)</f>
        <v/>
      </c>
      <c r="CY48">
        <f>SUMIFS(T_Shipments[Confirmed_Qty],T_Shipments[Part Name],$A48,T_Shipments[Effective_Week],102)</f>
        <v/>
      </c>
      <c r="CZ48">
        <f>SUMIFS(T_Shipments[Confirmed_Qty],T_Shipments[Part Name],$A48,T_Shipments[Effective_Week],103)</f>
        <v/>
      </c>
      <c r="DA48">
        <f>SUMIFS(T_Shipments[Confirmed_Qty],T_Shipments[Part Name],$A48,T_Shipments[Effective_Week],104)</f>
        <v/>
      </c>
    </row>
    <row r="49">
      <c r="A49" t="inlineStr">
        <is>
          <t>CHEM-1760</t>
        </is>
      </c>
      <c r="B49">
        <f>SUMIFS(T_Shipments[Confirmed_Qty],T_Shipments[Part Name],$A49,T_Shipments[Effective_Week],1)</f>
        <v/>
      </c>
      <c r="C49">
        <f>SUMIFS(T_Shipments[Confirmed_Qty],T_Shipments[Part Name],$A49,T_Shipments[Effective_Week],2)</f>
        <v/>
      </c>
      <c r="D49">
        <f>SUMIFS(T_Shipments[Confirmed_Qty],T_Shipments[Part Name],$A49,T_Shipments[Effective_Week],3)</f>
        <v/>
      </c>
      <c r="E49">
        <f>SUMIFS(T_Shipments[Confirmed_Qty],T_Shipments[Part Name],$A49,T_Shipments[Effective_Week],4)</f>
        <v/>
      </c>
      <c r="F49">
        <f>SUMIFS(T_Shipments[Confirmed_Qty],T_Shipments[Part Name],$A49,T_Shipments[Effective_Week],5)</f>
        <v/>
      </c>
      <c r="G49">
        <f>SUMIFS(T_Shipments[Confirmed_Qty],T_Shipments[Part Name],$A49,T_Shipments[Effective_Week],6)</f>
        <v/>
      </c>
      <c r="H49">
        <f>SUMIFS(T_Shipments[Confirmed_Qty],T_Shipments[Part Name],$A49,T_Shipments[Effective_Week],7)</f>
        <v/>
      </c>
      <c r="I49">
        <f>SUMIFS(T_Shipments[Confirmed_Qty],T_Shipments[Part Name],$A49,T_Shipments[Effective_Week],8)</f>
        <v/>
      </c>
      <c r="J49">
        <f>SUMIFS(T_Shipments[Confirmed_Qty],T_Shipments[Part Name],$A49,T_Shipments[Effective_Week],9)</f>
        <v/>
      </c>
      <c r="K49">
        <f>SUMIFS(T_Shipments[Confirmed_Qty],T_Shipments[Part Name],$A49,T_Shipments[Effective_Week],10)</f>
        <v/>
      </c>
      <c r="L49">
        <f>SUMIFS(T_Shipments[Confirmed_Qty],T_Shipments[Part Name],$A49,T_Shipments[Effective_Week],11)</f>
        <v/>
      </c>
      <c r="M49">
        <f>SUMIFS(T_Shipments[Confirmed_Qty],T_Shipments[Part Name],$A49,T_Shipments[Effective_Week],12)</f>
        <v/>
      </c>
      <c r="N49">
        <f>SUMIFS(T_Shipments[Confirmed_Qty],T_Shipments[Part Name],$A49,T_Shipments[Effective_Week],13)</f>
        <v/>
      </c>
      <c r="O49">
        <f>SUMIFS(T_Shipments[Confirmed_Qty],T_Shipments[Part Name],$A49,T_Shipments[Effective_Week],14)</f>
        <v/>
      </c>
      <c r="P49">
        <f>SUMIFS(T_Shipments[Confirmed_Qty],T_Shipments[Part Name],$A49,T_Shipments[Effective_Week],15)</f>
        <v/>
      </c>
      <c r="Q49">
        <f>SUMIFS(T_Shipments[Confirmed_Qty],T_Shipments[Part Name],$A49,T_Shipments[Effective_Week],16)</f>
        <v/>
      </c>
      <c r="R49">
        <f>SUMIFS(T_Shipments[Confirmed_Qty],T_Shipments[Part Name],$A49,T_Shipments[Effective_Week],17)</f>
        <v/>
      </c>
      <c r="S49">
        <f>SUMIFS(T_Shipments[Confirmed_Qty],T_Shipments[Part Name],$A49,T_Shipments[Effective_Week],18)</f>
        <v/>
      </c>
      <c r="T49">
        <f>SUMIFS(T_Shipments[Confirmed_Qty],T_Shipments[Part Name],$A49,T_Shipments[Effective_Week],19)</f>
        <v/>
      </c>
      <c r="U49">
        <f>SUMIFS(T_Shipments[Confirmed_Qty],T_Shipments[Part Name],$A49,T_Shipments[Effective_Week],20)</f>
        <v/>
      </c>
      <c r="V49">
        <f>SUMIFS(T_Shipments[Confirmed_Qty],T_Shipments[Part Name],$A49,T_Shipments[Effective_Week],21)</f>
        <v/>
      </c>
      <c r="W49">
        <f>SUMIFS(T_Shipments[Confirmed_Qty],T_Shipments[Part Name],$A49,T_Shipments[Effective_Week],22)</f>
        <v/>
      </c>
      <c r="X49">
        <f>SUMIFS(T_Shipments[Confirmed_Qty],T_Shipments[Part Name],$A49,T_Shipments[Effective_Week],23)</f>
        <v/>
      </c>
      <c r="Y49">
        <f>SUMIFS(T_Shipments[Confirmed_Qty],T_Shipments[Part Name],$A49,T_Shipments[Effective_Week],24)</f>
        <v/>
      </c>
      <c r="Z49">
        <f>SUMIFS(T_Shipments[Confirmed_Qty],T_Shipments[Part Name],$A49,T_Shipments[Effective_Week],25)</f>
        <v/>
      </c>
      <c r="AA49">
        <f>SUMIFS(T_Shipments[Confirmed_Qty],T_Shipments[Part Name],$A49,T_Shipments[Effective_Week],26)</f>
        <v/>
      </c>
      <c r="AB49">
        <f>SUMIFS(T_Shipments[Confirmed_Qty],T_Shipments[Part Name],$A49,T_Shipments[Effective_Week],27)</f>
        <v/>
      </c>
      <c r="AC49">
        <f>SUMIFS(T_Shipments[Confirmed_Qty],T_Shipments[Part Name],$A49,T_Shipments[Effective_Week],28)</f>
        <v/>
      </c>
      <c r="AD49">
        <f>SUMIFS(T_Shipments[Confirmed_Qty],T_Shipments[Part Name],$A49,T_Shipments[Effective_Week],29)</f>
        <v/>
      </c>
      <c r="AE49">
        <f>SUMIFS(T_Shipments[Confirmed_Qty],T_Shipments[Part Name],$A49,T_Shipments[Effective_Week],30)</f>
        <v/>
      </c>
      <c r="AF49">
        <f>SUMIFS(T_Shipments[Confirmed_Qty],T_Shipments[Part Name],$A49,T_Shipments[Effective_Week],31)</f>
        <v/>
      </c>
      <c r="AG49">
        <f>SUMIFS(T_Shipments[Confirmed_Qty],T_Shipments[Part Name],$A49,T_Shipments[Effective_Week],32)</f>
        <v/>
      </c>
      <c r="AH49">
        <f>SUMIFS(T_Shipments[Confirmed_Qty],T_Shipments[Part Name],$A49,T_Shipments[Effective_Week],33)</f>
        <v/>
      </c>
      <c r="AI49">
        <f>SUMIFS(T_Shipments[Confirmed_Qty],T_Shipments[Part Name],$A49,T_Shipments[Effective_Week],34)</f>
        <v/>
      </c>
      <c r="AJ49">
        <f>SUMIFS(T_Shipments[Confirmed_Qty],T_Shipments[Part Name],$A49,T_Shipments[Effective_Week],35)</f>
        <v/>
      </c>
      <c r="AK49">
        <f>SUMIFS(T_Shipments[Confirmed_Qty],T_Shipments[Part Name],$A49,T_Shipments[Effective_Week],36)</f>
        <v/>
      </c>
      <c r="AL49">
        <f>SUMIFS(T_Shipments[Confirmed_Qty],T_Shipments[Part Name],$A49,T_Shipments[Effective_Week],37)</f>
        <v/>
      </c>
      <c r="AM49">
        <f>SUMIFS(T_Shipments[Confirmed_Qty],T_Shipments[Part Name],$A49,T_Shipments[Effective_Week],38)</f>
        <v/>
      </c>
      <c r="AN49">
        <f>SUMIFS(T_Shipments[Confirmed_Qty],T_Shipments[Part Name],$A49,T_Shipments[Effective_Week],39)</f>
        <v/>
      </c>
      <c r="AO49">
        <f>SUMIFS(T_Shipments[Confirmed_Qty],T_Shipments[Part Name],$A49,T_Shipments[Effective_Week],40)</f>
        <v/>
      </c>
      <c r="AP49">
        <f>SUMIFS(T_Shipments[Confirmed_Qty],T_Shipments[Part Name],$A49,T_Shipments[Effective_Week],41)</f>
        <v/>
      </c>
      <c r="AQ49">
        <f>SUMIFS(T_Shipments[Confirmed_Qty],T_Shipments[Part Name],$A49,T_Shipments[Effective_Week],42)</f>
        <v/>
      </c>
      <c r="AR49">
        <f>SUMIFS(T_Shipments[Confirmed_Qty],T_Shipments[Part Name],$A49,T_Shipments[Effective_Week],43)</f>
        <v/>
      </c>
      <c r="AS49">
        <f>SUMIFS(T_Shipments[Confirmed_Qty],T_Shipments[Part Name],$A49,T_Shipments[Effective_Week],44)</f>
        <v/>
      </c>
      <c r="AT49">
        <f>SUMIFS(T_Shipments[Confirmed_Qty],T_Shipments[Part Name],$A49,T_Shipments[Effective_Week],45)</f>
        <v/>
      </c>
      <c r="AU49">
        <f>SUMIFS(T_Shipments[Confirmed_Qty],T_Shipments[Part Name],$A49,T_Shipments[Effective_Week],46)</f>
        <v/>
      </c>
      <c r="AV49">
        <f>SUMIFS(T_Shipments[Confirmed_Qty],T_Shipments[Part Name],$A49,T_Shipments[Effective_Week],47)</f>
        <v/>
      </c>
      <c r="AW49">
        <f>SUMIFS(T_Shipments[Confirmed_Qty],T_Shipments[Part Name],$A49,T_Shipments[Effective_Week],48)</f>
        <v/>
      </c>
      <c r="AX49">
        <f>SUMIFS(T_Shipments[Confirmed_Qty],T_Shipments[Part Name],$A49,T_Shipments[Effective_Week],49)</f>
        <v/>
      </c>
      <c r="AY49">
        <f>SUMIFS(T_Shipments[Confirmed_Qty],T_Shipments[Part Name],$A49,T_Shipments[Effective_Week],50)</f>
        <v/>
      </c>
      <c r="AZ49">
        <f>SUMIFS(T_Shipments[Confirmed_Qty],T_Shipments[Part Name],$A49,T_Shipments[Effective_Week],51)</f>
        <v/>
      </c>
      <c r="BA49">
        <f>SUMIFS(T_Shipments[Confirmed_Qty],T_Shipments[Part Name],$A49,T_Shipments[Effective_Week],52)</f>
        <v/>
      </c>
      <c r="BB49">
        <f>SUMIFS(T_Shipments[Confirmed_Qty],T_Shipments[Part Name],$A49,T_Shipments[Effective_Week],53)</f>
        <v/>
      </c>
      <c r="BC49">
        <f>SUMIFS(T_Shipments[Confirmed_Qty],T_Shipments[Part Name],$A49,T_Shipments[Effective_Week],54)</f>
        <v/>
      </c>
      <c r="BD49">
        <f>SUMIFS(T_Shipments[Confirmed_Qty],T_Shipments[Part Name],$A49,T_Shipments[Effective_Week],55)</f>
        <v/>
      </c>
      <c r="BE49">
        <f>SUMIFS(T_Shipments[Confirmed_Qty],T_Shipments[Part Name],$A49,T_Shipments[Effective_Week],56)</f>
        <v/>
      </c>
      <c r="BF49">
        <f>SUMIFS(T_Shipments[Confirmed_Qty],T_Shipments[Part Name],$A49,T_Shipments[Effective_Week],57)</f>
        <v/>
      </c>
      <c r="BG49">
        <f>SUMIFS(T_Shipments[Confirmed_Qty],T_Shipments[Part Name],$A49,T_Shipments[Effective_Week],58)</f>
        <v/>
      </c>
      <c r="BH49">
        <f>SUMIFS(T_Shipments[Confirmed_Qty],T_Shipments[Part Name],$A49,T_Shipments[Effective_Week],59)</f>
        <v/>
      </c>
      <c r="BI49">
        <f>SUMIFS(T_Shipments[Confirmed_Qty],T_Shipments[Part Name],$A49,T_Shipments[Effective_Week],60)</f>
        <v/>
      </c>
      <c r="BJ49">
        <f>SUMIFS(T_Shipments[Confirmed_Qty],T_Shipments[Part Name],$A49,T_Shipments[Effective_Week],61)</f>
        <v/>
      </c>
      <c r="BK49">
        <f>SUMIFS(T_Shipments[Confirmed_Qty],T_Shipments[Part Name],$A49,T_Shipments[Effective_Week],62)</f>
        <v/>
      </c>
      <c r="BL49">
        <f>SUMIFS(T_Shipments[Confirmed_Qty],T_Shipments[Part Name],$A49,T_Shipments[Effective_Week],63)</f>
        <v/>
      </c>
      <c r="BM49">
        <f>SUMIFS(T_Shipments[Confirmed_Qty],T_Shipments[Part Name],$A49,T_Shipments[Effective_Week],64)</f>
        <v/>
      </c>
      <c r="BN49">
        <f>SUMIFS(T_Shipments[Confirmed_Qty],T_Shipments[Part Name],$A49,T_Shipments[Effective_Week],65)</f>
        <v/>
      </c>
      <c r="BO49">
        <f>SUMIFS(T_Shipments[Confirmed_Qty],T_Shipments[Part Name],$A49,T_Shipments[Effective_Week],66)</f>
        <v/>
      </c>
      <c r="BP49">
        <f>SUMIFS(T_Shipments[Confirmed_Qty],T_Shipments[Part Name],$A49,T_Shipments[Effective_Week],67)</f>
        <v/>
      </c>
      <c r="BQ49">
        <f>SUMIFS(T_Shipments[Confirmed_Qty],T_Shipments[Part Name],$A49,T_Shipments[Effective_Week],68)</f>
        <v/>
      </c>
      <c r="BR49">
        <f>SUMIFS(T_Shipments[Confirmed_Qty],T_Shipments[Part Name],$A49,T_Shipments[Effective_Week],69)</f>
        <v/>
      </c>
      <c r="BS49">
        <f>SUMIFS(T_Shipments[Confirmed_Qty],T_Shipments[Part Name],$A49,T_Shipments[Effective_Week],70)</f>
        <v/>
      </c>
      <c r="BT49">
        <f>SUMIFS(T_Shipments[Confirmed_Qty],T_Shipments[Part Name],$A49,T_Shipments[Effective_Week],71)</f>
        <v/>
      </c>
      <c r="BU49">
        <f>SUMIFS(T_Shipments[Confirmed_Qty],T_Shipments[Part Name],$A49,T_Shipments[Effective_Week],72)</f>
        <v/>
      </c>
      <c r="BV49">
        <f>SUMIFS(T_Shipments[Confirmed_Qty],T_Shipments[Part Name],$A49,T_Shipments[Effective_Week],73)</f>
        <v/>
      </c>
      <c r="BW49">
        <f>SUMIFS(T_Shipments[Confirmed_Qty],T_Shipments[Part Name],$A49,T_Shipments[Effective_Week],74)</f>
        <v/>
      </c>
      <c r="BX49">
        <f>SUMIFS(T_Shipments[Confirmed_Qty],T_Shipments[Part Name],$A49,T_Shipments[Effective_Week],75)</f>
        <v/>
      </c>
      <c r="BY49">
        <f>SUMIFS(T_Shipments[Confirmed_Qty],T_Shipments[Part Name],$A49,T_Shipments[Effective_Week],76)</f>
        <v/>
      </c>
      <c r="BZ49">
        <f>SUMIFS(T_Shipments[Confirmed_Qty],T_Shipments[Part Name],$A49,T_Shipments[Effective_Week],77)</f>
        <v/>
      </c>
      <c r="CA49">
        <f>SUMIFS(T_Shipments[Confirmed_Qty],T_Shipments[Part Name],$A49,T_Shipments[Effective_Week],78)</f>
        <v/>
      </c>
      <c r="CB49">
        <f>SUMIFS(T_Shipments[Confirmed_Qty],T_Shipments[Part Name],$A49,T_Shipments[Effective_Week],79)</f>
        <v/>
      </c>
      <c r="CC49">
        <f>SUMIFS(T_Shipments[Confirmed_Qty],T_Shipments[Part Name],$A49,T_Shipments[Effective_Week],80)</f>
        <v/>
      </c>
      <c r="CD49">
        <f>SUMIFS(T_Shipments[Confirmed_Qty],T_Shipments[Part Name],$A49,T_Shipments[Effective_Week],81)</f>
        <v/>
      </c>
      <c r="CE49">
        <f>SUMIFS(T_Shipments[Confirmed_Qty],T_Shipments[Part Name],$A49,T_Shipments[Effective_Week],82)</f>
        <v/>
      </c>
      <c r="CF49">
        <f>SUMIFS(T_Shipments[Confirmed_Qty],T_Shipments[Part Name],$A49,T_Shipments[Effective_Week],83)</f>
        <v/>
      </c>
      <c r="CG49">
        <f>SUMIFS(T_Shipments[Confirmed_Qty],T_Shipments[Part Name],$A49,T_Shipments[Effective_Week],84)</f>
        <v/>
      </c>
      <c r="CH49">
        <f>SUMIFS(T_Shipments[Confirmed_Qty],T_Shipments[Part Name],$A49,T_Shipments[Effective_Week],85)</f>
        <v/>
      </c>
      <c r="CI49">
        <f>SUMIFS(T_Shipments[Confirmed_Qty],T_Shipments[Part Name],$A49,T_Shipments[Effective_Week],86)</f>
        <v/>
      </c>
      <c r="CJ49">
        <f>SUMIFS(T_Shipments[Confirmed_Qty],T_Shipments[Part Name],$A49,T_Shipments[Effective_Week],87)</f>
        <v/>
      </c>
      <c r="CK49">
        <f>SUMIFS(T_Shipments[Confirmed_Qty],T_Shipments[Part Name],$A49,T_Shipments[Effective_Week],88)</f>
        <v/>
      </c>
      <c r="CL49">
        <f>SUMIFS(T_Shipments[Confirmed_Qty],T_Shipments[Part Name],$A49,T_Shipments[Effective_Week],89)</f>
        <v/>
      </c>
      <c r="CM49">
        <f>SUMIFS(T_Shipments[Confirmed_Qty],T_Shipments[Part Name],$A49,T_Shipments[Effective_Week],90)</f>
        <v/>
      </c>
      <c r="CN49">
        <f>SUMIFS(T_Shipments[Confirmed_Qty],T_Shipments[Part Name],$A49,T_Shipments[Effective_Week],91)</f>
        <v/>
      </c>
      <c r="CO49">
        <f>SUMIFS(T_Shipments[Confirmed_Qty],T_Shipments[Part Name],$A49,T_Shipments[Effective_Week],92)</f>
        <v/>
      </c>
      <c r="CP49">
        <f>SUMIFS(T_Shipments[Confirmed_Qty],T_Shipments[Part Name],$A49,T_Shipments[Effective_Week],93)</f>
        <v/>
      </c>
      <c r="CQ49">
        <f>SUMIFS(T_Shipments[Confirmed_Qty],T_Shipments[Part Name],$A49,T_Shipments[Effective_Week],94)</f>
        <v/>
      </c>
      <c r="CR49">
        <f>SUMIFS(T_Shipments[Confirmed_Qty],T_Shipments[Part Name],$A49,T_Shipments[Effective_Week],95)</f>
        <v/>
      </c>
      <c r="CS49">
        <f>SUMIFS(T_Shipments[Confirmed_Qty],T_Shipments[Part Name],$A49,T_Shipments[Effective_Week],96)</f>
        <v/>
      </c>
      <c r="CT49">
        <f>SUMIFS(T_Shipments[Confirmed_Qty],T_Shipments[Part Name],$A49,T_Shipments[Effective_Week],97)</f>
        <v/>
      </c>
      <c r="CU49">
        <f>SUMIFS(T_Shipments[Confirmed_Qty],T_Shipments[Part Name],$A49,T_Shipments[Effective_Week],98)</f>
        <v/>
      </c>
      <c r="CV49">
        <f>SUMIFS(T_Shipments[Confirmed_Qty],T_Shipments[Part Name],$A49,T_Shipments[Effective_Week],99)</f>
        <v/>
      </c>
      <c r="CW49">
        <f>SUMIFS(T_Shipments[Confirmed_Qty],T_Shipments[Part Name],$A49,T_Shipments[Effective_Week],100)</f>
        <v/>
      </c>
      <c r="CX49">
        <f>SUMIFS(T_Shipments[Confirmed_Qty],T_Shipments[Part Name],$A49,T_Shipments[Effective_Week],101)</f>
        <v/>
      </c>
      <c r="CY49">
        <f>SUMIFS(T_Shipments[Confirmed_Qty],T_Shipments[Part Name],$A49,T_Shipments[Effective_Week],102)</f>
        <v/>
      </c>
      <c r="CZ49">
        <f>SUMIFS(T_Shipments[Confirmed_Qty],T_Shipments[Part Name],$A49,T_Shipments[Effective_Week],103)</f>
        <v/>
      </c>
      <c r="DA49">
        <f>SUMIFS(T_Shipments[Confirmed_Qty],T_Shipments[Part Name],$A49,T_Shipments[Effective_Week],104)</f>
        <v/>
      </c>
    </row>
    <row r="50">
      <c r="A50" t="inlineStr">
        <is>
          <t>CHEM-1700</t>
        </is>
      </c>
      <c r="B50">
        <f>SUMIFS(T_Shipments[Confirmed_Qty],T_Shipments[Part Name],$A50,T_Shipments[Effective_Week],1)</f>
        <v/>
      </c>
      <c r="C50">
        <f>SUMIFS(T_Shipments[Confirmed_Qty],T_Shipments[Part Name],$A50,T_Shipments[Effective_Week],2)</f>
        <v/>
      </c>
      <c r="D50">
        <f>SUMIFS(T_Shipments[Confirmed_Qty],T_Shipments[Part Name],$A50,T_Shipments[Effective_Week],3)</f>
        <v/>
      </c>
      <c r="E50">
        <f>SUMIFS(T_Shipments[Confirmed_Qty],T_Shipments[Part Name],$A50,T_Shipments[Effective_Week],4)</f>
        <v/>
      </c>
      <c r="F50">
        <f>SUMIFS(T_Shipments[Confirmed_Qty],T_Shipments[Part Name],$A50,T_Shipments[Effective_Week],5)</f>
        <v/>
      </c>
      <c r="G50">
        <f>SUMIFS(T_Shipments[Confirmed_Qty],T_Shipments[Part Name],$A50,T_Shipments[Effective_Week],6)</f>
        <v/>
      </c>
      <c r="H50">
        <f>SUMIFS(T_Shipments[Confirmed_Qty],T_Shipments[Part Name],$A50,T_Shipments[Effective_Week],7)</f>
        <v/>
      </c>
      <c r="I50">
        <f>SUMIFS(T_Shipments[Confirmed_Qty],T_Shipments[Part Name],$A50,T_Shipments[Effective_Week],8)</f>
        <v/>
      </c>
      <c r="J50">
        <f>SUMIFS(T_Shipments[Confirmed_Qty],T_Shipments[Part Name],$A50,T_Shipments[Effective_Week],9)</f>
        <v/>
      </c>
      <c r="K50">
        <f>SUMIFS(T_Shipments[Confirmed_Qty],T_Shipments[Part Name],$A50,T_Shipments[Effective_Week],10)</f>
        <v/>
      </c>
      <c r="L50">
        <f>SUMIFS(T_Shipments[Confirmed_Qty],T_Shipments[Part Name],$A50,T_Shipments[Effective_Week],11)</f>
        <v/>
      </c>
      <c r="M50">
        <f>SUMIFS(T_Shipments[Confirmed_Qty],T_Shipments[Part Name],$A50,T_Shipments[Effective_Week],12)</f>
        <v/>
      </c>
      <c r="N50">
        <f>SUMIFS(T_Shipments[Confirmed_Qty],T_Shipments[Part Name],$A50,T_Shipments[Effective_Week],13)</f>
        <v/>
      </c>
      <c r="O50">
        <f>SUMIFS(T_Shipments[Confirmed_Qty],T_Shipments[Part Name],$A50,T_Shipments[Effective_Week],14)</f>
        <v/>
      </c>
      <c r="P50">
        <f>SUMIFS(T_Shipments[Confirmed_Qty],T_Shipments[Part Name],$A50,T_Shipments[Effective_Week],15)</f>
        <v/>
      </c>
      <c r="Q50">
        <f>SUMIFS(T_Shipments[Confirmed_Qty],T_Shipments[Part Name],$A50,T_Shipments[Effective_Week],16)</f>
        <v/>
      </c>
      <c r="R50">
        <f>SUMIFS(T_Shipments[Confirmed_Qty],T_Shipments[Part Name],$A50,T_Shipments[Effective_Week],17)</f>
        <v/>
      </c>
      <c r="S50">
        <f>SUMIFS(T_Shipments[Confirmed_Qty],T_Shipments[Part Name],$A50,T_Shipments[Effective_Week],18)</f>
        <v/>
      </c>
      <c r="T50">
        <f>SUMIFS(T_Shipments[Confirmed_Qty],T_Shipments[Part Name],$A50,T_Shipments[Effective_Week],19)</f>
        <v/>
      </c>
      <c r="U50">
        <f>SUMIFS(T_Shipments[Confirmed_Qty],T_Shipments[Part Name],$A50,T_Shipments[Effective_Week],20)</f>
        <v/>
      </c>
      <c r="V50">
        <f>SUMIFS(T_Shipments[Confirmed_Qty],T_Shipments[Part Name],$A50,T_Shipments[Effective_Week],21)</f>
        <v/>
      </c>
      <c r="W50">
        <f>SUMIFS(T_Shipments[Confirmed_Qty],T_Shipments[Part Name],$A50,T_Shipments[Effective_Week],22)</f>
        <v/>
      </c>
      <c r="X50">
        <f>SUMIFS(T_Shipments[Confirmed_Qty],T_Shipments[Part Name],$A50,T_Shipments[Effective_Week],23)</f>
        <v/>
      </c>
      <c r="Y50">
        <f>SUMIFS(T_Shipments[Confirmed_Qty],T_Shipments[Part Name],$A50,T_Shipments[Effective_Week],24)</f>
        <v/>
      </c>
      <c r="Z50">
        <f>SUMIFS(T_Shipments[Confirmed_Qty],T_Shipments[Part Name],$A50,T_Shipments[Effective_Week],25)</f>
        <v/>
      </c>
      <c r="AA50">
        <f>SUMIFS(T_Shipments[Confirmed_Qty],T_Shipments[Part Name],$A50,T_Shipments[Effective_Week],26)</f>
        <v/>
      </c>
      <c r="AB50">
        <f>SUMIFS(T_Shipments[Confirmed_Qty],T_Shipments[Part Name],$A50,T_Shipments[Effective_Week],27)</f>
        <v/>
      </c>
      <c r="AC50">
        <f>SUMIFS(T_Shipments[Confirmed_Qty],T_Shipments[Part Name],$A50,T_Shipments[Effective_Week],28)</f>
        <v/>
      </c>
      <c r="AD50">
        <f>SUMIFS(T_Shipments[Confirmed_Qty],T_Shipments[Part Name],$A50,T_Shipments[Effective_Week],29)</f>
        <v/>
      </c>
      <c r="AE50">
        <f>SUMIFS(T_Shipments[Confirmed_Qty],T_Shipments[Part Name],$A50,T_Shipments[Effective_Week],30)</f>
        <v/>
      </c>
      <c r="AF50">
        <f>SUMIFS(T_Shipments[Confirmed_Qty],T_Shipments[Part Name],$A50,T_Shipments[Effective_Week],31)</f>
        <v/>
      </c>
      <c r="AG50">
        <f>SUMIFS(T_Shipments[Confirmed_Qty],T_Shipments[Part Name],$A50,T_Shipments[Effective_Week],32)</f>
        <v/>
      </c>
      <c r="AH50">
        <f>SUMIFS(T_Shipments[Confirmed_Qty],T_Shipments[Part Name],$A50,T_Shipments[Effective_Week],33)</f>
        <v/>
      </c>
      <c r="AI50">
        <f>SUMIFS(T_Shipments[Confirmed_Qty],T_Shipments[Part Name],$A50,T_Shipments[Effective_Week],34)</f>
        <v/>
      </c>
      <c r="AJ50">
        <f>SUMIFS(T_Shipments[Confirmed_Qty],T_Shipments[Part Name],$A50,T_Shipments[Effective_Week],35)</f>
        <v/>
      </c>
      <c r="AK50">
        <f>SUMIFS(T_Shipments[Confirmed_Qty],T_Shipments[Part Name],$A50,T_Shipments[Effective_Week],36)</f>
        <v/>
      </c>
      <c r="AL50">
        <f>SUMIFS(T_Shipments[Confirmed_Qty],T_Shipments[Part Name],$A50,T_Shipments[Effective_Week],37)</f>
        <v/>
      </c>
      <c r="AM50">
        <f>SUMIFS(T_Shipments[Confirmed_Qty],T_Shipments[Part Name],$A50,T_Shipments[Effective_Week],38)</f>
        <v/>
      </c>
      <c r="AN50">
        <f>SUMIFS(T_Shipments[Confirmed_Qty],T_Shipments[Part Name],$A50,T_Shipments[Effective_Week],39)</f>
        <v/>
      </c>
      <c r="AO50">
        <f>SUMIFS(T_Shipments[Confirmed_Qty],T_Shipments[Part Name],$A50,T_Shipments[Effective_Week],40)</f>
        <v/>
      </c>
      <c r="AP50">
        <f>SUMIFS(T_Shipments[Confirmed_Qty],T_Shipments[Part Name],$A50,T_Shipments[Effective_Week],41)</f>
        <v/>
      </c>
      <c r="AQ50">
        <f>SUMIFS(T_Shipments[Confirmed_Qty],T_Shipments[Part Name],$A50,T_Shipments[Effective_Week],42)</f>
        <v/>
      </c>
      <c r="AR50">
        <f>SUMIFS(T_Shipments[Confirmed_Qty],T_Shipments[Part Name],$A50,T_Shipments[Effective_Week],43)</f>
        <v/>
      </c>
      <c r="AS50">
        <f>SUMIFS(T_Shipments[Confirmed_Qty],T_Shipments[Part Name],$A50,T_Shipments[Effective_Week],44)</f>
        <v/>
      </c>
      <c r="AT50">
        <f>SUMIFS(T_Shipments[Confirmed_Qty],T_Shipments[Part Name],$A50,T_Shipments[Effective_Week],45)</f>
        <v/>
      </c>
      <c r="AU50">
        <f>SUMIFS(T_Shipments[Confirmed_Qty],T_Shipments[Part Name],$A50,T_Shipments[Effective_Week],46)</f>
        <v/>
      </c>
      <c r="AV50">
        <f>SUMIFS(T_Shipments[Confirmed_Qty],T_Shipments[Part Name],$A50,T_Shipments[Effective_Week],47)</f>
        <v/>
      </c>
      <c r="AW50">
        <f>SUMIFS(T_Shipments[Confirmed_Qty],T_Shipments[Part Name],$A50,T_Shipments[Effective_Week],48)</f>
        <v/>
      </c>
      <c r="AX50">
        <f>SUMIFS(T_Shipments[Confirmed_Qty],T_Shipments[Part Name],$A50,T_Shipments[Effective_Week],49)</f>
        <v/>
      </c>
      <c r="AY50">
        <f>SUMIFS(T_Shipments[Confirmed_Qty],T_Shipments[Part Name],$A50,T_Shipments[Effective_Week],50)</f>
        <v/>
      </c>
      <c r="AZ50">
        <f>SUMIFS(T_Shipments[Confirmed_Qty],T_Shipments[Part Name],$A50,T_Shipments[Effective_Week],51)</f>
        <v/>
      </c>
      <c r="BA50">
        <f>SUMIFS(T_Shipments[Confirmed_Qty],T_Shipments[Part Name],$A50,T_Shipments[Effective_Week],52)</f>
        <v/>
      </c>
      <c r="BB50">
        <f>SUMIFS(T_Shipments[Confirmed_Qty],T_Shipments[Part Name],$A50,T_Shipments[Effective_Week],53)</f>
        <v/>
      </c>
      <c r="BC50">
        <f>SUMIFS(T_Shipments[Confirmed_Qty],T_Shipments[Part Name],$A50,T_Shipments[Effective_Week],54)</f>
        <v/>
      </c>
      <c r="BD50">
        <f>SUMIFS(T_Shipments[Confirmed_Qty],T_Shipments[Part Name],$A50,T_Shipments[Effective_Week],55)</f>
        <v/>
      </c>
      <c r="BE50">
        <f>SUMIFS(T_Shipments[Confirmed_Qty],T_Shipments[Part Name],$A50,T_Shipments[Effective_Week],56)</f>
        <v/>
      </c>
      <c r="BF50">
        <f>SUMIFS(T_Shipments[Confirmed_Qty],T_Shipments[Part Name],$A50,T_Shipments[Effective_Week],57)</f>
        <v/>
      </c>
      <c r="BG50">
        <f>SUMIFS(T_Shipments[Confirmed_Qty],T_Shipments[Part Name],$A50,T_Shipments[Effective_Week],58)</f>
        <v/>
      </c>
      <c r="BH50">
        <f>SUMIFS(T_Shipments[Confirmed_Qty],T_Shipments[Part Name],$A50,T_Shipments[Effective_Week],59)</f>
        <v/>
      </c>
      <c r="BI50">
        <f>SUMIFS(T_Shipments[Confirmed_Qty],T_Shipments[Part Name],$A50,T_Shipments[Effective_Week],60)</f>
        <v/>
      </c>
      <c r="BJ50">
        <f>SUMIFS(T_Shipments[Confirmed_Qty],T_Shipments[Part Name],$A50,T_Shipments[Effective_Week],61)</f>
        <v/>
      </c>
      <c r="BK50">
        <f>SUMIFS(T_Shipments[Confirmed_Qty],T_Shipments[Part Name],$A50,T_Shipments[Effective_Week],62)</f>
        <v/>
      </c>
      <c r="BL50">
        <f>SUMIFS(T_Shipments[Confirmed_Qty],T_Shipments[Part Name],$A50,T_Shipments[Effective_Week],63)</f>
        <v/>
      </c>
      <c r="BM50">
        <f>SUMIFS(T_Shipments[Confirmed_Qty],T_Shipments[Part Name],$A50,T_Shipments[Effective_Week],64)</f>
        <v/>
      </c>
      <c r="BN50">
        <f>SUMIFS(T_Shipments[Confirmed_Qty],T_Shipments[Part Name],$A50,T_Shipments[Effective_Week],65)</f>
        <v/>
      </c>
      <c r="BO50">
        <f>SUMIFS(T_Shipments[Confirmed_Qty],T_Shipments[Part Name],$A50,T_Shipments[Effective_Week],66)</f>
        <v/>
      </c>
      <c r="BP50">
        <f>SUMIFS(T_Shipments[Confirmed_Qty],T_Shipments[Part Name],$A50,T_Shipments[Effective_Week],67)</f>
        <v/>
      </c>
      <c r="BQ50">
        <f>SUMIFS(T_Shipments[Confirmed_Qty],T_Shipments[Part Name],$A50,T_Shipments[Effective_Week],68)</f>
        <v/>
      </c>
      <c r="BR50">
        <f>SUMIFS(T_Shipments[Confirmed_Qty],T_Shipments[Part Name],$A50,T_Shipments[Effective_Week],69)</f>
        <v/>
      </c>
      <c r="BS50">
        <f>SUMIFS(T_Shipments[Confirmed_Qty],T_Shipments[Part Name],$A50,T_Shipments[Effective_Week],70)</f>
        <v/>
      </c>
      <c r="BT50">
        <f>SUMIFS(T_Shipments[Confirmed_Qty],T_Shipments[Part Name],$A50,T_Shipments[Effective_Week],71)</f>
        <v/>
      </c>
      <c r="BU50">
        <f>SUMIFS(T_Shipments[Confirmed_Qty],T_Shipments[Part Name],$A50,T_Shipments[Effective_Week],72)</f>
        <v/>
      </c>
      <c r="BV50">
        <f>SUMIFS(T_Shipments[Confirmed_Qty],T_Shipments[Part Name],$A50,T_Shipments[Effective_Week],73)</f>
        <v/>
      </c>
      <c r="BW50">
        <f>SUMIFS(T_Shipments[Confirmed_Qty],T_Shipments[Part Name],$A50,T_Shipments[Effective_Week],74)</f>
        <v/>
      </c>
      <c r="BX50">
        <f>SUMIFS(T_Shipments[Confirmed_Qty],T_Shipments[Part Name],$A50,T_Shipments[Effective_Week],75)</f>
        <v/>
      </c>
      <c r="BY50">
        <f>SUMIFS(T_Shipments[Confirmed_Qty],T_Shipments[Part Name],$A50,T_Shipments[Effective_Week],76)</f>
        <v/>
      </c>
      <c r="BZ50">
        <f>SUMIFS(T_Shipments[Confirmed_Qty],T_Shipments[Part Name],$A50,T_Shipments[Effective_Week],77)</f>
        <v/>
      </c>
      <c r="CA50">
        <f>SUMIFS(T_Shipments[Confirmed_Qty],T_Shipments[Part Name],$A50,T_Shipments[Effective_Week],78)</f>
        <v/>
      </c>
      <c r="CB50">
        <f>SUMIFS(T_Shipments[Confirmed_Qty],T_Shipments[Part Name],$A50,T_Shipments[Effective_Week],79)</f>
        <v/>
      </c>
      <c r="CC50">
        <f>SUMIFS(T_Shipments[Confirmed_Qty],T_Shipments[Part Name],$A50,T_Shipments[Effective_Week],80)</f>
        <v/>
      </c>
      <c r="CD50">
        <f>SUMIFS(T_Shipments[Confirmed_Qty],T_Shipments[Part Name],$A50,T_Shipments[Effective_Week],81)</f>
        <v/>
      </c>
      <c r="CE50">
        <f>SUMIFS(T_Shipments[Confirmed_Qty],T_Shipments[Part Name],$A50,T_Shipments[Effective_Week],82)</f>
        <v/>
      </c>
      <c r="CF50">
        <f>SUMIFS(T_Shipments[Confirmed_Qty],T_Shipments[Part Name],$A50,T_Shipments[Effective_Week],83)</f>
        <v/>
      </c>
      <c r="CG50">
        <f>SUMIFS(T_Shipments[Confirmed_Qty],T_Shipments[Part Name],$A50,T_Shipments[Effective_Week],84)</f>
        <v/>
      </c>
      <c r="CH50">
        <f>SUMIFS(T_Shipments[Confirmed_Qty],T_Shipments[Part Name],$A50,T_Shipments[Effective_Week],85)</f>
        <v/>
      </c>
      <c r="CI50">
        <f>SUMIFS(T_Shipments[Confirmed_Qty],T_Shipments[Part Name],$A50,T_Shipments[Effective_Week],86)</f>
        <v/>
      </c>
      <c r="CJ50">
        <f>SUMIFS(T_Shipments[Confirmed_Qty],T_Shipments[Part Name],$A50,T_Shipments[Effective_Week],87)</f>
        <v/>
      </c>
      <c r="CK50">
        <f>SUMIFS(T_Shipments[Confirmed_Qty],T_Shipments[Part Name],$A50,T_Shipments[Effective_Week],88)</f>
        <v/>
      </c>
      <c r="CL50">
        <f>SUMIFS(T_Shipments[Confirmed_Qty],T_Shipments[Part Name],$A50,T_Shipments[Effective_Week],89)</f>
        <v/>
      </c>
      <c r="CM50">
        <f>SUMIFS(T_Shipments[Confirmed_Qty],T_Shipments[Part Name],$A50,T_Shipments[Effective_Week],90)</f>
        <v/>
      </c>
      <c r="CN50">
        <f>SUMIFS(T_Shipments[Confirmed_Qty],T_Shipments[Part Name],$A50,T_Shipments[Effective_Week],91)</f>
        <v/>
      </c>
      <c r="CO50">
        <f>SUMIFS(T_Shipments[Confirmed_Qty],T_Shipments[Part Name],$A50,T_Shipments[Effective_Week],92)</f>
        <v/>
      </c>
      <c r="CP50">
        <f>SUMIFS(T_Shipments[Confirmed_Qty],T_Shipments[Part Name],$A50,T_Shipments[Effective_Week],93)</f>
        <v/>
      </c>
      <c r="CQ50">
        <f>SUMIFS(T_Shipments[Confirmed_Qty],T_Shipments[Part Name],$A50,T_Shipments[Effective_Week],94)</f>
        <v/>
      </c>
      <c r="CR50">
        <f>SUMIFS(T_Shipments[Confirmed_Qty],T_Shipments[Part Name],$A50,T_Shipments[Effective_Week],95)</f>
        <v/>
      </c>
      <c r="CS50">
        <f>SUMIFS(T_Shipments[Confirmed_Qty],T_Shipments[Part Name],$A50,T_Shipments[Effective_Week],96)</f>
        <v/>
      </c>
      <c r="CT50">
        <f>SUMIFS(T_Shipments[Confirmed_Qty],T_Shipments[Part Name],$A50,T_Shipments[Effective_Week],97)</f>
        <v/>
      </c>
      <c r="CU50">
        <f>SUMIFS(T_Shipments[Confirmed_Qty],T_Shipments[Part Name],$A50,T_Shipments[Effective_Week],98)</f>
        <v/>
      </c>
      <c r="CV50">
        <f>SUMIFS(T_Shipments[Confirmed_Qty],T_Shipments[Part Name],$A50,T_Shipments[Effective_Week],99)</f>
        <v/>
      </c>
      <c r="CW50">
        <f>SUMIFS(T_Shipments[Confirmed_Qty],T_Shipments[Part Name],$A50,T_Shipments[Effective_Week],100)</f>
        <v/>
      </c>
      <c r="CX50">
        <f>SUMIFS(T_Shipments[Confirmed_Qty],T_Shipments[Part Name],$A50,T_Shipments[Effective_Week],101)</f>
        <v/>
      </c>
      <c r="CY50">
        <f>SUMIFS(T_Shipments[Confirmed_Qty],T_Shipments[Part Name],$A50,T_Shipments[Effective_Week],102)</f>
        <v/>
      </c>
      <c r="CZ50">
        <f>SUMIFS(T_Shipments[Confirmed_Qty],T_Shipments[Part Name],$A50,T_Shipments[Effective_Week],103)</f>
        <v/>
      </c>
      <c r="DA50">
        <f>SUMIFS(T_Shipments[Confirmed_Qty],T_Shipments[Part Name],$A50,T_Shipments[Effective_Week],104)</f>
        <v/>
      </c>
    </row>
    <row r="51">
      <c r="A51" t="inlineStr">
        <is>
          <t>CHEM-1850</t>
        </is>
      </c>
      <c r="B51">
        <f>SUMIFS(T_Shipments[Confirmed_Qty],T_Shipments[Part Name],$A51,T_Shipments[Effective_Week],1)</f>
        <v/>
      </c>
      <c r="C51">
        <f>SUMIFS(T_Shipments[Confirmed_Qty],T_Shipments[Part Name],$A51,T_Shipments[Effective_Week],2)</f>
        <v/>
      </c>
      <c r="D51">
        <f>SUMIFS(T_Shipments[Confirmed_Qty],T_Shipments[Part Name],$A51,T_Shipments[Effective_Week],3)</f>
        <v/>
      </c>
      <c r="E51">
        <f>SUMIFS(T_Shipments[Confirmed_Qty],T_Shipments[Part Name],$A51,T_Shipments[Effective_Week],4)</f>
        <v/>
      </c>
      <c r="F51">
        <f>SUMIFS(T_Shipments[Confirmed_Qty],T_Shipments[Part Name],$A51,T_Shipments[Effective_Week],5)</f>
        <v/>
      </c>
      <c r="G51">
        <f>SUMIFS(T_Shipments[Confirmed_Qty],T_Shipments[Part Name],$A51,T_Shipments[Effective_Week],6)</f>
        <v/>
      </c>
      <c r="H51">
        <f>SUMIFS(T_Shipments[Confirmed_Qty],T_Shipments[Part Name],$A51,T_Shipments[Effective_Week],7)</f>
        <v/>
      </c>
      <c r="I51">
        <f>SUMIFS(T_Shipments[Confirmed_Qty],T_Shipments[Part Name],$A51,T_Shipments[Effective_Week],8)</f>
        <v/>
      </c>
      <c r="J51">
        <f>SUMIFS(T_Shipments[Confirmed_Qty],T_Shipments[Part Name],$A51,T_Shipments[Effective_Week],9)</f>
        <v/>
      </c>
      <c r="K51">
        <f>SUMIFS(T_Shipments[Confirmed_Qty],T_Shipments[Part Name],$A51,T_Shipments[Effective_Week],10)</f>
        <v/>
      </c>
      <c r="L51">
        <f>SUMIFS(T_Shipments[Confirmed_Qty],T_Shipments[Part Name],$A51,T_Shipments[Effective_Week],11)</f>
        <v/>
      </c>
      <c r="M51">
        <f>SUMIFS(T_Shipments[Confirmed_Qty],T_Shipments[Part Name],$A51,T_Shipments[Effective_Week],12)</f>
        <v/>
      </c>
      <c r="N51">
        <f>SUMIFS(T_Shipments[Confirmed_Qty],T_Shipments[Part Name],$A51,T_Shipments[Effective_Week],13)</f>
        <v/>
      </c>
      <c r="O51">
        <f>SUMIFS(T_Shipments[Confirmed_Qty],T_Shipments[Part Name],$A51,T_Shipments[Effective_Week],14)</f>
        <v/>
      </c>
      <c r="P51">
        <f>SUMIFS(T_Shipments[Confirmed_Qty],T_Shipments[Part Name],$A51,T_Shipments[Effective_Week],15)</f>
        <v/>
      </c>
      <c r="Q51">
        <f>SUMIFS(T_Shipments[Confirmed_Qty],T_Shipments[Part Name],$A51,T_Shipments[Effective_Week],16)</f>
        <v/>
      </c>
      <c r="R51">
        <f>SUMIFS(T_Shipments[Confirmed_Qty],T_Shipments[Part Name],$A51,T_Shipments[Effective_Week],17)</f>
        <v/>
      </c>
      <c r="S51">
        <f>SUMIFS(T_Shipments[Confirmed_Qty],T_Shipments[Part Name],$A51,T_Shipments[Effective_Week],18)</f>
        <v/>
      </c>
      <c r="T51">
        <f>SUMIFS(T_Shipments[Confirmed_Qty],T_Shipments[Part Name],$A51,T_Shipments[Effective_Week],19)</f>
        <v/>
      </c>
      <c r="U51">
        <f>SUMIFS(T_Shipments[Confirmed_Qty],T_Shipments[Part Name],$A51,T_Shipments[Effective_Week],20)</f>
        <v/>
      </c>
      <c r="V51">
        <f>SUMIFS(T_Shipments[Confirmed_Qty],T_Shipments[Part Name],$A51,T_Shipments[Effective_Week],21)</f>
        <v/>
      </c>
      <c r="W51">
        <f>SUMIFS(T_Shipments[Confirmed_Qty],T_Shipments[Part Name],$A51,T_Shipments[Effective_Week],22)</f>
        <v/>
      </c>
      <c r="X51">
        <f>SUMIFS(T_Shipments[Confirmed_Qty],T_Shipments[Part Name],$A51,T_Shipments[Effective_Week],23)</f>
        <v/>
      </c>
      <c r="Y51">
        <f>SUMIFS(T_Shipments[Confirmed_Qty],T_Shipments[Part Name],$A51,T_Shipments[Effective_Week],24)</f>
        <v/>
      </c>
      <c r="Z51">
        <f>SUMIFS(T_Shipments[Confirmed_Qty],T_Shipments[Part Name],$A51,T_Shipments[Effective_Week],25)</f>
        <v/>
      </c>
      <c r="AA51">
        <f>SUMIFS(T_Shipments[Confirmed_Qty],T_Shipments[Part Name],$A51,T_Shipments[Effective_Week],26)</f>
        <v/>
      </c>
      <c r="AB51">
        <f>SUMIFS(T_Shipments[Confirmed_Qty],T_Shipments[Part Name],$A51,T_Shipments[Effective_Week],27)</f>
        <v/>
      </c>
      <c r="AC51">
        <f>SUMIFS(T_Shipments[Confirmed_Qty],T_Shipments[Part Name],$A51,T_Shipments[Effective_Week],28)</f>
        <v/>
      </c>
      <c r="AD51">
        <f>SUMIFS(T_Shipments[Confirmed_Qty],T_Shipments[Part Name],$A51,T_Shipments[Effective_Week],29)</f>
        <v/>
      </c>
      <c r="AE51">
        <f>SUMIFS(T_Shipments[Confirmed_Qty],T_Shipments[Part Name],$A51,T_Shipments[Effective_Week],30)</f>
        <v/>
      </c>
      <c r="AF51">
        <f>SUMIFS(T_Shipments[Confirmed_Qty],T_Shipments[Part Name],$A51,T_Shipments[Effective_Week],31)</f>
        <v/>
      </c>
      <c r="AG51">
        <f>SUMIFS(T_Shipments[Confirmed_Qty],T_Shipments[Part Name],$A51,T_Shipments[Effective_Week],32)</f>
        <v/>
      </c>
      <c r="AH51">
        <f>SUMIFS(T_Shipments[Confirmed_Qty],T_Shipments[Part Name],$A51,T_Shipments[Effective_Week],33)</f>
        <v/>
      </c>
      <c r="AI51">
        <f>SUMIFS(T_Shipments[Confirmed_Qty],T_Shipments[Part Name],$A51,T_Shipments[Effective_Week],34)</f>
        <v/>
      </c>
      <c r="AJ51">
        <f>SUMIFS(T_Shipments[Confirmed_Qty],T_Shipments[Part Name],$A51,T_Shipments[Effective_Week],35)</f>
        <v/>
      </c>
      <c r="AK51">
        <f>SUMIFS(T_Shipments[Confirmed_Qty],T_Shipments[Part Name],$A51,T_Shipments[Effective_Week],36)</f>
        <v/>
      </c>
      <c r="AL51">
        <f>SUMIFS(T_Shipments[Confirmed_Qty],T_Shipments[Part Name],$A51,T_Shipments[Effective_Week],37)</f>
        <v/>
      </c>
      <c r="AM51">
        <f>SUMIFS(T_Shipments[Confirmed_Qty],T_Shipments[Part Name],$A51,T_Shipments[Effective_Week],38)</f>
        <v/>
      </c>
      <c r="AN51">
        <f>SUMIFS(T_Shipments[Confirmed_Qty],T_Shipments[Part Name],$A51,T_Shipments[Effective_Week],39)</f>
        <v/>
      </c>
      <c r="AO51">
        <f>SUMIFS(T_Shipments[Confirmed_Qty],T_Shipments[Part Name],$A51,T_Shipments[Effective_Week],40)</f>
        <v/>
      </c>
      <c r="AP51">
        <f>SUMIFS(T_Shipments[Confirmed_Qty],T_Shipments[Part Name],$A51,T_Shipments[Effective_Week],41)</f>
        <v/>
      </c>
      <c r="AQ51">
        <f>SUMIFS(T_Shipments[Confirmed_Qty],T_Shipments[Part Name],$A51,T_Shipments[Effective_Week],42)</f>
        <v/>
      </c>
      <c r="AR51">
        <f>SUMIFS(T_Shipments[Confirmed_Qty],T_Shipments[Part Name],$A51,T_Shipments[Effective_Week],43)</f>
        <v/>
      </c>
      <c r="AS51">
        <f>SUMIFS(T_Shipments[Confirmed_Qty],T_Shipments[Part Name],$A51,T_Shipments[Effective_Week],44)</f>
        <v/>
      </c>
      <c r="AT51">
        <f>SUMIFS(T_Shipments[Confirmed_Qty],T_Shipments[Part Name],$A51,T_Shipments[Effective_Week],45)</f>
        <v/>
      </c>
      <c r="AU51">
        <f>SUMIFS(T_Shipments[Confirmed_Qty],T_Shipments[Part Name],$A51,T_Shipments[Effective_Week],46)</f>
        <v/>
      </c>
      <c r="AV51">
        <f>SUMIFS(T_Shipments[Confirmed_Qty],T_Shipments[Part Name],$A51,T_Shipments[Effective_Week],47)</f>
        <v/>
      </c>
      <c r="AW51">
        <f>SUMIFS(T_Shipments[Confirmed_Qty],T_Shipments[Part Name],$A51,T_Shipments[Effective_Week],48)</f>
        <v/>
      </c>
      <c r="AX51">
        <f>SUMIFS(T_Shipments[Confirmed_Qty],T_Shipments[Part Name],$A51,T_Shipments[Effective_Week],49)</f>
        <v/>
      </c>
      <c r="AY51">
        <f>SUMIFS(T_Shipments[Confirmed_Qty],T_Shipments[Part Name],$A51,T_Shipments[Effective_Week],50)</f>
        <v/>
      </c>
      <c r="AZ51">
        <f>SUMIFS(T_Shipments[Confirmed_Qty],T_Shipments[Part Name],$A51,T_Shipments[Effective_Week],51)</f>
        <v/>
      </c>
      <c r="BA51">
        <f>SUMIFS(T_Shipments[Confirmed_Qty],T_Shipments[Part Name],$A51,T_Shipments[Effective_Week],52)</f>
        <v/>
      </c>
      <c r="BB51">
        <f>SUMIFS(T_Shipments[Confirmed_Qty],T_Shipments[Part Name],$A51,T_Shipments[Effective_Week],53)</f>
        <v/>
      </c>
      <c r="BC51">
        <f>SUMIFS(T_Shipments[Confirmed_Qty],T_Shipments[Part Name],$A51,T_Shipments[Effective_Week],54)</f>
        <v/>
      </c>
      <c r="BD51">
        <f>SUMIFS(T_Shipments[Confirmed_Qty],T_Shipments[Part Name],$A51,T_Shipments[Effective_Week],55)</f>
        <v/>
      </c>
      <c r="BE51">
        <f>SUMIFS(T_Shipments[Confirmed_Qty],T_Shipments[Part Name],$A51,T_Shipments[Effective_Week],56)</f>
        <v/>
      </c>
      <c r="BF51">
        <f>SUMIFS(T_Shipments[Confirmed_Qty],T_Shipments[Part Name],$A51,T_Shipments[Effective_Week],57)</f>
        <v/>
      </c>
      <c r="BG51">
        <f>SUMIFS(T_Shipments[Confirmed_Qty],T_Shipments[Part Name],$A51,T_Shipments[Effective_Week],58)</f>
        <v/>
      </c>
      <c r="BH51">
        <f>SUMIFS(T_Shipments[Confirmed_Qty],T_Shipments[Part Name],$A51,T_Shipments[Effective_Week],59)</f>
        <v/>
      </c>
      <c r="BI51">
        <f>SUMIFS(T_Shipments[Confirmed_Qty],T_Shipments[Part Name],$A51,T_Shipments[Effective_Week],60)</f>
        <v/>
      </c>
      <c r="BJ51">
        <f>SUMIFS(T_Shipments[Confirmed_Qty],T_Shipments[Part Name],$A51,T_Shipments[Effective_Week],61)</f>
        <v/>
      </c>
      <c r="BK51">
        <f>SUMIFS(T_Shipments[Confirmed_Qty],T_Shipments[Part Name],$A51,T_Shipments[Effective_Week],62)</f>
        <v/>
      </c>
      <c r="BL51">
        <f>SUMIFS(T_Shipments[Confirmed_Qty],T_Shipments[Part Name],$A51,T_Shipments[Effective_Week],63)</f>
        <v/>
      </c>
      <c r="BM51">
        <f>SUMIFS(T_Shipments[Confirmed_Qty],T_Shipments[Part Name],$A51,T_Shipments[Effective_Week],64)</f>
        <v/>
      </c>
      <c r="BN51">
        <f>SUMIFS(T_Shipments[Confirmed_Qty],T_Shipments[Part Name],$A51,T_Shipments[Effective_Week],65)</f>
        <v/>
      </c>
      <c r="BO51">
        <f>SUMIFS(T_Shipments[Confirmed_Qty],T_Shipments[Part Name],$A51,T_Shipments[Effective_Week],66)</f>
        <v/>
      </c>
      <c r="BP51">
        <f>SUMIFS(T_Shipments[Confirmed_Qty],T_Shipments[Part Name],$A51,T_Shipments[Effective_Week],67)</f>
        <v/>
      </c>
      <c r="BQ51">
        <f>SUMIFS(T_Shipments[Confirmed_Qty],T_Shipments[Part Name],$A51,T_Shipments[Effective_Week],68)</f>
        <v/>
      </c>
      <c r="BR51">
        <f>SUMIFS(T_Shipments[Confirmed_Qty],T_Shipments[Part Name],$A51,T_Shipments[Effective_Week],69)</f>
        <v/>
      </c>
      <c r="BS51">
        <f>SUMIFS(T_Shipments[Confirmed_Qty],T_Shipments[Part Name],$A51,T_Shipments[Effective_Week],70)</f>
        <v/>
      </c>
      <c r="BT51">
        <f>SUMIFS(T_Shipments[Confirmed_Qty],T_Shipments[Part Name],$A51,T_Shipments[Effective_Week],71)</f>
        <v/>
      </c>
      <c r="BU51">
        <f>SUMIFS(T_Shipments[Confirmed_Qty],T_Shipments[Part Name],$A51,T_Shipments[Effective_Week],72)</f>
        <v/>
      </c>
      <c r="BV51">
        <f>SUMIFS(T_Shipments[Confirmed_Qty],T_Shipments[Part Name],$A51,T_Shipments[Effective_Week],73)</f>
        <v/>
      </c>
      <c r="BW51">
        <f>SUMIFS(T_Shipments[Confirmed_Qty],T_Shipments[Part Name],$A51,T_Shipments[Effective_Week],74)</f>
        <v/>
      </c>
      <c r="BX51">
        <f>SUMIFS(T_Shipments[Confirmed_Qty],T_Shipments[Part Name],$A51,T_Shipments[Effective_Week],75)</f>
        <v/>
      </c>
      <c r="BY51">
        <f>SUMIFS(T_Shipments[Confirmed_Qty],T_Shipments[Part Name],$A51,T_Shipments[Effective_Week],76)</f>
        <v/>
      </c>
      <c r="BZ51">
        <f>SUMIFS(T_Shipments[Confirmed_Qty],T_Shipments[Part Name],$A51,T_Shipments[Effective_Week],77)</f>
        <v/>
      </c>
      <c r="CA51">
        <f>SUMIFS(T_Shipments[Confirmed_Qty],T_Shipments[Part Name],$A51,T_Shipments[Effective_Week],78)</f>
        <v/>
      </c>
      <c r="CB51">
        <f>SUMIFS(T_Shipments[Confirmed_Qty],T_Shipments[Part Name],$A51,T_Shipments[Effective_Week],79)</f>
        <v/>
      </c>
      <c r="CC51">
        <f>SUMIFS(T_Shipments[Confirmed_Qty],T_Shipments[Part Name],$A51,T_Shipments[Effective_Week],80)</f>
        <v/>
      </c>
      <c r="CD51">
        <f>SUMIFS(T_Shipments[Confirmed_Qty],T_Shipments[Part Name],$A51,T_Shipments[Effective_Week],81)</f>
        <v/>
      </c>
      <c r="CE51">
        <f>SUMIFS(T_Shipments[Confirmed_Qty],T_Shipments[Part Name],$A51,T_Shipments[Effective_Week],82)</f>
        <v/>
      </c>
      <c r="CF51">
        <f>SUMIFS(T_Shipments[Confirmed_Qty],T_Shipments[Part Name],$A51,T_Shipments[Effective_Week],83)</f>
        <v/>
      </c>
      <c r="CG51">
        <f>SUMIFS(T_Shipments[Confirmed_Qty],T_Shipments[Part Name],$A51,T_Shipments[Effective_Week],84)</f>
        <v/>
      </c>
      <c r="CH51">
        <f>SUMIFS(T_Shipments[Confirmed_Qty],T_Shipments[Part Name],$A51,T_Shipments[Effective_Week],85)</f>
        <v/>
      </c>
      <c r="CI51">
        <f>SUMIFS(T_Shipments[Confirmed_Qty],T_Shipments[Part Name],$A51,T_Shipments[Effective_Week],86)</f>
        <v/>
      </c>
      <c r="CJ51">
        <f>SUMIFS(T_Shipments[Confirmed_Qty],T_Shipments[Part Name],$A51,T_Shipments[Effective_Week],87)</f>
        <v/>
      </c>
      <c r="CK51">
        <f>SUMIFS(T_Shipments[Confirmed_Qty],T_Shipments[Part Name],$A51,T_Shipments[Effective_Week],88)</f>
        <v/>
      </c>
      <c r="CL51">
        <f>SUMIFS(T_Shipments[Confirmed_Qty],T_Shipments[Part Name],$A51,T_Shipments[Effective_Week],89)</f>
        <v/>
      </c>
      <c r="CM51">
        <f>SUMIFS(T_Shipments[Confirmed_Qty],T_Shipments[Part Name],$A51,T_Shipments[Effective_Week],90)</f>
        <v/>
      </c>
      <c r="CN51">
        <f>SUMIFS(T_Shipments[Confirmed_Qty],T_Shipments[Part Name],$A51,T_Shipments[Effective_Week],91)</f>
        <v/>
      </c>
      <c r="CO51">
        <f>SUMIFS(T_Shipments[Confirmed_Qty],T_Shipments[Part Name],$A51,T_Shipments[Effective_Week],92)</f>
        <v/>
      </c>
      <c r="CP51">
        <f>SUMIFS(T_Shipments[Confirmed_Qty],T_Shipments[Part Name],$A51,T_Shipments[Effective_Week],93)</f>
        <v/>
      </c>
      <c r="CQ51">
        <f>SUMIFS(T_Shipments[Confirmed_Qty],T_Shipments[Part Name],$A51,T_Shipments[Effective_Week],94)</f>
        <v/>
      </c>
      <c r="CR51">
        <f>SUMIFS(T_Shipments[Confirmed_Qty],T_Shipments[Part Name],$A51,T_Shipments[Effective_Week],95)</f>
        <v/>
      </c>
      <c r="CS51">
        <f>SUMIFS(T_Shipments[Confirmed_Qty],T_Shipments[Part Name],$A51,T_Shipments[Effective_Week],96)</f>
        <v/>
      </c>
      <c r="CT51">
        <f>SUMIFS(T_Shipments[Confirmed_Qty],T_Shipments[Part Name],$A51,T_Shipments[Effective_Week],97)</f>
        <v/>
      </c>
      <c r="CU51">
        <f>SUMIFS(T_Shipments[Confirmed_Qty],T_Shipments[Part Name],$A51,T_Shipments[Effective_Week],98)</f>
        <v/>
      </c>
      <c r="CV51">
        <f>SUMIFS(T_Shipments[Confirmed_Qty],T_Shipments[Part Name],$A51,T_Shipments[Effective_Week],99)</f>
        <v/>
      </c>
      <c r="CW51">
        <f>SUMIFS(T_Shipments[Confirmed_Qty],T_Shipments[Part Name],$A51,T_Shipments[Effective_Week],100)</f>
        <v/>
      </c>
      <c r="CX51">
        <f>SUMIFS(T_Shipments[Confirmed_Qty],T_Shipments[Part Name],$A51,T_Shipments[Effective_Week],101)</f>
        <v/>
      </c>
      <c r="CY51">
        <f>SUMIFS(T_Shipments[Confirmed_Qty],T_Shipments[Part Name],$A51,T_Shipments[Effective_Week],102)</f>
        <v/>
      </c>
      <c r="CZ51">
        <f>SUMIFS(T_Shipments[Confirmed_Qty],T_Shipments[Part Name],$A51,T_Shipments[Effective_Week],103)</f>
        <v/>
      </c>
      <c r="DA51">
        <f>SUMIFS(T_Shipments[Confirmed_Qty],T_Shipments[Part Name],$A51,T_Shipments[Effective_Week],104)</f>
        <v/>
      </c>
    </row>
    <row r="52">
      <c r="A52" t="inlineStr">
        <is>
          <t>Original Towel</t>
        </is>
      </c>
      <c r="B52">
        <f>SUMIFS(T_Shipments[Confirmed_Qty],T_Shipments[Part Name],$A52,T_Shipments[Effective_Week],1)</f>
        <v/>
      </c>
      <c r="C52">
        <f>SUMIFS(T_Shipments[Confirmed_Qty],T_Shipments[Part Name],$A52,T_Shipments[Effective_Week],2)</f>
        <v/>
      </c>
      <c r="D52">
        <f>SUMIFS(T_Shipments[Confirmed_Qty],T_Shipments[Part Name],$A52,T_Shipments[Effective_Week],3)</f>
        <v/>
      </c>
      <c r="E52">
        <f>SUMIFS(T_Shipments[Confirmed_Qty],T_Shipments[Part Name],$A52,T_Shipments[Effective_Week],4)</f>
        <v/>
      </c>
      <c r="F52">
        <f>SUMIFS(T_Shipments[Confirmed_Qty],T_Shipments[Part Name],$A52,T_Shipments[Effective_Week],5)</f>
        <v/>
      </c>
      <c r="G52">
        <f>SUMIFS(T_Shipments[Confirmed_Qty],T_Shipments[Part Name],$A52,T_Shipments[Effective_Week],6)</f>
        <v/>
      </c>
      <c r="H52">
        <f>SUMIFS(T_Shipments[Confirmed_Qty],T_Shipments[Part Name],$A52,T_Shipments[Effective_Week],7)</f>
        <v/>
      </c>
      <c r="I52">
        <f>SUMIFS(T_Shipments[Confirmed_Qty],T_Shipments[Part Name],$A52,T_Shipments[Effective_Week],8)</f>
        <v/>
      </c>
      <c r="J52">
        <f>SUMIFS(T_Shipments[Confirmed_Qty],T_Shipments[Part Name],$A52,T_Shipments[Effective_Week],9)</f>
        <v/>
      </c>
      <c r="K52">
        <f>SUMIFS(T_Shipments[Confirmed_Qty],T_Shipments[Part Name],$A52,T_Shipments[Effective_Week],10)</f>
        <v/>
      </c>
      <c r="L52">
        <f>SUMIFS(T_Shipments[Confirmed_Qty],T_Shipments[Part Name],$A52,T_Shipments[Effective_Week],11)</f>
        <v/>
      </c>
      <c r="M52">
        <f>SUMIFS(T_Shipments[Confirmed_Qty],T_Shipments[Part Name],$A52,T_Shipments[Effective_Week],12)</f>
        <v/>
      </c>
      <c r="N52">
        <f>SUMIFS(T_Shipments[Confirmed_Qty],T_Shipments[Part Name],$A52,T_Shipments[Effective_Week],13)</f>
        <v/>
      </c>
      <c r="O52">
        <f>SUMIFS(T_Shipments[Confirmed_Qty],T_Shipments[Part Name],$A52,T_Shipments[Effective_Week],14)</f>
        <v/>
      </c>
      <c r="P52">
        <f>SUMIFS(T_Shipments[Confirmed_Qty],T_Shipments[Part Name],$A52,T_Shipments[Effective_Week],15)</f>
        <v/>
      </c>
      <c r="Q52">
        <f>SUMIFS(T_Shipments[Confirmed_Qty],T_Shipments[Part Name],$A52,T_Shipments[Effective_Week],16)</f>
        <v/>
      </c>
      <c r="R52">
        <f>SUMIFS(T_Shipments[Confirmed_Qty],T_Shipments[Part Name],$A52,T_Shipments[Effective_Week],17)</f>
        <v/>
      </c>
      <c r="S52">
        <f>SUMIFS(T_Shipments[Confirmed_Qty],T_Shipments[Part Name],$A52,T_Shipments[Effective_Week],18)</f>
        <v/>
      </c>
      <c r="T52">
        <f>SUMIFS(T_Shipments[Confirmed_Qty],T_Shipments[Part Name],$A52,T_Shipments[Effective_Week],19)</f>
        <v/>
      </c>
      <c r="U52">
        <f>SUMIFS(T_Shipments[Confirmed_Qty],T_Shipments[Part Name],$A52,T_Shipments[Effective_Week],20)</f>
        <v/>
      </c>
      <c r="V52">
        <f>SUMIFS(T_Shipments[Confirmed_Qty],T_Shipments[Part Name],$A52,T_Shipments[Effective_Week],21)</f>
        <v/>
      </c>
      <c r="W52">
        <f>SUMIFS(T_Shipments[Confirmed_Qty],T_Shipments[Part Name],$A52,T_Shipments[Effective_Week],22)</f>
        <v/>
      </c>
      <c r="X52">
        <f>SUMIFS(T_Shipments[Confirmed_Qty],T_Shipments[Part Name],$A52,T_Shipments[Effective_Week],23)</f>
        <v/>
      </c>
      <c r="Y52">
        <f>SUMIFS(T_Shipments[Confirmed_Qty],T_Shipments[Part Name],$A52,T_Shipments[Effective_Week],24)</f>
        <v/>
      </c>
      <c r="Z52">
        <f>SUMIFS(T_Shipments[Confirmed_Qty],T_Shipments[Part Name],$A52,T_Shipments[Effective_Week],25)</f>
        <v/>
      </c>
      <c r="AA52">
        <f>SUMIFS(T_Shipments[Confirmed_Qty],T_Shipments[Part Name],$A52,T_Shipments[Effective_Week],26)</f>
        <v/>
      </c>
      <c r="AB52">
        <f>SUMIFS(T_Shipments[Confirmed_Qty],T_Shipments[Part Name],$A52,T_Shipments[Effective_Week],27)</f>
        <v/>
      </c>
      <c r="AC52">
        <f>SUMIFS(T_Shipments[Confirmed_Qty],T_Shipments[Part Name],$A52,T_Shipments[Effective_Week],28)</f>
        <v/>
      </c>
      <c r="AD52">
        <f>SUMIFS(T_Shipments[Confirmed_Qty],T_Shipments[Part Name],$A52,T_Shipments[Effective_Week],29)</f>
        <v/>
      </c>
      <c r="AE52">
        <f>SUMIFS(T_Shipments[Confirmed_Qty],T_Shipments[Part Name],$A52,T_Shipments[Effective_Week],30)</f>
        <v/>
      </c>
      <c r="AF52">
        <f>SUMIFS(T_Shipments[Confirmed_Qty],T_Shipments[Part Name],$A52,T_Shipments[Effective_Week],31)</f>
        <v/>
      </c>
      <c r="AG52">
        <f>SUMIFS(T_Shipments[Confirmed_Qty],T_Shipments[Part Name],$A52,T_Shipments[Effective_Week],32)</f>
        <v/>
      </c>
      <c r="AH52">
        <f>SUMIFS(T_Shipments[Confirmed_Qty],T_Shipments[Part Name],$A52,T_Shipments[Effective_Week],33)</f>
        <v/>
      </c>
      <c r="AI52">
        <f>SUMIFS(T_Shipments[Confirmed_Qty],T_Shipments[Part Name],$A52,T_Shipments[Effective_Week],34)</f>
        <v/>
      </c>
      <c r="AJ52">
        <f>SUMIFS(T_Shipments[Confirmed_Qty],T_Shipments[Part Name],$A52,T_Shipments[Effective_Week],35)</f>
        <v/>
      </c>
      <c r="AK52">
        <f>SUMIFS(T_Shipments[Confirmed_Qty],T_Shipments[Part Name],$A52,T_Shipments[Effective_Week],36)</f>
        <v/>
      </c>
      <c r="AL52">
        <f>SUMIFS(T_Shipments[Confirmed_Qty],T_Shipments[Part Name],$A52,T_Shipments[Effective_Week],37)</f>
        <v/>
      </c>
      <c r="AM52">
        <f>SUMIFS(T_Shipments[Confirmed_Qty],T_Shipments[Part Name],$A52,T_Shipments[Effective_Week],38)</f>
        <v/>
      </c>
      <c r="AN52">
        <f>SUMIFS(T_Shipments[Confirmed_Qty],T_Shipments[Part Name],$A52,T_Shipments[Effective_Week],39)</f>
        <v/>
      </c>
      <c r="AO52">
        <f>SUMIFS(T_Shipments[Confirmed_Qty],T_Shipments[Part Name],$A52,T_Shipments[Effective_Week],40)</f>
        <v/>
      </c>
      <c r="AP52">
        <f>SUMIFS(T_Shipments[Confirmed_Qty],T_Shipments[Part Name],$A52,T_Shipments[Effective_Week],41)</f>
        <v/>
      </c>
      <c r="AQ52">
        <f>SUMIFS(T_Shipments[Confirmed_Qty],T_Shipments[Part Name],$A52,T_Shipments[Effective_Week],42)</f>
        <v/>
      </c>
      <c r="AR52">
        <f>SUMIFS(T_Shipments[Confirmed_Qty],T_Shipments[Part Name],$A52,T_Shipments[Effective_Week],43)</f>
        <v/>
      </c>
      <c r="AS52">
        <f>SUMIFS(T_Shipments[Confirmed_Qty],T_Shipments[Part Name],$A52,T_Shipments[Effective_Week],44)</f>
        <v/>
      </c>
      <c r="AT52">
        <f>SUMIFS(T_Shipments[Confirmed_Qty],T_Shipments[Part Name],$A52,T_Shipments[Effective_Week],45)</f>
        <v/>
      </c>
      <c r="AU52">
        <f>SUMIFS(T_Shipments[Confirmed_Qty],T_Shipments[Part Name],$A52,T_Shipments[Effective_Week],46)</f>
        <v/>
      </c>
      <c r="AV52">
        <f>SUMIFS(T_Shipments[Confirmed_Qty],T_Shipments[Part Name],$A52,T_Shipments[Effective_Week],47)</f>
        <v/>
      </c>
      <c r="AW52">
        <f>SUMIFS(T_Shipments[Confirmed_Qty],T_Shipments[Part Name],$A52,T_Shipments[Effective_Week],48)</f>
        <v/>
      </c>
      <c r="AX52">
        <f>SUMIFS(T_Shipments[Confirmed_Qty],T_Shipments[Part Name],$A52,T_Shipments[Effective_Week],49)</f>
        <v/>
      </c>
      <c r="AY52">
        <f>SUMIFS(T_Shipments[Confirmed_Qty],T_Shipments[Part Name],$A52,T_Shipments[Effective_Week],50)</f>
        <v/>
      </c>
      <c r="AZ52">
        <f>SUMIFS(T_Shipments[Confirmed_Qty],T_Shipments[Part Name],$A52,T_Shipments[Effective_Week],51)</f>
        <v/>
      </c>
      <c r="BA52">
        <f>SUMIFS(T_Shipments[Confirmed_Qty],T_Shipments[Part Name],$A52,T_Shipments[Effective_Week],52)</f>
        <v/>
      </c>
      <c r="BB52">
        <f>SUMIFS(T_Shipments[Confirmed_Qty],T_Shipments[Part Name],$A52,T_Shipments[Effective_Week],53)</f>
        <v/>
      </c>
      <c r="BC52">
        <f>SUMIFS(T_Shipments[Confirmed_Qty],T_Shipments[Part Name],$A52,T_Shipments[Effective_Week],54)</f>
        <v/>
      </c>
      <c r="BD52">
        <f>SUMIFS(T_Shipments[Confirmed_Qty],T_Shipments[Part Name],$A52,T_Shipments[Effective_Week],55)</f>
        <v/>
      </c>
      <c r="BE52">
        <f>SUMIFS(T_Shipments[Confirmed_Qty],T_Shipments[Part Name],$A52,T_Shipments[Effective_Week],56)</f>
        <v/>
      </c>
      <c r="BF52">
        <f>SUMIFS(T_Shipments[Confirmed_Qty],T_Shipments[Part Name],$A52,T_Shipments[Effective_Week],57)</f>
        <v/>
      </c>
      <c r="BG52">
        <f>SUMIFS(T_Shipments[Confirmed_Qty],T_Shipments[Part Name],$A52,T_Shipments[Effective_Week],58)</f>
        <v/>
      </c>
      <c r="BH52">
        <f>SUMIFS(T_Shipments[Confirmed_Qty],T_Shipments[Part Name],$A52,T_Shipments[Effective_Week],59)</f>
        <v/>
      </c>
      <c r="BI52">
        <f>SUMIFS(T_Shipments[Confirmed_Qty],T_Shipments[Part Name],$A52,T_Shipments[Effective_Week],60)</f>
        <v/>
      </c>
      <c r="BJ52">
        <f>SUMIFS(T_Shipments[Confirmed_Qty],T_Shipments[Part Name],$A52,T_Shipments[Effective_Week],61)</f>
        <v/>
      </c>
      <c r="BK52">
        <f>SUMIFS(T_Shipments[Confirmed_Qty],T_Shipments[Part Name],$A52,T_Shipments[Effective_Week],62)</f>
        <v/>
      </c>
      <c r="BL52">
        <f>SUMIFS(T_Shipments[Confirmed_Qty],T_Shipments[Part Name],$A52,T_Shipments[Effective_Week],63)</f>
        <v/>
      </c>
      <c r="BM52">
        <f>SUMIFS(T_Shipments[Confirmed_Qty],T_Shipments[Part Name],$A52,T_Shipments[Effective_Week],64)</f>
        <v/>
      </c>
      <c r="BN52">
        <f>SUMIFS(T_Shipments[Confirmed_Qty],T_Shipments[Part Name],$A52,T_Shipments[Effective_Week],65)</f>
        <v/>
      </c>
      <c r="BO52">
        <f>SUMIFS(T_Shipments[Confirmed_Qty],T_Shipments[Part Name],$A52,T_Shipments[Effective_Week],66)</f>
        <v/>
      </c>
      <c r="BP52">
        <f>SUMIFS(T_Shipments[Confirmed_Qty],T_Shipments[Part Name],$A52,T_Shipments[Effective_Week],67)</f>
        <v/>
      </c>
      <c r="BQ52">
        <f>SUMIFS(T_Shipments[Confirmed_Qty],T_Shipments[Part Name],$A52,T_Shipments[Effective_Week],68)</f>
        <v/>
      </c>
      <c r="BR52">
        <f>SUMIFS(T_Shipments[Confirmed_Qty],T_Shipments[Part Name],$A52,T_Shipments[Effective_Week],69)</f>
        <v/>
      </c>
      <c r="BS52">
        <f>SUMIFS(T_Shipments[Confirmed_Qty],T_Shipments[Part Name],$A52,T_Shipments[Effective_Week],70)</f>
        <v/>
      </c>
      <c r="BT52">
        <f>SUMIFS(T_Shipments[Confirmed_Qty],T_Shipments[Part Name],$A52,T_Shipments[Effective_Week],71)</f>
        <v/>
      </c>
      <c r="BU52">
        <f>SUMIFS(T_Shipments[Confirmed_Qty],T_Shipments[Part Name],$A52,T_Shipments[Effective_Week],72)</f>
        <v/>
      </c>
      <c r="BV52">
        <f>SUMIFS(T_Shipments[Confirmed_Qty],T_Shipments[Part Name],$A52,T_Shipments[Effective_Week],73)</f>
        <v/>
      </c>
      <c r="BW52">
        <f>SUMIFS(T_Shipments[Confirmed_Qty],T_Shipments[Part Name],$A52,T_Shipments[Effective_Week],74)</f>
        <v/>
      </c>
      <c r="BX52">
        <f>SUMIFS(T_Shipments[Confirmed_Qty],T_Shipments[Part Name],$A52,T_Shipments[Effective_Week],75)</f>
        <v/>
      </c>
      <c r="BY52">
        <f>SUMIFS(T_Shipments[Confirmed_Qty],T_Shipments[Part Name],$A52,T_Shipments[Effective_Week],76)</f>
        <v/>
      </c>
      <c r="BZ52">
        <f>SUMIFS(T_Shipments[Confirmed_Qty],T_Shipments[Part Name],$A52,T_Shipments[Effective_Week],77)</f>
        <v/>
      </c>
      <c r="CA52">
        <f>SUMIFS(T_Shipments[Confirmed_Qty],T_Shipments[Part Name],$A52,T_Shipments[Effective_Week],78)</f>
        <v/>
      </c>
      <c r="CB52">
        <f>SUMIFS(T_Shipments[Confirmed_Qty],T_Shipments[Part Name],$A52,T_Shipments[Effective_Week],79)</f>
        <v/>
      </c>
      <c r="CC52">
        <f>SUMIFS(T_Shipments[Confirmed_Qty],T_Shipments[Part Name],$A52,T_Shipments[Effective_Week],80)</f>
        <v/>
      </c>
      <c r="CD52">
        <f>SUMIFS(T_Shipments[Confirmed_Qty],T_Shipments[Part Name],$A52,T_Shipments[Effective_Week],81)</f>
        <v/>
      </c>
      <c r="CE52">
        <f>SUMIFS(T_Shipments[Confirmed_Qty],T_Shipments[Part Name],$A52,T_Shipments[Effective_Week],82)</f>
        <v/>
      </c>
      <c r="CF52">
        <f>SUMIFS(T_Shipments[Confirmed_Qty],T_Shipments[Part Name],$A52,T_Shipments[Effective_Week],83)</f>
        <v/>
      </c>
      <c r="CG52">
        <f>SUMIFS(T_Shipments[Confirmed_Qty],T_Shipments[Part Name],$A52,T_Shipments[Effective_Week],84)</f>
        <v/>
      </c>
      <c r="CH52">
        <f>SUMIFS(T_Shipments[Confirmed_Qty],T_Shipments[Part Name],$A52,T_Shipments[Effective_Week],85)</f>
        <v/>
      </c>
      <c r="CI52">
        <f>SUMIFS(T_Shipments[Confirmed_Qty],T_Shipments[Part Name],$A52,T_Shipments[Effective_Week],86)</f>
        <v/>
      </c>
      <c r="CJ52">
        <f>SUMIFS(T_Shipments[Confirmed_Qty],T_Shipments[Part Name],$A52,T_Shipments[Effective_Week],87)</f>
        <v/>
      </c>
      <c r="CK52">
        <f>SUMIFS(T_Shipments[Confirmed_Qty],T_Shipments[Part Name],$A52,T_Shipments[Effective_Week],88)</f>
        <v/>
      </c>
      <c r="CL52">
        <f>SUMIFS(T_Shipments[Confirmed_Qty],T_Shipments[Part Name],$A52,T_Shipments[Effective_Week],89)</f>
        <v/>
      </c>
      <c r="CM52">
        <f>SUMIFS(T_Shipments[Confirmed_Qty],T_Shipments[Part Name],$A52,T_Shipments[Effective_Week],90)</f>
        <v/>
      </c>
      <c r="CN52">
        <f>SUMIFS(T_Shipments[Confirmed_Qty],T_Shipments[Part Name],$A52,T_Shipments[Effective_Week],91)</f>
        <v/>
      </c>
      <c r="CO52">
        <f>SUMIFS(T_Shipments[Confirmed_Qty],T_Shipments[Part Name],$A52,T_Shipments[Effective_Week],92)</f>
        <v/>
      </c>
      <c r="CP52">
        <f>SUMIFS(T_Shipments[Confirmed_Qty],T_Shipments[Part Name],$A52,T_Shipments[Effective_Week],93)</f>
        <v/>
      </c>
      <c r="CQ52">
        <f>SUMIFS(T_Shipments[Confirmed_Qty],T_Shipments[Part Name],$A52,T_Shipments[Effective_Week],94)</f>
        <v/>
      </c>
      <c r="CR52">
        <f>SUMIFS(T_Shipments[Confirmed_Qty],T_Shipments[Part Name],$A52,T_Shipments[Effective_Week],95)</f>
        <v/>
      </c>
      <c r="CS52">
        <f>SUMIFS(T_Shipments[Confirmed_Qty],T_Shipments[Part Name],$A52,T_Shipments[Effective_Week],96)</f>
        <v/>
      </c>
      <c r="CT52">
        <f>SUMIFS(T_Shipments[Confirmed_Qty],T_Shipments[Part Name],$A52,T_Shipments[Effective_Week],97)</f>
        <v/>
      </c>
      <c r="CU52">
        <f>SUMIFS(T_Shipments[Confirmed_Qty],T_Shipments[Part Name],$A52,T_Shipments[Effective_Week],98)</f>
        <v/>
      </c>
      <c r="CV52">
        <f>SUMIFS(T_Shipments[Confirmed_Qty],T_Shipments[Part Name],$A52,T_Shipments[Effective_Week],99)</f>
        <v/>
      </c>
      <c r="CW52">
        <f>SUMIFS(T_Shipments[Confirmed_Qty],T_Shipments[Part Name],$A52,T_Shipments[Effective_Week],100)</f>
        <v/>
      </c>
      <c r="CX52">
        <f>SUMIFS(T_Shipments[Confirmed_Qty],T_Shipments[Part Name],$A52,T_Shipments[Effective_Week],101)</f>
        <v/>
      </c>
      <c r="CY52">
        <f>SUMIFS(T_Shipments[Confirmed_Qty],T_Shipments[Part Name],$A52,T_Shipments[Effective_Week],102)</f>
        <v/>
      </c>
      <c r="CZ52">
        <f>SUMIFS(T_Shipments[Confirmed_Qty],T_Shipments[Part Name],$A52,T_Shipments[Effective_Week],103)</f>
        <v/>
      </c>
      <c r="DA52">
        <f>SUMIFS(T_Shipments[Confirmed_Qty],T_Shipments[Part Name],$A52,T_Shipments[Effective_Week],104)</f>
        <v/>
      </c>
    </row>
    <row r="53">
      <c r="A53" t="inlineStr">
        <is>
          <t>Ester Film</t>
        </is>
      </c>
      <c r="B53">
        <f>SUMIFS(T_Shipments[Confirmed_Qty],T_Shipments[Part Name],$A53,T_Shipments[Effective_Week],1)</f>
        <v/>
      </c>
      <c r="C53">
        <f>SUMIFS(T_Shipments[Confirmed_Qty],T_Shipments[Part Name],$A53,T_Shipments[Effective_Week],2)</f>
        <v/>
      </c>
      <c r="D53">
        <f>SUMIFS(T_Shipments[Confirmed_Qty],T_Shipments[Part Name],$A53,T_Shipments[Effective_Week],3)</f>
        <v/>
      </c>
      <c r="E53">
        <f>SUMIFS(T_Shipments[Confirmed_Qty],T_Shipments[Part Name],$A53,T_Shipments[Effective_Week],4)</f>
        <v/>
      </c>
      <c r="F53">
        <f>SUMIFS(T_Shipments[Confirmed_Qty],T_Shipments[Part Name],$A53,T_Shipments[Effective_Week],5)</f>
        <v/>
      </c>
      <c r="G53">
        <f>SUMIFS(T_Shipments[Confirmed_Qty],T_Shipments[Part Name],$A53,T_Shipments[Effective_Week],6)</f>
        <v/>
      </c>
      <c r="H53">
        <f>SUMIFS(T_Shipments[Confirmed_Qty],T_Shipments[Part Name],$A53,T_Shipments[Effective_Week],7)</f>
        <v/>
      </c>
      <c r="I53">
        <f>SUMIFS(T_Shipments[Confirmed_Qty],T_Shipments[Part Name],$A53,T_Shipments[Effective_Week],8)</f>
        <v/>
      </c>
      <c r="J53">
        <f>SUMIFS(T_Shipments[Confirmed_Qty],T_Shipments[Part Name],$A53,T_Shipments[Effective_Week],9)</f>
        <v/>
      </c>
      <c r="K53">
        <f>SUMIFS(T_Shipments[Confirmed_Qty],T_Shipments[Part Name],$A53,T_Shipments[Effective_Week],10)</f>
        <v/>
      </c>
      <c r="L53">
        <f>SUMIFS(T_Shipments[Confirmed_Qty],T_Shipments[Part Name],$A53,T_Shipments[Effective_Week],11)</f>
        <v/>
      </c>
      <c r="M53">
        <f>SUMIFS(T_Shipments[Confirmed_Qty],T_Shipments[Part Name],$A53,T_Shipments[Effective_Week],12)</f>
        <v/>
      </c>
      <c r="N53">
        <f>SUMIFS(T_Shipments[Confirmed_Qty],T_Shipments[Part Name],$A53,T_Shipments[Effective_Week],13)</f>
        <v/>
      </c>
      <c r="O53">
        <f>SUMIFS(T_Shipments[Confirmed_Qty],T_Shipments[Part Name],$A53,T_Shipments[Effective_Week],14)</f>
        <v/>
      </c>
      <c r="P53">
        <f>SUMIFS(T_Shipments[Confirmed_Qty],T_Shipments[Part Name],$A53,T_Shipments[Effective_Week],15)</f>
        <v/>
      </c>
      <c r="Q53">
        <f>SUMIFS(T_Shipments[Confirmed_Qty],T_Shipments[Part Name],$A53,T_Shipments[Effective_Week],16)</f>
        <v/>
      </c>
      <c r="R53">
        <f>SUMIFS(T_Shipments[Confirmed_Qty],T_Shipments[Part Name],$A53,T_Shipments[Effective_Week],17)</f>
        <v/>
      </c>
      <c r="S53">
        <f>SUMIFS(T_Shipments[Confirmed_Qty],T_Shipments[Part Name],$A53,T_Shipments[Effective_Week],18)</f>
        <v/>
      </c>
      <c r="T53">
        <f>SUMIFS(T_Shipments[Confirmed_Qty],T_Shipments[Part Name],$A53,T_Shipments[Effective_Week],19)</f>
        <v/>
      </c>
      <c r="U53">
        <f>SUMIFS(T_Shipments[Confirmed_Qty],T_Shipments[Part Name],$A53,T_Shipments[Effective_Week],20)</f>
        <v/>
      </c>
      <c r="V53">
        <f>SUMIFS(T_Shipments[Confirmed_Qty],T_Shipments[Part Name],$A53,T_Shipments[Effective_Week],21)</f>
        <v/>
      </c>
      <c r="W53">
        <f>SUMIFS(T_Shipments[Confirmed_Qty],T_Shipments[Part Name],$A53,T_Shipments[Effective_Week],22)</f>
        <v/>
      </c>
      <c r="X53">
        <f>SUMIFS(T_Shipments[Confirmed_Qty],T_Shipments[Part Name],$A53,T_Shipments[Effective_Week],23)</f>
        <v/>
      </c>
      <c r="Y53">
        <f>SUMIFS(T_Shipments[Confirmed_Qty],T_Shipments[Part Name],$A53,T_Shipments[Effective_Week],24)</f>
        <v/>
      </c>
      <c r="Z53">
        <f>SUMIFS(T_Shipments[Confirmed_Qty],T_Shipments[Part Name],$A53,T_Shipments[Effective_Week],25)</f>
        <v/>
      </c>
      <c r="AA53">
        <f>SUMIFS(T_Shipments[Confirmed_Qty],T_Shipments[Part Name],$A53,T_Shipments[Effective_Week],26)</f>
        <v/>
      </c>
      <c r="AB53">
        <f>SUMIFS(T_Shipments[Confirmed_Qty],T_Shipments[Part Name],$A53,T_Shipments[Effective_Week],27)</f>
        <v/>
      </c>
      <c r="AC53">
        <f>SUMIFS(T_Shipments[Confirmed_Qty],T_Shipments[Part Name],$A53,T_Shipments[Effective_Week],28)</f>
        <v/>
      </c>
      <c r="AD53">
        <f>SUMIFS(T_Shipments[Confirmed_Qty],T_Shipments[Part Name],$A53,T_Shipments[Effective_Week],29)</f>
        <v/>
      </c>
      <c r="AE53">
        <f>SUMIFS(T_Shipments[Confirmed_Qty],T_Shipments[Part Name],$A53,T_Shipments[Effective_Week],30)</f>
        <v/>
      </c>
      <c r="AF53">
        <f>SUMIFS(T_Shipments[Confirmed_Qty],T_Shipments[Part Name],$A53,T_Shipments[Effective_Week],31)</f>
        <v/>
      </c>
      <c r="AG53">
        <f>SUMIFS(T_Shipments[Confirmed_Qty],T_Shipments[Part Name],$A53,T_Shipments[Effective_Week],32)</f>
        <v/>
      </c>
      <c r="AH53">
        <f>SUMIFS(T_Shipments[Confirmed_Qty],T_Shipments[Part Name],$A53,T_Shipments[Effective_Week],33)</f>
        <v/>
      </c>
      <c r="AI53">
        <f>SUMIFS(T_Shipments[Confirmed_Qty],T_Shipments[Part Name],$A53,T_Shipments[Effective_Week],34)</f>
        <v/>
      </c>
      <c r="AJ53">
        <f>SUMIFS(T_Shipments[Confirmed_Qty],T_Shipments[Part Name],$A53,T_Shipments[Effective_Week],35)</f>
        <v/>
      </c>
      <c r="AK53">
        <f>SUMIFS(T_Shipments[Confirmed_Qty],T_Shipments[Part Name],$A53,T_Shipments[Effective_Week],36)</f>
        <v/>
      </c>
      <c r="AL53">
        <f>SUMIFS(T_Shipments[Confirmed_Qty],T_Shipments[Part Name],$A53,T_Shipments[Effective_Week],37)</f>
        <v/>
      </c>
      <c r="AM53">
        <f>SUMIFS(T_Shipments[Confirmed_Qty],T_Shipments[Part Name],$A53,T_Shipments[Effective_Week],38)</f>
        <v/>
      </c>
      <c r="AN53">
        <f>SUMIFS(T_Shipments[Confirmed_Qty],T_Shipments[Part Name],$A53,T_Shipments[Effective_Week],39)</f>
        <v/>
      </c>
      <c r="AO53">
        <f>SUMIFS(T_Shipments[Confirmed_Qty],T_Shipments[Part Name],$A53,T_Shipments[Effective_Week],40)</f>
        <v/>
      </c>
      <c r="AP53">
        <f>SUMIFS(T_Shipments[Confirmed_Qty],T_Shipments[Part Name],$A53,T_Shipments[Effective_Week],41)</f>
        <v/>
      </c>
      <c r="AQ53">
        <f>SUMIFS(T_Shipments[Confirmed_Qty],T_Shipments[Part Name],$A53,T_Shipments[Effective_Week],42)</f>
        <v/>
      </c>
      <c r="AR53">
        <f>SUMIFS(T_Shipments[Confirmed_Qty],T_Shipments[Part Name],$A53,T_Shipments[Effective_Week],43)</f>
        <v/>
      </c>
      <c r="AS53">
        <f>SUMIFS(T_Shipments[Confirmed_Qty],T_Shipments[Part Name],$A53,T_Shipments[Effective_Week],44)</f>
        <v/>
      </c>
      <c r="AT53">
        <f>SUMIFS(T_Shipments[Confirmed_Qty],T_Shipments[Part Name],$A53,T_Shipments[Effective_Week],45)</f>
        <v/>
      </c>
      <c r="AU53">
        <f>SUMIFS(T_Shipments[Confirmed_Qty],T_Shipments[Part Name],$A53,T_Shipments[Effective_Week],46)</f>
        <v/>
      </c>
      <c r="AV53">
        <f>SUMIFS(T_Shipments[Confirmed_Qty],T_Shipments[Part Name],$A53,T_Shipments[Effective_Week],47)</f>
        <v/>
      </c>
      <c r="AW53">
        <f>SUMIFS(T_Shipments[Confirmed_Qty],T_Shipments[Part Name],$A53,T_Shipments[Effective_Week],48)</f>
        <v/>
      </c>
      <c r="AX53">
        <f>SUMIFS(T_Shipments[Confirmed_Qty],T_Shipments[Part Name],$A53,T_Shipments[Effective_Week],49)</f>
        <v/>
      </c>
      <c r="AY53">
        <f>SUMIFS(T_Shipments[Confirmed_Qty],T_Shipments[Part Name],$A53,T_Shipments[Effective_Week],50)</f>
        <v/>
      </c>
      <c r="AZ53">
        <f>SUMIFS(T_Shipments[Confirmed_Qty],T_Shipments[Part Name],$A53,T_Shipments[Effective_Week],51)</f>
        <v/>
      </c>
      <c r="BA53">
        <f>SUMIFS(T_Shipments[Confirmed_Qty],T_Shipments[Part Name],$A53,T_Shipments[Effective_Week],52)</f>
        <v/>
      </c>
      <c r="BB53">
        <f>SUMIFS(T_Shipments[Confirmed_Qty],T_Shipments[Part Name],$A53,T_Shipments[Effective_Week],53)</f>
        <v/>
      </c>
      <c r="BC53">
        <f>SUMIFS(T_Shipments[Confirmed_Qty],T_Shipments[Part Name],$A53,T_Shipments[Effective_Week],54)</f>
        <v/>
      </c>
      <c r="BD53">
        <f>SUMIFS(T_Shipments[Confirmed_Qty],T_Shipments[Part Name],$A53,T_Shipments[Effective_Week],55)</f>
        <v/>
      </c>
      <c r="BE53">
        <f>SUMIFS(T_Shipments[Confirmed_Qty],T_Shipments[Part Name],$A53,T_Shipments[Effective_Week],56)</f>
        <v/>
      </c>
      <c r="BF53">
        <f>SUMIFS(T_Shipments[Confirmed_Qty],T_Shipments[Part Name],$A53,T_Shipments[Effective_Week],57)</f>
        <v/>
      </c>
      <c r="BG53">
        <f>SUMIFS(T_Shipments[Confirmed_Qty],T_Shipments[Part Name],$A53,T_Shipments[Effective_Week],58)</f>
        <v/>
      </c>
      <c r="BH53">
        <f>SUMIFS(T_Shipments[Confirmed_Qty],T_Shipments[Part Name],$A53,T_Shipments[Effective_Week],59)</f>
        <v/>
      </c>
      <c r="BI53">
        <f>SUMIFS(T_Shipments[Confirmed_Qty],T_Shipments[Part Name],$A53,T_Shipments[Effective_Week],60)</f>
        <v/>
      </c>
      <c r="BJ53">
        <f>SUMIFS(T_Shipments[Confirmed_Qty],T_Shipments[Part Name],$A53,T_Shipments[Effective_Week],61)</f>
        <v/>
      </c>
      <c r="BK53">
        <f>SUMIFS(T_Shipments[Confirmed_Qty],T_Shipments[Part Name],$A53,T_Shipments[Effective_Week],62)</f>
        <v/>
      </c>
      <c r="BL53">
        <f>SUMIFS(T_Shipments[Confirmed_Qty],T_Shipments[Part Name],$A53,T_Shipments[Effective_Week],63)</f>
        <v/>
      </c>
      <c r="BM53">
        <f>SUMIFS(T_Shipments[Confirmed_Qty],T_Shipments[Part Name],$A53,T_Shipments[Effective_Week],64)</f>
        <v/>
      </c>
      <c r="BN53">
        <f>SUMIFS(T_Shipments[Confirmed_Qty],T_Shipments[Part Name],$A53,T_Shipments[Effective_Week],65)</f>
        <v/>
      </c>
      <c r="BO53">
        <f>SUMIFS(T_Shipments[Confirmed_Qty],T_Shipments[Part Name],$A53,T_Shipments[Effective_Week],66)</f>
        <v/>
      </c>
      <c r="BP53">
        <f>SUMIFS(T_Shipments[Confirmed_Qty],T_Shipments[Part Name],$A53,T_Shipments[Effective_Week],67)</f>
        <v/>
      </c>
      <c r="BQ53">
        <f>SUMIFS(T_Shipments[Confirmed_Qty],T_Shipments[Part Name],$A53,T_Shipments[Effective_Week],68)</f>
        <v/>
      </c>
      <c r="BR53">
        <f>SUMIFS(T_Shipments[Confirmed_Qty],T_Shipments[Part Name],$A53,T_Shipments[Effective_Week],69)</f>
        <v/>
      </c>
      <c r="BS53">
        <f>SUMIFS(T_Shipments[Confirmed_Qty],T_Shipments[Part Name],$A53,T_Shipments[Effective_Week],70)</f>
        <v/>
      </c>
      <c r="BT53">
        <f>SUMIFS(T_Shipments[Confirmed_Qty],T_Shipments[Part Name],$A53,T_Shipments[Effective_Week],71)</f>
        <v/>
      </c>
      <c r="BU53">
        <f>SUMIFS(T_Shipments[Confirmed_Qty],T_Shipments[Part Name],$A53,T_Shipments[Effective_Week],72)</f>
        <v/>
      </c>
      <c r="BV53">
        <f>SUMIFS(T_Shipments[Confirmed_Qty],T_Shipments[Part Name],$A53,T_Shipments[Effective_Week],73)</f>
        <v/>
      </c>
      <c r="BW53">
        <f>SUMIFS(T_Shipments[Confirmed_Qty],T_Shipments[Part Name],$A53,T_Shipments[Effective_Week],74)</f>
        <v/>
      </c>
      <c r="BX53">
        <f>SUMIFS(T_Shipments[Confirmed_Qty],T_Shipments[Part Name],$A53,T_Shipments[Effective_Week],75)</f>
        <v/>
      </c>
      <c r="BY53">
        <f>SUMIFS(T_Shipments[Confirmed_Qty],T_Shipments[Part Name],$A53,T_Shipments[Effective_Week],76)</f>
        <v/>
      </c>
      <c r="BZ53">
        <f>SUMIFS(T_Shipments[Confirmed_Qty],T_Shipments[Part Name],$A53,T_Shipments[Effective_Week],77)</f>
        <v/>
      </c>
      <c r="CA53">
        <f>SUMIFS(T_Shipments[Confirmed_Qty],T_Shipments[Part Name],$A53,T_Shipments[Effective_Week],78)</f>
        <v/>
      </c>
      <c r="CB53">
        <f>SUMIFS(T_Shipments[Confirmed_Qty],T_Shipments[Part Name],$A53,T_Shipments[Effective_Week],79)</f>
        <v/>
      </c>
      <c r="CC53">
        <f>SUMIFS(T_Shipments[Confirmed_Qty],T_Shipments[Part Name],$A53,T_Shipments[Effective_Week],80)</f>
        <v/>
      </c>
      <c r="CD53">
        <f>SUMIFS(T_Shipments[Confirmed_Qty],T_Shipments[Part Name],$A53,T_Shipments[Effective_Week],81)</f>
        <v/>
      </c>
      <c r="CE53">
        <f>SUMIFS(T_Shipments[Confirmed_Qty],T_Shipments[Part Name],$A53,T_Shipments[Effective_Week],82)</f>
        <v/>
      </c>
      <c r="CF53">
        <f>SUMIFS(T_Shipments[Confirmed_Qty],T_Shipments[Part Name],$A53,T_Shipments[Effective_Week],83)</f>
        <v/>
      </c>
      <c r="CG53">
        <f>SUMIFS(T_Shipments[Confirmed_Qty],T_Shipments[Part Name],$A53,T_Shipments[Effective_Week],84)</f>
        <v/>
      </c>
      <c r="CH53">
        <f>SUMIFS(T_Shipments[Confirmed_Qty],T_Shipments[Part Name],$A53,T_Shipments[Effective_Week],85)</f>
        <v/>
      </c>
      <c r="CI53">
        <f>SUMIFS(T_Shipments[Confirmed_Qty],T_Shipments[Part Name],$A53,T_Shipments[Effective_Week],86)</f>
        <v/>
      </c>
      <c r="CJ53">
        <f>SUMIFS(T_Shipments[Confirmed_Qty],T_Shipments[Part Name],$A53,T_Shipments[Effective_Week],87)</f>
        <v/>
      </c>
      <c r="CK53">
        <f>SUMIFS(T_Shipments[Confirmed_Qty],T_Shipments[Part Name],$A53,T_Shipments[Effective_Week],88)</f>
        <v/>
      </c>
      <c r="CL53">
        <f>SUMIFS(T_Shipments[Confirmed_Qty],T_Shipments[Part Name],$A53,T_Shipments[Effective_Week],89)</f>
        <v/>
      </c>
      <c r="CM53">
        <f>SUMIFS(T_Shipments[Confirmed_Qty],T_Shipments[Part Name],$A53,T_Shipments[Effective_Week],90)</f>
        <v/>
      </c>
      <c r="CN53">
        <f>SUMIFS(T_Shipments[Confirmed_Qty],T_Shipments[Part Name],$A53,T_Shipments[Effective_Week],91)</f>
        <v/>
      </c>
      <c r="CO53">
        <f>SUMIFS(T_Shipments[Confirmed_Qty],T_Shipments[Part Name],$A53,T_Shipments[Effective_Week],92)</f>
        <v/>
      </c>
      <c r="CP53">
        <f>SUMIFS(T_Shipments[Confirmed_Qty],T_Shipments[Part Name],$A53,T_Shipments[Effective_Week],93)</f>
        <v/>
      </c>
      <c r="CQ53">
        <f>SUMIFS(T_Shipments[Confirmed_Qty],T_Shipments[Part Name],$A53,T_Shipments[Effective_Week],94)</f>
        <v/>
      </c>
      <c r="CR53">
        <f>SUMIFS(T_Shipments[Confirmed_Qty],T_Shipments[Part Name],$A53,T_Shipments[Effective_Week],95)</f>
        <v/>
      </c>
      <c r="CS53">
        <f>SUMIFS(T_Shipments[Confirmed_Qty],T_Shipments[Part Name],$A53,T_Shipments[Effective_Week],96)</f>
        <v/>
      </c>
      <c r="CT53">
        <f>SUMIFS(T_Shipments[Confirmed_Qty],T_Shipments[Part Name],$A53,T_Shipments[Effective_Week],97)</f>
        <v/>
      </c>
      <c r="CU53">
        <f>SUMIFS(T_Shipments[Confirmed_Qty],T_Shipments[Part Name],$A53,T_Shipments[Effective_Week],98)</f>
        <v/>
      </c>
      <c r="CV53">
        <f>SUMIFS(T_Shipments[Confirmed_Qty],T_Shipments[Part Name],$A53,T_Shipments[Effective_Week],99)</f>
        <v/>
      </c>
      <c r="CW53">
        <f>SUMIFS(T_Shipments[Confirmed_Qty],T_Shipments[Part Name],$A53,T_Shipments[Effective_Week],100)</f>
        <v/>
      </c>
      <c r="CX53">
        <f>SUMIFS(T_Shipments[Confirmed_Qty],T_Shipments[Part Name],$A53,T_Shipments[Effective_Week],101)</f>
        <v/>
      </c>
      <c r="CY53">
        <f>SUMIFS(T_Shipments[Confirmed_Qty],T_Shipments[Part Name],$A53,T_Shipments[Effective_Week],102)</f>
        <v/>
      </c>
      <c r="CZ53">
        <f>SUMIFS(T_Shipments[Confirmed_Qty],T_Shipments[Part Name],$A53,T_Shipments[Effective_Week],103)</f>
        <v/>
      </c>
      <c r="DA53">
        <f>SUMIFS(T_Shipments[Confirmed_Qty],T_Shipments[Part Name],$A53,T_Shipments[Effective_Week],104)</f>
        <v/>
      </c>
    </row>
    <row r="54">
      <c r="A54" t="inlineStr">
        <is>
          <t>PP Film</t>
        </is>
      </c>
      <c r="B54">
        <f>SUMIFS(T_Shipments[Confirmed_Qty],T_Shipments[Part Name],$A54,T_Shipments[Effective_Week],1)</f>
        <v/>
      </c>
      <c r="C54">
        <f>SUMIFS(T_Shipments[Confirmed_Qty],T_Shipments[Part Name],$A54,T_Shipments[Effective_Week],2)</f>
        <v/>
      </c>
      <c r="D54">
        <f>SUMIFS(T_Shipments[Confirmed_Qty],T_Shipments[Part Name],$A54,T_Shipments[Effective_Week],3)</f>
        <v/>
      </c>
      <c r="E54">
        <f>SUMIFS(T_Shipments[Confirmed_Qty],T_Shipments[Part Name],$A54,T_Shipments[Effective_Week],4)</f>
        <v/>
      </c>
      <c r="F54">
        <f>SUMIFS(T_Shipments[Confirmed_Qty],T_Shipments[Part Name],$A54,T_Shipments[Effective_Week],5)</f>
        <v/>
      </c>
      <c r="G54">
        <f>SUMIFS(T_Shipments[Confirmed_Qty],T_Shipments[Part Name],$A54,T_Shipments[Effective_Week],6)</f>
        <v/>
      </c>
      <c r="H54">
        <f>SUMIFS(T_Shipments[Confirmed_Qty],T_Shipments[Part Name],$A54,T_Shipments[Effective_Week],7)</f>
        <v/>
      </c>
      <c r="I54">
        <f>SUMIFS(T_Shipments[Confirmed_Qty],T_Shipments[Part Name],$A54,T_Shipments[Effective_Week],8)</f>
        <v/>
      </c>
      <c r="J54">
        <f>SUMIFS(T_Shipments[Confirmed_Qty],T_Shipments[Part Name],$A54,T_Shipments[Effective_Week],9)</f>
        <v/>
      </c>
      <c r="K54">
        <f>SUMIFS(T_Shipments[Confirmed_Qty],T_Shipments[Part Name],$A54,T_Shipments[Effective_Week],10)</f>
        <v/>
      </c>
      <c r="L54">
        <f>SUMIFS(T_Shipments[Confirmed_Qty],T_Shipments[Part Name],$A54,T_Shipments[Effective_Week],11)</f>
        <v/>
      </c>
      <c r="M54">
        <f>SUMIFS(T_Shipments[Confirmed_Qty],T_Shipments[Part Name],$A54,T_Shipments[Effective_Week],12)</f>
        <v/>
      </c>
      <c r="N54">
        <f>SUMIFS(T_Shipments[Confirmed_Qty],T_Shipments[Part Name],$A54,T_Shipments[Effective_Week],13)</f>
        <v/>
      </c>
      <c r="O54">
        <f>SUMIFS(T_Shipments[Confirmed_Qty],T_Shipments[Part Name],$A54,T_Shipments[Effective_Week],14)</f>
        <v/>
      </c>
      <c r="P54">
        <f>SUMIFS(T_Shipments[Confirmed_Qty],T_Shipments[Part Name],$A54,T_Shipments[Effective_Week],15)</f>
        <v/>
      </c>
      <c r="Q54">
        <f>SUMIFS(T_Shipments[Confirmed_Qty],T_Shipments[Part Name],$A54,T_Shipments[Effective_Week],16)</f>
        <v/>
      </c>
      <c r="R54">
        <f>SUMIFS(T_Shipments[Confirmed_Qty],T_Shipments[Part Name],$A54,T_Shipments[Effective_Week],17)</f>
        <v/>
      </c>
      <c r="S54">
        <f>SUMIFS(T_Shipments[Confirmed_Qty],T_Shipments[Part Name],$A54,T_Shipments[Effective_Week],18)</f>
        <v/>
      </c>
      <c r="T54">
        <f>SUMIFS(T_Shipments[Confirmed_Qty],T_Shipments[Part Name],$A54,T_Shipments[Effective_Week],19)</f>
        <v/>
      </c>
      <c r="U54">
        <f>SUMIFS(T_Shipments[Confirmed_Qty],T_Shipments[Part Name],$A54,T_Shipments[Effective_Week],20)</f>
        <v/>
      </c>
      <c r="V54">
        <f>SUMIFS(T_Shipments[Confirmed_Qty],T_Shipments[Part Name],$A54,T_Shipments[Effective_Week],21)</f>
        <v/>
      </c>
      <c r="W54">
        <f>SUMIFS(T_Shipments[Confirmed_Qty],T_Shipments[Part Name],$A54,T_Shipments[Effective_Week],22)</f>
        <v/>
      </c>
      <c r="X54">
        <f>SUMIFS(T_Shipments[Confirmed_Qty],T_Shipments[Part Name],$A54,T_Shipments[Effective_Week],23)</f>
        <v/>
      </c>
      <c r="Y54">
        <f>SUMIFS(T_Shipments[Confirmed_Qty],T_Shipments[Part Name],$A54,T_Shipments[Effective_Week],24)</f>
        <v/>
      </c>
      <c r="Z54">
        <f>SUMIFS(T_Shipments[Confirmed_Qty],T_Shipments[Part Name],$A54,T_Shipments[Effective_Week],25)</f>
        <v/>
      </c>
      <c r="AA54">
        <f>SUMIFS(T_Shipments[Confirmed_Qty],T_Shipments[Part Name],$A54,T_Shipments[Effective_Week],26)</f>
        <v/>
      </c>
      <c r="AB54">
        <f>SUMIFS(T_Shipments[Confirmed_Qty],T_Shipments[Part Name],$A54,T_Shipments[Effective_Week],27)</f>
        <v/>
      </c>
      <c r="AC54">
        <f>SUMIFS(T_Shipments[Confirmed_Qty],T_Shipments[Part Name],$A54,T_Shipments[Effective_Week],28)</f>
        <v/>
      </c>
      <c r="AD54">
        <f>SUMIFS(T_Shipments[Confirmed_Qty],T_Shipments[Part Name],$A54,T_Shipments[Effective_Week],29)</f>
        <v/>
      </c>
      <c r="AE54">
        <f>SUMIFS(T_Shipments[Confirmed_Qty],T_Shipments[Part Name],$A54,T_Shipments[Effective_Week],30)</f>
        <v/>
      </c>
      <c r="AF54">
        <f>SUMIFS(T_Shipments[Confirmed_Qty],T_Shipments[Part Name],$A54,T_Shipments[Effective_Week],31)</f>
        <v/>
      </c>
      <c r="AG54">
        <f>SUMIFS(T_Shipments[Confirmed_Qty],T_Shipments[Part Name],$A54,T_Shipments[Effective_Week],32)</f>
        <v/>
      </c>
      <c r="AH54">
        <f>SUMIFS(T_Shipments[Confirmed_Qty],T_Shipments[Part Name],$A54,T_Shipments[Effective_Week],33)</f>
        <v/>
      </c>
      <c r="AI54">
        <f>SUMIFS(T_Shipments[Confirmed_Qty],T_Shipments[Part Name],$A54,T_Shipments[Effective_Week],34)</f>
        <v/>
      </c>
      <c r="AJ54">
        <f>SUMIFS(T_Shipments[Confirmed_Qty],T_Shipments[Part Name],$A54,T_Shipments[Effective_Week],35)</f>
        <v/>
      </c>
      <c r="AK54">
        <f>SUMIFS(T_Shipments[Confirmed_Qty],T_Shipments[Part Name],$A54,T_Shipments[Effective_Week],36)</f>
        <v/>
      </c>
      <c r="AL54">
        <f>SUMIFS(T_Shipments[Confirmed_Qty],T_Shipments[Part Name],$A54,T_Shipments[Effective_Week],37)</f>
        <v/>
      </c>
      <c r="AM54">
        <f>SUMIFS(T_Shipments[Confirmed_Qty],T_Shipments[Part Name],$A54,T_Shipments[Effective_Week],38)</f>
        <v/>
      </c>
      <c r="AN54">
        <f>SUMIFS(T_Shipments[Confirmed_Qty],T_Shipments[Part Name],$A54,T_Shipments[Effective_Week],39)</f>
        <v/>
      </c>
      <c r="AO54">
        <f>SUMIFS(T_Shipments[Confirmed_Qty],T_Shipments[Part Name],$A54,T_Shipments[Effective_Week],40)</f>
        <v/>
      </c>
      <c r="AP54">
        <f>SUMIFS(T_Shipments[Confirmed_Qty],T_Shipments[Part Name],$A54,T_Shipments[Effective_Week],41)</f>
        <v/>
      </c>
      <c r="AQ54">
        <f>SUMIFS(T_Shipments[Confirmed_Qty],T_Shipments[Part Name],$A54,T_Shipments[Effective_Week],42)</f>
        <v/>
      </c>
      <c r="AR54">
        <f>SUMIFS(T_Shipments[Confirmed_Qty],T_Shipments[Part Name],$A54,T_Shipments[Effective_Week],43)</f>
        <v/>
      </c>
      <c r="AS54">
        <f>SUMIFS(T_Shipments[Confirmed_Qty],T_Shipments[Part Name],$A54,T_Shipments[Effective_Week],44)</f>
        <v/>
      </c>
      <c r="AT54">
        <f>SUMIFS(T_Shipments[Confirmed_Qty],T_Shipments[Part Name],$A54,T_Shipments[Effective_Week],45)</f>
        <v/>
      </c>
      <c r="AU54">
        <f>SUMIFS(T_Shipments[Confirmed_Qty],T_Shipments[Part Name],$A54,T_Shipments[Effective_Week],46)</f>
        <v/>
      </c>
      <c r="AV54">
        <f>SUMIFS(T_Shipments[Confirmed_Qty],T_Shipments[Part Name],$A54,T_Shipments[Effective_Week],47)</f>
        <v/>
      </c>
      <c r="AW54">
        <f>SUMIFS(T_Shipments[Confirmed_Qty],T_Shipments[Part Name],$A54,T_Shipments[Effective_Week],48)</f>
        <v/>
      </c>
      <c r="AX54">
        <f>SUMIFS(T_Shipments[Confirmed_Qty],T_Shipments[Part Name],$A54,T_Shipments[Effective_Week],49)</f>
        <v/>
      </c>
      <c r="AY54">
        <f>SUMIFS(T_Shipments[Confirmed_Qty],T_Shipments[Part Name],$A54,T_Shipments[Effective_Week],50)</f>
        <v/>
      </c>
      <c r="AZ54">
        <f>SUMIFS(T_Shipments[Confirmed_Qty],T_Shipments[Part Name],$A54,T_Shipments[Effective_Week],51)</f>
        <v/>
      </c>
      <c r="BA54">
        <f>SUMIFS(T_Shipments[Confirmed_Qty],T_Shipments[Part Name],$A54,T_Shipments[Effective_Week],52)</f>
        <v/>
      </c>
      <c r="BB54">
        <f>SUMIFS(T_Shipments[Confirmed_Qty],T_Shipments[Part Name],$A54,T_Shipments[Effective_Week],53)</f>
        <v/>
      </c>
      <c r="BC54">
        <f>SUMIFS(T_Shipments[Confirmed_Qty],T_Shipments[Part Name],$A54,T_Shipments[Effective_Week],54)</f>
        <v/>
      </c>
      <c r="BD54">
        <f>SUMIFS(T_Shipments[Confirmed_Qty],T_Shipments[Part Name],$A54,T_Shipments[Effective_Week],55)</f>
        <v/>
      </c>
      <c r="BE54">
        <f>SUMIFS(T_Shipments[Confirmed_Qty],T_Shipments[Part Name],$A54,T_Shipments[Effective_Week],56)</f>
        <v/>
      </c>
      <c r="BF54">
        <f>SUMIFS(T_Shipments[Confirmed_Qty],T_Shipments[Part Name],$A54,T_Shipments[Effective_Week],57)</f>
        <v/>
      </c>
      <c r="BG54">
        <f>SUMIFS(T_Shipments[Confirmed_Qty],T_Shipments[Part Name],$A54,T_Shipments[Effective_Week],58)</f>
        <v/>
      </c>
      <c r="BH54">
        <f>SUMIFS(T_Shipments[Confirmed_Qty],T_Shipments[Part Name],$A54,T_Shipments[Effective_Week],59)</f>
        <v/>
      </c>
      <c r="BI54">
        <f>SUMIFS(T_Shipments[Confirmed_Qty],T_Shipments[Part Name],$A54,T_Shipments[Effective_Week],60)</f>
        <v/>
      </c>
      <c r="BJ54">
        <f>SUMIFS(T_Shipments[Confirmed_Qty],T_Shipments[Part Name],$A54,T_Shipments[Effective_Week],61)</f>
        <v/>
      </c>
      <c r="BK54">
        <f>SUMIFS(T_Shipments[Confirmed_Qty],T_Shipments[Part Name],$A54,T_Shipments[Effective_Week],62)</f>
        <v/>
      </c>
      <c r="BL54">
        <f>SUMIFS(T_Shipments[Confirmed_Qty],T_Shipments[Part Name],$A54,T_Shipments[Effective_Week],63)</f>
        <v/>
      </c>
      <c r="BM54">
        <f>SUMIFS(T_Shipments[Confirmed_Qty],T_Shipments[Part Name],$A54,T_Shipments[Effective_Week],64)</f>
        <v/>
      </c>
      <c r="BN54">
        <f>SUMIFS(T_Shipments[Confirmed_Qty],T_Shipments[Part Name],$A54,T_Shipments[Effective_Week],65)</f>
        <v/>
      </c>
      <c r="BO54">
        <f>SUMIFS(T_Shipments[Confirmed_Qty],T_Shipments[Part Name],$A54,T_Shipments[Effective_Week],66)</f>
        <v/>
      </c>
      <c r="BP54">
        <f>SUMIFS(T_Shipments[Confirmed_Qty],T_Shipments[Part Name],$A54,T_Shipments[Effective_Week],67)</f>
        <v/>
      </c>
      <c r="BQ54">
        <f>SUMIFS(T_Shipments[Confirmed_Qty],T_Shipments[Part Name],$A54,T_Shipments[Effective_Week],68)</f>
        <v/>
      </c>
      <c r="BR54">
        <f>SUMIFS(T_Shipments[Confirmed_Qty],T_Shipments[Part Name],$A54,T_Shipments[Effective_Week],69)</f>
        <v/>
      </c>
      <c r="BS54">
        <f>SUMIFS(T_Shipments[Confirmed_Qty],T_Shipments[Part Name],$A54,T_Shipments[Effective_Week],70)</f>
        <v/>
      </c>
      <c r="BT54">
        <f>SUMIFS(T_Shipments[Confirmed_Qty],T_Shipments[Part Name],$A54,T_Shipments[Effective_Week],71)</f>
        <v/>
      </c>
      <c r="BU54">
        <f>SUMIFS(T_Shipments[Confirmed_Qty],T_Shipments[Part Name],$A54,T_Shipments[Effective_Week],72)</f>
        <v/>
      </c>
      <c r="BV54">
        <f>SUMIFS(T_Shipments[Confirmed_Qty],T_Shipments[Part Name],$A54,T_Shipments[Effective_Week],73)</f>
        <v/>
      </c>
      <c r="BW54">
        <f>SUMIFS(T_Shipments[Confirmed_Qty],T_Shipments[Part Name],$A54,T_Shipments[Effective_Week],74)</f>
        <v/>
      </c>
      <c r="BX54">
        <f>SUMIFS(T_Shipments[Confirmed_Qty],T_Shipments[Part Name],$A54,T_Shipments[Effective_Week],75)</f>
        <v/>
      </c>
      <c r="BY54">
        <f>SUMIFS(T_Shipments[Confirmed_Qty],T_Shipments[Part Name],$A54,T_Shipments[Effective_Week],76)</f>
        <v/>
      </c>
      <c r="BZ54">
        <f>SUMIFS(T_Shipments[Confirmed_Qty],T_Shipments[Part Name],$A54,T_Shipments[Effective_Week],77)</f>
        <v/>
      </c>
      <c r="CA54">
        <f>SUMIFS(T_Shipments[Confirmed_Qty],T_Shipments[Part Name],$A54,T_Shipments[Effective_Week],78)</f>
        <v/>
      </c>
      <c r="CB54">
        <f>SUMIFS(T_Shipments[Confirmed_Qty],T_Shipments[Part Name],$A54,T_Shipments[Effective_Week],79)</f>
        <v/>
      </c>
      <c r="CC54">
        <f>SUMIFS(T_Shipments[Confirmed_Qty],T_Shipments[Part Name],$A54,T_Shipments[Effective_Week],80)</f>
        <v/>
      </c>
      <c r="CD54">
        <f>SUMIFS(T_Shipments[Confirmed_Qty],T_Shipments[Part Name],$A54,T_Shipments[Effective_Week],81)</f>
        <v/>
      </c>
      <c r="CE54">
        <f>SUMIFS(T_Shipments[Confirmed_Qty],T_Shipments[Part Name],$A54,T_Shipments[Effective_Week],82)</f>
        <v/>
      </c>
      <c r="CF54">
        <f>SUMIFS(T_Shipments[Confirmed_Qty],T_Shipments[Part Name],$A54,T_Shipments[Effective_Week],83)</f>
        <v/>
      </c>
      <c r="CG54">
        <f>SUMIFS(T_Shipments[Confirmed_Qty],T_Shipments[Part Name],$A54,T_Shipments[Effective_Week],84)</f>
        <v/>
      </c>
      <c r="CH54">
        <f>SUMIFS(T_Shipments[Confirmed_Qty],T_Shipments[Part Name],$A54,T_Shipments[Effective_Week],85)</f>
        <v/>
      </c>
      <c r="CI54">
        <f>SUMIFS(T_Shipments[Confirmed_Qty],T_Shipments[Part Name],$A54,T_Shipments[Effective_Week],86)</f>
        <v/>
      </c>
      <c r="CJ54">
        <f>SUMIFS(T_Shipments[Confirmed_Qty],T_Shipments[Part Name],$A54,T_Shipments[Effective_Week],87)</f>
        <v/>
      </c>
      <c r="CK54">
        <f>SUMIFS(T_Shipments[Confirmed_Qty],T_Shipments[Part Name],$A54,T_Shipments[Effective_Week],88)</f>
        <v/>
      </c>
      <c r="CL54">
        <f>SUMIFS(T_Shipments[Confirmed_Qty],T_Shipments[Part Name],$A54,T_Shipments[Effective_Week],89)</f>
        <v/>
      </c>
      <c r="CM54">
        <f>SUMIFS(T_Shipments[Confirmed_Qty],T_Shipments[Part Name],$A54,T_Shipments[Effective_Week],90)</f>
        <v/>
      </c>
      <c r="CN54">
        <f>SUMIFS(T_Shipments[Confirmed_Qty],T_Shipments[Part Name],$A54,T_Shipments[Effective_Week],91)</f>
        <v/>
      </c>
      <c r="CO54">
        <f>SUMIFS(T_Shipments[Confirmed_Qty],T_Shipments[Part Name],$A54,T_Shipments[Effective_Week],92)</f>
        <v/>
      </c>
      <c r="CP54">
        <f>SUMIFS(T_Shipments[Confirmed_Qty],T_Shipments[Part Name],$A54,T_Shipments[Effective_Week],93)</f>
        <v/>
      </c>
      <c r="CQ54">
        <f>SUMIFS(T_Shipments[Confirmed_Qty],T_Shipments[Part Name],$A54,T_Shipments[Effective_Week],94)</f>
        <v/>
      </c>
      <c r="CR54">
        <f>SUMIFS(T_Shipments[Confirmed_Qty],T_Shipments[Part Name],$A54,T_Shipments[Effective_Week],95)</f>
        <v/>
      </c>
      <c r="CS54">
        <f>SUMIFS(T_Shipments[Confirmed_Qty],T_Shipments[Part Name],$A54,T_Shipments[Effective_Week],96)</f>
        <v/>
      </c>
      <c r="CT54">
        <f>SUMIFS(T_Shipments[Confirmed_Qty],T_Shipments[Part Name],$A54,T_Shipments[Effective_Week],97)</f>
        <v/>
      </c>
      <c r="CU54">
        <f>SUMIFS(T_Shipments[Confirmed_Qty],T_Shipments[Part Name],$A54,T_Shipments[Effective_Week],98)</f>
        <v/>
      </c>
      <c r="CV54">
        <f>SUMIFS(T_Shipments[Confirmed_Qty],T_Shipments[Part Name],$A54,T_Shipments[Effective_Week],99)</f>
        <v/>
      </c>
      <c r="CW54">
        <f>SUMIFS(T_Shipments[Confirmed_Qty],T_Shipments[Part Name],$A54,T_Shipments[Effective_Week],100)</f>
        <v/>
      </c>
      <c r="CX54">
        <f>SUMIFS(T_Shipments[Confirmed_Qty],T_Shipments[Part Name],$A54,T_Shipments[Effective_Week],101)</f>
        <v/>
      </c>
      <c r="CY54">
        <f>SUMIFS(T_Shipments[Confirmed_Qty],T_Shipments[Part Name],$A54,T_Shipments[Effective_Week],102)</f>
        <v/>
      </c>
      <c r="CZ54">
        <f>SUMIFS(T_Shipments[Confirmed_Qty],T_Shipments[Part Name],$A54,T_Shipments[Effective_Week],103)</f>
        <v/>
      </c>
      <c r="DA54">
        <f>SUMIFS(T_Shipments[Confirmed_Qty],T_Shipments[Part Name],$A54,T_Shipments[Effective_Week],104)</f>
        <v/>
      </c>
    </row>
    <row r="55">
      <c r="A55" t="inlineStr">
        <is>
          <t>CHEM-1560</t>
        </is>
      </c>
      <c r="B55">
        <f>SUMIFS(T_Shipments[Confirmed_Qty],T_Shipments[Part Name],$A55,T_Shipments[Effective_Week],1)</f>
        <v/>
      </c>
      <c r="C55">
        <f>SUMIFS(T_Shipments[Confirmed_Qty],T_Shipments[Part Name],$A55,T_Shipments[Effective_Week],2)</f>
        <v/>
      </c>
      <c r="D55">
        <f>SUMIFS(T_Shipments[Confirmed_Qty],T_Shipments[Part Name],$A55,T_Shipments[Effective_Week],3)</f>
        <v/>
      </c>
      <c r="E55">
        <f>SUMIFS(T_Shipments[Confirmed_Qty],T_Shipments[Part Name],$A55,T_Shipments[Effective_Week],4)</f>
        <v/>
      </c>
      <c r="F55">
        <f>SUMIFS(T_Shipments[Confirmed_Qty],T_Shipments[Part Name],$A55,T_Shipments[Effective_Week],5)</f>
        <v/>
      </c>
      <c r="G55">
        <f>SUMIFS(T_Shipments[Confirmed_Qty],T_Shipments[Part Name],$A55,T_Shipments[Effective_Week],6)</f>
        <v/>
      </c>
      <c r="H55">
        <f>SUMIFS(T_Shipments[Confirmed_Qty],T_Shipments[Part Name],$A55,T_Shipments[Effective_Week],7)</f>
        <v/>
      </c>
      <c r="I55">
        <f>SUMIFS(T_Shipments[Confirmed_Qty],T_Shipments[Part Name],$A55,T_Shipments[Effective_Week],8)</f>
        <v/>
      </c>
      <c r="J55">
        <f>SUMIFS(T_Shipments[Confirmed_Qty],T_Shipments[Part Name],$A55,T_Shipments[Effective_Week],9)</f>
        <v/>
      </c>
      <c r="K55">
        <f>SUMIFS(T_Shipments[Confirmed_Qty],T_Shipments[Part Name],$A55,T_Shipments[Effective_Week],10)</f>
        <v/>
      </c>
      <c r="L55">
        <f>SUMIFS(T_Shipments[Confirmed_Qty],T_Shipments[Part Name],$A55,T_Shipments[Effective_Week],11)</f>
        <v/>
      </c>
      <c r="M55">
        <f>SUMIFS(T_Shipments[Confirmed_Qty],T_Shipments[Part Name],$A55,T_Shipments[Effective_Week],12)</f>
        <v/>
      </c>
      <c r="N55">
        <f>SUMIFS(T_Shipments[Confirmed_Qty],T_Shipments[Part Name],$A55,T_Shipments[Effective_Week],13)</f>
        <v/>
      </c>
      <c r="O55">
        <f>SUMIFS(T_Shipments[Confirmed_Qty],T_Shipments[Part Name],$A55,T_Shipments[Effective_Week],14)</f>
        <v/>
      </c>
      <c r="P55">
        <f>SUMIFS(T_Shipments[Confirmed_Qty],T_Shipments[Part Name],$A55,T_Shipments[Effective_Week],15)</f>
        <v/>
      </c>
      <c r="Q55">
        <f>SUMIFS(T_Shipments[Confirmed_Qty],T_Shipments[Part Name],$A55,T_Shipments[Effective_Week],16)</f>
        <v/>
      </c>
      <c r="R55">
        <f>SUMIFS(T_Shipments[Confirmed_Qty],T_Shipments[Part Name],$A55,T_Shipments[Effective_Week],17)</f>
        <v/>
      </c>
      <c r="S55">
        <f>SUMIFS(T_Shipments[Confirmed_Qty],T_Shipments[Part Name],$A55,T_Shipments[Effective_Week],18)</f>
        <v/>
      </c>
      <c r="T55">
        <f>SUMIFS(T_Shipments[Confirmed_Qty],T_Shipments[Part Name],$A55,T_Shipments[Effective_Week],19)</f>
        <v/>
      </c>
      <c r="U55">
        <f>SUMIFS(T_Shipments[Confirmed_Qty],T_Shipments[Part Name],$A55,T_Shipments[Effective_Week],20)</f>
        <v/>
      </c>
      <c r="V55">
        <f>SUMIFS(T_Shipments[Confirmed_Qty],T_Shipments[Part Name],$A55,T_Shipments[Effective_Week],21)</f>
        <v/>
      </c>
      <c r="W55">
        <f>SUMIFS(T_Shipments[Confirmed_Qty],T_Shipments[Part Name],$A55,T_Shipments[Effective_Week],22)</f>
        <v/>
      </c>
      <c r="X55">
        <f>SUMIFS(T_Shipments[Confirmed_Qty],T_Shipments[Part Name],$A55,T_Shipments[Effective_Week],23)</f>
        <v/>
      </c>
      <c r="Y55">
        <f>SUMIFS(T_Shipments[Confirmed_Qty],T_Shipments[Part Name],$A55,T_Shipments[Effective_Week],24)</f>
        <v/>
      </c>
      <c r="Z55">
        <f>SUMIFS(T_Shipments[Confirmed_Qty],T_Shipments[Part Name],$A55,T_Shipments[Effective_Week],25)</f>
        <v/>
      </c>
      <c r="AA55">
        <f>SUMIFS(T_Shipments[Confirmed_Qty],T_Shipments[Part Name],$A55,T_Shipments[Effective_Week],26)</f>
        <v/>
      </c>
      <c r="AB55">
        <f>SUMIFS(T_Shipments[Confirmed_Qty],T_Shipments[Part Name],$A55,T_Shipments[Effective_Week],27)</f>
        <v/>
      </c>
      <c r="AC55">
        <f>SUMIFS(T_Shipments[Confirmed_Qty],T_Shipments[Part Name],$A55,T_Shipments[Effective_Week],28)</f>
        <v/>
      </c>
      <c r="AD55">
        <f>SUMIFS(T_Shipments[Confirmed_Qty],T_Shipments[Part Name],$A55,T_Shipments[Effective_Week],29)</f>
        <v/>
      </c>
      <c r="AE55">
        <f>SUMIFS(T_Shipments[Confirmed_Qty],T_Shipments[Part Name],$A55,T_Shipments[Effective_Week],30)</f>
        <v/>
      </c>
      <c r="AF55">
        <f>SUMIFS(T_Shipments[Confirmed_Qty],T_Shipments[Part Name],$A55,T_Shipments[Effective_Week],31)</f>
        <v/>
      </c>
      <c r="AG55">
        <f>SUMIFS(T_Shipments[Confirmed_Qty],T_Shipments[Part Name],$A55,T_Shipments[Effective_Week],32)</f>
        <v/>
      </c>
      <c r="AH55">
        <f>SUMIFS(T_Shipments[Confirmed_Qty],T_Shipments[Part Name],$A55,T_Shipments[Effective_Week],33)</f>
        <v/>
      </c>
      <c r="AI55">
        <f>SUMIFS(T_Shipments[Confirmed_Qty],T_Shipments[Part Name],$A55,T_Shipments[Effective_Week],34)</f>
        <v/>
      </c>
      <c r="AJ55">
        <f>SUMIFS(T_Shipments[Confirmed_Qty],T_Shipments[Part Name],$A55,T_Shipments[Effective_Week],35)</f>
        <v/>
      </c>
      <c r="AK55">
        <f>SUMIFS(T_Shipments[Confirmed_Qty],T_Shipments[Part Name],$A55,T_Shipments[Effective_Week],36)</f>
        <v/>
      </c>
      <c r="AL55">
        <f>SUMIFS(T_Shipments[Confirmed_Qty],T_Shipments[Part Name],$A55,T_Shipments[Effective_Week],37)</f>
        <v/>
      </c>
      <c r="AM55">
        <f>SUMIFS(T_Shipments[Confirmed_Qty],T_Shipments[Part Name],$A55,T_Shipments[Effective_Week],38)</f>
        <v/>
      </c>
      <c r="AN55">
        <f>SUMIFS(T_Shipments[Confirmed_Qty],T_Shipments[Part Name],$A55,T_Shipments[Effective_Week],39)</f>
        <v/>
      </c>
      <c r="AO55">
        <f>SUMIFS(T_Shipments[Confirmed_Qty],T_Shipments[Part Name],$A55,T_Shipments[Effective_Week],40)</f>
        <v/>
      </c>
      <c r="AP55">
        <f>SUMIFS(T_Shipments[Confirmed_Qty],T_Shipments[Part Name],$A55,T_Shipments[Effective_Week],41)</f>
        <v/>
      </c>
      <c r="AQ55">
        <f>SUMIFS(T_Shipments[Confirmed_Qty],T_Shipments[Part Name],$A55,T_Shipments[Effective_Week],42)</f>
        <v/>
      </c>
      <c r="AR55">
        <f>SUMIFS(T_Shipments[Confirmed_Qty],T_Shipments[Part Name],$A55,T_Shipments[Effective_Week],43)</f>
        <v/>
      </c>
      <c r="AS55">
        <f>SUMIFS(T_Shipments[Confirmed_Qty],T_Shipments[Part Name],$A55,T_Shipments[Effective_Week],44)</f>
        <v/>
      </c>
      <c r="AT55">
        <f>SUMIFS(T_Shipments[Confirmed_Qty],T_Shipments[Part Name],$A55,T_Shipments[Effective_Week],45)</f>
        <v/>
      </c>
      <c r="AU55">
        <f>SUMIFS(T_Shipments[Confirmed_Qty],T_Shipments[Part Name],$A55,T_Shipments[Effective_Week],46)</f>
        <v/>
      </c>
      <c r="AV55">
        <f>SUMIFS(T_Shipments[Confirmed_Qty],T_Shipments[Part Name],$A55,T_Shipments[Effective_Week],47)</f>
        <v/>
      </c>
      <c r="AW55">
        <f>SUMIFS(T_Shipments[Confirmed_Qty],T_Shipments[Part Name],$A55,T_Shipments[Effective_Week],48)</f>
        <v/>
      </c>
      <c r="AX55">
        <f>SUMIFS(T_Shipments[Confirmed_Qty],T_Shipments[Part Name],$A55,T_Shipments[Effective_Week],49)</f>
        <v/>
      </c>
      <c r="AY55">
        <f>SUMIFS(T_Shipments[Confirmed_Qty],T_Shipments[Part Name],$A55,T_Shipments[Effective_Week],50)</f>
        <v/>
      </c>
      <c r="AZ55">
        <f>SUMIFS(T_Shipments[Confirmed_Qty],T_Shipments[Part Name],$A55,T_Shipments[Effective_Week],51)</f>
        <v/>
      </c>
      <c r="BA55">
        <f>SUMIFS(T_Shipments[Confirmed_Qty],T_Shipments[Part Name],$A55,T_Shipments[Effective_Week],52)</f>
        <v/>
      </c>
      <c r="BB55">
        <f>SUMIFS(T_Shipments[Confirmed_Qty],T_Shipments[Part Name],$A55,T_Shipments[Effective_Week],53)</f>
        <v/>
      </c>
      <c r="BC55">
        <f>SUMIFS(T_Shipments[Confirmed_Qty],T_Shipments[Part Name],$A55,T_Shipments[Effective_Week],54)</f>
        <v/>
      </c>
      <c r="BD55">
        <f>SUMIFS(T_Shipments[Confirmed_Qty],T_Shipments[Part Name],$A55,T_Shipments[Effective_Week],55)</f>
        <v/>
      </c>
      <c r="BE55">
        <f>SUMIFS(T_Shipments[Confirmed_Qty],T_Shipments[Part Name],$A55,T_Shipments[Effective_Week],56)</f>
        <v/>
      </c>
      <c r="BF55">
        <f>SUMIFS(T_Shipments[Confirmed_Qty],T_Shipments[Part Name],$A55,T_Shipments[Effective_Week],57)</f>
        <v/>
      </c>
      <c r="BG55">
        <f>SUMIFS(T_Shipments[Confirmed_Qty],T_Shipments[Part Name],$A55,T_Shipments[Effective_Week],58)</f>
        <v/>
      </c>
      <c r="BH55">
        <f>SUMIFS(T_Shipments[Confirmed_Qty],T_Shipments[Part Name],$A55,T_Shipments[Effective_Week],59)</f>
        <v/>
      </c>
      <c r="BI55">
        <f>SUMIFS(T_Shipments[Confirmed_Qty],T_Shipments[Part Name],$A55,T_Shipments[Effective_Week],60)</f>
        <v/>
      </c>
      <c r="BJ55">
        <f>SUMIFS(T_Shipments[Confirmed_Qty],T_Shipments[Part Name],$A55,T_Shipments[Effective_Week],61)</f>
        <v/>
      </c>
      <c r="BK55">
        <f>SUMIFS(T_Shipments[Confirmed_Qty],T_Shipments[Part Name],$A55,T_Shipments[Effective_Week],62)</f>
        <v/>
      </c>
      <c r="BL55">
        <f>SUMIFS(T_Shipments[Confirmed_Qty],T_Shipments[Part Name],$A55,T_Shipments[Effective_Week],63)</f>
        <v/>
      </c>
      <c r="BM55">
        <f>SUMIFS(T_Shipments[Confirmed_Qty],T_Shipments[Part Name],$A55,T_Shipments[Effective_Week],64)</f>
        <v/>
      </c>
      <c r="BN55">
        <f>SUMIFS(T_Shipments[Confirmed_Qty],T_Shipments[Part Name],$A55,T_Shipments[Effective_Week],65)</f>
        <v/>
      </c>
      <c r="BO55">
        <f>SUMIFS(T_Shipments[Confirmed_Qty],T_Shipments[Part Name],$A55,T_Shipments[Effective_Week],66)</f>
        <v/>
      </c>
      <c r="BP55">
        <f>SUMIFS(T_Shipments[Confirmed_Qty],T_Shipments[Part Name],$A55,T_Shipments[Effective_Week],67)</f>
        <v/>
      </c>
      <c r="BQ55">
        <f>SUMIFS(T_Shipments[Confirmed_Qty],T_Shipments[Part Name],$A55,T_Shipments[Effective_Week],68)</f>
        <v/>
      </c>
      <c r="BR55">
        <f>SUMIFS(T_Shipments[Confirmed_Qty],T_Shipments[Part Name],$A55,T_Shipments[Effective_Week],69)</f>
        <v/>
      </c>
      <c r="BS55">
        <f>SUMIFS(T_Shipments[Confirmed_Qty],T_Shipments[Part Name],$A55,T_Shipments[Effective_Week],70)</f>
        <v/>
      </c>
      <c r="BT55">
        <f>SUMIFS(T_Shipments[Confirmed_Qty],T_Shipments[Part Name],$A55,T_Shipments[Effective_Week],71)</f>
        <v/>
      </c>
      <c r="BU55">
        <f>SUMIFS(T_Shipments[Confirmed_Qty],T_Shipments[Part Name],$A55,T_Shipments[Effective_Week],72)</f>
        <v/>
      </c>
      <c r="BV55">
        <f>SUMIFS(T_Shipments[Confirmed_Qty],T_Shipments[Part Name],$A55,T_Shipments[Effective_Week],73)</f>
        <v/>
      </c>
      <c r="BW55">
        <f>SUMIFS(T_Shipments[Confirmed_Qty],T_Shipments[Part Name],$A55,T_Shipments[Effective_Week],74)</f>
        <v/>
      </c>
      <c r="BX55">
        <f>SUMIFS(T_Shipments[Confirmed_Qty],T_Shipments[Part Name],$A55,T_Shipments[Effective_Week],75)</f>
        <v/>
      </c>
      <c r="BY55">
        <f>SUMIFS(T_Shipments[Confirmed_Qty],T_Shipments[Part Name],$A55,T_Shipments[Effective_Week],76)</f>
        <v/>
      </c>
      <c r="BZ55">
        <f>SUMIFS(T_Shipments[Confirmed_Qty],T_Shipments[Part Name],$A55,T_Shipments[Effective_Week],77)</f>
        <v/>
      </c>
      <c r="CA55">
        <f>SUMIFS(T_Shipments[Confirmed_Qty],T_Shipments[Part Name],$A55,T_Shipments[Effective_Week],78)</f>
        <v/>
      </c>
      <c r="CB55">
        <f>SUMIFS(T_Shipments[Confirmed_Qty],T_Shipments[Part Name],$A55,T_Shipments[Effective_Week],79)</f>
        <v/>
      </c>
      <c r="CC55">
        <f>SUMIFS(T_Shipments[Confirmed_Qty],T_Shipments[Part Name],$A55,T_Shipments[Effective_Week],80)</f>
        <v/>
      </c>
      <c r="CD55">
        <f>SUMIFS(T_Shipments[Confirmed_Qty],T_Shipments[Part Name],$A55,T_Shipments[Effective_Week],81)</f>
        <v/>
      </c>
      <c r="CE55">
        <f>SUMIFS(T_Shipments[Confirmed_Qty],T_Shipments[Part Name],$A55,T_Shipments[Effective_Week],82)</f>
        <v/>
      </c>
      <c r="CF55">
        <f>SUMIFS(T_Shipments[Confirmed_Qty],T_Shipments[Part Name],$A55,T_Shipments[Effective_Week],83)</f>
        <v/>
      </c>
      <c r="CG55">
        <f>SUMIFS(T_Shipments[Confirmed_Qty],T_Shipments[Part Name],$A55,T_Shipments[Effective_Week],84)</f>
        <v/>
      </c>
      <c r="CH55">
        <f>SUMIFS(T_Shipments[Confirmed_Qty],T_Shipments[Part Name],$A55,T_Shipments[Effective_Week],85)</f>
        <v/>
      </c>
      <c r="CI55">
        <f>SUMIFS(T_Shipments[Confirmed_Qty],T_Shipments[Part Name],$A55,T_Shipments[Effective_Week],86)</f>
        <v/>
      </c>
      <c r="CJ55">
        <f>SUMIFS(T_Shipments[Confirmed_Qty],T_Shipments[Part Name],$A55,T_Shipments[Effective_Week],87)</f>
        <v/>
      </c>
      <c r="CK55">
        <f>SUMIFS(T_Shipments[Confirmed_Qty],T_Shipments[Part Name],$A55,T_Shipments[Effective_Week],88)</f>
        <v/>
      </c>
      <c r="CL55">
        <f>SUMIFS(T_Shipments[Confirmed_Qty],T_Shipments[Part Name],$A55,T_Shipments[Effective_Week],89)</f>
        <v/>
      </c>
      <c r="CM55">
        <f>SUMIFS(T_Shipments[Confirmed_Qty],T_Shipments[Part Name],$A55,T_Shipments[Effective_Week],90)</f>
        <v/>
      </c>
      <c r="CN55">
        <f>SUMIFS(T_Shipments[Confirmed_Qty],T_Shipments[Part Name],$A55,T_Shipments[Effective_Week],91)</f>
        <v/>
      </c>
      <c r="CO55">
        <f>SUMIFS(T_Shipments[Confirmed_Qty],T_Shipments[Part Name],$A55,T_Shipments[Effective_Week],92)</f>
        <v/>
      </c>
      <c r="CP55">
        <f>SUMIFS(T_Shipments[Confirmed_Qty],T_Shipments[Part Name],$A55,T_Shipments[Effective_Week],93)</f>
        <v/>
      </c>
      <c r="CQ55">
        <f>SUMIFS(T_Shipments[Confirmed_Qty],T_Shipments[Part Name],$A55,T_Shipments[Effective_Week],94)</f>
        <v/>
      </c>
      <c r="CR55">
        <f>SUMIFS(T_Shipments[Confirmed_Qty],T_Shipments[Part Name],$A55,T_Shipments[Effective_Week],95)</f>
        <v/>
      </c>
      <c r="CS55">
        <f>SUMIFS(T_Shipments[Confirmed_Qty],T_Shipments[Part Name],$A55,T_Shipments[Effective_Week],96)</f>
        <v/>
      </c>
      <c r="CT55">
        <f>SUMIFS(T_Shipments[Confirmed_Qty],T_Shipments[Part Name],$A55,T_Shipments[Effective_Week],97)</f>
        <v/>
      </c>
      <c r="CU55">
        <f>SUMIFS(T_Shipments[Confirmed_Qty],T_Shipments[Part Name],$A55,T_Shipments[Effective_Week],98)</f>
        <v/>
      </c>
      <c r="CV55">
        <f>SUMIFS(T_Shipments[Confirmed_Qty],T_Shipments[Part Name],$A55,T_Shipments[Effective_Week],99)</f>
        <v/>
      </c>
      <c r="CW55">
        <f>SUMIFS(T_Shipments[Confirmed_Qty],T_Shipments[Part Name],$A55,T_Shipments[Effective_Week],100)</f>
        <v/>
      </c>
      <c r="CX55">
        <f>SUMIFS(T_Shipments[Confirmed_Qty],T_Shipments[Part Name],$A55,T_Shipments[Effective_Week],101)</f>
        <v/>
      </c>
      <c r="CY55">
        <f>SUMIFS(T_Shipments[Confirmed_Qty],T_Shipments[Part Name],$A55,T_Shipments[Effective_Week],102)</f>
        <v/>
      </c>
      <c r="CZ55">
        <f>SUMIFS(T_Shipments[Confirmed_Qty],T_Shipments[Part Name],$A55,T_Shipments[Effective_Week],103)</f>
        <v/>
      </c>
      <c r="DA55">
        <f>SUMIFS(T_Shipments[Confirmed_Qty],T_Shipments[Part Name],$A55,T_Shipments[Effective_Week],104)</f>
        <v/>
      </c>
    </row>
    <row r="56">
      <c r="A56" t="inlineStr">
        <is>
          <t>CHEM-1690</t>
        </is>
      </c>
      <c r="B56">
        <f>SUMIFS(T_Shipments[Confirmed_Qty],T_Shipments[Part Name],$A56,T_Shipments[Effective_Week],1)</f>
        <v/>
      </c>
      <c r="C56">
        <f>SUMIFS(T_Shipments[Confirmed_Qty],T_Shipments[Part Name],$A56,T_Shipments[Effective_Week],2)</f>
        <v/>
      </c>
      <c r="D56">
        <f>SUMIFS(T_Shipments[Confirmed_Qty],T_Shipments[Part Name],$A56,T_Shipments[Effective_Week],3)</f>
        <v/>
      </c>
      <c r="E56">
        <f>SUMIFS(T_Shipments[Confirmed_Qty],T_Shipments[Part Name],$A56,T_Shipments[Effective_Week],4)</f>
        <v/>
      </c>
      <c r="F56">
        <f>SUMIFS(T_Shipments[Confirmed_Qty],T_Shipments[Part Name],$A56,T_Shipments[Effective_Week],5)</f>
        <v/>
      </c>
      <c r="G56">
        <f>SUMIFS(T_Shipments[Confirmed_Qty],T_Shipments[Part Name],$A56,T_Shipments[Effective_Week],6)</f>
        <v/>
      </c>
      <c r="H56">
        <f>SUMIFS(T_Shipments[Confirmed_Qty],T_Shipments[Part Name],$A56,T_Shipments[Effective_Week],7)</f>
        <v/>
      </c>
      <c r="I56">
        <f>SUMIFS(T_Shipments[Confirmed_Qty],T_Shipments[Part Name],$A56,T_Shipments[Effective_Week],8)</f>
        <v/>
      </c>
      <c r="J56">
        <f>SUMIFS(T_Shipments[Confirmed_Qty],T_Shipments[Part Name],$A56,T_Shipments[Effective_Week],9)</f>
        <v/>
      </c>
      <c r="K56">
        <f>SUMIFS(T_Shipments[Confirmed_Qty],T_Shipments[Part Name],$A56,T_Shipments[Effective_Week],10)</f>
        <v/>
      </c>
      <c r="L56">
        <f>SUMIFS(T_Shipments[Confirmed_Qty],T_Shipments[Part Name],$A56,T_Shipments[Effective_Week],11)</f>
        <v/>
      </c>
      <c r="M56">
        <f>SUMIFS(T_Shipments[Confirmed_Qty],T_Shipments[Part Name],$A56,T_Shipments[Effective_Week],12)</f>
        <v/>
      </c>
      <c r="N56">
        <f>SUMIFS(T_Shipments[Confirmed_Qty],T_Shipments[Part Name],$A56,T_Shipments[Effective_Week],13)</f>
        <v/>
      </c>
      <c r="O56">
        <f>SUMIFS(T_Shipments[Confirmed_Qty],T_Shipments[Part Name],$A56,T_Shipments[Effective_Week],14)</f>
        <v/>
      </c>
      <c r="P56">
        <f>SUMIFS(T_Shipments[Confirmed_Qty],T_Shipments[Part Name],$A56,T_Shipments[Effective_Week],15)</f>
        <v/>
      </c>
      <c r="Q56">
        <f>SUMIFS(T_Shipments[Confirmed_Qty],T_Shipments[Part Name],$A56,T_Shipments[Effective_Week],16)</f>
        <v/>
      </c>
      <c r="R56">
        <f>SUMIFS(T_Shipments[Confirmed_Qty],T_Shipments[Part Name],$A56,T_Shipments[Effective_Week],17)</f>
        <v/>
      </c>
      <c r="S56">
        <f>SUMIFS(T_Shipments[Confirmed_Qty],T_Shipments[Part Name],$A56,T_Shipments[Effective_Week],18)</f>
        <v/>
      </c>
      <c r="T56">
        <f>SUMIFS(T_Shipments[Confirmed_Qty],T_Shipments[Part Name],$A56,T_Shipments[Effective_Week],19)</f>
        <v/>
      </c>
      <c r="U56">
        <f>SUMIFS(T_Shipments[Confirmed_Qty],T_Shipments[Part Name],$A56,T_Shipments[Effective_Week],20)</f>
        <v/>
      </c>
      <c r="V56">
        <f>SUMIFS(T_Shipments[Confirmed_Qty],T_Shipments[Part Name],$A56,T_Shipments[Effective_Week],21)</f>
        <v/>
      </c>
      <c r="W56">
        <f>SUMIFS(T_Shipments[Confirmed_Qty],T_Shipments[Part Name],$A56,T_Shipments[Effective_Week],22)</f>
        <v/>
      </c>
      <c r="X56">
        <f>SUMIFS(T_Shipments[Confirmed_Qty],T_Shipments[Part Name],$A56,T_Shipments[Effective_Week],23)</f>
        <v/>
      </c>
      <c r="Y56">
        <f>SUMIFS(T_Shipments[Confirmed_Qty],T_Shipments[Part Name],$A56,T_Shipments[Effective_Week],24)</f>
        <v/>
      </c>
      <c r="Z56">
        <f>SUMIFS(T_Shipments[Confirmed_Qty],T_Shipments[Part Name],$A56,T_Shipments[Effective_Week],25)</f>
        <v/>
      </c>
      <c r="AA56">
        <f>SUMIFS(T_Shipments[Confirmed_Qty],T_Shipments[Part Name],$A56,T_Shipments[Effective_Week],26)</f>
        <v/>
      </c>
      <c r="AB56">
        <f>SUMIFS(T_Shipments[Confirmed_Qty],T_Shipments[Part Name],$A56,T_Shipments[Effective_Week],27)</f>
        <v/>
      </c>
      <c r="AC56">
        <f>SUMIFS(T_Shipments[Confirmed_Qty],T_Shipments[Part Name],$A56,T_Shipments[Effective_Week],28)</f>
        <v/>
      </c>
      <c r="AD56">
        <f>SUMIFS(T_Shipments[Confirmed_Qty],T_Shipments[Part Name],$A56,T_Shipments[Effective_Week],29)</f>
        <v/>
      </c>
      <c r="AE56">
        <f>SUMIFS(T_Shipments[Confirmed_Qty],T_Shipments[Part Name],$A56,T_Shipments[Effective_Week],30)</f>
        <v/>
      </c>
      <c r="AF56">
        <f>SUMIFS(T_Shipments[Confirmed_Qty],T_Shipments[Part Name],$A56,T_Shipments[Effective_Week],31)</f>
        <v/>
      </c>
      <c r="AG56">
        <f>SUMIFS(T_Shipments[Confirmed_Qty],T_Shipments[Part Name],$A56,T_Shipments[Effective_Week],32)</f>
        <v/>
      </c>
      <c r="AH56">
        <f>SUMIFS(T_Shipments[Confirmed_Qty],T_Shipments[Part Name],$A56,T_Shipments[Effective_Week],33)</f>
        <v/>
      </c>
      <c r="AI56">
        <f>SUMIFS(T_Shipments[Confirmed_Qty],T_Shipments[Part Name],$A56,T_Shipments[Effective_Week],34)</f>
        <v/>
      </c>
      <c r="AJ56">
        <f>SUMIFS(T_Shipments[Confirmed_Qty],T_Shipments[Part Name],$A56,T_Shipments[Effective_Week],35)</f>
        <v/>
      </c>
      <c r="AK56">
        <f>SUMIFS(T_Shipments[Confirmed_Qty],T_Shipments[Part Name],$A56,T_Shipments[Effective_Week],36)</f>
        <v/>
      </c>
      <c r="AL56">
        <f>SUMIFS(T_Shipments[Confirmed_Qty],T_Shipments[Part Name],$A56,T_Shipments[Effective_Week],37)</f>
        <v/>
      </c>
      <c r="AM56">
        <f>SUMIFS(T_Shipments[Confirmed_Qty],T_Shipments[Part Name],$A56,T_Shipments[Effective_Week],38)</f>
        <v/>
      </c>
      <c r="AN56">
        <f>SUMIFS(T_Shipments[Confirmed_Qty],T_Shipments[Part Name],$A56,T_Shipments[Effective_Week],39)</f>
        <v/>
      </c>
      <c r="AO56">
        <f>SUMIFS(T_Shipments[Confirmed_Qty],T_Shipments[Part Name],$A56,T_Shipments[Effective_Week],40)</f>
        <v/>
      </c>
      <c r="AP56">
        <f>SUMIFS(T_Shipments[Confirmed_Qty],T_Shipments[Part Name],$A56,T_Shipments[Effective_Week],41)</f>
        <v/>
      </c>
      <c r="AQ56">
        <f>SUMIFS(T_Shipments[Confirmed_Qty],T_Shipments[Part Name],$A56,T_Shipments[Effective_Week],42)</f>
        <v/>
      </c>
      <c r="AR56">
        <f>SUMIFS(T_Shipments[Confirmed_Qty],T_Shipments[Part Name],$A56,T_Shipments[Effective_Week],43)</f>
        <v/>
      </c>
      <c r="AS56">
        <f>SUMIFS(T_Shipments[Confirmed_Qty],T_Shipments[Part Name],$A56,T_Shipments[Effective_Week],44)</f>
        <v/>
      </c>
      <c r="AT56">
        <f>SUMIFS(T_Shipments[Confirmed_Qty],T_Shipments[Part Name],$A56,T_Shipments[Effective_Week],45)</f>
        <v/>
      </c>
      <c r="AU56">
        <f>SUMIFS(T_Shipments[Confirmed_Qty],T_Shipments[Part Name],$A56,T_Shipments[Effective_Week],46)</f>
        <v/>
      </c>
      <c r="AV56">
        <f>SUMIFS(T_Shipments[Confirmed_Qty],T_Shipments[Part Name],$A56,T_Shipments[Effective_Week],47)</f>
        <v/>
      </c>
      <c r="AW56">
        <f>SUMIFS(T_Shipments[Confirmed_Qty],T_Shipments[Part Name],$A56,T_Shipments[Effective_Week],48)</f>
        <v/>
      </c>
      <c r="AX56">
        <f>SUMIFS(T_Shipments[Confirmed_Qty],T_Shipments[Part Name],$A56,T_Shipments[Effective_Week],49)</f>
        <v/>
      </c>
      <c r="AY56">
        <f>SUMIFS(T_Shipments[Confirmed_Qty],T_Shipments[Part Name],$A56,T_Shipments[Effective_Week],50)</f>
        <v/>
      </c>
      <c r="AZ56">
        <f>SUMIFS(T_Shipments[Confirmed_Qty],T_Shipments[Part Name],$A56,T_Shipments[Effective_Week],51)</f>
        <v/>
      </c>
      <c r="BA56">
        <f>SUMIFS(T_Shipments[Confirmed_Qty],T_Shipments[Part Name],$A56,T_Shipments[Effective_Week],52)</f>
        <v/>
      </c>
      <c r="BB56">
        <f>SUMIFS(T_Shipments[Confirmed_Qty],T_Shipments[Part Name],$A56,T_Shipments[Effective_Week],53)</f>
        <v/>
      </c>
      <c r="BC56">
        <f>SUMIFS(T_Shipments[Confirmed_Qty],T_Shipments[Part Name],$A56,T_Shipments[Effective_Week],54)</f>
        <v/>
      </c>
      <c r="BD56">
        <f>SUMIFS(T_Shipments[Confirmed_Qty],T_Shipments[Part Name],$A56,T_Shipments[Effective_Week],55)</f>
        <v/>
      </c>
      <c r="BE56">
        <f>SUMIFS(T_Shipments[Confirmed_Qty],T_Shipments[Part Name],$A56,T_Shipments[Effective_Week],56)</f>
        <v/>
      </c>
      <c r="BF56">
        <f>SUMIFS(T_Shipments[Confirmed_Qty],T_Shipments[Part Name],$A56,T_Shipments[Effective_Week],57)</f>
        <v/>
      </c>
      <c r="BG56">
        <f>SUMIFS(T_Shipments[Confirmed_Qty],T_Shipments[Part Name],$A56,T_Shipments[Effective_Week],58)</f>
        <v/>
      </c>
      <c r="BH56">
        <f>SUMIFS(T_Shipments[Confirmed_Qty],T_Shipments[Part Name],$A56,T_Shipments[Effective_Week],59)</f>
        <v/>
      </c>
      <c r="BI56">
        <f>SUMIFS(T_Shipments[Confirmed_Qty],T_Shipments[Part Name],$A56,T_Shipments[Effective_Week],60)</f>
        <v/>
      </c>
      <c r="BJ56">
        <f>SUMIFS(T_Shipments[Confirmed_Qty],T_Shipments[Part Name],$A56,T_Shipments[Effective_Week],61)</f>
        <v/>
      </c>
      <c r="BK56">
        <f>SUMIFS(T_Shipments[Confirmed_Qty],T_Shipments[Part Name],$A56,T_Shipments[Effective_Week],62)</f>
        <v/>
      </c>
      <c r="BL56">
        <f>SUMIFS(T_Shipments[Confirmed_Qty],T_Shipments[Part Name],$A56,T_Shipments[Effective_Week],63)</f>
        <v/>
      </c>
      <c r="BM56">
        <f>SUMIFS(T_Shipments[Confirmed_Qty],T_Shipments[Part Name],$A56,T_Shipments[Effective_Week],64)</f>
        <v/>
      </c>
      <c r="BN56">
        <f>SUMIFS(T_Shipments[Confirmed_Qty],T_Shipments[Part Name],$A56,T_Shipments[Effective_Week],65)</f>
        <v/>
      </c>
      <c r="BO56">
        <f>SUMIFS(T_Shipments[Confirmed_Qty],T_Shipments[Part Name],$A56,T_Shipments[Effective_Week],66)</f>
        <v/>
      </c>
      <c r="BP56">
        <f>SUMIFS(T_Shipments[Confirmed_Qty],T_Shipments[Part Name],$A56,T_Shipments[Effective_Week],67)</f>
        <v/>
      </c>
      <c r="BQ56">
        <f>SUMIFS(T_Shipments[Confirmed_Qty],T_Shipments[Part Name],$A56,T_Shipments[Effective_Week],68)</f>
        <v/>
      </c>
      <c r="BR56">
        <f>SUMIFS(T_Shipments[Confirmed_Qty],T_Shipments[Part Name],$A56,T_Shipments[Effective_Week],69)</f>
        <v/>
      </c>
      <c r="BS56">
        <f>SUMIFS(T_Shipments[Confirmed_Qty],T_Shipments[Part Name],$A56,T_Shipments[Effective_Week],70)</f>
        <v/>
      </c>
      <c r="BT56">
        <f>SUMIFS(T_Shipments[Confirmed_Qty],T_Shipments[Part Name],$A56,T_Shipments[Effective_Week],71)</f>
        <v/>
      </c>
      <c r="BU56">
        <f>SUMIFS(T_Shipments[Confirmed_Qty],T_Shipments[Part Name],$A56,T_Shipments[Effective_Week],72)</f>
        <v/>
      </c>
      <c r="BV56">
        <f>SUMIFS(T_Shipments[Confirmed_Qty],T_Shipments[Part Name],$A56,T_Shipments[Effective_Week],73)</f>
        <v/>
      </c>
      <c r="BW56">
        <f>SUMIFS(T_Shipments[Confirmed_Qty],T_Shipments[Part Name],$A56,T_Shipments[Effective_Week],74)</f>
        <v/>
      </c>
      <c r="BX56">
        <f>SUMIFS(T_Shipments[Confirmed_Qty],T_Shipments[Part Name],$A56,T_Shipments[Effective_Week],75)</f>
        <v/>
      </c>
      <c r="BY56">
        <f>SUMIFS(T_Shipments[Confirmed_Qty],T_Shipments[Part Name],$A56,T_Shipments[Effective_Week],76)</f>
        <v/>
      </c>
      <c r="BZ56">
        <f>SUMIFS(T_Shipments[Confirmed_Qty],T_Shipments[Part Name],$A56,T_Shipments[Effective_Week],77)</f>
        <v/>
      </c>
      <c r="CA56">
        <f>SUMIFS(T_Shipments[Confirmed_Qty],T_Shipments[Part Name],$A56,T_Shipments[Effective_Week],78)</f>
        <v/>
      </c>
      <c r="CB56">
        <f>SUMIFS(T_Shipments[Confirmed_Qty],T_Shipments[Part Name],$A56,T_Shipments[Effective_Week],79)</f>
        <v/>
      </c>
      <c r="CC56">
        <f>SUMIFS(T_Shipments[Confirmed_Qty],T_Shipments[Part Name],$A56,T_Shipments[Effective_Week],80)</f>
        <v/>
      </c>
      <c r="CD56">
        <f>SUMIFS(T_Shipments[Confirmed_Qty],T_Shipments[Part Name],$A56,T_Shipments[Effective_Week],81)</f>
        <v/>
      </c>
      <c r="CE56">
        <f>SUMIFS(T_Shipments[Confirmed_Qty],T_Shipments[Part Name],$A56,T_Shipments[Effective_Week],82)</f>
        <v/>
      </c>
      <c r="CF56">
        <f>SUMIFS(T_Shipments[Confirmed_Qty],T_Shipments[Part Name],$A56,T_Shipments[Effective_Week],83)</f>
        <v/>
      </c>
      <c r="CG56">
        <f>SUMIFS(T_Shipments[Confirmed_Qty],T_Shipments[Part Name],$A56,T_Shipments[Effective_Week],84)</f>
        <v/>
      </c>
      <c r="CH56">
        <f>SUMIFS(T_Shipments[Confirmed_Qty],T_Shipments[Part Name],$A56,T_Shipments[Effective_Week],85)</f>
        <v/>
      </c>
      <c r="CI56">
        <f>SUMIFS(T_Shipments[Confirmed_Qty],T_Shipments[Part Name],$A56,T_Shipments[Effective_Week],86)</f>
        <v/>
      </c>
      <c r="CJ56">
        <f>SUMIFS(T_Shipments[Confirmed_Qty],T_Shipments[Part Name],$A56,T_Shipments[Effective_Week],87)</f>
        <v/>
      </c>
      <c r="CK56">
        <f>SUMIFS(T_Shipments[Confirmed_Qty],T_Shipments[Part Name],$A56,T_Shipments[Effective_Week],88)</f>
        <v/>
      </c>
      <c r="CL56">
        <f>SUMIFS(T_Shipments[Confirmed_Qty],T_Shipments[Part Name],$A56,T_Shipments[Effective_Week],89)</f>
        <v/>
      </c>
      <c r="CM56">
        <f>SUMIFS(T_Shipments[Confirmed_Qty],T_Shipments[Part Name],$A56,T_Shipments[Effective_Week],90)</f>
        <v/>
      </c>
      <c r="CN56">
        <f>SUMIFS(T_Shipments[Confirmed_Qty],T_Shipments[Part Name],$A56,T_Shipments[Effective_Week],91)</f>
        <v/>
      </c>
      <c r="CO56">
        <f>SUMIFS(T_Shipments[Confirmed_Qty],T_Shipments[Part Name],$A56,T_Shipments[Effective_Week],92)</f>
        <v/>
      </c>
      <c r="CP56">
        <f>SUMIFS(T_Shipments[Confirmed_Qty],T_Shipments[Part Name],$A56,T_Shipments[Effective_Week],93)</f>
        <v/>
      </c>
      <c r="CQ56">
        <f>SUMIFS(T_Shipments[Confirmed_Qty],T_Shipments[Part Name],$A56,T_Shipments[Effective_Week],94)</f>
        <v/>
      </c>
      <c r="CR56">
        <f>SUMIFS(T_Shipments[Confirmed_Qty],T_Shipments[Part Name],$A56,T_Shipments[Effective_Week],95)</f>
        <v/>
      </c>
      <c r="CS56">
        <f>SUMIFS(T_Shipments[Confirmed_Qty],T_Shipments[Part Name],$A56,T_Shipments[Effective_Week],96)</f>
        <v/>
      </c>
      <c r="CT56">
        <f>SUMIFS(T_Shipments[Confirmed_Qty],T_Shipments[Part Name],$A56,T_Shipments[Effective_Week],97)</f>
        <v/>
      </c>
      <c r="CU56">
        <f>SUMIFS(T_Shipments[Confirmed_Qty],T_Shipments[Part Name],$A56,T_Shipments[Effective_Week],98)</f>
        <v/>
      </c>
      <c r="CV56">
        <f>SUMIFS(T_Shipments[Confirmed_Qty],T_Shipments[Part Name],$A56,T_Shipments[Effective_Week],99)</f>
        <v/>
      </c>
      <c r="CW56">
        <f>SUMIFS(T_Shipments[Confirmed_Qty],T_Shipments[Part Name],$A56,T_Shipments[Effective_Week],100)</f>
        <v/>
      </c>
      <c r="CX56">
        <f>SUMIFS(T_Shipments[Confirmed_Qty],T_Shipments[Part Name],$A56,T_Shipments[Effective_Week],101)</f>
        <v/>
      </c>
      <c r="CY56">
        <f>SUMIFS(T_Shipments[Confirmed_Qty],T_Shipments[Part Name],$A56,T_Shipments[Effective_Week],102)</f>
        <v/>
      </c>
      <c r="CZ56">
        <f>SUMIFS(T_Shipments[Confirmed_Qty],T_Shipments[Part Name],$A56,T_Shipments[Effective_Week],103)</f>
        <v/>
      </c>
      <c r="DA56">
        <f>SUMIFS(T_Shipments[Confirmed_Qty],T_Shipments[Part Name],$A56,T_Shipments[Effective_Week],104)</f>
        <v/>
      </c>
    </row>
    <row r="57">
      <c r="A57" t="inlineStr">
        <is>
          <t>CHEM-1720</t>
        </is>
      </c>
      <c r="B57">
        <f>SUMIFS(T_Shipments[Confirmed_Qty],T_Shipments[Part Name],$A57,T_Shipments[Effective_Week],1)</f>
        <v/>
      </c>
      <c r="C57">
        <f>SUMIFS(T_Shipments[Confirmed_Qty],T_Shipments[Part Name],$A57,T_Shipments[Effective_Week],2)</f>
        <v/>
      </c>
      <c r="D57">
        <f>SUMIFS(T_Shipments[Confirmed_Qty],T_Shipments[Part Name],$A57,T_Shipments[Effective_Week],3)</f>
        <v/>
      </c>
      <c r="E57">
        <f>SUMIFS(T_Shipments[Confirmed_Qty],T_Shipments[Part Name],$A57,T_Shipments[Effective_Week],4)</f>
        <v/>
      </c>
      <c r="F57">
        <f>SUMIFS(T_Shipments[Confirmed_Qty],T_Shipments[Part Name],$A57,T_Shipments[Effective_Week],5)</f>
        <v/>
      </c>
      <c r="G57">
        <f>SUMIFS(T_Shipments[Confirmed_Qty],T_Shipments[Part Name],$A57,T_Shipments[Effective_Week],6)</f>
        <v/>
      </c>
      <c r="H57">
        <f>SUMIFS(T_Shipments[Confirmed_Qty],T_Shipments[Part Name],$A57,T_Shipments[Effective_Week],7)</f>
        <v/>
      </c>
      <c r="I57">
        <f>SUMIFS(T_Shipments[Confirmed_Qty],T_Shipments[Part Name],$A57,T_Shipments[Effective_Week],8)</f>
        <v/>
      </c>
      <c r="J57">
        <f>SUMIFS(T_Shipments[Confirmed_Qty],T_Shipments[Part Name],$A57,T_Shipments[Effective_Week],9)</f>
        <v/>
      </c>
      <c r="K57">
        <f>SUMIFS(T_Shipments[Confirmed_Qty],T_Shipments[Part Name],$A57,T_Shipments[Effective_Week],10)</f>
        <v/>
      </c>
      <c r="L57">
        <f>SUMIFS(T_Shipments[Confirmed_Qty],T_Shipments[Part Name],$A57,T_Shipments[Effective_Week],11)</f>
        <v/>
      </c>
      <c r="M57">
        <f>SUMIFS(T_Shipments[Confirmed_Qty],T_Shipments[Part Name],$A57,T_Shipments[Effective_Week],12)</f>
        <v/>
      </c>
      <c r="N57">
        <f>SUMIFS(T_Shipments[Confirmed_Qty],T_Shipments[Part Name],$A57,T_Shipments[Effective_Week],13)</f>
        <v/>
      </c>
      <c r="O57">
        <f>SUMIFS(T_Shipments[Confirmed_Qty],T_Shipments[Part Name],$A57,T_Shipments[Effective_Week],14)</f>
        <v/>
      </c>
      <c r="P57">
        <f>SUMIFS(T_Shipments[Confirmed_Qty],T_Shipments[Part Name],$A57,T_Shipments[Effective_Week],15)</f>
        <v/>
      </c>
      <c r="Q57">
        <f>SUMIFS(T_Shipments[Confirmed_Qty],T_Shipments[Part Name],$A57,T_Shipments[Effective_Week],16)</f>
        <v/>
      </c>
      <c r="R57">
        <f>SUMIFS(T_Shipments[Confirmed_Qty],T_Shipments[Part Name],$A57,T_Shipments[Effective_Week],17)</f>
        <v/>
      </c>
      <c r="S57">
        <f>SUMIFS(T_Shipments[Confirmed_Qty],T_Shipments[Part Name],$A57,T_Shipments[Effective_Week],18)</f>
        <v/>
      </c>
      <c r="T57">
        <f>SUMIFS(T_Shipments[Confirmed_Qty],T_Shipments[Part Name],$A57,T_Shipments[Effective_Week],19)</f>
        <v/>
      </c>
      <c r="U57">
        <f>SUMIFS(T_Shipments[Confirmed_Qty],T_Shipments[Part Name],$A57,T_Shipments[Effective_Week],20)</f>
        <v/>
      </c>
      <c r="V57">
        <f>SUMIFS(T_Shipments[Confirmed_Qty],T_Shipments[Part Name],$A57,T_Shipments[Effective_Week],21)</f>
        <v/>
      </c>
      <c r="W57">
        <f>SUMIFS(T_Shipments[Confirmed_Qty],T_Shipments[Part Name],$A57,T_Shipments[Effective_Week],22)</f>
        <v/>
      </c>
      <c r="X57">
        <f>SUMIFS(T_Shipments[Confirmed_Qty],T_Shipments[Part Name],$A57,T_Shipments[Effective_Week],23)</f>
        <v/>
      </c>
      <c r="Y57">
        <f>SUMIFS(T_Shipments[Confirmed_Qty],T_Shipments[Part Name],$A57,T_Shipments[Effective_Week],24)</f>
        <v/>
      </c>
      <c r="Z57">
        <f>SUMIFS(T_Shipments[Confirmed_Qty],T_Shipments[Part Name],$A57,T_Shipments[Effective_Week],25)</f>
        <v/>
      </c>
      <c r="AA57">
        <f>SUMIFS(T_Shipments[Confirmed_Qty],T_Shipments[Part Name],$A57,T_Shipments[Effective_Week],26)</f>
        <v/>
      </c>
      <c r="AB57">
        <f>SUMIFS(T_Shipments[Confirmed_Qty],T_Shipments[Part Name],$A57,T_Shipments[Effective_Week],27)</f>
        <v/>
      </c>
      <c r="AC57">
        <f>SUMIFS(T_Shipments[Confirmed_Qty],T_Shipments[Part Name],$A57,T_Shipments[Effective_Week],28)</f>
        <v/>
      </c>
      <c r="AD57">
        <f>SUMIFS(T_Shipments[Confirmed_Qty],T_Shipments[Part Name],$A57,T_Shipments[Effective_Week],29)</f>
        <v/>
      </c>
      <c r="AE57">
        <f>SUMIFS(T_Shipments[Confirmed_Qty],T_Shipments[Part Name],$A57,T_Shipments[Effective_Week],30)</f>
        <v/>
      </c>
      <c r="AF57">
        <f>SUMIFS(T_Shipments[Confirmed_Qty],T_Shipments[Part Name],$A57,T_Shipments[Effective_Week],31)</f>
        <v/>
      </c>
      <c r="AG57">
        <f>SUMIFS(T_Shipments[Confirmed_Qty],T_Shipments[Part Name],$A57,T_Shipments[Effective_Week],32)</f>
        <v/>
      </c>
      <c r="AH57">
        <f>SUMIFS(T_Shipments[Confirmed_Qty],T_Shipments[Part Name],$A57,T_Shipments[Effective_Week],33)</f>
        <v/>
      </c>
      <c r="AI57">
        <f>SUMIFS(T_Shipments[Confirmed_Qty],T_Shipments[Part Name],$A57,T_Shipments[Effective_Week],34)</f>
        <v/>
      </c>
      <c r="AJ57">
        <f>SUMIFS(T_Shipments[Confirmed_Qty],T_Shipments[Part Name],$A57,T_Shipments[Effective_Week],35)</f>
        <v/>
      </c>
      <c r="AK57">
        <f>SUMIFS(T_Shipments[Confirmed_Qty],T_Shipments[Part Name],$A57,T_Shipments[Effective_Week],36)</f>
        <v/>
      </c>
      <c r="AL57">
        <f>SUMIFS(T_Shipments[Confirmed_Qty],T_Shipments[Part Name],$A57,T_Shipments[Effective_Week],37)</f>
        <v/>
      </c>
      <c r="AM57">
        <f>SUMIFS(T_Shipments[Confirmed_Qty],T_Shipments[Part Name],$A57,T_Shipments[Effective_Week],38)</f>
        <v/>
      </c>
      <c r="AN57">
        <f>SUMIFS(T_Shipments[Confirmed_Qty],T_Shipments[Part Name],$A57,T_Shipments[Effective_Week],39)</f>
        <v/>
      </c>
      <c r="AO57">
        <f>SUMIFS(T_Shipments[Confirmed_Qty],T_Shipments[Part Name],$A57,T_Shipments[Effective_Week],40)</f>
        <v/>
      </c>
      <c r="AP57">
        <f>SUMIFS(T_Shipments[Confirmed_Qty],T_Shipments[Part Name],$A57,T_Shipments[Effective_Week],41)</f>
        <v/>
      </c>
      <c r="AQ57">
        <f>SUMIFS(T_Shipments[Confirmed_Qty],T_Shipments[Part Name],$A57,T_Shipments[Effective_Week],42)</f>
        <v/>
      </c>
      <c r="AR57">
        <f>SUMIFS(T_Shipments[Confirmed_Qty],T_Shipments[Part Name],$A57,T_Shipments[Effective_Week],43)</f>
        <v/>
      </c>
      <c r="AS57">
        <f>SUMIFS(T_Shipments[Confirmed_Qty],T_Shipments[Part Name],$A57,T_Shipments[Effective_Week],44)</f>
        <v/>
      </c>
      <c r="AT57">
        <f>SUMIFS(T_Shipments[Confirmed_Qty],T_Shipments[Part Name],$A57,T_Shipments[Effective_Week],45)</f>
        <v/>
      </c>
      <c r="AU57">
        <f>SUMIFS(T_Shipments[Confirmed_Qty],T_Shipments[Part Name],$A57,T_Shipments[Effective_Week],46)</f>
        <v/>
      </c>
      <c r="AV57">
        <f>SUMIFS(T_Shipments[Confirmed_Qty],T_Shipments[Part Name],$A57,T_Shipments[Effective_Week],47)</f>
        <v/>
      </c>
      <c r="AW57">
        <f>SUMIFS(T_Shipments[Confirmed_Qty],T_Shipments[Part Name],$A57,T_Shipments[Effective_Week],48)</f>
        <v/>
      </c>
      <c r="AX57">
        <f>SUMIFS(T_Shipments[Confirmed_Qty],T_Shipments[Part Name],$A57,T_Shipments[Effective_Week],49)</f>
        <v/>
      </c>
      <c r="AY57">
        <f>SUMIFS(T_Shipments[Confirmed_Qty],T_Shipments[Part Name],$A57,T_Shipments[Effective_Week],50)</f>
        <v/>
      </c>
      <c r="AZ57">
        <f>SUMIFS(T_Shipments[Confirmed_Qty],T_Shipments[Part Name],$A57,T_Shipments[Effective_Week],51)</f>
        <v/>
      </c>
      <c r="BA57">
        <f>SUMIFS(T_Shipments[Confirmed_Qty],T_Shipments[Part Name],$A57,T_Shipments[Effective_Week],52)</f>
        <v/>
      </c>
      <c r="BB57">
        <f>SUMIFS(T_Shipments[Confirmed_Qty],T_Shipments[Part Name],$A57,T_Shipments[Effective_Week],53)</f>
        <v/>
      </c>
      <c r="BC57">
        <f>SUMIFS(T_Shipments[Confirmed_Qty],T_Shipments[Part Name],$A57,T_Shipments[Effective_Week],54)</f>
        <v/>
      </c>
      <c r="BD57">
        <f>SUMIFS(T_Shipments[Confirmed_Qty],T_Shipments[Part Name],$A57,T_Shipments[Effective_Week],55)</f>
        <v/>
      </c>
      <c r="BE57">
        <f>SUMIFS(T_Shipments[Confirmed_Qty],T_Shipments[Part Name],$A57,T_Shipments[Effective_Week],56)</f>
        <v/>
      </c>
      <c r="BF57">
        <f>SUMIFS(T_Shipments[Confirmed_Qty],T_Shipments[Part Name],$A57,T_Shipments[Effective_Week],57)</f>
        <v/>
      </c>
      <c r="BG57">
        <f>SUMIFS(T_Shipments[Confirmed_Qty],T_Shipments[Part Name],$A57,T_Shipments[Effective_Week],58)</f>
        <v/>
      </c>
      <c r="BH57">
        <f>SUMIFS(T_Shipments[Confirmed_Qty],T_Shipments[Part Name],$A57,T_Shipments[Effective_Week],59)</f>
        <v/>
      </c>
      <c r="BI57">
        <f>SUMIFS(T_Shipments[Confirmed_Qty],T_Shipments[Part Name],$A57,T_Shipments[Effective_Week],60)</f>
        <v/>
      </c>
      <c r="BJ57">
        <f>SUMIFS(T_Shipments[Confirmed_Qty],T_Shipments[Part Name],$A57,T_Shipments[Effective_Week],61)</f>
        <v/>
      </c>
      <c r="BK57">
        <f>SUMIFS(T_Shipments[Confirmed_Qty],T_Shipments[Part Name],$A57,T_Shipments[Effective_Week],62)</f>
        <v/>
      </c>
      <c r="BL57">
        <f>SUMIFS(T_Shipments[Confirmed_Qty],T_Shipments[Part Name],$A57,T_Shipments[Effective_Week],63)</f>
        <v/>
      </c>
      <c r="BM57">
        <f>SUMIFS(T_Shipments[Confirmed_Qty],T_Shipments[Part Name],$A57,T_Shipments[Effective_Week],64)</f>
        <v/>
      </c>
      <c r="BN57">
        <f>SUMIFS(T_Shipments[Confirmed_Qty],T_Shipments[Part Name],$A57,T_Shipments[Effective_Week],65)</f>
        <v/>
      </c>
      <c r="BO57">
        <f>SUMIFS(T_Shipments[Confirmed_Qty],T_Shipments[Part Name],$A57,T_Shipments[Effective_Week],66)</f>
        <v/>
      </c>
      <c r="BP57">
        <f>SUMIFS(T_Shipments[Confirmed_Qty],T_Shipments[Part Name],$A57,T_Shipments[Effective_Week],67)</f>
        <v/>
      </c>
      <c r="BQ57">
        <f>SUMIFS(T_Shipments[Confirmed_Qty],T_Shipments[Part Name],$A57,T_Shipments[Effective_Week],68)</f>
        <v/>
      </c>
      <c r="BR57">
        <f>SUMIFS(T_Shipments[Confirmed_Qty],T_Shipments[Part Name],$A57,T_Shipments[Effective_Week],69)</f>
        <v/>
      </c>
      <c r="BS57">
        <f>SUMIFS(T_Shipments[Confirmed_Qty],T_Shipments[Part Name],$A57,T_Shipments[Effective_Week],70)</f>
        <v/>
      </c>
      <c r="BT57">
        <f>SUMIFS(T_Shipments[Confirmed_Qty],T_Shipments[Part Name],$A57,T_Shipments[Effective_Week],71)</f>
        <v/>
      </c>
      <c r="BU57">
        <f>SUMIFS(T_Shipments[Confirmed_Qty],T_Shipments[Part Name],$A57,T_Shipments[Effective_Week],72)</f>
        <v/>
      </c>
      <c r="BV57">
        <f>SUMIFS(T_Shipments[Confirmed_Qty],T_Shipments[Part Name],$A57,T_Shipments[Effective_Week],73)</f>
        <v/>
      </c>
      <c r="BW57">
        <f>SUMIFS(T_Shipments[Confirmed_Qty],T_Shipments[Part Name],$A57,T_Shipments[Effective_Week],74)</f>
        <v/>
      </c>
      <c r="BX57">
        <f>SUMIFS(T_Shipments[Confirmed_Qty],T_Shipments[Part Name],$A57,T_Shipments[Effective_Week],75)</f>
        <v/>
      </c>
      <c r="BY57">
        <f>SUMIFS(T_Shipments[Confirmed_Qty],T_Shipments[Part Name],$A57,T_Shipments[Effective_Week],76)</f>
        <v/>
      </c>
      <c r="BZ57">
        <f>SUMIFS(T_Shipments[Confirmed_Qty],T_Shipments[Part Name],$A57,T_Shipments[Effective_Week],77)</f>
        <v/>
      </c>
      <c r="CA57">
        <f>SUMIFS(T_Shipments[Confirmed_Qty],T_Shipments[Part Name],$A57,T_Shipments[Effective_Week],78)</f>
        <v/>
      </c>
      <c r="CB57">
        <f>SUMIFS(T_Shipments[Confirmed_Qty],T_Shipments[Part Name],$A57,T_Shipments[Effective_Week],79)</f>
        <v/>
      </c>
      <c r="CC57">
        <f>SUMIFS(T_Shipments[Confirmed_Qty],T_Shipments[Part Name],$A57,T_Shipments[Effective_Week],80)</f>
        <v/>
      </c>
      <c r="CD57">
        <f>SUMIFS(T_Shipments[Confirmed_Qty],T_Shipments[Part Name],$A57,T_Shipments[Effective_Week],81)</f>
        <v/>
      </c>
      <c r="CE57">
        <f>SUMIFS(T_Shipments[Confirmed_Qty],T_Shipments[Part Name],$A57,T_Shipments[Effective_Week],82)</f>
        <v/>
      </c>
      <c r="CF57">
        <f>SUMIFS(T_Shipments[Confirmed_Qty],T_Shipments[Part Name],$A57,T_Shipments[Effective_Week],83)</f>
        <v/>
      </c>
      <c r="CG57">
        <f>SUMIFS(T_Shipments[Confirmed_Qty],T_Shipments[Part Name],$A57,T_Shipments[Effective_Week],84)</f>
        <v/>
      </c>
      <c r="CH57">
        <f>SUMIFS(T_Shipments[Confirmed_Qty],T_Shipments[Part Name],$A57,T_Shipments[Effective_Week],85)</f>
        <v/>
      </c>
      <c r="CI57">
        <f>SUMIFS(T_Shipments[Confirmed_Qty],T_Shipments[Part Name],$A57,T_Shipments[Effective_Week],86)</f>
        <v/>
      </c>
      <c r="CJ57">
        <f>SUMIFS(T_Shipments[Confirmed_Qty],T_Shipments[Part Name],$A57,T_Shipments[Effective_Week],87)</f>
        <v/>
      </c>
      <c r="CK57">
        <f>SUMIFS(T_Shipments[Confirmed_Qty],T_Shipments[Part Name],$A57,T_Shipments[Effective_Week],88)</f>
        <v/>
      </c>
      <c r="CL57">
        <f>SUMIFS(T_Shipments[Confirmed_Qty],T_Shipments[Part Name],$A57,T_Shipments[Effective_Week],89)</f>
        <v/>
      </c>
      <c r="CM57">
        <f>SUMIFS(T_Shipments[Confirmed_Qty],T_Shipments[Part Name],$A57,T_Shipments[Effective_Week],90)</f>
        <v/>
      </c>
      <c r="CN57">
        <f>SUMIFS(T_Shipments[Confirmed_Qty],T_Shipments[Part Name],$A57,T_Shipments[Effective_Week],91)</f>
        <v/>
      </c>
      <c r="CO57">
        <f>SUMIFS(T_Shipments[Confirmed_Qty],T_Shipments[Part Name],$A57,T_Shipments[Effective_Week],92)</f>
        <v/>
      </c>
      <c r="CP57">
        <f>SUMIFS(T_Shipments[Confirmed_Qty],T_Shipments[Part Name],$A57,T_Shipments[Effective_Week],93)</f>
        <v/>
      </c>
      <c r="CQ57">
        <f>SUMIFS(T_Shipments[Confirmed_Qty],T_Shipments[Part Name],$A57,T_Shipments[Effective_Week],94)</f>
        <v/>
      </c>
      <c r="CR57">
        <f>SUMIFS(T_Shipments[Confirmed_Qty],T_Shipments[Part Name],$A57,T_Shipments[Effective_Week],95)</f>
        <v/>
      </c>
      <c r="CS57">
        <f>SUMIFS(T_Shipments[Confirmed_Qty],T_Shipments[Part Name],$A57,T_Shipments[Effective_Week],96)</f>
        <v/>
      </c>
      <c r="CT57">
        <f>SUMIFS(T_Shipments[Confirmed_Qty],T_Shipments[Part Name],$A57,T_Shipments[Effective_Week],97)</f>
        <v/>
      </c>
      <c r="CU57">
        <f>SUMIFS(T_Shipments[Confirmed_Qty],T_Shipments[Part Name],$A57,T_Shipments[Effective_Week],98)</f>
        <v/>
      </c>
      <c r="CV57">
        <f>SUMIFS(T_Shipments[Confirmed_Qty],T_Shipments[Part Name],$A57,T_Shipments[Effective_Week],99)</f>
        <v/>
      </c>
      <c r="CW57">
        <f>SUMIFS(T_Shipments[Confirmed_Qty],T_Shipments[Part Name],$A57,T_Shipments[Effective_Week],100)</f>
        <v/>
      </c>
      <c r="CX57">
        <f>SUMIFS(T_Shipments[Confirmed_Qty],T_Shipments[Part Name],$A57,T_Shipments[Effective_Week],101)</f>
        <v/>
      </c>
      <c r="CY57">
        <f>SUMIFS(T_Shipments[Confirmed_Qty],T_Shipments[Part Name],$A57,T_Shipments[Effective_Week],102)</f>
        <v/>
      </c>
      <c r="CZ57">
        <f>SUMIFS(T_Shipments[Confirmed_Qty],T_Shipments[Part Name],$A57,T_Shipments[Effective_Week],103)</f>
        <v/>
      </c>
      <c r="DA57">
        <f>SUMIFS(T_Shipments[Confirmed_Qty],T_Shipments[Part Name],$A57,T_Shipments[Effective_Week],104)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1EK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4HL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9RN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7CL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OJN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TDJ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3TP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KEJ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JEJ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YAN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ABN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OLJ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5SN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8EN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9RJ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5JK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26F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73K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1JN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CHEM-1670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CHEM-1110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CHEM-1240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CHEM-1510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CHEM-1580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CHEM-1250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CHEM-1600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CHEM-1120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CHEM-1550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CHEM-1440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CHEM-1780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CHEM-1400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CHEM-1650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CHEM-1660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CHEM-1420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CHEM-1530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CHEM-1480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CHEM-1540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CHEM-1680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CHEM-1730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CHEM-1280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CHEM-1570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CHEM-1450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CHEM-1770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  <row r="46">
      <c r="A46" t="inlineStr">
        <is>
          <t>CHEM-1430</t>
        </is>
      </c>
      <c r="B46">
        <f>IF(COUNTIFS(T_StockCount[Part Name],$A46,T_StockCount[WeekIndex],1)&gt;0,SUMIFS(T_StockCount[CountedQty],T_StockCount[Part Name],$A46,T_StockCount[WeekIndex],1),IF((('T_SelfStock'!B50&lt;&gt;""))*(('T_TTAFStock'!B50&lt;&gt;""))&gt;0,'T_SelfStock'!B50+'T_TTAFStock'!B50,IFERROR(INDEX(T_OpeningStock[Opening_Qty],MATCH($A46,T_OpeningStock[Part Name],0)),0)+'Grid_Incoming'!B46-'Grid_Requirement'!B46))</f>
        <v/>
      </c>
      <c r="C46">
        <f>IF(COUNTIFS(T_StockCount[Part Name],$A46,T_StockCount[WeekIndex],2)&gt;0,SUMIFS(T_StockCount[CountedQty],T_StockCount[Part Name],$A46,T_StockCount[WeekIndex],2),IF((('T_SelfStock'!C50&lt;&gt;""))*(('T_TTAFStock'!C50&lt;&gt;""))&gt;0,'T_SelfStock'!C50+'T_TTAFStock'!C50,B46+'Grid_Incoming'!C46-'Grid_Requirement'!C46))</f>
        <v/>
      </c>
      <c r="D46">
        <f>IF(COUNTIFS(T_StockCount[Part Name],$A46,T_StockCount[WeekIndex],3)&gt;0,SUMIFS(T_StockCount[CountedQty],T_StockCount[Part Name],$A46,T_StockCount[WeekIndex],3),IF((('T_SelfStock'!D50&lt;&gt;""))*(('T_TTAFStock'!D50&lt;&gt;""))&gt;0,'T_SelfStock'!D50+'T_TTAFStock'!D50,C46+'Grid_Incoming'!D46-'Grid_Requirement'!D46))</f>
        <v/>
      </c>
      <c r="E46">
        <f>IF(COUNTIFS(T_StockCount[Part Name],$A46,T_StockCount[WeekIndex],4)&gt;0,SUMIFS(T_StockCount[CountedQty],T_StockCount[Part Name],$A46,T_StockCount[WeekIndex],4),IF((('T_SelfStock'!E50&lt;&gt;""))*(('T_TTAFStock'!E50&lt;&gt;""))&gt;0,'T_SelfStock'!E50+'T_TTAFStock'!E50,D46+'Grid_Incoming'!E46-'Grid_Requirement'!E46))</f>
        <v/>
      </c>
      <c r="F46">
        <f>IF(COUNTIFS(T_StockCount[Part Name],$A46,T_StockCount[WeekIndex],5)&gt;0,SUMIFS(T_StockCount[CountedQty],T_StockCount[Part Name],$A46,T_StockCount[WeekIndex],5),IF((('T_SelfStock'!F50&lt;&gt;""))*(('T_TTAFStock'!F50&lt;&gt;""))&gt;0,'T_SelfStock'!F50+'T_TTAFStock'!F50,E46+'Grid_Incoming'!F46-'Grid_Requirement'!F46))</f>
        <v/>
      </c>
      <c r="G46">
        <f>IF(COUNTIFS(T_StockCount[Part Name],$A46,T_StockCount[WeekIndex],6)&gt;0,SUMIFS(T_StockCount[CountedQty],T_StockCount[Part Name],$A46,T_StockCount[WeekIndex],6),IF((('T_SelfStock'!G50&lt;&gt;""))*(('T_TTAFStock'!G50&lt;&gt;""))&gt;0,'T_SelfStock'!G50+'T_TTAFStock'!G50,F46+'Grid_Incoming'!G46-'Grid_Requirement'!G46))</f>
        <v/>
      </c>
      <c r="H46">
        <f>IF(COUNTIFS(T_StockCount[Part Name],$A46,T_StockCount[WeekIndex],7)&gt;0,SUMIFS(T_StockCount[CountedQty],T_StockCount[Part Name],$A46,T_StockCount[WeekIndex],7),IF((('T_SelfStock'!H50&lt;&gt;""))*(('T_TTAFStock'!H50&lt;&gt;""))&gt;0,'T_SelfStock'!H50+'T_TTAFStock'!H50,G46+'Grid_Incoming'!H46-'Grid_Requirement'!H46))</f>
        <v/>
      </c>
      <c r="I46">
        <f>IF(COUNTIFS(T_StockCount[Part Name],$A46,T_StockCount[WeekIndex],8)&gt;0,SUMIFS(T_StockCount[CountedQty],T_StockCount[Part Name],$A46,T_StockCount[WeekIndex],8),IF((('T_SelfStock'!I50&lt;&gt;""))*(('T_TTAFStock'!I50&lt;&gt;""))&gt;0,'T_SelfStock'!I50+'T_TTAFStock'!I50,H46+'Grid_Incoming'!I46-'Grid_Requirement'!I46))</f>
        <v/>
      </c>
      <c r="J46">
        <f>IF(COUNTIFS(T_StockCount[Part Name],$A46,T_StockCount[WeekIndex],9)&gt;0,SUMIFS(T_StockCount[CountedQty],T_StockCount[Part Name],$A46,T_StockCount[WeekIndex],9),IF((('T_SelfStock'!J50&lt;&gt;""))*(('T_TTAFStock'!J50&lt;&gt;""))&gt;0,'T_SelfStock'!J50+'T_TTAFStock'!J50,I46+'Grid_Incoming'!J46-'Grid_Requirement'!J46))</f>
        <v/>
      </c>
      <c r="K46">
        <f>IF(COUNTIFS(T_StockCount[Part Name],$A46,T_StockCount[WeekIndex],10)&gt;0,SUMIFS(T_StockCount[CountedQty],T_StockCount[Part Name],$A46,T_StockCount[WeekIndex],10),IF((('T_SelfStock'!K50&lt;&gt;""))*(('T_TTAFStock'!K50&lt;&gt;""))&gt;0,'T_SelfStock'!K50+'T_TTAFStock'!K50,J46+'Grid_Incoming'!K46-'Grid_Requirement'!K46))</f>
        <v/>
      </c>
      <c r="L46">
        <f>IF(COUNTIFS(T_StockCount[Part Name],$A46,T_StockCount[WeekIndex],11)&gt;0,SUMIFS(T_StockCount[CountedQty],T_StockCount[Part Name],$A46,T_StockCount[WeekIndex],11),IF((('T_SelfStock'!L50&lt;&gt;""))*(('T_TTAFStock'!L50&lt;&gt;""))&gt;0,'T_SelfStock'!L50+'T_TTAFStock'!L50,K46+'Grid_Incoming'!L46-'Grid_Requirement'!L46))</f>
        <v/>
      </c>
      <c r="M46">
        <f>IF(COUNTIFS(T_StockCount[Part Name],$A46,T_StockCount[WeekIndex],12)&gt;0,SUMIFS(T_StockCount[CountedQty],T_StockCount[Part Name],$A46,T_StockCount[WeekIndex],12),IF((('T_SelfStock'!M50&lt;&gt;""))*(('T_TTAFStock'!M50&lt;&gt;""))&gt;0,'T_SelfStock'!M50+'T_TTAFStock'!M50,L46+'Grid_Incoming'!M46-'Grid_Requirement'!M46))</f>
        <v/>
      </c>
      <c r="N46">
        <f>IF(COUNTIFS(T_StockCount[Part Name],$A46,T_StockCount[WeekIndex],13)&gt;0,SUMIFS(T_StockCount[CountedQty],T_StockCount[Part Name],$A46,T_StockCount[WeekIndex],13),IF((('T_SelfStock'!N50&lt;&gt;""))*(('T_TTAFStock'!N50&lt;&gt;""))&gt;0,'T_SelfStock'!N50+'T_TTAFStock'!N50,M46+'Grid_Incoming'!N46-'Grid_Requirement'!N46))</f>
        <v/>
      </c>
      <c r="O46">
        <f>IF(COUNTIFS(T_StockCount[Part Name],$A46,T_StockCount[WeekIndex],14)&gt;0,SUMIFS(T_StockCount[CountedQty],T_StockCount[Part Name],$A46,T_StockCount[WeekIndex],14),IF((('T_SelfStock'!O50&lt;&gt;""))*(('T_TTAFStock'!O50&lt;&gt;""))&gt;0,'T_SelfStock'!O50+'T_TTAFStock'!O50,N46+'Grid_Incoming'!O46-'Grid_Requirement'!O46))</f>
        <v/>
      </c>
      <c r="P46">
        <f>IF(COUNTIFS(T_StockCount[Part Name],$A46,T_StockCount[WeekIndex],15)&gt;0,SUMIFS(T_StockCount[CountedQty],T_StockCount[Part Name],$A46,T_StockCount[WeekIndex],15),IF((('T_SelfStock'!P50&lt;&gt;""))*(('T_TTAFStock'!P50&lt;&gt;""))&gt;0,'T_SelfStock'!P50+'T_TTAFStock'!P50,O46+'Grid_Incoming'!P46-'Grid_Requirement'!P46))</f>
        <v/>
      </c>
      <c r="Q46">
        <f>IF(COUNTIFS(T_StockCount[Part Name],$A46,T_StockCount[WeekIndex],16)&gt;0,SUMIFS(T_StockCount[CountedQty],T_StockCount[Part Name],$A46,T_StockCount[WeekIndex],16),IF((('T_SelfStock'!Q50&lt;&gt;""))*(('T_TTAFStock'!Q50&lt;&gt;""))&gt;0,'T_SelfStock'!Q50+'T_TTAFStock'!Q50,P46+'Grid_Incoming'!Q46-'Grid_Requirement'!Q46))</f>
        <v/>
      </c>
      <c r="R46">
        <f>IF(COUNTIFS(T_StockCount[Part Name],$A46,T_StockCount[WeekIndex],17)&gt;0,SUMIFS(T_StockCount[CountedQty],T_StockCount[Part Name],$A46,T_StockCount[WeekIndex],17),IF((('T_SelfStock'!R50&lt;&gt;""))*(('T_TTAFStock'!R50&lt;&gt;""))&gt;0,'T_SelfStock'!R50+'T_TTAFStock'!R50,Q46+'Grid_Incoming'!R46-'Grid_Requirement'!R46))</f>
        <v/>
      </c>
      <c r="S46">
        <f>IF(COUNTIFS(T_StockCount[Part Name],$A46,T_StockCount[WeekIndex],18)&gt;0,SUMIFS(T_StockCount[CountedQty],T_StockCount[Part Name],$A46,T_StockCount[WeekIndex],18),IF((('T_SelfStock'!S50&lt;&gt;""))*(('T_TTAFStock'!S50&lt;&gt;""))&gt;0,'T_SelfStock'!S50+'T_TTAFStock'!S50,R46+'Grid_Incoming'!S46-'Grid_Requirement'!S46))</f>
        <v/>
      </c>
      <c r="T46">
        <f>IF(COUNTIFS(T_StockCount[Part Name],$A46,T_StockCount[WeekIndex],19)&gt;0,SUMIFS(T_StockCount[CountedQty],T_StockCount[Part Name],$A46,T_StockCount[WeekIndex],19),IF((('T_SelfStock'!T50&lt;&gt;""))*(('T_TTAFStock'!T50&lt;&gt;""))&gt;0,'T_SelfStock'!T50+'T_TTAFStock'!T50,S46+'Grid_Incoming'!T46-'Grid_Requirement'!T46))</f>
        <v/>
      </c>
      <c r="U46">
        <f>IF(COUNTIFS(T_StockCount[Part Name],$A46,T_StockCount[WeekIndex],20)&gt;0,SUMIFS(T_StockCount[CountedQty],T_StockCount[Part Name],$A46,T_StockCount[WeekIndex],20),IF((('T_SelfStock'!U50&lt;&gt;""))*(('T_TTAFStock'!U50&lt;&gt;""))&gt;0,'T_SelfStock'!U50+'T_TTAFStock'!U50,T46+'Grid_Incoming'!U46-'Grid_Requirement'!U46))</f>
        <v/>
      </c>
      <c r="V46">
        <f>IF(COUNTIFS(T_StockCount[Part Name],$A46,T_StockCount[WeekIndex],21)&gt;0,SUMIFS(T_StockCount[CountedQty],T_StockCount[Part Name],$A46,T_StockCount[WeekIndex],21),IF((('T_SelfStock'!V50&lt;&gt;""))*(('T_TTAFStock'!V50&lt;&gt;""))&gt;0,'T_SelfStock'!V50+'T_TTAFStock'!V50,U46+'Grid_Incoming'!V46-'Grid_Requirement'!V46))</f>
        <v/>
      </c>
      <c r="W46">
        <f>IF(COUNTIFS(T_StockCount[Part Name],$A46,T_StockCount[WeekIndex],22)&gt;0,SUMIFS(T_StockCount[CountedQty],T_StockCount[Part Name],$A46,T_StockCount[WeekIndex],22),IF((('T_SelfStock'!W50&lt;&gt;""))*(('T_TTAFStock'!W50&lt;&gt;""))&gt;0,'T_SelfStock'!W50+'T_TTAFStock'!W50,V46+'Grid_Incoming'!W46-'Grid_Requirement'!W46))</f>
        <v/>
      </c>
      <c r="X46">
        <f>IF(COUNTIFS(T_StockCount[Part Name],$A46,T_StockCount[WeekIndex],23)&gt;0,SUMIFS(T_StockCount[CountedQty],T_StockCount[Part Name],$A46,T_StockCount[WeekIndex],23),IF((('T_SelfStock'!X50&lt;&gt;""))*(('T_TTAFStock'!X50&lt;&gt;""))&gt;0,'T_SelfStock'!X50+'T_TTAFStock'!X50,W46+'Grid_Incoming'!X46-'Grid_Requirement'!X46))</f>
        <v/>
      </c>
      <c r="Y46">
        <f>IF(COUNTIFS(T_StockCount[Part Name],$A46,T_StockCount[WeekIndex],24)&gt;0,SUMIFS(T_StockCount[CountedQty],T_StockCount[Part Name],$A46,T_StockCount[WeekIndex],24),IF((('T_SelfStock'!Y50&lt;&gt;""))*(('T_TTAFStock'!Y50&lt;&gt;""))&gt;0,'T_SelfStock'!Y50+'T_TTAFStock'!Y50,X46+'Grid_Incoming'!Y46-'Grid_Requirement'!Y46))</f>
        <v/>
      </c>
      <c r="Z46">
        <f>IF(COUNTIFS(T_StockCount[Part Name],$A46,T_StockCount[WeekIndex],25)&gt;0,SUMIFS(T_StockCount[CountedQty],T_StockCount[Part Name],$A46,T_StockCount[WeekIndex],25),IF((('T_SelfStock'!Z50&lt;&gt;""))*(('T_TTAFStock'!Z50&lt;&gt;""))&gt;0,'T_SelfStock'!Z50+'T_TTAFStock'!Z50,Y46+'Grid_Incoming'!Z46-'Grid_Requirement'!Z46))</f>
        <v/>
      </c>
      <c r="AA46">
        <f>IF(COUNTIFS(T_StockCount[Part Name],$A46,T_StockCount[WeekIndex],26)&gt;0,SUMIFS(T_StockCount[CountedQty],T_StockCount[Part Name],$A46,T_StockCount[WeekIndex],26),IF((('T_SelfStock'!AA50&lt;&gt;""))*(('T_TTAFStock'!AA50&lt;&gt;""))&gt;0,'T_SelfStock'!AA50+'T_TTAFStock'!AA50,Z46+'Grid_Incoming'!AA46-'Grid_Requirement'!AA46))</f>
        <v/>
      </c>
      <c r="AB46">
        <f>IF(COUNTIFS(T_StockCount[Part Name],$A46,T_StockCount[WeekIndex],27)&gt;0,SUMIFS(T_StockCount[CountedQty],T_StockCount[Part Name],$A46,T_StockCount[WeekIndex],27),IF((('T_SelfStock'!AB50&lt;&gt;""))*(('T_TTAFStock'!AB50&lt;&gt;""))&gt;0,'T_SelfStock'!AB50+'T_TTAFStock'!AB50,AA46+'Grid_Incoming'!AB46-'Grid_Requirement'!AB46))</f>
        <v/>
      </c>
      <c r="AC46">
        <f>IF(COUNTIFS(T_StockCount[Part Name],$A46,T_StockCount[WeekIndex],28)&gt;0,SUMIFS(T_StockCount[CountedQty],T_StockCount[Part Name],$A46,T_StockCount[WeekIndex],28),IF((('T_SelfStock'!AC50&lt;&gt;""))*(('T_TTAFStock'!AC50&lt;&gt;""))&gt;0,'T_SelfStock'!AC50+'T_TTAFStock'!AC50,AB46+'Grid_Incoming'!AC46-'Grid_Requirement'!AC46))</f>
        <v/>
      </c>
      <c r="AD46">
        <f>IF(COUNTIFS(T_StockCount[Part Name],$A46,T_StockCount[WeekIndex],29)&gt;0,SUMIFS(T_StockCount[CountedQty],T_StockCount[Part Name],$A46,T_StockCount[WeekIndex],29),IF((('T_SelfStock'!AD50&lt;&gt;""))*(('T_TTAFStock'!AD50&lt;&gt;""))&gt;0,'T_SelfStock'!AD50+'T_TTAFStock'!AD50,AC46+'Grid_Incoming'!AD46-'Grid_Requirement'!AD46))</f>
        <v/>
      </c>
      <c r="AE46">
        <f>IF(COUNTIFS(T_StockCount[Part Name],$A46,T_StockCount[WeekIndex],30)&gt;0,SUMIFS(T_StockCount[CountedQty],T_StockCount[Part Name],$A46,T_StockCount[WeekIndex],30),IF((('T_SelfStock'!AE50&lt;&gt;""))*(('T_TTAFStock'!AE50&lt;&gt;""))&gt;0,'T_SelfStock'!AE50+'T_TTAFStock'!AE50,AD46+'Grid_Incoming'!AE46-'Grid_Requirement'!AE46))</f>
        <v/>
      </c>
      <c r="AF46">
        <f>IF(COUNTIFS(T_StockCount[Part Name],$A46,T_StockCount[WeekIndex],31)&gt;0,SUMIFS(T_StockCount[CountedQty],T_StockCount[Part Name],$A46,T_StockCount[WeekIndex],31),IF((('T_SelfStock'!AF50&lt;&gt;""))*(('T_TTAFStock'!AF50&lt;&gt;""))&gt;0,'T_SelfStock'!AF50+'T_TTAFStock'!AF50,AE46+'Grid_Incoming'!AF46-'Grid_Requirement'!AF46))</f>
        <v/>
      </c>
      <c r="AG46">
        <f>IF(COUNTIFS(T_StockCount[Part Name],$A46,T_StockCount[WeekIndex],32)&gt;0,SUMIFS(T_StockCount[CountedQty],T_StockCount[Part Name],$A46,T_StockCount[WeekIndex],32),IF((('T_SelfStock'!AG50&lt;&gt;""))*(('T_TTAFStock'!AG50&lt;&gt;""))&gt;0,'T_SelfStock'!AG50+'T_TTAFStock'!AG50,AF46+'Grid_Incoming'!AG46-'Grid_Requirement'!AG46))</f>
        <v/>
      </c>
      <c r="AH46">
        <f>IF(COUNTIFS(T_StockCount[Part Name],$A46,T_StockCount[WeekIndex],33)&gt;0,SUMIFS(T_StockCount[CountedQty],T_StockCount[Part Name],$A46,T_StockCount[WeekIndex],33),IF((('T_SelfStock'!AH50&lt;&gt;""))*(('T_TTAFStock'!AH50&lt;&gt;""))&gt;0,'T_SelfStock'!AH50+'T_TTAFStock'!AH50,AG46+'Grid_Incoming'!AH46-'Grid_Requirement'!AH46))</f>
        <v/>
      </c>
      <c r="AI46">
        <f>IF(COUNTIFS(T_StockCount[Part Name],$A46,T_StockCount[WeekIndex],34)&gt;0,SUMIFS(T_StockCount[CountedQty],T_StockCount[Part Name],$A46,T_StockCount[WeekIndex],34),IF((('T_SelfStock'!AI50&lt;&gt;""))*(('T_TTAFStock'!AI50&lt;&gt;""))&gt;0,'T_SelfStock'!AI50+'T_TTAFStock'!AI50,AH46+'Grid_Incoming'!AI46-'Grid_Requirement'!AI46))</f>
        <v/>
      </c>
      <c r="AJ46">
        <f>IF(COUNTIFS(T_StockCount[Part Name],$A46,T_StockCount[WeekIndex],35)&gt;0,SUMIFS(T_StockCount[CountedQty],T_StockCount[Part Name],$A46,T_StockCount[WeekIndex],35),IF((('T_SelfStock'!AJ50&lt;&gt;""))*(('T_TTAFStock'!AJ50&lt;&gt;""))&gt;0,'T_SelfStock'!AJ50+'T_TTAFStock'!AJ50,AI46+'Grid_Incoming'!AJ46-'Grid_Requirement'!AJ46))</f>
        <v/>
      </c>
      <c r="AK46">
        <f>IF(COUNTIFS(T_StockCount[Part Name],$A46,T_StockCount[WeekIndex],36)&gt;0,SUMIFS(T_StockCount[CountedQty],T_StockCount[Part Name],$A46,T_StockCount[WeekIndex],36),IF((('T_SelfStock'!AK50&lt;&gt;""))*(('T_TTAFStock'!AK50&lt;&gt;""))&gt;0,'T_SelfStock'!AK50+'T_TTAFStock'!AK50,AJ46+'Grid_Incoming'!AK46-'Grid_Requirement'!AK46))</f>
        <v/>
      </c>
      <c r="AL46">
        <f>IF(COUNTIFS(T_StockCount[Part Name],$A46,T_StockCount[WeekIndex],37)&gt;0,SUMIFS(T_StockCount[CountedQty],T_StockCount[Part Name],$A46,T_StockCount[WeekIndex],37),IF((('T_SelfStock'!AL50&lt;&gt;""))*(('T_TTAFStock'!AL50&lt;&gt;""))&gt;0,'T_SelfStock'!AL50+'T_TTAFStock'!AL50,AK46+'Grid_Incoming'!AL46-'Grid_Requirement'!AL46))</f>
        <v/>
      </c>
      <c r="AM46">
        <f>IF(COUNTIFS(T_StockCount[Part Name],$A46,T_StockCount[WeekIndex],38)&gt;0,SUMIFS(T_StockCount[CountedQty],T_StockCount[Part Name],$A46,T_StockCount[WeekIndex],38),IF((('T_SelfStock'!AM50&lt;&gt;""))*(('T_TTAFStock'!AM50&lt;&gt;""))&gt;0,'T_SelfStock'!AM50+'T_TTAFStock'!AM50,AL46+'Grid_Incoming'!AM46-'Grid_Requirement'!AM46))</f>
        <v/>
      </c>
      <c r="AN46">
        <f>IF(COUNTIFS(T_StockCount[Part Name],$A46,T_StockCount[WeekIndex],39)&gt;0,SUMIFS(T_StockCount[CountedQty],T_StockCount[Part Name],$A46,T_StockCount[WeekIndex],39),IF((('T_SelfStock'!AN50&lt;&gt;""))*(('T_TTAFStock'!AN50&lt;&gt;""))&gt;0,'T_SelfStock'!AN50+'T_TTAFStock'!AN50,AM46+'Grid_Incoming'!AN46-'Grid_Requirement'!AN46))</f>
        <v/>
      </c>
      <c r="AO46">
        <f>IF(COUNTIFS(T_StockCount[Part Name],$A46,T_StockCount[WeekIndex],40)&gt;0,SUMIFS(T_StockCount[CountedQty],T_StockCount[Part Name],$A46,T_StockCount[WeekIndex],40),IF((('T_SelfStock'!AO50&lt;&gt;""))*(('T_TTAFStock'!AO50&lt;&gt;""))&gt;0,'T_SelfStock'!AO50+'T_TTAFStock'!AO50,AN46+'Grid_Incoming'!AO46-'Grid_Requirement'!AO46))</f>
        <v/>
      </c>
      <c r="AP46">
        <f>IF(COUNTIFS(T_StockCount[Part Name],$A46,T_StockCount[WeekIndex],41)&gt;0,SUMIFS(T_StockCount[CountedQty],T_StockCount[Part Name],$A46,T_StockCount[WeekIndex],41),IF((('T_SelfStock'!AP50&lt;&gt;""))*(('T_TTAFStock'!AP50&lt;&gt;""))&gt;0,'T_SelfStock'!AP50+'T_TTAFStock'!AP50,AO46+'Grid_Incoming'!AP46-'Grid_Requirement'!AP46))</f>
        <v/>
      </c>
      <c r="AQ46">
        <f>IF(COUNTIFS(T_StockCount[Part Name],$A46,T_StockCount[WeekIndex],42)&gt;0,SUMIFS(T_StockCount[CountedQty],T_StockCount[Part Name],$A46,T_StockCount[WeekIndex],42),IF((('T_SelfStock'!AQ50&lt;&gt;""))*(('T_TTAFStock'!AQ50&lt;&gt;""))&gt;0,'T_SelfStock'!AQ50+'T_TTAFStock'!AQ50,AP46+'Grid_Incoming'!AQ46-'Grid_Requirement'!AQ46))</f>
        <v/>
      </c>
      <c r="AR46">
        <f>IF(COUNTIFS(T_StockCount[Part Name],$A46,T_StockCount[WeekIndex],43)&gt;0,SUMIFS(T_StockCount[CountedQty],T_StockCount[Part Name],$A46,T_StockCount[WeekIndex],43),IF((('T_SelfStock'!AR50&lt;&gt;""))*(('T_TTAFStock'!AR50&lt;&gt;""))&gt;0,'T_SelfStock'!AR50+'T_TTAFStock'!AR50,AQ46+'Grid_Incoming'!AR46-'Grid_Requirement'!AR46))</f>
        <v/>
      </c>
      <c r="AS46">
        <f>IF(COUNTIFS(T_StockCount[Part Name],$A46,T_StockCount[WeekIndex],44)&gt;0,SUMIFS(T_StockCount[CountedQty],T_StockCount[Part Name],$A46,T_StockCount[WeekIndex],44),IF((('T_SelfStock'!AS50&lt;&gt;""))*(('T_TTAFStock'!AS50&lt;&gt;""))&gt;0,'T_SelfStock'!AS50+'T_TTAFStock'!AS50,AR46+'Grid_Incoming'!AS46-'Grid_Requirement'!AS46))</f>
        <v/>
      </c>
      <c r="AT46">
        <f>IF(COUNTIFS(T_StockCount[Part Name],$A46,T_StockCount[WeekIndex],45)&gt;0,SUMIFS(T_StockCount[CountedQty],T_StockCount[Part Name],$A46,T_StockCount[WeekIndex],45),IF((('T_SelfStock'!AT50&lt;&gt;""))*(('T_TTAFStock'!AT50&lt;&gt;""))&gt;0,'T_SelfStock'!AT50+'T_TTAFStock'!AT50,AS46+'Grid_Incoming'!AT46-'Grid_Requirement'!AT46))</f>
        <v/>
      </c>
      <c r="AU46">
        <f>IF(COUNTIFS(T_StockCount[Part Name],$A46,T_StockCount[WeekIndex],46)&gt;0,SUMIFS(T_StockCount[CountedQty],T_StockCount[Part Name],$A46,T_StockCount[WeekIndex],46),IF((('T_SelfStock'!AU50&lt;&gt;""))*(('T_TTAFStock'!AU50&lt;&gt;""))&gt;0,'T_SelfStock'!AU50+'T_TTAFStock'!AU50,AT46+'Grid_Incoming'!AU46-'Grid_Requirement'!AU46))</f>
        <v/>
      </c>
      <c r="AV46">
        <f>IF(COUNTIFS(T_StockCount[Part Name],$A46,T_StockCount[WeekIndex],47)&gt;0,SUMIFS(T_StockCount[CountedQty],T_StockCount[Part Name],$A46,T_StockCount[WeekIndex],47),IF((('T_SelfStock'!AV50&lt;&gt;""))*(('T_TTAFStock'!AV50&lt;&gt;""))&gt;0,'T_SelfStock'!AV50+'T_TTAFStock'!AV50,AU46+'Grid_Incoming'!AV46-'Grid_Requirement'!AV46))</f>
        <v/>
      </c>
      <c r="AW46">
        <f>IF(COUNTIFS(T_StockCount[Part Name],$A46,T_StockCount[WeekIndex],48)&gt;0,SUMIFS(T_StockCount[CountedQty],T_StockCount[Part Name],$A46,T_StockCount[WeekIndex],48),IF((('T_SelfStock'!AW50&lt;&gt;""))*(('T_TTAFStock'!AW50&lt;&gt;""))&gt;0,'T_SelfStock'!AW50+'T_TTAFStock'!AW50,AV46+'Grid_Incoming'!AW46-'Grid_Requirement'!AW46))</f>
        <v/>
      </c>
      <c r="AX46">
        <f>IF(COUNTIFS(T_StockCount[Part Name],$A46,T_StockCount[WeekIndex],49)&gt;0,SUMIFS(T_StockCount[CountedQty],T_StockCount[Part Name],$A46,T_StockCount[WeekIndex],49),IF((('T_SelfStock'!AX50&lt;&gt;""))*(('T_TTAFStock'!AX50&lt;&gt;""))&gt;0,'T_SelfStock'!AX50+'T_TTAFStock'!AX50,AW46+'Grid_Incoming'!AX46-'Grid_Requirement'!AX46))</f>
        <v/>
      </c>
      <c r="AY46">
        <f>IF(COUNTIFS(T_StockCount[Part Name],$A46,T_StockCount[WeekIndex],50)&gt;0,SUMIFS(T_StockCount[CountedQty],T_StockCount[Part Name],$A46,T_StockCount[WeekIndex],50),IF((('T_SelfStock'!AY50&lt;&gt;""))*(('T_TTAFStock'!AY50&lt;&gt;""))&gt;0,'T_SelfStock'!AY50+'T_TTAFStock'!AY50,AX46+'Grid_Incoming'!AY46-'Grid_Requirement'!AY46))</f>
        <v/>
      </c>
      <c r="AZ46">
        <f>IF(COUNTIFS(T_StockCount[Part Name],$A46,T_StockCount[WeekIndex],51)&gt;0,SUMIFS(T_StockCount[CountedQty],T_StockCount[Part Name],$A46,T_StockCount[WeekIndex],51),IF((('T_SelfStock'!AZ50&lt;&gt;""))*(('T_TTAFStock'!AZ50&lt;&gt;""))&gt;0,'T_SelfStock'!AZ50+'T_TTAFStock'!AZ50,AY46+'Grid_Incoming'!AZ46-'Grid_Requirement'!AZ46))</f>
        <v/>
      </c>
      <c r="BA46">
        <f>IF(COUNTIFS(T_StockCount[Part Name],$A46,T_StockCount[WeekIndex],52)&gt;0,SUMIFS(T_StockCount[CountedQty],T_StockCount[Part Name],$A46,T_StockCount[WeekIndex],52),IF((('T_SelfStock'!BA50&lt;&gt;""))*(('T_TTAFStock'!BA50&lt;&gt;""))&gt;0,'T_SelfStock'!BA50+'T_TTAFStock'!BA50,AZ46+'Grid_Incoming'!BA46-'Grid_Requirement'!BA46))</f>
        <v/>
      </c>
      <c r="BB46">
        <f>IF(COUNTIFS(T_StockCount[Part Name],$A46,T_StockCount[WeekIndex],53)&gt;0,SUMIFS(T_StockCount[CountedQty],T_StockCount[Part Name],$A46,T_StockCount[WeekIndex],53),IF((('T_SelfStock'!BB50&lt;&gt;""))*(('T_TTAFStock'!BB50&lt;&gt;""))&gt;0,'T_SelfStock'!BB50+'T_TTAFStock'!BB50,BA46+'Grid_Incoming'!BB46-'Grid_Requirement'!BB46))</f>
        <v/>
      </c>
      <c r="BC46">
        <f>IF(COUNTIFS(T_StockCount[Part Name],$A46,T_StockCount[WeekIndex],54)&gt;0,SUMIFS(T_StockCount[CountedQty],T_StockCount[Part Name],$A46,T_StockCount[WeekIndex],54),IF((('T_SelfStock'!BC50&lt;&gt;""))*(('T_TTAFStock'!BC50&lt;&gt;""))&gt;0,'T_SelfStock'!BC50+'T_TTAFStock'!BC50,BB46+'Grid_Incoming'!BC46-'Grid_Requirement'!BC46))</f>
        <v/>
      </c>
      <c r="BD46">
        <f>IF(COUNTIFS(T_StockCount[Part Name],$A46,T_StockCount[WeekIndex],55)&gt;0,SUMIFS(T_StockCount[CountedQty],T_StockCount[Part Name],$A46,T_StockCount[WeekIndex],55),IF((('T_SelfStock'!BD50&lt;&gt;""))*(('T_TTAFStock'!BD50&lt;&gt;""))&gt;0,'T_SelfStock'!BD50+'T_TTAFStock'!BD50,BC46+'Grid_Incoming'!BD46-'Grid_Requirement'!BD46))</f>
        <v/>
      </c>
      <c r="BE46">
        <f>IF(COUNTIFS(T_StockCount[Part Name],$A46,T_StockCount[WeekIndex],56)&gt;0,SUMIFS(T_StockCount[CountedQty],T_StockCount[Part Name],$A46,T_StockCount[WeekIndex],56),IF((('T_SelfStock'!BE50&lt;&gt;""))*(('T_TTAFStock'!BE50&lt;&gt;""))&gt;0,'T_SelfStock'!BE50+'T_TTAFStock'!BE50,BD46+'Grid_Incoming'!BE46-'Grid_Requirement'!BE46))</f>
        <v/>
      </c>
      <c r="BF46">
        <f>IF(COUNTIFS(T_StockCount[Part Name],$A46,T_StockCount[WeekIndex],57)&gt;0,SUMIFS(T_StockCount[CountedQty],T_StockCount[Part Name],$A46,T_StockCount[WeekIndex],57),IF((('T_SelfStock'!BF50&lt;&gt;""))*(('T_TTAFStock'!BF50&lt;&gt;""))&gt;0,'T_SelfStock'!BF50+'T_TTAFStock'!BF50,BE46+'Grid_Incoming'!BF46-'Grid_Requirement'!BF46))</f>
        <v/>
      </c>
      <c r="BG46">
        <f>IF(COUNTIFS(T_StockCount[Part Name],$A46,T_StockCount[WeekIndex],58)&gt;0,SUMIFS(T_StockCount[CountedQty],T_StockCount[Part Name],$A46,T_StockCount[WeekIndex],58),IF((('T_SelfStock'!BG50&lt;&gt;""))*(('T_TTAFStock'!BG50&lt;&gt;""))&gt;0,'T_SelfStock'!BG50+'T_TTAFStock'!BG50,BF46+'Grid_Incoming'!BG46-'Grid_Requirement'!BG46))</f>
        <v/>
      </c>
      <c r="BH46">
        <f>IF(COUNTIFS(T_StockCount[Part Name],$A46,T_StockCount[WeekIndex],59)&gt;0,SUMIFS(T_StockCount[CountedQty],T_StockCount[Part Name],$A46,T_StockCount[WeekIndex],59),IF((('T_SelfStock'!BH50&lt;&gt;""))*(('T_TTAFStock'!BH50&lt;&gt;""))&gt;0,'T_SelfStock'!BH50+'T_TTAFStock'!BH50,BG46+'Grid_Incoming'!BH46-'Grid_Requirement'!BH46))</f>
        <v/>
      </c>
      <c r="BI46">
        <f>IF(COUNTIFS(T_StockCount[Part Name],$A46,T_StockCount[WeekIndex],60)&gt;0,SUMIFS(T_StockCount[CountedQty],T_StockCount[Part Name],$A46,T_StockCount[WeekIndex],60),IF((('T_SelfStock'!BI50&lt;&gt;""))*(('T_TTAFStock'!BI50&lt;&gt;""))&gt;0,'T_SelfStock'!BI50+'T_TTAFStock'!BI50,BH46+'Grid_Incoming'!BI46-'Grid_Requirement'!BI46))</f>
        <v/>
      </c>
      <c r="BJ46">
        <f>IF(COUNTIFS(T_StockCount[Part Name],$A46,T_StockCount[WeekIndex],61)&gt;0,SUMIFS(T_StockCount[CountedQty],T_StockCount[Part Name],$A46,T_StockCount[WeekIndex],61),IF((('T_SelfStock'!BJ50&lt;&gt;""))*(('T_TTAFStock'!BJ50&lt;&gt;""))&gt;0,'T_SelfStock'!BJ50+'T_TTAFStock'!BJ50,BI46+'Grid_Incoming'!BJ46-'Grid_Requirement'!BJ46))</f>
        <v/>
      </c>
      <c r="BK46">
        <f>IF(COUNTIFS(T_StockCount[Part Name],$A46,T_StockCount[WeekIndex],62)&gt;0,SUMIFS(T_StockCount[CountedQty],T_StockCount[Part Name],$A46,T_StockCount[WeekIndex],62),IF((('T_SelfStock'!BK50&lt;&gt;""))*(('T_TTAFStock'!BK50&lt;&gt;""))&gt;0,'T_SelfStock'!BK50+'T_TTAFStock'!BK50,BJ46+'Grid_Incoming'!BK46-'Grid_Requirement'!BK46))</f>
        <v/>
      </c>
      <c r="BL46">
        <f>IF(COUNTIFS(T_StockCount[Part Name],$A46,T_StockCount[WeekIndex],63)&gt;0,SUMIFS(T_StockCount[CountedQty],T_StockCount[Part Name],$A46,T_StockCount[WeekIndex],63),IF((('T_SelfStock'!BL50&lt;&gt;""))*(('T_TTAFStock'!BL50&lt;&gt;""))&gt;0,'T_SelfStock'!BL50+'T_TTAFStock'!BL50,BK46+'Grid_Incoming'!BL46-'Grid_Requirement'!BL46))</f>
        <v/>
      </c>
      <c r="BM46">
        <f>IF(COUNTIFS(T_StockCount[Part Name],$A46,T_StockCount[WeekIndex],64)&gt;0,SUMIFS(T_StockCount[CountedQty],T_StockCount[Part Name],$A46,T_StockCount[WeekIndex],64),IF((('T_SelfStock'!BM50&lt;&gt;""))*(('T_TTAFStock'!BM50&lt;&gt;""))&gt;0,'T_SelfStock'!BM50+'T_TTAFStock'!BM50,BL46+'Grid_Incoming'!BM46-'Grid_Requirement'!BM46))</f>
        <v/>
      </c>
      <c r="BN46">
        <f>IF(COUNTIFS(T_StockCount[Part Name],$A46,T_StockCount[WeekIndex],65)&gt;0,SUMIFS(T_StockCount[CountedQty],T_StockCount[Part Name],$A46,T_StockCount[WeekIndex],65),IF((('T_SelfStock'!BN50&lt;&gt;""))*(('T_TTAFStock'!BN50&lt;&gt;""))&gt;0,'T_SelfStock'!BN50+'T_TTAFStock'!BN50,BM46+'Grid_Incoming'!BN46-'Grid_Requirement'!BN46))</f>
        <v/>
      </c>
      <c r="BO46">
        <f>IF(COUNTIFS(T_StockCount[Part Name],$A46,T_StockCount[WeekIndex],66)&gt;0,SUMIFS(T_StockCount[CountedQty],T_StockCount[Part Name],$A46,T_StockCount[WeekIndex],66),IF((('T_SelfStock'!BO50&lt;&gt;""))*(('T_TTAFStock'!BO50&lt;&gt;""))&gt;0,'T_SelfStock'!BO50+'T_TTAFStock'!BO50,BN46+'Grid_Incoming'!BO46-'Grid_Requirement'!BO46))</f>
        <v/>
      </c>
      <c r="BP46">
        <f>IF(COUNTIFS(T_StockCount[Part Name],$A46,T_StockCount[WeekIndex],67)&gt;0,SUMIFS(T_StockCount[CountedQty],T_StockCount[Part Name],$A46,T_StockCount[WeekIndex],67),IF((('T_SelfStock'!BP50&lt;&gt;""))*(('T_TTAFStock'!BP50&lt;&gt;""))&gt;0,'T_SelfStock'!BP50+'T_TTAFStock'!BP50,BO46+'Grid_Incoming'!BP46-'Grid_Requirement'!BP46))</f>
        <v/>
      </c>
      <c r="BQ46">
        <f>IF(COUNTIFS(T_StockCount[Part Name],$A46,T_StockCount[WeekIndex],68)&gt;0,SUMIFS(T_StockCount[CountedQty],T_StockCount[Part Name],$A46,T_StockCount[WeekIndex],68),IF((('T_SelfStock'!BQ50&lt;&gt;""))*(('T_TTAFStock'!BQ50&lt;&gt;""))&gt;0,'T_SelfStock'!BQ50+'T_TTAFStock'!BQ50,BP46+'Grid_Incoming'!BQ46-'Grid_Requirement'!BQ46))</f>
        <v/>
      </c>
      <c r="BR46">
        <f>IF(COUNTIFS(T_StockCount[Part Name],$A46,T_StockCount[WeekIndex],69)&gt;0,SUMIFS(T_StockCount[CountedQty],T_StockCount[Part Name],$A46,T_StockCount[WeekIndex],69),IF((('T_SelfStock'!BR50&lt;&gt;""))*(('T_TTAFStock'!BR50&lt;&gt;""))&gt;0,'T_SelfStock'!BR50+'T_TTAFStock'!BR50,BQ46+'Grid_Incoming'!BR46-'Grid_Requirement'!BR46))</f>
        <v/>
      </c>
      <c r="BS46">
        <f>IF(COUNTIFS(T_StockCount[Part Name],$A46,T_StockCount[WeekIndex],70)&gt;0,SUMIFS(T_StockCount[CountedQty],T_StockCount[Part Name],$A46,T_StockCount[WeekIndex],70),IF((('T_SelfStock'!BS50&lt;&gt;""))*(('T_TTAFStock'!BS50&lt;&gt;""))&gt;0,'T_SelfStock'!BS50+'T_TTAFStock'!BS50,BR46+'Grid_Incoming'!BS46-'Grid_Requirement'!BS46))</f>
        <v/>
      </c>
      <c r="BT46">
        <f>IF(COUNTIFS(T_StockCount[Part Name],$A46,T_StockCount[WeekIndex],71)&gt;0,SUMIFS(T_StockCount[CountedQty],T_StockCount[Part Name],$A46,T_StockCount[WeekIndex],71),IF((('T_SelfStock'!BT50&lt;&gt;""))*(('T_TTAFStock'!BT50&lt;&gt;""))&gt;0,'T_SelfStock'!BT50+'T_TTAFStock'!BT50,BS46+'Grid_Incoming'!BT46-'Grid_Requirement'!BT46))</f>
        <v/>
      </c>
      <c r="BU46">
        <f>IF(COUNTIFS(T_StockCount[Part Name],$A46,T_StockCount[WeekIndex],72)&gt;0,SUMIFS(T_StockCount[CountedQty],T_StockCount[Part Name],$A46,T_StockCount[WeekIndex],72),IF((('T_SelfStock'!BU50&lt;&gt;""))*(('T_TTAFStock'!BU50&lt;&gt;""))&gt;0,'T_SelfStock'!BU50+'T_TTAFStock'!BU50,BT46+'Grid_Incoming'!BU46-'Grid_Requirement'!BU46))</f>
        <v/>
      </c>
      <c r="BV46">
        <f>IF(COUNTIFS(T_StockCount[Part Name],$A46,T_StockCount[WeekIndex],73)&gt;0,SUMIFS(T_StockCount[CountedQty],T_StockCount[Part Name],$A46,T_StockCount[WeekIndex],73),IF((('T_SelfStock'!BV50&lt;&gt;""))*(('T_TTAFStock'!BV50&lt;&gt;""))&gt;0,'T_SelfStock'!BV50+'T_TTAFStock'!BV50,BU46+'Grid_Incoming'!BV46-'Grid_Requirement'!BV46))</f>
        <v/>
      </c>
      <c r="BW46">
        <f>IF(COUNTIFS(T_StockCount[Part Name],$A46,T_StockCount[WeekIndex],74)&gt;0,SUMIFS(T_StockCount[CountedQty],T_StockCount[Part Name],$A46,T_StockCount[WeekIndex],74),IF((('T_SelfStock'!BW50&lt;&gt;""))*(('T_TTAFStock'!BW50&lt;&gt;""))&gt;0,'T_SelfStock'!BW50+'T_TTAFStock'!BW50,BV46+'Grid_Incoming'!BW46-'Grid_Requirement'!BW46))</f>
        <v/>
      </c>
      <c r="BX46">
        <f>IF(COUNTIFS(T_StockCount[Part Name],$A46,T_StockCount[WeekIndex],75)&gt;0,SUMIFS(T_StockCount[CountedQty],T_StockCount[Part Name],$A46,T_StockCount[WeekIndex],75),IF((('T_SelfStock'!BX50&lt;&gt;""))*(('T_TTAFStock'!BX50&lt;&gt;""))&gt;0,'T_SelfStock'!BX50+'T_TTAFStock'!BX50,BW46+'Grid_Incoming'!BX46-'Grid_Requirement'!BX46))</f>
        <v/>
      </c>
      <c r="BY46">
        <f>IF(COUNTIFS(T_StockCount[Part Name],$A46,T_StockCount[WeekIndex],76)&gt;0,SUMIFS(T_StockCount[CountedQty],T_StockCount[Part Name],$A46,T_StockCount[WeekIndex],76),IF((('T_SelfStock'!BY50&lt;&gt;""))*(('T_TTAFStock'!BY50&lt;&gt;""))&gt;0,'T_SelfStock'!BY50+'T_TTAFStock'!BY50,BX46+'Grid_Incoming'!BY46-'Grid_Requirement'!BY46))</f>
        <v/>
      </c>
      <c r="BZ46">
        <f>IF(COUNTIFS(T_StockCount[Part Name],$A46,T_StockCount[WeekIndex],77)&gt;0,SUMIFS(T_StockCount[CountedQty],T_StockCount[Part Name],$A46,T_StockCount[WeekIndex],77),IF((('T_SelfStock'!BZ50&lt;&gt;""))*(('T_TTAFStock'!BZ50&lt;&gt;""))&gt;0,'T_SelfStock'!BZ50+'T_TTAFStock'!BZ50,BY46+'Grid_Incoming'!BZ46-'Grid_Requirement'!BZ46))</f>
        <v/>
      </c>
      <c r="CA46">
        <f>IF(COUNTIFS(T_StockCount[Part Name],$A46,T_StockCount[WeekIndex],78)&gt;0,SUMIFS(T_StockCount[CountedQty],T_StockCount[Part Name],$A46,T_StockCount[WeekIndex],78),IF((('T_SelfStock'!CA50&lt;&gt;""))*(('T_TTAFStock'!CA50&lt;&gt;""))&gt;0,'T_SelfStock'!CA50+'T_TTAFStock'!CA50,BZ46+'Grid_Incoming'!CA46-'Grid_Requirement'!CA46))</f>
        <v/>
      </c>
      <c r="CB46">
        <f>IF(COUNTIFS(T_StockCount[Part Name],$A46,T_StockCount[WeekIndex],79)&gt;0,SUMIFS(T_StockCount[CountedQty],T_StockCount[Part Name],$A46,T_StockCount[WeekIndex],79),IF((('T_SelfStock'!CB50&lt;&gt;""))*(('T_TTAFStock'!CB50&lt;&gt;""))&gt;0,'T_SelfStock'!CB50+'T_TTAFStock'!CB50,CA46+'Grid_Incoming'!CB46-'Grid_Requirement'!CB46))</f>
        <v/>
      </c>
      <c r="CC46">
        <f>IF(COUNTIFS(T_StockCount[Part Name],$A46,T_StockCount[WeekIndex],80)&gt;0,SUMIFS(T_StockCount[CountedQty],T_StockCount[Part Name],$A46,T_StockCount[WeekIndex],80),IF((('T_SelfStock'!CC50&lt;&gt;""))*(('T_TTAFStock'!CC50&lt;&gt;""))&gt;0,'T_SelfStock'!CC50+'T_TTAFStock'!CC50,CB46+'Grid_Incoming'!CC46-'Grid_Requirement'!CC46))</f>
        <v/>
      </c>
      <c r="CD46">
        <f>IF(COUNTIFS(T_StockCount[Part Name],$A46,T_StockCount[WeekIndex],81)&gt;0,SUMIFS(T_StockCount[CountedQty],T_StockCount[Part Name],$A46,T_StockCount[WeekIndex],81),IF((('T_SelfStock'!CD50&lt;&gt;""))*(('T_TTAFStock'!CD50&lt;&gt;""))&gt;0,'T_SelfStock'!CD50+'T_TTAFStock'!CD50,CC46+'Grid_Incoming'!CD46-'Grid_Requirement'!CD46))</f>
        <v/>
      </c>
      <c r="CE46">
        <f>IF(COUNTIFS(T_StockCount[Part Name],$A46,T_StockCount[WeekIndex],82)&gt;0,SUMIFS(T_StockCount[CountedQty],T_StockCount[Part Name],$A46,T_StockCount[WeekIndex],82),IF((('T_SelfStock'!CE50&lt;&gt;""))*(('T_TTAFStock'!CE50&lt;&gt;""))&gt;0,'T_SelfStock'!CE50+'T_TTAFStock'!CE50,CD46+'Grid_Incoming'!CE46-'Grid_Requirement'!CE46))</f>
        <v/>
      </c>
      <c r="CF46">
        <f>IF(COUNTIFS(T_StockCount[Part Name],$A46,T_StockCount[WeekIndex],83)&gt;0,SUMIFS(T_StockCount[CountedQty],T_StockCount[Part Name],$A46,T_StockCount[WeekIndex],83),IF((('T_SelfStock'!CF50&lt;&gt;""))*(('T_TTAFStock'!CF50&lt;&gt;""))&gt;0,'T_SelfStock'!CF50+'T_TTAFStock'!CF50,CE46+'Grid_Incoming'!CF46-'Grid_Requirement'!CF46))</f>
        <v/>
      </c>
      <c r="CG46">
        <f>IF(COUNTIFS(T_StockCount[Part Name],$A46,T_StockCount[WeekIndex],84)&gt;0,SUMIFS(T_StockCount[CountedQty],T_StockCount[Part Name],$A46,T_StockCount[WeekIndex],84),IF((('T_SelfStock'!CG50&lt;&gt;""))*(('T_TTAFStock'!CG50&lt;&gt;""))&gt;0,'T_SelfStock'!CG50+'T_TTAFStock'!CG50,CF46+'Grid_Incoming'!CG46-'Grid_Requirement'!CG46))</f>
        <v/>
      </c>
      <c r="CH46">
        <f>IF(COUNTIFS(T_StockCount[Part Name],$A46,T_StockCount[WeekIndex],85)&gt;0,SUMIFS(T_StockCount[CountedQty],T_StockCount[Part Name],$A46,T_StockCount[WeekIndex],85),IF((('T_SelfStock'!CH50&lt;&gt;""))*(('T_TTAFStock'!CH50&lt;&gt;""))&gt;0,'T_SelfStock'!CH50+'T_TTAFStock'!CH50,CG46+'Grid_Incoming'!CH46-'Grid_Requirement'!CH46))</f>
        <v/>
      </c>
      <c r="CI46">
        <f>IF(COUNTIFS(T_StockCount[Part Name],$A46,T_StockCount[WeekIndex],86)&gt;0,SUMIFS(T_StockCount[CountedQty],T_StockCount[Part Name],$A46,T_StockCount[WeekIndex],86),IF((('T_SelfStock'!CI50&lt;&gt;""))*(('T_TTAFStock'!CI50&lt;&gt;""))&gt;0,'T_SelfStock'!CI50+'T_TTAFStock'!CI50,CH46+'Grid_Incoming'!CI46-'Grid_Requirement'!CI46))</f>
        <v/>
      </c>
      <c r="CJ46">
        <f>IF(COUNTIFS(T_StockCount[Part Name],$A46,T_StockCount[WeekIndex],87)&gt;0,SUMIFS(T_StockCount[CountedQty],T_StockCount[Part Name],$A46,T_StockCount[WeekIndex],87),IF((('T_SelfStock'!CJ50&lt;&gt;""))*(('T_TTAFStock'!CJ50&lt;&gt;""))&gt;0,'T_SelfStock'!CJ50+'T_TTAFStock'!CJ50,CI46+'Grid_Incoming'!CJ46-'Grid_Requirement'!CJ46))</f>
        <v/>
      </c>
      <c r="CK46">
        <f>IF(COUNTIFS(T_StockCount[Part Name],$A46,T_StockCount[WeekIndex],88)&gt;0,SUMIFS(T_StockCount[CountedQty],T_StockCount[Part Name],$A46,T_StockCount[WeekIndex],88),IF((('T_SelfStock'!CK50&lt;&gt;""))*(('T_TTAFStock'!CK50&lt;&gt;""))&gt;0,'T_SelfStock'!CK50+'T_TTAFStock'!CK50,CJ46+'Grid_Incoming'!CK46-'Grid_Requirement'!CK46))</f>
        <v/>
      </c>
      <c r="CL46">
        <f>IF(COUNTIFS(T_StockCount[Part Name],$A46,T_StockCount[WeekIndex],89)&gt;0,SUMIFS(T_StockCount[CountedQty],T_StockCount[Part Name],$A46,T_StockCount[WeekIndex],89),IF((('T_SelfStock'!CL50&lt;&gt;""))*(('T_TTAFStock'!CL50&lt;&gt;""))&gt;0,'T_SelfStock'!CL50+'T_TTAFStock'!CL50,CK46+'Grid_Incoming'!CL46-'Grid_Requirement'!CL46))</f>
        <v/>
      </c>
      <c r="CM46">
        <f>IF(COUNTIFS(T_StockCount[Part Name],$A46,T_StockCount[WeekIndex],90)&gt;0,SUMIFS(T_StockCount[CountedQty],T_StockCount[Part Name],$A46,T_StockCount[WeekIndex],90),IF((('T_SelfStock'!CM50&lt;&gt;""))*(('T_TTAFStock'!CM50&lt;&gt;""))&gt;0,'T_SelfStock'!CM50+'T_TTAFStock'!CM50,CL46+'Grid_Incoming'!CM46-'Grid_Requirement'!CM46))</f>
        <v/>
      </c>
      <c r="CN46">
        <f>IF(COUNTIFS(T_StockCount[Part Name],$A46,T_StockCount[WeekIndex],91)&gt;0,SUMIFS(T_StockCount[CountedQty],T_StockCount[Part Name],$A46,T_StockCount[WeekIndex],91),IF((('T_SelfStock'!CN50&lt;&gt;""))*(('T_TTAFStock'!CN50&lt;&gt;""))&gt;0,'T_SelfStock'!CN50+'T_TTAFStock'!CN50,CM46+'Grid_Incoming'!CN46-'Grid_Requirement'!CN46))</f>
        <v/>
      </c>
      <c r="CO46">
        <f>IF(COUNTIFS(T_StockCount[Part Name],$A46,T_StockCount[WeekIndex],92)&gt;0,SUMIFS(T_StockCount[CountedQty],T_StockCount[Part Name],$A46,T_StockCount[WeekIndex],92),IF((('T_SelfStock'!CO50&lt;&gt;""))*(('T_TTAFStock'!CO50&lt;&gt;""))&gt;0,'T_SelfStock'!CO50+'T_TTAFStock'!CO50,CN46+'Grid_Incoming'!CO46-'Grid_Requirement'!CO46))</f>
        <v/>
      </c>
      <c r="CP46">
        <f>IF(COUNTIFS(T_StockCount[Part Name],$A46,T_StockCount[WeekIndex],93)&gt;0,SUMIFS(T_StockCount[CountedQty],T_StockCount[Part Name],$A46,T_StockCount[WeekIndex],93),IF((('T_SelfStock'!CP50&lt;&gt;""))*(('T_TTAFStock'!CP50&lt;&gt;""))&gt;0,'T_SelfStock'!CP50+'T_TTAFStock'!CP50,CO46+'Grid_Incoming'!CP46-'Grid_Requirement'!CP46))</f>
        <v/>
      </c>
      <c r="CQ46">
        <f>IF(COUNTIFS(T_StockCount[Part Name],$A46,T_StockCount[WeekIndex],94)&gt;0,SUMIFS(T_StockCount[CountedQty],T_StockCount[Part Name],$A46,T_StockCount[WeekIndex],94),IF((('T_SelfStock'!CQ50&lt;&gt;""))*(('T_TTAFStock'!CQ50&lt;&gt;""))&gt;0,'T_SelfStock'!CQ50+'T_TTAFStock'!CQ50,CP46+'Grid_Incoming'!CQ46-'Grid_Requirement'!CQ46))</f>
        <v/>
      </c>
      <c r="CR46">
        <f>IF(COUNTIFS(T_StockCount[Part Name],$A46,T_StockCount[WeekIndex],95)&gt;0,SUMIFS(T_StockCount[CountedQty],T_StockCount[Part Name],$A46,T_StockCount[WeekIndex],95),IF((('T_SelfStock'!CR50&lt;&gt;""))*(('T_TTAFStock'!CR50&lt;&gt;""))&gt;0,'T_SelfStock'!CR50+'T_TTAFStock'!CR50,CQ46+'Grid_Incoming'!CR46-'Grid_Requirement'!CR46))</f>
        <v/>
      </c>
      <c r="CS46">
        <f>IF(COUNTIFS(T_StockCount[Part Name],$A46,T_StockCount[WeekIndex],96)&gt;0,SUMIFS(T_StockCount[CountedQty],T_StockCount[Part Name],$A46,T_StockCount[WeekIndex],96),IF((('T_SelfStock'!CS50&lt;&gt;""))*(('T_TTAFStock'!CS50&lt;&gt;""))&gt;0,'T_SelfStock'!CS50+'T_TTAFStock'!CS50,CR46+'Grid_Incoming'!CS46-'Grid_Requirement'!CS46))</f>
        <v/>
      </c>
      <c r="CT46">
        <f>IF(COUNTIFS(T_StockCount[Part Name],$A46,T_StockCount[WeekIndex],97)&gt;0,SUMIFS(T_StockCount[CountedQty],T_StockCount[Part Name],$A46,T_StockCount[WeekIndex],97),IF((('T_SelfStock'!CT50&lt;&gt;""))*(('T_TTAFStock'!CT50&lt;&gt;""))&gt;0,'T_SelfStock'!CT50+'T_TTAFStock'!CT50,CS46+'Grid_Incoming'!CT46-'Grid_Requirement'!CT46))</f>
        <v/>
      </c>
      <c r="CU46">
        <f>IF(COUNTIFS(T_StockCount[Part Name],$A46,T_StockCount[WeekIndex],98)&gt;0,SUMIFS(T_StockCount[CountedQty],T_StockCount[Part Name],$A46,T_StockCount[WeekIndex],98),IF((('T_SelfStock'!CU50&lt;&gt;""))*(('T_TTAFStock'!CU50&lt;&gt;""))&gt;0,'T_SelfStock'!CU50+'T_TTAFStock'!CU50,CT46+'Grid_Incoming'!CU46-'Grid_Requirement'!CU46))</f>
        <v/>
      </c>
      <c r="CV46">
        <f>IF(COUNTIFS(T_StockCount[Part Name],$A46,T_StockCount[WeekIndex],99)&gt;0,SUMIFS(T_StockCount[CountedQty],T_StockCount[Part Name],$A46,T_StockCount[WeekIndex],99),IF((('T_SelfStock'!CV50&lt;&gt;""))*(('T_TTAFStock'!CV50&lt;&gt;""))&gt;0,'T_SelfStock'!CV50+'T_TTAFStock'!CV50,CU46+'Grid_Incoming'!CV46-'Grid_Requirement'!CV46))</f>
        <v/>
      </c>
      <c r="CW46">
        <f>IF(COUNTIFS(T_StockCount[Part Name],$A46,T_StockCount[WeekIndex],100)&gt;0,SUMIFS(T_StockCount[CountedQty],T_StockCount[Part Name],$A46,T_StockCount[WeekIndex],100),IF((('T_SelfStock'!CW50&lt;&gt;""))*(('T_TTAFStock'!CW50&lt;&gt;""))&gt;0,'T_SelfStock'!CW50+'T_TTAFStock'!CW50,CV46+'Grid_Incoming'!CW46-'Grid_Requirement'!CW46))</f>
        <v/>
      </c>
      <c r="CX46">
        <f>IF(COUNTIFS(T_StockCount[Part Name],$A46,T_StockCount[WeekIndex],101)&gt;0,SUMIFS(T_StockCount[CountedQty],T_StockCount[Part Name],$A46,T_StockCount[WeekIndex],101),IF((('T_SelfStock'!CX50&lt;&gt;""))*(('T_TTAFStock'!CX50&lt;&gt;""))&gt;0,'T_SelfStock'!CX50+'T_TTAFStock'!CX50,CW46+'Grid_Incoming'!CX46-'Grid_Requirement'!CX46))</f>
        <v/>
      </c>
      <c r="CY46">
        <f>IF(COUNTIFS(T_StockCount[Part Name],$A46,T_StockCount[WeekIndex],102)&gt;0,SUMIFS(T_StockCount[CountedQty],T_StockCount[Part Name],$A46,T_StockCount[WeekIndex],102),IF((('T_SelfStock'!CY50&lt;&gt;""))*(('T_TTAFStock'!CY50&lt;&gt;""))&gt;0,'T_SelfStock'!CY50+'T_TTAFStock'!CY50,CX46+'Grid_Incoming'!CY46-'Grid_Requirement'!CY46))</f>
        <v/>
      </c>
      <c r="CZ46">
        <f>IF(COUNTIFS(T_StockCount[Part Name],$A46,T_StockCount[WeekIndex],103)&gt;0,SUMIFS(T_StockCount[CountedQty],T_StockCount[Part Name],$A46,T_StockCount[WeekIndex],103),IF((('T_SelfStock'!CZ50&lt;&gt;""))*(('T_TTAFStock'!CZ50&lt;&gt;""))&gt;0,'T_SelfStock'!CZ50+'T_TTAFStock'!CZ50,CY46+'Grid_Incoming'!CZ46-'Grid_Requirement'!CZ46))</f>
        <v/>
      </c>
      <c r="DA46">
        <f>IF(COUNTIFS(T_StockCount[Part Name],$A46,T_StockCount[WeekIndex],104)&gt;0,SUMIFS(T_StockCount[CountedQty],T_StockCount[Part Name],$A46,T_StockCount[WeekIndex],104),IF((('T_SelfStock'!DA50&lt;&gt;""))*(('T_TTAFStock'!DA50&lt;&gt;""))&gt;0,'T_SelfStock'!DA50+'T_TTAFStock'!DA50,CZ46+'Grid_Incoming'!DA46-'Grid_Requirement'!DA46))</f>
        <v/>
      </c>
    </row>
    <row r="47">
      <c r="A47" t="inlineStr">
        <is>
          <t>CHEM-1470</t>
        </is>
      </c>
      <c r="B47">
        <f>IF(COUNTIFS(T_StockCount[Part Name],$A47,T_StockCount[WeekIndex],1)&gt;0,SUMIFS(T_StockCount[CountedQty],T_StockCount[Part Name],$A47,T_StockCount[WeekIndex],1),IF((('T_SelfStock'!B51&lt;&gt;""))*(('T_TTAFStock'!B51&lt;&gt;""))&gt;0,'T_SelfStock'!B51+'T_TTAFStock'!B51,IFERROR(INDEX(T_OpeningStock[Opening_Qty],MATCH($A47,T_OpeningStock[Part Name],0)),0)+'Grid_Incoming'!B47-'Grid_Requirement'!B47))</f>
        <v/>
      </c>
      <c r="C47">
        <f>IF(COUNTIFS(T_StockCount[Part Name],$A47,T_StockCount[WeekIndex],2)&gt;0,SUMIFS(T_StockCount[CountedQty],T_StockCount[Part Name],$A47,T_StockCount[WeekIndex],2),IF((('T_SelfStock'!C51&lt;&gt;""))*(('T_TTAFStock'!C51&lt;&gt;""))&gt;0,'T_SelfStock'!C51+'T_TTAFStock'!C51,B47+'Grid_Incoming'!C47-'Grid_Requirement'!C47))</f>
        <v/>
      </c>
      <c r="D47">
        <f>IF(COUNTIFS(T_StockCount[Part Name],$A47,T_StockCount[WeekIndex],3)&gt;0,SUMIFS(T_StockCount[CountedQty],T_StockCount[Part Name],$A47,T_StockCount[WeekIndex],3),IF((('T_SelfStock'!D51&lt;&gt;""))*(('T_TTAFStock'!D51&lt;&gt;""))&gt;0,'T_SelfStock'!D51+'T_TTAFStock'!D51,C47+'Grid_Incoming'!D47-'Grid_Requirement'!D47))</f>
        <v/>
      </c>
      <c r="E47">
        <f>IF(COUNTIFS(T_StockCount[Part Name],$A47,T_StockCount[WeekIndex],4)&gt;0,SUMIFS(T_StockCount[CountedQty],T_StockCount[Part Name],$A47,T_StockCount[WeekIndex],4),IF((('T_SelfStock'!E51&lt;&gt;""))*(('T_TTAFStock'!E51&lt;&gt;""))&gt;0,'T_SelfStock'!E51+'T_TTAFStock'!E51,D47+'Grid_Incoming'!E47-'Grid_Requirement'!E47))</f>
        <v/>
      </c>
      <c r="F47">
        <f>IF(COUNTIFS(T_StockCount[Part Name],$A47,T_StockCount[WeekIndex],5)&gt;0,SUMIFS(T_StockCount[CountedQty],T_StockCount[Part Name],$A47,T_StockCount[WeekIndex],5),IF((('T_SelfStock'!F51&lt;&gt;""))*(('T_TTAFStock'!F51&lt;&gt;""))&gt;0,'T_SelfStock'!F51+'T_TTAFStock'!F51,E47+'Grid_Incoming'!F47-'Grid_Requirement'!F47))</f>
        <v/>
      </c>
      <c r="G47">
        <f>IF(COUNTIFS(T_StockCount[Part Name],$A47,T_StockCount[WeekIndex],6)&gt;0,SUMIFS(T_StockCount[CountedQty],T_StockCount[Part Name],$A47,T_StockCount[WeekIndex],6),IF((('T_SelfStock'!G51&lt;&gt;""))*(('T_TTAFStock'!G51&lt;&gt;""))&gt;0,'T_SelfStock'!G51+'T_TTAFStock'!G51,F47+'Grid_Incoming'!G47-'Grid_Requirement'!G47))</f>
        <v/>
      </c>
      <c r="H47">
        <f>IF(COUNTIFS(T_StockCount[Part Name],$A47,T_StockCount[WeekIndex],7)&gt;0,SUMIFS(T_StockCount[CountedQty],T_StockCount[Part Name],$A47,T_StockCount[WeekIndex],7),IF((('T_SelfStock'!H51&lt;&gt;""))*(('T_TTAFStock'!H51&lt;&gt;""))&gt;0,'T_SelfStock'!H51+'T_TTAFStock'!H51,G47+'Grid_Incoming'!H47-'Grid_Requirement'!H47))</f>
        <v/>
      </c>
      <c r="I47">
        <f>IF(COUNTIFS(T_StockCount[Part Name],$A47,T_StockCount[WeekIndex],8)&gt;0,SUMIFS(T_StockCount[CountedQty],T_StockCount[Part Name],$A47,T_StockCount[WeekIndex],8),IF((('T_SelfStock'!I51&lt;&gt;""))*(('T_TTAFStock'!I51&lt;&gt;""))&gt;0,'T_SelfStock'!I51+'T_TTAFStock'!I51,H47+'Grid_Incoming'!I47-'Grid_Requirement'!I47))</f>
        <v/>
      </c>
      <c r="J47">
        <f>IF(COUNTIFS(T_StockCount[Part Name],$A47,T_StockCount[WeekIndex],9)&gt;0,SUMIFS(T_StockCount[CountedQty],T_StockCount[Part Name],$A47,T_StockCount[WeekIndex],9),IF((('T_SelfStock'!J51&lt;&gt;""))*(('T_TTAFStock'!J51&lt;&gt;""))&gt;0,'T_SelfStock'!J51+'T_TTAFStock'!J51,I47+'Grid_Incoming'!J47-'Grid_Requirement'!J47))</f>
        <v/>
      </c>
      <c r="K47">
        <f>IF(COUNTIFS(T_StockCount[Part Name],$A47,T_StockCount[WeekIndex],10)&gt;0,SUMIFS(T_StockCount[CountedQty],T_StockCount[Part Name],$A47,T_StockCount[WeekIndex],10),IF((('T_SelfStock'!K51&lt;&gt;""))*(('T_TTAFStock'!K51&lt;&gt;""))&gt;0,'T_SelfStock'!K51+'T_TTAFStock'!K51,J47+'Grid_Incoming'!K47-'Grid_Requirement'!K47))</f>
        <v/>
      </c>
      <c r="L47">
        <f>IF(COUNTIFS(T_StockCount[Part Name],$A47,T_StockCount[WeekIndex],11)&gt;0,SUMIFS(T_StockCount[CountedQty],T_StockCount[Part Name],$A47,T_StockCount[WeekIndex],11),IF((('T_SelfStock'!L51&lt;&gt;""))*(('T_TTAFStock'!L51&lt;&gt;""))&gt;0,'T_SelfStock'!L51+'T_TTAFStock'!L51,K47+'Grid_Incoming'!L47-'Grid_Requirement'!L47))</f>
        <v/>
      </c>
      <c r="M47">
        <f>IF(COUNTIFS(T_StockCount[Part Name],$A47,T_StockCount[WeekIndex],12)&gt;0,SUMIFS(T_StockCount[CountedQty],T_StockCount[Part Name],$A47,T_StockCount[WeekIndex],12),IF((('T_SelfStock'!M51&lt;&gt;""))*(('T_TTAFStock'!M51&lt;&gt;""))&gt;0,'T_SelfStock'!M51+'T_TTAFStock'!M51,L47+'Grid_Incoming'!M47-'Grid_Requirement'!M47))</f>
        <v/>
      </c>
      <c r="N47">
        <f>IF(COUNTIFS(T_StockCount[Part Name],$A47,T_StockCount[WeekIndex],13)&gt;0,SUMIFS(T_StockCount[CountedQty],T_StockCount[Part Name],$A47,T_StockCount[WeekIndex],13),IF((('T_SelfStock'!N51&lt;&gt;""))*(('T_TTAFStock'!N51&lt;&gt;""))&gt;0,'T_SelfStock'!N51+'T_TTAFStock'!N51,M47+'Grid_Incoming'!N47-'Grid_Requirement'!N47))</f>
        <v/>
      </c>
      <c r="O47">
        <f>IF(COUNTIFS(T_StockCount[Part Name],$A47,T_StockCount[WeekIndex],14)&gt;0,SUMIFS(T_StockCount[CountedQty],T_StockCount[Part Name],$A47,T_StockCount[WeekIndex],14),IF((('T_SelfStock'!O51&lt;&gt;""))*(('T_TTAFStock'!O51&lt;&gt;""))&gt;0,'T_SelfStock'!O51+'T_TTAFStock'!O51,N47+'Grid_Incoming'!O47-'Grid_Requirement'!O47))</f>
        <v/>
      </c>
      <c r="P47">
        <f>IF(COUNTIFS(T_StockCount[Part Name],$A47,T_StockCount[WeekIndex],15)&gt;0,SUMIFS(T_StockCount[CountedQty],T_StockCount[Part Name],$A47,T_StockCount[WeekIndex],15),IF((('T_SelfStock'!P51&lt;&gt;""))*(('T_TTAFStock'!P51&lt;&gt;""))&gt;0,'T_SelfStock'!P51+'T_TTAFStock'!P51,O47+'Grid_Incoming'!P47-'Grid_Requirement'!P47))</f>
        <v/>
      </c>
      <c r="Q47">
        <f>IF(COUNTIFS(T_StockCount[Part Name],$A47,T_StockCount[WeekIndex],16)&gt;0,SUMIFS(T_StockCount[CountedQty],T_StockCount[Part Name],$A47,T_StockCount[WeekIndex],16),IF((('T_SelfStock'!Q51&lt;&gt;""))*(('T_TTAFStock'!Q51&lt;&gt;""))&gt;0,'T_SelfStock'!Q51+'T_TTAFStock'!Q51,P47+'Grid_Incoming'!Q47-'Grid_Requirement'!Q47))</f>
        <v/>
      </c>
      <c r="R47">
        <f>IF(COUNTIFS(T_StockCount[Part Name],$A47,T_StockCount[WeekIndex],17)&gt;0,SUMIFS(T_StockCount[CountedQty],T_StockCount[Part Name],$A47,T_StockCount[WeekIndex],17),IF((('T_SelfStock'!R51&lt;&gt;""))*(('T_TTAFStock'!R51&lt;&gt;""))&gt;0,'T_SelfStock'!R51+'T_TTAFStock'!R51,Q47+'Grid_Incoming'!R47-'Grid_Requirement'!R47))</f>
        <v/>
      </c>
      <c r="S47">
        <f>IF(COUNTIFS(T_StockCount[Part Name],$A47,T_StockCount[WeekIndex],18)&gt;0,SUMIFS(T_StockCount[CountedQty],T_StockCount[Part Name],$A47,T_StockCount[WeekIndex],18),IF((('T_SelfStock'!S51&lt;&gt;""))*(('T_TTAFStock'!S51&lt;&gt;""))&gt;0,'T_SelfStock'!S51+'T_TTAFStock'!S51,R47+'Grid_Incoming'!S47-'Grid_Requirement'!S47))</f>
        <v/>
      </c>
      <c r="T47">
        <f>IF(COUNTIFS(T_StockCount[Part Name],$A47,T_StockCount[WeekIndex],19)&gt;0,SUMIFS(T_StockCount[CountedQty],T_StockCount[Part Name],$A47,T_StockCount[WeekIndex],19),IF((('T_SelfStock'!T51&lt;&gt;""))*(('T_TTAFStock'!T51&lt;&gt;""))&gt;0,'T_SelfStock'!T51+'T_TTAFStock'!T51,S47+'Grid_Incoming'!T47-'Grid_Requirement'!T47))</f>
        <v/>
      </c>
      <c r="U47">
        <f>IF(COUNTIFS(T_StockCount[Part Name],$A47,T_StockCount[WeekIndex],20)&gt;0,SUMIFS(T_StockCount[CountedQty],T_StockCount[Part Name],$A47,T_StockCount[WeekIndex],20),IF((('T_SelfStock'!U51&lt;&gt;""))*(('T_TTAFStock'!U51&lt;&gt;""))&gt;0,'T_SelfStock'!U51+'T_TTAFStock'!U51,T47+'Grid_Incoming'!U47-'Grid_Requirement'!U47))</f>
        <v/>
      </c>
      <c r="V47">
        <f>IF(COUNTIFS(T_StockCount[Part Name],$A47,T_StockCount[WeekIndex],21)&gt;0,SUMIFS(T_StockCount[CountedQty],T_StockCount[Part Name],$A47,T_StockCount[WeekIndex],21),IF((('T_SelfStock'!V51&lt;&gt;""))*(('T_TTAFStock'!V51&lt;&gt;""))&gt;0,'T_SelfStock'!V51+'T_TTAFStock'!V51,U47+'Grid_Incoming'!V47-'Grid_Requirement'!V47))</f>
        <v/>
      </c>
      <c r="W47">
        <f>IF(COUNTIFS(T_StockCount[Part Name],$A47,T_StockCount[WeekIndex],22)&gt;0,SUMIFS(T_StockCount[CountedQty],T_StockCount[Part Name],$A47,T_StockCount[WeekIndex],22),IF((('T_SelfStock'!W51&lt;&gt;""))*(('T_TTAFStock'!W51&lt;&gt;""))&gt;0,'T_SelfStock'!W51+'T_TTAFStock'!W51,V47+'Grid_Incoming'!W47-'Grid_Requirement'!W47))</f>
        <v/>
      </c>
      <c r="X47">
        <f>IF(COUNTIFS(T_StockCount[Part Name],$A47,T_StockCount[WeekIndex],23)&gt;0,SUMIFS(T_StockCount[CountedQty],T_StockCount[Part Name],$A47,T_StockCount[WeekIndex],23),IF((('T_SelfStock'!X51&lt;&gt;""))*(('T_TTAFStock'!X51&lt;&gt;""))&gt;0,'T_SelfStock'!X51+'T_TTAFStock'!X51,W47+'Grid_Incoming'!X47-'Grid_Requirement'!X47))</f>
        <v/>
      </c>
      <c r="Y47">
        <f>IF(COUNTIFS(T_StockCount[Part Name],$A47,T_StockCount[WeekIndex],24)&gt;0,SUMIFS(T_StockCount[CountedQty],T_StockCount[Part Name],$A47,T_StockCount[WeekIndex],24),IF((('T_SelfStock'!Y51&lt;&gt;""))*(('T_TTAFStock'!Y51&lt;&gt;""))&gt;0,'T_SelfStock'!Y51+'T_TTAFStock'!Y51,X47+'Grid_Incoming'!Y47-'Grid_Requirement'!Y47))</f>
        <v/>
      </c>
      <c r="Z47">
        <f>IF(COUNTIFS(T_StockCount[Part Name],$A47,T_StockCount[WeekIndex],25)&gt;0,SUMIFS(T_StockCount[CountedQty],T_StockCount[Part Name],$A47,T_StockCount[WeekIndex],25),IF((('T_SelfStock'!Z51&lt;&gt;""))*(('T_TTAFStock'!Z51&lt;&gt;""))&gt;0,'T_SelfStock'!Z51+'T_TTAFStock'!Z51,Y47+'Grid_Incoming'!Z47-'Grid_Requirement'!Z47))</f>
        <v/>
      </c>
      <c r="AA47">
        <f>IF(COUNTIFS(T_StockCount[Part Name],$A47,T_StockCount[WeekIndex],26)&gt;0,SUMIFS(T_StockCount[CountedQty],T_StockCount[Part Name],$A47,T_StockCount[WeekIndex],26),IF((('T_SelfStock'!AA51&lt;&gt;""))*(('T_TTAFStock'!AA51&lt;&gt;""))&gt;0,'T_SelfStock'!AA51+'T_TTAFStock'!AA51,Z47+'Grid_Incoming'!AA47-'Grid_Requirement'!AA47))</f>
        <v/>
      </c>
      <c r="AB47">
        <f>IF(COUNTIFS(T_StockCount[Part Name],$A47,T_StockCount[WeekIndex],27)&gt;0,SUMIFS(T_StockCount[CountedQty],T_StockCount[Part Name],$A47,T_StockCount[WeekIndex],27),IF((('T_SelfStock'!AB51&lt;&gt;""))*(('T_TTAFStock'!AB51&lt;&gt;""))&gt;0,'T_SelfStock'!AB51+'T_TTAFStock'!AB51,AA47+'Grid_Incoming'!AB47-'Grid_Requirement'!AB47))</f>
        <v/>
      </c>
      <c r="AC47">
        <f>IF(COUNTIFS(T_StockCount[Part Name],$A47,T_StockCount[WeekIndex],28)&gt;0,SUMIFS(T_StockCount[CountedQty],T_StockCount[Part Name],$A47,T_StockCount[WeekIndex],28),IF((('T_SelfStock'!AC51&lt;&gt;""))*(('T_TTAFStock'!AC51&lt;&gt;""))&gt;0,'T_SelfStock'!AC51+'T_TTAFStock'!AC51,AB47+'Grid_Incoming'!AC47-'Grid_Requirement'!AC47))</f>
        <v/>
      </c>
      <c r="AD47">
        <f>IF(COUNTIFS(T_StockCount[Part Name],$A47,T_StockCount[WeekIndex],29)&gt;0,SUMIFS(T_StockCount[CountedQty],T_StockCount[Part Name],$A47,T_StockCount[WeekIndex],29),IF((('T_SelfStock'!AD51&lt;&gt;""))*(('T_TTAFStock'!AD51&lt;&gt;""))&gt;0,'T_SelfStock'!AD51+'T_TTAFStock'!AD51,AC47+'Grid_Incoming'!AD47-'Grid_Requirement'!AD47))</f>
        <v/>
      </c>
      <c r="AE47">
        <f>IF(COUNTIFS(T_StockCount[Part Name],$A47,T_StockCount[WeekIndex],30)&gt;0,SUMIFS(T_StockCount[CountedQty],T_StockCount[Part Name],$A47,T_StockCount[WeekIndex],30),IF((('T_SelfStock'!AE51&lt;&gt;""))*(('T_TTAFStock'!AE51&lt;&gt;""))&gt;0,'T_SelfStock'!AE51+'T_TTAFStock'!AE51,AD47+'Grid_Incoming'!AE47-'Grid_Requirement'!AE47))</f>
        <v/>
      </c>
      <c r="AF47">
        <f>IF(COUNTIFS(T_StockCount[Part Name],$A47,T_StockCount[WeekIndex],31)&gt;0,SUMIFS(T_StockCount[CountedQty],T_StockCount[Part Name],$A47,T_StockCount[WeekIndex],31),IF((('T_SelfStock'!AF51&lt;&gt;""))*(('T_TTAFStock'!AF51&lt;&gt;""))&gt;0,'T_SelfStock'!AF51+'T_TTAFStock'!AF51,AE47+'Grid_Incoming'!AF47-'Grid_Requirement'!AF47))</f>
        <v/>
      </c>
      <c r="AG47">
        <f>IF(COUNTIFS(T_StockCount[Part Name],$A47,T_StockCount[WeekIndex],32)&gt;0,SUMIFS(T_StockCount[CountedQty],T_StockCount[Part Name],$A47,T_StockCount[WeekIndex],32),IF((('T_SelfStock'!AG51&lt;&gt;""))*(('T_TTAFStock'!AG51&lt;&gt;""))&gt;0,'T_SelfStock'!AG51+'T_TTAFStock'!AG51,AF47+'Grid_Incoming'!AG47-'Grid_Requirement'!AG47))</f>
        <v/>
      </c>
      <c r="AH47">
        <f>IF(COUNTIFS(T_StockCount[Part Name],$A47,T_StockCount[WeekIndex],33)&gt;0,SUMIFS(T_StockCount[CountedQty],T_StockCount[Part Name],$A47,T_StockCount[WeekIndex],33),IF((('T_SelfStock'!AH51&lt;&gt;""))*(('T_TTAFStock'!AH51&lt;&gt;""))&gt;0,'T_SelfStock'!AH51+'T_TTAFStock'!AH51,AG47+'Grid_Incoming'!AH47-'Grid_Requirement'!AH47))</f>
        <v/>
      </c>
      <c r="AI47">
        <f>IF(COUNTIFS(T_StockCount[Part Name],$A47,T_StockCount[WeekIndex],34)&gt;0,SUMIFS(T_StockCount[CountedQty],T_StockCount[Part Name],$A47,T_StockCount[WeekIndex],34),IF((('T_SelfStock'!AI51&lt;&gt;""))*(('T_TTAFStock'!AI51&lt;&gt;""))&gt;0,'T_SelfStock'!AI51+'T_TTAFStock'!AI51,AH47+'Grid_Incoming'!AI47-'Grid_Requirement'!AI47))</f>
        <v/>
      </c>
      <c r="AJ47">
        <f>IF(COUNTIFS(T_StockCount[Part Name],$A47,T_StockCount[WeekIndex],35)&gt;0,SUMIFS(T_StockCount[CountedQty],T_StockCount[Part Name],$A47,T_StockCount[WeekIndex],35),IF((('T_SelfStock'!AJ51&lt;&gt;""))*(('T_TTAFStock'!AJ51&lt;&gt;""))&gt;0,'T_SelfStock'!AJ51+'T_TTAFStock'!AJ51,AI47+'Grid_Incoming'!AJ47-'Grid_Requirement'!AJ47))</f>
        <v/>
      </c>
      <c r="AK47">
        <f>IF(COUNTIFS(T_StockCount[Part Name],$A47,T_StockCount[WeekIndex],36)&gt;0,SUMIFS(T_StockCount[CountedQty],T_StockCount[Part Name],$A47,T_StockCount[WeekIndex],36),IF((('T_SelfStock'!AK51&lt;&gt;""))*(('T_TTAFStock'!AK51&lt;&gt;""))&gt;0,'T_SelfStock'!AK51+'T_TTAFStock'!AK51,AJ47+'Grid_Incoming'!AK47-'Grid_Requirement'!AK47))</f>
        <v/>
      </c>
      <c r="AL47">
        <f>IF(COUNTIFS(T_StockCount[Part Name],$A47,T_StockCount[WeekIndex],37)&gt;0,SUMIFS(T_StockCount[CountedQty],T_StockCount[Part Name],$A47,T_StockCount[WeekIndex],37),IF((('T_SelfStock'!AL51&lt;&gt;""))*(('T_TTAFStock'!AL51&lt;&gt;""))&gt;0,'T_SelfStock'!AL51+'T_TTAFStock'!AL51,AK47+'Grid_Incoming'!AL47-'Grid_Requirement'!AL47))</f>
        <v/>
      </c>
      <c r="AM47">
        <f>IF(COUNTIFS(T_StockCount[Part Name],$A47,T_StockCount[WeekIndex],38)&gt;0,SUMIFS(T_StockCount[CountedQty],T_StockCount[Part Name],$A47,T_StockCount[WeekIndex],38),IF((('T_SelfStock'!AM51&lt;&gt;""))*(('T_TTAFStock'!AM51&lt;&gt;""))&gt;0,'T_SelfStock'!AM51+'T_TTAFStock'!AM51,AL47+'Grid_Incoming'!AM47-'Grid_Requirement'!AM47))</f>
        <v/>
      </c>
      <c r="AN47">
        <f>IF(COUNTIFS(T_StockCount[Part Name],$A47,T_StockCount[WeekIndex],39)&gt;0,SUMIFS(T_StockCount[CountedQty],T_StockCount[Part Name],$A47,T_StockCount[WeekIndex],39),IF((('T_SelfStock'!AN51&lt;&gt;""))*(('T_TTAFStock'!AN51&lt;&gt;""))&gt;0,'T_SelfStock'!AN51+'T_TTAFStock'!AN51,AM47+'Grid_Incoming'!AN47-'Grid_Requirement'!AN47))</f>
        <v/>
      </c>
      <c r="AO47">
        <f>IF(COUNTIFS(T_StockCount[Part Name],$A47,T_StockCount[WeekIndex],40)&gt;0,SUMIFS(T_StockCount[CountedQty],T_StockCount[Part Name],$A47,T_StockCount[WeekIndex],40),IF((('T_SelfStock'!AO51&lt;&gt;""))*(('T_TTAFStock'!AO51&lt;&gt;""))&gt;0,'T_SelfStock'!AO51+'T_TTAFStock'!AO51,AN47+'Grid_Incoming'!AO47-'Grid_Requirement'!AO47))</f>
        <v/>
      </c>
      <c r="AP47">
        <f>IF(COUNTIFS(T_StockCount[Part Name],$A47,T_StockCount[WeekIndex],41)&gt;0,SUMIFS(T_StockCount[CountedQty],T_StockCount[Part Name],$A47,T_StockCount[WeekIndex],41),IF((('T_SelfStock'!AP51&lt;&gt;""))*(('T_TTAFStock'!AP51&lt;&gt;""))&gt;0,'T_SelfStock'!AP51+'T_TTAFStock'!AP51,AO47+'Grid_Incoming'!AP47-'Grid_Requirement'!AP47))</f>
        <v/>
      </c>
      <c r="AQ47">
        <f>IF(COUNTIFS(T_StockCount[Part Name],$A47,T_StockCount[WeekIndex],42)&gt;0,SUMIFS(T_StockCount[CountedQty],T_StockCount[Part Name],$A47,T_StockCount[WeekIndex],42),IF((('T_SelfStock'!AQ51&lt;&gt;""))*(('T_TTAFStock'!AQ51&lt;&gt;""))&gt;0,'T_SelfStock'!AQ51+'T_TTAFStock'!AQ51,AP47+'Grid_Incoming'!AQ47-'Grid_Requirement'!AQ47))</f>
        <v/>
      </c>
      <c r="AR47">
        <f>IF(COUNTIFS(T_StockCount[Part Name],$A47,T_StockCount[WeekIndex],43)&gt;0,SUMIFS(T_StockCount[CountedQty],T_StockCount[Part Name],$A47,T_StockCount[WeekIndex],43),IF((('T_SelfStock'!AR51&lt;&gt;""))*(('T_TTAFStock'!AR51&lt;&gt;""))&gt;0,'T_SelfStock'!AR51+'T_TTAFStock'!AR51,AQ47+'Grid_Incoming'!AR47-'Grid_Requirement'!AR47))</f>
        <v/>
      </c>
      <c r="AS47">
        <f>IF(COUNTIFS(T_StockCount[Part Name],$A47,T_StockCount[WeekIndex],44)&gt;0,SUMIFS(T_StockCount[CountedQty],T_StockCount[Part Name],$A47,T_StockCount[WeekIndex],44),IF((('T_SelfStock'!AS51&lt;&gt;""))*(('T_TTAFStock'!AS51&lt;&gt;""))&gt;0,'T_SelfStock'!AS51+'T_TTAFStock'!AS51,AR47+'Grid_Incoming'!AS47-'Grid_Requirement'!AS47))</f>
        <v/>
      </c>
      <c r="AT47">
        <f>IF(COUNTIFS(T_StockCount[Part Name],$A47,T_StockCount[WeekIndex],45)&gt;0,SUMIFS(T_StockCount[CountedQty],T_StockCount[Part Name],$A47,T_StockCount[WeekIndex],45),IF((('T_SelfStock'!AT51&lt;&gt;""))*(('T_TTAFStock'!AT51&lt;&gt;""))&gt;0,'T_SelfStock'!AT51+'T_TTAFStock'!AT51,AS47+'Grid_Incoming'!AT47-'Grid_Requirement'!AT47))</f>
        <v/>
      </c>
      <c r="AU47">
        <f>IF(COUNTIFS(T_StockCount[Part Name],$A47,T_StockCount[WeekIndex],46)&gt;0,SUMIFS(T_StockCount[CountedQty],T_StockCount[Part Name],$A47,T_StockCount[WeekIndex],46),IF((('T_SelfStock'!AU51&lt;&gt;""))*(('T_TTAFStock'!AU51&lt;&gt;""))&gt;0,'T_SelfStock'!AU51+'T_TTAFStock'!AU51,AT47+'Grid_Incoming'!AU47-'Grid_Requirement'!AU47))</f>
        <v/>
      </c>
      <c r="AV47">
        <f>IF(COUNTIFS(T_StockCount[Part Name],$A47,T_StockCount[WeekIndex],47)&gt;0,SUMIFS(T_StockCount[CountedQty],T_StockCount[Part Name],$A47,T_StockCount[WeekIndex],47),IF((('T_SelfStock'!AV51&lt;&gt;""))*(('T_TTAFStock'!AV51&lt;&gt;""))&gt;0,'T_SelfStock'!AV51+'T_TTAFStock'!AV51,AU47+'Grid_Incoming'!AV47-'Grid_Requirement'!AV47))</f>
        <v/>
      </c>
      <c r="AW47">
        <f>IF(COUNTIFS(T_StockCount[Part Name],$A47,T_StockCount[WeekIndex],48)&gt;0,SUMIFS(T_StockCount[CountedQty],T_StockCount[Part Name],$A47,T_StockCount[WeekIndex],48),IF((('T_SelfStock'!AW51&lt;&gt;""))*(('T_TTAFStock'!AW51&lt;&gt;""))&gt;0,'T_SelfStock'!AW51+'T_TTAFStock'!AW51,AV47+'Grid_Incoming'!AW47-'Grid_Requirement'!AW47))</f>
        <v/>
      </c>
      <c r="AX47">
        <f>IF(COUNTIFS(T_StockCount[Part Name],$A47,T_StockCount[WeekIndex],49)&gt;0,SUMIFS(T_StockCount[CountedQty],T_StockCount[Part Name],$A47,T_StockCount[WeekIndex],49),IF((('T_SelfStock'!AX51&lt;&gt;""))*(('T_TTAFStock'!AX51&lt;&gt;""))&gt;0,'T_SelfStock'!AX51+'T_TTAFStock'!AX51,AW47+'Grid_Incoming'!AX47-'Grid_Requirement'!AX47))</f>
        <v/>
      </c>
      <c r="AY47">
        <f>IF(COUNTIFS(T_StockCount[Part Name],$A47,T_StockCount[WeekIndex],50)&gt;0,SUMIFS(T_StockCount[CountedQty],T_StockCount[Part Name],$A47,T_StockCount[WeekIndex],50),IF((('T_SelfStock'!AY51&lt;&gt;""))*(('T_TTAFStock'!AY51&lt;&gt;""))&gt;0,'T_SelfStock'!AY51+'T_TTAFStock'!AY51,AX47+'Grid_Incoming'!AY47-'Grid_Requirement'!AY47))</f>
        <v/>
      </c>
      <c r="AZ47">
        <f>IF(COUNTIFS(T_StockCount[Part Name],$A47,T_StockCount[WeekIndex],51)&gt;0,SUMIFS(T_StockCount[CountedQty],T_StockCount[Part Name],$A47,T_StockCount[WeekIndex],51),IF((('T_SelfStock'!AZ51&lt;&gt;""))*(('T_TTAFStock'!AZ51&lt;&gt;""))&gt;0,'T_SelfStock'!AZ51+'T_TTAFStock'!AZ51,AY47+'Grid_Incoming'!AZ47-'Grid_Requirement'!AZ47))</f>
        <v/>
      </c>
      <c r="BA47">
        <f>IF(COUNTIFS(T_StockCount[Part Name],$A47,T_StockCount[WeekIndex],52)&gt;0,SUMIFS(T_StockCount[CountedQty],T_StockCount[Part Name],$A47,T_StockCount[WeekIndex],52),IF((('T_SelfStock'!BA51&lt;&gt;""))*(('T_TTAFStock'!BA51&lt;&gt;""))&gt;0,'T_SelfStock'!BA51+'T_TTAFStock'!BA51,AZ47+'Grid_Incoming'!BA47-'Grid_Requirement'!BA47))</f>
        <v/>
      </c>
      <c r="BB47">
        <f>IF(COUNTIFS(T_StockCount[Part Name],$A47,T_StockCount[WeekIndex],53)&gt;0,SUMIFS(T_StockCount[CountedQty],T_StockCount[Part Name],$A47,T_StockCount[WeekIndex],53),IF((('T_SelfStock'!BB51&lt;&gt;""))*(('T_TTAFStock'!BB51&lt;&gt;""))&gt;0,'T_SelfStock'!BB51+'T_TTAFStock'!BB51,BA47+'Grid_Incoming'!BB47-'Grid_Requirement'!BB47))</f>
        <v/>
      </c>
      <c r="BC47">
        <f>IF(COUNTIFS(T_StockCount[Part Name],$A47,T_StockCount[WeekIndex],54)&gt;0,SUMIFS(T_StockCount[CountedQty],T_StockCount[Part Name],$A47,T_StockCount[WeekIndex],54),IF((('T_SelfStock'!BC51&lt;&gt;""))*(('T_TTAFStock'!BC51&lt;&gt;""))&gt;0,'T_SelfStock'!BC51+'T_TTAFStock'!BC51,BB47+'Grid_Incoming'!BC47-'Grid_Requirement'!BC47))</f>
        <v/>
      </c>
      <c r="BD47">
        <f>IF(COUNTIFS(T_StockCount[Part Name],$A47,T_StockCount[WeekIndex],55)&gt;0,SUMIFS(T_StockCount[CountedQty],T_StockCount[Part Name],$A47,T_StockCount[WeekIndex],55),IF((('T_SelfStock'!BD51&lt;&gt;""))*(('T_TTAFStock'!BD51&lt;&gt;""))&gt;0,'T_SelfStock'!BD51+'T_TTAFStock'!BD51,BC47+'Grid_Incoming'!BD47-'Grid_Requirement'!BD47))</f>
        <v/>
      </c>
      <c r="BE47">
        <f>IF(COUNTIFS(T_StockCount[Part Name],$A47,T_StockCount[WeekIndex],56)&gt;0,SUMIFS(T_StockCount[CountedQty],T_StockCount[Part Name],$A47,T_StockCount[WeekIndex],56),IF((('T_SelfStock'!BE51&lt;&gt;""))*(('T_TTAFStock'!BE51&lt;&gt;""))&gt;0,'T_SelfStock'!BE51+'T_TTAFStock'!BE51,BD47+'Grid_Incoming'!BE47-'Grid_Requirement'!BE47))</f>
        <v/>
      </c>
      <c r="BF47">
        <f>IF(COUNTIFS(T_StockCount[Part Name],$A47,T_StockCount[WeekIndex],57)&gt;0,SUMIFS(T_StockCount[CountedQty],T_StockCount[Part Name],$A47,T_StockCount[WeekIndex],57),IF((('T_SelfStock'!BF51&lt;&gt;""))*(('T_TTAFStock'!BF51&lt;&gt;""))&gt;0,'T_SelfStock'!BF51+'T_TTAFStock'!BF51,BE47+'Grid_Incoming'!BF47-'Grid_Requirement'!BF47))</f>
        <v/>
      </c>
      <c r="BG47">
        <f>IF(COUNTIFS(T_StockCount[Part Name],$A47,T_StockCount[WeekIndex],58)&gt;0,SUMIFS(T_StockCount[CountedQty],T_StockCount[Part Name],$A47,T_StockCount[WeekIndex],58),IF((('T_SelfStock'!BG51&lt;&gt;""))*(('T_TTAFStock'!BG51&lt;&gt;""))&gt;0,'T_SelfStock'!BG51+'T_TTAFStock'!BG51,BF47+'Grid_Incoming'!BG47-'Grid_Requirement'!BG47))</f>
        <v/>
      </c>
      <c r="BH47">
        <f>IF(COUNTIFS(T_StockCount[Part Name],$A47,T_StockCount[WeekIndex],59)&gt;0,SUMIFS(T_StockCount[CountedQty],T_StockCount[Part Name],$A47,T_StockCount[WeekIndex],59),IF((('T_SelfStock'!BH51&lt;&gt;""))*(('T_TTAFStock'!BH51&lt;&gt;""))&gt;0,'T_SelfStock'!BH51+'T_TTAFStock'!BH51,BG47+'Grid_Incoming'!BH47-'Grid_Requirement'!BH47))</f>
        <v/>
      </c>
      <c r="BI47">
        <f>IF(COUNTIFS(T_StockCount[Part Name],$A47,T_StockCount[WeekIndex],60)&gt;0,SUMIFS(T_StockCount[CountedQty],T_StockCount[Part Name],$A47,T_StockCount[WeekIndex],60),IF((('T_SelfStock'!BI51&lt;&gt;""))*(('T_TTAFStock'!BI51&lt;&gt;""))&gt;0,'T_SelfStock'!BI51+'T_TTAFStock'!BI51,BH47+'Grid_Incoming'!BI47-'Grid_Requirement'!BI47))</f>
        <v/>
      </c>
      <c r="BJ47">
        <f>IF(COUNTIFS(T_StockCount[Part Name],$A47,T_StockCount[WeekIndex],61)&gt;0,SUMIFS(T_StockCount[CountedQty],T_StockCount[Part Name],$A47,T_StockCount[WeekIndex],61),IF((('T_SelfStock'!BJ51&lt;&gt;""))*(('T_TTAFStock'!BJ51&lt;&gt;""))&gt;0,'T_SelfStock'!BJ51+'T_TTAFStock'!BJ51,BI47+'Grid_Incoming'!BJ47-'Grid_Requirement'!BJ47))</f>
        <v/>
      </c>
      <c r="BK47">
        <f>IF(COUNTIFS(T_StockCount[Part Name],$A47,T_StockCount[WeekIndex],62)&gt;0,SUMIFS(T_StockCount[CountedQty],T_StockCount[Part Name],$A47,T_StockCount[WeekIndex],62),IF((('T_SelfStock'!BK51&lt;&gt;""))*(('T_TTAFStock'!BK51&lt;&gt;""))&gt;0,'T_SelfStock'!BK51+'T_TTAFStock'!BK51,BJ47+'Grid_Incoming'!BK47-'Grid_Requirement'!BK47))</f>
        <v/>
      </c>
      <c r="BL47">
        <f>IF(COUNTIFS(T_StockCount[Part Name],$A47,T_StockCount[WeekIndex],63)&gt;0,SUMIFS(T_StockCount[CountedQty],T_StockCount[Part Name],$A47,T_StockCount[WeekIndex],63),IF((('T_SelfStock'!BL51&lt;&gt;""))*(('T_TTAFStock'!BL51&lt;&gt;""))&gt;0,'T_SelfStock'!BL51+'T_TTAFStock'!BL51,BK47+'Grid_Incoming'!BL47-'Grid_Requirement'!BL47))</f>
        <v/>
      </c>
      <c r="BM47">
        <f>IF(COUNTIFS(T_StockCount[Part Name],$A47,T_StockCount[WeekIndex],64)&gt;0,SUMIFS(T_StockCount[CountedQty],T_StockCount[Part Name],$A47,T_StockCount[WeekIndex],64),IF((('T_SelfStock'!BM51&lt;&gt;""))*(('T_TTAFStock'!BM51&lt;&gt;""))&gt;0,'T_SelfStock'!BM51+'T_TTAFStock'!BM51,BL47+'Grid_Incoming'!BM47-'Grid_Requirement'!BM47))</f>
        <v/>
      </c>
      <c r="BN47">
        <f>IF(COUNTIFS(T_StockCount[Part Name],$A47,T_StockCount[WeekIndex],65)&gt;0,SUMIFS(T_StockCount[CountedQty],T_StockCount[Part Name],$A47,T_StockCount[WeekIndex],65),IF((('T_SelfStock'!BN51&lt;&gt;""))*(('T_TTAFStock'!BN51&lt;&gt;""))&gt;0,'T_SelfStock'!BN51+'T_TTAFStock'!BN51,BM47+'Grid_Incoming'!BN47-'Grid_Requirement'!BN47))</f>
        <v/>
      </c>
      <c r="BO47">
        <f>IF(COUNTIFS(T_StockCount[Part Name],$A47,T_StockCount[WeekIndex],66)&gt;0,SUMIFS(T_StockCount[CountedQty],T_StockCount[Part Name],$A47,T_StockCount[WeekIndex],66),IF((('T_SelfStock'!BO51&lt;&gt;""))*(('T_TTAFStock'!BO51&lt;&gt;""))&gt;0,'T_SelfStock'!BO51+'T_TTAFStock'!BO51,BN47+'Grid_Incoming'!BO47-'Grid_Requirement'!BO47))</f>
        <v/>
      </c>
      <c r="BP47">
        <f>IF(COUNTIFS(T_StockCount[Part Name],$A47,T_StockCount[WeekIndex],67)&gt;0,SUMIFS(T_StockCount[CountedQty],T_StockCount[Part Name],$A47,T_StockCount[WeekIndex],67),IF((('T_SelfStock'!BP51&lt;&gt;""))*(('T_TTAFStock'!BP51&lt;&gt;""))&gt;0,'T_SelfStock'!BP51+'T_TTAFStock'!BP51,BO47+'Grid_Incoming'!BP47-'Grid_Requirement'!BP47))</f>
        <v/>
      </c>
      <c r="BQ47">
        <f>IF(COUNTIFS(T_StockCount[Part Name],$A47,T_StockCount[WeekIndex],68)&gt;0,SUMIFS(T_StockCount[CountedQty],T_StockCount[Part Name],$A47,T_StockCount[WeekIndex],68),IF((('T_SelfStock'!BQ51&lt;&gt;""))*(('T_TTAFStock'!BQ51&lt;&gt;""))&gt;0,'T_SelfStock'!BQ51+'T_TTAFStock'!BQ51,BP47+'Grid_Incoming'!BQ47-'Grid_Requirement'!BQ47))</f>
        <v/>
      </c>
      <c r="BR47">
        <f>IF(COUNTIFS(T_StockCount[Part Name],$A47,T_StockCount[WeekIndex],69)&gt;0,SUMIFS(T_StockCount[CountedQty],T_StockCount[Part Name],$A47,T_StockCount[WeekIndex],69),IF((('T_SelfStock'!BR51&lt;&gt;""))*(('T_TTAFStock'!BR51&lt;&gt;""))&gt;0,'T_SelfStock'!BR51+'T_TTAFStock'!BR51,BQ47+'Grid_Incoming'!BR47-'Grid_Requirement'!BR47))</f>
        <v/>
      </c>
      <c r="BS47">
        <f>IF(COUNTIFS(T_StockCount[Part Name],$A47,T_StockCount[WeekIndex],70)&gt;0,SUMIFS(T_StockCount[CountedQty],T_StockCount[Part Name],$A47,T_StockCount[WeekIndex],70),IF((('T_SelfStock'!BS51&lt;&gt;""))*(('T_TTAFStock'!BS51&lt;&gt;""))&gt;0,'T_SelfStock'!BS51+'T_TTAFStock'!BS51,BR47+'Grid_Incoming'!BS47-'Grid_Requirement'!BS47))</f>
        <v/>
      </c>
      <c r="BT47">
        <f>IF(COUNTIFS(T_StockCount[Part Name],$A47,T_StockCount[WeekIndex],71)&gt;0,SUMIFS(T_StockCount[CountedQty],T_StockCount[Part Name],$A47,T_StockCount[WeekIndex],71),IF((('T_SelfStock'!BT51&lt;&gt;""))*(('T_TTAFStock'!BT51&lt;&gt;""))&gt;0,'T_SelfStock'!BT51+'T_TTAFStock'!BT51,BS47+'Grid_Incoming'!BT47-'Grid_Requirement'!BT47))</f>
        <v/>
      </c>
      <c r="BU47">
        <f>IF(COUNTIFS(T_StockCount[Part Name],$A47,T_StockCount[WeekIndex],72)&gt;0,SUMIFS(T_StockCount[CountedQty],T_StockCount[Part Name],$A47,T_StockCount[WeekIndex],72),IF((('T_SelfStock'!BU51&lt;&gt;""))*(('T_TTAFStock'!BU51&lt;&gt;""))&gt;0,'T_SelfStock'!BU51+'T_TTAFStock'!BU51,BT47+'Grid_Incoming'!BU47-'Grid_Requirement'!BU47))</f>
        <v/>
      </c>
      <c r="BV47">
        <f>IF(COUNTIFS(T_StockCount[Part Name],$A47,T_StockCount[WeekIndex],73)&gt;0,SUMIFS(T_StockCount[CountedQty],T_StockCount[Part Name],$A47,T_StockCount[WeekIndex],73),IF((('T_SelfStock'!BV51&lt;&gt;""))*(('T_TTAFStock'!BV51&lt;&gt;""))&gt;0,'T_SelfStock'!BV51+'T_TTAFStock'!BV51,BU47+'Grid_Incoming'!BV47-'Grid_Requirement'!BV47))</f>
        <v/>
      </c>
      <c r="BW47">
        <f>IF(COUNTIFS(T_StockCount[Part Name],$A47,T_StockCount[WeekIndex],74)&gt;0,SUMIFS(T_StockCount[CountedQty],T_StockCount[Part Name],$A47,T_StockCount[WeekIndex],74),IF((('T_SelfStock'!BW51&lt;&gt;""))*(('T_TTAFStock'!BW51&lt;&gt;""))&gt;0,'T_SelfStock'!BW51+'T_TTAFStock'!BW51,BV47+'Grid_Incoming'!BW47-'Grid_Requirement'!BW47))</f>
        <v/>
      </c>
      <c r="BX47">
        <f>IF(COUNTIFS(T_StockCount[Part Name],$A47,T_StockCount[WeekIndex],75)&gt;0,SUMIFS(T_StockCount[CountedQty],T_StockCount[Part Name],$A47,T_StockCount[WeekIndex],75),IF((('T_SelfStock'!BX51&lt;&gt;""))*(('T_TTAFStock'!BX51&lt;&gt;""))&gt;0,'T_SelfStock'!BX51+'T_TTAFStock'!BX51,BW47+'Grid_Incoming'!BX47-'Grid_Requirement'!BX47))</f>
        <v/>
      </c>
      <c r="BY47">
        <f>IF(COUNTIFS(T_StockCount[Part Name],$A47,T_StockCount[WeekIndex],76)&gt;0,SUMIFS(T_StockCount[CountedQty],T_StockCount[Part Name],$A47,T_StockCount[WeekIndex],76),IF((('T_SelfStock'!BY51&lt;&gt;""))*(('T_TTAFStock'!BY51&lt;&gt;""))&gt;0,'T_SelfStock'!BY51+'T_TTAFStock'!BY51,BX47+'Grid_Incoming'!BY47-'Grid_Requirement'!BY47))</f>
        <v/>
      </c>
      <c r="BZ47">
        <f>IF(COUNTIFS(T_StockCount[Part Name],$A47,T_StockCount[WeekIndex],77)&gt;0,SUMIFS(T_StockCount[CountedQty],T_StockCount[Part Name],$A47,T_StockCount[WeekIndex],77),IF((('T_SelfStock'!BZ51&lt;&gt;""))*(('T_TTAFStock'!BZ51&lt;&gt;""))&gt;0,'T_SelfStock'!BZ51+'T_TTAFStock'!BZ51,BY47+'Grid_Incoming'!BZ47-'Grid_Requirement'!BZ47))</f>
        <v/>
      </c>
      <c r="CA47">
        <f>IF(COUNTIFS(T_StockCount[Part Name],$A47,T_StockCount[WeekIndex],78)&gt;0,SUMIFS(T_StockCount[CountedQty],T_StockCount[Part Name],$A47,T_StockCount[WeekIndex],78),IF((('T_SelfStock'!CA51&lt;&gt;""))*(('T_TTAFStock'!CA51&lt;&gt;""))&gt;0,'T_SelfStock'!CA51+'T_TTAFStock'!CA51,BZ47+'Grid_Incoming'!CA47-'Grid_Requirement'!CA47))</f>
        <v/>
      </c>
      <c r="CB47">
        <f>IF(COUNTIFS(T_StockCount[Part Name],$A47,T_StockCount[WeekIndex],79)&gt;0,SUMIFS(T_StockCount[CountedQty],T_StockCount[Part Name],$A47,T_StockCount[WeekIndex],79),IF((('T_SelfStock'!CB51&lt;&gt;""))*(('T_TTAFStock'!CB51&lt;&gt;""))&gt;0,'T_SelfStock'!CB51+'T_TTAFStock'!CB51,CA47+'Grid_Incoming'!CB47-'Grid_Requirement'!CB47))</f>
        <v/>
      </c>
      <c r="CC47">
        <f>IF(COUNTIFS(T_StockCount[Part Name],$A47,T_StockCount[WeekIndex],80)&gt;0,SUMIFS(T_StockCount[CountedQty],T_StockCount[Part Name],$A47,T_StockCount[WeekIndex],80),IF((('T_SelfStock'!CC51&lt;&gt;""))*(('T_TTAFStock'!CC51&lt;&gt;""))&gt;0,'T_SelfStock'!CC51+'T_TTAFStock'!CC51,CB47+'Grid_Incoming'!CC47-'Grid_Requirement'!CC47))</f>
        <v/>
      </c>
      <c r="CD47">
        <f>IF(COUNTIFS(T_StockCount[Part Name],$A47,T_StockCount[WeekIndex],81)&gt;0,SUMIFS(T_StockCount[CountedQty],T_StockCount[Part Name],$A47,T_StockCount[WeekIndex],81),IF((('T_SelfStock'!CD51&lt;&gt;""))*(('T_TTAFStock'!CD51&lt;&gt;""))&gt;0,'T_SelfStock'!CD51+'T_TTAFStock'!CD51,CC47+'Grid_Incoming'!CD47-'Grid_Requirement'!CD47))</f>
        <v/>
      </c>
      <c r="CE47">
        <f>IF(COUNTIFS(T_StockCount[Part Name],$A47,T_StockCount[WeekIndex],82)&gt;0,SUMIFS(T_StockCount[CountedQty],T_StockCount[Part Name],$A47,T_StockCount[WeekIndex],82),IF((('T_SelfStock'!CE51&lt;&gt;""))*(('T_TTAFStock'!CE51&lt;&gt;""))&gt;0,'T_SelfStock'!CE51+'T_TTAFStock'!CE51,CD47+'Grid_Incoming'!CE47-'Grid_Requirement'!CE47))</f>
        <v/>
      </c>
      <c r="CF47">
        <f>IF(COUNTIFS(T_StockCount[Part Name],$A47,T_StockCount[WeekIndex],83)&gt;0,SUMIFS(T_StockCount[CountedQty],T_StockCount[Part Name],$A47,T_StockCount[WeekIndex],83),IF((('T_SelfStock'!CF51&lt;&gt;""))*(('T_TTAFStock'!CF51&lt;&gt;""))&gt;0,'T_SelfStock'!CF51+'T_TTAFStock'!CF51,CE47+'Grid_Incoming'!CF47-'Grid_Requirement'!CF47))</f>
        <v/>
      </c>
      <c r="CG47">
        <f>IF(COUNTIFS(T_StockCount[Part Name],$A47,T_StockCount[WeekIndex],84)&gt;0,SUMIFS(T_StockCount[CountedQty],T_StockCount[Part Name],$A47,T_StockCount[WeekIndex],84),IF((('T_SelfStock'!CG51&lt;&gt;""))*(('T_TTAFStock'!CG51&lt;&gt;""))&gt;0,'T_SelfStock'!CG51+'T_TTAFStock'!CG51,CF47+'Grid_Incoming'!CG47-'Grid_Requirement'!CG47))</f>
        <v/>
      </c>
      <c r="CH47">
        <f>IF(COUNTIFS(T_StockCount[Part Name],$A47,T_StockCount[WeekIndex],85)&gt;0,SUMIFS(T_StockCount[CountedQty],T_StockCount[Part Name],$A47,T_StockCount[WeekIndex],85),IF((('T_SelfStock'!CH51&lt;&gt;""))*(('T_TTAFStock'!CH51&lt;&gt;""))&gt;0,'T_SelfStock'!CH51+'T_TTAFStock'!CH51,CG47+'Grid_Incoming'!CH47-'Grid_Requirement'!CH47))</f>
        <v/>
      </c>
      <c r="CI47">
        <f>IF(COUNTIFS(T_StockCount[Part Name],$A47,T_StockCount[WeekIndex],86)&gt;0,SUMIFS(T_StockCount[CountedQty],T_StockCount[Part Name],$A47,T_StockCount[WeekIndex],86),IF((('T_SelfStock'!CI51&lt;&gt;""))*(('T_TTAFStock'!CI51&lt;&gt;""))&gt;0,'T_SelfStock'!CI51+'T_TTAFStock'!CI51,CH47+'Grid_Incoming'!CI47-'Grid_Requirement'!CI47))</f>
        <v/>
      </c>
      <c r="CJ47">
        <f>IF(COUNTIFS(T_StockCount[Part Name],$A47,T_StockCount[WeekIndex],87)&gt;0,SUMIFS(T_StockCount[CountedQty],T_StockCount[Part Name],$A47,T_StockCount[WeekIndex],87),IF((('T_SelfStock'!CJ51&lt;&gt;""))*(('T_TTAFStock'!CJ51&lt;&gt;""))&gt;0,'T_SelfStock'!CJ51+'T_TTAFStock'!CJ51,CI47+'Grid_Incoming'!CJ47-'Grid_Requirement'!CJ47))</f>
        <v/>
      </c>
      <c r="CK47">
        <f>IF(COUNTIFS(T_StockCount[Part Name],$A47,T_StockCount[WeekIndex],88)&gt;0,SUMIFS(T_StockCount[CountedQty],T_StockCount[Part Name],$A47,T_StockCount[WeekIndex],88),IF((('T_SelfStock'!CK51&lt;&gt;""))*(('T_TTAFStock'!CK51&lt;&gt;""))&gt;0,'T_SelfStock'!CK51+'T_TTAFStock'!CK51,CJ47+'Grid_Incoming'!CK47-'Grid_Requirement'!CK47))</f>
        <v/>
      </c>
      <c r="CL47">
        <f>IF(COUNTIFS(T_StockCount[Part Name],$A47,T_StockCount[WeekIndex],89)&gt;0,SUMIFS(T_StockCount[CountedQty],T_StockCount[Part Name],$A47,T_StockCount[WeekIndex],89),IF((('T_SelfStock'!CL51&lt;&gt;""))*(('T_TTAFStock'!CL51&lt;&gt;""))&gt;0,'T_SelfStock'!CL51+'T_TTAFStock'!CL51,CK47+'Grid_Incoming'!CL47-'Grid_Requirement'!CL47))</f>
        <v/>
      </c>
      <c r="CM47">
        <f>IF(COUNTIFS(T_StockCount[Part Name],$A47,T_StockCount[WeekIndex],90)&gt;0,SUMIFS(T_StockCount[CountedQty],T_StockCount[Part Name],$A47,T_StockCount[WeekIndex],90),IF((('T_SelfStock'!CM51&lt;&gt;""))*(('T_TTAFStock'!CM51&lt;&gt;""))&gt;0,'T_SelfStock'!CM51+'T_TTAFStock'!CM51,CL47+'Grid_Incoming'!CM47-'Grid_Requirement'!CM47))</f>
        <v/>
      </c>
      <c r="CN47">
        <f>IF(COUNTIFS(T_StockCount[Part Name],$A47,T_StockCount[WeekIndex],91)&gt;0,SUMIFS(T_StockCount[CountedQty],T_StockCount[Part Name],$A47,T_StockCount[WeekIndex],91),IF((('T_SelfStock'!CN51&lt;&gt;""))*(('T_TTAFStock'!CN51&lt;&gt;""))&gt;0,'T_SelfStock'!CN51+'T_TTAFStock'!CN51,CM47+'Grid_Incoming'!CN47-'Grid_Requirement'!CN47))</f>
        <v/>
      </c>
      <c r="CO47">
        <f>IF(COUNTIFS(T_StockCount[Part Name],$A47,T_StockCount[WeekIndex],92)&gt;0,SUMIFS(T_StockCount[CountedQty],T_StockCount[Part Name],$A47,T_StockCount[WeekIndex],92),IF((('T_SelfStock'!CO51&lt;&gt;""))*(('T_TTAFStock'!CO51&lt;&gt;""))&gt;0,'T_SelfStock'!CO51+'T_TTAFStock'!CO51,CN47+'Grid_Incoming'!CO47-'Grid_Requirement'!CO47))</f>
        <v/>
      </c>
      <c r="CP47">
        <f>IF(COUNTIFS(T_StockCount[Part Name],$A47,T_StockCount[WeekIndex],93)&gt;0,SUMIFS(T_StockCount[CountedQty],T_StockCount[Part Name],$A47,T_StockCount[WeekIndex],93),IF((('T_SelfStock'!CP51&lt;&gt;""))*(('T_TTAFStock'!CP51&lt;&gt;""))&gt;0,'T_SelfStock'!CP51+'T_TTAFStock'!CP51,CO47+'Grid_Incoming'!CP47-'Grid_Requirement'!CP47))</f>
        <v/>
      </c>
      <c r="CQ47">
        <f>IF(COUNTIFS(T_StockCount[Part Name],$A47,T_StockCount[WeekIndex],94)&gt;0,SUMIFS(T_StockCount[CountedQty],T_StockCount[Part Name],$A47,T_StockCount[WeekIndex],94),IF((('T_SelfStock'!CQ51&lt;&gt;""))*(('T_TTAFStock'!CQ51&lt;&gt;""))&gt;0,'T_SelfStock'!CQ51+'T_TTAFStock'!CQ51,CP47+'Grid_Incoming'!CQ47-'Grid_Requirement'!CQ47))</f>
        <v/>
      </c>
      <c r="CR47">
        <f>IF(COUNTIFS(T_StockCount[Part Name],$A47,T_StockCount[WeekIndex],95)&gt;0,SUMIFS(T_StockCount[CountedQty],T_StockCount[Part Name],$A47,T_StockCount[WeekIndex],95),IF((('T_SelfStock'!CR51&lt;&gt;""))*(('T_TTAFStock'!CR51&lt;&gt;""))&gt;0,'T_SelfStock'!CR51+'T_TTAFStock'!CR51,CQ47+'Grid_Incoming'!CR47-'Grid_Requirement'!CR47))</f>
        <v/>
      </c>
      <c r="CS47">
        <f>IF(COUNTIFS(T_StockCount[Part Name],$A47,T_StockCount[WeekIndex],96)&gt;0,SUMIFS(T_StockCount[CountedQty],T_StockCount[Part Name],$A47,T_StockCount[WeekIndex],96),IF((('T_SelfStock'!CS51&lt;&gt;""))*(('T_TTAFStock'!CS51&lt;&gt;""))&gt;0,'T_SelfStock'!CS51+'T_TTAFStock'!CS51,CR47+'Grid_Incoming'!CS47-'Grid_Requirement'!CS47))</f>
        <v/>
      </c>
      <c r="CT47">
        <f>IF(COUNTIFS(T_StockCount[Part Name],$A47,T_StockCount[WeekIndex],97)&gt;0,SUMIFS(T_StockCount[CountedQty],T_StockCount[Part Name],$A47,T_StockCount[WeekIndex],97),IF((('T_SelfStock'!CT51&lt;&gt;""))*(('T_TTAFStock'!CT51&lt;&gt;""))&gt;0,'T_SelfStock'!CT51+'T_TTAFStock'!CT51,CS47+'Grid_Incoming'!CT47-'Grid_Requirement'!CT47))</f>
        <v/>
      </c>
      <c r="CU47">
        <f>IF(COUNTIFS(T_StockCount[Part Name],$A47,T_StockCount[WeekIndex],98)&gt;0,SUMIFS(T_StockCount[CountedQty],T_StockCount[Part Name],$A47,T_StockCount[WeekIndex],98),IF((('T_SelfStock'!CU51&lt;&gt;""))*(('T_TTAFStock'!CU51&lt;&gt;""))&gt;0,'T_SelfStock'!CU51+'T_TTAFStock'!CU51,CT47+'Grid_Incoming'!CU47-'Grid_Requirement'!CU47))</f>
        <v/>
      </c>
      <c r="CV47">
        <f>IF(COUNTIFS(T_StockCount[Part Name],$A47,T_StockCount[WeekIndex],99)&gt;0,SUMIFS(T_StockCount[CountedQty],T_StockCount[Part Name],$A47,T_StockCount[WeekIndex],99),IF((('T_SelfStock'!CV51&lt;&gt;""))*(('T_TTAFStock'!CV51&lt;&gt;""))&gt;0,'T_SelfStock'!CV51+'T_TTAFStock'!CV51,CU47+'Grid_Incoming'!CV47-'Grid_Requirement'!CV47))</f>
        <v/>
      </c>
      <c r="CW47">
        <f>IF(COUNTIFS(T_StockCount[Part Name],$A47,T_StockCount[WeekIndex],100)&gt;0,SUMIFS(T_StockCount[CountedQty],T_StockCount[Part Name],$A47,T_StockCount[WeekIndex],100),IF((('T_SelfStock'!CW51&lt;&gt;""))*(('T_TTAFStock'!CW51&lt;&gt;""))&gt;0,'T_SelfStock'!CW51+'T_TTAFStock'!CW51,CV47+'Grid_Incoming'!CW47-'Grid_Requirement'!CW47))</f>
        <v/>
      </c>
      <c r="CX47">
        <f>IF(COUNTIFS(T_StockCount[Part Name],$A47,T_StockCount[WeekIndex],101)&gt;0,SUMIFS(T_StockCount[CountedQty],T_StockCount[Part Name],$A47,T_StockCount[WeekIndex],101),IF((('T_SelfStock'!CX51&lt;&gt;""))*(('T_TTAFStock'!CX51&lt;&gt;""))&gt;0,'T_SelfStock'!CX51+'T_TTAFStock'!CX51,CW47+'Grid_Incoming'!CX47-'Grid_Requirement'!CX47))</f>
        <v/>
      </c>
      <c r="CY47">
        <f>IF(COUNTIFS(T_StockCount[Part Name],$A47,T_StockCount[WeekIndex],102)&gt;0,SUMIFS(T_StockCount[CountedQty],T_StockCount[Part Name],$A47,T_StockCount[WeekIndex],102),IF((('T_SelfStock'!CY51&lt;&gt;""))*(('T_TTAFStock'!CY51&lt;&gt;""))&gt;0,'T_SelfStock'!CY51+'T_TTAFStock'!CY51,CX47+'Grid_Incoming'!CY47-'Grid_Requirement'!CY47))</f>
        <v/>
      </c>
      <c r="CZ47">
        <f>IF(COUNTIFS(T_StockCount[Part Name],$A47,T_StockCount[WeekIndex],103)&gt;0,SUMIFS(T_StockCount[CountedQty],T_StockCount[Part Name],$A47,T_StockCount[WeekIndex],103),IF((('T_SelfStock'!CZ51&lt;&gt;""))*(('T_TTAFStock'!CZ51&lt;&gt;""))&gt;0,'T_SelfStock'!CZ51+'T_TTAFStock'!CZ51,CY47+'Grid_Incoming'!CZ47-'Grid_Requirement'!CZ47))</f>
        <v/>
      </c>
      <c r="DA47">
        <f>IF(COUNTIFS(T_StockCount[Part Name],$A47,T_StockCount[WeekIndex],104)&gt;0,SUMIFS(T_StockCount[CountedQty],T_StockCount[Part Name],$A47,T_StockCount[WeekIndex],104),IF((('T_SelfStock'!DA51&lt;&gt;""))*(('T_TTAFStock'!DA51&lt;&gt;""))&gt;0,'T_SelfStock'!DA51+'T_TTAFStock'!DA51,CZ47+'Grid_Incoming'!DA47-'Grid_Requirement'!DA47))</f>
        <v/>
      </c>
    </row>
    <row r="48">
      <c r="A48" t="inlineStr">
        <is>
          <t>CHEM-1010</t>
        </is>
      </c>
      <c r="B48">
        <f>IF(COUNTIFS(T_StockCount[Part Name],$A48,T_StockCount[WeekIndex],1)&gt;0,SUMIFS(T_StockCount[CountedQty],T_StockCount[Part Name],$A48,T_StockCount[WeekIndex],1),IF((('T_SelfStock'!B52&lt;&gt;""))*(('T_TTAFStock'!B52&lt;&gt;""))&gt;0,'T_SelfStock'!B52+'T_TTAFStock'!B52,IFERROR(INDEX(T_OpeningStock[Opening_Qty],MATCH($A48,T_OpeningStock[Part Name],0)),0)+'Grid_Incoming'!B48-'Grid_Requirement'!B48))</f>
        <v/>
      </c>
      <c r="C48">
        <f>IF(COUNTIFS(T_StockCount[Part Name],$A48,T_StockCount[WeekIndex],2)&gt;0,SUMIFS(T_StockCount[CountedQty],T_StockCount[Part Name],$A48,T_StockCount[WeekIndex],2),IF((('T_SelfStock'!C52&lt;&gt;""))*(('T_TTAFStock'!C52&lt;&gt;""))&gt;0,'T_SelfStock'!C52+'T_TTAFStock'!C52,B48+'Grid_Incoming'!C48-'Grid_Requirement'!C48))</f>
        <v/>
      </c>
      <c r="D48">
        <f>IF(COUNTIFS(T_StockCount[Part Name],$A48,T_StockCount[WeekIndex],3)&gt;0,SUMIFS(T_StockCount[CountedQty],T_StockCount[Part Name],$A48,T_StockCount[WeekIndex],3),IF((('T_SelfStock'!D52&lt;&gt;""))*(('T_TTAFStock'!D52&lt;&gt;""))&gt;0,'T_SelfStock'!D52+'T_TTAFStock'!D52,C48+'Grid_Incoming'!D48-'Grid_Requirement'!D48))</f>
        <v/>
      </c>
      <c r="E48">
        <f>IF(COUNTIFS(T_StockCount[Part Name],$A48,T_StockCount[WeekIndex],4)&gt;0,SUMIFS(T_StockCount[CountedQty],T_StockCount[Part Name],$A48,T_StockCount[WeekIndex],4),IF((('T_SelfStock'!E52&lt;&gt;""))*(('T_TTAFStock'!E52&lt;&gt;""))&gt;0,'T_SelfStock'!E52+'T_TTAFStock'!E52,D48+'Grid_Incoming'!E48-'Grid_Requirement'!E48))</f>
        <v/>
      </c>
      <c r="F48">
        <f>IF(COUNTIFS(T_StockCount[Part Name],$A48,T_StockCount[WeekIndex],5)&gt;0,SUMIFS(T_StockCount[CountedQty],T_StockCount[Part Name],$A48,T_StockCount[WeekIndex],5),IF((('T_SelfStock'!F52&lt;&gt;""))*(('T_TTAFStock'!F52&lt;&gt;""))&gt;0,'T_SelfStock'!F52+'T_TTAFStock'!F52,E48+'Grid_Incoming'!F48-'Grid_Requirement'!F48))</f>
        <v/>
      </c>
      <c r="G48">
        <f>IF(COUNTIFS(T_StockCount[Part Name],$A48,T_StockCount[WeekIndex],6)&gt;0,SUMIFS(T_StockCount[CountedQty],T_StockCount[Part Name],$A48,T_StockCount[WeekIndex],6),IF((('T_SelfStock'!G52&lt;&gt;""))*(('T_TTAFStock'!G52&lt;&gt;""))&gt;0,'T_SelfStock'!G52+'T_TTAFStock'!G52,F48+'Grid_Incoming'!G48-'Grid_Requirement'!G48))</f>
        <v/>
      </c>
      <c r="H48">
        <f>IF(COUNTIFS(T_StockCount[Part Name],$A48,T_StockCount[WeekIndex],7)&gt;0,SUMIFS(T_StockCount[CountedQty],T_StockCount[Part Name],$A48,T_StockCount[WeekIndex],7),IF((('T_SelfStock'!H52&lt;&gt;""))*(('T_TTAFStock'!H52&lt;&gt;""))&gt;0,'T_SelfStock'!H52+'T_TTAFStock'!H52,G48+'Grid_Incoming'!H48-'Grid_Requirement'!H48))</f>
        <v/>
      </c>
      <c r="I48">
        <f>IF(COUNTIFS(T_StockCount[Part Name],$A48,T_StockCount[WeekIndex],8)&gt;0,SUMIFS(T_StockCount[CountedQty],T_StockCount[Part Name],$A48,T_StockCount[WeekIndex],8),IF((('T_SelfStock'!I52&lt;&gt;""))*(('T_TTAFStock'!I52&lt;&gt;""))&gt;0,'T_SelfStock'!I52+'T_TTAFStock'!I52,H48+'Grid_Incoming'!I48-'Grid_Requirement'!I48))</f>
        <v/>
      </c>
      <c r="J48">
        <f>IF(COUNTIFS(T_StockCount[Part Name],$A48,T_StockCount[WeekIndex],9)&gt;0,SUMIFS(T_StockCount[CountedQty],T_StockCount[Part Name],$A48,T_StockCount[WeekIndex],9),IF((('T_SelfStock'!J52&lt;&gt;""))*(('T_TTAFStock'!J52&lt;&gt;""))&gt;0,'T_SelfStock'!J52+'T_TTAFStock'!J52,I48+'Grid_Incoming'!J48-'Grid_Requirement'!J48))</f>
        <v/>
      </c>
      <c r="K48">
        <f>IF(COUNTIFS(T_StockCount[Part Name],$A48,T_StockCount[WeekIndex],10)&gt;0,SUMIFS(T_StockCount[CountedQty],T_StockCount[Part Name],$A48,T_StockCount[WeekIndex],10),IF((('T_SelfStock'!K52&lt;&gt;""))*(('T_TTAFStock'!K52&lt;&gt;""))&gt;0,'T_SelfStock'!K52+'T_TTAFStock'!K52,J48+'Grid_Incoming'!K48-'Grid_Requirement'!K48))</f>
        <v/>
      </c>
      <c r="L48">
        <f>IF(COUNTIFS(T_StockCount[Part Name],$A48,T_StockCount[WeekIndex],11)&gt;0,SUMIFS(T_StockCount[CountedQty],T_StockCount[Part Name],$A48,T_StockCount[WeekIndex],11),IF((('T_SelfStock'!L52&lt;&gt;""))*(('T_TTAFStock'!L52&lt;&gt;""))&gt;0,'T_SelfStock'!L52+'T_TTAFStock'!L52,K48+'Grid_Incoming'!L48-'Grid_Requirement'!L48))</f>
        <v/>
      </c>
      <c r="M48">
        <f>IF(COUNTIFS(T_StockCount[Part Name],$A48,T_StockCount[WeekIndex],12)&gt;0,SUMIFS(T_StockCount[CountedQty],T_StockCount[Part Name],$A48,T_StockCount[WeekIndex],12),IF((('T_SelfStock'!M52&lt;&gt;""))*(('T_TTAFStock'!M52&lt;&gt;""))&gt;0,'T_SelfStock'!M52+'T_TTAFStock'!M52,L48+'Grid_Incoming'!M48-'Grid_Requirement'!M48))</f>
        <v/>
      </c>
      <c r="N48">
        <f>IF(COUNTIFS(T_StockCount[Part Name],$A48,T_StockCount[WeekIndex],13)&gt;0,SUMIFS(T_StockCount[CountedQty],T_StockCount[Part Name],$A48,T_StockCount[WeekIndex],13),IF((('T_SelfStock'!N52&lt;&gt;""))*(('T_TTAFStock'!N52&lt;&gt;""))&gt;0,'T_SelfStock'!N52+'T_TTAFStock'!N52,M48+'Grid_Incoming'!N48-'Grid_Requirement'!N48))</f>
        <v/>
      </c>
      <c r="O48">
        <f>IF(COUNTIFS(T_StockCount[Part Name],$A48,T_StockCount[WeekIndex],14)&gt;0,SUMIFS(T_StockCount[CountedQty],T_StockCount[Part Name],$A48,T_StockCount[WeekIndex],14),IF((('T_SelfStock'!O52&lt;&gt;""))*(('T_TTAFStock'!O52&lt;&gt;""))&gt;0,'T_SelfStock'!O52+'T_TTAFStock'!O52,N48+'Grid_Incoming'!O48-'Grid_Requirement'!O48))</f>
        <v/>
      </c>
      <c r="P48">
        <f>IF(COUNTIFS(T_StockCount[Part Name],$A48,T_StockCount[WeekIndex],15)&gt;0,SUMIFS(T_StockCount[CountedQty],T_StockCount[Part Name],$A48,T_StockCount[WeekIndex],15),IF((('T_SelfStock'!P52&lt;&gt;""))*(('T_TTAFStock'!P52&lt;&gt;""))&gt;0,'T_SelfStock'!P52+'T_TTAFStock'!P52,O48+'Grid_Incoming'!P48-'Grid_Requirement'!P48))</f>
        <v/>
      </c>
      <c r="Q48">
        <f>IF(COUNTIFS(T_StockCount[Part Name],$A48,T_StockCount[WeekIndex],16)&gt;0,SUMIFS(T_StockCount[CountedQty],T_StockCount[Part Name],$A48,T_StockCount[WeekIndex],16),IF((('T_SelfStock'!Q52&lt;&gt;""))*(('T_TTAFStock'!Q52&lt;&gt;""))&gt;0,'T_SelfStock'!Q52+'T_TTAFStock'!Q52,P48+'Grid_Incoming'!Q48-'Grid_Requirement'!Q48))</f>
        <v/>
      </c>
      <c r="R48">
        <f>IF(COUNTIFS(T_StockCount[Part Name],$A48,T_StockCount[WeekIndex],17)&gt;0,SUMIFS(T_StockCount[CountedQty],T_StockCount[Part Name],$A48,T_StockCount[WeekIndex],17),IF((('T_SelfStock'!R52&lt;&gt;""))*(('T_TTAFStock'!R52&lt;&gt;""))&gt;0,'T_SelfStock'!R52+'T_TTAFStock'!R52,Q48+'Grid_Incoming'!R48-'Grid_Requirement'!R48))</f>
        <v/>
      </c>
      <c r="S48">
        <f>IF(COUNTIFS(T_StockCount[Part Name],$A48,T_StockCount[WeekIndex],18)&gt;0,SUMIFS(T_StockCount[CountedQty],T_StockCount[Part Name],$A48,T_StockCount[WeekIndex],18),IF((('T_SelfStock'!S52&lt;&gt;""))*(('T_TTAFStock'!S52&lt;&gt;""))&gt;0,'T_SelfStock'!S52+'T_TTAFStock'!S52,R48+'Grid_Incoming'!S48-'Grid_Requirement'!S48))</f>
        <v/>
      </c>
      <c r="T48">
        <f>IF(COUNTIFS(T_StockCount[Part Name],$A48,T_StockCount[WeekIndex],19)&gt;0,SUMIFS(T_StockCount[CountedQty],T_StockCount[Part Name],$A48,T_StockCount[WeekIndex],19),IF((('T_SelfStock'!T52&lt;&gt;""))*(('T_TTAFStock'!T52&lt;&gt;""))&gt;0,'T_SelfStock'!T52+'T_TTAFStock'!T52,S48+'Grid_Incoming'!T48-'Grid_Requirement'!T48))</f>
        <v/>
      </c>
      <c r="U48">
        <f>IF(COUNTIFS(T_StockCount[Part Name],$A48,T_StockCount[WeekIndex],20)&gt;0,SUMIFS(T_StockCount[CountedQty],T_StockCount[Part Name],$A48,T_StockCount[WeekIndex],20),IF((('T_SelfStock'!U52&lt;&gt;""))*(('T_TTAFStock'!U52&lt;&gt;""))&gt;0,'T_SelfStock'!U52+'T_TTAFStock'!U52,T48+'Grid_Incoming'!U48-'Grid_Requirement'!U48))</f>
        <v/>
      </c>
      <c r="V48">
        <f>IF(COUNTIFS(T_StockCount[Part Name],$A48,T_StockCount[WeekIndex],21)&gt;0,SUMIFS(T_StockCount[CountedQty],T_StockCount[Part Name],$A48,T_StockCount[WeekIndex],21),IF((('T_SelfStock'!V52&lt;&gt;""))*(('T_TTAFStock'!V52&lt;&gt;""))&gt;0,'T_SelfStock'!V52+'T_TTAFStock'!V52,U48+'Grid_Incoming'!V48-'Grid_Requirement'!V48))</f>
        <v/>
      </c>
      <c r="W48">
        <f>IF(COUNTIFS(T_StockCount[Part Name],$A48,T_StockCount[WeekIndex],22)&gt;0,SUMIFS(T_StockCount[CountedQty],T_StockCount[Part Name],$A48,T_StockCount[WeekIndex],22),IF((('T_SelfStock'!W52&lt;&gt;""))*(('T_TTAFStock'!W52&lt;&gt;""))&gt;0,'T_SelfStock'!W52+'T_TTAFStock'!W52,V48+'Grid_Incoming'!W48-'Grid_Requirement'!W48))</f>
        <v/>
      </c>
      <c r="X48">
        <f>IF(COUNTIFS(T_StockCount[Part Name],$A48,T_StockCount[WeekIndex],23)&gt;0,SUMIFS(T_StockCount[CountedQty],T_StockCount[Part Name],$A48,T_StockCount[WeekIndex],23),IF((('T_SelfStock'!X52&lt;&gt;""))*(('T_TTAFStock'!X52&lt;&gt;""))&gt;0,'T_SelfStock'!X52+'T_TTAFStock'!X52,W48+'Grid_Incoming'!X48-'Grid_Requirement'!X48))</f>
        <v/>
      </c>
      <c r="Y48">
        <f>IF(COUNTIFS(T_StockCount[Part Name],$A48,T_StockCount[WeekIndex],24)&gt;0,SUMIFS(T_StockCount[CountedQty],T_StockCount[Part Name],$A48,T_StockCount[WeekIndex],24),IF((('T_SelfStock'!Y52&lt;&gt;""))*(('T_TTAFStock'!Y52&lt;&gt;""))&gt;0,'T_SelfStock'!Y52+'T_TTAFStock'!Y52,X48+'Grid_Incoming'!Y48-'Grid_Requirement'!Y48))</f>
        <v/>
      </c>
      <c r="Z48">
        <f>IF(COUNTIFS(T_StockCount[Part Name],$A48,T_StockCount[WeekIndex],25)&gt;0,SUMIFS(T_StockCount[CountedQty],T_StockCount[Part Name],$A48,T_StockCount[WeekIndex],25),IF((('T_SelfStock'!Z52&lt;&gt;""))*(('T_TTAFStock'!Z52&lt;&gt;""))&gt;0,'T_SelfStock'!Z52+'T_TTAFStock'!Z52,Y48+'Grid_Incoming'!Z48-'Grid_Requirement'!Z48))</f>
        <v/>
      </c>
      <c r="AA48">
        <f>IF(COUNTIFS(T_StockCount[Part Name],$A48,T_StockCount[WeekIndex],26)&gt;0,SUMIFS(T_StockCount[CountedQty],T_StockCount[Part Name],$A48,T_StockCount[WeekIndex],26),IF((('T_SelfStock'!AA52&lt;&gt;""))*(('T_TTAFStock'!AA52&lt;&gt;""))&gt;0,'T_SelfStock'!AA52+'T_TTAFStock'!AA52,Z48+'Grid_Incoming'!AA48-'Grid_Requirement'!AA48))</f>
        <v/>
      </c>
      <c r="AB48">
        <f>IF(COUNTIFS(T_StockCount[Part Name],$A48,T_StockCount[WeekIndex],27)&gt;0,SUMIFS(T_StockCount[CountedQty],T_StockCount[Part Name],$A48,T_StockCount[WeekIndex],27),IF((('T_SelfStock'!AB52&lt;&gt;""))*(('T_TTAFStock'!AB52&lt;&gt;""))&gt;0,'T_SelfStock'!AB52+'T_TTAFStock'!AB52,AA48+'Grid_Incoming'!AB48-'Grid_Requirement'!AB48))</f>
        <v/>
      </c>
      <c r="AC48">
        <f>IF(COUNTIFS(T_StockCount[Part Name],$A48,T_StockCount[WeekIndex],28)&gt;0,SUMIFS(T_StockCount[CountedQty],T_StockCount[Part Name],$A48,T_StockCount[WeekIndex],28),IF((('T_SelfStock'!AC52&lt;&gt;""))*(('T_TTAFStock'!AC52&lt;&gt;""))&gt;0,'T_SelfStock'!AC52+'T_TTAFStock'!AC52,AB48+'Grid_Incoming'!AC48-'Grid_Requirement'!AC48))</f>
        <v/>
      </c>
      <c r="AD48">
        <f>IF(COUNTIFS(T_StockCount[Part Name],$A48,T_StockCount[WeekIndex],29)&gt;0,SUMIFS(T_StockCount[CountedQty],T_StockCount[Part Name],$A48,T_StockCount[WeekIndex],29),IF((('T_SelfStock'!AD52&lt;&gt;""))*(('T_TTAFStock'!AD52&lt;&gt;""))&gt;0,'T_SelfStock'!AD52+'T_TTAFStock'!AD52,AC48+'Grid_Incoming'!AD48-'Grid_Requirement'!AD48))</f>
        <v/>
      </c>
      <c r="AE48">
        <f>IF(COUNTIFS(T_StockCount[Part Name],$A48,T_StockCount[WeekIndex],30)&gt;0,SUMIFS(T_StockCount[CountedQty],T_StockCount[Part Name],$A48,T_StockCount[WeekIndex],30),IF((('T_SelfStock'!AE52&lt;&gt;""))*(('T_TTAFStock'!AE52&lt;&gt;""))&gt;0,'T_SelfStock'!AE52+'T_TTAFStock'!AE52,AD48+'Grid_Incoming'!AE48-'Grid_Requirement'!AE48))</f>
        <v/>
      </c>
      <c r="AF48">
        <f>IF(COUNTIFS(T_StockCount[Part Name],$A48,T_StockCount[WeekIndex],31)&gt;0,SUMIFS(T_StockCount[CountedQty],T_StockCount[Part Name],$A48,T_StockCount[WeekIndex],31),IF((('T_SelfStock'!AF52&lt;&gt;""))*(('T_TTAFStock'!AF52&lt;&gt;""))&gt;0,'T_SelfStock'!AF52+'T_TTAFStock'!AF52,AE48+'Grid_Incoming'!AF48-'Grid_Requirement'!AF48))</f>
        <v/>
      </c>
      <c r="AG48">
        <f>IF(COUNTIFS(T_StockCount[Part Name],$A48,T_StockCount[WeekIndex],32)&gt;0,SUMIFS(T_StockCount[CountedQty],T_StockCount[Part Name],$A48,T_StockCount[WeekIndex],32),IF((('T_SelfStock'!AG52&lt;&gt;""))*(('T_TTAFStock'!AG52&lt;&gt;""))&gt;0,'T_SelfStock'!AG52+'T_TTAFStock'!AG52,AF48+'Grid_Incoming'!AG48-'Grid_Requirement'!AG48))</f>
        <v/>
      </c>
      <c r="AH48">
        <f>IF(COUNTIFS(T_StockCount[Part Name],$A48,T_StockCount[WeekIndex],33)&gt;0,SUMIFS(T_StockCount[CountedQty],T_StockCount[Part Name],$A48,T_StockCount[WeekIndex],33),IF((('T_SelfStock'!AH52&lt;&gt;""))*(('T_TTAFStock'!AH52&lt;&gt;""))&gt;0,'T_SelfStock'!AH52+'T_TTAFStock'!AH52,AG48+'Grid_Incoming'!AH48-'Grid_Requirement'!AH48))</f>
        <v/>
      </c>
      <c r="AI48">
        <f>IF(COUNTIFS(T_StockCount[Part Name],$A48,T_StockCount[WeekIndex],34)&gt;0,SUMIFS(T_StockCount[CountedQty],T_StockCount[Part Name],$A48,T_StockCount[WeekIndex],34),IF((('T_SelfStock'!AI52&lt;&gt;""))*(('T_TTAFStock'!AI52&lt;&gt;""))&gt;0,'T_SelfStock'!AI52+'T_TTAFStock'!AI52,AH48+'Grid_Incoming'!AI48-'Grid_Requirement'!AI48))</f>
        <v/>
      </c>
      <c r="AJ48">
        <f>IF(COUNTIFS(T_StockCount[Part Name],$A48,T_StockCount[WeekIndex],35)&gt;0,SUMIFS(T_StockCount[CountedQty],T_StockCount[Part Name],$A48,T_StockCount[WeekIndex],35),IF((('T_SelfStock'!AJ52&lt;&gt;""))*(('T_TTAFStock'!AJ52&lt;&gt;""))&gt;0,'T_SelfStock'!AJ52+'T_TTAFStock'!AJ52,AI48+'Grid_Incoming'!AJ48-'Grid_Requirement'!AJ48))</f>
        <v/>
      </c>
      <c r="AK48">
        <f>IF(COUNTIFS(T_StockCount[Part Name],$A48,T_StockCount[WeekIndex],36)&gt;0,SUMIFS(T_StockCount[CountedQty],T_StockCount[Part Name],$A48,T_StockCount[WeekIndex],36),IF((('T_SelfStock'!AK52&lt;&gt;""))*(('T_TTAFStock'!AK52&lt;&gt;""))&gt;0,'T_SelfStock'!AK52+'T_TTAFStock'!AK52,AJ48+'Grid_Incoming'!AK48-'Grid_Requirement'!AK48))</f>
        <v/>
      </c>
      <c r="AL48">
        <f>IF(COUNTIFS(T_StockCount[Part Name],$A48,T_StockCount[WeekIndex],37)&gt;0,SUMIFS(T_StockCount[CountedQty],T_StockCount[Part Name],$A48,T_StockCount[WeekIndex],37),IF((('T_SelfStock'!AL52&lt;&gt;""))*(('T_TTAFStock'!AL52&lt;&gt;""))&gt;0,'T_SelfStock'!AL52+'T_TTAFStock'!AL52,AK48+'Grid_Incoming'!AL48-'Grid_Requirement'!AL48))</f>
        <v/>
      </c>
      <c r="AM48">
        <f>IF(COUNTIFS(T_StockCount[Part Name],$A48,T_StockCount[WeekIndex],38)&gt;0,SUMIFS(T_StockCount[CountedQty],T_StockCount[Part Name],$A48,T_StockCount[WeekIndex],38),IF((('T_SelfStock'!AM52&lt;&gt;""))*(('T_TTAFStock'!AM52&lt;&gt;""))&gt;0,'T_SelfStock'!AM52+'T_TTAFStock'!AM52,AL48+'Grid_Incoming'!AM48-'Grid_Requirement'!AM48))</f>
        <v/>
      </c>
      <c r="AN48">
        <f>IF(COUNTIFS(T_StockCount[Part Name],$A48,T_StockCount[WeekIndex],39)&gt;0,SUMIFS(T_StockCount[CountedQty],T_StockCount[Part Name],$A48,T_StockCount[WeekIndex],39),IF((('T_SelfStock'!AN52&lt;&gt;""))*(('T_TTAFStock'!AN52&lt;&gt;""))&gt;0,'T_SelfStock'!AN52+'T_TTAFStock'!AN52,AM48+'Grid_Incoming'!AN48-'Grid_Requirement'!AN48))</f>
        <v/>
      </c>
      <c r="AO48">
        <f>IF(COUNTIFS(T_StockCount[Part Name],$A48,T_StockCount[WeekIndex],40)&gt;0,SUMIFS(T_StockCount[CountedQty],T_StockCount[Part Name],$A48,T_StockCount[WeekIndex],40),IF((('T_SelfStock'!AO52&lt;&gt;""))*(('T_TTAFStock'!AO52&lt;&gt;""))&gt;0,'T_SelfStock'!AO52+'T_TTAFStock'!AO52,AN48+'Grid_Incoming'!AO48-'Grid_Requirement'!AO48))</f>
        <v/>
      </c>
      <c r="AP48">
        <f>IF(COUNTIFS(T_StockCount[Part Name],$A48,T_StockCount[WeekIndex],41)&gt;0,SUMIFS(T_StockCount[CountedQty],T_StockCount[Part Name],$A48,T_StockCount[WeekIndex],41),IF((('T_SelfStock'!AP52&lt;&gt;""))*(('T_TTAFStock'!AP52&lt;&gt;""))&gt;0,'T_SelfStock'!AP52+'T_TTAFStock'!AP52,AO48+'Grid_Incoming'!AP48-'Grid_Requirement'!AP48))</f>
        <v/>
      </c>
      <c r="AQ48">
        <f>IF(COUNTIFS(T_StockCount[Part Name],$A48,T_StockCount[WeekIndex],42)&gt;0,SUMIFS(T_StockCount[CountedQty],T_StockCount[Part Name],$A48,T_StockCount[WeekIndex],42),IF((('T_SelfStock'!AQ52&lt;&gt;""))*(('T_TTAFStock'!AQ52&lt;&gt;""))&gt;0,'T_SelfStock'!AQ52+'T_TTAFStock'!AQ52,AP48+'Grid_Incoming'!AQ48-'Grid_Requirement'!AQ48))</f>
        <v/>
      </c>
      <c r="AR48">
        <f>IF(COUNTIFS(T_StockCount[Part Name],$A48,T_StockCount[WeekIndex],43)&gt;0,SUMIFS(T_StockCount[CountedQty],T_StockCount[Part Name],$A48,T_StockCount[WeekIndex],43),IF((('T_SelfStock'!AR52&lt;&gt;""))*(('T_TTAFStock'!AR52&lt;&gt;""))&gt;0,'T_SelfStock'!AR52+'T_TTAFStock'!AR52,AQ48+'Grid_Incoming'!AR48-'Grid_Requirement'!AR48))</f>
        <v/>
      </c>
      <c r="AS48">
        <f>IF(COUNTIFS(T_StockCount[Part Name],$A48,T_StockCount[WeekIndex],44)&gt;0,SUMIFS(T_StockCount[CountedQty],T_StockCount[Part Name],$A48,T_StockCount[WeekIndex],44),IF((('T_SelfStock'!AS52&lt;&gt;""))*(('T_TTAFStock'!AS52&lt;&gt;""))&gt;0,'T_SelfStock'!AS52+'T_TTAFStock'!AS52,AR48+'Grid_Incoming'!AS48-'Grid_Requirement'!AS48))</f>
        <v/>
      </c>
      <c r="AT48">
        <f>IF(COUNTIFS(T_StockCount[Part Name],$A48,T_StockCount[WeekIndex],45)&gt;0,SUMIFS(T_StockCount[CountedQty],T_StockCount[Part Name],$A48,T_StockCount[WeekIndex],45),IF((('T_SelfStock'!AT52&lt;&gt;""))*(('T_TTAFStock'!AT52&lt;&gt;""))&gt;0,'T_SelfStock'!AT52+'T_TTAFStock'!AT52,AS48+'Grid_Incoming'!AT48-'Grid_Requirement'!AT48))</f>
        <v/>
      </c>
      <c r="AU48">
        <f>IF(COUNTIFS(T_StockCount[Part Name],$A48,T_StockCount[WeekIndex],46)&gt;0,SUMIFS(T_StockCount[CountedQty],T_StockCount[Part Name],$A48,T_StockCount[WeekIndex],46),IF((('T_SelfStock'!AU52&lt;&gt;""))*(('T_TTAFStock'!AU52&lt;&gt;""))&gt;0,'T_SelfStock'!AU52+'T_TTAFStock'!AU52,AT48+'Grid_Incoming'!AU48-'Grid_Requirement'!AU48))</f>
        <v/>
      </c>
      <c r="AV48">
        <f>IF(COUNTIFS(T_StockCount[Part Name],$A48,T_StockCount[WeekIndex],47)&gt;0,SUMIFS(T_StockCount[CountedQty],T_StockCount[Part Name],$A48,T_StockCount[WeekIndex],47),IF((('T_SelfStock'!AV52&lt;&gt;""))*(('T_TTAFStock'!AV52&lt;&gt;""))&gt;0,'T_SelfStock'!AV52+'T_TTAFStock'!AV52,AU48+'Grid_Incoming'!AV48-'Grid_Requirement'!AV48))</f>
        <v/>
      </c>
      <c r="AW48">
        <f>IF(COUNTIFS(T_StockCount[Part Name],$A48,T_StockCount[WeekIndex],48)&gt;0,SUMIFS(T_StockCount[CountedQty],T_StockCount[Part Name],$A48,T_StockCount[WeekIndex],48),IF((('T_SelfStock'!AW52&lt;&gt;""))*(('T_TTAFStock'!AW52&lt;&gt;""))&gt;0,'T_SelfStock'!AW52+'T_TTAFStock'!AW52,AV48+'Grid_Incoming'!AW48-'Grid_Requirement'!AW48))</f>
        <v/>
      </c>
      <c r="AX48">
        <f>IF(COUNTIFS(T_StockCount[Part Name],$A48,T_StockCount[WeekIndex],49)&gt;0,SUMIFS(T_StockCount[CountedQty],T_StockCount[Part Name],$A48,T_StockCount[WeekIndex],49),IF((('T_SelfStock'!AX52&lt;&gt;""))*(('T_TTAFStock'!AX52&lt;&gt;""))&gt;0,'T_SelfStock'!AX52+'T_TTAFStock'!AX52,AW48+'Grid_Incoming'!AX48-'Grid_Requirement'!AX48))</f>
        <v/>
      </c>
      <c r="AY48">
        <f>IF(COUNTIFS(T_StockCount[Part Name],$A48,T_StockCount[WeekIndex],50)&gt;0,SUMIFS(T_StockCount[CountedQty],T_StockCount[Part Name],$A48,T_StockCount[WeekIndex],50),IF((('T_SelfStock'!AY52&lt;&gt;""))*(('T_TTAFStock'!AY52&lt;&gt;""))&gt;0,'T_SelfStock'!AY52+'T_TTAFStock'!AY52,AX48+'Grid_Incoming'!AY48-'Grid_Requirement'!AY48))</f>
        <v/>
      </c>
      <c r="AZ48">
        <f>IF(COUNTIFS(T_StockCount[Part Name],$A48,T_StockCount[WeekIndex],51)&gt;0,SUMIFS(T_StockCount[CountedQty],T_StockCount[Part Name],$A48,T_StockCount[WeekIndex],51),IF((('T_SelfStock'!AZ52&lt;&gt;""))*(('T_TTAFStock'!AZ52&lt;&gt;""))&gt;0,'T_SelfStock'!AZ52+'T_TTAFStock'!AZ52,AY48+'Grid_Incoming'!AZ48-'Grid_Requirement'!AZ48))</f>
        <v/>
      </c>
      <c r="BA48">
        <f>IF(COUNTIFS(T_StockCount[Part Name],$A48,T_StockCount[WeekIndex],52)&gt;0,SUMIFS(T_StockCount[CountedQty],T_StockCount[Part Name],$A48,T_StockCount[WeekIndex],52),IF((('T_SelfStock'!BA52&lt;&gt;""))*(('T_TTAFStock'!BA52&lt;&gt;""))&gt;0,'T_SelfStock'!BA52+'T_TTAFStock'!BA52,AZ48+'Grid_Incoming'!BA48-'Grid_Requirement'!BA48))</f>
        <v/>
      </c>
      <c r="BB48">
        <f>IF(COUNTIFS(T_StockCount[Part Name],$A48,T_StockCount[WeekIndex],53)&gt;0,SUMIFS(T_StockCount[CountedQty],T_StockCount[Part Name],$A48,T_StockCount[WeekIndex],53),IF((('T_SelfStock'!BB52&lt;&gt;""))*(('T_TTAFStock'!BB52&lt;&gt;""))&gt;0,'T_SelfStock'!BB52+'T_TTAFStock'!BB52,BA48+'Grid_Incoming'!BB48-'Grid_Requirement'!BB48))</f>
        <v/>
      </c>
      <c r="BC48">
        <f>IF(COUNTIFS(T_StockCount[Part Name],$A48,T_StockCount[WeekIndex],54)&gt;0,SUMIFS(T_StockCount[CountedQty],T_StockCount[Part Name],$A48,T_StockCount[WeekIndex],54),IF((('T_SelfStock'!BC52&lt;&gt;""))*(('T_TTAFStock'!BC52&lt;&gt;""))&gt;0,'T_SelfStock'!BC52+'T_TTAFStock'!BC52,BB48+'Grid_Incoming'!BC48-'Grid_Requirement'!BC48))</f>
        <v/>
      </c>
      <c r="BD48">
        <f>IF(COUNTIFS(T_StockCount[Part Name],$A48,T_StockCount[WeekIndex],55)&gt;0,SUMIFS(T_StockCount[CountedQty],T_StockCount[Part Name],$A48,T_StockCount[WeekIndex],55),IF((('T_SelfStock'!BD52&lt;&gt;""))*(('T_TTAFStock'!BD52&lt;&gt;""))&gt;0,'T_SelfStock'!BD52+'T_TTAFStock'!BD52,BC48+'Grid_Incoming'!BD48-'Grid_Requirement'!BD48))</f>
        <v/>
      </c>
      <c r="BE48">
        <f>IF(COUNTIFS(T_StockCount[Part Name],$A48,T_StockCount[WeekIndex],56)&gt;0,SUMIFS(T_StockCount[CountedQty],T_StockCount[Part Name],$A48,T_StockCount[WeekIndex],56),IF((('T_SelfStock'!BE52&lt;&gt;""))*(('T_TTAFStock'!BE52&lt;&gt;""))&gt;0,'T_SelfStock'!BE52+'T_TTAFStock'!BE52,BD48+'Grid_Incoming'!BE48-'Grid_Requirement'!BE48))</f>
        <v/>
      </c>
      <c r="BF48">
        <f>IF(COUNTIFS(T_StockCount[Part Name],$A48,T_StockCount[WeekIndex],57)&gt;0,SUMIFS(T_StockCount[CountedQty],T_StockCount[Part Name],$A48,T_StockCount[WeekIndex],57),IF((('T_SelfStock'!BF52&lt;&gt;""))*(('T_TTAFStock'!BF52&lt;&gt;""))&gt;0,'T_SelfStock'!BF52+'T_TTAFStock'!BF52,BE48+'Grid_Incoming'!BF48-'Grid_Requirement'!BF48))</f>
        <v/>
      </c>
      <c r="BG48">
        <f>IF(COUNTIFS(T_StockCount[Part Name],$A48,T_StockCount[WeekIndex],58)&gt;0,SUMIFS(T_StockCount[CountedQty],T_StockCount[Part Name],$A48,T_StockCount[WeekIndex],58),IF((('T_SelfStock'!BG52&lt;&gt;""))*(('T_TTAFStock'!BG52&lt;&gt;""))&gt;0,'T_SelfStock'!BG52+'T_TTAFStock'!BG52,BF48+'Grid_Incoming'!BG48-'Grid_Requirement'!BG48))</f>
        <v/>
      </c>
      <c r="BH48">
        <f>IF(COUNTIFS(T_StockCount[Part Name],$A48,T_StockCount[WeekIndex],59)&gt;0,SUMIFS(T_StockCount[CountedQty],T_StockCount[Part Name],$A48,T_StockCount[WeekIndex],59),IF((('T_SelfStock'!BH52&lt;&gt;""))*(('T_TTAFStock'!BH52&lt;&gt;""))&gt;0,'T_SelfStock'!BH52+'T_TTAFStock'!BH52,BG48+'Grid_Incoming'!BH48-'Grid_Requirement'!BH48))</f>
        <v/>
      </c>
      <c r="BI48">
        <f>IF(COUNTIFS(T_StockCount[Part Name],$A48,T_StockCount[WeekIndex],60)&gt;0,SUMIFS(T_StockCount[CountedQty],T_StockCount[Part Name],$A48,T_StockCount[WeekIndex],60),IF((('T_SelfStock'!BI52&lt;&gt;""))*(('T_TTAFStock'!BI52&lt;&gt;""))&gt;0,'T_SelfStock'!BI52+'T_TTAFStock'!BI52,BH48+'Grid_Incoming'!BI48-'Grid_Requirement'!BI48))</f>
        <v/>
      </c>
      <c r="BJ48">
        <f>IF(COUNTIFS(T_StockCount[Part Name],$A48,T_StockCount[WeekIndex],61)&gt;0,SUMIFS(T_StockCount[CountedQty],T_StockCount[Part Name],$A48,T_StockCount[WeekIndex],61),IF((('T_SelfStock'!BJ52&lt;&gt;""))*(('T_TTAFStock'!BJ52&lt;&gt;""))&gt;0,'T_SelfStock'!BJ52+'T_TTAFStock'!BJ52,BI48+'Grid_Incoming'!BJ48-'Grid_Requirement'!BJ48))</f>
        <v/>
      </c>
      <c r="BK48">
        <f>IF(COUNTIFS(T_StockCount[Part Name],$A48,T_StockCount[WeekIndex],62)&gt;0,SUMIFS(T_StockCount[CountedQty],T_StockCount[Part Name],$A48,T_StockCount[WeekIndex],62),IF((('T_SelfStock'!BK52&lt;&gt;""))*(('T_TTAFStock'!BK52&lt;&gt;""))&gt;0,'T_SelfStock'!BK52+'T_TTAFStock'!BK52,BJ48+'Grid_Incoming'!BK48-'Grid_Requirement'!BK48))</f>
        <v/>
      </c>
      <c r="BL48">
        <f>IF(COUNTIFS(T_StockCount[Part Name],$A48,T_StockCount[WeekIndex],63)&gt;0,SUMIFS(T_StockCount[CountedQty],T_StockCount[Part Name],$A48,T_StockCount[WeekIndex],63),IF((('T_SelfStock'!BL52&lt;&gt;""))*(('T_TTAFStock'!BL52&lt;&gt;""))&gt;0,'T_SelfStock'!BL52+'T_TTAFStock'!BL52,BK48+'Grid_Incoming'!BL48-'Grid_Requirement'!BL48))</f>
        <v/>
      </c>
      <c r="BM48">
        <f>IF(COUNTIFS(T_StockCount[Part Name],$A48,T_StockCount[WeekIndex],64)&gt;0,SUMIFS(T_StockCount[CountedQty],T_StockCount[Part Name],$A48,T_StockCount[WeekIndex],64),IF((('T_SelfStock'!BM52&lt;&gt;""))*(('T_TTAFStock'!BM52&lt;&gt;""))&gt;0,'T_SelfStock'!BM52+'T_TTAFStock'!BM52,BL48+'Grid_Incoming'!BM48-'Grid_Requirement'!BM48))</f>
        <v/>
      </c>
      <c r="BN48">
        <f>IF(COUNTIFS(T_StockCount[Part Name],$A48,T_StockCount[WeekIndex],65)&gt;0,SUMIFS(T_StockCount[CountedQty],T_StockCount[Part Name],$A48,T_StockCount[WeekIndex],65),IF((('T_SelfStock'!BN52&lt;&gt;""))*(('T_TTAFStock'!BN52&lt;&gt;""))&gt;0,'T_SelfStock'!BN52+'T_TTAFStock'!BN52,BM48+'Grid_Incoming'!BN48-'Grid_Requirement'!BN48))</f>
        <v/>
      </c>
      <c r="BO48">
        <f>IF(COUNTIFS(T_StockCount[Part Name],$A48,T_StockCount[WeekIndex],66)&gt;0,SUMIFS(T_StockCount[CountedQty],T_StockCount[Part Name],$A48,T_StockCount[WeekIndex],66),IF((('T_SelfStock'!BO52&lt;&gt;""))*(('T_TTAFStock'!BO52&lt;&gt;""))&gt;0,'T_SelfStock'!BO52+'T_TTAFStock'!BO52,BN48+'Grid_Incoming'!BO48-'Grid_Requirement'!BO48))</f>
        <v/>
      </c>
      <c r="BP48">
        <f>IF(COUNTIFS(T_StockCount[Part Name],$A48,T_StockCount[WeekIndex],67)&gt;0,SUMIFS(T_StockCount[CountedQty],T_StockCount[Part Name],$A48,T_StockCount[WeekIndex],67),IF((('T_SelfStock'!BP52&lt;&gt;""))*(('T_TTAFStock'!BP52&lt;&gt;""))&gt;0,'T_SelfStock'!BP52+'T_TTAFStock'!BP52,BO48+'Grid_Incoming'!BP48-'Grid_Requirement'!BP48))</f>
        <v/>
      </c>
      <c r="BQ48">
        <f>IF(COUNTIFS(T_StockCount[Part Name],$A48,T_StockCount[WeekIndex],68)&gt;0,SUMIFS(T_StockCount[CountedQty],T_StockCount[Part Name],$A48,T_StockCount[WeekIndex],68),IF((('T_SelfStock'!BQ52&lt;&gt;""))*(('T_TTAFStock'!BQ52&lt;&gt;""))&gt;0,'T_SelfStock'!BQ52+'T_TTAFStock'!BQ52,BP48+'Grid_Incoming'!BQ48-'Grid_Requirement'!BQ48))</f>
        <v/>
      </c>
      <c r="BR48">
        <f>IF(COUNTIFS(T_StockCount[Part Name],$A48,T_StockCount[WeekIndex],69)&gt;0,SUMIFS(T_StockCount[CountedQty],T_StockCount[Part Name],$A48,T_StockCount[WeekIndex],69),IF((('T_SelfStock'!BR52&lt;&gt;""))*(('T_TTAFStock'!BR52&lt;&gt;""))&gt;0,'T_SelfStock'!BR52+'T_TTAFStock'!BR52,BQ48+'Grid_Incoming'!BR48-'Grid_Requirement'!BR48))</f>
        <v/>
      </c>
      <c r="BS48">
        <f>IF(COUNTIFS(T_StockCount[Part Name],$A48,T_StockCount[WeekIndex],70)&gt;0,SUMIFS(T_StockCount[CountedQty],T_StockCount[Part Name],$A48,T_StockCount[WeekIndex],70),IF((('T_SelfStock'!BS52&lt;&gt;""))*(('T_TTAFStock'!BS52&lt;&gt;""))&gt;0,'T_SelfStock'!BS52+'T_TTAFStock'!BS52,BR48+'Grid_Incoming'!BS48-'Grid_Requirement'!BS48))</f>
        <v/>
      </c>
      <c r="BT48">
        <f>IF(COUNTIFS(T_StockCount[Part Name],$A48,T_StockCount[WeekIndex],71)&gt;0,SUMIFS(T_StockCount[CountedQty],T_StockCount[Part Name],$A48,T_StockCount[WeekIndex],71),IF((('T_SelfStock'!BT52&lt;&gt;""))*(('T_TTAFStock'!BT52&lt;&gt;""))&gt;0,'T_SelfStock'!BT52+'T_TTAFStock'!BT52,BS48+'Grid_Incoming'!BT48-'Grid_Requirement'!BT48))</f>
        <v/>
      </c>
      <c r="BU48">
        <f>IF(COUNTIFS(T_StockCount[Part Name],$A48,T_StockCount[WeekIndex],72)&gt;0,SUMIFS(T_StockCount[CountedQty],T_StockCount[Part Name],$A48,T_StockCount[WeekIndex],72),IF((('T_SelfStock'!BU52&lt;&gt;""))*(('T_TTAFStock'!BU52&lt;&gt;""))&gt;0,'T_SelfStock'!BU52+'T_TTAFStock'!BU52,BT48+'Grid_Incoming'!BU48-'Grid_Requirement'!BU48))</f>
        <v/>
      </c>
      <c r="BV48">
        <f>IF(COUNTIFS(T_StockCount[Part Name],$A48,T_StockCount[WeekIndex],73)&gt;0,SUMIFS(T_StockCount[CountedQty],T_StockCount[Part Name],$A48,T_StockCount[WeekIndex],73),IF((('T_SelfStock'!BV52&lt;&gt;""))*(('T_TTAFStock'!BV52&lt;&gt;""))&gt;0,'T_SelfStock'!BV52+'T_TTAFStock'!BV52,BU48+'Grid_Incoming'!BV48-'Grid_Requirement'!BV48))</f>
        <v/>
      </c>
      <c r="BW48">
        <f>IF(COUNTIFS(T_StockCount[Part Name],$A48,T_StockCount[WeekIndex],74)&gt;0,SUMIFS(T_StockCount[CountedQty],T_StockCount[Part Name],$A48,T_StockCount[WeekIndex],74),IF((('T_SelfStock'!BW52&lt;&gt;""))*(('T_TTAFStock'!BW52&lt;&gt;""))&gt;0,'T_SelfStock'!BW52+'T_TTAFStock'!BW52,BV48+'Grid_Incoming'!BW48-'Grid_Requirement'!BW48))</f>
        <v/>
      </c>
      <c r="BX48">
        <f>IF(COUNTIFS(T_StockCount[Part Name],$A48,T_StockCount[WeekIndex],75)&gt;0,SUMIFS(T_StockCount[CountedQty],T_StockCount[Part Name],$A48,T_StockCount[WeekIndex],75),IF((('T_SelfStock'!BX52&lt;&gt;""))*(('T_TTAFStock'!BX52&lt;&gt;""))&gt;0,'T_SelfStock'!BX52+'T_TTAFStock'!BX52,BW48+'Grid_Incoming'!BX48-'Grid_Requirement'!BX48))</f>
        <v/>
      </c>
      <c r="BY48">
        <f>IF(COUNTIFS(T_StockCount[Part Name],$A48,T_StockCount[WeekIndex],76)&gt;0,SUMIFS(T_StockCount[CountedQty],T_StockCount[Part Name],$A48,T_StockCount[WeekIndex],76),IF((('T_SelfStock'!BY52&lt;&gt;""))*(('T_TTAFStock'!BY52&lt;&gt;""))&gt;0,'T_SelfStock'!BY52+'T_TTAFStock'!BY52,BX48+'Grid_Incoming'!BY48-'Grid_Requirement'!BY48))</f>
        <v/>
      </c>
      <c r="BZ48">
        <f>IF(COUNTIFS(T_StockCount[Part Name],$A48,T_StockCount[WeekIndex],77)&gt;0,SUMIFS(T_StockCount[CountedQty],T_StockCount[Part Name],$A48,T_StockCount[WeekIndex],77),IF((('T_SelfStock'!BZ52&lt;&gt;""))*(('T_TTAFStock'!BZ52&lt;&gt;""))&gt;0,'T_SelfStock'!BZ52+'T_TTAFStock'!BZ52,BY48+'Grid_Incoming'!BZ48-'Grid_Requirement'!BZ48))</f>
        <v/>
      </c>
      <c r="CA48">
        <f>IF(COUNTIFS(T_StockCount[Part Name],$A48,T_StockCount[WeekIndex],78)&gt;0,SUMIFS(T_StockCount[CountedQty],T_StockCount[Part Name],$A48,T_StockCount[WeekIndex],78),IF((('T_SelfStock'!CA52&lt;&gt;""))*(('T_TTAFStock'!CA52&lt;&gt;""))&gt;0,'T_SelfStock'!CA52+'T_TTAFStock'!CA52,BZ48+'Grid_Incoming'!CA48-'Grid_Requirement'!CA48))</f>
        <v/>
      </c>
      <c r="CB48">
        <f>IF(COUNTIFS(T_StockCount[Part Name],$A48,T_StockCount[WeekIndex],79)&gt;0,SUMIFS(T_StockCount[CountedQty],T_StockCount[Part Name],$A48,T_StockCount[WeekIndex],79),IF((('T_SelfStock'!CB52&lt;&gt;""))*(('T_TTAFStock'!CB52&lt;&gt;""))&gt;0,'T_SelfStock'!CB52+'T_TTAFStock'!CB52,CA48+'Grid_Incoming'!CB48-'Grid_Requirement'!CB48))</f>
        <v/>
      </c>
      <c r="CC48">
        <f>IF(COUNTIFS(T_StockCount[Part Name],$A48,T_StockCount[WeekIndex],80)&gt;0,SUMIFS(T_StockCount[CountedQty],T_StockCount[Part Name],$A48,T_StockCount[WeekIndex],80),IF((('T_SelfStock'!CC52&lt;&gt;""))*(('T_TTAFStock'!CC52&lt;&gt;""))&gt;0,'T_SelfStock'!CC52+'T_TTAFStock'!CC52,CB48+'Grid_Incoming'!CC48-'Grid_Requirement'!CC48))</f>
        <v/>
      </c>
      <c r="CD48">
        <f>IF(COUNTIFS(T_StockCount[Part Name],$A48,T_StockCount[WeekIndex],81)&gt;0,SUMIFS(T_StockCount[CountedQty],T_StockCount[Part Name],$A48,T_StockCount[WeekIndex],81),IF((('T_SelfStock'!CD52&lt;&gt;""))*(('T_TTAFStock'!CD52&lt;&gt;""))&gt;0,'T_SelfStock'!CD52+'T_TTAFStock'!CD52,CC48+'Grid_Incoming'!CD48-'Grid_Requirement'!CD48))</f>
        <v/>
      </c>
      <c r="CE48">
        <f>IF(COUNTIFS(T_StockCount[Part Name],$A48,T_StockCount[WeekIndex],82)&gt;0,SUMIFS(T_StockCount[CountedQty],T_StockCount[Part Name],$A48,T_StockCount[WeekIndex],82),IF((('T_SelfStock'!CE52&lt;&gt;""))*(('T_TTAFStock'!CE52&lt;&gt;""))&gt;0,'T_SelfStock'!CE52+'T_TTAFStock'!CE52,CD48+'Grid_Incoming'!CE48-'Grid_Requirement'!CE48))</f>
        <v/>
      </c>
      <c r="CF48">
        <f>IF(COUNTIFS(T_StockCount[Part Name],$A48,T_StockCount[WeekIndex],83)&gt;0,SUMIFS(T_StockCount[CountedQty],T_StockCount[Part Name],$A48,T_StockCount[WeekIndex],83),IF((('T_SelfStock'!CF52&lt;&gt;""))*(('T_TTAFStock'!CF52&lt;&gt;""))&gt;0,'T_SelfStock'!CF52+'T_TTAFStock'!CF52,CE48+'Grid_Incoming'!CF48-'Grid_Requirement'!CF48))</f>
        <v/>
      </c>
      <c r="CG48">
        <f>IF(COUNTIFS(T_StockCount[Part Name],$A48,T_StockCount[WeekIndex],84)&gt;0,SUMIFS(T_StockCount[CountedQty],T_StockCount[Part Name],$A48,T_StockCount[WeekIndex],84),IF((('T_SelfStock'!CG52&lt;&gt;""))*(('T_TTAFStock'!CG52&lt;&gt;""))&gt;0,'T_SelfStock'!CG52+'T_TTAFStock'!CG52,CF48+'Grid_Incoming'!CG48-'Grid_Requirement'!CG48))</f>
        <v/>
      </c>
      <c r="CH48">
        <f>IF(COUNTIFS(T_StockCount[Part Name],$A48,T_StockCount[WeekIndex],85)&gt;0,SUMIFS(T_StockCount[CountedQty],T_StockCount[Part Name],$A48,T_StockCount[WeekIndex],85),IF((('T_SelfStock'!CH52&lt;&gt;""))*(('T_TTAFStock'!CH52&lt;&gt;""))&gt;0,'T_SelfStock'!CH52+'T_TTAFStock'!CH52,CG48+'Grid_Incoming'!CH48-'Grid_Requirement'!CH48))</f>
        <v/>
      </c>
      <c r="CI48">
        <f>IF(COUNTIFS(T_StockCount[Part Name],$A48,T_StockCount[WeekIndex],86)&gt;0,SUMIFS(T_StockCount[CountedQty],T_StockCount[Part Name],$A48,T_StockCount[WeekIndex],86),IF((('T_SelfStock'!CI52&lt;&gt;""))*(('T_TTAFStock'!CI52&lt;&gt;""))&gt;0,'T_SelfStock'!CI52+'T_TTAFStock'!CI52,CH48+'Grid_Incoming'!CI48-'Grid_Requirement'!CI48))</f>
        <v/>
      </c>
      <c r="CJ48">
        <f>IF(COUNTIFS(T_StockCount[Part Name],$A48,T_StockCount[WeekIndex],87)&gt;0,SUMIFS(T_StockCount[CountedQty],T_StockCount[Part Name],$A48,T_StockCount[WeekIndex],87),IF((('T_SelfStock'!CJ52&lt;&gt;""))*(('T_TTAFStock'!CJ52&lt;&gt;""))&gt;0,'T_SelfStock'!CJ52+'T_TTAFStock'!CJ52,CI48+'Grid_Incoming'!CJ48-'Grid_Requirement'!CJ48))</f>
        <v/>
      </c>
      <c r="CK48">
        <f>IF(COUNTIFS(T_StockCount[Part Name],$A48,T_StockCount[WeekIndex],88)&gt;0,SUMIFS(T_StockCount[CountedQty],T_StockCount[Part Name],$A48,T_StockCount[WeekIndex],88),IF((('T_SelfStock'!CK52&lt;&gt;""))*(('T_TTAFStock'!CK52&lt;&gt;""))&gt;0,'T_SelfStock'!CK52+'T_TTAFStock'!CK52,CJ48+'Grid_Incoming'!CK48-'Grid_Requirement'!CK48))</f>
        <v/>
      </c>
      <c r="CL48">
        <f>IF(COUNTIFS(T_StockCount[Part Name],$A48,T_StockCount[WeekIndex],89)&gt;0,SUMIFS(T_StockCount[CountedQty],T_StockCount[Part Name],$A48,T_StockCount[WeekIndex],89),IF((('T_SelfStock'!CL52&lt;&gt;""))*(('T_TTAFStock'!CL52&lt;&gt;""))&gt;0,'T_SelfStock'!CL52+'T_TTAFStock'!CL52,CK48+'Grid_Incoming'!CL48-'Grid_Requirement'!CL48))</f>
        <v/>
      </c>
      <c r="CM48">
        <f>IF(COUNTIFS(T_StockCount[Part Name],$A48,T_StockCount[WeekIndex],90)&gt;0,SUMIFS(T_StockCount[CountedQty],T_StockCount[Part Name],$A48,T_StockCount[WeekIndex],90),IF((('T_SelfStock'!CM52&lt;&gt;""))*(('T_TTAFStock'!CM52&lt;&gt;""))&gt;0,'T_SelfStock'!CM52+'T_TTAFStock'!CM52,CL48+'Grid_Incoming'!CM48-'Grid_Requirement'!CM48))</f>
        <v/>
      </c>
      <c r="CN48">
        <f>IF(COUNTIFS(T_StockCount[Part Name],$A48,T_StockCount[WeekIndex],91)&gt;0,SUMIFS(T_StockCount[CountedQty],T_StockCount[Part Name],$A48,T_StockCount[WeekIndex],91),IF((('T_SelfStock'!CN52&lt;&gt;""))*(('T_TTAFStock'!CN52&lt;&gt;""))&gt;0,'T_SelfStock'!CN52+'T_TTAFStock'!CN52,CM48+'Grid_Incoming'!CN48-'Grid_Requirement'!CN48))</f>
        <v/>
      </c>
      <c r="CO48">
        <f>IF(COUNTIFS(T_StockCount[Part Name],$A48,T_StockCount[WeekIndex],92)&gt;0,SUMIFS(T_StockCount[CountedQty],T_StockCount[Part Name],$A48,T_StockCount[WeekIndex],92),IF((('T_SelfStock'!CO52&lt;&gt;""))*(('T_TTAFStock'!CO52&lt;&gt;""))&gt;0,'T_SelfStock'!CO52+'T_TTAFStock'!CO52,CN48+'Grid_Incoming'!CO48-'Grid_Requirement'!CO48))</f>
        <v/>
      </c>
      <c r="CP48">
        <f>IF(COUNTIFS(T_StockCount[Part Name],$A48,T_StockCount[WeekIndex],93)&gt;0,SUMIFS(T_StockCount[CountedQty],T_StockCount[Part Name],$A48,T_StockCount[WeekIndex],93),IF((('T_SelfStock'!CP52&lt;&gt;""))*(('T_TTAFStock'!CP52&lt;&gt;""))&gt;0,'T_SelfStock'!CP52+'T_TTAFStock'!CP52,CO48+'Grid_Incoming'!CP48-'Grid_Requirement'!CP48))</f>
        <v/>
      </c>
      <c r="CQ48">
        <f>IF(COUNTIFS(T_StockCount[Part Name],$A48,T_StockCount[WeekIndex],94)&gt;0,SUMIFS(T_StockCount[CountedQty],T_StockCount[Part Name],$A48,T_StockCount[WeekIndex],94),IF((('T_SelfStock'!CQ52&lt;&gt;""))*(('T_TTAFStock'!CQ52&lt;&gt;""))&gt;0,'T_SelfStock'!CQ52+'T_TTAFStock'!CQ52,CP48+'Grid_Incoming'!CQ48-'Grid_Requirement'!CQ48))</f>
        <v/>
      </c>
      <c r="CR48">
        <f>IF(COUNTIFS(T_StockCount[Part Name],$A48,T_StockCount[WeekIndex],95)&gt;0,SUMIFS(T_StockCount[CountedQty],T_StockCount[Part Name],$A48,T_StockCount[WeekIndex],95),IF((('T_SelfStock'!CR52&lt;&gt;""))*(('T_TTAFStock'!CR52&lt;&gt;""))&gt;0,'T_SelfStock'!CR52+'T_TTAFStock'!CR52,CQ48+'Grid_Incoming'!CR48-'Grid_Requirement'!CR48))</f>
        <v/>
      </c>
      <c r="CS48">
        <f>IF(COUNTIFS(T_StockCount[Part Name],$A48,T_StockCount[WeekIndex],96)&gt;0,SUMIFS(T_StockCount[CountedQty],T_StockCount[Part Name],$A48,T_StockCount[WeekIndex],96),IF((('T_SelfStock'!CS52&lt;&gt;""))*(('T_TTAFStock'!CS52&lt;&gt;""))&gt;0,'T_SelfStock'!CS52+'T_TTAFStock'!CS52,CR48+'Grid_Incoming'!CS48-'Grid_Requirement'!CS48))</f>
        <v/>
      </c>
      <c r="CT48">
        <f>IF(COUNTIFS(T_StockCount[Part Name],$A48,T_StockCount[WeekIndex],97)&gt;0,SUMIFS(T_StockCount[CountedQty],T_StockCount[Part Name],$A48,T_StockCount[WeekIndex],97),IF((('T_SelfStock'!CT52&lt;&gt;""))*(('T_TTAFStock'!CT52&lt;&gt;""))&gt;0,'T_SelfStock'!CT52+'T_TTAFStock'!CT52,CS48+'Grid_Incoming'!CT48-'Grid_Requirement'!CT48))</f>
        <v/>
      </c>
      <c r="CU48">
        <f>IF(COUNTIFS(T_StockCount[Part Name],$A48,T_StockCount[WeekIndex],98)&gt;0,SUMIFS(T_StockCount[CountedQty],T_StockCount[Part Name],$A48,T_StockCount[WeekIndex],98),IF((('T_SelfStock'!CU52&lt;&gt;""))*(('T_TTAFStock'!CU52&lt;&gt;""))&gt;0,'T_SelfStock'!CU52+'T_TTAFStock'!CU52,CT48+'Grid_Incoming'!CU48-'Grid_Requirement'!CU48))</f>
        <v/>
      </c>
      <c r="CV48">
        <f>IF(COUNTIFS(T_StockCount[Part Name],$A48,T_StockCount[WeekIndex],99)&gt;0,SUMIFS(T_StockCount[CountedQty],T_StockCount[Part Name],$A48,T_StockCount[WeekIndex],99),IF((('T_SelfStock'!CV52&lt;&gt;""))*(('T_TTAFStock'!CV52&lt;&gt;""))&gt;0,'T_SelfStock'!CV52+'T_TTAFStock'!CV52,CU48+'Grid_Incoming'!CV48-'Grid_Requirement'!CV48))</f>
        <v/>
      </c>
      <c r="CW48">
        <f>IF(COUNTIFS(T_StockCount[Part Name],$A48,T_StockCount[WeekIndex],100)&gt;0,SUMIFS(T_StockCount[CountedQty],T_StockCount[Part Name],$A48,T_StockCount[WeekIndex],100),IF((('T_SelfStock'!CW52&lt;&gt;""))*(('T_TTAFStock'!CW52&lt;&gt;""))&gt;0,'T_SelfStock'!CW52+'T_TTAFStock'!CW52,CV48+'Grid_Incoming'!CW48-'Grid_Requirement'!CW48))</f>
        <v/>
      </c>
      <c r="CX48">
        <f>IF(COUNTIFS(T_StockCount[Part Name],$A48,T_StockCount[WeekIndex],101)&gt;0,SUMIFS(T_StockCount[CountedQty],T_StockCount[Part Name],$A48,T_StockCount[WeekIndex],101),IF((('T_SelfStock'!CX52&lt;&gt;""))*(('T_TTAFStock'!CX52&lt;&gt;""))&gt;0,'T_SelfStock'!CX52+'T_TTAFStock'!CX52,CW48+'Grid_Incoming'!CX48-'Grid_Requirement'!CX48))</f>
        <v/>
      </c>
      <c r="CY48">
        <f>IF(COUNTIFS(T_StockCount[Part Name],$A48,T_StockCount[WeekIndex],102)&gt;0,SUMIFS(T_StockCount[CountedQty],T_StockCount[Part Name],$A48,T_StockCount[WeekIndex],102),IF((('T_SelfStock'!CY52&lt;&gt;""))*(('T_TTAFStock'!CY52&lt;&gt;""))&gt;0,'T_SelfStock'!CY52+'T_TTAFStock'!CY52,CX48+'Grid_Incoming'!CY48-'Grid_Requirement'!CY48))</f>
        <v/>
      </c>
      <c r="CZ48">
        <f>IF(COUNTIFS(T_StockCount[Part Name],$A48,T_StockCount[WeekIndex],103)&gt;0,SUMIFS(T_StockCount[CountedQty],T_StockCount[Part Name],$A48,T_StockCount[WeekIndex],103),IF((('T_SelfStock'!CZ52&lt;&gt;""))*(('T_TTAFStock'!CZ52&lt;&gt;""))&gt;0,'T_SelfStock'!CZ52+'T_TTAFStock'!CZ52,CY48+'Grid_Incoming'!CZ48-'Grid_Requirement'!CZ48))</f>
        <v/>
      </c>
      <c r="DA48">
        <f>IF(COUNTIFS(T_StockCount[Part Name],$A48,T_StockCount[WeekIndex],104)&gt;0,SUMIFS(T_StockCount[CountedQty],T_StockCount[Part Name],$A48,T_StockCount[WeekIndex],104),IF((('T_SelfStock'!DA52&lt;&gt;""))*(('T_TTAFStock'!DA52&lt;&gt;""))&gt;0,'T_SelfStock'!DA52+'T_TTAFStock'!DA52,CZ48+'Grid_Incoming'!DA48-'Grid_Requirement'!DA48))</f>
        <v/>
      </c>
    </row>
    <row r="49">
      <c r="A49" t="inlineStr">
        <is>
          <t>CHEM-1760</t>
        </is>
      </c>
      <c r="B49">
        <f>IF(COUNTIFS(T_StockCount[Part Name],$A49,T_StockCount[WeekIndex],1)&gt;0,SUMIFS(T_StockCount[CountedQty],T_StockCount[Part Name],$A49,T_StockCount[WeekIndex],1),IF((('T_SelfStock'!B53&lt;&gt;""))*(('T_TTAFStock'!B53&lt;&gt;""))&gt;0,'T_SelfStock'!B53+'T_TTAFStock'!B53,IFERROR(INDEX(T_OpeningStock[Opening_Qty],MATCH($A49,T_OpeningStock[Part Name],0)),0)+'Grid_Incoming'!B49-'Grid_Requirement'!B49))</f>
        <v/>
      </c>
      <c r="C49">
        <f>IF(COUNTIFS(T_StockCount[Part Name],$A49,T_StockCount[WeekIndex],2)&gt;0,SUMIFS(T_StockCount[CountedQty],T_StockCount[Part Name],$A49,T_StockCount[WeekIndex],2),IF((('T_SelfStock'!C53&lt;&gt;""))*(('T_TTAFStock'!C53&lt;&gt;""))&gt;0,'T_SelfStock'!C53+'T_TTAFStock'!C53,B49+'Grid_Incoming'!C49-'Grid_Requirement'!C49))</f>
        <v/>
      </c>
      <c r="D49">
        <f>IF(COUNTIFS(T_StockCount[Part Name],$A49,T_StockCount[WeekIndex],3)&gt;0,SUMIFS(T_StockCount[CountedQty],T_StockCount[Part Name],$A49,T_StockCount[WeekIndex],3),IF((('T_SelfStock'!D53&lt;&gt;""))*(('T_TTAFStock'!D53&lt;&gt;""))&gt;0,'T_SelfStock'!D53+'T_TTAFStock'!D53,C49+'Grid_Incoming'!D49-'Grid_Requirement'!D49))</f>
        <v/>
      </c>
      <c r="E49">
        <f>IF(COUNTIFS(T_StockCount[Part Name],$A49,T_StockCount[WeekIndex],4)&gt;0,SUMIFS(T_StockCount[CountedQty],T_StockCount[Part Name],$A49,T_StockCount[WeekIndex],4),IF((('T_SelfStock'!E53&lt;&gt;""))*(('T_TTAFStock'!E53&lt;&gt;""))&gt;0,'T_SelfStock'!E53+'T_TTAFStock'!E53,D49+'Grid_Incoming'!E49-'Grid_Requirement'!E49))</f>
        <v/>
      </c>
      <c r="F49">
        <f>IF(COUNTIFS(T_StockCount[Part Name],$A49,T_StockCount[WeekIndex],5)&gt;0,SUMIFS(T_StockCount[CountedQty],T_StockCount[Part Name],$A49,T_StockCount[WeekIndex],5),IF((('T_SelfStock'!F53&lt;&gt;""))*(('T_TTAFStock'!F53&lt;&gt;""))&gt;0,'T_SelfStock'!F53+'T_TTAFStock'!F53,E49+'Grid_Incoming'!F49-'Grid_Requirement'!F49))</f>
        <v/>
      </c>
      <c r="G49">
        <f>IF(COUNTIFS(T_StockCount[Part Name],$A49,T_StockCount[WeekIndex],6)&gt;0,SUMIFS(T_StockCount[CountedQty],T_StockCount[Part Name],$A49,T_StockCount[WeekIndex],6),IF((('T_SelfStock'!G53&lt;&gt;""))*(('T_TTAFStock'!G53&lt;&gt;""))&gt;0,'T_SelfStock'!G53+'T_TTAFStock'!G53,F49+'Grid_Incoming'!G49-'Grid_Requirement'!G49))</f>
        <v/>
      </c>
      <c r="H49">
        <f>IF(COUNTIFS(T_StockCount[Part Name],$A49,T_StockCount[WeekIndex],7)&gt;0,SUMIFS(T_StockCount[CountedQty],T_StockCount[Part Name],$A49,T_StockCount[WeekIndex],7),IF((('T_SelfStock'!H53&lt;&gt;""))*(('T_TTAFStock'!H53&lt;&gt;""))&gt;0,'T_SelfStock'!H53+'T_TTAFStock'!H53,G49+'Grid_Incoming'!H49-'Grid_Requirement'!H49))</f>
        <v/>
      </c>
      <c r="I49">
        <f>IF(COUNTIFS(T_StockCount[Part Name],$A49,T_StockCount[WeekIndex],8)&gt;0,SUMIFS(T_StockCount[CountedQty],T_StockCount[Part Name],$A49,T_StockCount[WeekIndex],8),IF((('T_SelfStock'!I53&lt;&gt;""))*(('T_TTAFStock'!I53&lt;&gt;""))&gt;0,'T_SelfStock'!I53+'T_TTAFStock'!I53,H49+'Grid_Incoming'!I49-'Grid_Requirement'!I49))</f>
        <v/>
      </c>
      <c r="J49">
        <f>IF(COUNTIFS(T_StockCount[Part Name],$A49,T_StockCount[WeekIndex],9)&gt;0,SUMIFS(T_StockCount[CountedQty],T_StockCount[Part Name],$A49,T_StockCount[WeekIndex],9),IF((('T_SelfStock'!J53&lt;&gt;""))*(('T_TTAFStock'!J53&lt;&gt;""))&gt;0,'T_SelfStock'!J53+'T_TTAFStock'!J53,I49+'Grid_Incoming'!J49-'Grid_Requirement'!J49))</f>
        <v/>
      </c>
      <c r="K49">
        <f>IF(COUNTIFS(T_StockCount[Part Name],$A49,T_StockCount[WeekIndex],10)&gt;0,SUMIFS(T_StockCount[CountedQty],T_StockCount[Part Name],$A49,T_StockCount[WeekIndex],10),IF((('T_SelfStock'!K53&lt;&gt;""))*(('T_TTAFStock'!K53&lt;&gt;""))&gt;0,'T_SelfStock'!K53+'T_TTAFStock'!K53,J49+'Grid_Incoming'!K49-'Grid_Requirement'!K49))</f>
        <v/>
      </c>
      <c r="L49">
        <f>IF(COUNTIFS(T_StockCount[Part Name],$A49,T_StockCount[WeekIndex],11)&gt;0,SUMIFS(T_StockCount[CountedQty],T_StockCount[Part Name],$A49,T_StockCount[WeekIndex],11),IF((('T_SelfStock'!L53&lt;&gt;""))*(('T_TTAFStock'!L53&lt;&gt;""))&gt;0,'T_SelfStock'!L53+'T_TTAFStock'!L53,K49+'Grid_Incoming'!L49-'Grid_Requirement'!L49))</f>
        <v/>
      </c>
      <c r="M49">
        <f>IF(COUNTIFS(T_StockCount[Part Name],$A49,T_StockCount[WeekIndex],12)&gt;0,SUMIFS(T_StockCount[CountedQty],T_StockCount[Part Name],$A49,T_StockCount[WeekIndex],12),IF((('T_SelfStock'!M53&lt;&gt;""))*(('T_TTAFStock'!M53&lt;&gt;""))&gt;0,'T_SelfStock'!M53+'T_TTAFStock'!M53,L49+'Grid_Incoming'!M49-'Grid_Requirement'!M49))</f>
        <v/>
      </c>
      <c r="N49">
        <f>IF(COUNTIFS(T_StockCount[Part Name],$A49,T_StockCount[WeekIndex],13)&gt;0,SUMIFS(T_StockCount[CountedQty],T_StockCount[Part Name],$A49,T_StockCount[WeekIndex],13),IF((('T_SelfStock'!N53&lt;&gt;""))*(('T_TTAFStock'!N53&lt;&gt;""))&gt;0,'T_SelfStock'!N53+'T_TTAFStock'!N53,M49+'Grid_Incoming'!N49-'Grid_Requirement'!N49))</f>
        <v/>
      </c>
      <c r="O49">
        <f>IF(COUNTIFS(T_StockCount[Part Name],$A49,T_StockCount[WeekIndex],14)&gt;0,SUMIFS(T_StockCount[CountedQty],T_StockCount[Part Name],$A49,T_StockCount[WeekIndex],14),IF((('T_SelfStock'!O53&lt;&gt;""))*(('T_TTAFStock'!O53&lt;&gt;""))&gt;0,'T_SelfStock'!O53+'T_TTAFStock'!O53,N49+'Grid_Incoming'!O49-'Grid_Requirement'!O49))</f>
        <v/>
      </c>
      <c r="P49">
        <f>IF(COUNTIFS(T_StockCount[Part Name],$A49,T_StockCount[WeekIndex],15)&gt;0,SUMIFS(T_StockCount[CountedQty],T_StockCount[Part Name],$A49,T_StockCount[WeekIndex],15),IF((('T_SelfStock'!P53&lt;&gt;""))*(('T_TTAFStock'!P53&lt;&gt;""))&gt;0,'T_SelfStock'!P53+'T_TTAFStock'!P53,O49+'Grid_Incoming'!P49-'Grid_Requirement'!P49))</f>
        <v/>
      </c>
      <c r="Q49">
        <f>IF(COUNTIFS(T_StockCount[Part Name],$A49,T_StockCount[WeekIndex],16)&gt;0,SUMIFS(T_StockCount[CountedQty],T_StockCount[Part Name],$A49,T_StockCount[WeekIndex],16),IF((('T_SelfStock'!Q53&lt;&gt;""))*(('T_TTAFStock'!Q53&lt;&gt;""))&gt;0,'T_SelfStock'!Q53+'T_TTAFStock'!Q53,P49+'Grid_Incoming'!Q49-'Grid_Requirement'!Q49))</f>
        <v/>
      </c>
      <c r="R49">
        <f>IF(COUNTIFS(T_StockCount[Part Name],$A49,T_StockCount[WeekIndex],17)&gt;0,SUMIFS(T_StockCount[CountedQty],T_StockCount[Part Name],$A49,T_StockCount[WeekIndex],17),IF((('T_SelfStock'!R53&lt;&gt;""))*(('T_TTAFStock'!R53&lt;&gt;""))&gt;0,'T_SelfStock'!R53+'T_TTAFStock'!R53,Q49+'Grid_Incoming'!R49-'Grid_Requirement'!R49))</f>
        <v/>
      </c>
      <c r="S49">
        <f>IF(COUNTIFS(T_StockCount[Part Name],$A49,T_StockCount[WeekIndex],18)&gt;0,SUMIFS(T_StockCount[CountedQty],T_StockCount[Part Name],$A49,T_StockCount[WeekIndex],18),IF((('T_SelfStock'!S53&lt;&gt;""))*(('T_TTAFStock'!S53&lt;&gt;""))&gt;0,'T_SelfStock'!S53+'T_TTAFStock'!S53,R49+'Grid_Incoming'!S49-'Grid_Requirement'!S49))</f>
        <v/>
      </c>
      <c r="T49">
        <f>IF(COUNTIFS(T_StockCount[Part Name],$A49,T_StockCount[WeekIndex],19)&gt;0,SUMIFS(T_StockCount[CountedQty],T_StockCount[Part Name],$A49,T_StockCount[WeekIndex],19),IF((('T_SelfStock'!T53&lt;&gt;""))*(('T_TTAFStock'!T53&lt;&gt;""))&gt;0,'T_SelfStock'!T53+'T_TTAFStock'!T53,S49+'Grid_Incoming'!T49-'Grid_Requirement'!T49))</f>
        <v/>
      </c>
      <c r="U49">
        <f>IF(COUNTIFS(T_StockCount[Part Name],$A49,T_StockCount[WeekIndex],20)&gt;0,SUMIFS(T_StockCount[CountedQty],T_StockCount[Part Name],$A49,T_StockCount[WeekIndex],20),IF((('T_SelfStock'!U53&lt;&gt;""))*(('T_TTAFStock'!U53&lt;&gt;""))&gt;0,'T_SelfStock'!U53+'T_TTAFStock'!U53,T49+'Grid_Incoming'!U49-'Grid_Requirement'!U49))</f>
        <v/>
      </c>
      <c r="V49">
        <f>IF(COUNTIFS(T_StockCount[Part Name],$A49,T_StockCount[WeekIndex],21)&gt;0,SUMIFS(T_StockCount[CountedQty],T_StockCount[Part Name],$A49,T_StockCount[WeekIndex],21),IF((('T_SelfStock'!V53&lt;&gt;""))*(('T_TTAFStock'!V53&lt;&gt;""))&gt;0,'T_SelfStock'!V53+'T_TTAFStock'!V53,U49+'Grid_Incoming'!V49-'Grid_Requirement'!V49))</f>
        <v/>
      </c>
      <c r="W49">
        <f>IF(COUNTIFS(T_StockCount[Part Name],$A49,T_StockCount[WeekIndex],22)&gt;0,SUMIFS(T_StockCount[CountedQty],T_StockCount[Part Name],$A49,T_StockCount[WeekIndex],22),IF((('T_SelfStock'!W53&lt;&gt;""))*(('T_TTAFStock'!W53&lt;&gt;""))&gt;0,'T_SelfStock'!W53+'T_TTAFStock'!W53,V49+'Grid_Incoming'!W49-'Grid_Requirement'!W49))</f>
        <v/>
      </c>
      <c r="X49">
        <f>IF(COUNTIFS(T_StockCount[Part Name],$A49,T_StockCount[WeekIndex],23)&gt;0,SUMIFS(T_StockCount[CountedQty],T_StockCount[Part Name],$A49,T_StockCount[WeekIndex],23),IF((('T_SelfStock'!X53&lt;&gt;""))*(('T_TTAFStock'!X53&lt;&gt;""))&gt;0,'T_SelfStock'!X53+'T_TTAFStock'!X53,W49+'Grid_Incoming'!X49-'Grid_Requirement'!X49))</f>
        <v/>
      </c>
      <c r="Y49">
        <f>IF(COUNTIFS(T_StockCount[Part Name],$A49,T_StockCount[WeekIndex],24)&gt;0,SUMIFS(T_StockCount[CountedQty],T_StockCount[Part Name],$A49,T_StockCount[WeekIndex],24),IF((('T_SelfStock'!Y53&lt;&gt;""))*(('T_TTAFStock'!Y53&lt;&gt;""))&gt;0,'T_SelfStock'!Y53+'T_TTAFStock'!Y53,X49+'Grid_Incoming'!Y49-'Grid_Requirement'!Y49))</f>
        <v/>
      </c>
      <c r="Z49">
        <f>IF(COUNTIFS(T_StockCount[Part Name],$A49,T_StockCount[WeekIndex],25)&gt;0,SUMIFS(T_StockCount[CountedQty],T_StockCount[Part Name],$A49,T_StockCount[WeekIndex],25),IF((('T_SelfStock'!Z53&lt;&gt;""))*(('T_TTAFStock'!Z53&lt;&gt;""))&gt;0,'T_SelfStock'!Z53+'T_TTAFStock'!Z53,Y49+'Grid_Incoming'!Z49-'Grid_Requirement'!Z49))</f>
        <v/>
      </c>
      <c r="AA49">
        <f>IF(COUNTIFS(T_StockCount[Part Name],$A49,T_StockCount[WeekIndex],26)&gt;0,SUMIFS(T_StockCount[CountedQty],T_StockCount[Part Name],$A49,T_StockCount[WeekIndex],26),IF((('T_SelfStock'!AA53&lt;&gt;""))*(('T_TTAFStock'!AA53&lt;&gt;""))&gt;0,'T_SelfStock'!AA53+'T_TTAFStock'!AA53,Z49+'Grid_Incoming'!AA49-'Grid_Requirement'!AA49))</f>
        <v/>
      </c>
      <c r="AB49">
        <f>IF(COUNTIFS(T_StockCount[Part Name],$A49,T_StockCount[WeekIndex],27)&gt;0,SUMIFS(T_StockCount[CountedQty],T_StockCount[Part Name],$A49,T_StockCount[WeekIndex],27),IF((('T_SelfStock'!AB53&lt;&gt;""))*(('T_TTAFStock'!AB53&lt;&gt;""))&gt;0,'T_SelfStock'!AB53+'T_TTAFStock'!AB53,AA49+'Grid_Incoming'!AB49-'Grid_Requirement'!AB49))</f>
        <v/>
      </c>
      <c r="AC49">
        <f>IF(COUNTIFS(T_StockCount[Part Name],$A49,T_StockCount[WeekIndex],28)&gt;0,SUMIFS(T_StockCount[CountedQty],T_StockCount[Part Name],$A49,T_StockCount[WeekIndex],28),IF((('T_SelfStock'!AC53&lt;&gt;""))*(('T_TTAFStock'!AC53&lt;&gt;""))&gt;0,'T_SelfStock'!AC53+'T_TTAFStock'!AC53,AB49+'Grid_Incoming'!AC49-'Grid_Requirement'!AC49))</f>
        <v/>
      </c>
      <c r="AD49">
        <f>IF(COUNTIFS(T_StockCount[Part Name],$A49,T_StockCount[WeekIndex],29)&gt;0,SUMIFS(T_StockCount[CountedQty],T_StockCount[Part Name],$A49,T_StockCount[WeekIndex],29),IF((('T_SelfStock'!AD53&lt;&gt;""))*(('T_TTAFStock'!AD53&lt;&gt;""))&gt;0,'T_SelfStock'!AD53+'T_TTAFStock'!AD53,AC49+'Grid_Incoming'!AD49-'Grid_Requirement'!AD49))</f>
        <v/>
      </c>
      <c r="AE49">
        <f>IF(COUNTIFS(T_StockCount[Part Name],$A49,T_StockCount[WeekIndex],30)&gt;0,SUMIFS(T_StockCount[CountedQty],T_StockCount[Part Name],$A49,T_StockCount[WeekIndex],30),IF((('T_SelfStock'!AE53&lt;&gt;""))*(('T_TTAFStock'!AE53&lt;&gt;""))&gt;0,'T_SelfStock'!AE53+'T_TTAFStock'!AE53,AD49+'Grid_Incoming'!AE49-'Grid_Requirement'!AE49))</f>
        <v/>
      </c>
      <c r="AF49">
        <f>IF(COUNTIFS(T_StockCount[Part Name],$A49,T_StockCount[WeekIndex],31)&gt;0,SUMIFS(T_StockCount[CountedQty],T_StockCount[Part Name],$A49,T_StockCount[WeekIndex],31),IF((('T_SelfStock'!AF53&lt;&gt;""))*(('T_TTAFStock'!AF53&lt;&gt;""))&gt;0,'T_SelfStock'!AF53+'T_TTAFStock'!AF53,AE49+'Grid_Incoming'!AF49-'Grid_Requirement'!AF49))</f>
        <v/>
      </c>
      <c r="AG49">
        <f>IF(COUNTIFS(T_StockCount[Part Name],$A49,T_StockCount[WeekIndex],32)&gt;0,SUMIFS(T_StockCount[CountedQty],T_StockCount[Part Name],$A49,T_StockCount[WeekIndex],32),IF((('T_SelfStock'!AG53&lt;&gt;""))*(('T_TTAFStock'!AG53&lt;&gt;""))&gt;0,'T_SelfStock'!AG53+'T_TTAFStock'!AG53,AF49+'Grid_Incoming'!AG49-'Grid_Requirement'!AG49))</f>
        <v/>
      </c>
      <c r="AH49">
        <f>IF(COUNTIFS(T_StockCount[Part Name],$A49,T_StockCount[WeekIndex],33)&gt;0,SUMIFS(T_StockCount[CountedQty],T_StockCount[Part Name],$A49,T_StockCount[WeekIndex],33),IF((('T_SelfStock'!AH53&lt;&gt;""))*(('T_TTAFStock'!AH53&lt;&gt;""))&gt;0,'T_SelfStock'!AH53+'T_TTAFStock'!AH53,AG49+'Grid_Incoming'!AH49-'Grid_Requirement'!AH49))</f>
        <v/>
      </c>
      <c r="AI49">
        <f>IF(COUNTIFS(T_StockCount[Part Name],$A49,T_StockCount[WeekIndex],34)&gt;0,SUMIFS(T_StockCount[CountedQty],T_StockCount[Part Name],$A49,T_StockCount[WeekIndex],34),IF((('T_SelfStock'!AI53&lt;&gt;""))*(('T_TTAFStock'!AI53&lt;&gt;""))&gt;0,'T_SelfStock'!AI53+'T_TTAFStock'!AI53,AH49+'Grid_Incoming'!AI49-'Grid_Requirement'!AI49))</f>
        <v/>
      </c>
      <c r="AJ49">
        <f>IF(COUNTIFS(T_StockCount[Part Name],$A49,T_StockCount[WeekIndex],35)&gt;0,SUMIFS(T_StockCount[CountedQty],T_StockCount[Part Name],$A49,T_StockCount[WeekIndex],35),IF((('T_SelfStock'!AJ53&lt;&gt;""))*(('T_TTAFStock'!AJ53&lt;&gt;""))&gt;0,'T_SelfStock'!AJ53+'T_TTAFStock'!AJ53,AI49+'Grid_Incoming'!AJ49-'Grid_Requirement'!AJ49))</f>
        <v/>
      </c>
      <c r="AK49">
        <f>IF(COUNTIFS(T_StockCount[Part Name],$A49,T_StockCount[WeekIndex],36)&gt;0,SUMIFS(T_StockCount[CountedQty],T_StockCount[Part Name],$A49,T_StockCount[WeekIndex],36),IF((('T_SelfStock'!AK53&lt;&gt;""))*(('T_TTAFStock'!AK53&lt;&gt;""))&gt;0,'T_SelfStock'!AK53+'T_TTAFStock'!AK53,AJ49+'Grid_Incoming'!AK49-'Grid_Requirement'!AK49))</f>
        <v/>
      </c>
      <c r="AL49">
        <f>IF(COUNTIFS(T_StockCount[Part Name],$A49,T_StockCount[WeekIndex],37)&gt;0,SUMIFS(T_StockCount[CountedQty],T_StockCount[Part Name],$A49,T_StockCount[WeekIndex],37),IF((('T_SelfStock'!AL53&lt;&gt;""))*(('T_TTAFStock'!AL53&lt;&gt;""))&gt;0,'T_SelfStock'!AL53+'T_TTAFStock'!AL53,AK49+'Grid_Incoming'!AL49-'Grid_Requirement'!AL49))</f>
        <v/>
      </c>
      <c r="AM49">
        <f>IF(COUNTIFS(T_StockCount[Part Name],$A49,T_StockCount[WeekIndex],38)&gt;0,SUMIFS(T_StockCount[CountedQty],T_StockCount[Part Name],$A49,T_StockCount[WeekIndex],38),IF((('T_SelfStock'!AM53&lt;&gt;""))*(('T_TTAFStock'!AM53&lt;&gt;""))&gt;0,'T_SelfStock'!AM53+'T_TTAFStock'!AM53,AL49+'Grid_Incoming'!AM49-'Grid_Requirement'!AM49))</f>
        <v/>
      </c>
      <c r="AN49">
        <f>IF(COUNTIFS(T_StockCount[Part Name],$A49,T_StockCount[WeekIndex],39)&gt;0,SUMIFS(T_StockCount[CountedQty],T_StockCount[Part Name],$A49,T_StockCount[WeekIndex],39),IF((('T_SelfStock'!AN53&lt;&gt;""))*(('T_TTAFStock'!AN53&lt;&gt;""))&gt;0,'T_SelfStock'!AN53+'T_TTAFStock'!AN53,AM49+'Grid_Incoming'!AN49-'Grid_Requirement'!AN49))</f>
        <v/>
      </c>
      <c r="AO49">
        <f>IF(COUNTIFS(T_StockCount[Part Name],$A49,T_StockCount[WeekIndex],40)&gt;0,SUMIFS(T_StockCount[CountedQty],T_StockCount[Part Name],$A49,T_StockCount[WeekIndex],40),IF((('T_SelfStock'!AO53&lt;&gt;""))*(('T_TTAFStock'!AO53&lt;&gt;""))&gt;0,'T_SelfStock'!AO53+'T_TTAFStock'!AO53,AN49+'Grid_Incoming'!AO49-'Grid_Requirement'!AO49))</f>
        <v/>
      </c>
      <c r="AP49">
        <f>IF(COUNTIFS(T_StockCount[Part Name],$A49,T_StockCount[WeekIndex],41)&gt;0,SUMIFS(T_StockCount[CountedQty],T_StockCount[Part Name],$A49,T_StockCount[WeekIndex],41),IF((('T_SelfStock'!AP53&lt;&gt;""))*(('T_TTAFStock'!AP53&lt;&gt;""))&gt;0,'T_SelfStock'!AP53+'T_TTAFStock'!AP53,AO49+'Grid_Incoming'!AP49-'Grid_Requirement'!AP49))</f>
        <v/>
      </c>
      <c r="AQ49">
        <f>IF(COUNTIFS(T_StockCount[Part Name],$A49,T_StockCount[WeekIndex],42)&gt;0,SUMIFS(T_StockCount[CountedQty],T_StockCount[Part Name],$A49,T_StockCount[WeekIndex],42),IF((('T_SelfStock'!AQ53&lt;&gt;""))*(('T_TTAFStock'!AQ53&lt;&gt;""))&gt;0,'T_SelfStock'!AQ53+'T_TTAFStock'!AQ53,AP49+'Grid_Incoming'!AQ49-'Grid_Requirement'!AQ49))</f>
        <v/>
      </c>
      <c r="AR49">
        <f>IF(COUNTIFS(T_StockCount[Part Name],$A49,T_StockCount[WeekIndex],43)&gt;0,SUMIFS(T_StockCount[CountedQty],T_StockCount[Part Name],$A49,T_StockCount[WeekIndex],43),IF((('T_SelfStock'!AR53&lt;&gt;""))*(('T_TTAFStock'!AR53&lt;&gt;""))&gt;0,'T_SelfStock'!AR53+'T_TTAFStock'!AR53,AQ49+'Grid_Incoming'!AR49-'Grid_Requirement'!AR49))</f>
        <v/>
      </c>
      <c r="AS49">
        <f>IF(COUNTIFS(T_StockCount[Part Name],$A49,T_StockCount[WeekIndex],44)&gt;0,SUMIFS(T_StockCount[CountedQty],T_StockCount[Part Name],$A49,T_StockCount[WeekIndex],44),IF((('T_SelfStock'!AS53&lt;&gt;""))*(('T_TTAFStock'!AS53&lt;&gt;""))&gt;0,'T_SelfStock'!AS53+'T_TTAFStock'!AS53,AR49+'Grid_Incoming'!AS49-'Grid_Requirement'!AS49))</f>
        <v/>
      </c>
      <c r="AT49">
        <f>IF(COUNTIFS(T_StockCount[Part Name],$A49,T_StockCount[WeekIndex],45)&gt;0,SUMIFS(T_StockCount[CountedQty],T_StockCount[Part Name],$A49,T_StockCount[WeekIndex],45),IF((('T_SelfStock'!AT53&lt;&gt;""))*(('T_TTAFStock'!AT53&lt;&gt;""))&gt;0,'T_SelfStock'!AT53+'T_TTAFStock'!AT53,AS49+'Grid_Incoming'!AT49-'Grid_Requirement'!AT49))</f>
        <v/>
      </c>
      <c r="AU49">
        <f>IF(COUNTIFS(T_StockCount[Part Name],$A49,T_StockCount[WeekIndex],46)&gt;0,SUMIFS(T_StockCount[CountedQty],T_StockCount[Part Name],$A49,T_StockCount[WeekIndex],46),IF((('T_SelfStock'!AU53&lt;&gt;""))*(('T_TTAFStock'!AU53&lt;&gt;""))&gt;0,'T_SelfStock'!AU53+'T_TTAFStock'!AU53,AT49+'Grid_Incoming'!AU49-'Grid_Requirement'!AU49))</f>
        <v/>
      </c>
      <c r="AV49">
        <f>IF(COUNTIFS(T_StockCount[Part Name],$A49,T_StockCount[WeekIndex],47)&gt;0,SUMIFS(T_StockCount[CountedQty],T_StockCount[Part Name],$A49,T_StockCount[WeekIndex],47),IF((('T_SelfStock'!AV53&lt;&gt;""))*(('T_TTAFStock'!AV53&lt;&gt;""))&gt;0,'T_SelfStock'!AV53+'T_TTAFStock'!AV53,AU49+'Grid_Incoming'!AV49-'Grid_Requirement'!AV49))</f>
        <v/>
      </c>
      <c r="AW49">
        <f>IF(COUNTIFS(T_StockCount[Part Name],$A49,T_StockCount[WeekIndex],48)&gt;0,SUMIFS(T_StockCount[CountedQty],T_StockCount[Part Name],$A49,T_StockCount[WeekIndex],48),IF((('T_SelfStock'!AW53&lt;&gt;""))*(('T_TTAFStock'!AW53&lt;&gt;""))&gt;0,'T_SelfStock'!AW53+'T_TTAFStock'!AW53,AV49+'Grid_Incoming'!AW49-'Grid_Requirement'!AW49))</f>
        <v/>
      </c>
      <c r="AX49">
        <f>IF(COUNTIFS(T_StockCount[Part Name],$A49,T_StockCount[WeekIndex],49)&gt;0,SUMIFS(T_StockCount[CountedQty],T_StockCount[Part Name],$A49,T_StockCount[WeekIndex],49),IF((('T_SelfStock'!AX53&lt;&gt;""))*(('T_TTAFStock'!AX53&lt;&gt;""))&gt;0,'T_SelfStock'!AX53+'T_TTAFStock'!AX53,AW49+'Grid_Incoming'!AX49-'Grid_Requirement'!AX49))</f>
        <v/>
      </c>
      <c r="AY49">
        <f>IF(COUNTIFS(T_StockCount[Part Name],$A49,T_StockCount[WeekIndex],50)&gt;0,SUMIFS(T_StockCount[CountedQty],T_StockCount[Part Name],$A49,T_StockCount[WeekIndex],50),IF((('T_SelfStock'!AY53&lt;&gt;""))*(('T_TTAFStock'!AY53&lt;&gt;""))&gt;0,'T_SelfStock'!AY53+'T_TTAFStock'!AY53,AX49+'Grid_Incoming'!AY49-'Grid_Requirement'!AY49))</f>
        <v/>
      </c>
      <c r="AZ49">
        <f>IF(COUNTIFS(T_StockCount[Part Name],$A49,T_StockCount[WeekIndex],51)&gt;0,SUMIFS(T_StockCount[CountedQty],T_StockCount[Part Name],$A49,T_StockCount[WeekIndex],51),IF((('T_SelfStock'!AZ53&lt;&gt;""))*(('T_TTAFStock'!AZ53&lt;&gt;""))&gt;0,'T_SelfStock'!AZ53+'T_TTAFStock'!AZ53,AY49+'Grid_Incoming'!AZ49-'Grid_Requirement'!AZ49))</f>
        <v/>
      </c>
      <c r="BA49">
        <f>IF(COUNTIFS(T_StockCount[Part Name],$A49,T_StockCount[WeekIndex],52)&gt;0,SUMIFS(T_StockCount[CountedQty],T_StockCount[Part Name],$A49,T_StockCount[WeekIndex],52),IF((('T_SelfStock'!BA53&lt;&gt;""))*(('T_TTAFStock'!BA53&lt;&gt;""))&gt;0,'T_SelfStock'!BA53+'T_TTAFStock'!BA53,AZ49+'Grid_Incoming'!BA49-'Grid_Requirement'!BA49))</f>
        <v/>
      </c>
      <c r="BB49">
        <f>IF(COUNTIFS(T_StockCount[Part Name],$A49,T_StockCount[WeekIndex],53)&gt;0,SUMIFS(T_StockCount[CountedQty],T_StockCount[Part Name],$A49,T_StockCount[WeekIndex],53),IF((('T_SelfStock'!BB53&lt;&gt;""))*(('T_TTAFStock'!BB53&lt;&gt;""))&gt;0,'T_SelfStock'!BB53+'T_TTAFStock'!BB53,BA49+'Grid_Incoming'!BB49-'Grid_Requirement'!BB49))</f>
        <v/>
      </c>
      <c r="BC49">
        <f>IF(COUNTIFS(T_StockCount[Part Name],$A49,T_StockCount[WeekIndex],54)&gt;0,SUMIFS(T_StockCount[CountedQty],T_StockCount[Part Name],$A49,T_StockCount[WeekIndex],54),IF((('T_SelfStock'!BC53&lt;&gt;""))*(('T_TTAFStock'!BC53&lt;&gt;""))&gt;0,'T_SelfStock'!BC53+'T_TTAFStock'!BC53,BB49+'Grid_Incoming'!BC49-'Grid_Requirement'!BC49))</f>
        <v/>
      </c>
      <c r="BD49">
        <f>IF(COUNTIFS(T_StockCount[Part Name],$A49,T_StockCount[WeekIndex],55)&gt;0,SUMIFS(T_StockCount[CountedQty],T_StockCount[Part Name],$A49,T_StockCount[WeekIndex],55),IF((('T_SelfStock'!BD53&lt;&gt;""))*(('T_TTAFStock'!BD53&lt;&gt;""))&gt;0,'T_SelfStock'!BD53+'T_TTAFStock'!BD53,BC49+'Grid_Incoming'!BD49-'Grid_Requirement'!BD49))</f>
        <v/>
      </c>
      <c r="BE49">
        <f>IF(COUNTIFS(T_StockCount[Part Name],$A49,T_StockCount[WeekIndex],56)&gt;0,SUMIFS(T_StockCount[CountedQty],T_StockCount[Part Name],$A49,T_StockCount[WeekIndex],56),IF((('T_SelfStock'!BE53&lt;&gt;""))*(('T_TTAFStock'!BE53&lt;&gt;""))&gt;0,'T_SelfStock'!BE53+'T_TTAFStock'!BE53,BD49+'Grid_Incoming'!BE49-'Grid_Requirement'!BE49))</f>
        <v/>
      </c>
      <c r="BF49">
        <f>IF(COUNTIFS(T_StockCount[Part Name],$A49,T_StockCount[WeekIndex],57)&gt;0,SUMIFS(T_StockCount[CountedQty],T_StockCount[Part Name],$A49,T_StockCount[WeekIndex],57),IF((('T_SelfStock'!BF53&lt;&gt;""))*(('T_TTAFStock'!BF53&lt;&gt;""))&gt;0,'T_SelfStock'!BF53+'T_TTAFStock'!BF53,BE49+'Grid_Incoming'!BF49-'Grid_Requirement'!BF49))</f>
        <v/>
      </c>
      <c r="BG49">
        <f>IF(COUNTIFS(T_StockCount[Part Name],$A49,T_StockCount[WeekIndex],58)&gt;0,SUMIFS(T_StockCount[CountedQty],T_StockCount[Part Name],$A49,T_StockCount[WeekIndex],58),IF((('T_SelfStock'!BG53&lt;&gt;""))*(('T_TTAFStock'!BG53&lt;&gt;""))&gt;0,'T_SelfStock'!BG53+'T_TTAFStock'!BG53,BF49+'Grid_Incoming'!BG49-'Grid_Requirement'!BG49))</f>
        <v/>
      </c>
      <c r="BH49">
        <f>IF(COUNTIFS(T_StockCount[Part Name],$A49,T_StockCount[WeekIndex],59)&gt;0,SUMIFS(T_StockCount[CountedQty],T_StockCount[Part Name],$A49,T_StockCount[WeekIndex],59),IF((('T_SelfStock'!BH53&lt;&gt;""))*(('T_TTAFStock'!BH53&lt;&gt;""))&gt;0,'T_SelfStock'!BH53+'T_TTAFStock'!BH53,BG49+'Grid_Incoming'!BH49-'Grid_Requirement'!BH49))</f>
        <v/>
      </c>
      <c r="BI49">
        <f>IF(COUNTIFS(T_StockCount[Part Name],$A49,T_StockCount[WeekIndex],60)&gt;0,SUMIFS(T_StockCount[CountedQty],T_StockCount[Part Name],$A49,T_StockCount[WeekIndex],60),IF((('T_SelfStock'!BI53&lt;&gt;""))*(('T_TTAFStock'!BI53&lt;&gt;""))&gt;0,'T_SelfStock'!BI53+'T_TTAFStock'!BI53,BH49+'Grid_Incoming'!BI49-'Grid_Requirement'!BI49))</f>
        <v/>
      </c>
      <c r="BJ49">
        <f>IF(COUNTIFS(T_StockCount[Part Name],$A49,T_StockCount[WeekIndex],61)&gt;0,SUMIFS(T_StockCount[CountedQty],T_StockCount[Part Name],$A49,T_StockCount[WeekIndex],61),IF((('T_SelfStock'!BJ53&lt;&gt;""))*(('T_TTAFStock'!BJ53&lt;&gt;""))&gt;0,'T_SelfStock'!BJ53+'T_TTAFStock'!BJ53,BI49+'Grid_Incoming'!BJ49-'Grid_Requirement'!BJ49))</f>
        <v/>
      </c>
      <c r="BK49">
        <f>IF(COUNTIFS(T_StockCount[Part Name],$A49,T_StockCount[WeekIndex],62)&gt;0,SUMIFS(T_StockCount[CountedQty],T_StockCount[Part Name],$A49,T_StockCount[WeekIndex],62),IF((('T_SelfStock'!BK53&lt;&gt;""))*(('T_TTAFStock'!BK53&lt;&gt;""))&gt;0,'T_SelfStock'!BK53+'T_TTAFStock'!BK53,BJ49+'Grid_Incoming'!BK49-'Grid_Requirement'!BK49))</f>
        <v/>
      </c>
      <c r="BL49">
        <f>IF(COUNTIFS(T_StockCount[Part Name],$A49,T_StockCount[WeekIndex],63)&gt;0,SUMIFS(T_StockCount[CountedQty],T_StockCount[Part Name],$A49,T_StockCount[WeekIndex],63),IF((('T_SelfStock'!BL53&lt;&gt;""))*(('T_TTAFStock'!BL53&lt;&gt;""))&gt;0,'T_SelfStock'!BL53+'T_TTAFStock'!BL53,BK49+'Grid_Incoming'!BL49-'Grid_Requirement'!BL49))</f>
        <v/>
      </c>
      <c r="BM49">
        <f>IF(COUNTIFS(T_StockCount[Part Name],$A49,T_StockCount[WeekIndex],64)&gt;0,SUMIFS(T_StockCount[CountedQty],T_StockCount[Part Name],$A49,T_StockCount[WeekIndex],64),IF((('T_SelfStock'!BM53&lt;&gt;""))*(('T_TTAFStock'!BM53&lt;&gt;""))&gt;0,'T_SelfStock'!BM53+'T_TTAFStock'!BM53,BL49+'Grid_Incoming'!BM49-'Grid_Requirement'!BM49))</f>
        <v/>
      </c>
      <c r="BN49">
        <f>IF(COUNTIFS(T_StockCount[Part Name],$A49,T_StockCount[WeekIndex],65)&gt;0,SUMIFS(T_StockCount[CountedQty],T_StockCount[Part Name],$A49,T_StockCount[WeekIndex],65),IF((('T_SelfStock'!BN53&lt;&gt;""))*(('T_TTAFStock'!BN53&lt;&gt;""))&gt;0,'T_SelfStock'!BN53+'T_TTAFStock'!BN53,BM49+'Grid_Incoming'!BN49-'Grid_Requirement'!BN49))</f>
        <v/>
      </c>
      <c r="BO49">
        <f>IF(COUNTIFS(T_StockCount[Part Name],$A49,T_StockCount[WeekIndex],66)&gt;0,SUMIFS(T_StockCount[CountedQty],T_StockCount[Part Name],$A49,T_StockCount[WeekIndex],66),IF((('T_SelfStock'!BO53&lt;&gt;""))*(('T_TTAFStock'!BO53&lt;&gt;""))&gt;0,'T_SelfStock'!BO53+'T_TTAFStock'!BO53,BN49+'Grid_Incoming'!BO49-'Grid_Requirement'!BO49))</f>
        <v/>
      </c>
      <c r="BP49">
        <f>IF(COUNTIFS(T_StockCount[Part Name],$A49,T_StockCount[WeekIndex],67)&gt;0,SUMIFS(T_StockCount[CountedQty],T_StockCount[Part Name],$A49,T_StockCount[WeekIndex],67),IF((('T_SelfStock'!BP53&lt;&gt;""))*(('T_TTAFStock'!BP53&lt;&gt;""))&gt;0,'T_SelfStock'!BP53+'T_TTAFStock'!BP53,BO49+'Grid_Incoming'!BP49-'Grid_Requirement'!BP49))</f>
        <v/>
      </c>
      <c r="BQ49">
        <f>IF(COUNTIFS(T_StockCount[Part Name],$A49,T_StockCount[WeekIndex],68)&gt;0,SUMIFS(T_StockCount[CountedQty],T_StockCount[Part Name],$A49,T_StockCount[WeekIndex],68),IF((('T_SelfStock'!BQ53&lt;&gt;""))*(('T_TTAFStock'!BQ53&lt;&gt;""))&gt;0,'T_SelfStock'!BQ53+'T_TTAFStock'!BQ53,BP49+'Grid_Incoming'!BQ49-'Grid_Requirement'!BQ49))</f>
        <v/>
      </c>
      <c r="BR49">
        <f>IF(COUNTIFS(T_StockCount[Part Name],$A49,T_StockCount[WeekIndex],69)&gt;0,SUMIFS(T_StockCount[CountedQty],T_StockCount[Part Name],$A49,T_StockCount[WeekIndex],69),IF((('T_SelfStock'!BR53&lt;&gt;""))*(('T_TTAFStock'!BR53&lt;&gt;""))&gt;0,'T_SelfStock'!BR53+'T_TTAFStock'!BR53,BQ49+'Grid_Incoming'!BR49-'Grid_Requirement'!BR49))</f>
        <v/>
      </c>
      <c r="BS49">
        <f>IF(COUNTIFS(T_StockCount[Part Name],$A49,T_StockCount[WeekIndex],70)&gt;0,SUMIFS(T_StockCount[CountedQty],T_StockCount[Part Name],$A49,T_StockCount[WeekIndex],70),IF((('T_SelfStock'!BS53&lt;&gt;""))*(('T_TTAFStock'!BS53&lt;&gt;""))&gt;0,'T_SelfStock'!BS53+'T_TTAFStock'!BS53,BR49+'Grid_Incoming'!BS49-'Grid_Requirement'!BS49))</f>
        <v/>
      </c>
      <c r="BT49">
        <f>IF(COUNTIFS(T_StockCount[Part Name],$A49,T_StockCount[WeekIndex],71)&gt;0,SUMIFS(T_StockCount[CountedQty],T_StockCount[Part Name],$A49,T_StockCount[WeekIndex],71),IF((('T_SelfStock'!BT53&lt;&gt;""))*(('T_TTAFStock'!BT53&lt;&gt;""))&gt;0,'T_SelfStock'!BT53+'T_TTAFStock'!BT53,BS49+'Grid_Incoming'!BT49-'Grid_Requirement'!BT49))</f>
        <v/>
      </c>
      <c r="BU49">
        <f>IF(COUNTIFS(T_StockCount[Part Name],$A49,T_StockCount[WeekIndex],72)&gt;0,SUMIFS(T_StockCount[CountedQty],T_StockCount[Part Name],$A49,T_StockCount[WeekIndex],72),IF((('T_SelfStock'!BU53&lt;&gt;""))*(('T_TTAFStock'!BU53&lt;&gt;""))&gt;0,'T_SelfStock'!BU53+'T_TTAFStock'!BU53,BT49+'Grid_Incoming'!BU49-'Grid_Requirement'!BU49))</f>
        <v/>
      </c>
      <c r="BV49">
        <f>IF(COUNTIFS(T_StockCount[Part Name],$A49,T_StockCount[WeekIndex],73)&gt;0,SUMIFS(T_StockCount[CountedQty],T_StockCount[Part Name],$A49,T_StockCount[WeekIndex],73),IF((('T_SelfStock'!BV53&lt;&gt;""))*(('T_TTAFStock'!BV53&lt;&gt;""))&gt;0,'T_SelfStock'!BV53+'T_TTAFStock'!BV53,BU49+'Grid_Incoming'!BV49-'Grid_Requirement'!BV49))</f>
        <v/>
      </c>
      <c r="BW49">
        <f>IF(COUNTIFS(T_StockCount[Part Name],$A49,T_StockCount[WeekIndex],74)&gt;0,SUMIFS(T_StockCount[CountedQty],T_StockCount[Part Name],$A49,T_StockCount[WeekIndex],74),IF((('T_SelfStock'!BW53&lt;&gt;""))*(('T_TTAFStock'!BW53&lt;&gt;""))&gt;0,'T_SelfStock'!BW53+'T_TTAFStock'!BW53,BV49+'Grid_Incoming'!BW49-'Grid_Requirement'!BW49))</f>
        <v/>
      </c>
      <c r="BX49">
        <f>IF(COUNTIFS(T_StockCount[Part Name],$A49,T_StockCount[WeekIndex],75)&gt;0,SUMIFS(T_StockCount[CountedQty],T_StockCount[Part Name],$A49,T_StockCount[WeekIndex],75),IF((('T_SelfStock'!BX53&lt;&gt;""))*(('T_TTAFStock'!BX53&lt;&gt;""))&gt;0,'T_SelfStock'!BX53+'T_TTAFStock'!BX53,BW49+'Grid_Incoming'!BX49-'Grid_Requirement'!BX49))</f>
        <v/>
      </c>
      <c r="BY49">
        <f>IF(COUNTIFS(T_StockCount[Part Name],$A49,T_StockCount[WeekIndex],76)&gt;0,SUMIFS(T_StockCount[CountedQty],T_StockCount[Part Name],$A49,T_StockCount[WeekIndex],76),IF((('T_SelfStock'!BY53&lt;&gt;""))*(('T_TTAFStock'!BY53&lt;&gt;""))&gt;0,'T_SelfStock'!BY53+'T_TTAFStock'!BY53,BX49+'Grid_Incoming'!BY49-'Grid_Requirement'!BY49))</f>
        <v/>
      </c>
      <c r="BZ49">
        <f>IF(COUNTIFS(T_StockCount[Part Name],$A49,T_StockCount[WeekIndex],77)&gt;0,SUMIFS(T_StockCount[CountedQty],T_StockCount[Part Name],$A49,T_StockCount[WeekIndex],77),IF((('T_SelfStock'!BZ53&lt;&gt;""))*(('T_TTAFStock'!BZ53&lt;&gt;""))&gt;0,'T_SelfStock'!BZ53+'T_TTAFStock'!BZ53,BY49+'Grid_Incoming'!BZ49-'Grid_Requirement'!BZ49))</f>
        <v/>
      </c>
      <c r="CA49">
        <f>IF(COUNTIFS(T_StockCount[Part Name],$A49,T_StockCount[WeekIndex],78)&gt;0,SUMIFS(T_StockCount[CountedQty],T_StockCount[Part Name],$A49,T_StockCount[WeekIndex],78),IF((('T_SelfStock'!CA53&lt;&gt;""))*(('T_TTAFStock'!CA53&lt;&gt;""))&gt;0,'T_SelfStock'!CA53+'T_TTAFStock'!CA53,BZ49+'Grid_Incoming'!CA49-'Grid_Requirement'!CA49))</f>
        <v/>
      </c>
      <c r="CB49">
        <f>IF(COUNTIFS(T_StockCount[Part Name],$A49,T_StockCount[WeekIndex],79)&gt;0,SUMIFS(T_StockCount[CountedQty],T_StockCount[Part Name],$A49,T_StockCount[WeekIndex],79),IF((('T_SelfStock'!CB53&lt;&gt;""))*(('T_TTAFStock'!CB53&lt;&gt;""))&gt;0,'T_SelfStock'!CB53+'T_TTAFStock'!CB53,CA49+'Grid_Incoming'!CB49-'Grid_Requirement'!CB49))</f>
        <v/>
      </c>
      <c r="CC49">
        <f>IF(COUNTIFS(T_StockCount[Part Name],$A49,T_StockCount[WeekIndex],80)&gt;0,SUMIFS(T_StockCount[CountedQty],T_StockCount[Part Name],$A49,T_StockCount[WeekIndex],80),IF((('T_SelfStock'!CC53&lt;&gt;""))*(('T_TTAFStock'!CC53&lt;&gt;""))&gt;0,'T_SelfStock'!CC53+'T_TTAFStock'!CC53,CB49+'Grid_Incoming'!CC49-'Grid_Requirement'!CC49))</f>
        <v/>
      </c>
      <c r="CD49">
        <f>IF(COUNTIFS(T_StockCount[Part Name],$A49,T_StockCount[WeekIndex],81)&gt;0,SUMIFS(T_StockCount[CountedQty],T_StockCount[Part Name],$A49,T_StockCount[WeekIndex],81),IF((('T_SelfStock'!CD53&lt;&gt;""))*(('T_TTAFStock'!CD53&lt;&gt;""))&gt;0,'T_SelfStock'!CD53+'T_TTAFStock'!CD53,CC49+'Grid_Incoming'!CD49-'Grid_Requirement'!CD49))</f>
        <v/>
      </c>
      <c r="CE49">
        <f>IF(COUNTIFS(T_StockCount[Part Name],$A49,T_StockCount[WeekIndex],82)&gt;0,SUMIFS(T_StockCount[CountedQty],T_StockCount[Part Name],$A49,T_StockCount[WeekIndex],82),IF((('T_SelfStock'!CE53&lt;&gt;""))*(('T_TTAFStock'!CE53&lt;&gt;""))&gt;0,'T_SelfStock'!CE53+'T_TTAFStock'!CE53,CD49+'Grid_Incoming'!CE49-'Grid_Requirement'!CE49))</f>
        <v/>
      </c>
      <c r="CF49">
        <f>IF(COUNTIFS(T_StockCount[Part Name],$A49,T_StockCount[WeekIndex],83)&gt;0,SUMIFS(T_StockCount[CountedQty],T_StockCount[Part Name],$A49,T_StockCount[WeekIndex],83),IF((('T_SelfStock'!CF53&lt;&gt;""))*(('T_TTAFStock'!CF53&lt;&gt;""))&gt;0,'T_SelfStock'!CF53+'T_TTAFStock'!CF53,CE49+'Grid_Incoming'!CF49-'Grid_Requirement'!CF49))</f>
        <v/>
      </c>
      <c r="CG49">
        <f>IF(COUNTIFS(T_StockCount[Part Name],$A49,T_StockCount[WeekIndex],84)&gt;0,SUMIFS(T_StockCount[CountedQty],T_StockCount[Part Name],$A49,T_StockCount[WeekIndex],84),IF((('T_SelfStock'!CG53&lt;&gt;""))*(('T_TTAFStock'!CG53&lt;&gt;""))&gt;0,'T_SelfStock'!CG53+'T_TTAFStock'!CG53,CF49+'Grid_Incoming'!CG49-'Grid_Requirement'!CG49))</f>
        <v/>
      </c>
      <c r="CH49">
        <f>IF(COUNTIFS(T_StockCount[Part Name],$A49,T_StockCount[WeekIndex],85)&gt;0,SUMIFS(T_StockCount[CountedQty],T_StockCount[Part Name],$A49,T_StockCount[WeekIndex],85),IF((('T_SelfStock'!CH53&lt;&gt;""))*(('T_TTAFStock'!CH53&lt;&gt;""))&gt;0,'T_SelfStock'!CH53+'T_TTAFStock'!CH53,CG49+'Grid_Incoming'!CH49-'Grid_Requirement'!CH49))</f>
        <v/>
      </c>
      <c r="CI49">
        <f>IF(COUNTIFS(T_StockCount[Part Name],$A49,T_StockCount[WeekIndex],86)&gt;0,SUMIFS(T_StockCount[CountedQty],T_StockCount[Part Name],$A49,T_StockCount[WeekIndex],86),IF((('T_SelfStock'!CI53&lt;&gt;""))*(('T_TTAFStock'!CI53&lt;&gt;""))&gt;0,'T_SelfStock'!CI53+'T_TTAFStock'!CI53,CH49+'Grid_Incoming'!CI49-'Grid_Requirement'!CI49))</f>
        <v/>
      </c>
      <c r="CJ49">
        <f>IF(COUNTIFS(T_StockCount[Part Name],$A49,T_StockCount[WeekIndex],87)&gt;0,SUMIFS(T_StockCount[CountedQty],T_StockCount[Part Name],$A49,T_StockCount[WeekIndex],87),IF((('T_SelfStock'!CJ53&lt;&gt;""))*(('T_TTAFStock'!CJ53&lt;&gt;""))&gt;0,'T_SelfStock'!CJ53+'T_TTAFStock'!CJ53,CI49+'Grid_Incoming'!CJ49-'Grid_Requirement'!CJ49))</f>
        <v/>
      </c>
      <c r="CK49">
        <f>IF(COUNTIFS(T_StockCount[Part Name],$A49,T_StockCount[WeekIndex],88)&gt;0,SUMIFS(T_StockCount[CountedQty],T_StockCount[Part Name],$A49,T_StockCount[WeekIndex],88),IF((('T_SelfStock'!CK53&lt;&gt;""))*(('T_TTAFStock'!CK53&lt;&gt;""))&gt;0,'T_SelfStock'!CK53+'T_TTAFStock'!CK53,CJ49+'Grid_Incoming'!CK49-'Grid_Requirement'!CK49))</f>
        <v/>
      </c>
      <c r="CL49">
        <f>IF(COUNTIFS(T_StockCount[Part Name],$A49,T_StockCount[WeekIndex],89)&gt;0,SUMIFS(T_StockCount[CountedQty],T_StockCount[Part Name],$A49,T_StockCount[WeekIndex],89),IF((('T_SelfStock'!CL53&lt;&gt;""))*(('T_TTAFStock'!CL53&lt;&gt;""))&gt;0,'T_SelfStock'!CL53+'T_TTAFStock'!CL53,CK49+'Grid_Incoming'!CL49-'Grid_Requirement'!CL49))</f>
        <v/>
      </c>
      <c r="CM49">
        <f>IF(COUNTIFS(T_StockCount[Part Name],$A49,T_StockCount[WeekIndex],90)&gt;0,SUMIFS(T_StockCount[CountedQty],T_StockCount[Part Name],$A49,T_StockCount[WeekIndex],90),IF((('T_SelfStock'!CM53&lt;&gt;""))*(('T_TTAFStock'!CM53&lt;&gt;""))&gt;0,'T_SelfStock'!CM53+'T_TTAFStock'!CM53,CL49+'Grid_Incoming'!CM49-'Grid_Requirement'!CM49))</f>
        <v/>
      </c>
      <c r="CN49">
        <f>IF(COUNTIFS(T_StockCount[Part Name],$A49,T_StockCount[WeekIndex],91)&gt;0,SUMIFS(T_StockCount[CountedQty],T_StockCount[Part Name],$A49,T_StockCount[WeekIndex],91),IF((('T_SelfStock'!CN53&lt;&gt;""))*(('T_TTAFStock'!CN53&lt;&gt;""))&gt;0,'T_SelfStock'!CN53+'T_TTAFStock'!CN53,CM49+'Grid_Incoming'!CN49-'Grid_Requirement'!CN49))</f>
        <v/>
      </c>
      <c r="CO49">
        <f>IF(COUNTIFS(T_StockCount[Part Name],$A49,T_StockCount[WeekIndex],92)&gt;0,SUMIFS(T_StockCount[CountedQty],T_StockCount[Part Name],$A49,T_StockCount[WeekIndex],92),IF((('T_SelfStock'!CO53&lt;&gt;""))*(('T_TTAFStock'!CO53&lt;&gt;""))&gt;0,'T_SelfStock'!CO53+'T_TTAFStock'!CO53,CN49+'Grid_Incoming'!CO49-'Grid_Requirement'!CO49))</f>
        <v/>
      </c>
      <c r="CP49">
        <f>IF(COUNTIFS(T_StockCount[Part Name],$A49,T_StockCount[WeekIndex],93)&gt;0,SUMIFS(T_StockCount[CountedQty],T_StockCount[Part Name],$A49,T_StockCount[WeekIndex],93),IF((('T_SelfStock'!CP53&lt;&gt;""))*(('T_TTAFStock'!CP53&lt;&gt;""))&gt;0,'T_SelfStock'!CP53+'T_TTAFStock'!CP53,CO49+'Grid_Incoming'!CP49-'Grid_Requirement'!CP49))</f>
        <v/>
      </c>
      <c r="CQ49">
        <f>IF(COUNTIFS(T_StockCount[Part Name],$A49,T_StockCount[WeekIndex],94)&gt;0,SUMIFS(T_StockCount[CountedQty],T_StockCount[Part Name],$A49,T_StockCount[WeekIndex],94),IF((('T_SelfStock'!CQ53&lt;&gt;""))*(('T_TTAFStock'!CQ53&lt;&gt;""))&gt;0,'T_SelfStock'!CQ53+'T_TTAFStock'!CQ53,CP49+'Grid_Incoming'!CQ49-'Grid_Requirement'!CQ49))</f>
        <v/>
      </c>
      <c r="CR49">
        <f>IF(COUNTIFS(T_StockCount[Part Name],$A49,T_StockCount[WeekIndex],95)&gt;0,SUMIFS(T_StockCount[CountedQty],T_StockCount[Part Name],$A49,T_StockCount[WeekIndex],95),IF((('T_SelfStock'!CR53&lt;&gt;""))*(('T_TTAFStock'!CR53&lt;&gt;""))&gt;0,'T_SelfStock'!CR53+'T_TTAFStock'!CR53,CQ49+'Grid_Incoming'!CR49-'Grid_Requirement'!CR49))</f>
        <v/>
      </c>
      <c r="CS49">
        <f>IF(COUNTIFS(T_StockCount[Part Name],$A49,T_StockCount[WeekIndex],96)&gt;0,SUMIFS(T_StockCount[CountedQty],T_StockCount[Part Name],$A49,T_StockCount[WeekIndex],96),IF((('T_SelfStock'!CS53&lt;&gt;""))*(('T_TTAFStock'!CS53&lt;&gt;""))&gt;0,'T_SelfStock'!CS53+'T_TTAFStock'!CS53,CR49+'Grid_Incoming'!CS49-'Grid_Requirement'!CS49))</f>
        <v/>
      </c>
      <c r="CT49">
        <f>IF(COUNTIFS(T_StockCount[Part Name],$A49,T_StockCount[WeekIndex],97)&gt;0,SUMIFS(T_StockCount[CountedQty],T_StockCount[Part Name],$A49,T_StockCount[WeekIndex],97),IF((('T_SelfStock'!CT53&lt;&gt;""))*(('T_TTAFStock'!CT53&lt;&gt;""))&gt;0,'T_SelfStock'!CT53+'T_TTAFStock'!CT53,CS49+'Grid_Incoming'!CT49-'Grid_Requirement'!CT49))</f>
        <v/>
      </c>
      <c r="CU49">
        <f>IF(COUNTIFS(T_StockCount[Part Name],$A49,T_StockCount[WeekIndex],98)&gt;0,SUMIFS(T_StockCount[CountedQty],T_StockCount[Part Name],$A49,T_StockCount[WeekIndex],98),IF((('T_SelfStock'!CU53&lt;&gt;""))*(('T_TTAFStock'!CU53&lt;&gt;""))&gt;0,'T_SelfStock'!CU53+'T_TTAFStock'!CU53,CT49+'Grid_Incoming'!CU49-'Grid_Requirement'!CU49))</f>
        <v/>
      </c>
      <c r="CV49">
        <f>IF(COUNTIFS(T_StockCount[Part Name],$A49,T_StockCount[WeekIndex],99)&gt;0,SUMIFS(T_StockCount[CountedQty],T_StockCount[Part Name],$A49,T_StockCount[WeekIndex],99),IF((('T_SelfStock'!CV53&lt;&gt;""))*(('T_TTAFStock'!CV53&lt;&gt;""))&gt;0,'T_SelfStock'!CV53+'T_TTAFStock'!CV53,CU49+'Grid_Incoming'!CV49-'Grid_Requirement'!CV49))</f>
        <v/>
      </c>
      <c r="CW49">
        <f>IF(COUNTIFS(T_StockCount[Part Name],$A49,T_StockCount[WeekIndex],100)&gt;0,SUMIFS(T_StockCount[CountedQty],T_StockCount[Part Name],$A49,T_StockCount[WeekIndex],100),IF((('T_SelfStock'!CW53&lt;&gt;""))*(('T_TTAFStock'!CW53&lt;&gt;""))&gt;0,'T_SelfStock'!CW53+'T_TTAFStock'!CW53,CV49+'Grid_Incoming'!CW49-'Grid_Requirement'!CW49))</f>
        <v/>
      </c>
      <c r="CX49">
        <f>IF(COUNTIFS(T_StockCount[Part Name],$A49,T_StockCount[WeekIndex],101)&gt;0,SUMIFS(T_StockCount[CountedQty],T_StockCount[Part Name],$A49,T_StockCount[WeekIndex],101),IF((('T_SelfStock'!CX53&lt;&gt;""))*(('T_TTAFStock'!CX53&lt;&gt;""))&gt;0,'T_SelfStock'!CX53+'T_TTAFStock'!CX53,CW49+'Grid_Incoming'!CX49-'Grid_Requirement'!CX49))</f>
        <v/>
      </c>
      <c r="CY49">
        <f>IF(COUNTIFS(T_StockCount[Part Name],$A49,T_StockCount[WeekIndex],102)&gt;0,SUMIFS(T_StockCount[CountedQty],T_StockCount[Part Name],$A49,T_StockCount[WeekIndex],102),IF((('T_SelfStock'!CY53&lt;&gt;""))*(('T_TTAFStock'!CY53&lt;&gt;""))&gt;0,'T_SelfStock'!CY53+'T_TTAFStock'!CY53,CX49+'Grid_Incoming'!CY49-'Grid_Requirement'!CY49))</f>
        <v/>
      </c>
      <c r="CZ49">
        <f>IF(COUNTIFS(T_StockCount[Part Name],$A49,T_StockCount[WeekIndex],103)&gt;0,SUMIFS(T_StockCount[CountedQty],T_StockCount[Part Name],$A49,T_StockCount[WeekIndex],103),IF((('T_SelfStock'!CZ53&lt;&gt;""))*(('T_TTAFStock'!CZ53&lt;&gt;""))&gt;0,'T_SelfStock'!CZ53+'T_TTAFStock'!CZ53,CY49+'Grid_Incoming'!CZ49-'Grid_Requirement'!CZ49))</f>
        <v/>
      </c>
      <c r="DA49">
        <f>IF(COUNTIFS(T_StockCount[Part Name],$A49,T_StockCount[WeekIndex],104)&gt;0,SUMIFS(T_StockCount[CountedQty],T_StockCount[Part Name],$A49,T_StockCount[WeekIndex],104),IF((('T_SelfStock'!DA53&lt;&gt;""))*(('T_TTAFStock'!DA53&lt;&gt;""))&gt;0,'T_SelfStock'!DA53+'T_TTAFStock'!DA53,CZ49+'Grid_Incoming'!DA49-'Grid_Requirement'!DA49))</f>
        <v/>
      </c>
    </row>
    <row r="50">
      <c r="A50" t="inlineStr">
        <is>
          <t>CHEM-1700</t>
        </is>
      </c>
      <c r="B50">
        <f>IF(COUNTIFS(T_StockCount[Part Name],$A50,T_StockCount[WeekIndex],1)&gt;0,SUMIFS(T_StockCount[CountedQty],T_StockCount[Part Name],$A50,T_StockCount[WeekIndex],1),IF((('T_SelfStock'!B54&lt;&gt;""))*(('T_TTAFStock'!B54&lt;&gt;""))&gt;0,'T_SelfStock'!B54+'T_TTAFStock'!B54,IFERROR(INDEX(T_OpeningStock[Opening_Qty],MATCH($A50,T_OpeningStock[Part Name],0)),0)+'Grid_Incoming'!B50-'Grid_Requirement'!B50))</f>
        <v/>
      </c>
      <c r="C50">
        <f>IF(COUNTIFS(T_StockCount[Part Name],$A50,T_StockCount[WeekIndex],2)&gt;0,SUMIFS(T_StockCount[CountedQty],T_StockCount[Part Name],$A50,T_StockCount[WeekIndex],2),IF((('T_SelfStock'!C54&lt;&gt;""))*(('T_TTAFStock'!C54&lt;&gt;""))&gt;0,'T_SelfStock'!C54+'T_TTAFStock'!C54,B50+'Grid_Incoming'!C50-'Grid_Requirement'!C50))</f>
        <v/>
      </c>
      <c r="D50">
        <f>IF(COUNTIFS(T_StockCount[Part Name],$A50,T_StockCount[WeekIndex],3)&gt;0,SUMIFS(T_StockCount[CountedQty],T_StockCount[Part Name],$A50,T_StockCount[WeekIndex],3),IF((('T_SelfStock'!D54&lt;&gt;""))*(('T_TTAFStock'!D54&lt;&gt;""))&gt;0,'T_SelfStock'!D54+'T_TTAFStock'!D54,C50+'Grid_Incoming'!D50-'Grid_Requirement'!D50))</f>
        <v/>
      </c>
      <c r="E50">
        <f>IF(COUNTIFS(T_StockCount[Part Name],$A50,T_StockCount[WeekIndex],4)&gt;0,SUMIFS(T_StockCount[CountedQty],T_StockCount[Part Name],$A50,T_StockCount[WeekIndex],4),IF((('T_SelfStock'!E54&lt;&gt;""))*(('T_TTAFStock'!E54&lt;&gt;""))&gt;0,'T_SelfStock'!E54+'T_TTAFStock'!E54,D50+'Grid_Incoming'!E50-'Grid_Requirement'!E50))</f>
        <v/>
      </c>
      <c r="F50">
        <f>IF(COUNTIFS(T_StockCount[Part Name],$A50,T_StockCount[WeekIndex],5)&gt;0,SUMIFS(T_StockCount[CountedQty],T_StockCount[Part Name],$A50,T_StockCount[WeekIndex],5),IF((('T_SelfStock'!F54&lt;&gt;""))*(('T_TTAFStock'!F54&lt;&gt;""))&gt;0,'T_SelfStock'!F54+'T_TTAFStock'!F54,E50+'Grid_Incoming'!F50-'Grid_Requirement'!F50))</f>
        <v/>
      </c>
      <c r="G50">
        <f>IF(COUNTIFS(T_StockCount[Part Name],$A50,T_StockCount[WeekIndex],6)&gt;0,SUMIFS(T_StockCount[CountedQty],T_StockCount[Part Name],$A50,T_StockCount[WeekIndex],6),IF((('T_SelfStock'!G54&lt;&gt;""))*(('T_TTAFStock'!G54&lt;&gt;""))&gt;0,'T_SelfStock'!G54+'T_TTAFStock'!G54,F50+'Grid_Incoming'!G50-'Grid_Requirement'!G50))</f>
        <v/>
      </c>
      <c r="H50">
        <f>IF(COUNTIFS(T_StockCount[Part Name],$A50,T_StockCount[WeekIndex],7)&gt;0,SUMIFS(T_StockCount[CountedQty],T_StockCount[Part Name],$A50,T_StockCount[WeekIndex],7),IF((('T_SelfStock'!H54&lt;&gt;""))*(('T_TTAFStock'!H54&lt;&gt;""))&gt;0,'T_SelfStock'!H54+'T_TTAFStock'!H54,G50+'Grid_Incoming'!H50-'Grid_Requirement'!H50))</f>
        <v/>
      </c>
      <c r="I50">
        <f>IF(COUNTIFS(T_StockCount[Part Name],$A50,T_StockCount[WeekIndex],8)&gt;0,SUMIFS(T_StockCount[CountedQty],T_StockCount[Part Name],$A50,T_StockCount[WeekIndex],8),IF((('T_SelfStock'!I54&lt;&gt;""))*(('T_TTAFStock'!I54&lt;&gt;""))&gt;0,'T_SelfStock'!I54+'T_TTAFStock'!I54,H50+'Grid_Incoming'!I50-'Grid_Requirement'!I50))</f>
        <v/>
      </c>
      <c r="J50">
        <f>IF(COUNTIFS(T_StockCount[Part Name],$A50,T_StockCount[WeekIndex],9)&gt;0,SUMIFS(T_StockCount[CountedQty],T_StockCount[Part Name],$A50,T_StockCount[WeekIndex],9),IF((('T_SelfStock'!J54&lt;&gt;""))*(('T_TTAFStock'!J54&lt;&gt;""))&gt;0,'T_SelfStock'!J54+'T_TTAFStock'!J54,I50+'Grid_Incoming'!J50-'Grid_Requirement'!J50))</f>
        <v/>
      </c>
      <c r="K50">
        <f>IF(COUNTIFS(T_StockCount[Part Name],$A50,T_StockCount[WeekIndex],10)&gt;0,SUMIFS(T_StockCount[CountedQty],T_StockCount[Part Name],$A50,T_StockCount[WeekIndex],10),IF((('T_SelfStock'!K54&lt;&gt;""))*(('T_TTAFStock'!K54&lt;&gt;""))&gt;0,'T_SelfStock'!K54+'T_TTAFStock'!K54,J50+'Grid_Incoming'!K50-'Grid_Requirement'!K50))</f>
        <v/>
      </c>
      <c r="L50">
        <f>IF(COUNTIFS(T_StockCount[Part Name],$A50,T_StockCount[WeekIndex],11)&gt;0,SUMIFS(T_StockCount[CountedQty],T_StockCount[Part Name],$A50,T_StockCount[WeekIndex],11),IF((('T_SelfStock'!L54&lt;&gt;""))*(('T_TTAFStock'!L54&lt;&gt;""))&gt;0,'T_SelfStock'!L54+'T_TTAFStock'!L54,K50+'Grid_Incoming'!L50-'Grid_Requirement'!L50))</f>
        <v/>
      </c>
      <c r="M50">
        <f>IF(COUNTIFS(T_StockCount[Part Name],$A50,T_StockCount[WeekIndex],12)&gt;0,SUMIFS(T_StockCount[CountedQty],T_StockCount[Part Name],$A50,T_StockCount[WeekIndex],12),IF((('T_SelfStock'!M54&lt;&gt;""))*(('T_TTAFStock'!M54&lt;&gt;""))&gt;0,'T_SelfStock'!M54+'T_TTAFStock'!M54,L50+'Grid_Incoming'!M50-'Grid_Requirement'!M50))</f>
        <v/>
      </c>
      <c r="N50">
        <f>IF(COUNTIFS(T_StockCount[Part Name],$A50,T_StockCount[WeekIndex],13)&gt;0,SUMIFS(T_StockCount[CountedQty],T_StockCount[Part Name],$A50,T_StockCount[WeekIndex],13),IF((('T_SelfStock'!N54&lt;&gt;""))*(('T_TTAFStock'!N54&lt;&gt;""))&gt;0,'T_SelfStock'!N54+'T_TTAFStock'!N54,M50+'Grid_Incoming'!N50-'Grid_Requirement'!N50))</f>
        <v/>
      </c>
      <c r="O50">
        <f>IF(COUNTIFS(T_StockCount[Part Name],$A50,T_StockCount[WeekIndex],14)&gt;0,SUMIFS(T_StockCount[CountedQty],T_StockCount[Part Name],$A50,T_StockCount[WeekIndex],14),IF((('T_SelfStock'!O54&lt;&gt;""))*(('T_TTAFStock'!O54&lt;&gt;""))&gt;0,'T_SelfStock'!O54+'T_TTAFStock'!O54,N50+'Grid_Incoming'!O50-'Grid_Requirement'!O50))</f>
        <v/>
      </c>
      <c r="P50">
        <f>IF(COUNTIFS(T_StockCount[Part Name],$A50,T_StockCount[WeekIndex],15)&gt;0,SUMIFS(T_StockCount[CountedQty],T_StockCount[Part Name],$A50,T_StockCount[WeekIndex],15),IF((('T_SelfStock'!P54&lt;&gt;""))*(('T_TTAFStock'!P54&lt;&gt;""))&gt;0,'T_SelfStock'!P54+'T_TTAFStock'!P54,O50+'Grid_Incoming'!P50-'Grid_Requirement'!P50))</f>
        <v/>
      </c>
      <c r="Q50">
        <f>IF(COUNTIFS(T_StockCount[Part Name],$A50,T_StockCount[WeekIndex],16)&gt;0,SUMIFS(T_StockCount[CountedQty],T_StockCount[Part Name],$A50,T_StockCount[WeekIndex],16),IF((('T_SelfStock'!Q54&lt;&gt;""))*(('T_TTAFStock'!Q54&lt;&gt;""))&gt;0,'T_SelfStock'!Q54+'T_TTAFStock'!Q54,P50+'Grid_Incoming'!Q50-'Grid_Requirement'!Q50))</f>
        <v/>
      </c>
      <c r="R50">
        <f>IF(COUNTIFS(T_StockCount[Part Name],$A50,T_StockCount[WeekIndex],17)&gt;0,SUMIFS(T_StockCount[CountedQty],T_StockCount[Part Name],$A50,T_StockCount[WeekIndex],17),IF((('T_SelfStock'!R54&lt;&gt;""))*(('T_TTAFStock'!R54&lt;&gt;""))&gt;0,'T_SelfStock'!R54+'T_TTAFStock'!R54,Q50+'Grid_Incoming'!R50-'Grid_Requirement'!R50))</f>
        <v/>
      </c>
      <c r="S50">
        <f>IF(COUNTIFS(T_StockCount[Part Name],$A50,T_StockCount[WeekIndex],18)&gt;0,SUMIFS(T_StockCount[CountedQty],T_StockCount[Part Name],$A50,T_StockCount[WeekIndex],18),IF((('T_SelfStock'!S54&lt;&gt;""))*(('T_TTAFStock'!S54&lt;&gt;""))&gt;0,'T_SelfStock'!S54+'T_TTAFStock'!S54,R50+'Grid_Incoming'!S50-'Grid_Requirement'!S50))</f>
        <v/>
      </c>
      <c r="T50">
        <f>IF(COUNTIFS(T_StockCount[Part Name],$A50,T_StockCount[WeekIndex],19)&gt;0,SUMIFS(T_StockCount[CountedQty],T_StockCount[Part Name],$A50,T_StockCount[WeekIndex],19),IF((('T_SelfStock'!T54&lt;&gt;""))*(('T_TTAFStock'!T54&lt;&gt;""))&gt;0,'T_SelfStock'!T54+'T_TTAFStock'!T54,S50+'Grid_Incoming'!T50-'Grid_Requirement'!T50))</f>
        <v/>
      </c>
      <c r="U50">
        <f>IF(COUNTIFS(T_StockCount[Part Name],$A50,T_StockCount[WeekIndex],20)&gt;0,SUMIFS(T_StockCount[CountedQty],T_StockCount[Part Name],$A50,T_StockCount[WeekIndex],20),IF((('T_SelfStock'!U54&lt;&gt;""))*(('T_TTAFStock'!U54&lt;&gt;""))&gt;0,'T_SelfStock'!U54+'T_TTAFStock'!U54,T50+'Grid_Incoming'!U50-'Grid_Requirement'!U50))</f>
        <v/>
      </c>
      <c r="V50">
        <f>IF(COUNTIFS(T_StockCount[Part Name],$A50,T_StockCount[WeekIndex],21)&gt;0,SUMIFS(T_StockCount[CountedQty],T_StockCount[Part Name],$A50,T_StockCount[WeekIndex],21),IF((('T_SelfStock'!V54&lt;&gt;""))*(('T_TTAFStock'!V54&lt;&gt;""))&gt;0,'T_SelfStock'!V54+'T_TTAFStock'!V54,U50+'Grid_Incoming'!V50-'Grid_Requirement'!V50))</f>
        <v/>
      </c>
      <c r="W50">
        <f>IF(COUNTIFS(T_StockCount[Part Name],$A50,T_StockCount[WeekIndex],22)&gt;0,SUMIFS(T_StockCount[CountedQty],T_StockCount[Part Name],$A50,T_StockCount[WeekIndex],22),IF((('T_SelfStock'!W54&lt;&gt;""))*(('T_TTAFStock'!W54&lt;&gt;""))&gt;0,'T_SelfStock'!W54+'T_TTAFStock'!W54,V50+'Grid_Incoming'!W50-'Grid_Requirement'!W50))</f>
        <v/>
      </c>
      <c r="X50">
        <f>IF(COUNTIFS(T_StockCount[Part Name],$A50,T_StockCount[WeekIndex],23)&gt;0,SUMIFS(T_StockCount[CountedQty],T_StockCount[Part Name],$A50,T_StockCount[WeekIndex],23),IF((('T_SelfStock'!X54&lt;&gt;""))*(('T_TTAFStock'!X54&lt;&gt;""))&gt;0,'T_SelfStock'!X54+'T_TTAFStock'!X54,W50+'Grid_Incoming'!X50-'Grid_Requirement'!X50))</f>
        <v/>
      </c>
      <c r="Y50">
        <f>IF(COUNTIFS(T_StockCount[Part Name],$A50,T_StockCount[WeekIndex],24)&gt;0,SUMIFS(T_StockCount[CountedQty],T_StockCount[Part Name],$A50,T_StockCount[WeekIndex],24),IF((('T_SelfStock'!Y54&lt;&gt;""))*(('T_TTAFStock'!Y54&lt;&gt;""))&gt;0,'T_SelfStock'!Y54+'T_TTAFStock'!Y54,X50+'Grid_Incoming'!Y50-'Grid_Requirement'!Y50))</f>
        <v/>
      </c>
      <c r="Z50">
        <f>IF(COUNTIFS(T_StockCount[Part Name],$A50,T_StockCount[WeekIndex],25)&gt;0,SUMIFS(T_StockCount[CountedQty],T_StockCount[Part Name],$A50,T_StockCount[WeekIndex],25),IF((('T_SelfStock'!Z54&lt;&gt;""))*(('T_TTAFStock'!Z54&lt;&gt;""))&gt;0,'T_SelfStock'!Z54+'T_TTAFStock'!Z54,Y50+'Grid_Incoming'!Z50-'Grid_Requirement'!Z50))</f>
        <v/>
      </c>
      <c r="AA50">
        <f>IF(COUNTIFS(T_StockCount[Part Name],$A50,T_StockCount[WeekIndex],26)&gt;0,SUMIFS(T_StockCount[CountedQty],T_StockCount[Part Name],$A50,T_StockCount[WeekIndex],26),IF((('T_SelfStock'!AA54&lt;&gt;""))*(('T_TTAFStock'!AA54&lt;&gt;""))&gt;0,'T_SelfStock'!AA54+'T_TTAFStock'!AA54,Z50+'Grid_Incoming'!AA50-'Grid_Requirement'!AA50))</f>
        <v/>
      </c>
      <c r="AB50">
        <f>IF(COUNTIFS(T_StockCount[Part Name],$A50,T_StockCount[WeekIndex],27)&gt;0,SUMIFS(T_StockCount[CountedQty],T_StockCount[Part Name],$A50,T_StockCount[WeekIndex],27),IF((('T_SelfStock'!AB54&lt;&gt;""))*(('T_TTAFStock'!AB54&lt;&gt;""))&gt;0,'T_SelfStock'!AB54+'T_TTAFStock'!AB54,AA50+'Grid_Incoming'!AB50-'Grid_Requirement'!AB50))</f>
        <v/>
      </c>
      <c r="AC50">
        <f>IF(COUNTIFS(T_StockCount[Part Name],$A50,T_StockCount[WeekIndex],28)&gt;0,SUMIFS(T_StockCount[CountedQty],T_StockCount[Part Name],$A50,T_StockCount[WeekIndex],28),IF((('T_SelfStock'!AC54&lt;&gt;""))*(('T_TTAFStock'!AC54&lt;&gt;""))&gt;0,'T_SelfStock'!AC54+'T_TTAFStock'!AC54,AB50+'Grid_Incoming'!AC50-'Grid_Requirement'!AC50))</f>
        <v/>
      </c>
      <c r="AD50">
        <f>IF(COUNTIFS(T_StockCount[Part Name],$A50,T_StockCount[WeekIndex],29)&gt;0,SUMIFS(T_StockCount[CountedQty],T_StockCount[Part Name],$A50,T_StockCount[WeekIndex],29),IF((('T_SelfStock'!AD54&lt;&gt;""))*(('T_TTAFStock'!AD54&lt;&gt;""))&gt;0,'T_SelfStock'!AD54+'T_TTAFStock'!AD54,AC50+'Grid_Incoming'!AD50-'Grid_Requirement'!AD50))</f>
        <v/>
      </c>
      <c r="AE50">
        <f>IF(COUNTIFS(T_StockCount[Part Name],$A50,T_StockCount[WeekIndex],30)&gt;0,SUMIFS(T_StockCount[CountedQty],T_StockCount[Part Name],$A50,T_StockCount[WeekIndex],30),IF((('T_SelfStock'!AE54&lt;&gt;""))*(('T_TTAFStock'!AE54&lt;&gt;""))&gt;0,'T_SelfStock'!AE54+'T_TTAFStock'!AE54,AD50+'Grid_Incoming'!AE50-'Grid_Requirement'!AE50))</f>
        <v/>
      </c>
      <c r="AF50">
        <f>IF(COUNTIFS(T_StockCount[Part Name],$A50,T_StockCount[WeekIndex],31)&gt;0,SUMIFS(T_StockCount[CountedQty],T_StockCount[Part Name],$A50,T_StockCount[WeekIndex],31),IF((('T_SelfStock'!AF54&lt;&gt;""))*(('T_TTAFStock'!AF54&lt;&gt;""))&gt;0,'T_SelfStock'!AF54+'T_TTAFStock'!AF54,AE50+'Grid_Incoming'!AF50-'Grid_Requirement'!AF50))</f>
        <v/>
      </c>
      <c r="AG50">
        <f>IF(COUNTIFS(T_StockCount[Part Name],$A50,T_StockCount[WeekIndex],32)&gt;0,SUMIFS(T_StockCount[CountedQty],T_StockCount[Part Name],$A50,T_StockCount[WeekIndex],32),IF((('T_SelfStock'!AG54&lt;&gt;""))*(('T_TTAFStock'!AG54&lt;&gt;""))&gt;0,'T_SelfStock'!AG54+'T_TTAFStock'!AG54,AF50+'Grid_Incoming'!AG50-'Grid_Requirement'!AG50))</f>
        <v/>
      </c>
      <c r="AH50">
        <f>IF(COUNTIFS(T_StockCount[Part Name],$A50,T_StockCount[WeekIndex],33)&gt;0,SUMIFS(T_StockCount[CountedQty],T_StockCount[Part Name],$A50,T_StockCount[WeekIndex],33),IF((('T_SelfStock'!AH54&lt;&gt;""))*(('T_TTAFStock'!AH54&lt;&gt;""))&gt;0,'T_SelfStock'!AH54+'T_TTAFStock'!AH54,AG50+'Grid_Incoming'!AH50-'Grid_Requirement'!AH50))</f>
        <v/>
      </c>
      <c r="AI50">
        <f>IF(COUNTIFS(T_StockCount[Part Name],$A50,T_StockCount[WeekIndex],34)&gt;0,SUMIFS(T_StockCount[CountedQty],T_StockCount[Part Name],$A50,T_StockCount[WeekIndex],34),IF((('T_SelfStock'!AI54&lt;&gt;""))*(('T_TTAFStock'!AI54&lt;&gt;""))&gt;0,'T_SelfStock'!AI54+'T_TTAFStock'!AI54,AH50+'Grid_Incoming'!AI50-'Grid_Requirement'!AI50))</f>
        <v/>
      </c>
      <c r="AJ50">
        <f>IF(COUNTIFS(T_StockCount[Part Name],$A50,T_StockCount[WeekIndex],35)&gt;0,SUMIFS(T_StockCount[CountedQty],T_StockCount[Part Name],$A50,T_StockCount[WeekIndex],35),IF((('T_SelfStock'!AJ54&lt;&gt;""))*(('T_TTAFStock'!AJ54&lt;&gt;""))&gt;0,'T_SelfStock'!AJ54+'T_TTAFStock'!AJ54,AI50+'Grid_Incoming'!AJ50-'Grid_Requirement'!AJ50))</f>
        <v/>
      </c>
      <c r="AK50">
        <f>IF(COUNTIFS(T_StockCount[Part Name],$A50,T_StockCount[WeekIndex],36)&gt;0,SUMIFS(T_StockCount[CountedQty],T_StockCount[Part Name],$A50,T_StockCount[WeekIndex],36),IF((('T_SelfStock'!AK54&lt;&gt;""))*(('T_TTAFStock'!AK54&lt;&gt;""))&gt;0,'T_SelfStock'!AK54+'T_TTAFStock'!AK54,AJ50+'Grid_Incoming'!AK50-'Grid_Requirement'!AK50))</f>
        <v/>
      </c>
      <c r="AL50">
        <f>IF(COUNTIFS(T_StockCount[Part Name],$A50,T_StockCount[WeekIndex],37)&gt;0,SUMIFS(T_StockCount[CountedQty],T_StockCount[Part Name],$A50,T_StockCount[WeekIndex],37),IF((('T_SelfStock'!AL54&lt;&gt;""))*(('T_TTAFStock'!AL54&lt;&gt;""))&gt;0,'T_SelfStock'!AL54+'T_TTAFStock'!AL54,AK50+'Grid_Incoming'!AL50-'Grid_Requirement'!AL50))</f>
        <v/>
      </c>
      <c r="AM50">
        <f>IF(COUNTIFS(T_StockCount[Part Name],$A50,T_StockCount[WeekIndex],38)&gt;0,SUMIFS(T_StockCount[CountedQty],T_StockCount[Part Name],$A50,T_StockCount[WeekIndex],38),IF((('T_SelfStock'!AM54&lt;&gt;""))*(('T_TTAFStock'!AM54&lt;&gt;""))&gt;0,'T_SelfStock'!AM54+'T_TTAFStock'!AM54,AL50+'Grid_Incoming'!AM50-'Grid_Requirement'!AM50))</f>
        <v/>
      </c>
      <c r="AN50">
        <f>IF(COUNTIFS(T_StockCount[Part Name],$A50,T_StockCount[WeekIndex],39)&gt;0,SUMIFS(T_StockCount[CountedQty],T_StockCount[Part Name],$A50,T_StockCount[WeekIndex],39),IF((('T_SelfStock'!AN54&lt;&gt;""))*(('T_TTAFStock'!AN54&lt;&gt;""))&gt;0,'T_SelfStock'!AN54+'T_TTAFStock'!AN54,AM50+'Grid_Incoming'!AN50-'Grid_Requirement'!AN50))</f>
        <v/>
      </c>
      <c r="AO50">
        <f>IF(COUNTIFS(T_StockCount[Part Name],$A50,T_StockCount[WeekIndex],40)&gt;0,SUMIFS(T_StockCount[CountedQty],T_StockCount[Part Name],$A50,T_StockCount[WeekIndex],40),IF((('T_SelfStock'!AO54&lt;&gt;""))*(('T_TTAFStock'!AO54&lt;&gt;""))&gt;0,'T_SelfStock'!AO54+'T_TTAFStock'!AO54,AN50+'Grid_Incoming'!AO50-'Grid_Requirement'!AO50))</f>
        <v/>
      </c>
      <c r="AP50">
        <f>IF(COUNTIFS(T_StockCount[Part Name],$A50,T_StockCount[WeekIndex],41)&gt;0,SUMIFS(T_StockCount[CountedQty],T_StockCount[Part Name],$A50,T_StockCount[WeekIndex],41),IF((('T_SelfStock'!AP54&lt;&gt;""))*(('T_TTAFStock'!AP54&lt;&gt;""))&gt;0,'T_SelfStock'!AP54+'T_TTAFStock'!AP54,AO50+'Grid_Incoming'!AP50-'Grid_Requirement'!AP50))</f>
        <v/>
      </c>
      <c r="AQ50">
        <f>IF(COUNTIFS(T_StockCount[Part Name],$A50,T_StockCount[WeekIndex],42)&gt;0,SUMIFS(T_StockCount[CountedQty],T_StockCount[Part Name],$A50,T_StockCount[WeekIndex],42),IF((('T_SelfStock'!AQ54&lt;&gt;""))*(('T_TTAFStock'!AQ54&lt;&gt;""))&gt;0,'T_SelfStock'!AQ54+'T_TTAFStock'!AQ54,AP50+'Grid_Incoming'!AQ50-'Grid_Requirement'!AQ50))</f>
        <v/>
      </c>
      <c r="AR50">
        <f>IF(COUNTIFS(T_StockCount[Part Name],$A50,T_StockCount[WeekIndex],43)&gt;0,SUMIFS(T_StockCount[CountedQty],T_StockCount[Part Name],$A50,T_StockCount[WeekIndex],43),IF((('T_SelfStock'!AR54&lt;&gt;""))*(('T_TTAFStock'!AR54&lt;&gt;""))&gt;0,'T_SelfStock'!AR54+'T_TTAFStock'!AR54,AQ50+'Grid_Incoming'!AR50-'Grid_Requirement'!AR50))</f>
        <v/>
      </c>
      <c r="AS50">
        <f>IF(COUNTIFS(T_StockCount[Part Name],$A50,T_StockCount[WeekIndex],44)&gt;0,SUMIFS(T_StockCount[CountedQty],T_StockCount[Part Name],$A50,T_StockCount[WeekIndex],44),IF((('T_SelfStock'!AS54&lt;&gt;""))*(('T_TTAFStock'!AS54&lt;&gt;""))&gt;0,'T_SelfStock'!AS54+'T_TTAFStock'!AS54,AR50+'Grid_Incoming'!AS50-'Grid_Requirement'!AS50))</f>
        <v/>
      </c>
      <c r="AT50">
        <f>IF(COUNTIFS(T_StockCount[Part Name],$A50,T_StockCount[WeekIndex],45)&gt;0,SUMIFS(T_StockCount[CountedQty],T_StockCount[Part Name],$A50,T_StockCount[WeekIndex],45),IF((('T_SelfStock'!AT54&lt;&gt;""))*(('T_TTAFStock'!AT54&lt;&gt;""))&gt;0,'T_SelfStock'!AT54+'T_TTAFStock'!AT54,AS50+'Grid_Incoming'!AT50-'Grid_Requirement'!AT50))</f>
        <v/>
      </c>
      <c r="AU50">
        <f>IF(COUNTIFS(T_StockCount[Part Name],$A50,T_StockCount[WeekIndex],46)&gt;0,SUMIFS(T_StockCount[CountedQty],T_StockCount[Part Name],$A50,T_StockCount[WeekIndex],46),IF((('T_SelfStock'!AU54&lt;&gt;""))*(('T_TTAFStock'!AU54&lt;&gt;""))&gt;0,'T_SelfStock'!AU54+'T_TTAFStock'!AU54,AT50+'Grid_Incoming'!AU50-'Grid_Requirement'!AU50))</f>
        <v/>
      </c>
      <c r="AV50">
        <f>IF(COUNTIFS(T_StockCount[Part Name],$A50,T_StockCount[WeekIndex],47)&gt;0,SUMIFS(T_StockCount[CountedQty],T_StockCount[Part Name],$A50,T_StockCount[WeekIndex],47),IF((('T_SelfStock'!AV54&lt;&gt;""))*(('T_TTAFStock'!AV54&lt;&gt;""))&gt;0,'T_SelfStock'!AV54+'T_TTAFStock'!AV54,AU50+'Grid_Incoming'!AV50-'Grid_Requirement'!AV50))</f>
        <v/>
      </c>
      <c r="AW50">
        <f>IF(COUNTIFS(T_StockCount[Part Name],$A50,T_StockCount[WeekIndex],48)&gt;0,SUMIFS(T_StockCount[CountedQty],T_StockCount[Part Name],$A50,T_StockCount[WeekIndex],48),IF((('T_SelfStock'!AW54&lt;&gt;""))*(('T_TTAFStock'!AW54&lt;&gt;""))&gt;0,'T_SelfStock'!AW54+'T_TTAFStock'!AW54,AV50+'Grid_Incoming'!AW50-'Grid_Requirement'!AW50))</f>
        <v/>
      </c>
      <c r="AX50">
        <f>IF(COUNTIFS(T_StockCount[Part Name],$A50,T_StockCount[WeekIndex],49)&gt;0,SUMIFS(T_StockCount[CountedQty],T_StockCount[Part Name],$A50,T_StockCount[WeekIndex],49),IF((('T_SelfStock'!AX54&lt;&gt;""))*(('T_TTAFStock'!AX54&lt;&gt;""))&gt;0,'T_SelfStock'!AX54+'T_TTAFStock'!AX54,AW50+'Grid_Incoming'!AX50-'Grid_Requirement'!AX50))</f>
        <v/>
      </c>
      <c r="AY50">
        <f>IF(COUNTIFS(T_StockCount[Part Name],$A50,T_StockCount[WeekIndex],50)&gt;0,SUMIFS(T_StockCount[CountedQty],T_StockCount[Part Name],$A50,T_StockCount[WeekIndex],50),IF((('T_SelfStock'!AY54&lt;&gt;""))*(('T_TTAFStock'!AY54&lt;&gt;""))&gt;0,'T_SelfStock'!AY54+'T_TTAFStock'!AY54,AX50+'Grid_Incoming'!AY50-'Grid_Requirement'!AY50))</f>
        <v/>
      </c>
      <c r="AZ50">
        <f>IF(COUNTIFS(T_StockCount[Part Name],$A50,T_StockCount[WeekIndex],51)&gt;0,SUMIFS(T_StockCount[CountedQty],T_StockCount[Part Name],$A50,T_StockCount[WeekIndex],51),IF((('T_SelfStock'!AZ54&lt;&gt;""))*(('T_TTAFStock'!AZ54&lt;&gt;""))&gt;0,'T_SelfStock'!AZ54+'T_TTAFStock'!AZ54,AY50+'Grid_Incoming'!AZ50-'Grid_Requirement'!AZ50))</f>
        <v/>
      </c>
      <c r="BA50">
        <f>IF(COUNTIFS(T_StockCount[Part Name],$A50,T_StockCount[WeekIndex],52)&gt;0,SUMIFS(T_StockCount[CountedQty],T_StockCount[Part Name],$A50,T_StockCount[WeekIndex],52),IF((('T_SelfStock'!BA54&lt;&gt;""))*(('T_TTAFStock'!BA54&lt;&gt;""))&gt;0,'T_SelfStock'!BA54+'T_TTAFStock'!BA54,AZ50+'Grid_Incoming'!BA50-'Grid_Requirement'!BA50))</f>
        <v/>
      </c>
      <c r="BB50">
        <f>IF(COUNTIFS(T_StockCount[Part Name],$A50,T_StockCount[WeekIndex],53)&gt;0,SUMIFS(T_StockCount[CountedQty],T_StockCount[Part Name],$A50,T_StockCount[WeekIndex],53),IF((('T_SelfStock'!BB54&lt;&gt;""))*(('T_TTAFStock'!BB54&lt;&gt;""))&gt;0,'T_SelfStock'!BB54+'T_TTAFStock'!BB54,BA50+'Grid_Incoming'!BB50-'Grid_Requirement'!BB50))</f>
        <v/>
      </c>
      <c r="BC50">
        <f>IF(COUNTIFS(T_StockCount[Part Name],$A50,T_StockCount[WeekIndex],54)&gt;0,SUMIFS(T_StockCount[CountedQty],T_StockCount[Part Name],$A50,T_StockCount[WeekIndex],54),IF((('T_SelfStock'!BC54&lt;&gt;""))*(('T_TTAFStock'!BC54&lt;&gt;""))&gt;0,'T_SelfStock'!BC54+'T_TTAFStock'!BC54,BB50+'Grid_Incoming'!BC50-'Grid_Requirement'!BC50))</f>
        <v/>
      </c>
      <c r="BD50">
        <f>IF(COUNTIFS(T_StockCount[Part Name],$A50,T_StockCount[WeekIndex],55)&gt;0,SUMIFS(T_StockCount[CountedQty],T_StockCount[Part Name],$A50,T_StockCount[WeekIndex],55),IF((('T_SelfStock'!BD54&lt;&gt;""))*(('T_TTAFStock'!BD54&lt;&gt;""))&gt;0,'T_SelfStock'!BD54+'T_TTAFStock'!BD54,BC50+'Grid_Incoming'!BD50-'Grid_Requirement'!BD50))</f>
        <v/>
      </c>
      <c r="BE50">
        <f>IF(COUNTIFS(T_StockCount[Part Name],$A50,T_StockCount[WeekIndex],56)&gt;0,SUMIFS(T_StockCount[CountedQty],T_StockCount[Part Name],$A50,T_StockCount[WeekIndex],56),IF((('T_SelfStock'!BE54&lt;&gt;""))*(('T_TTAFStock'!BE54&lt;&gt;""))&gt;0,'T_SelfStock'!BE54+'T_TTAFStock'!BE54,BD50+'Grid_Incoming'!BE50-'Grid_Requirement'!BE50))</f>
        <v/>
      </c>
      <c r="BF50">
        <f>IF(COUNTIFS(T_StockCount[Part Name],$A50,T_StockCount[WeekIndex],57)&gt;0,SUMIFS(T_StockCount[CountedQty],T_StockCount[Part Name],$A50,T_StockCount[WeekIndex],57),IF((('T_SelfStock'!BF54&lt;&gt;""))*(('T_TTAFStock'!BF54&lt;&gt;""))&gt;0,'T_SelfStock'!BF54+'T_TTAFStock'!BF54,BE50+'Grid_Incoming'!BF50-'Grid_Requirement'!BF50))</f>
        <v/>
      </c>
      <c r="BG50">
        <f>IF(COUNTIFS(T_StockCount[Part Name],$A50,T_StockCount[WeekIndex],58)&gt;0,SUMIFS(T_StockCount[CountedQty],T_StockCount[Part Name],$A50,T_StockCount[WeekIndex],58),IF((('T_SelfStock'!BG54&lt;&gt;""))*(('T_TTAFStock'!BG54&lt;&gt;""))&gt;0,'T_SelfStock'!BG54+'T_TTAFStock'!BG54,BF50+'Grid_Incoming'!BG50-'Grid_Requirement'!BG50))</f>
        <v/>
      </c>
      <c r="BH50">
        <f>IF(COUNTIFS(T_StockCount[Part Name],$A50,T_StockCount[WeekIndex],59)&gt;0,SUMIFS(T_StockCount[CountedQty],T_StockCount[Part Name],$A50,T_StockCount[WeekIndex],59),IF((('T_SelfStock'!BH54&lt;&gt;""))*(('T_TTAFStock'!BH54&lt;&gt;""))&gt;0,'T_SelfStock'!BH54+'T_TTAFStock'!BH54,BG50+'Grid_Incoming'!BH50-'Grid_Requirement'!BH50))</f>
        <v/>
      </c>
      <c r="BI50">
        <f>IF(COUNTIFS(T_StockCount[Part Name],$A50,T_StockCount[WeekIndex],60)&gt;0,SUMIFS(T_StockCount[CountedQty],T_StockCount[Part Name],$A50,T_StockCount[WeekIndex],60),IF((('T_SelfStock'!BI54&lt;&gt;""))*(('T_TTAFStock'!BI54&lt;&gt;""))&gt;0,'T_SelfStock'!BI54+'T_TTAFStock'!BI54,BH50+'Grid_Incoming'!BI50-'Grid_Requirement'!BI50))</f>
        <v/>
      </c>
      <c r="BJ50">
        <f>IF(COUNTIFS(T_StockCount[Part Name],$A50,T_StockCount[WeekIndex],61)&gt;0,SUMIFS(T_StockCount[CountedQty],T_StockCount[Part Name],$A50,T_StockCount[WeekIndex],61),IF((('T_SelfStock'!BJ54&lt;&gt;""))*(('T_TTAFStock'!BJ54&lt;&gt;""))&gt;0,'T_SelfStock'!BJ54+'T_TTAFStock'!BJ54,BI50+'Grid_Incoming'!BJ50-'Grid_Requirement'!BJ50))</f>
        <v/>
      </c>
      <c r="BK50">
        <f>IF(COUNTIFS(T_StockCount[Part Name],$A50,T_StockCount[WeekIndex],62)&gt;0,SUMIFS(T_StockCount[CountedQty],T_StockCount[Part Name],$A50,T_StockCount[WeekIndex],62),IF((('T_SelfStock'!BK54&lt;&gt;""))*(('T_TTAFStock'!BK54&lt;&gt;""))&gt;0,'T_SelfStock'!BK54+'T_TTAFStock'!BK54,BJ50+'Grid_Incoming'!BK50-'Grid_Requirement'!BK50))</f>
        <v/>
      </c>
      <c r="BL50">
        <f>IF(COUNTIFS(T_StockCount[Part Name],$A50,T_StockCount[WeekIndex],63)&gt;0,SUMIFS(T_StockCount[CountedQty],T_StockCount[Part Name],$A50,T_StockCount[WeekIndex],63),IF((('T_SelfStock'!BL54&lt;&gt;""))*(('T_TTAFStock'!BL54&lt;&gt;""))&gt;0,'T_SelfStock'!BL54+'T_TTAFStock'!BL54,BK50+'Grid_Incoming'!BL50-'Grid_Requirement'!BL50))</f>
        <v/>
      </c>
      <c r="BM50">
        <f>IF(COUNTIFS(T_StockCount[Part Name],$A50,T_StockCount[WeekIndex],64)&gt;0,SUMIFS(T_StockCount[CountedQty],T_StockCount[Part Name],$A50,T_StockCount[WeekIndex],64),IF((('T_SelfStock'!BM54&lt;&gt;""))*(('T_TTAFStock'!BM54&lt;&gt;""))&gt;0,'T_SelfStock'!BM54+'T_TTAFStock'!BM54,BL50+'Grid_Incoming'!BM50-'Grid_Requirement'!BM50))</f>
        <v/>
      </c>
      <c r="BN50">
        <f>IF(COUNTIFS(T_StockCount[Part Name],$A50,T_StockCount[WeekIndex],65)&gt;0,SUMIFS(T_StockCount[CountedQty],T_StockCount[Part Name],$A50,T_StockCount[WeekIndex],65),IF((('T_SelfStock'!BN54&lt;&gt;""))*(('T_TTAFStock'!BN54&lt;&gt;""))&gt;0,'T_SelfStock'!BN54+'T_TTAFStock'!BN54,BM50+'Grid_Incoming'!BN50-'Grid_Requirement'!BN50))</f>
        <v/>
      </c>
      <c r="BO50">
        <f>IF(COUNTIFS(T_StockCount[Part Name],$A50,T_StockCount[WeekIndex],66)&gt;0,SUMIFS(T_StockCount[CountedQty],T_StockCount[Part Name],$A50,T_StockCount[WeekIndex],66),IF((('T_SelfStock'!BO54&lt;&gt;""))*(('T_TTAFStock'!BO54&lt;&gt;""))&gt;0,'T_SelfStock'!BO54+'T_TTAFStock'!BO54,BN50+'Grid_Incoming'!BO50-'Grid_Requirement'!BO50))</f>
        <v/>
      </c>
      <c r="BP50">
        <f>IF(COUNTIFS(T_StockCount[Part Name],$A50,T_StockCount[WeekIndex],67)&gt;0,SUMIFS(T_StockCount[CountedQty],T_StockCount[Part Name],$A50,T_StockCount[WeekIndex],67),IF((('T_SelfStock'!BP54&lt;&gt;""))*(('T_TTAFStock'!BP54&lt;&gt;""))&gt;0,'T_SelfStock'!BP54+'T_TTAFStock'!BP54,BO50+'Grid_Incoming'!BP50-'Grid_Requirement'!BP50))</f>
        <v/>
      </c>
      <c r="BQ50">
        <f>IF(COUNTIFS(T_StockCount[Part Name],$A50,T_StockCount[WeekIndex],68)&gt;0,SUMIFS(T_StockCount[CountedQty],T_StockCount[Part Name],$A50,T_StockCount[WeekIndex],68),IF((('T_SelfStock'!BQ54&lt;&gt;""))*(('T_TTAFStock'!BQ54&lt;&gt;""))&gt;0,'T_SelfStock'!BQ54+'T_TTAFStock'!BQ54,BP50+'Grid_Incoming'!BQ50-'Grid_Requirement'!BQ50))</f>
        <v/>
      </c>
      <c r="BR50">
        <f>IF(COUNTIFS(T_StockCount[Part Name],$A50,T_StockCount[WeekIndex],69)&gt;0,SUMIFS(T_StockCount[CountedQty],T_StockCount[Part Name],$A50,T_StockCount[WeekIndex],69),IF((('T_SelfStock'!BR54&lt;&gt;""))*(('T_TTAFStock'!BR54&lt;&gt;""))&gt;0,'T_SelfStock'!BR54+'T_TTAFStock'!BR54,BQ50+'Grid_Incoming'!BR50-'Grid_Requirement'!BR50))</f>
        <v/>
      </c>
      <c r="BS50">
        <f>IF(COUNTIFS(T_StockCount[Part Name],$A50,T_StockCount[WeekIndex],70)&gt;0,SUMIFS(T_StockCount[CountedQty],T_StockCount[Part Name],$A50,T_StockCount[WeekIndex],70),IF((('T_SelfStock'!BS54&lt;&gt;""))*(('T_TTAFStock'!BS54&lt;&gt;""))&gt;0,'T_SelfStock'!BS54+'T_TTAFStock'!BS54,BR50+'Grid_Incoming'!BS50-'Grid_Requirement'!BS50))</f>
        <v/>
      </c>
      <c r="BT50">
        <f>IF(COUNTIFS(T_StockCount[Part Name],$A50,T_StockCount[WeekIndex],71)&gt;0,SUMIFS(T_StockCount[CountedQty],T_StockCount[Part Name],$A50,T_StockCount[WeekIndex],71),IF((('T_SelfStock'!BT54&lt;&gt;""))*(('T_TTAFStock'!BT54&lt;&gt;""))&gt;0,'T_SelfStock'!BT54+'T_TTAFStock'!BT54,BS50+'Grid_Incoming'!BT50-'Grid_Requirement'!BT50))</f>
        <v/>
      </c>
      <c r="BU50">
        <f>IF(COUNTIFS(T_StockCount[Part Name],$A50,T_StockCount[WeekIndex],72)&gt;0,SUMIFS(T_StockCount[CountedQty],T_StockCount[Part Name],$A50,T_StockCount[WeekIndex],72),IF((('T_SelfStock'!BU54&lt;&gt;""))*(('T_TTAFStock'!BU54&lt;&gt;""))&gt;0,'T_SelfStock'!BU54+'T_TTAFStock'!BU54,BT50+'Grid_Incoming'!BU50-'Grid_Requirement'!BU50))</f>
        <v/>
      </c>
      <c r="BV50">
        <f>IF(COUNTIFS(T_StockCount[Part Name],$A50,T_StockCount[WeekIndex],73)&gt;0,SUMIFS(T_StockCount[CountedQty],T_StockCount[Part Name],$A50,T_StockCount[WeekIndex],73),IF((('T_SelfStock'!BV54&lt;&gt;""))*(('T_TTAFStock'!BV54&lt;&gt;""))&gt;0,'T_SelfStock'!BV54+'T_TTAFStock'!BV54,BU50+'Grid_Incoming'!BV50-'Grid_Requirement'!BV50))</f>
        <v/>
      </c>
      <c r="BW50">
        <f>IF(COUNTIFS(T_StockCount[Part Name],$A50,T_StockCount[WeekIndex],74)&gt;0,SUMIFS(T_StockCount[CountedQty],T_StockCount[Part Name],$A50,T_StockCount[WeekIndex],74),IF((('T_SelfStock'!BW54&lt;&gt;""))*(('T_TTAFStock'!BW54&lt;&gt;""))&gt;0,'T_SelfStock'!BW54+'T_TTAFStock'!BW54,BV50+'Grid_Incoming'!BW50-'Grid_Requirement'!BW50))</f>
        <v/>
      </c>
      <c r="BX50">
        <f>IF(COUNTIFS(T_StockCount[Part Name],$A50,T_StockCount[WeekIndex],75)&gt;0,SUMIFS(T_StockCount[CountedQty],T_StockCount[Part Name],$A50,T_StockCount[WeekIndex],75),IF((('T_SelfStock'!BX54&lt;&gt;""))*(('T_TTAFStock'!BX54&lt;&gt;""))&gt;0,'T_SelfStock'!BX54+'T_TTAFStock'!BX54,BW50+'Grid_Incoming'!BX50-'Grid_Requirement'!BX50))</f>
        <v/>
      </c>
      <c r="BY50">
        <f>IF(COUNTIFS(T_StockCount[Part Name],$A50,T_StockCount[WeekIndex],76)&gt;0,SUMIFS(T_StockCount[CountedQty],T_StockCount[Part Name],$A50,T_StockCount[WeekIndex],76),IF((('T_SelfStock'!BY54&lt;&gt;""))*(('T_TTAFStock'!BY54&lt;&gt;""))&gt;0,'T_SelfStock'!BY54+'T_TTAFStock'!BY54,BX50+'Grid_Incoming'!BY50-'Grid_Requirement'!BY50))</f>
        <v/>
      </c>
      <c r="BZ50">
        <f>IF(COUNTIFS(T_StockCount[Part Name],$A50,T_StockCount[WeekIndex],77)&gt;0,SUMIFS(T_StockCount[CountedQty],T_StockCount[Part Name],$A50,T_StockCount[WeekIndex],77),IF((('T_SelfStock'!BZ54&lt;&gt;""))*(('T_TTAFStock'!BZ54&lt;&gt;""))&gt;0,'T_SelfStock'!BZ54+'T_TTAFStock'!BZ54,BY50+'Grid_Incoming'!BZ50-'Grid_Requirement'!BZ50))</f>
        <v/>
      </c>
      <c r="CA50">
        <f>IF(COUNTIFS(T_StockCount[Part Name],$A50,T_StockCount[WeekIndex],78)&gt;0,SUMIFS(T_StockCount[CountedQty],T_StockCount[Part Name],$A50,T_StockCount[WeekIndex],78),IF((('T_SelfStock'!CA54&lt;&gt;""))*(('T_TTAFStock'!CA54&lt;&gt;""))&gt;0,'T_SelfStock'!CA54+'T_TTAFStock'!CA54,BZ50+'Grid_Incoming'!CA50-'Grid_Requirement'!CA50))</f>
        <v/>
      </c>
      <c r="CB50">
        <f>IF(COUNTIFS(T_StockCount[Part Name],$A50,T_StockCount[WeekIndex],79)&gt;0,SUMIFS(T_StockCount[CountedQty],T_StockCount[Part Name],$A50,T_StockCount[WeekIndex],79),IF((('T_SelfStock'!CB54&lt;&gt;""))*(('T_TTAFStock'!CB54&lt;&gt;""))&gt;0,'T_SelfStock'!CB54+'T_TTAFStock'!CB54,CA50+'Grid_Incoming'!CB50-'Grid_Requirement'!CB50))</f>
        <v/>
      </c>
      <c r="CC50">
        <f>IF(COUNTIFS(T_StockCount[Part Name],$A50,T_StockCount[WeekIndex],80)&gt;0,SUMIFS(T_StockCount[CountedQty],T_StockCount[Part Name],$A50,T_StockCount[WeekIndex],80),IF((('T_SelfStock'!CC54&lt;&gt;""))*(('T_TTAFStock'!CC54&lt;&gt;""))&gt;0,'T_SelfStock'!CC54+'T_TTAFStock'!CC54,CB50+'Grid_Incoming'!CC50-'Grid_Requirement'!CC50))</f>
        <v/>
      </c>
      <c r="CD50">
        <f>IF(COUNTIFS(T_StockCount[Part Name],$A50,T_StockCount[WeekIndex],81)&gt;0,SUMIFS(T_StockCount[CountedQty],T_StockCount[Part Name],$A50,T_StockCount[WeekIndex],81),IF((('T_SelfStock'!CD54&lt;&gt;""))*(('T_TTAFStock'!CD54&lt;&gt;""))&gt;0,'T_SelfStock'!CD54+'T_TTAFStock'!CD54,CC50+'Grid_Incoming'!CD50-'Grid_Requirement'!CD50))</f>
        <v/>
      </c>
      <c r="CE50">
        <f>IF(COUNTIFS(T_StockCount[Part Name],$A50,T_StockCount[WeekIndex],82)&gt;0,SUMIFS(T_StockCount[CountedQty],T_StockCount[Part Name],$A50,T_StockCount[WeekIndex],82),IF((('T_SelfStock'!CE54&lt;&gt;""))*(('T_TTAFStock'!CE54&lt;&gt;""))&gt;0,'T_SelfStock'!CE54+'T_TTAFStock'!CE54,CD50+'Grid_Incoming'!CE50-'Grid_Requirement'!CE50))</f>
        <v/>
      </c>
      <c r="CF50">
        <f>IF(COUNTIFS(T_StockCount[Part Name],$A50,T_StockCount[WeekIndex],83)&gt;0,SUMIFS(T_StockCount[CountedQty],T_StockCount[Part Name],$A50,T_StockCount[WeekIndex],83),IF((('T_SelfStock'!CF54&lt;&gt;""))*(('T_TTAFStock'!CF54&lt;&gt;""))&gt;0,'T_SelfStock'!CF54+'T_TTAFStock'!CF54,CE50+'Grid_Incoming'!CF50-'Grid_Requirement'!CF50))</f>
        <v/>
      </c>
      <c r="CG50">
        <f>IF(COUNTIFS(T_StockCount[Part Name],$A50,T_StockCount[WeekIndex],84)&gt;0,SUMIFS(T_StockCount[CountedQty],T_StockCount[Part Name],$A50,T_StockCount[WeekIndex],84),IF((('T_SelfStock'!CG54&lt;&gt;""))*(('T_TTAFStock'!CG54&lt;&gt;""))&gt;0,'T_SelfStock'!CG54+'T_TTAFStock'!CG54,CF50+'Grid_Incoming'!CG50-'Grid_Requirement'!CG50))</f>
        <v/>
      </c>
      <c r="CH50">
        <f>IF(COUNTIFS(T_StockCount[Part Name],$A50,T_StockCount[WeekIndex],85)&gt;0,SUMIFS(T_StockCount[CountedQty],T_StockCount[Part Name],$A50,T_StockCount[WeekIndex],85),IF((('T_SelfStock'!CH54&lt;&gt;""))*(('T_TTAFStock'!CH54&lt;&gt;""))&gt;0,'T_SelfStock'!CH54+'T_TTAFStock'!CH54,CG50+'Grid_Incoming'!CH50-'Grid_Requirement'!CH50))</f>
        <v/>
      </c>
      <c r="CI50">
        <f>IF(COUNTIFS(T_StockCount[Part Name],$A50,T_StockCount[WeekIndex],86)&gt;0,SUMIFS(T_StockCount[CountedQty],T_StockCount[Part Name],$A50,T_StockCount[WeekIndex],86),IF((('T_SelfStock'!CI54&lt;&gt;""))*(('T_TTAFStock'!CI54&lt;&gt;""))&gt;0,'T_SelfStock'!CI54+'T_TTAFStock'!CI54,CH50+'Grid_Incoming'!CI50-'Grid_Requirement'!CI50))</f>
        <v/>
      </c>
      <c r="CJ50">
        <f>IF(COUNTIFS(T_StockCount[Part Name],$A50,T_StockCount[WeekIndex],87)&gt;0,SUMIFS(T_StockCount[CountedQty],T_StockCount[Part Name],$A50,T_StockCount[WeekIndex],87),IF((('T_SelfStock'!CJ54&lt;&gt;""))*(('T_TTAFStock'!CJ54&lt;&gt;""))&gt;0,'T_SelfStock'!CJ54+'T_TTAFStock'!CJ54,CI50+'Grid_Incoming'!CJ50-'Grid_Requirement'!CJ50))</f>
        <v/>
      </c>
      <c r="CK50">
        <f>IF(COUNTIFS(T_StockCount[Part Name],$A50,T_StockCount[WeekIndex],88)&gt;0,SUMIFS(T_StockCount[CountedQty],T_StockCount[Part Name],$A50,T_StockCount[WeekIndex],88),IF((('T_SelfStock'!CK54&lt;&gt;""))*(('T_TTAFStock'!CK54&lt;&gt;""))&gt;0,'T_SelfStock'!CK54+'T_TTAFStock'!CK54,CJ50+'Grid_Incoming'!CK50-'Grid_Requirement'!CK50))</f>
        <v/>
      </c>
      <c r="CL50">
        <f>IF(COUNTIFS(T_StockCount[Part Name],$A50,T_StockCount[WeekIndex],89)&gt;0,SUMIFS(T_StockCount[CountedQty],T_StockCount[Part Name],$A50,T_StockCount[WeekIndex],89),IF((('T_SelfStock'!CL54&lt;&gt;""))*(('T_TTAFStock'!CL54&lt;&gt;""))&gt;0,'T_SelfStock'!CL54+'T_TTAFStock'!CL54,CK50+'Grid_Incoming'!CL50-'Grid_Requirement'!CL50))</f>
        <v/>
      </c>
      <c r="CM50">
        <f>IF(COUNTIFS(T_StockCount[Part Name],$A50,T_StockCount[WeekIndex],90)&gt;0,SUMIFS(T_StockCount[CountedQty],T_StockCount[Part Name],$A50,T_StockCount[WeekIndex],90),IF((('T_SelfStock'!CM54&lt;&gt;""))*(('T_TTAFStock'!CM54&lt;&gt;""))&gt;0,'T_SelfStock'!CM54+'T_TTAFStock'!CM54,CL50+'Grid_Incoming'!CM50-'Grid_Requirement'!CM50))</f>
        <v/>
      </c>
      <c r="CN50">
        <f>IF(COUNTIFS(T_StockCount[Part Name],$A50,T_StockCount[WeekIndex],91)&gt;0,SUMIFS(T_StockCount[CountedQty],T_StockCount[Part Name],$A50,T_StockCount[WeekIndex],91),IF((('T_SelfStock'!CN54&lt;&gt;""))*(('T_TTAFStock'!CN54&lt;&gt;""))&gt;0,'T_SelfStock'!CN54+'T_TTAFStock'!CN54,CM50+'Grid_Incoming'!CN50-'Grid_Requirement'!CN50))</f>
        <v/>
      </c>
      <c r="CO50">
        <f>IF(COUNTIFS(T_StockCount[Part Name],$A50,T_StockCount[WeekIndex],92)&gt;0,SUMIFS(T_StockCount[CountedQty],T_StockCount[Part Name],$A50,T_StockCount[WeekIndex],92),IF((('T_SelfStock'!CO54&lt;&gt;""))*(('T_TTAFStock'!CO54&lt;&gt;""))&gt;0,'T_SelfStock'!CO54+'T_TTAFStock'!CO54,CN50+'Grid_Incoming'!CO50-'Grid_Requirement'!CO50))</f>
        <v/>
      </c>
      <c r="CP50">
        <f>IF(COUNTIFS(T_StockCount[Part Name],$A50,T_StockCount[WeekIndex],93)&gt;0,SUMIFS(T_StockCount[CountedQty],T_StockCount[Part Name],$A50,T_StockCount[WeekIndex],93),IF((('T_SelfStock'!CP54&lt;&gt;""))*(('T_TTAFStock'!CP54&lt;&gt;""))&gt;0,'T_SelfStock'!CP54+'T_TTAFStock'!CP54,CO50+'Grid_Incoming'!CP50-'Grid_Requirement'!CP50))</f>
        <v/>
      </c>
      <c r="CQ50">
        <f>IF(COUNTIFS(T_StockCount[Part Name],$A50,T_StockCount[WeekIndex],94)&gt;0,SUMIFS(T_StockCount[CountedQty],T_StockCount[Part Name],$A50,T_StockCount[WeekIndex],94),IF((('T_SelfStock'!CQ54&lt;&gt;""))*(('T_TTAFStock'!CQ54&lt;&gt;""))&gt;0,'T_SelfStock'!CQ54+'T_TTAFStock'!CQ54,CP50+'Grid_Incoming'!CQ50-'Grid_Requirement'!CQ50))</f>
        <v/>
      </c>
      <c r="CR50">
        <f>IF(COUNTIFS(T_StockCount[Part Name],$A50,T_StockCount[WeekIndex],95)&gt;0,SUMIFS(T_StockCount[CountedQty],T_StockCount[Part Name],$A50,T_StockCount[WeekIndex],95),IF((('T_SelfStock'!CR54&lt;&gt;""))*(('T_TTAFStock'!CR54&lt;&gt;""))&gt;0,'T_SelfStock'!CR54+'T_TTAFStock'!CR54,CQ50+'Grid_Incoming'!CR50-'Grid_Requirement'!CR50))</f>
        <v/>
      </c>
      <c r="CS50">
        <f>IF(COUNTIFS(T_StockCount[Part Name],$A50,T_StockCount[WeekIndex],96)&gt;0,SUMIFS(T_StockCount[CountedQty],T_StockCount[Part Name],$A50,T_StockCount[WeekIndex],96),IF((('T_SelfStock'!CS54&lt;&gt;""))*(('T_TTAFStock'!CS54&lt;&gt;""))&gt;0,'T_SelfStock'!CS54+'T_TTAFStock'!CS54,CR50+'Grid_Incoming'!CS50-'Grid_Requirement'!CS50))</f>
        <v/>
      </c>
      <c r="CT50">
        <f>IF(COUNTIFS(T_StockCount[Part Name],$A50,T_StockCount[WeekIndex],97)&gt;0,SUMIFS(T_StockCount[CountedQty],T_StockCount[Part Name],$A50,T_StockCount[WeekIndex],97),IF((('T_SelfStock'!CT54&lt;&gt;""))*(('T_TTAFStock'!CT54&lt;&gt;""))&gt;0,'T_SelfStock'!CT54+'T_TTAFStock'!CT54,CS50+'Grid_Incoming'!CT50-'Grid_Requirement'!CT50))</f>
        <v/>
      </c>
      <c r="CU50">
        <f>IF(COUNTIFS(T_StockCount[Part Name],$A50,T_StockCount[WeekIndex],98)&gt;0,SUMIFS(T_StockCount[CountedQty],T_StockCount[Part Name],$A50,T_StockCount[WeekIndex],98),IF((('T_SelfStock'!CU54&lt;&gt;""))*(('T_TTAFStock'!CU54&lt;&gt;""))&gt;0,'T_SelfStock'!CU54+'T_TTAFStock'!CU54,CT50+'Grid_Incoming'!CU50-'Grid_Requirement'!CU50))</f>
        <v/>
      </c>
      <c r="CV50">
        <f>IF(COUNTIFS(T_StockCount[Part Name],$A50,T_StockCount[WeekIndex],99)&gt;0,SUMIFS(T_StockCount[CountedQty],T_StockCount[Part Name],$A50,T_StockCount[WeekIndex],99),IF((('T_SelfStock'!CV54&lt;&gt;""))*(('T_TTAFStock'!CV54&lt;&gt;""))&gt;0,'T_SelfStock'!CV54+'T_TTAFStock'!CV54,CU50+'Grid_Incoming'!CV50-'Grid_Requirement'!CV50))</f>
        <v/>
      </c>
      <c r="CW50">
        <f>IF(COUNTIFS(T_StockCount[Part Name],$A50,T_StockCount[WeekIndex],100)&gt;0,SUMIFS(T_StockCount[CountedQty],T_StockCount[Part Name],$A50,T_StockCount[WeekIndex],100),IF((('T_SelfStock'!CW54&lt;&gt;""))*(('T_TTAFStock'!CW54&lt;&gt;""))&gt;0,'T_SelfStock'!CW54+'T_TTAFStock'!CW54,CV50+'Grid_Incoming'!CW50-'Grid_Requirement'!CW50))</f>
        <v/>
      </c>
      <c r="CX50">
        <f>IF(COUNTIFS(T_StockCount[Part Name],$A50,T_StockCount[WeekIndex],101)&gt;0,SUMIFS(T_StockCount[CountedQty],T_StockCount[Part Name],$A50,T_StockCount[WeekIndex],101),IF((('T_SelfStock'!CX54&lt;&gt;""))*(('T_TTAFStock'!CX54&lt;&gt;""))&gt;0,'T_SelfStock'!CX54+'T_TTAFStock'!CX54,CW50+'Grid_Incoming'!CX50-'Grid_Requirement'!CX50))</f>
        <v/>
      </c>
      <c r="CY50">
        <f>IF(COUNTIFS(T_StockCount[Part Name],$A50,T_StockCount[WeekIndex],102)&gt;0,SUMIFS(T_StockCount[CountedQty],T_StockCount[Part Name],$A50,T_StockCount[WeekIndex],102),IF((('T_SelfStock'!CY54&lt;&gt;""))*(('T_TTAFStock'!CY54&lt;&gt;""))&gt;0,'T_SelfStock'!CY54+'T_TTAFStock'!CY54,CX50+'Grid_Incoming'!CY50-'Grid_Requirement'!CY50))</f>
        <v/>
      </c>
      <c r="CZ50">
        <f>IF(COUNTIFS(T_StockCount[Part Name],$A50,T_StockCount[WeekIndex],103)&gt;0,SUMIFS(T_StockCount[CountedQty],T_StockCount[Part Name],$A50,T_StockCount[WeekIndex],103),IF((('T_SelfStock'!CZ54&lt;&gt;""))*(('T_TTAFStock'!CZ54&lt;&gt;""))&gt;0,'T_SelfStock'!CZ54+'T_TTAFStock'!CZ54,CY50+'Grid_Incoming'!CZ50-'Grid_Requirement'!CZ50))</f>
        <v/>
      </c>
      <c r="DA50">
        <f>IF(COUNTIFS(T_StockCount[Part Name],$A50,T_StockCount[WeekIndex],104)&gt;0,SUMIFS(T_StockCount[CountedQty],T_StockCount[Part Name],$A50,T_StockCount[WeekIndex],104),IF((('T_SelfStock'!DA54&lt;&gt;""))*(('T_TTAFStock'!DA54&lt;&gt;""))&gt;0,'T_SelfStock'!DA54+'T_TTAFStock'!DA54,CZ50+'Grid_Incoming'!DA50-'Grid_Requirement'!DA50))</f>
        <v/>
      </c>
    </row>
    <row r="51">
      <c r="A51" t="inlineStr">
        <is>
          <t>CHEM-1850</t>
        </is>
      </c>
      <c r="B51">
        <f>IF(COUNTIFS(T_StockCount[Part Name],$A51,T_StockCount[WeekIndex],1)&gt;0,SUMIFS(T_StockCount[CountedQty],T_StockCount[Part Name],$A51,T_StockCount[WeekIndex],1),IF((('T_SelfStock'!B55&lt;&gt;""))*(('T_TTAFStock'!B55&lt;&gt;""))&gt;0,'T_SelfStock'!B55+'T_TTAFStock'!B55,IFERROR(INDEX(T_OpeningStock[Opening_Qty],MATCH($A51,T_OpeningStock[Part Name],0)),0)+'Grid_Incoming'!B51-'Grid_Requirement'!B51))</f>
        <v/>
      </c>
      <c r="C51">
        <f>IF(COUNTIFS(T_StockCount[Part Name],$A51,T_StockCount[WeekIndex],2)&gt;0,SUMIFS(T_StockCount[CountedQty],T_StockCount[Part Name],$A51,T_StockCount[WeekIndex],2),IF((('T_SelfStock'!C55&lt;&gt;""))*(('T_TTAFStock'!C55&lt;&gt;""))&gt;0,'T_SelfStock'!C55+'T_TTAFStock'!C55,B51+'Grid_Incoming'!C51-'Grid_Requirement'!C51))</f>
        <v/>
      </c>
      <c r="D51">
        <f>IF(COUNTIFS(T_StockCount[Part Name],$A51,T_StockCount[WeekIndex],3)&gt;0,SUMIFS(T_StockCount[CountedQty],T_StockCount[Part Name],$A51,T_StockCount[WeekIndex],3),IF((('T_SelfStock'!D55&lt;&gt;""))*(('T_TTAFStock'!D55&lt;&gt;""))&gt;0,'T_SelfStock'!D55+'T_TTAFStock'!D55,C51+'Grid_Incoming'!D51-'Grid_Requirement'!D51))</f>
        <v/>
      </c>
      <c r="E51">
        <f>IF(COUNTIFS(T_StockCount[Part Name],$A51,T_StockCount[WeekIndex],4)&gt;0,SUMIFS(T_StockCount[CountedQty],T_StockCount[Part Name],$A51,T_StockCount[WeekIndex],4),IF((('T_SelfStock'!E55&lt;&gt;""))*(('T_TTAFStock'!E55&lt;&gt;""))&gt;0,'T_SelfStock'!E55+'T_TTAFStock'!E55,D51+'Grid_Incoming'!E51-'Grid_Requirement'!E51))</f>
        <v/>
      </c>
      <c r="F51">
        <f>IF(COUNTIFS(T_StockCount[Part Name],$A51,T_StockCount[WeekIndex],5)&gt;0,SUMIFS(T_StockCount[CountedQty],T_StockCount[Part Name],$A51,T_StockCount[WeekIndex],5),IF((('T_SelfStock'!F55&lt;&gt;""))*(('T_TTAFStock'!F55&lt;&gt;""))&gt;0,'T_SelfStock'!F55+'T_TTAFStock'!F55,E51+'Grid_Incoming'!F51-'Grid_Requirement'!F51))</f>
        <v/>
      </c>
      <c r="G51">
        <f>IF(COUNTIFS(T_StockCount[Part Name],$A51,T_StockCount[WeekIndex],6)&gt;0,SUMIFS(T_StockCount[CountedQty],T_StockCount[Part Name],$A51,T_StockCount[WeekIndex],6),IF((('T_SelfStock'!G55&lt;&gt;""))*(('T_TTAFStock'!G55&lt;&gt;""))&gt;0,'T_SelfStock'!G55+'T_TTAFStock'!G55,F51+'Grid_Incoming'!G51-'Grid_Requirement'!G51))</f>
        <v/>
      </c>
      <c r="H51">
        <f>IF(COUNTIFS(T_StockCount[Part Name],$A51,T_StockCount[WeekIndex],7)&gt;0,SUMIFS(T_StockCount[CountedQty],T_StockCount[Part Name],$A51,T_StockCount[WeekIndex],7),IF((('T_SelfStock'!H55&lt;&gt;""))*(('T_TTAFStock'!H55&lt;&gt;""))&gt;0,'T_SelfStock'!H55+'T_TTAFStock'!H55,G51+'Grid_Incoming'!H51-'Grid_Requirement'!H51))</f>
        <v/>
      </c>
      <c r="I51">
        <f>IF(COUNTIFS(T_StockCount[Part Name],$A51,T_StockCount[WeekIndex],8)&gt;0,SUMIFS(T_StockCount[CountedQty],T_StockCount[Part Name],$A51,T_StockCount[WeekIndex],8),IF((('T_SelfStock'!I55&lt;&gt;""))*(('T_TTAFStock'!I55&lt;&gt;""))&gt;0,'T_SelfStock'!I55+'T_TTAFStock'!I55,H51+'Grid_Incoming'!I51-'Grid_Requirement'!I51))</f>
        <v/>
      </c>
      <c r="J51">
        <f>IF(COUNTIFS(T_StockCount[Part Name],$A51,T_StockCount[WeekIndex],9)&gt;0,SUMIFS(T_StockCount[CountedQty],T_StockCount[Part Name],$A51,T_StockCount[WeekIndex],9),IF((('T_SelfStock'!J55&lt;&gt;""))*(('T_TTAFStock'!J55&lt;&gt;""))&gt;0,'T_SelfStock'!J55+'T_TTAFStock'!J55,I51+'Grid_Incoming'!J51-'Grid_Requirement'!J51))</f>
        <v/>
      </c>
      <c r="K51">
        <f>IF(COUNTIFS(T_StockCount[Part Name],$A51,T_StockCount[WeekIndex],10)&gt;0,SUMIFS(T_StockCount[CountedQty],T_StockCount[Part Name],$A51,T_StockCount[WeekIndex],10),IF((('T_SelfStock'!K55&lt;&gt;""))*(('T_TTAFStock'!K55&lt;&gt;""))&gt;0,'T_SelfStock'!K55+'T_TTAFStock'!K55,J51+'Grid_Incoming'!K51-'Grid_Requirement'!K51))</f>
        <v/>
      </c>
      <c r="L51">
        <f>IF(COUNTIFS(T_StockCount[Part Name],$A51,T_StockCount[WeekIndex],11)&gt;0,SUMIFS(T_StockCount[CountedQty],T_StockCount[Part Name],$A51,T_StockCount[WeekIndex],11),IF((('T_SelfStock'!L55&lt;&gt;""))*(('T_TTAFStock'!L55&lt;&gt;""))&gt;0,'T_SelfStock'!L55+'T_TTAFStock'!L55,K51+'Grid_Incoming'!L51-'Grid_Requirement'!L51))</f>
        <v/>
      </c>
      <c r="M51">
        <f>IF(COUNTIFS(T_StockCount[Part Name],$A51,T_StockCount[WeekIndex],12)&gt;0,SUMIFS(T_StockCount[CountedQty],T_StockCount[Part Name],$A51,T_StockCount[WeekIndex],12),IF((('T_SelfStock'!M55&lt;&gt;""))*(('T_TTAFStock'!M55&lt;&gt;""))&gt;0,'T_SelfStock'!M55+'T_TTAFStock'!M55,L51+'Grid_Incoming'!M51-'Grid_Requirement'!M51))</f>
        <v/>
      </c>
      <c r="N51">
        <f>IF(COUNTIFS(T_StockCount[Part Name],$A51,T_StockCount[WeekIndex],13)&gt;0,SUMIFS(T_StockCount[CountedQty],T_StockCount[Part Name],$A51,T_StockCount[WeekIndex],13),IF((('T_SelfStock'!N55&lt;&gt;""))*(('T_TTAFStock'!N55&lt;&gt;""))&gt;0,'T_SelfStock'!N55+'T_TTAFStock'!N55,M51+'Grid_Incoming'!N51-'Grid_Requirement'!N51))</f>
        <v/>
      </c>
      <c r="O51">
        <f>IF(COUNTIFS(T_StockCount[Part Name],$A51,T_StockCount[WeekIndex],14)&gt;0,SUMIFS(T_StockCount[CountedQty],T_StockCount[Part Name],$A51,T_StockCount[WeekIndex],14),IF((('T_SelfStock'!O55&lt;&gt;""))*(('T_TTAFStock'!O55&lt;&gt;""))&gt;0,'T_SelfStock'!O55+'T_TTAFStock'!O55,N51+'Grid_Incoming'!O51-'Grid_Requirement'!O51))</f>
        <v/>
      </c>
      <c r="P51">
        <f>IF(COUNTIFS(T_StockCount[Part Name],$A51,T_StockCount[WeekIndex],15)&gt;0,SUMIFS(T_StockCount[CountedQty],T_StockCount[Part Name],$A51,T_StockCount[WeekIndex],15),IF((('T_SelfStock'!P55&lt;&gt;""))*(('T_TTAFStock'!P55&lt;&gt;""))&gt;0,'T_SelfStock'!P55+'T_TTAFStock'!P55,O51+'Grid_Incoming'!P51-'Grid_Requirement'!P51))</f>
        <v/>
      </c>
      <c r="Q51">
        <f>IF(COUNTIFS(T_StockCount[Part Name],$A51,T_StockCount[WeekIndex],16)&gt;0,SUMIFS(T_StockCount[CountedQty],T_StockCount[Part Name],$A51,T_StockCount[WeekIndex],16),IF((('T_SelfStock'!Q55&lt;&gt;""))*(('T_TTAFStock'!Q55&lt;&gt;""))&gt;0,'T_SelfStock'!Q55+'T_TTAFStock'!Q55,P51+'Grid_Incoming'!Q51-'Grid_Requirement'!Q51))</f>
        <v/>
      </c>
      <c r="R51">
        <f>IF(COUNTIFS(T_StockCount[Part Name],$A51,T_StockCount[WeekIndex],17)&gt;0,SUMIFS(T_StockCount[CountedQty],T_StockCount[Part Name],$A51,T_StockCount[WeekIndex],17),IF((('T_SelfStock'!R55&lt;&gt;""))*(('T_TTAFStock'!R55&lt;&gt;""))&gt;0,'T_SelfStock'!R55+'T_TTAFStock'!R55,Q51+'Grid_Incoming'!R51-'Grid_Requirement'!R51))</f>
        <v/>
      </c>
      <c r="S51">
        <f>IF(COUNTIFS(T_StockCount[Part Name],$A51,T_StockCount[WeekIndex],18)&gt;0,SUMIFS(T_StockCount[CountedQty],T_StockCount[Part Name],$A51,T_StockCount[WeekIndex],18),IF((('T_SelfStock'!S55&lt;&gt;""))*(('T_TTAFStock'!S55&lt;&gt;""))&gt;0,'T_SelfStock'!S55+'T_TTAFStock'!S55,R51+'Grid_Incoming'!S51-'Grid_Requirement'!S51))</f>
        <v/>
      </c>
      <c r="T51">
        <f>IF(COUNTIFS(T_StockCount[Part Name],$A51,T_StockCount[WeekIndex],19)&gt;0,SUMIFS(T_StockCount[CountedQty],T_StockCount[Part Name],$A51,T_StockCount[WeekIndex],19),IF((('T_SelfStock'!T55&lt;&gt;""))*(('T_TTAFStock'!T55&lt;&gt;""))&gt;0,'T_SelfStock'!T55+'T_TTAFStock'!T55,S51+'Grid_Incoming'!T51-'Grid_Requirement'!T51))</f>
        <v/>
      </c>
      <c r="U51">
        <f>IF(COUNTIFS(T_StockCount[Part Name],$A51,T_StockCount[WeekIndex],20)&gt;0,SUMIFS(T_StockCount[CountedQty],T_StockCount[Part Name],$A51,T_StockCount[WeekIndex],20),IF((('T_SelfStock'!U55&lt;&gt;""))*(('T_TTAFStock'!U55&lt;&gt;""))&gt;0,'T_SelfStock'!U55+'T_TTAFStock'!U55,T51+'Grid_Incoming'!U51-'Grid_Requirement'!U51))</f>
        <v/>
      </c>
      <c r="V51">
        <f>IF(COUNTIFS(T_StockCount[Part Name],$A51,T_StockCount[WeekIndex],21)&gt;0,SUMIFS(T_StockCount[CountedQty],T_StockCount[Part Name],$A51,T_StockCount[WeekIndex],21),IF((('T_SelfStock'!V55&lt;&gt;""))*(('T_TTAFStock'!V55&lt;&gt;""))&gt;0,'T_SelfStock'!V55+'T_TTAFStock'!V55,U51+'Grid_Incoming'!V51-'Grid_Requirement'!V51))</f>
        <v/>
      </c>
      <c r="W51">
        <f>IF(COUNTIFS(T_StockCount[Part Name],$A51,T_StockCount[WeekIndex],22)&gt;0,SUMIFS(T_StockCount[CountedQty],T_StockCount[Part Name],$A51,T_StockCount[WeekIndex],22),IF((('T_SelfStock'!W55&lt;&gt;""))*(('T_TTAFStock'!W55&lt;&gt;""))&gt;0,'T_SelfStock'!W55+'T_TTAFStock'!W55,V51+'Grid_Incoming'!W51-'Grid_Requirement'!W51))</f>
        <v/>
      </c>
      <c r="X51">
        <f>IF(COUNTIFS(T_StockCount[Part Name],$A51,T_StockCount[WeekIndex],23)&gt;0,SUMIFS(T_StockCount[CountedQty],T_StockCount[Part Name],$A51,T_StockCount[WeekIndex],23),IF((('T_SelfStock'!X55&lt;&gt;""))*(('T_TTAFStock'!X55&lt;&gt;""))&gt;0,'T_SelfStock'!X55+'T_TTAFStock'!X55,W51+'Grid_Incoming'!X51-'Grid_Requirement'!X51))</f>
        <v/>
      </c>
      <c r="Y51">
        <f>IF(COUNTIFS(T_StockCount[Part Name],$A51,T_StockCount[WeekIndex],24)&gt;0,SUMIFS(T_StockCount[CountedQty],T_StockCount[Part Name],$A51,T_StockCount[WeekIndex],24),IF((('T_SelfStock'!Y55&lt;&gt;""))*(('T_TTAFStock'!Y55&lt;&gt;""))&gt;0,'T_SelfStock'!Y55+'T_TTAFStock'!Y55,X51+'Grid_Incoming'!Y51-'Grid_Requirement'!Y51))</f>
        <v/>
      </c>
      <c r="Z51">
        <f>IF(COUNTIFS(T_StockCount[Part Name],$A51,T_StockCount[WeekIndex],25)&gt;0,SUMIFS(T_StockCount[CountedQty],T_StockCount[Part Name],$A51,T_StockCount[WeekIndex],25),IF((('T_SelfStock'!Z55&lt;&gt;""))*(('T_TTAFStock'!Z55&lt;&gt;""))&gt;0,'T_SelfStock'!Z55+'T_TTAFStock'!Z55,Y51+'Grid_Incoming'!Z51-'Grid_Requirement'!Z51))</f>
        <v/>
      </c>
      <c r="AA51">
        <f>IF(COUNTIFS(T_StockCount[Part Name],$A51,T_StockCount[WeekIndex],26)&gt;0,SUMIFS(T_StockCount[CountedQty],T_StockCount[Part Name],$A51,T_StockCount[WeekIndex],26),IF((('T_SelfStock'!AA55&lt;&gt;""))*(('T_TTAFStock'!AA55&lt;&gt;""))&gt;0,'T_SelfStock'!AA55+'T_TTAFStock'!AA55,Z51+'Grid_Incoming'!AA51-'Grid_Requirement'!AA51))</f>
        <v/>
      </c>
      <c r="AB51">
        <f>IF(COUNTIFS(T_StockCount[Part Name],$A51,T_StockCount[WeekIndex],27)&gt;0,SUMIFS(T_StockCount[CountedQty],T_StockCount[Part Name],$A51,T_StockCount[WeekIndex],27),IF((('T_SelfStock'!AB55&lt;&gt;""))*(('T_TTAFStock'!AB55&lt;&gt;""))&gt;0,'T_SelfStock'!AB55+'T_TTAFStock'!AB55,AA51+'Grid_Incoming'!AB51-'Grid_Requirement'!AB51))</f>
        <v/>
      </c>
      <c r="AC51">
        <f>IF(COUNTIFS(T_StockCount[Part Name],$A51,T_StockCount[WeekIndex],28)&gt;0,SUMIFS(T_StockCount[CountedQty],T_StockCount[Part Name],$A51,T_StockCount[WeekIndex],28),IF((('T_SelfStock'!AC55&lt;&gt;""))*(('T_TTAFStock'!AC55&lt;&gt;""))&gt;0,'T_SelfStock'!AC55+'T_TTAFStock'!AC55,AB51+'Grid_Incoming'!AC51-'Grid_Requirement'!AC51))</f>
        <v/>
      </c>
      <c r="AD51">
        <f>IF(COUNTIFS(T_StockCount[Part Name],$A51,T_StockCount[WeekIndex],29)&gt;0,SUMIFS(T_StockCount[CountedQty],T_StockCount[Part Name],$A51,T_StockCount[WeekIndex],29),IF((('T_SelfStock'!AD55&lt;&gt;""))*(('T_TTAFStock'!AD55&lt;&gt;""))&gt;0,'T_SelfStock'!AD55+'T_TTAFStock'!AD55,AC51+'Grid_Incoming'!AD51-'Grid_Requirement'!AD51))</f>
        <v/>
      </c>
      <c r="AE51">
        <f>IF(COUNTIFS(T_StockCount[Part Name],$A51,T_StockCount[WeekIndex],30)&gt;0,SUMIFS(T_StockCount[CountedQty],T_StockCount[Part Name],$A51,T_StockCount[WeekIndex],30),IF((('T_SelfStock'!AE55&lt;&gt;""))*(('T_TTAFStock'!AE55&lt;&gt;""))&gt;0,'T_SelfStock'!AE55+'T_TTAFStock'!AE55,AD51+'Grid_Incoming'!AE51-'Grid_Requirement'!AE51))</f>
        <v/>
      </c>
      <c r="AF51">
        <f>IF(COUNTIFS(T_StockCount[Part Name],$A51,T_StockCount[WeekIndex],31)&gt;0,SUMIFS(T_StockCount[CountedQty],T_StockCount[Part Name],$A51,T_StockCount[WeekIndex],31),IF((('T_SelfStock'!AF55&lt;&gt;""))*(('T_TTAFStock'!AF55&lt;&gt;""))&gt;0,'T_SelfStock'!AF55+'T_TTAFStock'!AF55,AE51+'Grid_Incoming'!AF51-'Grid_Requirement'!AF51))</f>
        <v/>
      </c>
      <c r="AG51">
        <f>IF(COUNTIFS(T_StockCount[Part Name],$A51,T_StockCount[WeekIndex],32)&gt;0,SUMIFS(T_StockCount[CountedQty],T_StockCount[Part Name],$A51,T_StockCount[WeekIndex],32),IF((('T_SelfStock'!AG55&lt;&gt;""))*(('T_TTAFStock'!AG55&lt;&gt;""))&gt;0,'T_SelfStock'!AG55+'T_TTAFStock'!AG55,AF51+'Grid_Incoming'!AG51-'Grid_Requirement'!AG51))</f>
        <v/>
      </c>
      <c r="AH51">
        <f>IF(COUNTIFS(T_StockCount[Part Name],$A51,T_StockCount[WeekIndex],33)&gt;0,SUMIFS(T_StockCount[CountedQty],T_StockCount[Part Name],$A51,T_StockCount[WeekIndex],33),IF((('T_SelfStock'!AH55&lt;&gt;""))*(('T_TTAFStock'!AH55&lt;&gt;""))&gt;0,'T_SelfStock'!AH55+'T_TTAFStock'!AH55,AG51+'Grid_Incoming'!AH51-'Grid_Requirement'!AH51))</f>
        <v/>
      </c>
      <c r="AI51">
        <f>IF(COUNTIFS(T_StockCount[Part Name],$A51,T_StockCount[WeekIndex],34)&gt;0,SUMIFS(T_StockCount[CountedQty],T_StockCount[Part Name],$A51,T_StockCount[WeekIndex],34),IF((('T_SelfStock'!AI55&lt;&gt;""))*(('T_TTAFStock'!AI55&lt;&gt;""))&gt;0,'T_SelfStock'!AI55+'T_TTAFStock'!AI55,AH51+'Grid_Incoming'!AI51-'Grid_Requirement'!AI51))</f>
        <v/>
      </c>
      <c r="AJ51">
        <f>IF(COUNTIFS(T_StockCount[Part Name],$A51,T_StockCount[WeekIndex],35)&gt;0,SUMIFS(T_StockCount[CountedQty],T_StockCount[Part Name],$A51,T_StockCount[WeekIndex],35),IF((('T_SelfStock'!AJ55&lt;&gt;""))*(('T_TTAFStock'!AJ55&lt;&gt;""))&gt;0,'T_SelfStock'!AJ55+'T_TTAFStock'!AJ55,AI51+'Grid_Incoming'!AJ51-'Grid_Requirement'!AJ51))</f>
        <v/>
      </c>
      <c r="AK51">
        <f>IF(COUNTIFS(T_StockCount[Part Name],$A51,T_StockCount[WeekIndex],36)&gt;0,SUMIFS(T_StockCount[CountedQty],T_StockCount[Part Name],$A51,T_StockCount[WeekIndex],36),IF((('T_SelfStock'!AK55&lt;&gt;""))*(('T_TTAFStock'!AK55&lt;&gt;""))&gt;0,'T_SelfStock'!AK55+'T_TTAFStock'!AK55,AJ51+'Grid_Incoming'!AK51-'Grid_Requirement'!AK51))</f>
        <v/>
      </c>
      <c r="AL51">
        <f>IF(COUNTIFS(T_StockCount[Part Name],$A51,T_StockCount[WeekIndex],37)&gt;0,SUMIFS(T_StockCount[CountedQty],T_StockCount[Part Name],$A51,T_StockCount[WeekIndex],37),IF((('T_SelfStock'!AL55&lt;&gt;""))*(('T_TTAFStock'!AL55&lt;&gt;""))&gt;0,'T_SelfStock'!AL55+'T_TTAFStock'!AL55,AK51+'Grid_Incoming'!AL51-'Grid_Requirement'!AL51))</f>
        <v/>
      </c>
      <c r="AM51">
        <f>IF(COUNTIFS(T_StockCount[Part Name],$A51,T_StockCount[WeekIndex],38)&gt;0,SUMIFS(T_StockCount[CountedQty],T_StockCount[Part Name],$A51,T_StockCount[WeekIndex],38),IF((('T_SelfStock'!AM55&lt;&gt;""))*(('T_TTAFStock'!AM55&lt;&gt;""))&gt;0,'T_SelfStock'!AM55+'T_TTAFStock'!AM55,AL51+'Grid_Incoming'!AM51-'Grid_Requirement'!AM51))</f>
        <v/>
      </c>
      <c r="AN51">
        <f>IF(COUNTIFS(T_StockCount[Part Name],$A51,T_StockCount[WeekIndex],39)&gt;0,SUMIFS(T_StockCount[CountedQty],T_StockCount[Part Name],$A51,T_StockCount[WeekIndex],39),IF((('T_SelfStock'!AN55&lt;&gt;""))*(('T_TTAFStock'!AN55&lt;&gt;""))&gt;0,'T_SelfStock'!AN55+'T_TTAFStock'!AN55,AM51+'Grid_Incoming'!AN51-'Grid_Requirement'!AN51))</f>
        <v/>
      </c>
      <c r="AO51">
        <f>IF(COUNTIFS(T_StockCount[Part Name],$A51,T_StockCount[WeekIndex],40)&gt;0,SUMIFS(T_StockCount[CountedQty],T_StockCount[Part Name],$A51,T_StockCount[WeekIndex],40),IF((('T_SelfStock'!AO55&lt;&gt;""))*(('T_TTAFStock'!AO55&lt;&gt;""))&gt;0,'T_SelfStock'!AO55+'T_TTAFStock'!AO55,AN51+'Grid_Incoming'!AO51-'Grid_Requirement'!AO51))</f>
        <v/>
      </c>
      <c r="AP51">
        <f>IF(COUNTIFS(T_StockCount[Part Name],$A51,T_StockCount[WeekIndex],41)&gt;0,SUMIFS(T_StockCount[CountedQty],T_StockCount[Part Name],$A51,T_StockCount[WeekIndex],41),IF((('T_SelfStock'!AP55&lt;&gt;""))*(('T_TTAFStock'!AP55&lt;&gt;""))&gt;0,'T_SelfStock'!AP55+'T_TTAFStock'!AP55,AO51+'Grid_Incoming'!AP51-'Grid_Requirement'!AP51))</f>
        <v/>
      </c>
      <c r="AQ51">
        <f>IF(COUNTIFS(T_StockCount[Part Name],$A51,T_StockCount[WeekIndex],42)&gt;0,SUMIFS(T_StockCount[CountedQty],T_StockCount[Part Name],$A51,T_StockCount[WeekIndex],42),IF((('T_SelfStock'!AQ55&lt;&gt;""))*(('T_TTAFStock'!AQ55&lt;&gt;""))&gt;0,'T_SelfStock'!AQ55+'T_TTAFStock'!AQ55,AP51+'Grid_Incoming'!AQ51-'Grid_Requirement'!AQ51))</f>
        <v/>
      </c>
      <c r="AR51">
        <f>IF(COUNTIFS(T_StockCount[Part Name],$A51,T_StockCount[WeekIndex],43)&gt;0,SUMIFS(T_StockCount[CountedQty],T_StockCount[Part Name],$A51,T_StockCount[WeekIndex],43),IF((('T_SelfStock'!AR55&lt;&gt;""))*(('T_TTAFStock'!AR55&lt;&gt;""))&gt;0,'T_SelfStock'!AR55+'T_TTAFStock'!AR55,AQ51+'Grid_Incoming'!AR51-'Grid_Requirement'!AR51))</f>
        <v/>
      </c>
      <c r="AS51">
        <f>IF(COUNTIFS(T_StockCount[Part Name],$A51,T_StockCount[WeekIndex],44)&gt;0,SUMIFS(T_StockCount[CountedQty],T_StockCount[Part Name],$A51,T_StockCount[WeekIndex],44),IF((('T_SelfStock'!AS55&lt;&gt;""))*(('T_TTAFStock'!AS55&lt;&gt;""))&gt;0,'T_SelfStock'!AS55+'T_TTAFStock'!AS55,AR51+'Grid_Incoming'!AS51-'Grid_Requirement'!AS51))</f>
        <v/>
      </c>
      <c r="AT51">
        <f>IF(COUNTIFS(T_StockCount[Part Name],$A51,T_StockCount[WeekIndex],45)&gt;0,SUMIFS(T_StockCount[CountedQty],T_StockCount[Part Name],$A51,T_StockCount[WeekIndex],45),IF((('T_SelfStock'!AT55&lt;&gt;""))*(('T_TTAFStock'!AT55&lt;&gt;""))&gt;0,'T_SelfStock'!AT55+'T_TTAFStock'!AT55,AS51+'Grid_Incoming'!AT51-'Grid_Requirement'!AT51))</f>
        <v/>
      </c>
      <c r="AU51">
        <f>IF(COUNTIFS(T_StockCount[Part Name],$A51,T_StockCount[WeekIndex],46)&gt;0,SUMIFS(T_StockCount[CountedQty],T_StockCount[Part Name],$A51,T_StockCount[WeekIndex],46),IF((('T_SelfStock'!AU55&lt;&gt;""))*(('T_TTAFStock'!AU55&lt;&gt;""))&gt;0,'T_SelfStock'!AU55+'T_TTAFStock'!AU55,AT51+'Grid_Incoming'!AU51-'Grid_Requirement'!AU51))</f>
        <v/>
      </c>
      <c r="AV51">
        <f>IF(COUNTIFS(T_StockCount[Part Name],$A51,T_StockCount[WeekIndex],47)&gt;0,SUMIFS(T_StockCount[CountedQty],T_StockCount[Part Name],$A51,T_StockCount[WeekIndex],47),IF((('T_SelfStock'!AV55&lt;&gt;""))*(('T_TTAFStock'!AV55&lt;&gt;""))&gt;0,'T_SelfStock'!AV55+'T_TTAFStock'!AV55,AU51+'Grid_Incoming'!AV51-'Grid_Requirement'!AV51))</f>
        <v/>
      </c>
      <c r="AW51">
        <f>IF(COUNTIFS(T_StockCount[Part Name],$A51,T_StockCount[WeekIndex],48)&gt;0,SUMIFS(T_StockCount[CountedQty],T_StockCount[Part Name],$A51,T_StockCount[WeekIndex],48),IF((('T_SelfStock'!AW55&lt;&gt;""))*(('T_TTAFStock'!AW55&lt;&gt;""))&gt;0,'T_SelfStock'!AW55+'T_TTAFStock'!AW55,AV51+'Grid_Incoming'!AW51-'Grid_Requirement'!AW51))</f>
        <v/>
      </c>
      <c r="AX51">
        <f>IF(COUNTIFS(T_StockCount[Part Name],$A51,T_StockCount[WeekIndex],49)&gt;0,SUMIFS(T_StockCount[CountedQty],T_StockCount[Part Name],$A51,T_StockCount[WeekIndex],49),IF((('T_SelfStock'!AX55&lt;&gt;""))*(('T_TTAFStock'!AX55&lt;&gt;""))&gt;0,'T_SelfStock'!AX55+'T_TTAFStock'!AX55,AW51+'Grid_Incoming'!AX51-'Grid_Requirement'!AX51))</f>
        <v/>
      </c>
      <c r="AY51">
        <f>IF(COUNTIFS(T_StockCount[Part Name],$A51,T_StockCount[WeekIndex],50)&gt;0,SUMIFS(T_StockCount[CountedQty],T_StockCount[Part Name],$A51,T_StockCount[WeekIndex],50),IF((('T_SelfStock'!AY55&lt;&gt;""))*(('T_TTAFStock'!AY55&lt;&gt;""))&gt;0,'T_SelfStock'!AY55+'T_TTAFStock'!AY55,AX51+'Grid_Incoming'!AY51-'Grid_Requirement'!AY51))</f>
        <v/>
      </c>
      <c r="AZ51">
        <f>IF(COUNTIFS(T_StockCount[Part Name],$A51,T_StockCount[WeekIndex],51)&gt;0,SUMIFS(T_StockCount[CountedQty],T_StockCount[Part Name],$A51,T_StockCount[WeekIndex],51),IF((('T_SelfStock'!AZ55&lt;&gt;""))*(('T_TTAFStock'!AZ55&lt;&gt;""))&gt;0,'T_SelfStock'!AZ55+'T_TTAFStock'!AZ55,AY51+'Grid_Incoming'!AZ51-'Grid_Requirement'!AZ51))</f>
        <v/>
      </c>
      <c r="BA51">
        <f>IF(COUNTIFS(T_StockCount[Part Name],$A51,T_StockCount[WeekIndex],52)&gt;0,SUMIFS(T_StockCount[CountedQty],T_StockCount[Part Name],$A51,T_StockCount[WeekIndex],52),IF((('T_SelfStock'!BA55&lt;&gt;""))*(('T_TTAFStock'!BA55&lt;&gt;""))&gt;0,'T_SelfStock'!BA55+'T_TTAFStock'!BA55,AZ51+'Grid_Incoming'!BA51-'Grid_Requirement'!BA51))</f>
        <v/>
      </c>
      <c r="BB51">
        <f>IF(COUNTIFS(T_StockCount[Part Name],$A51,T_StockCount[WeekIndex],53)&gt;0,SUMIFS(T_StockCount[CountedQty],T_StockCount[Part Name],$A51,T_StockCount[WeekIndex],53),IF((('T_SelfStock'!BB55&lt;&gt;""))*(('T_TTAFStock'!BB55&lt;&gt;""))&gt;0,'T_SelfStock'!BB55+'T_TTAFStock'!BB55,BA51+'Grid_Incoming'!BB51-'Grid_Requirement'!BB51))</f>
        <v/>
      </c>
      <c r="BC51">
        <f>IF(COUNTIFS(T_StockCount[Part Name],$A51,T_StockCount[WeekIndex],54)&gt;0,SUMIFS(T_StockCount[CountedQty],T_StockCount[Part Name],$A51,T_StockCount[WeekIndex],54),IF((('T_SelfStock'!BC55&lt;&gt;""))*(('T_TTAFStock'!BC55&lt;&gt;""))&gt;0,'T_SelfStock'!BC55+'T_TTAFStock'!BC55,BB51+'Grid_Incoming'!BC51-'Grid_Requirement'!BC51))</f>
        <v/>
      </c>
      <c r="BD51">
        <f>IF(COUNTIFS(T_StockCount[Part Name],$A51,T_StockCount[WeekIndex],55)&gt;0,SUMIFS(T_StockCount[CountedQty],T_StockCount[Part Name],$A51,T_StockCount[WeekIndex],55),IF((('T_SelfStock'!BD55&lt;&gt;""))*(('T_TTAFStock'!BD55&lt;&gt;""))&gt;0,'T_SelfStock'!BD55+'T_TTAFStock'!BD55,BC51+'Grid_Incoming'!BD51-'Grid_Requirement'!BD51))</f>
        <v/>
      </c>
      <c r="BE51">
        <f>IF(COUNTIFS(T_StockCount[Part Name],$A51,T_StockCount[WeekIndex],56)&gt;0,SUMIFS(T_StockCount[CountedQty],T_StockCount[Part Name],$A51,T_StockCount[WeekIndex],56),IF((('T_SelfStock'!BE55&lt;&gt;""))*(('T_TTAFStock'!BE55&lt;&gt;""))&gt;0,'T_SelfStock'!BE55+'T_TTAFStock'!BE55,BD51+'Grid_Incoming'!BE51-'Grid_Requirement'!BE51))</f>
        <v/>
      </c>
      <c r="BF51">
        <f>IF(COUNTIFS(T_StockCount[Part Name],$A51,T_StockCount[WeekIndex],57)&gt;0,SUMIFS(T_StockCount[CountedQty],T_StockCount[Part Name],$A51,T_StockCount[WeekIndex],57),IF((('T_SelfStock'!BF55&lt;&gt;""))*(('T_TTAFStock'!BF55&lt;&gt;""))&gt;0,'T_SelfStock'!BF55+'T_TTAFStock'!BF55,BE51+'Grid_Incoming'!BF51-'Grid_Requirement'!BF51))</f>
        <v/>
      </c>
      <c r="BG51">
        <f>IF(COUNTIFS(T_StockCount[Part Name],$A51,T_StockCount[WeekIndex],58)&gt;0,SUMIFS(T_StockCount[CountedQty],T_StockCount[Part Name],$A51,T_StockCount[WeekIndex],58),IF((('T_SelfStock'!BG55&lt;&gt;""))*(('T_TTAFStock'!BG55&lt;&gt;""))&gt;0,'T_SelfStock'!BG55+'T_TTAFStock'!BG55,BF51+'Grid_Incoming'!BG51-'Grid_Requirement'!BG51))</f>
        <v/>
      </c>
      <c r="BH51">
        <f>IF(COUNTIFS(T_StockCount[Part Name],$A51,T_StockCount[WeekIndex],59)&gt;0,SUMIFS(T_StockCount[CountedQty],T_StockCount[Part Name],$A51,T_StockCount[WeekIndex],59),IF((('T_SelfStock'!BH55&lt;&gt;""))*(('T_TTAFStock'!BH55&lt;&gt;""))&gt;0,'T_SelfStock'!BH55+'T_TTAFStock'!BH55,BG51+'Grid_Incoming'!BH51-'Grid_Requirement'!BH51))</f>
        <v/>
      </c>
      <c r="BI51">
        <f>IF(COUNTIFS(T_StockCount[Part Name],$A51,T_StockCount[WeekIndex],60)&gt;0,SUMIFS(T_StockCount[CountedQty],T_StockCount[Part Name],$A51,T_StockCount[WeekIndex],60),IF((('T_SelfStock'!BI55&lt;&gt;""))*(('T_TTAFStock'!BI55&lt;&gt;""))&gt;0,'T_SelfStock'!BI55+'T_TTAFStock'!BI55,BH51+'Grid_Incoming'!BI51-'Grid_Requirement'!BI51))</f>
        <v/>
      </c>
      <c r="BJ51">
        <f>IF(COUNTIFS(T_StockCount[Part Name],$A51,T_StockCount[WeekIndex],61)&gt;0,SUMIFS(T_StockCount[CountedQty],T_StockCount[Part Name],$A51,T_StockCount[WeekIndex],61),IF((('T_SelfStock'!BJ55&lt;&gt;""))*(('T_TTAFStock'!BJ55&lt;&gt;""))&gt;0,'T_SelfStock'!BJ55+'T_TTAFStock'!BJ55,BI51+'Grid_Incoming'!BJ51-'Grid_Requirement'!BJ51))</f>
        <v/>
      </c>
      <c r="BK51">
        <f>IF(COUNTIFS(T_StockCount[Part Name],$A51,T_StockCount[WeekIndex],62)&gt;0,SUMIFS(T_StockCount[CountedQty],T_StockCount[Part Name],$A51,T_StockCount[WeekIndex],62),IF((('T_SelfStock'!BK55&lt;&gt;""))*(('T_TTAFStock'!BK55&lt;&gt;""))&gt;0,'T_SelfStock'!BK55+'T_TTAFStock'!BK55,BJ51+'Grid_Incoming'!BK51-'Grid_Requirement'!BK51))</f>
        <v/>
      </c>
      <c r="BL51">
        <f>IF(COUNTIFS(T_StockCount[Part Name],$A51,T_StockCount[WeekIndex],63)&gt;0,SUMIFS(T_StockCount[CountedQty],T_StockCount[Part Name],$A51,T_StockCount[WeekIndex],63),IF((('T_SelfStock'!BL55&lt;&gt;""))*(('T_TTAFStock'!BL55&lt;&gt;""))&gt;0,'T_SelfStock'!BL55+'T_TTAFStock'!BL55,BK51+'Grid_Incoming'!BL51-'Grid_Requirement'!BL51))</f>
        <v/>
      </c>
      <c r="BM51">
        <f>IF(COUNTIFS(T_StockCount[Part Name],$A51,T_StockCount[WeekIndex],64)&gt;0,SUMIFS(T_StockCount[CountedQty],T_StockCount[Part Name],$A51,T_StockCount[WeekIndex],64),IF((('T_SelfStock'!BM55&lt;&gt;""))*(('T_TTAFStock'!BM55&lt;&gt;""))&gt;0,'T_SelfStock'!BM55+'T_TTAFStock'!BM55,BL51+'Grid_Incoming'!BM51-'Grid_Requirement'!BM51))</f>
        <v/>
      </c>
      <c r="BN51">
        <f>IF(COUNTIFS(T_StockCount[Part Name],$A51,T_StockCount[WeekIndex],65)&gt;0,SUMIFS(T_StockCount[CountedQty],T_StockCount[Part Name],$A51,T_StockCount[WeekIndex],65),IF((('T_SelfStock'!BN55&lt;&gt;""))*(('T_TTAFStock'!BN55&lt;&gt;""))&gt;0,'T_SelfStock'!BN55+'T_TTAFStock'!BN55,BM51+'Grid_Incoming'!BN51-'Grid_Requirement'!BN51))</f>
        <v/>
      </c>
      <c r="BO51">
        <f>IF(COUNTIFS(T_StockCount[Part Name],$A51,T_StockCount[WeekIndex],66)&gt;0,SUMIFS(T_StockCount[CountedQty],T_StockCount[Part Name],$A51,T_StockCount[WeekIndex],66),IF((('T_SelfStock'!BO55&lt;&gt;""))*(('T_TTAFStock'!BO55&lt;&gt;""))&gt;0,'T_SelfStock'!BO55+'T_TTAFStock'!BO55,BN51+'Grid_Incoming'!BO51-'Grid_Requirement'!BO51))</f>
        <v/>
      </c>
      <c r="BP51">
        <f>IF(COUNTIFS(T_StockCount[Part Name],$A51,T_StockCount[WeekIndex],67)&gt;0,SUMIFS(T_StockCount[CountedQty],T_StockCount[Part Name],$A51,T_StockCount[WeekIndex],67),IF((('T_SelfStock'!BP55&lt;&gt;""))*(('T_TTAFStock'!BP55&lt;&gt;""))&gt;0,'T_SelfStock'!BP55+'T_TTAFStock'!BP55,BO51+'Grid_Incoming'!BP51-'Grid_Requirement'!BP51))</f>
        <v/>
      </c>
      <c r="BQ51">
        <f>IF(COUNTIFS(T_StockCount[Part Name],$A51,T_StockCount[WeekIndex],68)&gt;0,SUMIFS(T_StockCount[CountedQty],T_StockCount[Part Name],$A51,T_StockCount[WeekIndex],68),IF((('T_SelfStock'!BQ55&lt;&gt;""))*(('T_TTAFStock'!BQ55&lt;&gt;""))&gt;0,'T_SelfStock'!BQ55+'T_TTAFStock'!BQ55,BP51+'Grid_Incoming'!BQ51-'Grid_Requirement'!BQ51))</f>
        <v/>
      </c>
      <c r="BR51">
        <f>IF(COUNTIFS(T_StockCount[Part Name],$A51,T_StockCount[WeekIndex],69)&gt;0,SUMIFS(T_StockCount[CountedQty],T_StockCount[Part Name],$A51,T_StockCount[WeekIndex],69),IF((('T_SelfStock'!BR55&lt;&gt;""))*(('T_TTAFStock'!BR55&lt;&gt;""))&gt;0,'T_SelfStock'!BR55+'T_TTAFStock'!BR55,BQ51+'Grid_Incoming'!BR51-'Grid_Requirement'!BR51))</f>
        <v/>
      </c>
      <c r="BS51">
        <f>IF(COUNTIFS(T_StockCount[Part Name],$A51,T_StockCount[WeekIndex],70)&gt;0,SUMIFS(T_StockCount[CountedQty],T_StockCount[Part Name],$A51,T_StockCount[WeekIndex],70),IF((('T_SelfStock'!BS55&lt;&gt;""))*(('T_TTAFStock'!BS55&lt;&gt;""))&gt;0,'T_SelfStock'!BS55+'T_TTAFStock'!BS55,BR51+'Grid_Incoming'!BS51-'Grid_Requirement'!BS51))</f>
        <v/>
      </c>
      <c r="BT51">
        <f>IF(COUNTIFS(T_StockCount[Part Name],$A51,T_StockCount[WeekIndex],71)&gt;0,SUMIFS(T_StockCount[CountedQty],T_StockCount[Part Name],$A51,T_StockCount[WeekIndex],71),IF((('T_SelfStock'!BT55&lt;&gt;""))*(('T_TTAFStock'!BT55&lt;&gt;""))&gt;0,'T_SelfStock'!BT55+'T_TTAFStock'!BT55,BS51+'Grid_Incoming'!BT51-'Grid_Requirement'!BT51))</f>
        <v/>
      </c>
      <c r="BU51">
        <f>IF(COUNTIFS(T_StockCount[Part Name],$A51,T_StockCount[WeekIndex],72)&gt;0,SUMIFS(T_StockCount[CountedQty],T_StockCount[Part Name],$A51,T_StockCount[WeekIndex],72),IF((('T_SelfStock'!BU55&lt;&gt;""))*(('T_TTAFStock'!BU55&lt;&gt;""))&gt;0,'T_SelfStock'!BU55+'T_TTAFStock'!BU55,BT51+'Grid_Incoming'!BU51-'Grid_Requirement'!BU51))</f>
        <v/>
      </c>
      <c r="BV51">
        <f>IF(COUNTIFS(T_StockCount[Part Name],$A51,T_StockCount[WeekIndex],73)&gt;0,SUMIFS(T_StockCount[CountedQty],T_StockCount[Part Name],$A51,T_StockCount[WeekIndex],73),IF((('T_SelfStock'!BV55&lt;&gt;""))*(('T_TTAFStock'!BV55&lt;&gt;""))&gt;0,'T_SelfStock'!BV55+'T_TTAFStock'!BV55,BU51+'Grid_Incoming'!BV51-'Grid_Requirement'!BV51))</f>
        <v/>
      </c>
      <c r="BW51">
        <f>IF(COUNTIFS(T_StockCount[Part Name],$A51,T_StockCount[WeekIndex],74)&gt;0,SUMIFS(T_StockCount[CountedQty],T_StockCount[Part Name],$A51,T_StockCount[WeekIndex],74),IF((('T_SelfStock'!BW55&lt;&gt;""))*(('T_TTAFStock'!BW55&lt;&gt;""))&gt;0,'T_SelfStock'!BW55+'T_TTAFStock'!BW55,BV51+'Grid_Incoming'!BW51-'Grid_Requirement'!BW51))</f>
        <v/>
      </c>
      <c r="BX51">
        <f>IF(COUNTIFS(T_StockCount[Part Name],$A51,T_StockCount[WeekIndex],75)&gt;0,SUMIFS(T_StockCount[CountedQty],T_StockCount[Part Name],$A51,T_StockCount[WeekIndex],75),IF((('T_SelfStock'!BX55&lt;&gt;""))*(('T_TTAFStock'!BX55&lt;&gt;""))&gt;0,'T_SelfStock'!BX55+'T_TTAFStock'!BX55,BW51+'Grid_Incoming'!BX51-'Grid_Requirement'!BX51))</f>
        <v/>
      </c>
      <c r="BY51">
        <f>IF(COUNTIFS(T_StockCount[Part Name],$A51,T_StockCount[WeekIndex],76)&gt;0,SUMIFS(T_StockCount[CountedQty],T_StockCount[Part Name],$A51,T_StockCount[WeekIndex],76),IF((('T_SelfStock'!BY55&lt;&gt;""))*(('T_TTAFStock'!BY55&lt;&gt;""))&gt;0,'T_SelfStock'!BY55+'T_TTAFStock'!BY55,BX51+'Grid_Incoming'!BY51-'Grid_Requirement'!BY51))</f>
        <v/>
      </c>
      <c r="BZ51">
        <f>IF(COUNTIFS(T_StockCount[Part Name],$A51,T_StockCount[WeekIndex],77)&gt;0,SUMIFS(T_StockCount[CountedQty],T_StockCount[Part Name],$A51,T_StockCount[WeekIndex],77),IF((('T_SelfStock'!BZ55&lt;&gt;""))*(('T_TTAFStock'!BZ55&lt;&gt;""))&gt;0,'T_SelfStock'!BZ55+'T_TTAFStock'!BZ55,BY51+'Grid_Incoming'!BZ51-'Grid_Requirement'!BZ51))</f>
        <v/>
      </c>
      <c r="CA51">
        <f>IF(COUNTIFS(T_StockCount[Part Name],$A51,T_StockCount[WeekIndex],78)&gt;0,SUMIFS(T_StockCount[CountedQty],T_StockCount[Part Name],$A51,T_StockCount[WeekIndex],78),IF((('T_SelfStock'!CA55&lt;&gt;""))*(('T_TTAFStock'!CA55&lt;&gt;""))&gt;0,'T_SelfStock'!CA55+'T_TTAFStock'!CA55,BZ51+'Grid_Incoming'!CA51-'Grid_Requirement'!CA51))</f>
        <v/>
      </c>
      <c r="CB51">
        <f>IF(COUNTIFS(T_StockCount[Part Name],$A51,T_StockCount[WeekIndex],79)&gt;0,SUMIFS(T_StockCount[CountedQty],T_StockCount[Part Name],$A51,T_StockCount[WeekIndex],79),IF((('T_SelfStock'!CB55&lt;&gt;""))*(('T_TTAFStock'!CB55&lt;&gt;""))&gt;0,'T_SelfStock'!CB55+'T_TTAFStock'!CB55,CA51+'Grid_Incoming'!CB51-'Grid_Requirement'!CB51))</f>
        <v/>
      </c>
      <c r="CC51">
        <f>IF(COUNTIFS(T_StockCount[Part Name],$A51,T_StockCount[WeekIndex],80)&gt;0,SUMIFS(T_StockCount[CountedQty],T_StockCount[Part Name],$A51,T_StockCount[WeekIndex],80),IF((('T_SelfStock'!CC55&lt;&gt;""))*(('T_TTAFStock'!CC55&lt;&gt;""))&gt;0,'T_SelfStock'!CC55+'T_TTAFStock'!CC55,CB51+'Grid_Incoming'!CC51-'Grid_Requirement'!CC51))</f>
        <v/>
      </c>
      <c r="CD51">
        <f>IF(COUNTIFS(T_StockCount[Part Name],$A51,T_StockCount[WeekIndex],81)&gt;0,SUMIFS(T_StockCount[CountedQty],T_StockCount[Part Name],$A51,T_StockCount[WeekIndex],81),IF((('T_SelfStock'!CD55&lt;&gt;""))*(('T_TTAFStock'!CD55&lt;&gt;""))&gt;0,'T_SelfStock'!CD55+'T_TTAFStock'!CD55,CC51+'Grid_Incoming'!CD51-'Grid_Requirement'!CD51))</f>
        <v/>
      </c>
      <c r="CE51">
        <f>IF(COUNTIFS(T_StockCount[Part Name],$A51,T_StockCount[WeekIndex],82)&gt;0,SUMIFS(T_StockCount[CountedQty],T_StockCount[Part Name],$A51,T_StockCount[WeekIndex],82),IF((('T_SelfStock'!CE55&lt;&gt;""))*(('T_TTAFStock'!CE55&lt;&gt;""))&gt;0,'T_SelfStock'!CE55+'T_TTAFStock'!CE55,CD51+'Grid_Incoming'!CE51-'Grid_Requirement'!CE51))</f>
        <v/>
      </c>
      <c r="CF51">
        <f>IF(COUNTIFS(T_StockCount[Part Name],$A51,T_StockCount[WeekIndex],83)&gt;0,SUMIFS(T_StockCount[CountedQty],T_StockCount[Part Name],$A51,T_StockCount[WeekIndex],83),IF((('T_SelfStock'!CF55&lt;&gt;""))*(('T_TTAFStock'!CF55&lt;&gt;""))&gt;0,'T_SelfStock'!CF55+'T_TTAFStock'!CF55,CE51+'Grid_Incoming'!CF51-'Grid_Requirement'!CF51))</f>
        <v/>
      </c>
      <c r="CG51">
        <f>IF(COUNTIFS(T_StockCount[Part Name],$A51,T_StockCount[WeekIndex],84)&gt;0,SUMIFS(T_StockCount[CountedQty],T_StockCount[Part Name],$A51,T_StockCount[WeekIndex],84),IF((('T_SelfStock'!CG55&lt;&gt;""))*(('T_TTAFStock'!CG55&lt;&gt;""))&gt;0,'T_SelfStock'!CG55+'T_TTAFStock'!CG55,CF51+'Grid_Incoming'!CG51-'Grid_Requirement'!CG51))</f>
        <v/>
      </c>
      <c r="CH51">
        <f>IF(COUNTIFS(T_StockCount[Part Name],$A51,T_StockCount[WeekIndex],85)&gt;0,SUMIFS(T_StockCount[CountedQty],T_StockCount[Part Name],$A51,T_StockCount[WeekIndex],85),IF((('T_SelfStock'!CH55&lt;&gt;""))*(('T_TTAFStock'!CH55&lt;&gt;""))&gt;0,'T_SelfStock'!CH55+'T_TTAFStock'!CH55,CG51+'Grid_Incoming'!CH51-'Grid_Requirement'!CH51))</f>
        <v/>
      </c>
      <c r="CI51">
        <f>IF(COUNTIFS(T_StockCount[Part Name],$A51,T_StockCount[WeekIndex],86)&gt;0,SUMIFS(T_StockCount[CountedQty],T_StockCount[Part Name],$A51,T_StockCount[WeekIndex],86),IF((('T_SelfStock'!CI55&lt;&gt;""))*(('T_TTAFStock'!CI55&lt;&gt;""))&gt;0,'T_SelfStock'!CI55+'T_TTAFStock'!CI55,CH51+'Grid_Incoming'!CI51-'Grid_Requirement'!CI51))</f>
        <v/>
      </c>
      <c r="CJ51">
        <f>IF(COUNTIFS(T_StockCount[Part Name],$A51,T_StockCount[WeekIndex],87)&gt;0,SUMIFS(T_StockCount[CountedQty],T_StockCount[Part Name],$A51,T_StockCount[WeekIndex],87),IF((('T_SelfStock'!CJ55&lt;&gt;""))*(('T_TTAFStock'!CJ55&lt;&gt;""))&gt;0,'T_SelfStock'!CJ55+'T_TTAFStock'!CJ55,CI51+'Grid_Incoming'!CJ51-'Grid_Requirement'!CJ51))</f>
        <v/>
      </c>
      <c r="CK51">
        <f>IF(COUNTIFS(T_StockCount[Part Name],$A51,T_StockCount[WeekIndex],88)&gt;0,SUMIFS(T_StockCount[CountedQty],T_StockCount[Part Name],$A51,T_StockCount[WeekIndex],88),IF((('T_SelfStock'!CK55&lt;&gt;""))*(('T_TTAFStock'!CK55&lt;&gt;""))&gt;0,'T_SelfStock'!CK55+'T_TTAFStock'!CK55,CJ51+'Grid_Incoming'!CK51-'Grid_Requirement'!CK51))</f>
        <v/>
      </c>
      <c r="CL51">
        <f>IF(COUNTIFS(T_StockCount[Part Name],$A51,T_StockCount[WeekIndex],89)&gt;0,SUMIFS(T_StockCount[CountedQty],T_StockCount[Part Name],$A51,T_StockCount[WeekIndex],89),IF((('T_SelfStock'!CL55&lt;&gt;""))*(('T_TTAFStock'!CL55&lt;&gt;""))&gt;0,'T_SelfStock'!CL55+'T_TTAFStock'!CL55,CK51+'Grid_Incoming'!CL51-'Grid_Requirement'!CL51))</f>
        <v/>
      </c>
      <c r="CM51">
        <f>IF(COUNTIFS(T_StockCount[Part Name],$A51,T_StockCount[WeekIndex],90)&gt;0,SUMIFS(T_StockCount[CountedQty],T_StockCount[Part Name],$A51,T_StockCount[WeekIndex],90),IF((('T_SelfStock'!CM55&lt;&gt;""))*(('T_TTAFStock'!CM55&lt;&gt;""))&gt;0,'T_SelfStock'!CM55+'T_TTAFStock'!CM55,CL51+'Grid_Incoming'!CM51-'Grid_Requirement'!CM51))</f>
        <v/>
      </c>
      <c r="CN51">
        <f>IF(COUNTIFS(T_StockCount[Part Name],$A51,T_StockCount[WeekIndex],91)&gt;0,SUMIFS(T_StockCount[CountedQty],T_StockCount[Part Name],$A51,T_StockCount[WeekIndex],91),IF((('T_SelfStock'!CN55&lt;&gt;""))*(('T_TTAFStock'!CN55&lt;&gt;""))&gt;0,'T_SelfStock'!CN55+'T_TTAFStock'!CN55,CM51+'Grid_Incoming'!CN51-'Grid_Requirement'!CN51))</f>
        <v/>
      </c>
      <c r="CO51">
        <f>IF(COUNTIFS(T_StockCount[Part Name],$A51,T_StockCount[WeekIndex],92)&gt;0,SUMIFS(T_StockCount[CountedQty],T_StockCount[Part Name],$A51,T_StockCount[WeekIndex],92),IF((('T_SelfStock'!CO55&lt;&gt;""))*(('T_TTAFStock'!CO55&lt;&gt;""))&gt;0,'T_SelfStock'!CO55+'T_TTAFStock'!CO55,CN51+'Grid_Incoming'!CO51-'Grid_Requirement'!CO51))</f>
        <v/>
      </c>
      <c r="CP51">
        <f>IF(COUNTIFS(T_StockCount[Part Name],$A51,T_StockCount[WeekIndex],93)&gt;0,SUMIFS(T_StockCount[CountedQty],T_StockCount[Part Name],$A51,T_StockCount[WeekIndex],93),IF((('T_SelfStock'!CP55&lt;&gt;""))*(('T_TTAFStock'!CP55&lt;&gt;""))&gt;0,'T_SelfStock'!CP55+'T_TTAFStock'!CP55,CO51+'Grid_Incoming'!CP51-'Grid_Requirement'!CP51))</f>
        <v/>
      </c>
      <c r="CQ51">
        <f>IF(COUNTIFS(T_StockCount[Part Name],$A51,T_StockCount[WeekIndex],94)&gt;0,SUMIFS(T_StockCount[CountedQty],T_StockCount[Part Name],$A51,T_StockCount[WeekIndex],94),IF((('T_SelfStock'!CQ55&lt;&gt;""))*(('T_TTAFStock'!CQ55&lt;&gt;""))&gt;0,'T_SelfStock'!CQ55+'T_TTAFStock'!CQ55,CP51+'Grid_Incoming'!CQ51-'Grid_Requirement'!CQ51))</f>
        <v/>
      </c>
      <c r="CR51">
        <f>IF(COUNTIFS(T_StockCount[Part Name],$A51,T_StockCount[WeekIndex],95)&gt;0,SUMIFS(T_StockCount[CountedQty],T_StockCount[Part Name],$A51,T_StockCount[WeekIndex],95),IF((('T_SelfStock'!CR55&lt;&gt;""))*(('T_TTAFStock'!CR55&lt;&gt;""))&gt;0,'T_SelfStock'!CR55+'T_TTAFStock'!CR55,CQ51+'Grid_Incoming'!CR51-'Grid_Requirement'!CR51))</f>
        <v/>
      </c>
      <c r="CS51">
        <f>IF(COUNTIFS(T_StockCount[Part Name],$A51,T_StockCount[WeekIndex],96)&gt;0,SUMIFS(T_StockCount[CountedQty],T_StockCount[Part Name],$A51,T_StockCount[WeekIndex],96),IF((('T_SelfStock'!CS55&lt;&gt;""))*(('T_TTAFStock'!CS55&lt;&gt;""))&gt;0,'T_SelfStock'!CS55+'T_TTAFStock'!CS55,CR51+'Grid_Incoming'!CS51-'Grid_Requirement'!CS51))</f>
        <v/>
      </c>
      <c r="CT51">
        <f>IF(COUNTIFS(T_StockCount[Part Name],$A51,T_StockCount[WeekIndex],97)&gt;0,SUMIFS(T_StockCount[CountedQty],T_StockCount[Part Name],$A51,T_StockCount[WeekIndex],97),IF((('T_SelfStock'!CT55&lt;&gt;""))*(('T_TTAFStock'!CT55&lt;&gt;""))&gt;0,'T_SelfStock'!CT55+'T_TTAFStock'!CT55,CS51+'Grid_Incoming'!CT51-'Grid_Requirement'!CT51))</f>
        <v/>
      </c>
      <c r="CU51">
        <f>IF(COUNTIFS(T_StockCount[Part Name],$A51,T_StockCount[WeekIndex],98)&gt;0,SUMIFS(T_StockCount[CountedQty],T_StockCount[Part Name],$A51,T_StockCount[WeekIndex],98),IF((('T_SelfStock'!CU55&lt;&gt;""))*(('T_TTAFStock'!CU55&lt;&gt;""))&gt;0,'T_SelfStock'!CU55+'T_TTAFStock'!CU55,CT51+'Grid_Incoming'!CU51-'Grid_Requirement'!CU51))</f>
        <v/>
      </c>
      <c r="CV51">
        <f>IF(COUNTIFS(T_StockCount[Part Name],$A51,T_StockCount[WeekIndex],99)&gt;0,SUMIFS(T_StockCount[CountedQty],T_StockCount[Part Name],$A51,T_StockCount[WeekIndex],99),IF((('T_SelfStock'!CV55&lt;&gt;""))*(('T_TTAFStock'!CV55&lt;&gt;""))&gt;0,'T_SelfStock'!CV55+'T_TTAFStock'!CV55,CU51+'Grid_Incoming'!CV51-'Grid_Requirement'!CV51))</f>
        <v/>
      </c>
      <c r="CW51">
        <f>IF(COUNTIFS(T_StockCount[Part Name],$A51,T_StockCount[WeekIndex],100)&gt;0,SUMIFS(T_StockCount[CountedQty],T_StockCount[Part Name],$A51,T_StockCount[WeekIndex],100),IF((('T_SelfStock'!CW55&lt;&gt;""))*(('T_TTAFStock'!CW55&lt;&gt;""))&gt;0,'T_SelfStock'!CW55+'T_TTAFStock'!CW55,CV51+'Grid_Incoming'!CW51-'Grid_Requirement'!CW51))</f>
        <v/>
      </c>
      <c r="CX51">
        <f>IF(COUNTIFS(T_StockCount[Part Name],$A51,T_StockCount[WeekIndex],101)&gt;0,SUMIFS(T_StockCount[CountedQty],T_StockCount[Part Name],$A51,T_StockCount[WeekIndex],101),IF((('T_SelfStock'!CX55&lt;&gt;""))*(('T_TTAFStock'!CX55&lt;&gt;""))&gt;0,'T_SelfStock'!CX55+'T_TTAFStock'!CX55,CW51+'Grid_Incoming'!CX51-'Grid_Requirement'!CX51))</f>
        <v/>
      </c>
      <c r="CY51">
        <f>IF(COUNTIFS(T_StockCount[Part Name],$A51,T_StockCount[WeekIndex],102)&gt;0,SUMIFS(T_StockCount[CountedQty],T_StockCount[Part Name],$A51,T_StockCount[WeekIndex],102),IF((('T_SelfStock'!CY55&lt;&gt;""))*(('T_TTAFStock'!CY55&lt;&gt;""))&gt;0,'T_SelfStock'!CY55+'T_TTAFStock'!CY55,CX51+'Grid_Incoming'!CY51-'Grid_Requirement'!CY51))</f>
        <v/>
      </c>
      <c r="CZ51">
        <f>IF(COUNTIFS(T_StockCount[Part Name],$A51,T_StockCount[WeekIndex],103)&gt;0,SUMIFS(T_StockCount[CountedQty],T_StockCount[Part Name],$A51,T_StockCount[WeekIndex],103),IF((('T_SelfStock'!CZ55&lt;&gt;""))*(('T_TTAFStock'!CZ55&lt;&gt;""))&gt;0,'T_SelfStock'!CZ55+'T_TTAFStock'!CZ55,CY51+'Grid_Incoming'!CZ51-'Grid_Requirement'!CZ51))</f>
        <v/>
      </c>
      <c r="DA51">
        <f>IF(COUNTIFS(T_StockCount[Part Name],$A51,T_StockCount[WeekIndex],104)&gt;0,SUMIFS(T_StockCount[CountedQty],T_StockCount[Part Name],$A51,T_StockCount[WeekIndex],104),IF((('T_SelfStock'!DA55&lt;&gt;""))*(('T_TTAFStock'!DA55&lt;&gt;""))&gt;0,'T_SelfStock'!DA55+'T_TTAFStock'!DA55,CZ51+'Grid_Incoming'!DA51-'Grid_Requirement'!DA51))</f>
        <v/>
      </c>
    </row>
    <row r="52">
      <c r="A52" t="inlineStr">
        <is>
          <t>Original Towel</t>
        </is>
      </c>
      <c r="B52">
        <f>IF(COUNTIFS(T_StockCount[Part Name],$A52,T_StockCount[WeekIndex],1)&gt;0,SUMIFS(T_StockCount[CountedQty],T_StockCount[Part Name],$A52,T_StockCount[WeekIndex],1),IF((('T_SelfStock'!B56&lt;&gt;""))*(('T_TTAFStock'!B56&lt;&gt;""))&gt;0,'T_SelfStock'!B56+'T_TTAFStock'!B56,IFERROR(INDEX(T_OpeningStock[Opening_Qty],MATCH($A52,T_OpeningStock[Part Name],0)),0)+'Grid_Incoming'!B52-'Grid_Requirement'!B52))</f>
        <v/>
      </c>
      <c r="C52">
        <f>IF(COUNTIFS(T_StockCount[Part Name],$A52,T_StockCount[WeekIndex],2)&gt;0,SUMIFS(T_StockCount[CountedQty],T_StockCount[Part Name],$A52,T_StockCount[WeekIndex],2),IF((('T_SelfStock'!C56&lt;&gt;""))*(('T_TTAFStock'!C56&lt;&gt;""))&gt;0,'T_SelfStock'!C56+'T_TTAFStock'!C56,B52+'Grid_Incoming'!C52-'Grid_Requirement'!C52))</f>
        <v/>
      </c>
      <c r="D52">
        <f>IF(COUNTIFS(T_StockCount[Part Name],$A52,T_StockCount[WeekIndex],3)&gt;0,SUMIFS(T_StockCount[CountedQty],T_StockCount[Part Name],$A52,T_StockCount[WeekIndex],3),IF((('T_SelfStock'!D56&lt;&gt;""))*(('T_TTAFStock'!D56&lt;&gt;""))&gt;0,'T_SelfStock'!D56+'T_TTAFStock'!D56,C52+'Grid_Incoming'!D52-'Grid_Requirement'!D52))</f>
        <v/>
      </c>
      <c r="E52">
        <f>IF(COUNTIFS(T_StockCount[Part Name],$A52,T_StockCount[WeekIndex],4)&gt;0,SUMIFS(T_StockCount[CountedQty],T_StockCount[Part Name],$A52,T_StockCount[WeekIndex],4),IF((('T_SelfStock'!E56&lt;&gt;""))*(('T_TTAFStock'!E56&lt;&gt;""))&gt;0,'T_SelfStock'!E56+'T_TTAFStock'!E56,D52+'Grid_Incoming'!E52-'Grid_Requirement'!E52))</f>
        <v/>
      </c>
      <c r="F52">
        <f>IF(COUNTIFS(T_StockCount[Part Name],$A52,T_StockCount[WeekIndex],5)&gt;0,SUMIFS(T_StockCount[CountedQty],T_StockCount[Part Name],$A52,T_StockCount[WeekIndex],5),IF((('T_SelfStock'!F56&lt;&gt;""))*(('T_TTAFStock'!F56&lt;&gt;""))&gt;0,'T_SelfStock'!F56+'T_TTAFStock'!F56,E52+'Grid_Incoming'!F52-'Grid_Requirement'!F52))</f>
        <v/>
      </c>
      <c r="G52">
        <f>IF(COUNTIFS(T_StockCount[Part Name],$A52,T_StockCount[WeekIndex],6)&gt;0,SUMIFS(T_StockCount[CountedQty],T_StockCount[Part Name],$A52,T_StockCount[WeekIndex],6),IF((('T_SelfStock'!G56&lt;&gt;""))*(('T_TTAFStock'!G56&lt;&gt;""))&gt;0,'T_SelfStock'!G56+'T_TTAFStock'!G56,F52+'Grid_Incoming'!G52-'Grid_Requirement'!G52))</f>
        <v/>
      </c>
      <c r="H52">
        <f>IF(COUNTIFS(T_StockCount[Part Name],$A52,T_StockCount[WeekIndex],7)&gt;0,SUMIFS(T_StockCount[CountedQty],T_StockCount[Part Name],$A52,T_StockCount[WeekIndex],7),IF((('T_SelfStock'!H56&lt;&gt;""))*(('T_TTAFStock'!H56&lt;&gt;""))&gt;0,'T_SelfStock'!H56+'T_TTAFStock'!H56,G52+'Grid_Incoming'!H52-'Grid_Requirement'!H52))</f>
        <v/>
      </c>
      <c r="I52">
        <f>IF(COUNTIFS(T_StockCount[Part Name],$A52,T_StockCount[WeekIndex],8)&gt;0,SUMIFS(T_StockCount[CountedQty],T_StockCount[Part Name],$A52,T_StockCount[WeekIndex],8),IF((('T_SelfStock'!I56&lt;&gt;""))*(('T_TTAFStock'!I56&lt;&gt;""))&gt;0,'T_SelfStock'!I56+'T_TTAFStock'!I56,H52+'Grid_Incoming'!I52-'Grid_Requirement'!I52))</f>
        <v/>
      </c>
      <c r="J52">
        <f>IF(COUNTIFS(T_StockCount[Part Name],$A52,T_StockCount[WeekIndex],9)&gt;0,SUMIFS(T_StockCount[CountedQty],T_StockCount[Part Name],$A52,T_StockCount[WeekIndex],9),IF((('T_SelfStock'!J56&lt;&gt;""))*(('T_TTAFStock'!J56&lt;&gt;""))&gt;0,'T_SelfStock'!J56+'T_TTAFStock'!J56,I52+'Grid_Incoming'!J52-'Grid_Requirement'!J52))</f>
        <v/>
      </c>
      <c r="K52">
        <f>IF(COUNTIFS(T_StockCount[Part Name],$A52,T_StockCount[WeekIndex],10)&gt;0,SUMIFS(T_StockCount[CountedQty],T_StockCount[Part Name],$A52,T_StockCount[WeekIndex],10),IF((('T_SelfStock'!K56&lt;&gt;""))*(('T_TTAFStock'!K56&lt;&gt;""))&gt;0,'T_SelfStock'!K56+'T_TTAFStock'!K56,J52+'Grid_Incoming'!K52-'Grid_Requirement'!K52))</f>
        <v/>
      </c>
      <c r="L52">
        <f>IF(COUNTIFS(T_StockCount[Part Name],$A52,T_StockCount[WeekIndex],11)&gt;0,SUMIFS(T_StockCount[CountedQty],T_StockCount[Part Name],$A52,T_StockCount[WeekIndex],11),IF((('T_SelfStock'!L56&lt;&gt;""))*(('T_TTAFStock'!L56&lt;&gt;""))&gt;0,'T_SelfStock'!L56+'T_TTAFStock'!L56,K52+'Grid_Incoming'!L52-'Grid_Requirement'!L52))</f>
        <v/>
      </c>
      <c r="M52">
        <f>IF(COUNTIFS(T_StockCount[Part Name],$A52,T_StockCount[WeekIndex],12)&gt;0,SUMIFS(T_StockCount[CountedQty],T_StockCount[Part Name],$A52,T_StockCount[WeekIndex],12),IF((('T_SelfStock'!M56&lt;&gt;""))*(('T_TTAFStock'!M56&lt;&gt;""))&gt;0,'T_SelfStock'!M56+'T_TTAFStock'!M56,L52+'Grid_Incoming'!M52-'Grid_Requirement'!M52))</f>
        <v/>
      </c>
      <c r="N52">
        <f>IF(COUNTIFS(T_StockCount[Part Name],$A52,T_StockCount[WeekIndex],13)&gt;0,SUMIFS(T_StockCount[CountedQty],T_StockCount[Part Name],$A52,T_StockCount[WeekIndex],13),IF((('T_SelfStock'!N56&lt;&gt;""))*(('T_TTAFStock'!N56&lt;&gt;""))&gt;0,'T_SelfStock'!N56+'T_TTAFStock'!N56,M52+'Grid_Incoming'!N52-'Grid_Requirement'!N52))</f>
        <v/>
      </c>
      <c r="O52">
        <f>IF(COUNTIFS(T_StockCount[Part Name],$A52,T_StockCount[WeekIndex],14)&gt;0,SUMIFS(T_StockCount[CountedQty],T_StockCount[Part Name],$A52,T_StockCount[WeekIndex],14),IF((('T_SelfStock'!O56&lt;&gt;""))*(('T_TTAFStock'!O56&lt;&gt;""))&gt;0,'T_SelfStock'!O56+'T_TTAFStock'!O56,N52+'Grid_Incoming'!O52-'Grid_Requirement'!O52))</f>
        <v/>
      </c>
      <c r="P52">
        <f>IF(COUNTIFS(T_StockCount[Part Name],$A52,T_StockCount[WeekIndex],15)&gt;0,SUMIFS(T_StockCount[CountedQty],T_StockCount[Part Name],$A52,T_StockCount[WeekIndex],15),IF((('T_SelfStock'!P56&lt;&gt;""))*(('T_TTAFStock'!P56&lt;&gt;""))&gt;0,'T_SelfStock'!P56+'T_TTAFStock'!P56,O52+'Grid_Incoming'!P52-'Grid_Requirement'!P52))</f>
        <v/>
      </c>
      <c r="Q52">
        <f>IF(COUNTIFS(T_StockCount[Part Name],$A52,T_StockCount[WeekIndex],16)&gt;0,SUMIFS(T_StockCount[CountedQty],T_StockCount[Part Name],$A52,T_StockCount[WeekIndex],16),IF((('T_SelfStock'!Q56&lt;&gt;""))*(('T_TTAFStock'!Q56&lt;&gt;""))&gt;0,'T_SelfStock'!Q56+'T_TTAFStock'!Q56,P52+'Grid_Incoming'!Q52-'Grid_Requirement'!Q52))</f>
        <v/>
      </c>
      <c r="R52">
        <f>IF(COUNTIFS(T_StockCount[Part Name],$A52,T_StockCount[WeekIndex],17)&gt;0,SUMIFS(T_StockCount[CountedQty],T_StockCount[Part Name],$A52,T_StockCount[WeekIndex],17),IF((('T_SelfStock'!R56&lt;&gt;""))*(('T_TTAFStock'!R56&lt;&gt;""))&gt;0,'T_SelfStock'!R56+'T_TTAFStock'!R56,Q52+'Grid_Incoming'!R52-'Grid_Requirement'!R52))</f>
        <v/>
      </c>
      <c r="S52">
        <f>IF(COUNTIFS(T_StockCount[Part Name],$A52,T_StockCount[WeekIndex],18)&gt;0,SUMIFS(T_StockCount[CountedQty],T_StockCount[Part Name],$A52,T_StockCount[WeekIndex],18),IF((('T_SelfStock'!S56&lt;&gt;""))*(('T_TTAFStock'!S56&lt;&gt;""))&gt;0,'T_SelfStock'!S56+'T_TTAFStock'!S56,R52+'Grid_Incoming'!S52-'Grid_Requirement'!S52))</f>
        <v/>
      </c>
      <c r="T52">
        <f>IF(COUNTIFS(T_StockCount[Part Name],$A52,T_StockCount[WeekIndex],19)&gt;0,SUMIFS(T_StockCount[CountedQty],T_StockCount[Part Name],$A52,T_StockCount[WeekIndex],19),IF((('T_SelfStock'!T56&lt;&gt;""))*(('T_TTAFStock'!T56&lt;&gt;""))&gt;0,'T_SelfStock'!T56+'T_TTAFStock'!T56,S52+'Grid_Incoming'!T52-'Grid_Requirement'!T52))</f>
        <v/>
      </c>
      <c r="U52">
        <f>IF(COUNTIFS(T_StockCount[Part Name],$A52,T_StockCount[WeekIndex],20)&gt;0,SUMIFS(T_StockCount[CountedQty],T_StockCount[Part Name],$A52,T_StockCount[WeekIndex],20),IF((('T_SelfStock'!U56&lt;&gt;""))*(('T_TTAFStock'!U56&lt;&gt;""))&gt;0,'T_SelfStock'!U56+'T_TTAFStock'!U56,T52+'Grid_Incoming'!U52-'Grid_Requirement'!U52))</f>
        <v/>
      </c>
      <c r="V52">
        <f>IF(COUNTIFS(T_StockCount[Part Name],$A52,T_StockCount[WeekIndex],21)&gt;0,SUMIFS(T_StockCount[CountedQty],T_StockCount[Part Name],$A52,T_StockCount[WeekIndex],21),IF((('T_SelfStock'!V56&lt;&gt;""))*(('T_TTAFStock'!V56&lt;&gt;""))&gt;0,'T_SelfStock'!V56+'T_TTAFStock'!V56,U52+'Grid_Incoming'!V52-'Grid_Requirement'!V52))</f>
        <v/>
      </c>
      <c r="W52">
        <f>IF(COUNTIFS(T_StockCount[Part Name],$A52,T_StockCount[WeekIndex],22)&gt;0,SUMIFS(T_StockCount[CountedQty],T_StockCount[Part Name],$A52,T_StockCount[WeekIndex],22),IF((('T_SelfStock'!W56&lt;&gt;""))*(('T_TTAFStock'!W56&lt;&gt;""))&gt;0,'T_SelfStock'!W56+'T_TTAFStock'!W56,V52+'Grid_Incoming'!W52-'Grid_Requirement'!W52))</f>
        <v/>
      </c>
      <c r="X52">
        <f>IF(COUNTIFS(T_StockCount[Part Name],$A52,T_StockCount[WeekIndex],23)&gt;0,SUMIFS(T_StockCount[CountedQty],T_StockCount[Part Name],$A52,T_StockCount[WeekIndex],23),IF((('T_SelfStock'!X56&lt;&gt;""))*(('T_TTAFStock'!X56&lt;&gt;""))&gt;0,'T_SelfStock'!X56+'T_TTAFStock'!X56,W52+'Grid_Incoming'!X52-'Grid_Requirement'!X52))</f>
        <v/>
      </c>
      <c r="Y52">
        <f>IF(COUNTIFS(T_StockCount[Part Name],$A52,T_StockCount[WeekIndex],24)&gt;0,SUMIFS(T_StockCount[CountedQty],T_StockCount[Part Name],$A52,T_StockCount[WeekIndex],24),IF((('T_SelfStock'!Y56&lt;&gt;""))*(('T_TTAFStock'!Y56&lt;&gt;""))&gt;0,'T_SelfStock'!Y56+'T_TTAFStock'!Y56,X52+'Grid_Incoming'!Y52-'Grid_Requirement'!Y52))</f>
        <v/>
      </c>
      <c r="Z52">
        <f>IF(COUNTIFS(T_StockCount[Part Name],$A52,T_StockCount[WeekIndex],25)&gt;0,SUMIFS(T_StockCount[CountedQty],T_StockCount[Part Name],$A52,T_StockCount[WeekIndex],25),IF((('T_SelfStock'!Z56&lt;&gt;""))*(('T_TTAFStock'!Z56&lt;&gt;""))&gt;0,'T_SelfStock'!Z56+'T_TTAFStock'!Z56,Y52+'Grid_Incoming'!Z52-'Grid_Requirement'!Z52))</f>
        <v/>
      </c>
      <c r="AA52">
        <f>IF(COUNTIFS(T_StockCount[Part Name],$A52,T_StockCount[WeekIndex],26)&gt;0,SUMIFS(T_StockCount[CountedQty],T_StockCount[Part Name],$A52,T_StockCount[WeekIndex],26),IF((('T_SelfStock'!AA56&lt;&gt;""))*(('T_TTAFStock'!AA56&lt;&gt;""))&gt;0,'T_SelfStock'!AA56+'T_TTAFStock'!AA56,Z52+'Grid_Incoming'!AA52-'Grid_Requirement'!AA52))</f>
        <v/>
      </c>
      <c r="AB52">
        <f>IF(COUNTIFS(T_StockCount[Part Name],$A52,T_StockCount[WeekIndex],27)&gt;0,SUMIFS(T_StockCount[CountedQty],T_StockCount[Part Name],$A52,T_StockCount[WeekIndex],27),IF((('T_SelfStock'!AB56&lt;&gt;""))*(('T_TTAFStock'!AB56&lt;&gt;""))&gt;0,'T_SelfStock'!AB56+'T_TTAFStock'!AB56,AA52+'Grid_Incoming'!AB52-'Grid_Requirement'!AB52))</f>
        <v/>
      </c>
      <c r="AC52">
        <f>IF(COUNTIFS(T_StockCount[Part Name],$A52,T_StockCount[WeekIndex],28)&gt;0,SUMIFS(T_StockCount[CountedQty],T_StockCount[Part Name],$A52,T_StockCount[WeekIndex],28),IF((('T_SelfStock'!AC56&lt;&gt;""))*(('T_TTAFStock'!AC56&lt;&gt;""))&gt;0,'T_SelfStock'!AC56+'T_TTAFStock'!AC56,AB52+'Grid_Incoming'!AC52-'Grid_Requirement'!AC52))</f>
        <v/>
      </c>
      <c r="AD52">
        <f>IF(COUNTIFS(T_StockCount[Part Name],$A52,T_StockCount[WeekIndex],29)&gt;0,SUMIFS(T_StockCount[CountedQty],T_StockCount[Part Name],$A52,T_StockCount[WeekIndex],29),IF((('T_SelfStock'!AD56&lt;&gt;""))*(('T_TTAFStock'!AD56&lt;&gt;""))&gt;0,'T_SelfStock'!AD56+'T_TTAFStock'!AD56,AC52+'Grid_Incoming'!AD52-'Grid_Requirement'!AD52))</f>
        <v/>
      </c>
      <c r="AE52">
        <f>IF(COUNTIFS(T_StockCount[Part Name],$A52,T_StockCount[WeekIndex],30)&gt;0,SUMIFS(T_StockCount[CountedQty],T_StockCount[Part Name],$A52,T_StockCount[WeekIndex],30),IF((('T_SelfStock'!AE56&lt;&gt;""))*(('T_TTAFStock'!AE56&lt;&gt;""))&gt;0,'T_SelfStock'!AE56+'T_TTAFStock'!AE56,AD52+'Grid_Incoming'!AE52-'Grid_Requirement'!AE52))</f>
        <v/>
      </c>
      <c r="AF52">
        <f>IF(COUNTIFS(T_StockCount[Part Name],$A52,T_StockCount[WeekIndex],31)&gt;0,SUMIFS(T_StockCount[CountedQty],T_StockCount[Part Name],$A52,T_StockCount[WeekIndex],31),IF((('T_SelfStock'!AF56&lt;&gt;""))*(('T_TTAFStock'!AF56&lt;&gt;""))&gt;0,'T_SelfStock'!AF56+'T_TTAFStock'!AF56,AE52+'Grid_Incoming'!AF52-'Grid_Requirement'!AF52))</f>
        <v/>
      </c>
      <c r="AG52">
        <f>IF(COUNTIFS(T_StockCount[Part Name],$A52,T_StockCount[WeekIndex],32)&gt;0,SUMIFS(T_StockCount[CountedQty],T_StockCount[Part Name],$A52,T_StockCount[WeekIndex],32),IF((('T_SelfStock'!AG56&lt;&gt;""))*(('T_TTAFStock'!AG56&lt;&gt;""))&gt;0,'T_SelfStock'!AG56+'T_TTAFStock'!AG56,AF52+'Grid_Incoming'!AG52-'Grid_Requirement'!AG52))</f>
        <v/>
      </c>
      <c r="AH52">
        <f>IF(COUNTIFS(T_StockCount[Part Name],$A52,T_StockCount[WeekIndex],33)&gt;0,SUMIFS(T_StockCount[CountedQty],T_StockCount[Part Name],$A52,T_StockCount[WeekIndex],33),IF((('T_SelfStock'!AH56&lt;&gt;""))*(('T_TTAFStock'!AH56&lt;&gt;""))&gt;0,'T_SelfStock'!AH56+'T_TTAFStock'!AH56,AG52+'Grid_Incoming'!AH52-'Grid_Requirement'!AH52))</f>
        <v/>
      </c>
      <c r="AI52">
        <f>IF(COUNTIFS(T_StockCount[Part Name],$A52,T_StockCount[WeekIndex],34)&gt;0,SUMIFS(T_StockCount[CountedQty],T_StockCount[Part Name],$A52,T_StockCount[WeekIndex],34),IF((('T_SelfStock'!AI56&lt;&gt;""))*(('T_TTAFStock'!AI56&lt;&gt;""))&gt;0,'T_SelfStock'!AI56+'T_TTAFStock'!AI56,AH52+'Grid_Incoming'!AI52-'Grid_Requirement'!AI52))</f>
        <v/>
      </c>
      <c r="AJ52">
        <f>IF(COUNTIFS(T_StockCount[Part Name],$A52,T_StockCount[WeekIndex],35)&gt;0,SUMIFS(T_StockCount[CountedQty],T_StockCount[Part Name],$A52,T_StockCount[WeekIndex],35),IF((('T_SelfStock'!AJ56&lt;&gt;""))*(('T_TTAFStock'!AJ56&lt;&gt;""))&gt;0,'T_SelfStock'!AJ56+'T_TTAFStock'!AJ56,AI52+'Grid_Incoming'!AJ52-'Grid_Requirement'!AJ52))</f>
        <v/>
      </c>
      <c r="AK52">
        <f>IF(COUNTIFS(T_StockCount[Part Name],$A52,T_StockCount[WeekIndex],36)&gt;0,SUMIFS(T_StockCount[CountedQty],T_StockCount[Part Name],$A52,T_StockCount[WeekIndex],36),IF((('T_SelfStock'!AK56&lt;&gt;""))*(('T_TTAFStock'!AK56&lt;&gt;""))&gt;0,'T_SelfStock'!AK56+'T_TTAFStock'!AK56,AJ52+'Grid_Incoming'!AK52-'Grid_Requirement'!AK52))</f>
        <v/>
      </c>
      <c r="AL52">
        <f>IF(COUNTIFS(T_StockCount[Part Name],$A52,T_StockCount[WeekIndex],37)&gt;0,SUMIFS(T_StockCount[CountedQty],T_StockCount[Part Name],$A52,T_StockCount[WeekIndex],37),IF((('T_SelfStock'!AL56&lt;&gt;""))*(('T_TTAFStock'!AL56&lt;&gt;""))&gt;0,'T_SelfStock'!AL56+'T_TTAFStock'!AL56,AK52+'Grid_Incoming'!AL52-'Grid_Requirement'!AL52))</f>
        <v/>
      </c>
      <c r="AM52">
        <f>IF(COUNTIFS(T_StockCount[Part Name],$A52,T_StockCount[WeekIndex],38)&gt;0,SUMIFS(T_StockCount[CountedQty],T_StockCount[Part Name],$A52,T_StockCount[WeekIndex],38),IF((('T_SelfStock'!AM56&lt;&gt;""))*(('T_TTAFStock'!AM56&lt;&gt;""))&gt;0,'T_SelfStock'!AM56+'T_TTAFStock'!AM56,AL52+'Grid_Incoming'!AM52-'Grid_Requirement'!AM52))</f>
        <v/>
      </c>
      <c r="AN52">
        <f>IF(COUNTIFS(T_StockCount[Part Name],$A52,T_StockCount[WeekIndex],39)&gt;0,SUMIFS(T_StockCount[CountedQty],T_StockCount[Part Name],$A52,T_StockCount[WeekIndex],39),IF((('T_SelfStock'!AN56&lt;&gt;""))*(('T_TTAFStock'!AN56&lt;&gt;""))&gt;0,'T_SelfStock'!AN56+'T_TTAFStock'!AN56,AM52+'Grid_Incoming'!AN52-'Grid_Requirement'!AN52))</f>
        <v/>
      </c>
      <c r="AO52">
        <f>IF(COUNTIFS(T_StockCount[Part Name],$A52,T_StockCount[WeekIndex],40)&gt;0,SUMIFS(T_StockCount[CountedQty],T_StockCount[Part Name],$A52,T_StockCount[WeekIndex],40),IF((('T_SelfStock'!AO56&lt;&gt;""))*(('T_TTAFStock'!AO56&lt;&gt;""))&gt;0,'T_SelfStock'!AO56+'T_TTAFStock'!AO56,AN52+'Grid_Incoming'!AO52-'Grid_Requirement'!AO52))</f>
        <v/>
      </c>
      <c r="AP52">
        <f>IF(COUNTIFS(T_StockCount[Part Name],$A52,T_StockCount[WeekIndex],41)&gt;0,SUMIFS(T_StockCount[CountedQty],T_StockCount[Part Name],$A52,T_StockCount[WeekIndex],41),IF((('T_SelfStock'!AP56&lt;&gt;""))*(('T_TTAFStock'!AP56&lt;&gt;""))&gt;0,'T_SelfStock'!AP56+'T_TTAFStock'!AP56,AO52+'Grid_Incoming'!AP52-'Grid_Requirement'!AP52))</f>
        <v/>
      </c>
      <c r="AQ52">
        <f>IF(COUNTIFS(T_StockCount[Part Name],$A52,T_StockCount[WeekIndex],42)&gt;0,SUMIFS(T_StockCount[CountedQty],T_StockCount[Part Name],$A52,T_StockCount[WeekIndex],42),IF((('T_SelfStock'!AQ56&lt;&gt;""))*(('T_TTAFStock'!AQ56&lt;&gt;""))&gt;0,'T_SelfStock'!AQ56+'T_TTAFStock'!AQ56,AP52+'Grid_Incoming'!AQ52-'Grid_Requirement'!AQ52))</f>
        <v/>
      </c>
      <c r="AR52">
        <f>IF(COUNTIFS(T_StockCount[Part Name],$A52,T_StockCount[WeekIndex],43)&gt;0,SUMIFS(T_StockCount[CountedQty],T_StockCount[Part Name],$A52,T_StockCount[WeekIndex],43),IF((('T_SelfStock'!AR56&lt;&gt;""))*(('T_TTAFStock'!AR56&lt;&gt;""))&gt;0,'T_SelfStock'!AR56+'T_TTAFStock'!AR56,AQ52+'Grid_Incoming'!AR52-'Grid_Requirement'!AR52))</f>
        <v/>
      </c>
      <c r="AS52">
        <f>IF(COUNTIFS(T_StockCount[Part Name],$A52,T_StockCount[WeekIndex],44)&gt;0,SUMIFS(T_StockCount[CountedQty],T_StockCount[Part Name],$A52,T_StockCount[WeekIndex],44),IF((('T_SelfStock'!AS56&lt;&gt;""))*(('T_TTAFStock'!AS56&lt;&gt;""))&gt;0,'T_SelfStock'!AS56+'T_TTAFStock'!AS56,AR52+'Grid_Incoming'!AS52-'Grid_Requirement'!AS52))</f>
        <v/>
      </c>
      <c r="AT52">
        <f>IF(COUNTIFS(T_StockCount[Part Name],$A52,T_StockCount[WeekIndex],45)&gt;0,SUMIFS(T_StockCount[CountedQty],T_StockCount[Part Name],$A52,T_StockCount[WeekIndex],45),IF((('T_SelfStock'!AT56&lt;&gt;""))*(('T_TTAFStock'!AT56&lt;&gt;""))&gt;0,'T_SelfStock'!AT56+'T_TTAFStock'!AT56,AS52+'Grid_Incoming'!AT52-'Grid_Requirement'!AT52))</f>
        <v/>
      </c>
      <c r="AU52">
        <f>IF(COUNTIFS(T_StockCount[Part Name],$A52,T_StockCount[WeekIndex],46)&gt;0,SUMIFS(T_StockCount[CountedQty],T_StockCount[Part Name],$A52,T_StockCount[WeekIndex],46),IF((('T_SelfStock'!AU56&lt;&gt;""))*(('T_TTAFStock'!AU56&lt;&gt;""))&gt;0,'T_SelfStock'!AU56+'T_TTAFStock'!AU56,AT52+'Grid_Incoming'!AU52-'Grid_Requirement'!AU52))</f>
        <v/>
      </c>
      <c r="AV52">
        <f>IF(COUNTIFS(T_StockCount[Part Name],$A52,T_StockCount[WeekIndex],47)&gt;0,SUMIFS(T_StockCount[CountedQty],T_StockCount[Part Name],$A52,T_StockCount[WeekIndex],47),IF((('T_SelfStock'!AV56&lt;&gt;""))*(('T_TTAFStock'!AV56&lt;&gt;""))&gt;0,'T_SelfStock'!AV56+'T_TTAFStock'!AV56,AU52+'Grid_Incoming'!AV52-'Grid_Requirement'!AV52))</f>
        <v/>
      </c>
      <c r="AW52">
        <f>IF(COUNTIFS(T_StockCount[Part Name],$A52,T_StockCount[WeekIndex],48)&gt;0,SUMIFS(T_StockCount[CountedQty],T_StockCount[Part Name],$A52,T_StockCount[WeekIndex],48),IF((('T_SelfStock'!AW56&lt;&gt;""))*(('T_TTAFStock'!AW56&lt;&gt;""))&gt;0,'T_SelfStock'!AW56+'T_TTAFStock'!AW56,AV52+'Grid_Incoming'!AW52-'Grid_Requirement'!AW52))</f>
        <v/>
      </c>
      <c r="AX52">
        <f>IF(COUNTIFS(T_StockCount[Part Name],$A52,T_StockCount[WeekIndex],49)&gt;0,SUMIFS(T_StockCount[CountedQty],T_StockCount[Part Name],$A52,T_StockCount[WeekIndex],49),IF((('T_SelfStock'!AX56&lt;&gt;""))*(('T_TTAFStock'!AX56&lt;&gt;""))&gt;0,'T_SelfStock'!AX56+'T_TTAFStock'!AX56,AW52+'Grid_Incoming'!AX52-'Grid_Requirement'!AX52))</f>
        <v/>
      </c>
      <c r="AY52">
        <f>IF(COUNTIFS(T_StockCount[Part Name],$A52,T_StockCount[WeekIndex],50)&gt;0,SUMIFS(T_StockCount[CountedQty],T_StockCount[Part Name],$A52,T_StockCount[WeekIndex],50),IF((('T_SelfStock'!AY56&lt;&gt;""))*(('T_TTAFStock'!AY56&lt;&gt;""))&gt;0,'T_SelfStock'!AY56+'T_TTAFStock'!AY56,AX52+'Grid_Incoming'!AY52-'Grid_Requirement'!AY52))</f>
        <v/>
      </c>
      <c r="AZ52">
        <f>IF(COUNTIFS(T_StockCount[Part Name],$A52,T_StockCount[WeekIndex],51)&gt;0,SUMIFS(T_StockCount[CountedQty],T_StockCount[Part Name],$A52,T_StockCount[WeekIndex],51),IF((('T_SelfStock'!AZ56&lt;&gt;""))*(('T_TTAFStock'!AZ56&lt;&gt;""))&gt;0,'T_SelfStock'!AZ56+'T_TTAFStock'!AZ56,AY52+'Grid_Incoming'!AZ52-'Grid_Requirement'!AZ52))</f>
        <v/>
      </c>
      <c r="BA52">
        <f>IF(COUNTIFS(T_StockCount[Part Name],$A52,T_StockCount[WeekIndex],52)&gt;0,SUMIFS(T_StockCount[CountedQty],T_StockCount[Part Name],$A52,T_StockCount[WeekIndex],52),IF((('T_SelfStock'!BA56&lt;&gt;""))*(('T_TTAFStock'!BA56&lt;&gt;""))&gt;0,'T_SelfStock'!BA56+'T_TTAFStock'!BA56,AZ52+'Grid_Incoming'!BA52-'Grid_Requirement'!BA52))</f>
        <v/>
      </c>
      <c r="BB52">
        <f>IF(COUNTIFS(T_StockCount[Part Name],$A52,T_StockCount[WeekIndex],53)&gt;0,SUMIFS(T_StockCount[CountedQty],T_StockCount[Part Name],$A52,T_StockCount[WeekIndex],53),IF((('T_SelfStock'!BB56&lt;&gt;""))*(('T_TTAFStock'!BB56&lt;&gt;""))&gt;0,'T_SelfStock'!BB56+'T_TTAFStock'!BB56,BA52+'Grid_Incoming'!BB52-'Grid_Requirement'!BB52))</f>
        <v/>
      </c>
      <c r="BC52">
        <f>IF(COUNTIFS(T_StockCount[Part Name],$A52,T_StockCount[WeekIndex],54)&gt;0,SUMIFS(T_StockCount[CountedQty],T_StockCount[Part Name],$A52,T_StockCount[WeekIndex],54),IF((('T_SelfStock'!BC56&lt;&gt;""))*(('T_TTAFStock'!BC56&lt;&gt;""))&gt;0,'T_SelfStock'!BC56+'T_TTAFStock'!BC56,BB52+'Grid_Incoming'!BC52-'Grid_Requirement'!BC52))</f>
        <v/>
      </c>
      <c r="BD52">
        <f>IF(COUNTIFS(T_StockCount[Part Name],$A52,T_StockCount[WeekIndex],55)&gt;0,SUMIFS(T_StockCount[CountedQty],T_StockCount[Part Name],$A52,T_StockCount[WeekIndex],55),IF((('T_SelfStock'!BD56&lt;&gt;""))*(('T_TTAFStock'!BD56&lt;&gt;""))&gt;0,'T_SelfStock'!BD56+'T_TTAFStock'!BD56,BC52+'Grid_Incoming'!BD52-'Grid_Requirement'!BD52))</f>
        <v/>
      </c>
      <c r="BE52">
        <f>IF(COUNTIFS(T_StockCount[Part Name],$A52,T_StockCount[WeekIndex],56)&gt;0,SUMIFS(T_StockCount[CountedQty],T_StockCount[Part Name],$A52,T_StockCount[WeekIndex],56),IF((('T_SelfStock'!BE56&lt;&gt;""))*(('T_TTAFStock'!BE56&lt;&gt;""))&gt;0,'T_SelfStock'!BE56+'T_TTAFStock'!BE56,BD52+'Grid_Incoming'!BE52-'Grid_Requirement'!BE52))</f>
        <v/>
      </c>
      <c r="BF52">
        <f>IF(COUNTIFS(T_StockCount[Part Name],$A52,T_StockCount[WeekIndex],57)&gt;0,SUMIFS(T_StockCount[CountedQty],T_StockCount[Part Name],$A52,T_StockCount[WeekIndex],57),IF((('T_SelfStock'!BF56&lt;&gt;""))*(('T_TTAFStock'!BF56&lt;&gt;""))&gt;0,'T_SelfStock'!BF56+'T_TTAFStock'!BF56,BE52+'Grid_Incoming'!BF52-'Grid_Requirement'!BF52))</f>
        <v/>
      </c>
      <c r="BG52">
        <f>IF(COUNTIFS(T_StockCount[Part Name],$A52,T_StockCount[WeekIndex],58)&gt;0,SUMIFS(T_StockCount[CountedQty],T_StockCount[Part Name],$A52,T_StockCount[WeekIndex],58),IF((('T_SelfStock'!BG56&lt;&gt;""))*(('T_TTAFStock'!BG56&lt;&gt;""))&gt;0,'T_SelfStock'!BG56+'T_TTAFStock'!BG56,BF52+'Grid_Incoming'!BG52-'Grid_Requirement'!BG52))</f>
        <v/>
      </c>
      <c r="BH52">
        <f>IF(COUNTIFS(T_StockCount[Part Name],$A52,T_StockCount[WeekIndex],59)&gt;0,SUMIFS(T_StockCount[CountedQty],T_StockCount[Part Name],$A52,T_StockCount[WeekIndex],59),IF((('T_SelfStock'!BH56&lt;&gt;""))*(('T_TTAFStock'!BH56&lt;&gt;""))&gt;0,'T_SelfStock'!BH56+'T_TTAFStock'!BH56,BG52+'Grid_Incoming'!BH52-'Grid_Requirement'!BH52))</f>
        <v/>
      </c>
      <c r="BI52">
        <f>IF(COUNTIFS(T_StockCount[Part Name],$A52,T_StockCount[WeekIndex],60)&gt;0,SUMIFS(T_StockCount[CountedQty],T_StockCount[Part Name],$A52,T_StockCount[WeekIndex],60),IF((('T_SelfStock'!BI56&lt;&gt;""))*(('T_TTAFStock'!BI56&lt;&gt;""))&gt;0,'T_SelfStock'!BI56+'T_TTAFStock'!BI56,BH52+'Grid_Incoming'!BI52-'Grid_Requirement'!BI52))</f>
        <v/>
      </c>
      <c r="BJ52">
        <f>IF(COUNTIFS(T_StockCount[Part Name],$A52,T_StockCount[WeekIndex],61)&gt;0,SUMIFS(T_StockCount[CountedQty],T_StockCount[Part Name],$A52,T_StockCount[WeekIndex],61),IF((('T_SelfStock'!BJ56&lt;&gt;""))*(('T_TTAFStock'!BJ56&lt;&gt;""))&gt;0,'T_SelfStock'!BJ56+'T_TTAFStock'!BJ56,BI52+'Grid_Incoming'!BJ52-'Grid_Requirement'!BJ52))</f>
        <v/>
      </c>
      <c r="BK52">
        <f>IF(COUNTIFS(T_StockCount[Part Name],$A52,T_StockCount[WeekIndex],62)&gt;0,SUMIFS(T_StockCount[CountedQty],T_StockCount[Part Name],$A52,T_StockCount[WeekIndex],62),IF((('T_SelfStock'!BK56&lt;&gt;""))*(('T_TTAFStock'!BK56&lt;&gt;""))&gt;0,'T_SelfStock'!BK56+'T_TTAFStock'!BK56,BJ52+'Grid_Incoming'!BK52-'Grid_Requirement'!BK52))</f>
        <v/>
      </c>
      <c r="BL52">
        <f>IF(COUNTIFS(T_StockCount[Part Name],$A52,T_StockCount[WeekIndex],63)&gt;0,SUMIFS(T_StockCount[CountedQty],T_StockCount[Part Name],$A52,T_StockCount[WeekIndex],63),IF((('T_SelfStock'!BL56&lt;&gt;""))*(('T_TTAFStock'!BL56&lt;&gt;""))&gt;0,'T_SelfStock'!BL56+'T_TTAFStock'!BL56,BK52+'Grid_Incoming'!BL52-'Grid_Requirement'!BL52))</f>
        <v/>
      </c>
      <c r="BM52">
        <f>IF(COUNTIFS(T_StockCount[Part Name],$A52,T_StockCount[WeekIndex],64)&gt;0,SUMIFS(T_StockCount[CountedQty],T_StockCount[Part Name],$A52,T_StockCount[WeekIndex],64),IF((('T_SelfStock'!BM56&lt;&gt;""))*(('T_TTAFStock'!BM56&lt;&gt;""))&gt;0,'T_SelfStock'!BM56+'T_TTAFStock'!BM56,BL52+'Grid_Incoming'!BM52-'Grid_Requirement'!BM52))</f>
        <v/>
      </c>
      <c r="BN52">
        <f>IF(COUNTIFS(T_StockCount[Part Name],$A52,T_StockCount[WeekIndex],65)&gt;0,SUMIFS(T_StockCount[CountedQty],T_StockCount[Part Name],$A52,T_StockCount[WeekIndex],65),IF((('T_SelfStock'!BN56&lt;&gt;""))*(('T_TTAFStock'!BN56&lt;&gt;""))&gt;0,'T_SelfStock'!BN56+'T_TTAFStock'!BN56,BM52+'Grid_Incoming'!BN52-'Grid_Requirement'!BN52))</f>
        <v/>
      </c>
      <c r="BO52">
        <f>IF(COUNTIFS(T_StockCount[Part Name],$A52,T_StockCount[WeekIndex],66)&gt;0,SUMIFS(T_StockCount[CountedQty],T_StockCount[Part Name],$A52,T_StockCount[WeekIndex],66),IF((('T_SelfStock'!BO56&lt;&gt;""))*(('T_TTAFStock'!BO56&lt;&gt;""))&gt;0,'T_SelfStock'!BO56+'T_TTAFStock'!BO56,BN52+'Grid_Incoming'!BO52-'Grid_Requirement'!BO52))</f>
        <v/>
      </c>
      <c r="BP52">
        <f>IF(COUNTIFS(T_StockCount[Part Name],$A52,T_StockCount[WeekIndex],67)&gt;0,SUMIFS(T_StockCount[CountedQty],T_StockCount[Part Name],$A52,T_StockCount[WeekIndex],67),IF((('T_SelfStock'!BP56&lt;&gt;""))*(('T_TTAFStock'!BP56&lt;&gt;""))&gt;0,'T_SelfStock'!BP56+'T_TTAFStock'!BP56,BO52+'Grid_Incoming'!BP52-'Grid_Requirement'!BP52))</f>
        <v/>
      </c>
      <c r="BQ52">
        <f>IF(COUNTIFS(T_StockCount[Part Name],$A52,T_StockCount[WeekIndex],68)&gt;0,SUMIFS(T_StockCount[CountedQty],T_StockCount[Part Name],$A52,T_StockCount[WeekIndex],68),IF((('T_SelfStock'!BQ56&lt;&gt;""))*(('T_TTAFStock'!BQ56&lt;&gt;""))&gt;0,'T_SelfStock'!BQ56+'T_TTAFStock'!BQ56,BP52+'Grid_Incoming'!BQ52-'Grid_Requirement'!BQ52))</f>
        <v/>
      </c>
      <c r="BR52">
        <f>IF(COUNTIFS(T_StockCount[Part Name],$A52,T_StockCount[WeekIndex],69)&gt;0,SUMIFS(T_StockCount[CountedQty],T_StockCount[Part Name],$A52,T_StockCount[WeekIndex],69),IF((('T_SelfStock'!BR56&lt;&gt;""))*(('T_TTAFStock'!BR56&lt;&gt;""))&gt;0,'T_SelfStock'!BR56+'T_TTAFStock'!BR56,BQ52+'Grid_Incoming'!BR52-'Grid_Requirement'!BR52))</f>
        <v/>
      </c>
      <c r="BS52">
        <f>IF(COUNTIFS(T_StockCount[Part Name],$A52,T_StockCount[WeekIndex],70)&gt;0,SUMIFS(T_StockCount[CountedQty],T_StockCount[Part Name],$A52,T_StockCount[WeekIndex],70),IF((('T_SelfStock'!BS56&lt;&gt;""))*(('T_TTAFStock'!BS56&lt;&gt;""))&gt;0,'T_SelfStock'!BS56+'T_TTAFStock'!BS56,BR52+'Grid_Incoming'!BS52-'Grid_Requirement'!BS52))</f>
        <v/>
      </c>
      <c r="BT52">
        <f>IF(COUNTIFS(T_StockCount[Part Name],$A52,T_StockCount[WeekIndex],71)&gt;0,SUMIFS(T_StockCount[CountedQty],T_StockCount[Part Name],$A52,T_StockCount[WeekIndex],71),IF((('T_SelfStock'!BT56&lt;&gt;""))*(('T_TTAFStock'!BT56&lt;&gt;""))&gt;0,'T_SelfStock'!BT56+'T_TTAFStock'!BT56,BS52+'Grid_Incoming'!BT52-'Grid_Requirement'!BT52))</f>
        <v/>
      </c>
      <c r="BU52">
        <f>IF(COUNTIFS(T_StockCount[Part Name],$A52,T_StockCount[WeekIndex],72)&gt;0,SUMIFS(T_StockCount[CountedQty],T_StockCount[Part Name],$A52,T_StockCount[WeekIndex],72),IF((('T_SelfStock'!BU56&lt;&gt;""))*(('T_TTAFStock'!BU56&lt;&gt;""))&gt;0,'T_SelfStock'!BU56+'T_TTAFStock'!BU56,BT52+'Grid_Incoming'!BU52-'Grid_Requirement'!BU52))</f>
        <v/>
      </c>
      <c r="BV52">
        <f>IF(COUNTIFS(T_StockCount[Part Name],$A52,T_StockCount[WeekIndex],73)&gt;0,SUMIFS(T_StockCount[CountedQty],T_StockCount[Part Name],$A52,T_StockCount[WeekIndex],73),IF((('T_SelfStock'!BV56&lt;&gt;""))*(('T_TTAFStock'!BV56&lt;&gt;""))&gt;0,'T_SelfStock'!BV56+'T_TTAFStock'!BV56,BU52+'Grid_Incoming'!BV52-'Grid_Requirement'!BV52))</f>
        <v/>
      </c>
      <c r="BW52">
        <f>IF(COUNTIFS(T_StockCount[Part Name],$A52,T_StockCount[WeekIndex],74)&gt;0,SUMIFS(T_StockCount[CountedQty],T_StockCount[Part Name],$A52,T_StockCount[WeekIndex],74),IF((('T_SelfStock'!BW56&lt;&gt;""))*(('T_TTAFStock'!BW56&lt;&gt;""))&gt;0,'T_SelfStock'!BW56+'T_TTAFStock'!BW56,BV52+'Grid_Incoming'!BW52-'Grid_Requirement'!BW52))</f>
        <v/>
      </c>
      <c r="BX52">
        <f>IF(COUNTIFS(T_StockCount[Part Name],$A52,T_StockCount[WeekIndex],75)&gt;0,SUMIFS(T_StockCount[CountedQty],T_StockCount[Part Name],$A52,T_StockCount[WeekIndex],75),IF((('T_SelfStock'!BX56&lt;&gt;""))*(('T_TTAFStock'!BX56&lt;&gt;""))&gt;0,'T_SelfStock'!BX56+'T_TTAFStock'!BX56,BW52+'Grid_Incoming'!BX52-'Grid_Requirement'!BX52))</f>
        <v/>
      </c>
      <c r="BY52">
        <f>IF(COUNTIFS(T_StockCount[Part Name],$A52,T_StockCount[WeekIndex],76)&gt;0,SUMIFS(T_StockCount[CountedQty],T_StockCount[Part Name],$A52,T_StockCount[WeekIndex],76),IF((('T_SelfStock'!BY56&lt;&gt;""))*(('T_TTAFStock'!BY56&lt;&gt;""))&gt;0,'T_SelfStock'!BY56+'T_TTAFStock'!BY56,BX52+'Grid_Incoming'!BY52-'Grid_Requirement'!BY52))</f>
        <v/>
      </c>
      <c r="BZ52">
        <f>IF(COUNTIFS(T_StockCount[Part Name],$A52,T_StockCount[WeekIndex],77)&gt;0,SUMIFS(T_StockCount[CountedQty],T_StockCount[Part Name],$A52,T_StockCount[WeekIndex],77),IF((('T_SelfStock'!BZ56&lt;&gt;""))*(('T_TTAFStock'!BZ56&lt;&gt;""))&gt;0,'T_SelfStock'!BZ56+'T_TTAFStock'!BZ56,BY52+'Grid_Incoming'!BZ52-'Grid_Requirement'!BZ52))</f>
        <v/>
      </c>
      <c r="CA52">
        <f>IF(COUNTIFS(T_StockCount[Part Name],$A52,T_StockCount[WeekIndex],78)&gt;0,SUMIFS(T_StockCount[CountedQty],T_StockCount[Part Name],$A52,T_StockCount[WeekIndex],78),IF((('T_SelfStock'!CA56&lt;&gt;""))*(('T_TTAFStock'!CA56&lt;&gt;""))&gt;0,'T_SelfStock'!CA56+'T_TTAFStock'!CA56,BZ52+'Grid_Incoming'!CA52-'Grid_Requirement'!CA52))</f>
        <v/>
      </c>
      <c r="CB52">
        <f>IF(COUNTIFS(T_StockCount[Part Name],$A52,T_StockCount[WeekIndex],79)&gt;0,SUMIFS(T_StockCount[CountedQty],T_StockCount[Part Name],$A52,T_StockCount[WeekIndex],79),IF((('T_SelfStock'!CB56&lt;&gt;""))*(('T_TTAFStock'!CB56&lt;&gt;""))&gt;0,'T_SelfStock'!CB56+'T_TTAFStock'!CB56,CA52+'Grid_Incoming'!CB52-'Grid_Requirement'!CB52))</f>
        <v/>
      </c>
      <c r="CC52">
        <f>IF(COUNTIFS(T_StockCount[Part Name],$A52,T_StockCount[WeekIndex],80)&gt;0,SUMIFS(T_StockCount[CountedQty],T_StockCount[Part Name],$A52,T_StockCount[WeekIndex],80),IF((('T_SelfStock'!CC56&lt;&gt;""))*(('T_TTAFStock'!CC56&lt;&gt;""))&gt;0,'T_SelfStock'!CC56+'T_TTAFStock'!CC56,CB52+'Grid_Incoming'!CC52-'Grid_Requirement'!CC52))</f>
        <v/>
      </c>
      <c r="CD52">
        <f>IF(COUNTIFS(T_StockCount[Part Name],$A52,T_StockCount[WeekIndex],81)&gt;0,SUMIFS(T_StockCount[CountedQty],T_StockCount[Part Name],$A52,T_StockCount[WeekIndex],81),IF((('T_SelfStock'!CD56&lt;&gt;""))*(('T_TTAFStock'!CD56&lt;&gt;""))&gt;0,'T_SelfStock'!CD56+'T_TTAFStock'!CD56,CC52+'Grid_Incoming'!CD52-'Grid_Requirement'!CD52))</f>
        <v/>
      </c>
      <c r="CE52">
        <f>IF(COUNTIFS(T_StockCount[Part Name],$A52,T_StockCount[WeekIndex],82)&gt;0,SUMIFS(T_StockCount[CountedQty],T_StockCount[Part Name],$A52,T_StockCount[WeekIndex],82),IF((('T_SelfStock'!CE56&lt;&gt;""))*(('T_TTAFStock'!CE56&lt;&gt;""))&gt;0,'T_SelfStock'!CE56+'T_TTAFStock'!CE56,CD52+'Grid_Incoming'!CE52-'Grid_Requirement'!CE52))</f>
        <v/>
      </c>
      <c r="CF52">
        <f>IF(COUNTIFS(T_StockCount[Part Name],$A52,T_StockCount[WeekIndex],83)&gt;0,SUMIFS(T_StockCount[CountedQty],T_StockCount[Part Name],$A52,T_StockCount[WeekIndex],83),IF((('T_SelfStock'!CF56&lt;&gt;""))*(('T_TTAFStock'!CF56&lt;&gt;""))&gt;0,'T_SelfStock'!CF56+'T_TTAFStock'!CF56,CE52+'Grid_Incoming'!CF52-'Grid_Requirement'!CF52))</f>
        <v/>
      </c>
      <c r="CG52">
        <f>IF(COUNTIFS(T_StockCount[Part Name],$A52,T_StockCount[WeekIndex],84)&gt;0,SUMIFS(T_StockCount[CountedQty],T_StockCount[Part Name],$A52,T_StockCount[WeekIndex],84),IF((('T_SelfStock'!CG56&lt;&gt;""))*(('T_TTAFStock'!CG56&lt;&gt;""))&gt;0,'T_SelfStock'!CG56+'T_TTAFStock'!CG56,CF52+'Grid_Incoming'!CG52-'Grid_Requirement'!CG52))</f>
        <v/>
      </c>
      <c r="CH52">
        <f>IF(COUNTIFS(T_StockCount[Part Name],$A52,T_StockCount[WeekIndex],85)&gt;0,SUMIFS(T_StockCount[CountedQty],T_StockCount[Part Name],$A52,T_StockCount[WeekIndex],85),IF((('T_SelfStock'!CH56&lt;&gt;""))*(('T_TTAFStock'!CH56&lt;&gt;""))&gt;0,'T_SelfStock'!CH56+'T_TTAFStock'!CH56,CG52+'Grid_Incoming'!CH52-'Grid_Requirement'!CH52))</f>
        <v/>
      </c>
      <c r="CI52">
        <f>IF(COUNTIFS(T_StockCount[Part Name],$A52,T_StockCount[WeekIndex],86)&gt;0,SUMIFS(T_StockCount[CountedQty],T_StockCount[Part Name],$A52,T_StockCount[WeekIndex],86),IF((('T_SelfStock'!CI56&lt;&gt;""))*(('T_TTAFStock'!CI56&lt;&gt;""))&gt;0,'T_SelfStock'!CI56+'T_TTAFStock'!CI56,CH52+'Grid_Incoming'!CI52-'Grid_Requirement'!CI52))</f>
        <v/>
      </c>
      <c r="CJ52">
        <f>IF(COUNTIFS(T_StockCount[Part Name],$A52,T_StockCount[WeekIndex],87)&gt;0,SUMIFS(T_StockCount[CountedQty],T_StockCount[Part Name],$A52,T_StockCount[WeekIndex],87),IF((('T_SelfStock'!CJ56&lt;&gt;""))*(('T_TTAFStock'!CJ56&lt;&gt;""))&gt;0,'T_SelfStock'!CJ56+'T_TTAFStock'!CJ56,CI52+'Grid_Incoming'!CJ52-'Grid_Requirement'!CJ52))</f>
        <v/>
      </c>
      <c r="CK52">
        <f>IF(COUNTIFS(T_StockCount[Part Name],$A52,T_StockCount[WeekIndex],88)&gt;0,SUMIFS(T_StockCount[CountedQty],T_StockCount[Part Name],$A52,T_StockCount[WeekIndex],88),IF((('T_SelfStock'!CK56&lt;&gt;""))*(('T_TTAFStock'!CK56&lt;&gt;""))&gt;0,'T_SelfStock'!CK56+'T_TTAFStock'!CK56,CJ52+'Grid_Incoming'!CK52-'Grid_Requirement'!CK52))</f>
        <v/>
      </c>
      <c r="CL52">
        <f>IF(COUNTIFS(T_StockCount[Part Name],$A52,T_StockCount[WeekIndex],89)&gt;0,SUMIFS(T_StockCount[CountedQty],T_StockCount[Part Name],$A52,T_StockCount[WeekIndex],89),IF((('T_SelfStock'!CL56&lt;&gt;""))*(('T_TTAFStock'!CL56&lt;&gt;""))&gt;0,'T_SelfStock'!CL56+'T_TTAFStock'!CL56,CK52+'Grid_Incoming'!CL52-'Grid_Requirement'!CL52))</f>
        <v/>
      </c>
      <c r="CM52">
        <f>IF(COUNTIFS(T_StockCount[Part Name],$A52,T_StockCount[WeekIndex],90)&gt;0,SUMIFS(T_StockCount[CountedQty],T_StockCount[Part Name],$A52,T_StockCount[WeekIndex],90),IF((('T_SelfStock'!CM56&lt;&gt;""))*(('T_TTAFStock'!CM56&lt;&gt;""))&gt;0,'T_SelfStock'!CM56+'T_TTAFStock'!CM56,CL52+'Grid_Incoming'!CM52-'Grid_Requirement'!CM52))</f>
        <v/>
      </c>
      <c r="CN52">
        <f>IF(COUNTIFS(T_StockCount[Part Name],$A52,T_StockCount[WeekIndex],91)&gt;0,SUMIFS(T_StockCount[CountedQty],T_StockCount[Part Name],$A52,T_StockCount[WeekIndex],91),IF((('T_SelfStock'!CN56&lt;&gt;""))*(('T_TTAFStock'!CN56&lt;&gt;""))&gt;0,'T_SelfStock'!CN56+'T_TTAFStock'!CN56,CM52+'Grid_Incoming'!CN52-'Grid_Requirement'!CN52))</f>
        <v/>
      </c>
      <c r="CO52">
        <f>IF(COUNTIFS(T_StockCount[Part Name],$A52,T_StockCount[WeekIndex],92)&gt;0,SUMIFS(T_StockCount[CountedQty],T_StockCount[Part Name],$A52,T_StockCount[WeekIndex],92),IF((('T_SelfStock'!CO56&lt;&gt;""))*(('T_TTAFStock'!CO56&lt;&gt;""))&gt;0,'T_SelfStock'!CO56+'T_TTAFStock'!CO56,CN52+'Grid_Incoming'!CO52-'Grid_Requirement'!CO52))</f>
        <v/>
      </c>
      <c r="CP52">
        <f>IF(COUNTIFS(T_StockCount[Part Name],$A52,T_StockCount[WeekIndex],93)&gt;0,SUMIFS(T_StockCount[CountedQty],T_StockCount[Part Name],$A52,T_StockCount[WeekIndex],93),IF((('T_SelfStock'!CP56&lt;&gt;""))*(('T_TTAFStock'!CP56&lt;&gt;""))&gt;0,'T_SelfStock'!CP56+'T_TTAFStock'!CP56,CO52+'Grid_Incoming'!CP52-'Grid_Requirement'!CP52))</f>
        <v/>
      </c>
      <c r="CQ52">
        <f>IF(COUNTIFS(T_StockCount[Part Name],$A52,T_StockCount[WeekIndex],94)&gt;0,SUMIFS(T_StockCount[CountedQty],T_StockCount[Part Name],$A52,T_StockCount[WeekIndex],94),IF((('T_SelfStock'!CQ56&lt;&gt;""))*(('T_TTAFStock'!CQ56&lt;&gt;""))&gt;0,'T_SelfStock'!CQ56+'T_TTAFStock'!CQ56,CP52+'Grid_Incoming'!CQ52-'Grid_Requirement'!CQ52))</f>
        <v/>
      </c>
      <c r="CR52">
        <f>IF(COUNTIFS(T_StockCount[Part Name],$A52,T_StockCount[WeekIndex],95)&gt;0,SUMIFS(T_StockCount[CountedQty],T_StockCount[Part Name],$A52,T_StockCount[WeekIndex],95),IF((('T_SelfStock'!CR56&lt;&gt;""))*(('T_TTAFStock'!CR56&lt;&gt;""))&gt;0,'T_SelfStock'!CR56+'T_TTAFStock'!CR56,CQ52+'Grid_Incoming'!CR52-'Grid_Requirement'!CR52))</f>
        <v/>
      </c>
      <c r="CS52">
        <f>IF(COUNTIFS(T_StockCount[Part Name],$A52,T_StockCount[WeekIndex],96)&gt;0,SUMIFS(T_StockCount[CountedQty],T_StockCount[Part Name],$A52,T_StockCount[WeekIndex],96),IF((('T_SelfStock'!CS56&lt;&gt;""))*(('T_TTAFStock'!CS56&lt;&gt;""))&gt;0,'T_SelfStock'!CS56+'T_TTAFStock'!CS56,CR52+'Grid_Incoming'!CS52-'Grid_Requirement'!CS52))</f>
        <v/>
      </c>
      <c r="CT52">
        <f>IF(COUNTIFS(T_StockCount[Part Name],$A52,T_StockCount[WeekIndex],97)&gt;0,SUMIFS(T_StockCount[CountedQty],T_StockCount[Part Name],$A52,T_StockCount[WeekIndex],97),IF((('T_SelfStock'!CT56&lt;&gt;""))*(('T_TTAFStock'!CT56&lt;&gt;""))&gt;0,'T_SelfStock'!CT56+'T_TTAFStock'!CT56,CS52+'Grid_Incoming'!CT52-'Grid_Requirement'!CT52))</f>
        <v/>
      </c>
      <c r="CU52">
        <f>IF(COUNTIFS(T_StockCount[Part Name],$A52,T_StockCount[WeekIndex],98)&gt;0,SUMIFS(T_StockCount[CountedQty],T_StockCount[Part Name],$A52,T_StockCount[WeekIndex],98),IF((('T_SelfStock'!CU56&lt;&gt;""))*(('T_TTAFStock'!CU56&lt;&gt;""))&gt;0,'T_SelfStock'!CU56+'T_TTAFStock'!CU56,CT52+'Grid_Incoming'!CU52-'Grid_Requirement'!CU52))</f>
        <v/>
      </c>
      <c r="CV52">
        <f>IF(COUNTIFS(T_StockCount[Part Name],$A52,T_StockCount[WeekIndex],99)&gt;0,SUMIFS(T_StockCount[CountedQty],T_StockCount[Part Name],$A52,T_StockCount[WeekIndex],99),IF((('T_SelfStock'!CV56&lt;&gt;""))*(('T_TTAFStock'!CV56&lt;&gt;""))&gt;0,'T_SelfStock'!CV56+'T_TTAFStock'!CV56,CU52+'Grid_Incoming'!CV52-'Grid_Requirement'!CV52))</f>
        <v/>
      </c>
      <c r="CW52">
        <f>IF(COUNTIFS(T_StockCount[Part Name],$A52,T_StockCount[WeekIndex],100)&gt;0,SUMIFS(T_StockCount[CountedQty],T_StockCount[Part Name],$A52,T_StockCount[WeekIndex],100),IF((('T_SelfStock'!CW56&lt;&gt;""))*(('T_TTAFStock'!CW56&lt;&gt;""))&gt;0,'T_SelfStock'!CW56+'T_TTAFStock'!CW56,CV52+'Grid_Incoming'!CW52-'Grid_Requirement'!CW52))</f>
        <v/>
      </c>
      <c r="CX52">
        <f>IF(COUNTIFS(T_StockCount[Part Name],$A52,T_StockCount[WeekIndex],101)&gt;0,SUMIFS(T_StockCount[CountedQty],T_StockCount[Part Name],$A52,T_StockCount[WeekIndex],101),IF((('T_SelfStock'!CX56&lt;&gt;""))*(('T_TTAFStock'!CX56&lt;&gt;""))&gt;0,'T_SelfStock'!CX56+'T_TTAFStock'!CX56,CW52+'Grid_Incoming'!CX52-'Grid_Requirement'!CX52))</f>
        <v/>
      </c>
      <c r="CY52">
        <f>IF(COUNTIFS(T_StockCount[Part Name],$A52,T_StockCount[WeekIndex],102)&gt;0,SUMIFS(T_StockCount[CountedQty],T_StockCount[Part Name],$A52,T_StockCount[WeekIndex],102),IF((('T_SelfStock'!CY56&lt;&gt;""))*(('T_TTAFStock'!CY56&lt;&gt;""))&gt;0,'T_SelfStock'!CY56+'T_TTAFStock'!CY56,CX52+'Grid_Incoming'!CY52-'Grid_Requirement'!CY52))</f>
        <v/>
      </c>
      <c r="CZ52">
        <f>IF(COUNTIFS(T_StockCount[Part Name],$A52,T_StockCount[WeekIndex],103)&gt;0,SUMIFS(T_StockCount[CountedQty],T_StockCount[Part Name],$A52,T_StockCount[WeekIndex],103),IF((('T_SelfStock'!CZ56&lt;&gt;""))*(('T_TTAFStock'!CZ56&lt;&gt;""))&gt;0,'T_SelfStock'!CZ56+'T_TTAFStock'!CZ56,CY52+'Grid_Incoming'!CZ52-'Grid_Requirement'!CZ52))</f>
        <v/>
      </c>
      <c r="DA52">
        <f>IF(COUNTIFS(T_StockCount[Part Name],$A52,T_StockCount[WeekIndex],104)&gt;0,SUMIFS(T_StockCount[CountedQty],T_StockCount[Part Name],$A52,T_StockCount[WeekIndex],104),IF((('T_SelfStock'!DA56&lt;&gt;""))*(('T_TTAFStock'!DA56&lt;&gt;""))&gt;0,'T_SelfStock'!DA56+'T_TTAFStock'!DA56,CZ52+'Grid_Incoming'!DA52-'Grid_Requirement'!DA52))</f>
        <v/>
      </c>
    </row>
    <row r="53">
      <c r="A53" t="inlineStr">
        <is>
          <t>Ester Film</t>
        </is>
      </c>
      <c r="B53">
        <f>IF(COUNTIFS(T_StockCount[Part Name],$A53,T_StockCount[WeekIndex],1)&gt;0,SUMIFS(T_StockCount[CountedQty],T_StockCount[Part Name],$A53,T_StockCount[WeekIndex],1),IF((('T_SelfStock'!B57&lt;&gt;""))*(('T_TTAFStock'!B57&lt;&gt;""))&gt;0,'T_SelfStock'!B57+'T_TTAFStock'!B57,IFERROR(INDEX(T_OpeningStock[Opening_Qty],MATCH($A53,T_OpeningStock[Part Name],0)),0)+'Grid_Incoming'!B53-'Grid_Requirement'!B53))</f>
        <v/>
      </c>
      <c r="C53">
        <f>IF(COUNTIFS(T_StockCount[Part Name],$A53,T_StockCount[WeekIndex],2)&gt;0,SUMIFS(T_StockCount[CountedQty],T_StockCount[Part Name],$A53,T_StockCount[WeekIndex],2),IF((('T_SelfStock'!C57&lt;&gt;""))*(('T_TTAFStock'!C57&lt;&gt;""))&gt;0,'T_SelfStock'!C57+'T_TTAFStock'!C57,B53+'Grid_Incoming'!C53-'Grid_Requirement'!C53))</f>
        <v/>
      </c>
      <c r="D53">
        <f>IF(COUNTIFS(T_StockCount[Part Name],$A53,T_StockCount[WeekIndex],3)&gt;0,SUMIFS(T_StockCount[CountedQty],T_StockCount[Part Name],$A53,T_StockCount[WeekIndex],3),IF((('T_SelfStock'!D57&lt;&gt;""))*(('T_TTAFStock'!D57&lt;&gt;""))&gt;0,'T_SelfStock'!D57+'T_TTAFStock'!D57,C53+'Grid_Incoming'!D53-'Grid_Requirement'!D53))</f>
        <v/>
      </c>
      <c r="E53">
        <f>IF(COUNTIFS(T_StockCount[Part Name],$A53,T_StockCount[WeekIndex],4)&gt;0,SUMIFS(T_StockCount[CountedQty],T_StockCount[Part Name],$A53,T_StockCount[WeekIndex],4),IF((('T_SelfStock'!E57&lt;&gt;""))*(('T_TTAFStock'!E57&lt;&gt;""))&gt;0,'T_SelfStock'!E57+'T_TTAFStock'!E57,D53+'Grid_Incoming'!E53-'Grid_Requirement'!E53))</f>
        <v/>
      </c>
      <c r="F53">
        <f>IF(COUNTIFS(T_StockCount[Part Name],$A53,T_StockCount[WeekIndex],5)&gt;0,SUMIFS(T_StockCount[CountedQty],T_StockCount[Part Name],$A53,T_StockCount[WeekIndex],5),IF((('T_SelfStock'!F57&lt;&gt;""))*(('T_TTAFStock'!F57&lt;&gt;""))&gt;0,'T_SelfStock'!F57+'T_TTAFStock'!F57,E53+'Grid_Incoming'!F53-'Grid_Requirement'!F53))</f>
        <v/>
      </c>
      <c r="G53">
        <f>IF(COUNTIFS(T_StockCount[Part Name],$A53,T_StockCount[WeekIndex],6)&gt;0,SUMIFS(T_StockCount[CountedQty],T_StockCount[Part Name],$A53,T_StockCount[WeekIndex],6),IF((('T_SelfStock'!G57&lt;&gt;""))*(('T_TTAFStock'!G57&lt;&gt;""))&gt;0,'T_SelfStock'!G57+'T_TTAFStock'!G57,F53+'Grid_Incoming'!G53-'Grid_Requirement'!G53))</f>
        <v/>
      </c>
      <c r="H53">
        <f>IF(COUNTIFS(T_StockCount[Part Name],$A53,T_StockCount[WeekIndex],7)&gt;0,SUMIFS(T_StockCount[CountedQty],T_StockCount[Part Name],$A53,T_StockCount[WeekIndex],7),IF((('T_SelfStock'!H57&lt;&gt;""))*(('T_TTAFStock'!H57&lt;&gt;""))&gt;0,'T_SelfStock'!H57+'T_TTAFStock'!H57,G53+'Grid_Incoming'!H53-'Grid_Requirement'!H53))</f>
        <v/>
      </c>
      <c r="I53">
        <f>IF(COUNTIFS(T_StockCount[Part Name],$A53,T_StockCount[WeekIndex],8)&gt;0,SUMIFS(T_StockCount[CountedQty],T_StockCount[Part Name],$A53,T_StockCount[WeekIndex],8),IF((('T_SelfStock'!I57&lt;&gt;""))*(('T_TTAFStock'!I57&lt;&gt;""))&gt;0,'T_SelfStock'!I57+'T_TTAFStock'!I57,H53+'Grid_Incoming'!I53-'Grid_Requirement'!I53))</f>
        <v/>
      </c>
      <c r="J53">
        <f>IF(COUNTIFS(T_StockCount[Part Name],$A53,T_StockCount[WeekIndex],9)&gt;0,SUMIFS(T_StockCount[CountedQty],T_StockCount[Part Name],$A53,T_StockCount[WeekIndex],9),IF((('T_SelfStock'!J57&lt;&gt;""))*(('T_TTAFStock'!J57&lt;&gt;""))&gt;0,'T_SelfStock'!J57+'T_TTAFStock'!J57,I53+'Grid_Incoming'!J53-'Grid_Requirement'!J53))</f>
        <v/>
      </c>
      <c r="K53">
        <f>IF(COUNTIFS(T_StockCount[Part Name],$A53,T_StockCount[WeekIndex],10)&gt;0,SUMIFS(T_StockCount[CountedQty],T_StockCount[Part Name],$A53,T_StockCount[WeekIndex],10),IF((('T_SelfStock'!K57&lt;&gt;""))*(('T_TTAFStock'!K57&lt;&gt;""))&gt;0,'T_SelfStock'!K57+'T_TTAFStock'!K57,J53+'Grid_Incoming'!K53-'Grid_Requirement'!K53))</f>
        <v/>
      </c>
      <c r="L53">
        <f>IF(COUNTIFS(T_StockCount[Part Name],$A53,T_StockCount[WeekIndex],11)&gt;0,SUMIFS(T_StockCount[CountedQty],T_StockCount[Part Name],$A53,T_StockCount[WeekIndex],11),IF((('T_SelfStock'!L57&lt;&gt;""))*(('T_TTAFStock'!L57&lt;&gt;""))&gt;0,'T_SelfStock'!L57+'T_TTAFStock'!L57,K53+'Grid_Incoming'!L53-'Grid_Requirement'!L53))</f>
        <v/>
      </c>
      <c r="M53">
        <f>IF(COUNTIFS(T_StockCount[Part Name],$A53,T_StockCount[WeekIndex],12)&gt;0,SUMIFS(T_StockCount[CountedQty],T_StockCount[Part Name],$A53,T_StockCount[WeekIndex],12),IF((('T_SelfStock'!M57&lt;&gt;""))*(('T_TTAFStock'!M57&lt;&gt;""))&gt;0,'T_SelfStock'!M57+'T_TTAFStock'!M57,L53+'Grid_Incoming'!M53-'Grid_Requirement'!M53))</f>
        <v/>
      </c>
      <c r="N53">
        <f>IF(COUNTIFS(T_StockCount[Part Name],$A53,T_StockCount[WeekIndex],13)&gt;0,SUMIFS(T_StockCount[CountedQty],T_StockCount[Part Name],$A53,T_StockCount[WeekIndex],13),IF((('T_SelfStock'!N57&lt;&gt;""))*(('T_TTAFStock'!N57&lt;&gt;""))&gt;0,'T_SelfStock'!N57+'T_TTAFStock'!N57,M53+'Grid_Incoming'!N53-'Grid_Requirement'!N53))</f>
        <v/>
      </c>
      <c r="O53">
        <f>IF(COUNTIFS(T_StockCount[Part Name],$A53,T_StockCount[WeekIndex],14)&gt;0,SUMIFS(T_StockCount[CountedQty],T_StockCount[Part Name],$A53,T_StockCount[WeekIndex],14),IF((('T_SelfStock'!O57&lt;&gt;""))*(('T_TTAFStock'!O57&lt;&gt;""))&gt;0,'T_SelfStock'!O57+'T_TTAFStock'!O57,N53+'Grid_Incoming'!O53-'Grid_Requirement'!O53))</f>
        <v/>
      </c>
      <c r="P53">
        <f>IF(COUNTIFS(T_StockCount[Part Name],$A53,T_StockCount[WeekIndex],15)&gt;0,SUMIFS(T_StockCount[CountedQty],T_StockCount[Part Name],$A53,T_StockCount[WeekIndex],15),IF((('T_SelfStock'!P57&lt;&gt;""))*(('T_TTAFStock'!P57&lt;&gt;""))&gt;0,'T_SelfStock'!P57+'T_TTAFStock'!P57,O53+'Grid_Incoming'!P53-'Grid_Requirement'!P53))</f>
        <v/>
      </c>
      <c r="Q53">
        <f>IF(COUNTIFS(T_StockCount[Part Name],$A53,T_StockCount[WeekIndex],16)&gt;0,SUMIFS(T_StockCount[CountedQty],T_StockCount[Part Name],$A53,T_StockCount[WeekIndex],16),IF((('T_SelfStock'!Q57&lt;&gt;""))*(('T_TTAFStock'!Q57&lt;&gt;""))&gt;0,'T_SelfStock'!Q57+'T_TTAFStock'!Q57,P53+'Grid_Incoming'!Q53-'Grid_Requirement'!Q53))</f>
        <v/>
      </c>
      <c r="R53">
        <f>IF(COUNTIFS(T_StockCount[Part Name],$A53,T_StockCount[WeekIndex],17)&gt;0,SUMIFS(T_StockCount[CountedQty],T_StockCount[Part Name],$A53,T_StockCount[WeekIndex],17),IF((('T_SelfStock'!R57&lt;&gt;""))*(('T_TTAFStock'!R57&lt;&gt;""))&gt;0,'T_SelfStock'!R57+'T_TTAFStock'!R57,Q53+'Grid_Incoming'!R53-'Grid_Requirement'!R53))</f>
        <v/>
      </c>
      <c r="S53">
        <f>IF(COUNTIFS(T_StockCount[Part Name],$A53,T_StockCount[WeekIndex],18)&gt;0,SUMIFS(T_StockCount[CountedQty],T_StockCount[Part Name],$A53,T_StockCount[WeekIndex],18),IF((('T_SelfStock'!S57&lt;&gt;""))*(('T_TTAFStock'!S57&lt;&gt;""))&gt;0,'T_SelfStock'!S57+'T_TTAFStock'!S57,R53+'Grid_Incoming'!S53-'Grid_Requirement'!S53))</f>
        <v/>
      </c>
      <c r="T53">
        <f>IF(COUNTIFS(T_StockCount[Part Name],$A53,T_StockCount[WeekIndex],19)&gt;0,SUMIFS(T_StockCount[CountedQty],T_StockCount[Part Name],$A53,T_StockCount[WeekIndex],19),IF((('T_SelfStock'!T57&lt;&gt;""))*(('T_TTAFStock'!T57&lt;&gt;""))&gt;0,'T_SelfStock'!T57+'T_TTAFStock'!T57,S53+'Grid_Incoming'!T53-'Grid_Requirement'!T53))</f>
        <v/>
      </c>
      <c r="U53">
        <f>IF(COUNTIFS(T_StockCount[Part Name],$A53,T_StockCount[WeekIndex],20)&gt;0,SUMIFS(T_StockCount[CountedQty],T_StockCount[Part Name],$A53,T_StockCount[WeekIndex],20),IF((('T_SelfStock'!U57&lt;&gt;""))*(('T_TTAFStock'!U57&lt;&gt;""))&gt;0,'T_SelfStock'!U57+'T_TTAFStock'!U57,T53+'Grid_Incoming'!U53-'Grid_Requirement'!U53))</f>
        <v/>
      </c>
      <c r="V53">
        <f>IF(COUNTIFS(T_StockCount[Part Name],$A53,T_StockCount[WeekIndex],21)&gt;0,SUMIFS(T_StockCount[CountedQty],T_StockCount[Part Name],$A53,T_StockCount[WeekIndex],21),IF((('T_SelfStock'!V57&lt;&gt;""))*(('T_TTAFStock'!V57&lt;&gt;""))&gt;0,'T_SelfStock'!V57+'T_TTAFStock'!V57,U53+'Grid_Incoming'!V53-'Grid_Requirement'!V53))</f>
        <v/>
      </c>
      <c r="W53">
        <f>IF(COUNTIFS(T_StockCount[Part Name],$A53,T_StockCount[WeekIndex],22)&gt;0,SUMIFS(T_StockCount[CountedQty],T_StockCount[Part Name],$A53,T_StockCount[WeekIndex],22),IF((('T_SelfStock'!W57&lt;&gt;""))*(('T_TTAFStock'!W57&lt;&gt;""))&gt;0,'T_SelfStock'!W57+'T_TTAFStock'!W57,V53+'Grid_Incoming'!W53-'Grid_Requirement'!W53))</f>
        <v/>
      </c>
      <c r="X53">
        <f>IF(COUNTIFS(T_StockCount[Part Name],$A53,T_StockCount[WeekIndex],23)&gt;0,SUMIFS(T_StockCount[CountedQty],T_StockCount[Part Name],$A53,T_StockCount[WeekIndex],23),IF((('T_SelfStock'!X57&lt;&gt;""))*(('T_TTAFStock'!X57&lt;&gt;""))&gt;0,'T_SelfStock'!X57+'T_TTAFStock'!X57,W53+'Grid_Incoming'!X53-'Grid_Requirement'!X53))</f>
        <v/>
      </c>
      <c r="Y53">
        <f>IF(COUNTIFS(T_StockCount[Part Name],$A53,T_StockCount[WeekIndex],24)&gt;0,SUMIFS(T_StockCount[CountedQty],T_StockCount[Part Name],$A53,T_StockCount[WeekIndex],24),IF((('T_SelfStock'!Y57&lt;&gt;""))*(('T_TTAFStock'!Y57&lt;&gt;""))&gt;0,'T_SelfStock'!Y57+'T_TTAFStock'!Y57,X53+'Grid_Incoming'!Y53-'Grid_Requirement'!Y53))</f>
        <v/>
      </c>
      <c r="Z53">
        <f>IF(COUNTIFS(T_StockCount[Part Name],$A53,T_StockCount[WeekIndex],25)&gt;0,SUMIFS(T_StockCount[CountedQty],T_StockCount[Part Name],$A53,T_StockCount[WeekIndex],25),IF((('T_SelfStock'!Z57&lt;&gt;""))*(('T_TTAFStock'!Z57&lt;&gt;""))&gt;0,'T_SelfStock'!Z57+'T_TTAFStock'!Z57,Y53+'Grid_Incoming'!Z53-'Grid_Requirement'!Z53))</f>
        <v/>
      </c>
      <c r="AA53">
        <f>IF(COUNTIFS(T_StockCount[Part Name],$A53,T_StockCount[WeekIndex],26)&gt;0,SUMIFS(T_StockCount[CountedQty],T_StockCount[Part Name],$A53,T_StockCount[WeekIndex],26),IF((('T_SelfStock'!AA57&lt;&gt;""))*(('T_TTAFStock'!AA57&lt;&gt;""))&gt;0,'T_SelfStock'!AA57+'T_TTAFStock'!AA57,Z53+'Grid_Incoming'!AA53-'Grid_Requirement'!AA53))</f>
        <v/>
      </c>
      <c r="AB53">
        <f>IF(COUNTIFS(T_StockCount[Part Name],$A53,T_StockCount[WeekIndex],27)&gt;0,SUMIFS(T_StockCount[CountedQty],T_StockCount[Part Name],$A53,T_StockCount[WeekIndex],27),IF((('T_SelfStock'!AB57&lt;&gt;""))*(('T_TTAFStock'!AB57&lt;&gt;""))&gt;0,'T_SelfStock'!AB57+'T_TTAFStock'!AB57,AA53+'Grid_Incoming'!AB53-'Grid_Requirement'!AB53))</f>
        <v/>
      </c>
      <c r="AC53">
        <f>IF(COUNTIFS(T_StockCount[Part Name],$A53,T_StockCount[WeekIndex],28)&gt;0,SUMIFS(T_StockCount[CountedQty],T_StockCount[Part Name],$A53,T_StockCount[WeekIndex],28),IF((('T_SelfStock'!AC57&lt;&gt;""))*(('T_TTAFStock'!AC57&lt;&gt;""))&gt;0,'T_SelfStock'!AC57+'T_TTAFStock'!AC57,AB53+'Grid_Incoming'!AC53-'Grid_Requirement'!AC53))</f>
        <v/>
      </c>
      <c r="AD53">
        <f>IF(COUNTIFS(T_StockCount[Part Name],$A53,T_StockCount[WeekIndex],29)&gt;0,SUMIFS(T_StockCount[CountedQty],T_StockCount[Part Name],$A53,T_StockCount[WeekIndex],29),IF((('T_SelfStock'!AD57&lt;&gt;""))*(('T_TTAFStock'!AD57&lt;&gt;""))&gt;0,'T_SelfStock'!AD57+'T_TTAFStock'!AD57,AC53+'Grid_Incoming'!AD53-'Grid_Requirement'!AD53))</f>
        <v/>
      </c>
      <c r="AE53">
        <f>IF(COUNTIFS(T_StockCount[Part Name],$A53,T_StockCount[WeekIndex],30)&gt;0,SUMIFS(T_StockCount[CountedQty],T_StockCount[Part Name],$A53,T_StockCount[WeekIndex],30),IF((('T_SelfStock'!AE57&lt;&gt;""))*(('T_TTAFStock'!AE57&lt;&gt;""))&gt;0,'T_SelfStock'!AE57+'T_TTAFStock'!AE57,AD53+'Grid_Incoming'!AE53-'Grid_Requirement'!AE53))</f>
        <v/>
      </c>
      <c r="AF53">
        <f>IF(COUNTIFS(T_StockCount[Part Name],$A53,T_StockCount[WeekIndex],31)&gt;0,SUMIFS(T_StockCount[CountedQty],T_StockCount[Part Name],$A53,T_StockCount[WeekIndex],31),IF((('T_SelfStock'!AF57&lt;&gt;""))*(('T_TTAFStock'!AF57&lt;&gt;""))&gt;0,'T_SelfStock'!AF57+'T_TTAFStock'!AF57,AE53+'Grid_Incoming'!AF53-'Grid_Requirement'!AF53))</f>
        <v/>
      </c>
      <c r="AG53">
        <f>IF(COUNTIFS(T_StockCount[Part Name],$A53,T_StockCount[WeekIndex],32)&gt;0,SUMIFS(T_StockCount[CountedQty],T_StockCount[Part Name],$A53,T_StockCount[WeekIndex],32),IF((('T_SelfStock'!AG57&lt;&gt;""))*(('T_TTAFStock'!AG57&lt;&gt;""))&gt;0,'T_SelfStock'!AG57+'T_TTAFStock'!AG57,AF53+'Grid_Incoming'!AG53-'Grid_Requirement'!AG53))</f>
        <v/>
      </c>
      <c r="AH53">
        <f>IF(COUNTIFS(T_StockCount[Part Name],$A53,T_StockCount[WeekIndex],33)&gt;0,SUMIFS(T_StockCount[CountedQty],T_StockCount[Part Name],$A53,T_StockCount[WeekIndex],33),IF((('T_SelfStock'!AH57&lt;&gt;""))*(('T_TTAFStock'!AH57&lt;&gt;""))&gt;0,'T_SelfStock'!AH57+'T_TTAFStock'!AH57,AG53+'Grid_Incoming'!AH53-'Grid_Requirement'!AH53))</f>
        <v/>
      </c>
      <c r="AI53">
        <f>IF(COUNTIFS(T_StockCount[Part Name],$A53,T_StockCount[WeekIndex],34)&gt;0,SUMIFS(T_StockCount[CountedQty],T_StockCount[Part Name],$A53,T_StockCount[WeekIndex],34),IF((('T_SelfStock'!AI57&lt;&gt;""))*(('T_TTAFStock'!AI57&lt;&gt;""))&gt;0,'T_SelfStock'!AI57+'T_TTAFStock'!AI57,AH53+'Grid_Incoming'!AI53-'Grid_Requirement'!AI53))</f>
        <v/>
      </c>
      <c r="AJ53">
        <f>IF(COUNTIFS(T_StockCount[Part Name],$A53,T_StockCount[WeekIndex],35)&gt;0,SUMIFS(T_StockCount[CountedQty],T_StockCount[Part Name],$A53,T_StockCount[WeekIndex],35),IF((('T_SelfStock'!AJ57&lt;&gt;""))*(('T_TTAFStock'!AJ57&lt;&gt;""))&gt;0,'T_SelfStock'!AJ57+'T_TTAFStock'!AJ57,AI53+'Grid_Incoming'!AJ53-'Grid_Requirement'!AJ53))</f>
        <v/>
      </c>
      <c r="AK53">
        <f>IF(COUNTIFS(T_StockCount[Part Name],$A53,T_StockCount[WeekIndex],36)&gt;0,SUMIFS(T_StockCount[CountedQty],T_StockCount[Part Name],$A53,T_StockCount[WeekIndex],36),IF((('T_SelfStock'!AK57&lt;&gt;""))*(('T_TTAFStock'!AK57&lt;&gt;""))&gt;0,'T_SelfStock'!AK57+'T_TTAFStock'!AK57,AJ53+'Grid_Incoming'!AK53-'Grid_Requirement'!AK53))</f>
        <v/>
      </c>
      <c r="AL53">
        <f>IF(COUNTIFS(T_StockCount[Part Name],$A53,T_StockCount[WeekIndex],37)&gt;0,SUMIFS(T_StockCount[CountedQty],T_StockCount[Part Name],$A53,T_StockCount[WeekIndex],37),IF((('T_SelfStock'!AL57&lt;&gt;""))*(('T_TTAFStock'!AL57&lt;&gt;""))&gt;0,'T_SelfStock'!AL57+'T_TTAFStock'!AL57,AK53+'Grid_Incoming'!AL53-'Grid_Requirement'!AL53))</f>
        <v/>
      </c>
      <c r="AM53">
        <f>IF(COUNTIFS(T_StockCount[Part Name],$A53,T_StockCount[WeekIndex],38)&gt;0,SUMIFS(T_StockCount[CountedQty],T_StockCount[Part Name],$A53,T_StockCount[WeekIndex],38),IF((('T_SelfStock'!AM57&lt;&gt;""))*(('T_TTAFStock'!AM57&lt;&gt;""))&gt;0,'T_SelfStock'!AM57+'T_TTAFStock'!AM57,AL53+'Grid_Incoming'!AM53-'Grid_Requirement'!AM53))</f>
        <v/>
      </c>
      <c r="AN53">
        <f>IF(COUNTIFS(T_StockCount[Part Name],$A53,T_StockCount[WeekIndex],39)&gt;0,SUMIFS(T_StockCount[CountedQty],T_StockCount[Part Name],$A53,T_StockCount[WeekIndex],39),IF((('T_SelfStock'!AN57&lt;&gt;""))*(('T_TTAFStock'!AN57&lt;&gt;""))&gt;0,'T_SelfStock'!AN57+'T_TTAFStock'!AN57,AM53+'Grid_Incoming'!AN53-'Grid_Requirement'!AN53))</f>
        <v/>
      </c>
      <c r="AO53">
        <f>IF(COUNTIFS(T_StockCount[Part Name],$A53,T_StockCount[WeekIndex],40)&gt;0,SUMIFS(T_StockCount[CountedQty],T_StockCount[Part Name],$A53,T_StockCount[WeekIndex],40),IF((('T_SelfStock'!AO57&lt;&gt;""))*(('T_TTAFStock'!AO57&lt;&gt;""))&gt;0,'T_SelfStock'!AO57+'T_TTAFStock'!AO57,AN53+'Grid_Incoming'!AO53-'Grid_Requirement'!AO53))</f>
        <v/>
      </c>
      <c r="AP53">
        <f>IF(COUNTIFS(T_StockCount[Part Name],$A53,T_StockCount[WeekIndex],41)&gt;0,SUMIFS(T_StockCount[CountedQty],T_StockCount[Part Name],$A53,T_StockCount[WeekIndex],41),IF((('T_SelfStock'!AP57&lt;&gt;""))*(('T_TTAFStock'!AP57&lt;&gt;""))&gt;0,'T_SelfStock'!AP57+'T_TTAFStock'!AP57,AO53+'Grid_Incoming'!AP53-'Grid_Requirement'!AP53))</f>
        <v/>
      </c>
      <c r="AQ53">
        <f>IF(COUNTIFS(T_StockCount[Part Name],$A53,T_StockCount[WeekIndex],42)&gt;0,SUMIFS(T_StockCount[CountedQty],T_StockCount[Part Name],$A53,T_StockCount[WeekIndex],42),IF((('T_SelfStock'!AQ57&lt;&gt;""))*(('T_TTAFStock'!AQ57&lt;&gt;""))&gt;0,'T_SelfStock'!AQ57+'T_TTAFStock'!AQ57,AP53+'Grid_Incoming'!AQ53-'Grid_Requirement'!AQ53))</f>
        <v/>
      </c>
      <c r="AR53">
        <f>IF(COUNTIFS(T_StockCount[Part Name],$A53,T_StockCount[WeekIndex],43)&gt;0,SUMIFS(T_StockCount[CountedQty],T_StockCount[Part Name],$A53,T_StockCount[WeekIndex],43),IF((('T_SelfStock'!AR57&lt;&gt;""))*(('T_TTAFStock'!AR57&lt;&gt;""))&gt;0,'T_SelfStock'!AR57+'T_TTAFStock'!AR57,AQ53+'Grid_Incoming'!AR53-'Grid_Requirement'!AR53))</f>
        <v/>
      </c>
      <c r="AS53">
        <f>IF(COUNTIFS(T_StockCount[Part Name],$A53,T_StockCount[WeekIndex],44)&gt;0,SUMIFS(T_StockCount[CountedQty],T_StockCount[Part Name],$A53,T_StockCount[WeekIndex],44),IF((('T_SelfStock'!AS57&lt;&gt;""))*(('T_TTAFStock'!AS57&lt;&gt;""))&gt;0,'T_SelfStock'!AS57+'T_TTAFStock'!AS57,AR53+'Grid_Incoming'!AS53-'Grid_Requirement'!AS53))</f>
        <v/>
      </c>
      <c r="AT53">
        <f>IF(COUNTIFS(T_StockCount[Part Name],$A53,T_StockCount[WeekIndex],45)&gt;0,SUMIFS(T_StockCount[CountedQty],T_StockCount[Part Name],$A53,T_StockCount[WeekIndex],45),IF((('T_SelfStock'!AT57&lt;&gt;""))*(('T_TTAFStock'!AT57&lt;&gt;""))&gt;0,'T_SelfStock'!AT57+'T_TTAFStock'!AT57,AS53+'Grid_Incoming'!AT53-'Grid_Requirement'!AT53))</f>
        <v/>
      </c>
      <c r="AU53">
        <f>IF(COUNTIFS(T_StockCount[Part Name],$A53,T_StockCount[WeekIndex],46)&gt;0,SUMIFS(T_StockCount[CountedQty],T_StockCount[Part Name],$A53,T_StockCount[WeekIndex],46),IF((('T_SelfStock'!AU57&lt;&gt;""))*(('T_TTAFStock'!AU57&lt;&gt;""))&gt;0,'T_SelfStock'!AU57+'T_TTAFStock'!AU57,AT53+'Grid_Incoming'!AU53-'Grid_Requirement'!AU53))</f>
        <v/>
      </c>
      <c r="AV53">
        <f>IF(COUNTIFS(T_StockCount[Part Name],$A53,T_StockCount[WeekIndex],47)&gt;0,SUMIFS(T_StockCount[CountedQty],T_StockCount[Part Name],$A53,T_StockCount[WeekIndex],47),IF((('T_SelfStock'!AV57&lt;&gt;""))*(('T_TTAFStock'!AV57&lt;&gt;""))&gt;0,'T_SelfStock'!AV57+'T_TTAFStock'!AV57,AU53+'Grid_Incoming'!AV53-'Grid_Requirement'!AV53))</f>
        <v/>
      </c>
      <c r="AW53">
        <f>IF(COUNTIFS(T_StockCount[Part Name],$A53,T_StockCount[WeekIndex],48)&gt;0,SUMIFS(T_StockCount[CountedQty],T_StockCount[Part Name],$A53,T_StockCount[WeekIndex],48),IF((('T_SelfStock'!AW57&lt;&gt;""))*(('T_TTAFStock'!AW57&lt;&gt;""))&gt;0,'T_SelfStock'!AW57+'T_TTAFStock'!AW57,AV53+'Grid_Incoming'!AW53-'Grid_Requirement'!AW53))</f>
        <v/>
      </c>
      <c r="AX53">
        <f>IF(COUNTIFS(T_StockCount[Part Name],$A53,T_StockCount[WeekIndex],49)&gt;0,SUMIFS(T_StockCount[CountedQty],T_StockCount[Part Name],$A53,T_StockCount[WeekIndex],49),IF((('T_SelfStock'!AX57&lt;&gt;""))*(('T_TTAFStock'!AX57&lt;&gt;""))&gt;0,'T_SelfStock'!AX57+'T_TTAFStock'!AX57,AW53+'Grid_Incoming'!AX53-'Grid_Requirement'!AX53))</f>
        <v/>
      </c>
      <c r="AY53">
        <f>IF(COUNTIFS(T_StockCount[Part Name],$A53,T_StockCount[WeekIndex],50)&gt;0,SUMIFS(T_StockCount[CountedQty],T_StockCount[Part Name],$A53,T_StockCount[WeekIndex],50),IF((('T_SelfStock'!AY57&lt;&gt;""))*(('T_TTAFStock'!AY57&lt;&gt;""))&gt;0,'T_SelfStock'!AY57+'T_TTAFStock'!AY57,AX53+'Grid_Incoming'!AY53-'Grid_Requirement'!AY53))</f>
        <v/>
      </c>
      <c r="AZ53">
        <f>IF(COUNTIFS(T_StockCount[Part Name],$A53,T_StockCount[WeekIndex],51)&gt;0,SUMIFS(T_StockCount[CountedQty],T_StockCount[Part Name],$A53,T_StockCount[WeekIndex],51),IF((('T_SelfStock'!AZ57&lt;&gt;""))*(('T_TTAFStock'!AZ57&lt;&gt;""))&gt;0,'T_SelfStock'!AZ57+'T_TTAFStock'!AZ57,AY53+'Grid_Incoming'!AZ53-'Grid_Requirement'!AZ53))</f>
        <v/>
      </c>
      <c r="BA53">
        <f>IF(COUNTIFS(T_StockCount[Part Name],$A53,T_StockCount[WeekIndex],52)&gt;0,SUMIFS(T_StockCount[CountedQty],T_StockCount[Part Name],$A53,T_StockCount[WeekIndex],52),IF((('T_SelfStock'!BA57&lt;&gt;""))*(('T_TTAFStock'!BA57&lt;&gt;""))&gt;0,'T_SelfStock'!BA57+'T_TTAFStock'!BA57,AZ53+'Grid_Incoming'!BA53-'Grid_Requirement'!BA53))</f>
        <v/>
      </c>
      <c r="BB53">
        <f>IF(COUNTIFS(T_StockCount[Part Name],$A53,T_StockCount[WeekIndex],53)&gt;0,SUMIFS(T_StockCount[CountedQty],T_StockCount[Part Name],$A53,T_StockCount[WeekIndex],53),IF((('T_SelfStock'!BB57&lt;&gt;""))*(('T_TTAFStock'!BB57&lt;&gt;""))&gt;0,'T_SelfStock'!BB57+'T_TTAFStock'!BB57,BA53+'Grid_Incoming'!BB53-'Grid_Requirement'!BB53))</f>
        <v/>
      </c>
      <c r="BC53">
        <f>IF(COUNTIFS(T_StockCount[Part Name],$A53,T_StockCount[WeekIndex],54)&gt;0,SUMIFS(T_StockCount[CountedQty],T_StockCount[Part Name],$A53,T_StockCount[WeekIndex],54),IF((('T_SelfStock'!BC57&lt;&gt;""))*(('T_TTAFStock'!BC57&lt;&gt;""))&gt;0,'T_SelfStock'!BC57+'T_TTAFStock'!BC57,BB53+'Grid_Incoming'!BC53-'Grid_Requirement'!BC53))</f>
        <v/>
      </c>
      <c r="BD53">
        <f>IF(COUNTIFS(T_StockCount[Part Name],$A53,T_StockCount[WeekIndex],55)&gt;0,SUMIFS(T_StockCount[CountedQty],T_StockCount[Part Name],$A53,T_StockCount[WeekIndex],55),IF((('T_SelfStock'!BD57&lt;&gt;""))*(('T_TTAFStock'!BD57&lt;&gt;""))&gt;0,'T_SelfStock'!BD57+'T_TTAFStock'!BD57,BC53+'Grid_Incoming'!BD53-'Grid_Requirement'!BD53))</f>
        <v/>
      </c>
      <c r="BE53">
        <f>IF(COUNTIFS(T_StockCount[Part Name],$A53,T_StockCount[WeekIndex],56)&gt;0,SUMIFS(T_StockCount[CountedQty],T_StockCount[Part Name],$A53,T_StockCount[WeekIndex],56),IF((('T_SelfStock'!BE57&lt;&gt;""))*(('T_TTAFStock'!BE57&lt;&gt;""))&gt;0,'T_SelfStock'!BE57+'T_TTAFStock'!BE57,BD53+'Grid_Incoming'!BE53-'Grid_Requirement'!BE53))</f>
        <v/>
      </c>
      <c r="BF53">
        <f>IF(COUNTIFS(T_StockCount[Part Name],$A53,T_StockCount[WeekIndex],57)&gt;0,SUMIFS(T_StockCount[CountedQty],T_StockCount[Part Name],$A53,T_StockCount[WeekIndex],57),IF((('T_SelfStock'!BF57&lt;&gt;""))*(('T_TTAFStock'!BF57&lt;&gt;""))&gt;0,'T_SelfStock'!BF57+'T_TTAFStock'!BF57,BE53+'Grid_Incoming'!BF53-'Grid_Requirement'!BF53))</f>
        <v/>
      </c>
      <c r="BG53">
        <f>IF(COUNTIFS(T_StockCount[Part Name],$A53,T_StockCount[WeekIndex],58)&gt;0,SUMIFS(T_StockCount[CountedQty],T_StockCount[Part Name],$A53,T_StockCount[WeekIndex],58),IF((('T_SelfStock'!BG57&lt;&gt;""))*(('T_TTAFStock'!BG57&lt;&gt;""))&gt;0,'T_SelfStock'!BG57+'T_TTAFStock'!BG57,BF53+'Grid_Incoming'!BG53-'Grid_Requirement'!BG53))</f>
        <v/>
      </c>
      <c r="BH53">
        <f>IF(COUNTIFS(T_StockCount[Part Name],$A53,T_StockCount[WeekIndex],59)&gt;0,SUMIFS(T_StockCount[CountedQty],T_StockCount[Part Name],$A53,T_StockCount[WeekIndex],59),IF((('T_SelfStock'!BH57&lt;&gt;""))*(('T_TTAFStock'!BH57&lt;&gt;""))&gt;0,'T_SelfStock'!BH57+'T_TTAFStock'!BH57,BG53+'Grid_Incoming'!BH53-'Grid_Requirement'!BH53))</f>
        <v/>
      </c>
      <c r="BI53">
        <f>IF(COUNTIFS(T_StockCount[Part Name],$A53,T_StockCount[WeekIndex],60)&gt;0,SUMIFS(T_StockCount[CountedQty],T_StockCount[Part Name],$A53,T_StockCount[WeekIndex],60),IF((('T_SelfStock'!BI57&lt;&gt;""))*(('T_TTAFStock'!BI57&lt;&gt;""))&gt;0,'T_SelfStock'!BI57+'T_TTAFStock'!BI57,BH53+'Grid_Incoming'!BI53-'Grid_Requirement'!BI53))</f>
        <v/>
      </c>
      <c r="BJ53">
        <f>IF(COUNTIFS(T_StockCount[Part Name],$A53,T_StockCount[WeekIndex],61)&gt;0,SUMIFS(T_StockCount[CountedQty],T_StockCount[Part Name],$A53,T_StockCount[WeekIndex],61),IF((('T_SelfStock'!BJ57&lt;&gt;""))*(('T_TTAFStock'!BJ57&lt;&gt;""))&gt;0,'T_SelfStock'!BJ57+'T_TTAFStock'!BJ57,BI53+'Grid_Incoming'!BJ53-'Grid_Requirement'!BJ53))</f>
        <v/>
      </c>
      <c r="BK53">
        <f>IF(COUNTIFS(T_StockCount[Part Name],$A53,T_StockCount[WeekIndex],62)&gt;0,SUMIFS(T_StockCount[CountedQty],T_StockCount[Part Name],$A53,T_StockCount[WeekIndex],62),IF((('T_SelfStock'!BK57&lt;&gt;""))*(('T_TTAFStock'!BK57&lt;&gt;""))&gt;0,'T_SelfStock'!BK57+'T_TTAFStock'!BK57,BJ53+'Grid_Incoming'!BK53-'Grid_Requirement'!BK53))</f>
        <v/>
      </c>
      <c r="BL53">
        <f>IF(COUNTIFS(T_StockCount[Part Name],$A53,T_StockCount[WeekIndex],63)&gt;0,SUMIFS(T_StockCount[CountedQty],T_StockCount[Part Name],$A53,T_StockCount[WeekIndex],63),IF((('T_SelfStock'!BL57&lt;&gt;""))*(('T_TTAFStock'!BL57&lt;&gt;""))&gt;0,'T_SelfStock'!BL57+'T_TTAFStock'!BL57,BK53+'Grid_Incoming'!BL53-'Grid_Requirement'!BL53))</f>
        <v/>
      </c>
      <c r="BM53">
        <f>IF(COUNTIFS(T_StockCount[Part Name],$A53,T_StockCount[WeekIndex],64)&gt;0,SUMIFS(T_StockCount[CountedQty],T_StockCount[Part Name],$A53,T_StockCount[WeekIndex],64),IF((('T_SelfStock'!BM57&lt;&gt;""))*(('T_TTAFStock'!BM57&lt;&gt;""))&gt;0,'T_SelfStock'!BM57+'T_TTAFStock'!BM57,BL53+'Grid_Incoming'!BM53-'Grid_Requirement'!BM53))</f>
        <v/>
      </c>
      <c r="BN53">
        <f>IF(COUNTIFS(T_StockCount[Part Name],$A53,T_StockCount[WeekIndex],65)&gt;0,SUMIFS(T_StockCount[CountedQty],T_StockCount[Part Name],$A53,T_StockCount[WeekIndex],65),IF((('T_SelfStock'!BN57&lt;&gt;""))*(('T_TTAFStock'!BN57&lt;&gt;""))&gt;0,'T_SelfStock'!BN57+'T_TTAFStock'!BN57,BM53+'Grid_Incoming'!BN53-'Grid_Requirement'!BN53))</f>
        <v/>
      </c>
      <c r="BO53">
        <f>IF(COUNTIFS(T_StockCount[Part Name],$A53,T_StockCount[WeekIndex],66)&gt;0,SUMIFS(T_StockCount[CountedQty],T_StockCount[Part Name],$A53,T_StockCount[WeekIndex],66),IF((('T_SelfStock'!BO57&lt;&gt;""))*(('T_TTAFStock'!BO57&lt;&gt;""))&gt;0,'T_SelfStock'!BO57+'T_TTAFStock'!BO57,BN53+'Grid_Incoming'!BO53-'Grid_Requirement'!BO53))</f>
        <v/>
      </c>
      <c r="BP53">
        <f>IF(COUNTIFS(T_StockCount[Part Name],$A53,T_StockCount[WeekIndex],67)&gt;0,SUMIFS(T_StockCount[CountedQty],T_StockCount[Part Name],$A53,T_StockCount[WeekIndex],67),IF((('T_SelfStock'!BP57&lt;&gt;""))*(('T_TTAFStock'!BP57&lt;&gt;""))&gt;0,'T_SelfStock'!BP57+'T_TTAFStock'!BP57,BO53+'Grid_Incoming'!BP53-'Grid_Requirement'!BP53))</f>
        <v/>
      </c>
      <c r="BQ53">
        <f>IF(COUNTIFS(T_StockCount[Part Name],$A53,T_StockCount[WeekIndex],68)&gt;0,SUMIFS(T_StockCount[CountedQty],T_StockCount[Part Name],$A53,T_StockCount[WeekIndex],68),IF((('T_SelfStock'!BQ57&lt;&gt;""))*(('T_TTAFStock'!BQ57&lt;&gt;""))&gt;0,'T_SelfStock'!BQ57+'T_TTAFStock'!BQ57,BP53+'Grid_Incoming'!BQ53-'Grid_Requirement'!BQ53))</f>
        <v/>
      </c>
      <c r="BR53">
        <f>IF(COUNTIFS(T_StockCount[Part Name],$A53,T_StockCount[WeekIndex],69)&gt;0,SUMIFS(T_StockCount[CountedQty],T_StockCount[Part Name],$A53,T_StockCount[WeekIndex],69),IF((('T_SelfStock'!BR57&lt;&gt;""))*(('T_TTAFStock'!BR57&lt;&gt;""))&gt;0,'T_SelfStock'!BR57+'T_TTAFStock'!BR57,BQ53+'Grid_Incoming'!BR53-'Grid_Requirement'!BR53))</f>
        <v/>
      </c>
      <c r="BS53">
        <f>IF(COUNTIFS(T_StockCount[Part Name],$A53,T_StockCount[WeekIndex],70)&gt;0,SUMIFS(T_StockCount[CountedQty],T_StockCount[Part Name],$A53,T_StockCount[WeekIndex],70),IF((('T_SelfStock'!BS57&lt;&gt;""))*(('T_TTAFStock'!BS57&lt;&gt;""))&gt;0,'T_SelfStock'!BS57+'T_TTAFStock'!BS57,BR53+'Grid_Incoming'!BS53-'Grid_Requirement'!BS53))</f>
        <v/>
      </c>
      <c r="BT53">
        <f>IF(COUNTIFS(T_StockCount[Part Name],$A53,T_StockCount[WeekIndex],71)&gt;0,SUMIFS(T_StockCount[CountedQty],T_StockCount[Part Name],$A53,T_StockCount[WeekIndex],71),IF((('T_SelfStock'!BT57&lt;&gt;""))*(('T_TTAFStock'!BT57&lt;&gt;""))&gt;0,'T_SelfStock'!BT57+'T_TTAFStock'!BT57,BS53+'Grid_Incoming'!BT53-'Grid_Requirement'!BT53))</f>
        <v/>
      </c>
      <c r="BU53">
        <f>IF(COUNTIFS(T_StockCount[Part Name],$A53,T_StockCount[WeekIndex],72)&gt;0,SUMIFS(T_StockCount[CountedQty],T_StockCount[Part Name],$A53,T_StockCount[WeekIndex],72),IF((('T_SelfStock'!BU57&lt;&gt;""))*(('T_TTAFStock'!BU57&lt;&gt;""))&gt;0,'T_SelfStock'!BU57+'T_TTAFStock'!BU57,BT53+'Grid_Incoming'!BU53-'Grid_Requirement'!BU53))</f>
        <v/>
      </c>
      <c r="BV53">
        <f>IF(COUNTIFS(T_StockCount[Part Name],$A53,T_StockCount[WeekIndex],73)&gt;0,SUMIFS(T_StockCount[CountedQty],T_StockCount[Part Name],$A53,T_StockCount[WeekIndex],73),IF((('T_SelfStock'!BV57&lt;&gt;""))*(('T_TTAFStock'!BV57&lt;&gt;""))&gt;0,'T_SelfStock'!BV57+'T_TTAFStock'!BV57,BU53+'Grid_Incoming'!BV53-'Grid_Requirement'!BV53))</f>
        <v/>
      </c>
      <c r="BW53">
        <f>IF(COUNTIFS(T_StockCount[Part Name],$A53,T_StockCount[WeekIndex],74)&gt;0,SUMIFS(T_StockCount[CountedQty],T_StockCount[Part Name],$A53,T_StockCount[WeekIndex],74),IF((('T_SelfStock'!BW57&lt;&gt;""))*(('T_TTAFStock'!BW57&lt;&gt;""))&gt;0,'T_SelfStock'!BW57+'T_TTAFStock'!BW57,BV53+'Grid_Incoming'!BW53-'Grid_Requirement'!BW53))</f>
        <v/>
      </c>
      <c r="BX53">
        <f>IF(COUNTIFS(T_StockCount[Part Name],$A53,T_StockCount[WeekIndex],75)&gt;0,SUMIFS(T_StockCount[CountedQty],T_StockCount[Part Name],$A53,T_StockCount[WeekIndex],75),IF((('T_SelfStock'!BX57&lt;&gt;""))*(('T_TTAFStock'!BX57&lt;&gt;""))&gt;0,'T_SelfStock'!BX57+'T_TTAFStock'!BX57,BW53+'Grid_Incoming'!BX53-'Grid_Requirement'!BX53))</f>
        <v/>
      </c>
      <c r="BY53">
        <f>IF(COUNTIFS(T_StockCount[Part Name],$A53,T_StockCount[WeekIndex],76)&gt;0,SUMIFS(T_StockCount[CountedQty],T_StockCount[Part Name],$A53,T_StockCount[WeekIndex],76),IF((('T_SelfStock'!BY57&lt;&gt;""))*(('T_TTAFStock'!BY57&lt;&gt;""))&gt;0,'T_SelfStock'!BY57+'T_TTAFStock'!BY57,BX53+'Grid_Incoming'!BY53-'Grid_Requirement'!BY53))</f>
        <v/>
      </c>
      <c r="BZ53">
        <f>IF(COUNTIFS(T_StockCount[Part Name],$A53,T_StockCount[WeekIndex],77)&gt;0,SUMIFS(T_StockCount[CountedQty],T_StockCount[Part Name],$A53,T_StockCount[WeekIndex],77),IF((('T_SelfStock'!BZ57&lt;&gt;""))*(('T_TTAFStock'!BZ57&lt;&gt;""))&gt;0,'T_SelfStock'!BZ57+'T_TTAFStock'!BZ57,BY53+'Grid_Incoming'!BZ53-'Grid_Requirement'!BZ53))</f>
        <v/>
      </c>
      <c r="CA53">
        <f>IF(COUNTIFS(T_StockCount[Part Name],$A53,T_StockCount[WeekIndex],78)&gt;0,SUMIFS(T_StockCount[CountedQty],T_StockCount[Part Name],$A53,T_StockCount[WeekIndex],78),IF((('T_SelfStock'!CA57&lt;&gt;""))*(('T_TTAFStock'!CA57&lt;&gt;""))&gt;0,'T_SelfStock'!CA57+'T_TTAFStock'!CA57,BZ53+'Grid_Incoming'!CA53-'Grid_Requirement'!CA53))</f>
        <v/>
      </c>
      <c r="CB53">
        <f>IF(COUNTIFS(T_StockCount[Part Name],$A53,T_StockCount[WeekIndex],79)&gt;0,SUMIFS(T_StockCount[CountedQty],T_StockCount[Part Name],$A53,T_StockCount[WeekIndex],79),IF((('T_SelfStock'!CB57&lt;&gt;""))*(('T_TTAFStock'!CB57&lt;&gt;""))&gt;0,'T_SelfStock'!CB57+'T_TTAFStock'!CB57,CA53+'Grid_Incoming'!CB53-'Grid_Requirement'!CB53))</f>
        <v/>
      </c>
      <c r="CC53">
        <f>IF(COUNTIFS(T_StockCount[Part Name],$A53,T_StockCount[WeekIndex],80)&gt;0,SUMIFS(T_StockCount[CountedQty],T_StockCount[Part Name],$A53,T_StockCount[WeekIndex],80),IF((('T_SelfStock'!CC57&lt;&gt;""))*(('T_TTAFStock'!CC57&lt;&gt;""))&gt;0,'T_SelfStock'!CC57+'T_TTAFStock'!CC57,CB53+'Grid_Incoming'!CC53-'Grid_Requirement'!CC53))</f>
        <v/>
      </c>
      <c r="CD53">
        <f>IF(COUNTIFS(T_StockCount[Part Name],$A53,T_StockCount[WeekIndex],81)&gt;0,SUMIFS(T_StockCount[CountedQty],T_StockCount[Part Name],$A53,T_StockCount[WeekIndex],81),IF((('T_SelfStock'!CD57&lt;&gt;""))*(('T_TTAFStock'!CD57&lt;&gt;""))&gt;0,'T_SelfStock'!CD57+'T_TTAFStock'!CD57,CC53+'Grid_Incoming'!CD53-'Grid_Requirement'!CD53))</f>
        <v/>
      </c>
      <c r="CE53">
        <f>IF(COUNTIFS(T_StockCount[Part Name],$A53,T_StockCount[WeekIndex],82)&gt;0,SUMIFS(T_StockCount[CountedQty],T_StockCount[Part Name],$A53,T_StockCount[WeekIndex],82),IF((('T_SelfStock'!CE57&lt;&gt;""))*(('T_TTAFStock'!CE57&lt;&gt;""))&gt;0,'T_SelfStock'!CE57+'T_TTAFStock'!CE57,CD53+'Grid_Incoming'!CE53-'Grid_Requirement'!CE53))</f>
        <v/>
      </c>
      <c r="CF53">
        <f>IF(COUNTIFS(T_StockCount[Part Name],$A53,T_StockCount[WeekIndex],83)&gt;0,SUMIFS(T_StockCount[CountedQty],T_StockCount[Part Name],$A53,T_StockCount[WeekIndex],83),IF((('T_SelfStock'!CF57&lt;&gt;""))*(('T_TTAFStock'!CF57&lt;&gt;""))&gt;0,'T_SelfStock'!CF57+'T_TTAFStock'!CF57,CE53+'Grid_Incoming'!CF53-'Grid_Requirement'!CF53))</f>
        <v/>
      </c>
      <c r="CG53">
        <f>IF(COUNTIFS(T_StockCount[Part Name],$A53,T_StockCount[WeekIndex],84)&gt;0,SUMIFS(T_StockCount[CountedQty],T_StockCount[Part Name],$A53,T_StockCount[WeekIndex],84),IF((('T_SelfStock'!CG57&lt;&gt;""))*(('T_TTAFStock'!CG57&lt;&gt;""))&gt;0,'T_SelfStock'!CG57+'T_TTAFStock'!CG57,CF53+'Grid_Incoming'!CG53-'Grid_Requirement'!CG53))</f>
        <v/>
      </c>
      <c r="CH53">
        <f>IF(COUNTIFS(T_StockCount[Part Name],$A53,T_StockCount[WeekIndex],85)&gt;0,SUMIFS(T_StockCount[CountedQty],T_StockCount[Part Name],$A53,T_StockCount[WeekIndex],85),IF((('T_SelfStock'!CH57&lt;&gt;""))*(('T_TTAFStock'!CH57&lt;&gt;""))&gt;0,'T_SelfStock'!CH57+'T_TTAFStock'!CH57,CG53+'Grid_Incoming'!CH53-'Grid_Requirement'!CH53))</f>
        <v/>
      </c>
      <c r="CI53">
        <f>IF(COUNTIFS(T_StockCount[Part Name],$A53,T_StockCount[WeekIndex],86)&gt;0,SUMIFS(T_StockCount[CountedQty],T_StockCount[Part Name],$A53,T_StockCount[WeekIndex],86),IF((('T_SelfStock'!CI57&lt;&gt;""))*(('T_TTAFStock'!CI57&lt;&gt;""))&gt;0,'T_SelfStock'!CI57+'T_TTAFStock'!CI57,CH53+'Grid_Incoming'!CI53-'Grid_Requirement'!CI53))</f>
        <v/>
      </c>
      <c r="CJ53">
        <f>IF(COUNTIFS(T_StockCount[Part Name],$A53,T_StockCount[WeekIndex],87)&gt;0,SUMIFS(T_StockCount[CountedQty],T_StockCount[Part Name],$A53,T_StockCount[WeekIndex],87),IF((('T_SelfStock'!CJ57&lt;&gt;""))*(('T_TTAFStock'!CJ57&lt;&gt;""))&gt;0,'T_SelfStock'!CJ57+'T_TTAFStock'!CJ57,CI53+'Grid_Incoming'!CJ53-'Grid_Requirement'!CJ53))</f>
        <v/>
      </c>
      <c r="CK53">
        <f>IF(COUNTIFS(T_StockCount[Part Name],$A53,T_StockCount[WeekIndex],88)&gt;0,SUMIFS(T_StockCount[CountedQty],T_StockCount[Part Name],$A53,T_StockCount[WeekIndex],88),IF((('T_SelfStock'!CK57&lt;&gt;""))*(('T_TTAFStock'!CK57&lt;&gt;""))&gt;0,'T_SelfStock'!CK57+'T_TTAFStock'!CK57,CJ53+'Grid_Incoming'!CK53-'Grid_Requirement'!CK53))</f>
        <v/>
      </c>
      <c r="CL53">
        <f>IF(COUNTIFS(T_StockCount[Part Name],$A53,T_StockCount[WeekIndex],89)&gt;0,SUMIFS(T_StockCount[CountedQty],T_StockCount[Part Name],$A53,T_StockCount[WeekIndex],89),IF((('T_SelfStock'!CL57&lt;&gt;""))*(('T_TTAFStock'!CL57&lt;&gt;""))&gt;0,'T_SelfStock'!CL57+'T_TTAFStock'!CL57,CK53+'Grid_Incoming'!CL53-'Grid_Requirement'!CL53))</f>
        <v/>
      </c>
      <c r="CM53">
        <f>IF(COUNTIFS(T_StockCount[Part Name],$A53,T_StockCount[WeekIndex],90)&gt;0,SUMIFS(T_StockCount[CountedQty],T_StockCount[Part Name],$A53,T_StockCount[WeekIndex],90),IF((('T_SelfStock'!CM57&lt;&gt;""))*(('T_TTAFStock'!CM57&lt;&gt;""))&gt;0,'T_SelfStock'!CM57+'T_TTAFStock'!CM57,CL53+'Grid_Incoming'!CM53-'Grid_Requirement'!CM53))</f>
        <v/>
      </c>
      <c r="CN53">
        <f>IF(COUNTIFS(T_StockCount[Part Name],$A53,T_StockCount[WeekIndex],91)&gt;0,SUMIFS(T_StockCount[CountedQty],T_StockCount[Part Name],$A53,T_StockCount[WeekIndex],91),IF((('T_SelfStock'!CN57&lt;&gt;""))*(('T_TTAFStock'!CN57&lt;&gt;""))&gt;0,'T_SelfStock'!CN57+'T_TTAFStock'!CN57,CM53+'Grid_Incoming'!CN53-'Grid_Requirement'!CN53))</f>
        <v/>
      </c>
      <c r="CO53">
        <f>IF(COUNTIFS(T_StockCount[Part Name],$A53,T_StockCount[WeekIndex],92)&gt;0,SUMIFS(T_StockCount[CountedQty],T_StockCount[Part Name],$A53,T_StockCount[WeekIndex],92),IF((('T_SelfStock'!CO57&lt;&gt;""))*(('T_TTAFStock'!CO57&lt;&gt;""))&gt;0,'T_SelfStock'!CO57+'T_TTAFStock'!CO57,CN53+'Grid_Incoming'!CO53-'Grid_Requirement'!CO53))</f>
        <v/>
      </c>
      <c r="CP53">
        <f>IF(COUNTIFS(T_StockCount[Part Name],$A53,T_StockCount[WeekIndex],93)&gt;0,SUMIFS(T_StockCount[CountedQty],T_StockCount[Part Name],$A53,T_StockCount[WeekIndex],93),IF((('T_SelfStock'!CP57&lt;&gt;""))*(('T_TTAFStock'!CP57&lt;&gt;""))&gt;0,'T_SelfStock'!CP57+'T_TTAFStock'!CP57,CO53+'Grid_Incoming'!CP53-'Grid_Requirement'!CP53))</f>
        <v/>
      </c>
      <c r="CQ53">
        <f>IF(COUNTIFS(T_StockCount[Part Name],$A53,T_StockCount[WeekIndex],94)&gt;0,SUMIFS(T_StockCount[CountedQty],T_StockCount[Part Name],$A53,T_StockCount[WeekIndex],94),IF((('T_SelfStock'!CQ57&lt;&gt;""))*(('T_TTAFStock'!CQ57&lt;&gt;""))&gt;0,'T_SelfStock'!CQ57+'T_TTAFStock'!CQ57,CP53+'Grid_Incoming'!CQ53-'Grid_Requirement'!CQ53))</f>
        <v/>
      </c>
      <c r="CR53">
        <f>IF(COUNTIFS(T_StockCount[Part Name],$A53,T_StockCount[WeekIndex],95)&gt;0,SUMIFS(T_StockCount[CountedQty],T_StockCount[Part Name],$A53,T_StockCount[WeekIndex],95),IF((('T_SelfStock'!CR57&lt;&gt;""))*(('T_TTAFStock'!CR57&lt;&gt;""))&gt;0,'T_SelfStock'!CR57+'T_TTAFStock'!CR57,CQ53+'Grid_Incoming'!CR53-'Grid_Requirement'!CR53))</f>
        <v/>
      </c>
      <c r="CS53">
        <f>IF(COUNTIFS(T_StockCount[Part Name],$A53,T_StockCount[WeekIndex],96)&gt;0,SUMIFS(T_StockCount[CountedQty],T_StockCount[Part Name],$A53,T_StockCount[WeekIndex],96),IF((('T_SelfStock'!CS57&lt;&gt;""))*(('T_TTAFStock'!CS57&lt;&gt;""))&gt;0,'T_SelfStock'!CS57+'T_TTAFStock'!CS57,CR53+'Grid_Incoming'!CS53-'Grid_Requirement'!CS53))</f>
        <v/>
      </c>
      <c r="CT53">
        <f>IF(COUNTIFS(T_StockCount[Part Name],$A53,T_StockCount[WeekIndex],97)&gt;0,SUMIFS(T_StockCount[CountedQty],T_StockCount[Part Name],$A53,T_StockCount[WeekIndex],97),IF((('T_SelfStock'!CT57&lt;&gt;""))*(('T_TTAFStock'!CT57&lt;&gt;""))&gt;0,'T_SelfStock'!CT57+'T_TTAFStock'!CT57,CS53+'Grid_Incoming'!CT53-'Grid_Requirement'!CT53))</f>
        <v/>
      </c>
      <c r="CU53">
        <f>IF(COUNTIFS(T_StockCount[Part Name],$A53,T_StockCount[WeekIndex],98)&gt;0,SUMIFS(T_StockCount[CountedQty],T_StockCount[Part Name],$A53,T_StockCount[WeekIndex],98),IF((('T_SelfStock'!CU57&lt;&gt;""))*(('T_TTAFStock'!CU57&lt;&gt;""))&gt;0,'T_SelfStock'!CU57+'T_TTAFStock'!CU57,CT53+'Grid_Incoming'!CU53-'Grid_Requirement'!CU53))</f>
        <v/>
      </c>
      <c r="CV53">
        <f>IF(COUNTIFS(T_StockCount[Part Name],$A53,T_StockCount[WeekIndex],99)&gt;0,SUMIFS(T_StockCount[CountedQty],T_StockCount[Part Name],$A53,T_StockCount[WeekIndex],99),IF((('T_SelfStock'!CV57&lt;&gt;""))*(('T_TTAFStock'!CV57&lt;&gt;""))&gt;0,'T_SelfStock'!CV57+'T_TTAFStock'!CV57,CU53+'Grid_Incoming'!CV53-'Grid_Requirement'!CV53))</f>
        <v/>
      </c>
      <c r="CW53">
        <f>IF(COUNTIFS(T_StockCount[Part Name],$A53,T_StockCount[WeekIndex],100)&gt;0,SUMIFS(T_StockCount[CountedQty],T_StockCount[Part Name],$A53,T_StockCount[WeekIndex],100),IF((('T_SelfStock'!CW57&lt;&gt;""))*(('T_TTAFStock'!CW57&lt;&gt;""))&gt;0,'T_SelfStock'!CW57+'T_TTAFStock'!CW57,CV53+'Grid_Incoming'!CW53-'Grid_Requirement'!CW53))</f>
        <v/>
      </c>
      <c r="CX53">
        <f>IF(COUNTIFS(T_StockCount[Part Name],$A53,T_StockCount[WeekIndex],101)&gt;0,SUMIFS(T_StockCount[CountedQty],T_StockCount[Part Name],$A53,T_StockCount[WeekIndex],101),IF((('T_SelfStock'!CX57&lt;&gt;""))*(('T_TTAFStock'!CX57&lt;&gt;""))&gt;0,'T_SelfStock'!CX57+'T_TTAFStock'!CX57,CW53+'Grid_Incoming'!CX53-'Grid_Requirement'!CX53))</f>
        <v/>
      </c>
      <c r="CY53">
        <f>IF(COUNTIFS(T_StockCount[Part Name],$A53,T_StockCount[WeekIndex],102)&gt;0,SUMIFS(T_StockCount[CountedQty],T_StockCount[Part Name],$A53,T_StockCount[WeekIndex],102),IF((('T_SelfStock'!CY57&lt;&gt;""))*(('T_TTAFStock'!CY57&lt;&gt;""))&gt;0,'T_SelfStock'!CY57+'T_TTAFStock'!CY57,CX53+'Grid_Incoming'!CY53-'Grid_Requirement'!CY53))</f>
        <v/>
      </c>
      <c r="CZ53">
        <f>IF(COUNTIFS(T_StockCount[Part Name],$A53,T_StockCount[WeekIndex],103)&gt;0,SUMIFS(T_StockCount[CountedQty],T_StockCount[Part Name],$A53,T_StockCount[WeekIndex],103),IF((('T_SelfStock'!CZ57&lt;&gt;""))*(('T_TTAFStock'!CZ57&lt;&gt;""))&gt;0,'T_SelfStock'!CZ57+'T_TTAFStock'!CZ57,CY53+'Grid_Incoming'!CZ53-'Grid_Requirement'!CZ53))</f>
        <v/>
      </c>
      <c r="DA53">
        <f>IF(COUNTIFS(T_StockCount[Part Name],$A53,T_StockCount[WeekIndex],104)&gt;0,SUMIFS(T_StockCount[CountedQty],T_StockCount[Part Name],$A53,T_StockCount[WeekIndex],104),IF((('T_SelfStock'!DA57&lt;&gt;""))*(('T_TTAFStock'!DA57&lt;&gt;""))&gt;0,'T_SelfStock'!DA57+'T_TTAFStock'!DA57,CZ53+'Grid_Incoming'!DA53-'Grid_Requirement'!DA53))</f>
        <v/>
      </c>
    </row>
    <row r="54">
      <c r="A54" t="inlineStr">
        <is>
          <t>PP Film</t>
        </is>
      </c>
      <c r="B54">
        <f>IF(COUNTIFS(T_StockCount[Part Name],$A54,T_StockCount[WeekIndex],1)&gt;0,SUMIFS(T_StockCount[CountedQty],T_StockCount[Part Name],$A54,T_StockCount[WeekIndex],1),IF((('T_SelfStock'!B58&lt;&gt;""))*(('T_TTAFStock'!B58&lt;&gt;""))&gt;0,'T_SelfStock'!B58+'T_TTAFStock'!B58,IFERROR(INDEX(T_OpeningStock[Opening_Qty],MATCH($A54,T_OpeningStock[Part Name],0)),0)+'Grid_Incoming'!B54-'Grid_Requirement'!B54))</f>
        <v/>
      </c>
      <c r="C54">
        <f>IF(COUNTIFS(T_StockCount[Part Name],$A54,T_StockCount[WeekIndex],2)&gt;0,SUMIFS(T_StockCount[CountedQty],T_StockCount[Part Name],$A54,T_StockCount[WeekIndex],2),IF((('T_SelfStock'!C58&lt;&gt;""))*(('T_TTAFStock'!C58&lt;&gt;""))&gt;0,'T_SelfStock'!C58+'T_TTAFStock'!C58,B54+'Grid_Incoming'!C54-'Grid_Requirement'!C54))</f>
        <v/>
      </c>
      <c r="D54">
        <f>IF(COUNTIFS(T_StockCount[Part Name],$A54,T_StockCount[WeekIndex],3)&gt;0,SUMIFS(T_StockCount[CountedQty],T_StockCount[Part Name],$A54,T_StockCount[WeekIndex],3),IF((('T_SelfStock'!D58&lt;&gt;""))*(('T_TTAFStock'!D58&lt;&gt;""))&gt;0,'T_SelfStock'!D58+'T_TTAFStock'!D58,C54+'Grid_Incoming'!D54-'Grid_Requirement'!D54))</f>
        <v/>
      </c>
      <c r="E54">
        <f>IF(COUNTIFS(T_StockCount[Part Name],$A54,T_StockCount[WeekIndex],4)&gt;0,SUMIFS(T_StockCount[CountedQty],T_StockCount[Part Name],$A54,T_StockCount[WeekIndex],4),IF((('T_SelfStock'!E58&lt;&gt;""))*(('T_TTAFStock'!E58&lt;&gt;""))&gt;0,'T_SelfStock'!E58+'T_TTAFStock'!E58,D54+'Grid_Incoming'!E54-'Grid_Requirement'!E54))</f>
        <v/>
      </c>
      <c r="F54">
        <f>IF(COUNTIFS(T_StockCount[Part Name],$A54,T_StockCount[WeekIndex],5)&gt;0,SUMIFS(T_StockCount[CountedQty],T_StockCount[Part Name],$A54,T_StockCount[WeekIndex],5),IF((('T_SelfStock'!F58&lt;&gt;""))*(('T_TTAFStock'!F58&lt;&gt;""))&gt;0,'T_SelfStock'!F58+'T_TTAFStock'!F58,E54+'Grid_Incoming'!F54-'Grid_Requirement'!F54))</f>
        <v/>
      </c>
      <c r="G54">
        <f>IF(COUNTIFS(T_StockCount[Part Name],$A54,T_StockCount[WeekIndex],6)&gt;0,SUMIFS(T_StockCount[CountedQty],T_StockCount[Part Name],$A54,T_StockCount[WeekIndex],6),IF((('T_SelfStock'!G58&lt;&gt;""))*(('T_TTAFStock'!G58&lt;&gt;""))&gt;0,'T_SelfStock'!G58+'T_TTAFStock'!G58,F54+'Grid_Incoming'!G54-'Grid_Requirement'!G54))</f>
        <v/>
      </c>
      <c r="H54">
        <f>IF(COUNTIFS(T_StockCount[Part Name],$A54,T_StockCount[WeekIndex],7)&gt;0,SUMIFS(T_StockCount[CountedQty],T_StockCount[Part Name],$A54,T_StockCount[WeekIndex],7),IF((('T_SelfStock'!H58&lt;&gt;""))*(('T_TTAFStock'!H58&lt;&gt;""))&gt;0,'T_SelfStock'!H58+'T_TTAFStock'!H58,G54+'Grid_Incoming'!H54-'Grid_Requirement'!H54))</f>
        <v/>
      </c>
      <c r="I54">
        <f>IF(COUNTIFS(T_StockCount[Part Name],$A54,T_StockCount[WeekIndex],8)&gt;0,SUMIFS(T_StockCount[CountedQty],T_StockCount[Part Name],$A54,T_StockCount[WeekIndex],8),IF((('T_SelfStock'!I58&lt;&gt;""))*(('T_TTAFStock'!I58&lt;&gt;""))&gt;0,'T_SelfStock'!I58+'T_TTAFStock'!I58,H54+'Grid_Incoming'!I54-'Grid_Requirement'!I54))</f>
        <v/>
      </c>
      <c r="J54">
        <f>IF(COUNTIFS(T_StockCount[Part Name],$A54,T_StockCount[WeekIndex],9)&gt;0,SUMIFS(T_StockCount[CountedQty],T_StockCount[Part Name],$A54,T_StockCount[WeekIndex],9),IF((('T_SelfStock'!J58&lt;&gt;""))*(('T_TTAFStock'!J58&lt;&gt;""))&gt;0,'T_SelfStock'!J58+'T_TTAFStock'!J58,I54+'Grid_Incoming'!J54-'Grid_Requirement'!J54))</f>
        <v/>
      </c>
      <c r="K54">
        <f>IF(COUNTIFS(T_StockCount[Part Name],$A54,T_StockCount[WeekIndex],10)&gt;0,SUMIFS(T_StockCount[CountedQty],T_StockCount[Part Name],$A54,T_StockCount[WeekIndex],10),IF((('T_SelfStock'!K58&lt;&gt;""))*(('T_TTAFStock'!K58&lt;&gt;""))&gt;0,'T_SelfStock'!K58+'T_TTAFStock'!K58,J54+'Grid_Incoming'!K54-'Grid_Requirement'!K54))</f>
        <v/>
      </c>
      <c r="L54">
        <f>IF(COUNTIFS(T_StockCount[Part Name],$A54,T_StockCount[WeekIndex],11)&gt;0,SUMIFS(T_StockCount[CountedQty],T_StockCount[Part Name],$A54,T_StockCount[WeekIndex],11),IF((('T_SelfStock'!L58&lt;&gt;""))*(('T_TTAFStock'!L58&lt;&gt;""))&gt;0,'T_SelfStock'!L58+'T_TTAFStock'!L58,K54+'Grid_Incoming'!L54-'Grid_Requirement'!L54))</f>
        <v/>
      </c>
      <c r="M54">
        <f>IF(COUNTIFS(T_StockCount[Part Name],$A54,T_StockCount[WeekIndex],12)&gt;0,SUMIFS(T_StockCount[CountedQty],T_StockCount[Part Name],$A54,T_StockCount[WeekIndex],12),IF((('T_SelfStock'!M58&lt;&gt;""))*(('T_TTAFStock'!M58&lt;&gt;""))&gt;0,'T_SelfStock'!M58+'T_TTAFStock'!M58,L54+'Grid_Incoming'!M54-'Grid_Requirement'!M54))</f>
        <v/>
      </c>
      <c r="N54">
        <f>IF(COUNTIFS(T_StockCount[Part Name],$A54,T_StockCount[WeekIndex],13)&gt;0,SUMIFS(T_StockCount[CountedQty],T_StockCount[Part Name],$A54,T_StockCount[WeekIndex],13),IF((('T_SelfStock'!N58&lt;&gt;""))*(('T_TTAFStock'!N58&lt;&gt;""))&gt;0,'T_SelfStock'!N58+'T_TTAFStock'!N58,M54+'Grid_Incoming'!N54-'Grid_Requirement'!N54))</f>
        <v/>
      </c>
      <c r="O54">
        <f>IF(COUNTIFS(T_StockCount[Part Name],$A54,T_StockCount[WeekIndex],14)&gt;0,SUMIFS(T_StockCount[CountedQty],T_StockCount[Part Name],$A54,T_StockCount[WeekIndex],14),IF((('T_SelfStock'!O58&lt;&gt;""))*(('T_TTAFStock'!O58&lt;&gt;""))&gt;0,'T_SelfStock'!O58+'T_TTAFStock'!O58,N54+'Grid_Incoming'!O54-'Grid_Requirement'!O54))</f>
        <v/>
      </c>
      <c r="P54">
        <f>IF(COUNTIFS(T_StockCount[Part Name],$A54,T_StockCount[WeekIndex],15)&gt;0,SUMIFS(T_StockCount[CountedQty],T_StockCount[Part Name],$A54,T_StockCount[WeekIndex],15),IF((('T_SelfStock'!P58&lt;&gt;""))*(('T_TTAFStock'!P58&lt;&gt;""))&gt;0,'T_SelfStock'!P58+'T_TTAFStock'!P58,O54+'Grid_Incoming'!P54-'Grid_Requirement'!P54))</f>
        <v/>
      </c>
      <c r="Q54">
        <f>IF(COUNTIFS(T_StockCount[Part Name],$A54,T_StockCount[WeekIndex],16)&gt;0,SUMIFS(T_StockCount[CountedQty],T_StockCount[Part Name],$A54,T_StockCount[WeekIndex],16),IF((('T_SelfStock'!Q58&lt;&gt;""))*(('T_TTAFStock'!Q58&lt;&gt;""))&gt;0,'T_SelfStock'!Q58+'T_TTAFStock'!Q58,P54+'Grid_Incoming'!Q54-'Grid_Requirement'!Q54))</f>
        <v/>
      </c>
      <c r="R54">
        <f>IF(COUNTIFS(T_StockCount[Part Name],$A54,T_StockCount[WeekIndex],17)&gt;0,SUMIFS(T_StockCount[CountedQty],T_StockCount[Part Name],$A54,T_StockCount[WeekIndex],17),IF((('T_SelfStock'!R58&lt;&gt;""))*(('T_TTAFStock'!R58&lt;&gt;""))&gt;0,'T_SelfStock'!R58+'T_TTAFStock'!R58,Q54+'Grid_Incoming'!R54-'Grid_Requirement'!R54))</f>
        <v/>
      </c>
      <c r="S54">
        <f>IF(COUNTIFS(T_StockCount[Part Name],$A54,T_StockCount[WeekIndex],18)&gt;0,SUMIFS(T_StockCount[CountedQty],T_StockCount[Part Name],$A54,T_StockCount[WeekIndex],18),IF((('T_SelfStock'!S58&lt;&gt;""))*(('T_TTAFStock'!S58&lt;&gt;""))&gt;0,'T_SelfStock'!S58+'T_TTAFStock'!S58,R54+'Grid_Incoming'!S54-'Grid_Requirement'!S54))</f>
        <v/>
      </c>
      <c r="T54">
        <f>IF(COUNTIFS(T_StockCount[Part Name],$A54,T_StockCount[WeekIndex],19)&gt;0,SUMIFS(T_StockCount[CountedQty],T_StockCount[Part Name],$A54,T_StockCount[WeekIndex],19),IF((('T_SelfStock'!T58&lt;&gt;""))*(('T_TTAFStock'!T58&lt;&gt;""))&gt;0,'T_SelfStock'!T58+'T_TTAFStock'!T58,S54+'Grid_Incoming'!T54-'Grid_Requirement'!T54))</f>
        <v/>
      </c>
      <c r="U54">
        <f>IF(COUNTIFS(T_StockCount[Part Name],$A54,T_StockCount[WeekIndex],20)&gt;0,SUMIFS(T_StockCount[CountedQty],T_StockCount[Part Name],$A54,T_StockCount[WeekIndex],20),IF((('T_SelfStock'!U58&lt;&gt;""))*(('T_TTAFStock'!U58&lt;&gt;""))&gt;0,'T_SelfStock'!U58+'T_TTAFStock'!U58,T54+'Grid_Incoming'!U54-'Grid_Requirement'!U54))</f>
        <v/>
      </c>
      <c r="V54">
        <f>IF(COUNTIFS(T_StockCount[Part Name],$A54,T_StockCount[WeekIndex],21)&gt;0,SUMIFS(T_StockCount[CountedQty],T_StockCount[Part Name],$A54,T_StockCount[WeekIndex],21),IF((('T_SelfStock'!V58&lt;&gt;""))*(('T_TTAFStock'!V58&lt;&gt;""))&gt;0,'T_SelfStock'!V58+'T_TTAFStock'!V58,U54+'Grid_Incoming'!V54-'Grid_Requirement'!V54))</f>
        <v/>
      </c>
      <c r="W54">
        <f>IF(COUNTIFS(T_StockCount[Part Name],$A54,T_StockCount[WeekIndex],22)&gt;0,SUMIFS(T_StockCount[CountedQty],T_StockCount[Part Name],$A54,T_StockCount[WeekIndex],22),IF((('T_SelfStock'!W58&lt;&gt;""))*(('T_TTAFStock'!W58&lt;&gt;""))&gt;0,'T_SelfStock'!W58+'T_TTAFStock'!W58,V54+'Grid_Incoming'!W54-'Grid_Requirement'!W54))</f>
        <v/>
      </c>
      <c r="X54">
        <f>IF(COUNTIFS(T_StockCount[Part Name],$A54,T_StockCount[WeekIndex],23)&gt;0,SUMIFS(T_StockCount[CountedQty],T_StockCount[Part Name],$A54,T_StockCount[WeekIndex],23),IF((('T_SelfStock'!X58&lt;&gt;""))*(('T_TTAFStock'!X58&lt;&gt;""))&gt;0,'T_SelfStock'!X58+'T_TTAFStock'!X58,W54+'Grid_Incoming'!X54-'Grid_Requirement'!X54))</f>
        <v/>
      </c>
      <c r="Y54">
        <f>IF(COUNTIFS(T_StockCount[Part Name],$A54,T_StockCount[WeekIndex],24)&gt;0,SUMIFS(T_StockCount[CountedQty],T_StockCount[Part Name],$A54,T_StockCount[WeekIndex],24),IF((('T_SelfStock'!Y58&lt;&gt;""))*(('T_TTAFStock'!Y58&lt;&gt;""))&gt;0,'T_SelfStock'!Y58+'T_TTAFStock'!Y58,X54+'Grid_Incoming'!Y54-'Grid_Requirement'!Y54))</f>
        <v/>
      </c>
      <c r="Z54">
        <f>IF(COUNTIFS(T_StockCount[Part Name],$A54,T_StockCount[WeekIndex],25)&gt;0,SUMIFS(T_StockCount[CountedQty],T_StockCount[Part Name],$A54,T_StockCount[WeekIndex],25),IF((('T_SelfStock'!Z58&lt;&gt;""))*(('T_TTAFStock'!Z58&lt;&gt;""))&gt;0,'T_SelfStock'!Z58+'T_TTAFStock'!Z58,Y54+'Grid_Incoming'!Z54-'Grid_Requirement'!Z54))</f>
        <v/>
      </c>
      <c r="AA54">
        <f>IF(COUNTIFS(T_StockCount[Part Name],$A54,T_StockCount[WeekIndex],26)&gt;0,SUMIFS(T_StockCount[CountedQty],T_StockCount[Part Name],$A54,T_StockCount[WeekIndex],26),IF((('T_SelfStock'!AA58&lt;&gt;""))*(('T_TTAFStock'!AA58&lt;&gt;""))&gt;0,'T_SelfStock'!AA58+'T_TTAFStock'!AA58,Z54+'Grid_Incoming'!AA54-'Grid_Requirement'!AA54))</f>
        <v/>
      </c>
      <c r="AB54">
        <f>IF(COUNTIFS(T_StockCount[Part Name],$A54,T_StockCount[WeekIndex],27)&gt;0,SUMIFS(T_StockCount[CountedQty],T_StockCount[Part Name],$A54,T_StockCount[WeekIndex],27),IF((('T_SelfStock'!AB58&lt;&gt;""))*(('T_TTAFStock'!AB58&lt;&gt;""))&gt;0,'T_SelfStock'!AB58+'T_TTAFStock'!AB58,AA54+'Grid_Incoming'!AB54-'Grid_Requirement'!AB54))</f>
        <v/>
      </c>
      <c r="AC54">
        <f>IF(COUNTIFS(T_StockCount[Part Name],$A54,T_StockCount[WeekIndex],28)&gt;0,SUMIFS(T_StockCount[CountedQty],T_StockCount[Part Name],$A54,T_StockCount[WeekIndex],28),IF((('T_SelfStock'!AC58&lt;&gt;""))*(('T_TTAFStock'!AC58&lt;&gt;""))&gt;0,'T_SelfStock'!AC58+'T_TTAFStock'!AC58,AB54+'Grid_Incoming'!AC54-'Grid_Requirement'!AC54))</f>
        <v/>
      </c>
      <c r="AD54">
        <f>IF(COUNTIFS(T_StockCount[Part Name],$A54,T_StockCount[WeekIndex],29)&gt;0,SUMIFS(T_StockCount[CountedQty],T_StockCount[Part Name],$A54,T_StockCount[WeekIndex],29),IF((('T_SelfStock'!AD58&lt;&gt;""))*(('T_TTAFStock'!AD58&lt;&gt;""))&gt;0,'T_SelfStock'!AD58+'T_TTAFStock'!AD58,AC54+'Grid_Incoming'!AD54-'Grid_Requirement'!AD54))</f>
        <v/>
      </c>
      <c r="AE54">
        <f>IF(COUNTIFS(T_StockCount[Part Name],$A54,T_StockCount[WeekIndex],30)&gt;0,SUMIFS(T_StockCount[CountedQty],T_StockCount[Part Name],$A54,T_StockCount[WeekIndex],30),IF((('T_SelfStock'!AE58&lt;&gt;""))*(('T_TTAFStock'!AE58&lt;&gt;""))&gt;0,'T_SelfStock'!AE58+'T_TTAFStock'!AE58,AD54+'Grid_Incoming'!AE54-'Grid_Requirement'!AE54))</f>
        <v/>
      </c>
      <c r="AF54">
        <f>IF(COUNTIFS(T_StockCount[Part Name],$A54,T_StockCount[WeekIndex],31)&gt;0,SUMIFS(T_StockCount[CountedQty],T_StockCount[Part Name],$A54,T_StockCount[WeekIndex],31),IF((('T_SelfStock'!AF58&lt;&gt;""))*(('T_TTAFStock'!AF58&lt;&gt;""))&gt;0,'T_SelfStock'!AF58+'T_TTAFStock'!AF58,AE54+'Grid_Incoming'!AF54-'Grid_Requirement'!AF54))</f>
        <v/>
      </c>
      <c r="AG54">
        <f>IF(COUNTIFS(T_StockCount[Part Name],$A54,T_StockCount[WeekIndex],32)&gt;0,SUMIFS(T_StockCount[CountedQty],T_StockCount[Part Name],$A54,T_StockCount[WeekIndex],32),IF((('T_SelfStock'!AG58&lt;&gt;""))*(('T_TTAFStock'!AG58&lt;&gt;""))&gt;0,'T_SelfStock'!AG58+'T_TTAFStock'!AG58,AF54+'Grid_Incoming'!AG54-'Grid_Requirement'!AG54))</f>
        <v/>
      </c>
      <c r="AH54">
        <f>IF(COUNTIFS(T_StockCount[Part Name],$A54,T_StockCount[WeekIndex],33)&gt;0,SUMIFS(T_StockCount[CountedQty],T_StockCount[Part Name],$A54,T_StockCount[WeekIndex],33),IF((('T_SelfStock'!AH58&lt;&gt;""))*(('T_TTAFStock'!AH58&lt;&gt;""))&gt;0,'T_SelfStock'!AH58+'T_TTAFStock'!AH58,AG54+'Grid_Incoming'!AH54-'Grid_Requirement'!AH54))</f>
        <v/>
      </c>
      <c r="AI54">
        <f>IF(COUNTIFS(T_StockCount[Part Name],$A54,T_StockCount[WeekIndex],34)&gt;0,SUMIFS(T_StockCount[CountedQty],T_StockCount[Part Name],$A54,T_StockCount[WeekIndex],34),IF((('T_SelfStock'!AI58&lt;&gt;""))*(('T_TTAFStock'!AI58&lt;&gt;""))&gt;0,'T_SelfStock'!AI58+'T_TTAFStock'!AI58,AH54+'Grid_Incoming'!AI54-'Grid_Requirement'!AI54))</f>
        <v/>
      </c>
      <c r="AJ54">
        <f>IF(COUNTIFS(T_StockCount[Part Name],$A54,T_StockCount[WeekIndex],35)&gt;0,SUMIFS(T_StockCount[CountedQty],T_StockCount[Part Name],$A54,T_StockCount[WeekIndex],35),IF((('T_SelfStock'!AJ58&lt;&gt;""))*(('T_TTAFStock'!AJ58&lt;&gt;""))&gt;0,'T_SelfStock'!AJ58+'T_TTAFStock'!AJ58,AI54+'Grid_Incoming'!AJ54-'Grid_Requirement'!AJ54))</f>
        <v/>
      </c>
      <c r="AK54">
        <f>IF(COUNTIFS(T_StockCount[Part Name],$A54,T_StockCount[WeekIndex],36)&gt;0,SUMIFS(T_StockCount[CountedQty],T_StockCount[Part Name],$A54,T_StockCount[WeekIndex],36),IF((('T_SelfStock'!AK58&lt;&gt;""))*(('T_TTAFStock'!AK58&lt;&gt;""))&gt;0,'T_SelfStock'!AK58+'T_TTAFStock'!AK58,AJ54+'Grid_Incoming'!AK54-'Grid_Requirement'!AK54))</f>
        <v/>
      </c>
      <c r="AL54">
        <f>IF(COUNTIFS(T_StockCount[Part Name],$A54,T_StockCount[WeekIndex],37)&gt;0,SUMIFS(T_StockCount[CountedQty],T_StockCount[Part Name],$A54,T_StockCount[WeekIndex],37),IF((('T_SelfStock'!AL58&lt;&gt;""))*(('T_TTAFStock'!AL58&lt;&gt;""))&gt;0,'T_SelfStock'!AL58+'T_TTAFStock'!AL58,AK54+'Grid_Incoming'!AL54-'Grid_Requirement'!AL54))</f>
        <v/>
      </c>
      <c r="AM54">
        <f>IF(COUNTIFS(T_StockCount[Part Name],$A54,T_StockCount[WeekIndex],38)&gt;0,SUMIFS(T_StockCount[CountedQty],T_StockCount[Part Name],$A54,T_StockCount[WeekIndex],38),IF((('T_SelfStock'!AM58&lt;&gt;""))*(('T_TTAFStock'!AM58&lt;&gt;""))&gt;0,'T_SelfStock'!AM58+'T_TTAFStock'!AM58,AL54+'Grid_Incoming'!AM54-'Grid_Requirement'!AM54))</f>
        <v/>
      </c>
      <c r="AN54">
        <f>IF(COUNTIFS(T_StockCount[Part Name],$A54,T_StockCount[WeekIndex],39)&gt;0,SUMIFS(T_StockCount[CountedQty],T_StockCount[Part Name],$A54,T_StockCount[WeekIndex],39),IF((('T_SelfStock'!AN58&lt;&gt;""))*(('T_TTAFStock'!AN58&lt;&gt;""))&gt;0,'T_SelfStock'!AN58+'T_TTAFStock'!AN58,AM54+'Grid_Incoming'!AN54-'Grid_Requirement'!AN54))</f>
        <v/>
      </c>
      <c r="AO54">
        <f>IF(COUNTIFS(T_StockCount[Part Name],$A54,T_StockCount[WeekIndex],40)&gt;0,SUMIFS(T_StockCount[CountedQty],T_StockCount[Part Name],$A54,T_StockCount[WeekIndex],40),IF((('T_SelfStock'!AO58&lt;&gt;""))*(('T_TTAFStock'!AO58&lt;&gt;""))&gt;0,'T_SelfStock'!AO58+'T_TTAFStock'!AO58,AN54+'Grid_Incoming'!AO54-'Grid_Requirement'!AO54))</f>
        <v/>
      </c>
      <c r="AP54">
        <f>IF(COUNTIFS(T_StockCount[Part Name],$A54,T_StockCount[WeekIndex],41)&gt;0,SUMIFS(T_StockCount[CountedQty],T_StockCount[Part Name],$A54,T_StockCount[WeekIndex],41),IF((('T_SelfStock'!AP58&lt;&gt;""))*(('T_TTAFStock'!AP58&lt;&gt;""))&gt;0,'T_SelfStock'!AP58+'T_TTAFStock'!AP58,AO54+'Grid_Incoming'!AP54-'Grid_Requirement'!AP54))</f>
        <v/>
      </c>
      <c r="AQ54">
        <f>IF(COUNTIFS(T_StockCount[Part Name],$A54,T_StockCount[WeekIndex],42)&gt;0,SUMIFS(T_StockCount[CountedQty],T_StockCount[Part Name],$A54,T_StockCount[WeekIndex],42),IF((('T_SelfStock'!AQ58&lt;&gt;""))*(('T_TTAFStock'!AQ58&lt;&gt;""))&gt;0,'T_SelfStock'!AQ58+'T_TTAFStock'!AQ58,AP54+'Grid_Incoming'!AQ54-'Grid_Requirement'!AQ54))</f>
        <v/>
      </c>
      <c r="AR54">
        <f>IF(COUNTIFS(T_StockCount[Part Name],$A54,T_StockCount[WeekIndex],43)&gt;0,SUMIFS(T_StockCount[CountedQty],T_StockCount[Part Name],$A54,T_StockCount[WeekIndex],43),IF((('T_SelfStock'!AR58&lt;&gt;""))*(('T_TTAFStock'!AR58&lt;&gt;""))&gt;0,'T_SelfStock'!AR58+'T_TTAFStock'!AR58,AQ54+'Grid_Incoming'!AR54-'Grid_Requirement'!AR54))</f>
        <v/>
      </c>
      <c r="AS54">
        <f>IF(COUNTIFS(T_StockCount[Part Name],$A54,T_StockCount[WeekIndex],44)&gt;0,SUMIFS(T_StockCount[CountedQty],T_StockCount[Part Name],$A54,T_StockCount[WeekIndex],44),IF((('T_SelfStock'!AS58&lt;&gt;""))*(('T_TTAFStock'!AS58&lt;&gt;""))&gt;0,'T_SelfStock'!AS58+'T_TTAFStock'!AS58,AR54+'Grid_Incoming'!AS54-'Grid_Requirement'!AS54))</f>
        <v/>
      </c>
      <c r="AT54">
        <f>IF(COUNTIFS(T_StockCount[Part Name],$A54,T_StockCount[WeekIndex],45)&gt;0,SUMIFS(T_StockCount[CountedQty],T_StockCount[Part Name],$A54,T_StockCount[WeekIndex],45),IF((('T_SelfStock'!AT58&lt;&gt;""))*(('T_TTAFStock'!AT58&lt;&gt;""))&gt;0,'T_SelfStock'!AT58+'T_TTAFStock'!AT58,AS54+'Grid_Incoming'!AT54-'Grid_Requirement'!AT54))</f>
        <v/>
      </c>
      <c r="AU54">
        <f>IF(COUNTIFS(T_StockCount[Part Name],$A54,T_StockCount[WeekIndex],46)&gt;0,SUMIFS(T_StockCount[CountedQty],T_StockCount[Part Name],$A54,T_StockCount[WeekIndex],46),IF((('T_SelfStock'!AU58&lt;&gt;""))*(('T_TTAFStock'!AU58&lt;&gt;""))&gt;0,'T_SelfStock'!AU58+'T_TTAFStock'!AU58,AT54+'Grid_Incoming'!AU54-'Grid_Requirement'!AU54))</f>
        <v/>
      </c>
      <c r="AV54">
        <f>IF(COUNTIFS(T_StockCount[Part Name],$A54,T_StockCount[WeekIndex],47)&gt;0,SUMIFS(T_StockCount[CountedQty],T_StockCount[Part Name],$A54,T_StockCount[WeekIndex],47),IF((('T_SelfStock'!AV58&lt;&gt;""))*(('T_TTAFStock'!AV58&lt;&gt;""))&gt;0,'T_SelfStock'!AV58+'T_TTAFStock'!AV58,AU54+'Grid_Incoming'!AV54-'Grid_Requirement'!AV54))</f>
        <v/>
      </c>
      <c r="AW54">
        <f>IF(COUNTIFS(T_StockCount[Part Name],$A54,T_StockCount[WeekIndex],48)&gt;0,SUMIFS(T_StockCount[CountedQty],T_StockCount[Part Name],$A54,T_StockCount[WeekIndex],48),IF((('T_SelfStock'!AW58&lt;&gt;""))*(('T_TTAFStock'!AW58&lt;&gt;""))&gt;0,'T_SelfStock'!AW58+'T_TTAFStock'!AW58,AV54+'Grid_Incoming'!AW54-'Grid_Requirement'!AW54))</f>
        <v/>
      </c>
      <c r="AX54">
        <f>IF(COUNTIFS(T_StockCount[Part Name],$A54,T_StockCount[WeekIndex],49)&gt;0,SUMIFS(T_StockCount[CountedQty],T_StockCount[Part Name],$A54,T_StockCount[WeekIndex],49),IF((('T_SelfStock'!AX58&lt;&gt;""))*(('T_TTAFStock'!AX58&lt;&gt;""))&gt;0,'T_SelfStock'!AX58+'T_TTAFStock'!AX58,AW54+'Grid_Incoming'!AX54-'Grid_Requirement'!AX54))</f>
        <v/>
      </c>
      <c r="AY54">
        <f>IF(COUNTIFS(T_StockCount[Part Name],$A54,T_StockCount[WeekIndex],50)&gt;0,SUMIFS(T_StockCount[CountedQty],T_StockCount[Part Name],$A54,T_StockCount[WeekIndex],50),IF((('T_SelfStock'!AY58&lt;&gt;""))*(('T_TTAFStock'!AY58&lt;&gt;""))&gt;0,'T_SelfStock'!AY58+'T_TTAFStock'!AY58,AX54+'Grid_Incoming'!AY54-'Grid_Requirement'!AY54))</f>
        <v/>
      </c>
      <c r="AZ54">
        <f>IF(COUNTIFS(T_StockCount[Part Name],$A54,T_StockCount[WeekIndex],51)&gt;0,SUMIFS(T_StockCount[CountedQty],T_StockCount[Part Name],$A54,T_StockCount[WeekIndex],51),IF((('T_SelfStock'!AZ58&lt;&gt;""))*(('T_TTAFStock'!AZ58&lt;&gt;""))&gt;0,'T_SelfStock'!AZ58+'T_TTAFStock'!AZ58,AY54+'Grid_Incoming'!AZ54-'Grid_Requirement'!AZ54))</f>
        <v/>
      </c>
      <c r="BA54">
        <f>IF(COUNTIFS(T_StockCount[Part Name],$A54,T_StockCount[WeekIndex],52)&gt;0,SUMIFS(T_StockCount[CountedQty],T_StockCount[Part Name],$A54,T_StockCount[WeekIndex],52),IF((('T_SelfStock'!BA58&lt;&gt;""))*(('T_TTAFStock'!BA58&lt;&gt;""))&gt;0,'T_SelfStock'!BA58+'T_TTAFStock'!BA58,AZ54+'Grid_Incoming'!BA54-'Grid_Requirement'!BA54))</f>
        <v/>
      </c>
      <c r="BB54">
        <f>IF(COUNTIFS(T_StockCount[Part Name],$A54,T_StockCount[WeekIndex],53)&gt;0,SUMIFS(T_StockCount[CountedQty],T_StockCount[Part Name],$A54,T_StockCount[WeekIndex],53),IF((('T_SelfStock'!BB58&lt;&gt;""))*(('T_TTAFStock'!BB58&lt;&gt;""))&gt;0,'T_SelfStock'!BB58+'T_TTAFStock'!BB58,BA54+'Grid_Incoming'!BB54-'Grid_Requirement'!BB54))</f>
        <v/>
      </c>
      <c r="BC54">
        <f>IF(COUNTIFS(T_StockCount[Part Name],$A54,T_StockCount[WeekIndex],54)&gt;0,SUMIFS(T_StockCount[CountedQty],T_StockCount[Part Name],$A54,T_StockCount[WeekIndex],54),IF((('T_SelfStock'!BC58&lt;&gt;""))*(('T_TTAFStock'!BC58&lt;&gt;""))&gt;0,'T_SelfStock'!BC58+'T_TTAFStock'!BC58,BB54+'Grid_Incoming'!BC54-'Grid_Requirement'!BC54))</f>
        <v/>
      </c>
      <c r="BD54">
        <f>IF(COUNTIFS(T_StockCount[Part Name],$A54,T_StockCount[WeekIndex],55)&gt;0,SUMIFS(T_StockCount[CountedQty],T_StockCount[Part Name],$A54,T_StockCount[WeekIndex],55),IF((('T_SelfStock'!BD58&lt;&gt;""))*(('T_TTAFStock'!BD58&lt;&gt;""))&gt;0,'T_SelfStock'!BD58+'T_TTAFStock'!BD58,BC54+'Grid_Incoming'!BD54-'Grid_Requirement'!BD54))</f>
        <v/>
      </c>
      <c r="BE54">
        <f>IF(COUNTIFS(T_StockCount[Part Name],$A54,T_StockCount[WeekIndex],56)&gt;0,SUMIFS(T_StockCount[CountedQty],T_StockCount[Part Name],$A54,T_StockCount[WeekIndex],56),IF((('T_SelfStock'!BE58&lt;&gt;""))*(('T_TTAFStock'!BE58&lt;&gt;""))&gt;0,'T_SelfStock'!BE58+'T_TTAFStock'!BE58,BD54+'Grid_Incoming'!BE54-'Grid_Requirement'!BE54))</f>
        <v/>
      </c>
      <c r="BF54">
        <f>IF(COUNTIFS(T_StockCount[Part Name],$A54,T_StockCount[WeekIndex],57)&gt;0,SUMIFS(T_StockCount[CountedQty],T_StockCount[Part Name],$A54,T_StockCount[WeekIndex],57),IF((('T_SelfStock'!BF58&lt;&gt;""))*(('T_TTAFStock'!BF58&lt;&gt;""))&gt;0,'T_SelfStock'!BF58+'T_TTAFStock'!BF58,BE54+'Grid_Incoming'!BF54-'Grid_Requirement'!BF54))</f>
        <v/>
      </c>
      <c r="BG54">
        <f>IF(COUNTIFS(T_StockCount[Part Name],$A54,T_StockCount[WeekIndex],58)&gt;0,SUMIFS(T_StockCount[CountedQty],T_StockCount[Part Name],$A54,T_StockCount[WeekIndex],58),IF((('T_SelfStock'!BG58&lt;&gt;""))*(('T_TTAFStock'!BG58&lt;&gt;""))&gt;0,'T_SelfStock'!BG58+'T_TTAFStock'!BG58,BF54+'Grid_Incoming'!BG54-'Grid_Requirement'!BG54))</f>
        <v/>
      </c>
      <c r="BH54">
        <f>IF(COUNTIFS(T_StockCount[Part Name],$A54,T_StockCount[WeekIndex],59)&gt;0,SUMIFS(T_StockCount[CountedQty],T_StockCount[Part Name],$A54,T_StockCount[WeekIndex],59),IF((('T_SelfStock'!BH58&lt;&gt;""))*(('T_TTAFStock'!BH58&lt;&gt;""))&gt;0,'T_SelfStock'!BH58+'T_TTAFStock'!BH58,BG54+'Grid_Incoming'!BH54-'Grid_Requirement'!BH54))</f>
        <v/>
      </c>
      <c r="BI54">
        <f>IF(COUNTIFS(T_StockCount[Part Name],$A54,T_StockCount[WeekIndex],60)&gt;0,SUMIFS(T_StockCount[CountedQty],T_StockCount[Part Name],$A54,T_StockCount[WeekIndex],60),IF((('T_SelfStock'!BI58&lt;&gt;""))*(('T_TTAFStock'!BI58&lt;&gt;""))&gt;0,'T_SelfStock'!BI58+'T_TTAFStock'!BI58,BH54+'Grid_Incoming'!BI54-'Grid_Requirement'!BI54))</f>
        <v/>
      </c>
      <c r="BJ54">
        <f>IF(COUNTIFS(T_StockCount[Part Name],$A54,T_StockCount[WeekIndex],61)&gt;0,SUMIFS(T_StockCount[CountedQty],T_StockCount[Part Name],$A54,T_StockCount[WeekIndex],61),IF((('T_SelfStock'!BJ58&lt;&gt;""))*(('T_TTAFStock'!BJ58&lt;&gt;""))&gt;0,'T_SelfStock'!BJ58+'T_TTAFStock'!BJ58,BI54+'Grid_Incoming'!BJ54-'Grid_Requirement'!BJ54))</f>
        <v/>
      </c>
      <c r="BK54">
        <f>IF(COUNTIFS(T_StockCount[Part Name],$A54,T_StockCount[WeekIndex],62)&gt;0,SUMIFS(T_StockCount[CountedQty],T_StockCount[Part Name],$A54,T_StockCount[WeekIndex],62),IF((('T_SelfStock'!BK58&lt;&gt;""))*(('T_TTAFStock'!BK58&lt;&gt;""))&gt;0,'T_SelfStock'!BK58+'T_TTAFStock'!BK58,BJ54+'Grid_Incoming'!BK54-'Grid_Requirement'!BK54))</f>
        <v/>
      </c>
      <c r="BL54">
        <f>IF(COUNTIFS(T_StockCount[Part Name],$A54,T_StockCount[WeekIndex],63)&gt;0,SUMIFS(T_StockCount[CountedQty],T_StockCount[Part Name],$A54,T_StockCount[WeekIndex],63),IF((('T_SelfStock'!BL58&lt;&gt;""))*(('T_TTAFStock'!BL58&lt;&gt;""))&gt;0,'T_SelfStock'!BL58+'T_TTAFStock'!BL58,BK54+'Grid_Incoming'!BL54-'Grid_Requirement'!BL54))</f>
        <v/>
      </c>
      <c r="BM54">
        <f>IF(COUNTIFS(T_StockCount[Part Name],$A54,T_StockCount[WeekIndex],64)&gt;0,SUMIFS(T_StockCount[CountedQty],T_StockCount[Part Name],$A54,T_StockCount[WeekIndex],64),IF((('T_SelfStock'!BM58&lt;&gt;""))*(('T_TTAFStock'!BM58&lt;&gt;""))&gt;0,'T_SelfStock'!BM58+'T_TTAFStock'!BM58,BL54+'Grid_Incoming'!BM54-'Grid_Requirement'!BM54))</f>
        <v/>
      </c>
      <c r="BN54">
        <f>IF(COUNTIFS(T_StockCount[Part Name],$A54,T_StockCount[WeekIndex],65)&gt;0,SUMIFS(T_StockCount[CountedQty],T_StockCount[Part Name],$A54,T_StockCount[WeekIndex],65),IF((('T_SelfStock'!BN58&lt;&gt;""))*(('T_TTAFStock'!BN58&lt;&gt;""))&gt;0,'T_SelfStock'!BN58+'T_TTAFStock'!BN58,BM54+'Grid_Incoming'!BN54-'Grid_Requirement'!BN54))</f>
        <v/>
      </c>
      <c r="BO54">
        <f>IF(COUNTIFS(T_StockCount[Part Name],$A54,T_StockCount[WeekIndex],66)&gt;0,SUMIFS(T_StockCount[CountedQty],T_StockCount[Part Name],$A54,T_StockCount[WeekIndex],66),IF((('T_SelfStock'!BO58&lt;&gt;""))*(('T_TTAFStock'!BO58&lt;&gt;""))&gt;0,'T_SelfStock'!BO58+'T_TTAFStock'!BO58,BN54+'Grid_Incoming'!BO54-'Grid_Requirement'!BO54))</f>
        <v/>
      </c>
      <c r="BP54">
        <f>IF(COUNTIFS(T_StockCount[Part Name],$A54,T_StockCount[WeekIndex],67)&gt;0,SUMIFS(T_StockCount[CountedQty],T_StockCount[Part Name],$A54,T_StockCount[WeekIndex],67),IF((('T_SelfStock'!BP58&lt;&gt;""))*(('T_TTAFStock'!BP58&lt;&gt;""))&gt;0,'T_SelfStock'!BP58+'T_TTAFStock'!BP58,BO54+'Grid_Incoming'!BP54-'Grid_Requirement'!BP54))</f>
        <v/>
      </c>
      <c r="BQ54">
        <f>IF(COUNTIFS(T_StockCount[Part Name],$A54,T_StockCount[WeekIndex],68)&gt;0,SUMIFS(T_StockCount[CountedQty],T_StockCount[Part Name],$A54,T_StockCount[WeekIndex],68),IF((('T_SelfStock'!BQ58&lt;&gt;""))*(('T_TTAFStock'!BQ58&lt;&gt;""))&gt;0,'T_SelfStock'!BQ58+'T_TTAFStock'!BQ58,BP54+'Grid_Incoming'!BQ54-'Grid_Requirement'!BQ54))</f>
        <v/>
      </c>
      <c r="BR54">
        <f>IF(COUNTIFS(T_StockCount[Part Name],$A54,T_StockCount[WeekIndex],69)&gt;0,SUMIFS(T_StockCount[CountedQty],T_StockCount[Part Name],$A54,T_StockCount[WeekIndex],69),IF((('T_SelfStock'!BR58&lt;&gt;""))*(('T_TTAFStock'!BR58&lt;&gt;""))&gt;0,'T_SelfStock'!BR58+'T_TTAFStock'!BR58,BQ54+'Grid_Incoming'!BR54-'Grid_Requirement'!BR54))</f>
        <v/>
      </c>
      <c r="BS54">
        <f>IF(COUNTIFS(T_StockCount[Part Name],$A54,T_StockCount[WeekIndex],70)&gt;0,SUMIFS(T_StockCount[CountedQty],T_StockCount[Part Name],$A54,T_StockCount[WeekIndex],70),IF((('T_SelfStock'!BS58&lt;&gt;""))*(('T_TTAFStock'!BS58&lt;&gt;""))&gt;0,'T_SelfStock'!BS58+'T_TTAFStock'!BS58,BR54+'Grid_Incoming'!BS54-'Grid_Requirement'!BS54))</f>
        <v/>
      </c>
      <c r="BT54">
        <f>IF(COUNTIFS(T_StockCount[Part Name],$A54,T_StockCount[WeekIndex],71)&gt;0,SUMIFS(T_StockCount[CountedQty],T_StockCount[Part Name],$A54,T_StockCount[WeekIndex],71),IF((('T_SelfStock'!BT58&lt;&gt;""))*(('T_TTAFStock'!BT58&lt;&gt;""))&gt;0,'T_SelfStock'!BT58+'T_TTAFStock'!BT58,BS54+'Grid_Incoming'!BT54-'Grid_Requirement'!BT54))</f>
        <v/>
      </c>
      <c r="BU54">
        <f>IF(COUNTIFS(T_StockCount[Part Name],$A54,T_StockCount[WeekIndex],72)&gt;0,SUMIFS(T_StockCount[CountedQty],T_StockCount[Part Name],$A54,T_StockCount[WeekIndex],72),IF((('T_SelfStock'!BU58&lt;&gt;""))*(('T_TTAFStock'!BU58&lt;&gt;""))&gt;0,'T_SelfStock'!BU58+'T_TTAFStock'!BU58,BT54+'Grid_Incoming'!BU54-'Grid_Requirement'!BU54))</f>
        <v/>
      </c>
      <c r="BV54">
        <f>IF(COUNTIFS(T_StockCount[Part Name],$A54,T_StockCount[WeekIndex],73)&gt;0,SUMIFS(T_StockCount[CountedQty],T_StockCount[Part Name],$A54,T_StockCount[WeekIndex],73),IF((('T_SelfStock'!BV58&lt;&gt;""))*(('T_TTAFStock'!BV58&lt;&gt;""))&gt;0,'T_SelfStock'!BV58+'T_TTAFStock'!BV58,BU54+'Grid_Incoming'!BV54-'Grid_Requirement'!BV54))</f>
        <v/>
      </c>
      <c r="BW54">
        <f>IF(COUNTIFS(T_StockCount[Part Name],$A54,T_StockCount[WeekIndex],74)&gt;0,SUMIFS(T_StockCount[CountedQty],T_StockCount[Part Name],$A54,T_StockCount[WeekIndex],74),IF((('T_SelfStock'!BW58&lt;&gt;""))*(('T_TTAFStock'!BW58&lt;&gt;""))&gt;0,'T_SelfStock'!BW58+'T_TTAFStock'!BW58,BV54+'Grid_Incoming'!BW54-'Grid_Requirement'!BW54))</f>
        <v/>
      </c>
      <c r="BX54">
        <f>IF(COUNTIFS(T_StockCount[Part Name],$A54,T_StockCount[WeekIndex],75)&gt;0,SUMIFS(T_StockCount[CountedQty],T_StockCount[Part Name],$A54,T_StockCount[WeekIndex],75),IF((('T_SelfStock'!BX58&lt;&gt;""))*(('T_TTAFStock'!BX58&lt;&gt;""))&gt;0,'T_SelfStock'!BX58+'T_TTAFStock'!BX58,BW54+'Grid_Incoming'!BX54-'Grid_Requirement'!BX54))</f>
        <v/>
      </c>
      <c r="BY54">
        <f>IF(COUNTIFS(T_StockCount[Part Name],$A54,T_StockCount[WeekIndex],76)&gt;0,SUMIFS(T_StockCount[CountedQty],T_StockCount[Part Name],$A54,T_StockCount[WeekIndex],76),IF((('T_SelfStock'!BY58&lt;&gt;""))*(('T_TTAFStock'!BY58&lt;&gt;""))&gt;0,'T_SelfStock'!BY58+'T_TTAFStock'!BY58,BX54+'Grid_Incoming'!BY54-'Grid_Requirement'!BY54))</f>
        <v/>
      </c>
      <c r="BZ54">
        <f>IF(COUNTIFS(T_StockCount[Part Name],$A54,T_StockCount[WeekIndex],77)&gt;0,SUMIFS(T_StockCount[CountedQty],T_StockCount[Part Name],$A54,T_StockCount[WeekIndex],77),IF((('T_SelfStock'!BZ58&lt;&gt;""))*(('T_TTAFStock'!BZ58&lt;&gt;""))&gt;0,'T_SelfStock'!BZ58+'T_TTAFStock'!BZ58,BY54+'Grid_Incoming'!BZ54-'Grid_Requirement'!BZ54))</f>
        <v/>
      </c>
      <c r="CA54">
        <f>IF(COUNTIFS(T_StockCount[Part Name],$A54,T_StockCount[WeekIndex],78)&gt;0,SUMIFS(T_StockCount[CountedQty],T_StockCount[Part Name],$A54,T_StockCount[WeekIndex],78),IF((('T_SelfStock'!CA58&lt;&gt;""))*(('T_TTAFStock'!CA58&lt;&gt;""))&gt;0,'T_SelfStock'!CA58+'T_TTAFStock'!CA58,BZ54+'Grid_Incoming'!CA54-'Grid_Requirement'!CA54))</f>
        <v/>
      </c>
      <c r="CB54">
        <f>IF(COUNTIFS(T_StockCount[Part Name],$A54,T_StockCount[WeekIndex],79)&gt;0,SUMIFS(T_StockCount[CountedQty],T_StockCount[Part Name],$A54,T_StockCount[WeekIndex],79),IF((('T_SelfStock'!CB58&lt;&gt;""))*(('T_TTAFStock'!CB58&lt;&gt;""))&gt;0,'T_SelfStock'!CB58+'T_TTAFStock'!CB58,CA54+'Grid_Incoming'!CB54-'Grid_Requirement'!CB54))</f>
        <v/>
      </c>
      <c r="CC54">
        <f>IF(COUNTIFS(T_StockCount[Part Name],$A54,T_StockCount[WeekIndex],80)&gt;0,SUMIFS(T_StockCount[CountedQty],T_StockCount[Part Name],$A54,T_StockCount[WeekIndex],80),IF((('T_SelfStock'!CC58&lt;&gt;""))*(('T_TTAFStock'!CC58&lt;&gt;""))&gt;0,'T_SelfStock'!CC58+'T_TTAFStock'!CC58,CB54+'Grid_Incoming'!CC54-'Grid_Requirement'!CC54))</f>
        <v/>
      </c>
      <c r="CD54">
        <f>IF(COUNTIFS(T_StockCount[Part Name],$A54,T_StockCount[WeekIndex],81)&gt;0,SUMIFS(T_StockCount[CountedQty],T_StockCount[Part Name],$A54,T_StockCount[WeekIndex],81),IF((('T_SelfStock'!CD58&lt;&gt;""))*(('T_TTAFStock'!CD58&lt;&gt;""))&gt;0,'T_SelfStock'!CD58+'T_TTAFStock'!CD58,CC54+'Grid_Incoming'!CD54-'Grid_Requirement'!CD54))</f>
        <v/>
      </c>
      <c r="CE54">
        <f>IF(COUNTIFS(T_StockCount[Part Name],$A54,T_StockCount[WeekIndex],82)&gt;0,SUMIFS(T_StockCount[CountedQty],T_StockCount[Part Name],$A54,T_StockCount[WeekIndex],82),IF((('T_SelfStock'!CE58&lt;&gt;""))*(('T_TTAFStock'!CE58&lt;&gt;""))&gt;0,'T_SelfStock'!CE58+'T_TTAFStock'!CE58,CD54+'Grid_Incoming'!CE54-'Grid_Requirement'!CE54))</f>
        <v/>
      </c>
      <c r="CF54">
        <f>IF(COUNTIFS(T_StockCount[Part Name],$A54,T_StockCount[WeekIndex],83)&gt;0,SUMIFS(T_StockCount[CountedQty],T_StockCount[Part Name],$A54,T_StockCount[WeekIndex],83),IF((('T_SelfStock'!CF58&lt;&gt;""))*(('T_TTAFStock'!CF58&lt;&gt;""))&gt;0,'T_SelfStock'!CF58+'T_TTAFStock'!CF58,CE54+'Grid_Incoming'!CF54-'Grid_Requirement'!CF54))</f>
        <v/>
      </c>
      <c r="CG54">
        <f>IF(COUNTIFS(T_StockCount[Part Name],$A54,T_StockCount[WeekIndex],84)&gt;0,SUMIFS(T_StockCount[CountedQty],T_StockCount[Part Name],$A54,T_StockCount[WeekIndex],84),IF((('T_SelfStock'!CG58&lt;&gt;""))*(('T_TTAFStock'!CG58&lt;&gt;""))&gt;0,'T_SelfStock'!CG58+'T_TTAFStock'!CG58,CF54+'Grid_Incoming'!CG54-'Grid_Requirement'!CG54))</f>
        <v/>
      </c>
      <c r="CH54">
        <f>IF(COUNTIFS(T_StockCount[Part Name],$A54,T_StockCount[WeekIndex],85)&gt;0,SUMIFS(T_StockCount[CountedQty],T_StockCount[Part Name],$A54,T_StockCount[WeekIndex],85),IF((('T_SelfStock'!CH58&lt;&gt;""))*(('T_TTAFStock'!CH58&lt;&gt;""))&gt;0,'T_SelfStock'!CH58+'T_TTAFStock'!CH58,CG54+'Grid_Incoming'!CH54-'Grid_Requirement'!CH54))</f>
        <v/>
      </c>
      <c r="CI54">
        <f>IF(COUNTIFS(T_StockCount[Part Name],$A54,T_StockCount[WeekIndex],86)&gt;0,SUMIFS(T_StockCount[CountedQty],T_StockCount[Part Name],$A54,T_StockCount[WeekIndex],86),IF((('T_SelfStock'!CI58&lt;&gt;""))*(('T_TTAFStock'!CI58&lt;&gt;""))&gt;0,'T_SelfStock'!CI58+'T_TTAFStock'!CI58,CH54+'Grid_Incoming'!CI54-'Grid_Requirement'!CI54))</f>
        <v/>
      </c>
      <c r="CJ54">
        <f>IF(COUNTIFS(T_StockCount[Part Name],$A54,T_StockCount[WeekIndex],87)&gt;0,SUMIFS(T_StockCount[CountedQty],T_StockCount[Part Name],$A54,T_StockCount[WeekIndex],87),IF((('T_SelfStock'!CJ58&lt;&gt;""))*(('T_TTAFStock'!CJ58&lt;&gt;""))&gt;0,'T_SelfStock'!CJ58+'T_TTAFStock'!CJ58,CI54+'Grid_Incoming'!CJ54-'Grid_Requirement'!CJ54))</f>
        <v/>
      </c>
      <c r="CK54">
        <f>IF(COUNTIFS(T_StockCount[Part Name],$A54,T_StockCount[WeekIndex],88)&gt;0,SUMIFS(T_StockCount[CountedQty],T_StockCount[Part Name],$A54,T_StockCount[WeekIndex],88),IF((('T_SelfStock'!CK58&lt;&gt;""))*(('T_TTAFStock'!CK58&lt;&gt;""))&gt;0,'T_SelfStock'!CK58+'T_TTAFStock'!CK58,CJ54+'Grid_Incoming'!CK54-'Grid_Requirement'!CK54))</f>
        <v/>
      </c>
      <c r="CL54">
        <f>IF(COUNTIFS(T_StockCount[Part Name],$A54,T_StockCount[WeekIndex],89)&gt;0,SUMIFS(T_StockCount[CountedQty],T_StockCount[Part Name],$A54,T_StockCount[WeekIndex],89),IF((('T_SelfStock'!CL58&lt;&gt;""))*(('T_TTAFStock'!CL58&lt;&gt;""))&gt;0,'T_SelfStock'!CL58+'T_TTAFStock'!CL58,CK54+'Grid_Incoming'!CL54-'Grid_Requirement'!CL54))</f>
        <v/>
      </c>
      <c r="CM54">
        <f>IF(COUNTIFS(T_StockCount[Part Name],$A54,T_StockCount[WeekIndex],90)&gt;0,SUMIFS(T_StockCount[CountedQty],T_StockCount[Part Name],$A54,T_StockCount[WeekIndex],90),IF((('T_SelfStock'!CM58&lt;&gt;""))*(('T_TTAFStock'!CM58&lt;&gt;""))&gt;0,'T_SelfStock'!CM58+'T_TTAFStock'!CM58,CL54+'Grid_Incoming'!CM54-'Grid_Requirement'!CM54))</f>
        <v/>
      </c>
      <c r="CN54">
        <f>IF(COUNTIFS(T_StockCount[Part Name],$A54,T_StockCount[WeekIndex],91)&gt;0,SUMIFS(T_StockCount[CountedQty],T_StockCount[Part Name],$A54,T_StockCount[WeekIndex],91),IF((('T_SelfStock'!CN58&lt;&gt;""))*(('T_TTAFStock'!CN58&lt;&gt;""))&gt;0,'T_SelfStock'!CN58+'T_TTAFStock'!CN58,CM54+'Grid_Incoming'!CN54-'Grid_Requirement'!CN54))</f>
        <v/>
      </c>
      <c r="CO54">
        <f>IF(COUNTIFS(T_StockCount[Part Name],$A54,T_StockCount[WeekIndex],92)&gt;0,SUMIFS(T_StockCount[CountedQty],T_StockCount[Part Name],$A54,T_StockCount[WeekIndex],92),IF((('T_SelfStock'!CO58&lt;&gt;""))*(('T_TTAFStock'!CO58&lt;&gt;""))&gt;0,'T_SelfStock'!CO58+'T_TTAFStock'!CO58,CN54+'Grid_Incoming'!CO54-'Grid_Requirement'!CO54))</f>
        <v/>
      </c>
      <c r="CP54">
        <f>IF(COUNTIFS(T_StockCount[Part Name],$A54,T_StockCount[WeekIndex],93)&gt;0,SUMIFS(T_StockCount[CountedQty],T_StockCount[Part Name],$A54,T_StockCount[WeekIndex],93),IF((('T_SelfStock'!CP58&lt;&gt;""))*(('T_TTAFStock'!CP58&lt;&gt;""))&gt;0,'T_SelfStock'!CP58+'T_TTAFStock'!CP58,CO54+'Grid_Incoming'!CP54-'Grid_Requirement'!CP54))</f>
        <v/>
      </c>
      <c r="CQ54">
        <f>IF(COUNTIFS(T_StockCount[Part Name],$A54,T_StockCount[WeekIndex],94)&gt;0,SUMIFS(T_StockCount[CountedQty],T_StockCount[Part Name],$A54,T_StockCount[WeekIndex],94),IF((('T_SelfStock'!CQ58&lt;&gt;""))*(('T_TTAFStock'!CQ58&lt;&gt;""))&gt;0,'T_SelfStock'!CQ58+'T_TTAFStock'!CQ58,CP54+'Grid_Incoming'!CQ54-'Grid_Requirement'!CQ54))</f>
        <v/>
      </c>
      <c r="CR54">
        <f>IF(COUNTIFS(T_StockCount[Part Name],$A54,T_StockCount[WeekIndex],95)&gt;0,SUMIFS(T_StockCount[CountedQty],T_StockCount[Part Name],$A54,T_StockCount[WeekIndex],95),IF((('T_SelfStock'!CR58&lt;&gt;""))*(('T_TTAFStock'!CR58&lt;&gt;""))&gt;0,'T_SelfStock'!CR58+'T_TTAFStock'!CR58,CQ54+'Grid_Incoming'!CR54-'Grid_Requirement'!CR54))</f>
        <v/>
      </c>
      <c r="CS54">
        <f>IF(COUNTIFS(T_StockCount[Part Name],$A54,T_StockCount[WeekIndex],96)&gt;0,SUMIFS(T_StockCount[CountedQty],T_StockCount[Part Name],$A54,T_StockCount[WeekIndex],96),IF((('T_SelfStock'!CS58&lt;&gt;""))*(('T_TTAFStock'!CS58&lt;&gt;""))&gt;0,'T_SelfStock'!CS58+'T_TTAFStock'!CS58,CR54+'Grid_Incoming'!CS54-'Grid_Requirement'!CS54))</f>
        <v/>
      </c>
      <c r="CT54">
        <f>IF(COUNTIFS(T_StockCount[Part Name],$A54,T_StockCount[WeekIndex],97)&gt;0,SUMIFS(T_StockCount[CountedQty],T_StockCount[Part Name],$A54,T_StockCount[WeekIndex],97),IF((('T_SelfStock'!CT58&lt;&gt;""))*(('T_TTAFStock'!CT58&lt;&gt;""))&gt;0,'T_SelfStock'!CT58+'T_TTAFStock'!CT58,CS54+'Grid_Incoming'!CT54-'Grid_Requirement'!CT54))</f>
        <v/>
      </c>
      <c r="CU54">
        <f>IF(COUNTIFS(T_StockCount[Part Name],$A54,T_StockCount[WeekIndex],98)&gt;0,SUMIFS(T_StockCount[CountedQty],T_StockCount[Part Name],$A54,T_StockCount[WeekIndex],98),IF((('T_SelfStock'!CU58&lt;&gt;""))*(('T_TTAFStock'!CU58&lt;&gt;""))&gt;0,'T_SelfStock'!CU58+'T_TTAFStock'!CU58,CT54+'Grid_Incoming'!CU54-'Grid_Requirement'!CU54))</f>
        <v/>
      </c>
      <c r="CV54">
        <f>IF(COUNTIFS(T_StockCount[Part Name],$A54,T_StockCount[WeekIndex],99)&gt;0,SUMIFS(T_StockCount[CountedQty],T_StockCount[Part Name],$A54,T_StockCount[WeekIndex],99),IF((('T_SelfStock'!CV58&lt;&gt;""))*(('T_TTAFStock'!CV58&lt;&gt;""))&gt;0,'T_SelfStock'!CV58+'T_TTAFStock'!CV58,CU54+'Grid_Incoming'!CV54-'Grid_Requirement'!CV54))</f>
        <v/>
      </c>
      <c r="CW54">
        <f>IF(COUNTIFS(T_StockCount[Part Name],$A54,T_StockCount[WeekIndex],100)&gt;0,SUMIFS(T_StockCount[CountedQty],T_StockCount[Part Name],$A54,T_StockCount[WeekIndex],100),IF((('T_SelfStock'!CW58&lt;&gt;""))*(('T_TTAFStock'!CW58&lt;&gt;""))&gt;0,'T_SelfStock'!CW58+'T_TTAFStock'!CW58,CV54+'Grid_Incoming'!CW54-'Grid_Requirement'!CW54))</f>
        <v/>
      </c>
      <c r="CX54">
        <f>IF(COUNTIFS(T_StockCount[Part Name],$A54,T_StockCount[WeekIndex],101)&gt;0,SUMIFS(T_StockCount[CountedQty],T_StockCount[Part Name],$A54,T_StockCount[WeekIndex],101),IF((('T_SelfStock'!CX58&lt;&gt;""))*(('T_TTAFStock'!CX58&lt;&gt;""))&gt;0,'T_SelfStock'!CX58+'T_TTAFStock'!CX58,CW54+'Grid_Incoming'!CX54-'Grid_Requirement'!CX54))</f>
        <v/>
      </c>
      <c r="CY54">
        <f>IF(COUNTIFS(T_StockCount[Part Name],$A54,T_StockCount[WeekIndex],102)&gt;0,SUMIFS(T_StockCount[CountedQty],T_StockCount[Part Name],$A54,T_StockCount[WeekIndex],102),IF((('T_SelfStock'!CY58&lt;&gt;""))*(('T_TTAFStock'!CY58&lt;&gt;""))&gt;0,'T_SelfStock'!CY58+'T_TTAFStock'!CY58,CX54+'Grid_Incoming'!CY54-'Grid_Requirement'!CY54))</f>
        <v/>
      </c>
      <c r="CZ54">
        <f>IF(COUNTIFS(T_StockCount[Part Name],$A54,T_StockCount[WeekIndex],103)&gt;0,SUMIFS(T_StockCount[CountedQty],T_StockCount[Part Name],$A54,T_StockCount[WeekIndex],103),IF((('T_SelfStock'!CZ58&lt;&gt;""))*(('T_TTAFStock'!CZ58&lt;&gt;""))&gt;0,'T_SelfStock'!CZ58+'T_TTAFStock'!CZ58,CY54+'Grid_Incoming'!CZ54-'Grid_Requirement'!CZ54))</f>
        <v/>
      </c>
      <c r="DA54">
        <f>IF(COUNTIFS(T_StockCount[Part Name],$A54,T_StockCount[WeekIndex],104)&gt;0,SUMIFS(T_StockCount[CountedQty],T_StockCount[Part Name],$A54,T_StockCount[WeekIndex],104),IF((('T_SelfStock'!DA58&lt;&gt;""))*(('T_TTAFStock'!DA58&lt;&gt;""))&gt;0,'T_SelfStock'!DA58+'T_TTAFStock'!DA58,CZ54+'Grid_Incoming'!DA54-'Grid_Requirement'!DA54))</f>
        <v/>
      </c>
    </row>
    <row r="55">
      <c r="A55" t="inlineStr">
        <is>
          <t>CHEM-1560</t>
        </is>
      </c>
      <c r="B55">
        <f>IF(COUNTIFS(T_StockCount[Part Name],$A55,T_StockCount[WeekIndex],1)&gt;0,SUMIFS(T_StockCount[CountedQty],T_StockCount[Part Name],$A55,T_StockCount[WeekIndex],1),IF((('T_SelfStock'!B59&lt;&gt;""))*(('T_TTAFStock'!B59&lt;&gt;""))&gt;0,'T_SelfStock'!B59+'T_TTAFStock'!B59,IFERROR(INDEX(T_OpeningStock[Opening_Qty],MATCH($A55,T_OpeningStock[Part Name],0)),0)+'Grid_Incoming'!B55-'Grid_Requirement'!B55))</f>
        <v/>
      </c>
      <c r="C55">
        <f>IF(COUNTIFS(T_StockCount[Part Name],$A55,T_StockCount[WeekIndex],2)&gt;0,SUMIFS(T_StockCount[CountedQty],T_StockCount[Part Name],$A55,T_StockCount[WeekIndex],2),IF((('T_SelfStock'!C59&lt;&gt;""))*(('T_TTAFStock'!C59&lt;&gt;""))&gt;0,'T_SelfStock'!C59+'T_TTAFStock'!C59,B55+'Grid_Incoming'!C55-'Grid_Requirement'!C55))</f>
        <v/>
      </c>
      <c r="D55">
        <f>IF(COUNTIFS(T_StockCount[Part Name],$A55,T_StockCount[WeekIndex],3)&gt;0,SUMIFS(T_StockCount[CountedQty],T_StockCount[Part Name],$A55,T_StockCount[WeekIndex],3),IF((('T_SelfStock'!D59&lt;&gt;""))*(('T_TTAFStock'!D59&lt;&gt;""))&gt;0,'T_SelfStock'!D59+'T_TTAFStock'!D59,C55+'Grid_Incoming'!D55-'Grid_Requirement'!D55))</f>
        <v/>
      </c>
      <c r="E55">
        <f>IF(COUNTIFS(T_StockCount[Part Name],$A55,T_StockCount[WeekIndex],4)&gt;0,SUMIFS(T_StockCount[CountedQty],T_StockCount[Part Name],$A55,T_StockCount[WeekIndex],4),IF((('T_SelfStock'!E59&lt;&gt;""))*(('T_TTAFStock'!E59&lt;&gt;""))&gt;0,'T_SelfStock'!E59+'T_TTAFStock'!E59,D55+'Grid_Incoming'!E55-'Grid_Requirement'!E55))</f>
        <v/>
      </c>
      <c r="F55">
        <f>IF(COUNTIFS(T_StockCount[Part Name],$A55,T_StockCount[WeekIndex],5)&gt;0,SUMIFS(T_StockCount[CountedQty],T_StockCount[Part Name],$A55,T_StockCount[WeekIndex],5),IF((('T_SelfStock'!F59&lt;&gt;""))*(('T_TTAFStock'!F59&lt;&gt;""))&gt;0,'T_SelfStock'!F59+'T_TTAFStock'!F59,E55+'Grid_Incoming'!F55-'Grid_Requirement'!F55))</f>
        <v/>
      </c>
      <c r="G55">
        <f>IF(COUNTIFS(T_StockCount[Part Name],$A55,T_StockCount[WeekIndex],6)&gt;0,SUMIFS(T_StockCount[CountedQty],T_StockCount[Part Name],$A55,T_StockCount[WeekIndex],6),IF((('T_SelfStock'!G59&lt;&gt;""))*(('T_TTAFStock'!G59&lt;&gt;""))&gt;0,'T_SelfStock'!G59+'T_TTAFStock'!G59,F55+'Grid_Incoming'!G55-'Grid_Requirement'!G55))</f>
        <v/>
      </c>
      <c r="H55">
        <f>IF(COUNTIFS(T_StockCount[Part Name],$A55,T_StockCount[WeekIndex],7)&gt;0,SUMIFS(T_StockCount[CountedQty],T_StockCount[Part Name],$A55,T_StockCount[WeekIndex],7),IF((('T_SelfStock'!H59&lt;&gt;""))*(('T_TTAFStock'!H59&lt;&gt;""))&gt;0,'T_SelfStock'!H59+'T_TTAFStock'!H59,G55+'Grid_Incoming'!H55-'Grid_Requirement'!H55))</f>
        <v/>
      </c>
      <c r="I55">
        <f>IF(COUNTIFS(T_StockCount[Part Name],$A55,T_StockCount[WeekIndex],8)&gt;0,SUMIFS(T_StockCount[CountedQty],T_StockCount[Part Name],$A55,T_StockCount[WeekIndex],8),IF((('T_SelfStock'!I59&lt;&gt;""))*(('T_TTAFStock'!I59&lt;&gt;""))&gt;0,'T_SelfStock'!I59+'T_TTAFStock'!I59,H55+'Grid_Incoming'!I55-'Grid_Requirement'!I55))</f>
        <v/>
      </c>
      <c r="J55">
        <f>IF(COUNTIFS(T_StockCount[Part Name],$A55,T_StockCount[WeekIndex],9)&gt;0,SUMIFS(T_StockCount[CountedQty],T_StockCount[Part Name],$A55,T_StockCount[WeekIndex],9),IF((('T_SelfStock'!J59&lt;&gt;""))*(('T_TTAFStock'!J59&lt;&gt;""))&gt;0,'T_SelfStock'!J59+'T_TTAFStock'!J59,I55+'Grid_Incoming'!J55-'Grid_Requirement'!J55))</f>
        <v/>
      </c>
      <c r="K55">
        <f>IF(COUNTIFS(T_StockCount[Part Name],$A55,T_StockCount[WeekIndex],10)&gt;0,SUMIFS(T_StockCount[CountedQty],T_StockCount[Part Name],$A55,T_StockCount[WeekIndex],10),IF((('T_SelfStock'!K59&lt;&gt;""))*(('T_TTAFStock'!K59&lt;&gt;""))&gt;0,'T_SelfStock'!K59+'T_TTAFStock'!K59,J55+'Grid_Incoming'!K55-'Grid_Requirement'!K55))</f>
        <v/>
      </c>
      <c r="L55">
        <f>IF(COUNTIFS(T_StockCount[Part Name],$A55,T_StockCount[WeekIndex],11)&gt;0,SUMIFS(T_StockCount[CountedQty],T_StockCount[Part Name],$A55,T_StockCount[WeekIndex],11),IF((('T_SelfStock'!L59&lt;&gt;""))*(('T_TTAFStock'!L59&lt;&gt;""))&gt;0,'T_SelfStock'!L59+'T_TTAFStock'!L59,K55+'Grid_Incoming'!L55-'Grid_Requirement'!L55))</f>
        <v/>
      </c>
      <c r="M55">
        <f>IF(COUNTIFS(T_StockCount[Part Name],$A55,T_StockCount[WeekIndex],12)&gt;0,SUMIFS(T_StockCount[CountedQty],T_StockCount[Part Name],$A55,T_StockCount[WeekIndex],12),IF((('T_SelfStock'!M59&lt;&gt;""))*(('T_TTAFStock'!M59&lt;&gt;""))&gt;0,'T_SelfStock'!M59+'T_TTAFStock'!M59,L55+'Grid_Incoming'!M55-'Grid_Requirement'!M55))</f>
        <v/>
      </c>
      <c r="N55">
        <f>IF(COUNTIFS(T_StockCount[Part Name],$A55,T_StockCount[WeekIndex],13)&gt;0,SUMIFS(T_StockCount[CountedQty],T_StockCount[Part Name],$A55,T_StockCount[WeekIndex],13),IF((('T_SelfStock'!N59&lt;&gt;""))*(('T_TTAFStock'!N59&lt;&gt;""))&gt;0,'T_SelfStock'!N59+'T_TTAFStock'!N59,M55+'Grid_Incoming'!N55-'Grid_Requirement'!N55))</f>
        <v/>
      </c>
      <c r="O55">
        <f>IF(COUNTIFS(T_StockCount[Part Name],$A55,T_StockCount[WeekIndex],14)&gt;0,SUMIFS(T_StockCount[CountedQty],T_StockCount[Part Name],$A55,T_StockCount[WeekIndex],14),IF((('T_SelfStock'!O59&lt;&gt;""))*(('T_TTAFStock'!O59&lt;&gt;""))&gt;0,'T_SelfStock'!O59+'T_TTAFStock'!O59,N55+'Grid_Incoming'!O55-'Grid_Requirement'!O55))</f>
        <v/>
      </c>
      <c r="P55">
        <f>IF(COUNTIFS(T_StockCount[Part Name],$A55,T_StockCount[WeekIndex],15)&gt;0,SUMIFS(T_StockCount[CountedQty],T_StockCount[Part Name],$A55,T_StockCount[WeekIndex],15),IF((('T_SelfStock'!P59&lt;&gt;""))*(('T_TTAFStock'!P59&lt;&gt;""))&gt;0,'T_SelfStock'!P59+'T_TTAFStock'!P59,O55+'Grid_Incoming'!P55-'Grid_Requirement'!P55))</f>
        <v/>
      </c>
      <c r="Q55">
        <f>IF(COUNTIFS(T_StockCount[Part Name],$A55,T_StockCount[WeekIndex],16)&gt;0,SUMIFS(T_StockCount[CountedQty],T_StockCount[Part Name],$A55,T_StockCount[WeekIndex],16),IF((('T_SelfStock'!Q59&lt;&gt;""))*(('T_TTAFStock'!Q59&lt;&gt;""))&gt;0,'T_SelfStock'!Q59+'T_TTAFStock'!Q59,P55+'Grid_Incoming'!Q55-'Grid_Requirement'!Q55))</f>
        <v/>
      </c>
      <c r="R55">
        <f>IF(COUNTIFS(T_StockCount[Part Name],$A55,T_StockCount[WeekIndex],17)&gt;0,SUMIFS(T_StockCount[CountedQty],T_StockCount[Part Name],$A55,T_StockCount[WeekIndex],17),IF((('T_SelfStock'!R59&lt;&gt;""))*(('T_TTAFStock'!R59&lt;&gt;""))&gt;0,'T_SelfStock'!R59+'T_TTAFStock'!R59,Q55+'Grid_Incoming'!R55-'Grid_Requirement'!R55))</f>
        <v/>
      </c>
      <c r="S55">
        <f>IF(COUNTIFS(T_StockCount[Part Name],$A55,T_StockCount[WeekIndex],18)&gt;0,SUMIFS(T_StockCount[CountedQty],T_StockCount[Part Name],$A55,T_StockCount[WeekIndex],18),IF((('T_SelfStock'!S59&lt;&gt;""))*(('T_TTAFStock'!S59&lt;&gt;""))&gt;0,'T_SelfStock'!S59+'T_TTAFStock'!S59,R55+'Grid_Incoming'!S55-'Grid_Requirement'!S55))</f>
        <v/>
      </c>
      <c r="T55">
        <f>IF(COUNTIFS(T_StockCount[Part Name],$A55,T_StockCount[WeekIndex],19)&gt;0,SUMIFS(T_StockCount[CountedQty],T_StockCount[Part Name],$A55,T_StockCount[WeekIndex],19),IF((('T_SelfStock'!T59&lt;&gt;""))*(('T_TTAFStock'!T59&lt;&gt;""))&gt;0,'T_SelfStock'!T59+'T_TTAFStock'!T59,S55+'Grid_Incoming'!T55-'Grid_Requirement'!T55))</f>
        <v/>
      </c>
      <c r="U55">
        <f>IF(COUNTIFS(T_StockCount[Part Name],$A55,T_StockCount[WeekIndex],20)&gt;0,SUMIFS(T_StockCount[CountedQty],T_StockCount[Part Name],$A55,T_StockCount[WeekIndex],20),IF((('T_SelfStock'!U59&lt;&gt;""))*(('T_TTAFStock'!U59&lt;&gt;""))&gt;0,'T_SelfStock'!U59+'T_TTAFStock'!U59,T55+'Grid_Incoming'!U55-'Grid_Requirement'!U55))</f>
        <v/>
      </c>
      <c r="V55">
        <f>IF(COUNTIFS(T_StockCount[Part Name],$A55,T_StockCount[WeekIndex],21)&gt;0,SUMIFS(T_StockCount[CountedQty],T_StockCount[Part Name],$A55,T_StockCount[WeekIndex],21),IF((('T_SelfStock'!V59&lt;&gt;""))*(('T_TTAFStock'!V59&lt;&gt;""))&gt;0,'T_SelfStock'!V59+'T_TTAFStock'!V59,U55+'Grid_Incoming'!V55-'Grid_Requirement'!V55))</f>
        <v/>
      </c>
      <c r="W55">
        <f>IF(COUNTIFS(T_StockCount[Part Name],$A55,T_StockCount[WeekIndex],22)&gt;0,SUMIFS(T_StockCount[CountedQty],T_StockCount[Part Name],$A55,T_StockCount[WeekIndex],22),IF((('T_SelfStock'!W59&lt;&gt;""))*(('T_TTAFStock'!W59&lt;&gt;""))&gt;0,'T_SelfStock'!W59+'T_TTAFStock'!W59,V55+'Grid_Incoming'!W55-'Grid_Requirement'!W55))</f>
        <v/>
      </c>
      <c r="X55">
        <f>IF(COUNTIFS(T_StockCount[Part Name],$A55,T_StockCount[WeekIndex],23)&gt;0,SUMIFS(T_StockCount[CountedQty],T_StockCount[Part Name],$A55,T_StockCount[WeekIndex],23),IF((('T_SelfStock'!X59&lt;&gt;""))*(('T_TTAFStock'!X59&lt;&gt;""))&gt;0,'T_SelfStock'!X59+'T_TTAFStock'!X59,W55+'Grid_Incoming'!X55-'Grid_Requirement'!X55))</f>
        <v/>
      </c>
      <c r="Y55">
        <f>IF(COUNTIFS(T_StockCount[Part Name],$A55,T_StockCount[WeekIndex],24)&gt;0,SUMIFS(T_StockCount[CountedQty],T_StockCount[Part Name],$A55,T_StockCount[WeekIndex],24),IF((('T_SelfStock'!Y59&lt;&gt;""))*(('T_TTAFStock'!Y59&lt;&gt;""))&gt;0,'T_SelfStock'!Y59+'T_TTAFStock'!Y59,X55+'Grid_Incoming'!Y55-'Grid_Requirement'!Y55))</f>
        <v/>
      </c>
      <c r="Z55">
        <f>IF(COUNTIFS(T_StockCount[Part Name],$A55,T_StockCount[WeekIndex],25)&gt;0,SUMIFS(T_StockCount[CountedQty],T_StockCount[Part Name],$A55,T_StockCount[WeekIndex],25),IF((('T_SelfStock'!Z59&lt;&gt;""))*(('T_TTAFStock'!Z59&lt;&gt;""))&gt;0,'T_SelfStock'!Z59+'T_TTAFStock'!Z59,Y55+'Grid_Incoming'!Z55-'Grid_Requirement'!Z55))</f>
        <v/>
      </c>
      <c r="AA55">
        <f>IF(COUNTIFS(T_StockCount[Part Name],$A55,T_StockCount[WeekIndex],26)&gt;0,SUMIFS(T_StockCount[CountedQty],T_StockCount[Part Name],$A55,T_StockCount[WeekIndex],26),IF((('T_SelfStock'!AA59&lt;&gt;""))*(('T_TTAFStock'!AA59&lt;&gt;""))&gt;0,'T_SelfStock'!AA59+'T_TTAFStock'!AA59,Z55+'Grid_Incoming'!AA55-'Grid_Requirement'!AA55))</f>
        <v/>
      </c>
      <c r="AB55">
        <f>IF(COUNTIFS(T_StockCount[Part Name],$A55,T_StockCount[WeekIndex],27)&gt;0,SUMIFS(T_StockCount[CountedQty],T_StockCount[Part Name],$A55,T_StockCount[WeekIndex],27),IF((('T_SelfStock'!AB59&lt;&gt;""))*(('T_TTAFStock'!AB59&lt;&gt;""))&gt;0,'T_SelfStock'!AB59+'T_TTAFStock'!AB59,AA55+'Grid_Incoming'!AB55-'Grid_Requirement'!AB55))</f>
        <v/>
      </c>
      <c r="AC55">
        <f>IF(COUNTIFS(T_StockCount[Part Name],$A55,T_StockCount[WeekIndex],28)&gt;0,SUMIFS(T_StockCount[CountedQty],T_StockCount[Part Name],$A55,T_StockCount[WeekIndex],28),IF((('T_SelfStock'!AC59&lt;&gt;""))*(('T_TTAFStock'!AC59&lt;&gt;""))&gt;0,'T_SelfStock'!AC59+'T_TTAFStock'!AC59,AB55+'Grid_Incoming'!AC55-'Grid_Requirement'!AC55))</f>
        <v/>
      </c>
      <c r="AD55">
        <f>IF(COUNTIFS(T_StockCount[Part Name],$A55,T_StockCount[WeekIndex],29)&gt;0,SUMIFS(T_StockCount[CountedQty],T_StockCount[Part Name],$A55,T_StockCount[WeekIndex],29),IF((('T_SelfStock'!AD59&lt;&gt;""))*(('T_TTAFStock'!AD59&lt;&gt;""))&gt;0,'T_SelfStock'!AD59+'T_TTAFStock'!AD59,AC55+'Grid_Incoming'!AD55-'Grid_Requirement'!AD55))</f>
        <v/>
      </c>
      <c r="AE55">
        <f>IF(COUNTIFS(T_StockCount[Part Name],$A55,T_StockCount[WeekIndex],30)&gt;0,SUMIFS(T_StockCount[CountedQty],T_StockCount[Part Name],$A55,T_StockCount[WeekIndex],30),IF((('T_SelfStock'!AE59&lt;&gt;""))*(('T_TTAFStock'!AE59&lt;&gt;""))&gt;0,'T_SelfStock'!AE59+'T_TTAFStock'!AE59,AD55+'Grid_Incoming'!AE55-'Grid_Requirement'!AE55))</f>
        <v/>
      </c>
      <c r="AF55">
        <f>IF(COUNTIFS(T_StockCount[Part Name],$A55,T_StockCount[WeekIndex],31)&gt;0,SUMIFS(T_StockCount[CountedQty],T_StockCount[Part Name],$A55,T_StockCount[WeekIndex],31),IF((('T_SelfStock'!AF59&lt;&gt;""))*(('T_TTAFStock'!AF59&lt;&gt;""))&gt;0,'T_SelfStock'!AF59+'T_TTAFStock'!AF59,AE55+'Grid_Incoming'!AF55-'Grid_Requirement'!AF55))</f>
        <v/>
      </c>
      <c r="AG55">
        <f>IF(COUNTIFS(T_StockCount[Part Name],$A55,T_StockCount[WeekIndex],32)&gt;0,SUMIFS(T_StockCount[CountedQty],T_StockCount[Part Name],$A55,T_StockCount[WeekIndex],32),IF((('T_SelfStock'!AG59&lt;&gt;""))*(('T_TTAFStock'!AG59&lt;&gt;""))&gt;0,'T_SelfStock'!AG59+'T_TTAFStock'!AG59,AF55+'Grid_Incoming'!AG55-'Grid_Requirement'!AG55))</f>
        <v/>
      </c>
      <c r="AH55">
        <f>IF(COUNTIFS(T_StockCount[Part Name],$A55,T_StockCount[WeekIndex],33)&gt;0,SUMIFS(T_StockCount[CountedQty],T_StockCount[Part Name],$A55,T_StockCount[WeekIndex],33),IF((('T_SelfStock'!AH59&lt;&gt;""))*(('T_TTAFStock'!AH59&lt;&gt;""))&gt;0,'T_SelfStock'!AH59+'T_TTAFStock'!AH59,AG55+'Grid_Incoming'!AH55-'Grid_Requirement'!AH55))</f>
        <v/>
      </c>
      <c r="AI55">
        <f>IF(COUNTIFS(T_StockCount[Part Name],$A55,T_StockCount[WeekIndex],34)&gt;0,SUMIFS(T_StockCount[CountedQty],T_StockCount[Part Name],$A55,T_StockCount[WeekIndex],34),IF((('T_SelfStock'!AI59&lt;&gt;""))*(('T_TTAFStock'!AI59&lt;&gt;""))&gt;0,'T_SelfStock'!AI59+'T_TTAFStock'!AI59,AH55+'Grid_Incoming'!AI55-'Grid_Requirement'!AI55))</f>
        <v/>
      </c>
      <c r="AJ55">
        <f>IF(COUNTIFS(T_StockCount[Part Name],$A55,T_StockCount[WeekIndex],35)&gt;0,SUMIFS(T_StockCount[CountedQty],T_StockCount[Part Name],$A55,T_StockCount[WeekIndex],35),IF((('T_SelfStock'!AJ59&lt;&gt;""))*(('T_TTAFStock'!AJ59&lt;&gt;""))&gt;0,'T_SelfStock'!AJ59+'T_TTAFStock'!AJ59,AI55+'Grid_Incoming'!AJ55-'Grid_Requirement'!AJ55))</f>
        <v/>
      </c>
      <c r="AK55">
        <f>IF(COUNTIFS(T_StockCount[Part Name],$A55,T_StockCount[WeekIndex],36)&gt;0,SUMIFS(T_StockCount[CountedQty],T_StockCount[Part Name],$A55,T_StockCount[WeekIndex],36),IF((('T_SelfStock'!AK59&lt;&gt;""))*(('T_TTAFStock'!AK59&lt;&gt;""))&gt;0,'T_SelfStock'!AK59+'T_TTAFStock'!AK59,AJ55+'Grid_Incoming'!AK55-'Grid_Requirement'!AK55))</f>
        <v/>
      </c>
      <c r="AL55">
        <f>IF(COUNTIFS(T_StockCount[Part Name],$A55,T_StockCount[WeekIndex],37)&gt;0,SUMIFS(T_StockCount[CountedQty],T_StockCount[Part Name],$A55,T_StockCount[WeekIndex],37),IF((('T_SelfStock'!AL59&lt;&gt;""))*(('T_TTAFStock'!AL59&lt;&gt;""))&gt;0,'T_SelfStock'!AL59+'T_TTAFStock'!AL59,AK55+'Grid_Incoming'!AL55-'Grid_Requirement'!AL55))</f>
        <v/>
      </c>
      <c r="AM55">
        <f>IF(COUNTIFS(T_StockCount[Part Name],$A55,T_StockCount[WeekIndex],38)&gt;0,SUMIFS(T_StockCount[CountedQty],T_StockCount[Part Name],$A55,T_StockCount[WeekIndex],38),IF((('T_SelfStock'!AM59&lt;&gt;""))*(('T_TTAFStock'!AM59&lt;&gt;""))&gt;0,'T_SelfStock'!AM59+'T_TTAFStock'!AM59,AL55+'Grid_Incoming'!AM55-'Grid_Requirement'!AM55))</f>
        <v/>
      </c>
      <c r="AN55">
        <f>IF(COUNTIFS(T_StockCount[Part Name],$A55,T_StockCount[WeekIndex],39)&gt;0,SUMIFS(T_StockCount[CountedQty],T_StockCount[Part Name],$A55,T_StockCount[WeekIndex],39),IF((('T_SelfStock'!AN59&lt;&gt;""))*(('T_TTAFStock'!AN59&lt;&gt;""))&gt;0,'T_SelfStock'!AN59+'T_TTAFStock'!AN59,AM55+'Grid_Incoming'!AN55-'Grid_Requirement'!AN55))</f>
        <v/>
      </c>
      <c r="AO55">
        <f>IF(COUNTIFS(T_StockCount[Part Name],$A55,T_StockCount[WeekIndex],40)&gt;0,SUMIFS(T_StockCount[CountedQty],T_StockCount[Part Name],$A55,T_StockCount[WeekIndex],40),IF((('T_SelfStock'!AO59&lt;&gt;""))*(('T_TTAFStock'!AO59&lt;&gt;""))&gt;0,'T_SelfStock'!AO59+'T_TTAFStock'!AO59,AN55+'Grid_Incoming'!AO55-'Grid_Requirement'!AO55))</f>
        <v/>
      </c>
      <c r="AP55">
        <f>IF(COUNTIFS(T_StockCount[Part Name],$A55,T_StockCount[WeekIndex],41)&gt;0,SUMIFS(T_StockCount[CountedQty],T_StockCount[Part Name],$A55,T_StockCount[WeekIndex],41),IF((('T_SelfStock'!AP59&lt;&gt;""))*(('T_TTAFStock'!AP59&lt;&gt;""))&gt;0,'T_SelfStock'!AP59+'T_TTAFStock'!AP59,AO55+'Grid_Incoming'!AP55-'Grid_Requirement'!AP55))</f>
        <v/>
      </c>
      <c r="AQ55">
        <f>IF(COUNTIFS(T_StockCount[Part Name],$A55,T_StockCount[WeekIndex],42)&gt;0,SUMIFS(T_StockCount[CountedQty],T_StockCount[Part Name],$A55,T_StockCount[WeekIndex],42),IF((('T_SelfStock'!AQ59&lt;&gt;""))*(('T_TTAFStock'!AQ59&lt;&gt;""))&gt;0,'T_SelfStock'!AQ59+'T_TTAFStock'!AQ59,AP55+'Grid_Incoming'!AQ55-'Grid_Requirement'!AQ55))</f>
        <v/>
      </c>
      <c r="AR55">
        <f>IF(COUNTIFS(T_StockCount[Part Name],$A55,T_StockCount[WeekIndex],43)&gt;0,SUMIFS(T_StockCount[CountedQty],T_StockCount[Part Name],$A55,T_StockCount[WeekIndex],43),IF((('T_SelfStock'!AR59&lt;&gt;""))*(('T_TTAFStock'!AR59&lt;&gt;""))&gt;0,'T_SelfStock'!AR59+'T_TTAFStock'!AR59,AQ55+'Grid_Incoming'!AR55-'Grid_Requirement'!AR55))</f>
        <v/>
      </c>
      <c r="AS55">
        <f>IF(COUNTIFS(T_StockCount[Part Name],$A55,T_StockCount[WeekIndex],44)&gt;0,SUMIFS(T_StockCount[CountedQty],T_StockCount[Part Name],$A55,T_StockCount[WeekIndex],44),IF((('T_SelfStock'!AS59&lt;&gt;""))*(('T_TTAFStock'!AS59&lt;&gt;""))&gt;0,'T_SelfStock'!AS59+'T_TTAFStock'!AS59,AR55+'Grid_Incoming'!AS55-'Grid_Requirement'!AS55))</f>
        <v/>
      </c>
      <c r="AT55">
        <f>IF(COUNTIFS(T_StockCount[Part Name],$A55,T_StockCount[WeekIndex],45)&gt;0,SUMIFS(T_StockCount[CountedQty],T_StockCount[Part Name],$A55,T_StockCount[WeekIndex],45),IF((('T_SelfStock'!AT59&lt;&gt;""))*(('T_TTAFStock'!AT59&lt;&gt;""))&gt;0,'T_SelfStock'!AT59+'T_TTAFStock'!AT59,AS55+'Grid_Incoming'!AT55-'Grid_Requirement'!AT55))</f>
        <v/>
      </c>
      <c r="AU55">
        <f>IF(COUNTIFS(T_StockCount[Part Name],$A55,T_StockCount[WeekIndex],46)&gt;0,SUMIFS(T_StockCount[CountedQty],T_StockCount[Part Name],$A55,T_StockCount[WeekIndex],46),IF((('T_SelfStock'!AU59&lt;&gt;""))*(('T_TTAFStock'!AU59&lt;&gt;""))&gt;0,'T_SelfStock'!AU59+'T_TTAFStock'!AU59,AT55+'Grid_Incoming'!AU55-'Grid_Requirement'!AU55))</f>
        <v/>
      </c>
      <c r="AV55">
        <f>IF(COUNTIFS(T_StockCount[Part Name],$A55,T_StockCount[WeekIndex],47)&gt;0,SUMIFS(T_StockCount[CountedQty],T_StockCount[Part Name],$A55,T_StockCount[WeekIndex],47),IF((('T_SelfStock'!AV59&lt;&gt;""))*(('T_TTAFStock'!AV59&lt;&gt;""))&gt;0,'T_SelfStock'!AV59+'T_TTAFStock'!AV59,AU55+'Grid_Incoming'!AV55-'Grid_Requirement'!AV55))</f>
        <v/>
      </c>
      <c r="AW55">
        <f>IF(COUNTIFS(T_StockCount[Part Name],$A55,T_StockCount[WeekIndex],48)&gt;0,SUMIFS(T_StockCount[CountedQty],T_StockCount[Part Name],$A55,T_StockCount[WeekIndex],48),IF((('T_SelfStock'!AW59&lt;&gt;""))*(('T_TTAFStock'!AW59&lt;&gt;""))&gt;0,'T_SelfStock'!AW59+'T_TTAFStock'!AW59,AV55+'Grid_Incoming'!AW55-'Grid_Requirement'!AW55))</f>
        <v/>
      </c>
      <c r="AX55">
        <f>IF(COUNTIFS(T_StockCount[Part Name],$A55,T_StockCount[WeekIndex],49)&gt;0,SUMIFS(T_StockCount[CountedQty],T_StockCount[Part Name],$A55,T_StockCount[WeekIndex],49),IF((('T_SelfStock'!AX59&lt;&gt;""))*(('T_TTAFStock'!AX59&lt;&gt;""))&gt;0,'T_SelfStock'!AX59+'T_TTAFStock'!AX59,AW55+'Grid_Incoming'!AX55-'Grid_Requirement'!AX55))</f>
        <v/>
      </c>
      <c r="AY55">
        <f>IF(COUNTIFS(T_StockCount[Part Name],$A55,T_StockCount[WeekIndex],50)&gt;0,SUMIFS(T_StockCount[CountedQty],T_StockCount[Part Name],$A55,T_StockCount[WeekIndex],50),IF((('T_SelfStock'!AY59&lt;&gt;""))*(('T_TTAFStock'!AY59&lt;&gt;""))&gt;0,'T_SelfStock'!AY59+'T_TTAFStock'!AY59,AX55+'Grid_Incoming'!AY55-'Grid_Requirement'!AY55))</f>
        <v/>
      </c>
      <c r="AZ55">
        <f>IF(COUNTIFS(T_StockCount[Part Name],$A55,T_StockCount[WeekIndex],51)&gt;0,SUMIFS(T_StockCount[CountedQty],T_StockCount[Part Name],$A55,T_StockCount[WeekIndex],51),IF((('T_SelfStock'!AZ59&lt;&gt;""))*(('T_TTAFStock'!AZ59&lt;&gt;""))&gt;0,'T_SelfStock'!AZ59+'T_TTAFStock'!AZ59,AY55+'Grid_Incoming'!AZ55-'Grid_Requirement'!AZ55))</f>
        <v/>
      </c>
      <c r="BA55">
        <f>IF(COUNTIFS(T_StockCount[Part Name],$A55,T_StockCount[WeekIndex],52)&gt;0,SUMIFS(T_StockCount[CountedQty],T_StockCount[Part Name],$A55,T_StockCount[WeekIndex],52),IF((('T_SelfStock'!BA59&lt;&gt;""))*(('T_TTAFStock'!BA59&lt;&gt;""))&gt;0,'T_SelfStock'!BA59+'T_TTAFStock'!BA59,AZ55+'Grid_Incoming'!BA55-'Grid_Requirement'!BA55))</f>
        <v/>
      </c>
      <c r="BB55">
        <f>IF(COUNTIFS(T_StockCount[Part Name],$A55,T_StockCount[WeekIndex],53)&gt;0,SUMIFS(T_StockCount[CountedQty],T_StockCount[Part Name],$A55,T_StockCount[WeekIndex],53),IF((('T_SelfStock'!BB59&lt;&gt;""))*(('T_TTAFStock'!BB59&lt;&gt;""))&gt;0,'T_SelfStock'!BB59+'T_TTAFStock'!BB59,BA55+'Grid_Incoming'!BB55-'Grid_Requirement'!BB55))</f>
        <v/>
      </c>
      <c r="BC55">
        <f>IF(COUNTIFS(T_StockCount[Part Name],$A55,T_StockCount[WeekIndex],54)&gt;0,SUMIFS(T_StockCount[CountedQty],T_StockCount[Part Name],$A55,T_StockCount[WeekIndex],54),IF((('T_SelfStock'!BC59&lt;&gt;""))*(('T_TTAFStock'!BC59&lt;&gt;""))&gt;0,'T_SelfStock'!BC59+'T_TTAFStock'!BC59,BB55+'Grid_Incoming'!BC55-'Grid_Requirement'!BC55))</f>
        <v/>
      </c>
      <c r="BD55">
        <f>IF(COUNTIFS(T_StockCount[Part Name],$A55,T_StockCount[WeekIndex],55)&gt;0,SUMIFS(T_StockCount[CountedQty],T_StockCount[Part Name],$A55,T_StockCount[WeekIndex],55),IF((('T_SelfStock'!BD59&lt;&gt;""))*(('T_TTAFStock'!BD59&lt;&gt;""))&gt;0,'T_SelfStock'!BD59+'T_TTAFStock'!BD59,BC55+'Grid_Incoming'!BD55-'Grid_Requirement'!BD55))</f>
        <v/>
      </c>
      <c r="BE55">
        <f>IF(COUNTIFS(T_StockCount[Part Name],$A55,T_StockCount[WeekIndex],56)&gt;0,SUMIFS(T_StockCount[CountedQty],T_StockCount[Part Name],$A55,T_StockCount[WeekIndex],56),IF((('T_SelfStock'!BE59&lt;&gt;""))*(('T_TTAFStock'!BE59&lt;&gt;""))&gt;0,'T_SelfStock'!BE59+'T_TTAFStock'!BE59,BD55+'Grid_Incoming'!BE55-'Grid_Requirement'!BE55))</f>
        <v/>
      </c>
      <c r="BF55">
        <f>IF(COUNTIFS(T_StockCount[Part Name],$A55,T_StockCount[WeekIndex],57)&gt;0,SUMIFS(T_StockCount[CountedQty],T_StockCount[Part Name],$A55,T_StockCount[WeekIndex],57),IF((('T_SelfStock'!BF59&lt;&gt;""))*(('T_TTAFStock'!BF59&lt;&gt;""))&gt;0,'T_SelfStock'!BF59+'T_TTAFStock'!BF59,BE55+'Grid_Incoming'!BF55-'Grid_Requirement'!BF55))</f>
        <v/>
      </c>
      <c r="BG55">
        <f>IF(COUNTIFS(T_StockCount[Part Name],$A55,T_StockCount[WeekIndex],58)&gt;0,SUMIFS(T_StockCount[CountedQty],T_StockCount[Part Name],$A55,T_StockCount[WeekIndex],58),IF((('T_SelfStock'!BG59&lt;&gt;""))*(('T_TTAFStock'!BG59&lt;&gt;""))&gt;0,'T_SelfStock'!BG59+'T_TTAFStock'!BG59,BF55+'Grid_Incoming'!BG55-'Grid_Requirement'!BG55))</f>
        <v/>
      </c>
      <c r="BH55">
        <f>IF(COUNTIFS(T_StockCount[Part Name],$A55,T_StockCount[WeekIndex],59)&gt;0,SUMIFS(T_StockCount[CountedQty],T_StockCount[Part Name],$A55,T_StockCount[WeekIndex],59),IF((('T_SelfStock'!BH59&lt;&gt;""))*(('T_TTAFStock'!BH59&lt;&gt;""))&gt;0,'T_SelfStock'!BH59+'T_TTAFStock'!BH59,BG55+'Grid_Incoming'!BH55-'Grid_Requirement'!BH55))</f>
        <v/>
      </c>
      <c r="BI55">
        <f>IF(COUNTIFS(T_StockCount[Part Name],$A55,T_StockCount[WeekIndex],60)&gt;0,SUMIFS(T_StockCount[CountedQty],T_StockCount[Part Name],$A55,T_StockCount[WeekIndex],60),IF((('T_SelfStock'!BI59&lt;&gt;""))*(('T_TTAFStock'!BI59&lt;&gt;""))&gt;0,'T_SelfStock'!BI59+'T_TTAFStock'!BI59,BH55+'Grid_Incoming'!BI55-'Grid_Requirement'!BI55))</f>
        <v/>
      </c>
      <c r="BJ55">
        <f>IF(COUNTIFS(T_StockCount[Part Name],$A55,T_StockCount[WeekIndex],61)&gt;0,SUMIFS(T_StockCount[CountedQty],T_StockCount[Part Name],$A55,T_StockCount[WeekIndex],61),IF((('T_SelfStock'!BJ59&lt;&gt;""))*(('T_TTAFStock'!BJ59&lt;&gt;""))&gt;0,'T_SelfStock'!BJ59+'T_TTAFStock'!BJ59,BI55+'Grid_Incoming'!BJ55-'Grid_Requirement'!BJ55))</f>
        <v/>
      </c>
      <c r="BK55">
        <f>IF(COUNTIFS(T_StockCount[Part Name],$A55,T_StockCount[WeekIndex],62)&gt;0,SUMIFS(T_StockCount[CountedQty],T_StockCount[Part Name],$A55,T_StockCount[WeekIndex],62),IF((('T_SelfStock'!BK59&lt;&gt;""))*(('T_TTAFStock'!BK59&lt;&gt;""))&gt;0,'T_SelfStock'!BK59+'T_TTAFStock'!BK59,BJ55+'Grid_Incoming'!BK55-'Grid_Requirement'!BK55))</f>
        <v/>
      </c>
      <c r="BL55">
        <f>IF(COUNTIFS(T_StockCount[Part Name],$A55,T_StockCount[WeekIndex],63)&gt;0,SUMIFS(T_StockCount[CountedQty],T_StockCount[Part Name],$A55,T_StockCount[WeekIndex],63),IF((('T_SelfStock'!BL59&lt;&gt;""))*(('T_TTAFStock'!BL59&lt;&gt;""))&gt;0,'T_SelfStock'!BL59+'T_TTAFStock'!BL59,BK55+'Grid_Incoming'!BL55-'Grid_Requirement'!BL55))</f>
        <v/>
      </c>
      <c r="BM55">
        <f>IF(COUNTIFS(T_StockCount[Part Name],$A55,T_StockCount[WeekIndex],64)&gt;0,SUMIFS(T_StockCount[CountedQty],T_StockCount[Part Name],$A55,T_StockCount[WeekIndex],64),IF((('T_SelfStock'!BM59&lt;&gt;""))*(('T_TTAFStock'!BM59&lt;&gt;""))&gt;0,'T_SelfStock'!BM59+'T_TTAFStock'!BM59,BL55+'Grid_Incoming'!BM55-'Grid_Requirement'!BM55))</f>
        <v/>
      </c>
      <c r="BN55">
        <f>IF(COUNTIFS(T_StockCount[Part Name],$A55,T_StockCount[WeekIndex],65)&gt;0,SUMIFS(T_StockCount[CountedQty],T_StockCount[Part Name],$A55,T_StockCount[WeekIndex],65),IF((('T_SelfStock'!BN59&lt;&gt;""))*(('T_TTAFStock'!BN59&lt;&gt;""))&gt;0,'T_SelfStock'!BN59+'T_TTAFStock'!BN59,BM55+'Grid_Incoming'!BN55-'Grid_Requirement'!BN55))</f>
        <v/>
      </c>
      <c r="BO55">
        <f>IF(COUNTIFS(T_StockCount[Part Name],$A55,T_StockCount[WeekIndex],66)&gt;0,SUMIFS(T_StockCount[CountedQty],T_StockCount[Part Name],$A55,T_StockCount[WeekIndex],66),IF((('T_SelfStock'!BO59&lt;&gt;""))*(('T_TTAFStock'!BO59&lt;&gt;""))&gt;0,'T_SelfStock'!BO59+'T_TTAFStock'!BO59,BN55+'Grid_Incoming'!BO55-'Grid_Requirement'!BO55))</f>
        <v/>
      </c>
      <c r="BP55">
        <f>IF(COUNTIFS(T_StockCount[Part Name],$A55,T_StockCount[WeekIndex],67)&gt;0,SUMIFS(T_StockCount[CountedQty],T_StockCount[Part Name],$A55,T_StockCount[WeekIndex],67),IF((('T_SelfStock'!BP59&lt;&gt;""))*(('T_TTAFStock'!BP59&lt;&gt;""))&gt;0,'T_SelfStock'!BP59+'T_TTAFStock'!BP59,BO55+'Grid_Incoming'!BP55-'Grid_Requirement'!BP55))</f>
        <v/>
      </c>
      <c r="BQ55">
        <f>IF(COUNTIFS(T_StockCount[Part Name],$A55,T_StockCount[WeekIndex],68)&gt;0,SUMIFS(T_StockCount[CountedQty],T_StockCount[Part Name],$A55,T_StockCount[WeekIndex],68),IF((('T_SelfStock'!BQ59&lt;&gt;""))*(('T_TTAFStock'!BQ59&lt;&gt;""))&gt;0,'T_SelfStock'!BQ59+'T_TTAFStock'!BQ59,BP55+'Grid_Incoming'!BQ55-'Grid_Requirement'!BQ55))</f>
        <v/>
      </c>
      <c r="BR55">
        <f>IF(COUNTIFS(T_StockCount[Part Name],$A55,T_StockCount[WeekIndex],69)&gt;0,SUMIFS(T_StockCount[CountedQty],T_StockCount[Part Name],$A55,T_StockCount[WeekIndex],69),IF((('T_SelfStock'!BR59&lt;&gt;""))*(('T_TTAFStock'!BR59&lt;&gt;""))&gt;0,'T_SelfStock'!BR59+'T_TTAFStock'!BR59,BQ55+'Grid_Incoming'!BR55-'Grid_Requirement'!BR55))</f>
        <v/>
      </c>
      <c r="BS55">
        <f>IF(COUNTIFS(T_StockCount[Part Name],$A55,T_StockCount[WeekIndex],70)&gt;0,SUMIFS(T_StockCount[CountedQty],T_StockCount[Part Name],$A55,T_StockCount[WeekIndex],70),IF((('T_SelfStock'!BS59&lt;&gt;""))*(('T_TTAFStock'!BS59&lt;&gt;""))&gt;0,'T_SelfStock'!BS59+'T_TTAFStock'!BS59,BR55+'Grid_Incoming'!BS55-'Grid_Requirement'!BS55))</f>
        <v/>
      </c>
      <c r="BT55">
        <f>IF(COUNTIFS(T_StockCount[Part Name],$A55,T_StockCount[WeekIndex],71)&gt;0,SUMIFS(T_StockCount[CountedQty],T_StockCount[Part Name],$A55,T_StockCount[WeekIndex],71),IF((('T_SelfStock'!BT59&lt;&gt;""))*(('T_TTAFStock'!BT59&lt;&gt;""))&gt;0,'T_SelfStock'!BT59+'T_TTAFStock'!BT59,BS55+'Grid_Incoming'!BT55-'Grid_Requirement'!BT55))</f>
        <v/>
      </c>
      <c r="BU55">
        <f>IF(COUNTIFS(T_StockCount[Part Name],$A55,T_StockCount[WeekIndex],72)&gt;0,SUMIFS(T_StockCount[CountedQty],T_StockCount[Part Name],$A55,T_StockCount[WeekIndex],72),IF((('T_SelfStock'!BU59&lt;&gt;""))*(('T_TTAFStock'!BU59&lt;&gt;""))&gt;0,'T_SelfStock'!BU59+'T_TTAFStock'!BU59,BT55+'Grid_Incoming'!BU55-'Grid_Requirement'!BU55))</f>
        <v/>
      </c>
      <c r="BV55">
        <f>IF(COUNTIFS(T_StockCount[Part Name],$A55,T_StockCount[WeekIndex],73)&gt;0,SUMIFS(T_StockCount[CountedQty],T_StockCount[Part Name],$A55,T_StockCount[WeekIndex],73),IF((('T_SelfStock'!BV59&lt;&gt;""))*(('T_TTAFStock'!BV59&lt;&gt;""))&gt;0,'T_SelfStock'!BV59+'T_TTAFStock'!BV59,BU55+'Grid_Incoming'!BV55-'Grid_Requirement'!BV55))</f>
        <v/>
      </c>
      <c r="BW55">
        <f>IF(COUNTIFS(T_StockCount[Part Name],$A55,T_StockCount[WeekIndex],74)&gt;0,SUMIFS(T_StockCount[CountedQty],T_StockCount[Part Name],$A55,T_StockCount[WeekIndex],74),IF((('T_SelfStock'!BW59&lt;&gt;""))*(('T_TTAFStock'!BW59&lt;&gt;""))&gt;0,'T_SelfStock'!BW59+'T_TTAFStock'!BW59,BV55+'Grid_Incoming'!BW55-'Grid_Requirement'!BW55))</f>
        <v/>
      </c>
      <c r="BX55">
        <f>IF(COUNTIFS(T_StockCount[Part Name],$A55,T_StockCount[WeekIndex],75)&gt;0,SUMIFS(T_StockCount[CountedQty],T_StockCount[Part Name],$A55,T_StockCount[WeekIndex],75),IF((('T_SelfStock'!BX59&lt;&gt;""))*(('T_TTAFStock'!BX59&lt;&gt;""))&gt;0,'T_SelfStock'!BX59+'T_TTAFStock'!BX59,BW55+'Grid_Incoming'!BX55-'Grid_Requirement'!BX55))</f>
        <v/>
      </c>
      <c r="BY55">
        <f>IF(COUNTIFS(T_StockCount[Part Name],$A55,T_StockCount[WeekIndex],76)&gt;0,SUMIFS(T_StockCount[CountedQty],T_StockCount[Part Name],$A55,T_StockCount[WeekIndex],76),IF((('T_SelfStock'!BY59&lt;&gt;""))*(('T_TTAFStock'!BY59&lt;&gt;""))&gt;0,'T_SelfStock'!BY59+'T_TTAFStock'!BY59,BX55+'Grid_Incoming'!BY55-'Grid_Requirement'!BY55))</f>
        <v/>
      </c>
      <c r="BZ55">
        <f>IF(COUNTIFS(T_StockCount[Part Name],$A55,T_StockCount[WeekIndex],77)&gt;0,SUMIFS(T_StockCount[CountedQty],T_StockCount[Part Name],$A55,T_StockCount[WeekIndex],77),IF((('T_SelfStock'!BZ59&lt;&gt;""))*(('T_TTAFStock'!BZ59&lt;&gt;""))&gt;0,'T_SelfStock'!BZ59+'T_TTAFStock'!BZ59,BY55+'Grid_Incoming'!BZ55-'Grid_Requirement'!BZ55))</f>
        <v/>
      </c>
      <c r="CA55">
        <f>IF(COUNTIFS(T_StockCount[Part Name],$A55,T_StockCount[WeekIndex],78)&gt;0,SUMIFS(T_StockCount[CountedQty],T_StockCount[Part Name],$A55,T_StockCount[WeekIndex],78),IF((('T_SelfStock'!CA59&lt;&gt;""))*(('T_TTAFStock'!CA59&lt;&gt;""))&gt;0,'T_SelfStock'!CA59+'T_TTAFStock'!CA59,BZ55+'Grid_Incoming'!CA55-'Grid_Requirement'!CA55))</f>
        <v/>
      </c>
      <c r="CB55">
        <f>IF(COUNTIFS(T_StockCount[Part Name],$A55,T_StockCount[WeekIndex],79)&gt;0,SUMIFS(T_StockCount[CountedQty],T_StockCount[Part Name],$A55,T_StockCount[WeekIndex],79),IF((('T_SelfStock'!CB59&lt;&gt;""))*(('T_TTAFStock'!CB59&lt;&gt;""))&gt;0,'T_SelfStock'!CB59+'T_TTAFStock'!CB59,CA55+'Grid_Incoming'!CB55-'Grid_Requirement'!CB55))</f>
        <v/>
      </c>
      <c r="CC55">
        <f>IF(COUNTIFS(T_StockCount[Part Name],$A55,T_StockCount[WeekIndex],80)&gt;0,SUMIFS(T_StockCount[CountedQty],T_StockCount[Part Name],$A55,T_StockCount[WeekIndex],80),IF((('T_SelfStock'!CC59&lt;&gt;""))*(('T_TTAFStock'!CC59&lt;&gt;""))&gt;0,'T_SelfStock'!CC59+'T_TTAFStock'!CC59,CB55+'Grid_Incoming'!CC55-'Grid_Requirement'!CC55))</f>
        <v/>
      </c>
      <c r="CD55">
        <f>IF(COUNTIFS(T_StockCount[Part Name],$A55,T_StockCount[WeekIndex],81)&gt;0,SUMIFS(T_StockCount[CountedQty],T_StockCount[Part Name],$A55,T_StockCount[WeekIndex],81),IF((('T_SelfStock'!CD59&lt;&gt;""))*(('T_TTAFStock'!CD59&lt;&gt;""))&gt;0,'T_SelfStock'!CD59+'T_TTAFStock'!CD59,CC55+'Grid_Incoming'!CD55-'Grid_Requirement'!CD55))</f>
        <v/>
      </c>
      <c r="CE55">
        <f>IF(COUNTIFS(T_StockCount[Part Name],$A55,T_StockCount[WeekIndex],82)&gt;0,SUMIFS(T_StockCount[CountedQty],T_StockCount[Part Name],$A55,T_StockCount[WeekIndex],82),IF((('T_SelfStock'!CE59&lt;&gt;""))*(('T_TTAFStock'!CE59&lt;&gt;""))&gt;0,'T_SelfStock'!CE59+'T_TTAFStock'!CE59,CD55+'Grid_Incoming'!CE55-'Grid_Requirement'!CE55))</f>
        <v/>
      </c>
      <c r="CF55">
        <f>IF(COUNTIFS(T_StockCount[Part Name],$A55,T_StockCount[WeekIndex],83)&gt;0,SUMIFS(T_StockCount[CountedQty],T_StockCount[Part Name],$A55,T_StockCount[WeekIndex],83),IF((('T_SelfStock'!CF59&lt;&gt;""))*(('T_TTAFStock'!CF59&lt;&gt;""))&gt;0,'T_SelfStock'!CF59+'T_TTAFStock'!CF59,CE55+'Grid_Incoming'!CF55-'Grid_Requirement'!CF55))</f>
        <v/>
      </c>
      <c r="CG55">
        <f>IF(COUNTIFS(T_StockCount[Part Name],$A55,T_StockCount[WeekIndex],84)&gt;0,SUMIFS(T_StockCount[CountedQty],T_StockCount[Part Name],$A55,T_StockCount[WeekIndex],84),IF((('T_SelfStock'!CG59&lt;&gt;""))*(('T_TTAFStock'!CG59&lt;&gt;""))&gt;0,'T_SelfStock'!CG59+'T_TTAFStock'!CG59,CF55+'Grid_Incoming'!CG55-'Grid_Requirement'!CG55))</f>
        <v/>
      </c>
      <c r="CH55">
        <f>IF(COUNTIFS(T_StockCount[Part Name],$A55,T_StockCount[WeekIndex],85)&gt;0,SUMIFS(T_StockCount[CountedQty],T_StockCount[Part Name],$A55,T_StockCount[WeekIndex],85),IF((('T_SelfStock'!CH59&lt;&gt;""))*(('T_TTAFStock'!CH59&lt;&gt;""))&gt;0,'T_SelfStock'!CH59+'T_TTAFStock'!CH59,CG55+'Grid_Incoming'!CH55-'Grid_Requirement'!CH55))</f>
        <v/>
      </c>
      <c r="CI55">
        <f>IF(COUNTIFS(T_StockCount[Part Name],$A55,T_StockCount[WeekIndex],86)&gt;0,SUMIFS(T_StockCount[CountedQty],T_StockCount[Part Name],$A55,T_StockCount[WeekIndex],86),IF((('T_SelfStock'!CI59&lt;&gt;""))*(('T_TTAFStock'!CI59&lt;&gt;""))&gt;0,'T_SelfStock'!CI59+'T_TTAFStock'!CI59,CH55+'Grid_Incoming'!CI55-'Grid_Requirement'!CI55))</f>
        <v/>
      </c>
      <c r="CJ55">
        <f>IF(COUNTIFS(T_StockCount[Part Name],$A55,T_StockCount[WeekIndex],87)&gt;0,SUMIFS(T_StockCount[CountedQty],T_StockCount[Part Name],$A55,T_StockCount[WeekIndex],87),IF((('T_SelfStock'!CJ59&lt;&gt;""))*(('T_TTAFStock'!CJ59&lt;&gt;""))&gt;0,'T_SelfStock'!CJ59+'T_TTAFStock'!CJ59,CI55+'Grid_Incoming'!CJ55-'Grid_Requirement'!CJ55))</f>
        <v/>
      </c>
      <c r="CK55">
        <f>IF(COUNTIFS(T_StockCount[Part Name],$A55,T_StockCount[WeekIndex],88)&gt;0,SUMIFS(T_StockCount[CountedQty],T_StockCount[Part Name],$A55,T_StockCount[WeekIndex],88),IF((('T_SelfStock'!CK59&lt;&gt;""))*(('T_TTAFStock'!CK59&lt;&gt;""))&gt;0,'T_SelfStock'!CK59+'T_TTAFStock'!CK59,CJ55+'Grid_Incoming'!CK55-'Grid_Requirement'!CK55))</f>
        <v/>
      </c>
      <c r="CL55">
        <f>IF(COUNTIFS(T_StockCount[Part Name],$A55,T_StockCount[WeekIndex],89)&gt;0,SUMIFS(T_StockCount[CountedQty],T_StockCount[Part Name],$A55,T_StockCount[WeekIndex],89),IF((('T_SelfStock'!CL59&lt;&gt;""))*(('T_TTAFStock'!CL59&lt;&gt;""))&gt;0,'T_SelfStock'!CL59+'T_TTAFStock'!CL59,CK55+'Grid_Incoming'!CL55-'Grid_Requirement'!CL55))</f>
        <v/>
      </c>
      <c r="CM55">
        <f>IF(COUNTIFS(T_StockCount[Part Name],$A55,T_StockCount[WeekIndex],90)&gt;0,SUMIFS(T_StockCount[CountedQty],T_StockCount[Part Name],$A55,T_StockCount[WeekIndex],90),IF((('T_SelfStock'!CM59&lt;&gt;""))*(('T_TTAFStock'!CM59&lt;&gt;""))&gt;0,'T_SelfStock'!CM59+'T_TTAFStock'!CM59,CL55+'Grid_Incoming'!CM55-'Grid_Requirement'!CM55))</f>
        <v/>
      </c>
      <c r="CN55">
        <f>IF(COUNTIFS(T_StockCount[Part Name],$A55,T_StockCount[WeekIndex],91)&gt;0,SUMIFS(T_StockCount[CountedQty],T_StockCount[Part Name],$A55,T_StockCount[WeekIndex],91),IF((('T_SelfStock'!CN59&lt;&gt;""))*(('T_TTAFStock'!CN59&lt;&gt;""))&gt;0,'T_SelfStock'!CN59+'T_TTAFStock'!CN59,CM55+'Grid_Incoming'!CN55-'Grid_Requirement'!CN55))</f>
        <v/>
      </c>
      <c r="CO55">
        <f>IF(COUNTIFS(T_StockCount[Part Name],$A55,T_StockCount[WeekIndex],92)&gt;0,SUMIFS(T_StockCount[CountedQty],T_StockCount[Part Name],$A55,T_StockCount[WeekIndex],92),IF((('T_SelfStock'!CO59&lt;&gt;""))*(('T_TTAFStock'!CO59&lt;&gt;""))&gt;0,'T_SelfStock'!CO59+'T_TTAFStock'!CO59,CN55+'Grid_Incoming'!CO55-'Grid_Requirement'!CO55))</f>
        <v/>
      </c>
      <c r="CP55">
        <f>IF(COUNTIFS(T_StockCount[Part Name],$A55,T_StockCount[WeekIndex],93)&gt;0,SUMIFS(T_StockCount[CountedQty],T_StockCount[Part Name],$A55,T_StockCount[WeekIndex],93),IF((('T_SelfStock'!CP59&lt;&gt;""))*(('T_TTAFStock'!CP59&lt;&gt;""))&gt;0,'T_SelfStock'!CP59+'T_TTAFStock'!CP59,CO55+'Grid_Incoming'!CP55-'Grid_Requirement'!CP55))</f>
        <v/>
      </c>
      <c r="CQ55">
        <f>IF(COUNTIFS(T_StockCount[Part Name],$A55,T_StockCount[WeekIndex],94)&gt;0,SUMIFS(T_StockCount[CountedQty],T_StockCount[Part Name],$A55,T_StockCount[WeekIndex],94),IF((('T_SelfStock'!CQ59&lt;&gt;""))*(('T_TTAFStock'!CQ59&lt;&gt;""))&gt;0,'T_SelfStock'!CQ59+'T_TTAFStock'!CQ59,CP55+'Grid_Incoming'!CQ55-'Grid_Requirement'!CQ55))</f>
        <v/>
      </c>
      <c r="CR55">
        <f>IF(COUNTIFS(T_StockCount[Part Name],$A55,T_StockCount[WeekIndex],95)&gt;0,SUMIFS(T_StockCount[CountedQty],T_StockCount[Part Name],$A55,T_StockCount[WeekIndex],95),IF((('T_SelfStock'!CR59&lt;&gt;""))*(('T_TTAFStock'!CR59&lt;&gt;""))&gt;0,'T_SelfStock'!CR59+'T_TTAFStock'!CR59,CQ55+'Grid_Incoming'!CR55-'Grid_Requirement'!CR55))</f>
        <v/>
      </c>
      <c r="CS55">
        <f>IF(COUNTIFS(T_StockCount[Part Name],$A55,T_StockCount[WeekIndex],96)&gt;0,SUMIFS(T_StockCount[CountedQty],T_StockCount[Part Name],$A55,T_StockCount[WeekIndex],96),IF((('T_SelfStock'!CS59&lt;&gt;""))*(('T_TTAFStock'!CS59&lt;&gt;""))&gt;0,'T_SelfStock'!CS59+'T_TTAFStock'!CS59,CR55+'Grid_Incoming'!CS55-'Grid_Requirement'!CS55))</f>
        <v/>
      </c>
      <c r="CT55">
        <f>IF(COUNTIFS(T_StockCount[Part Name],$A55,T_StockCount[WeekIndex],97)&gt;0,SUMIFS(T_StockCount[CountedQty],T_StockCount[Part Name],$A55,T_StockCount[WeekIndex],97),IF((('T_SelfStock'!CT59&lt;&gt;""))*(('T_TTAFStock'!CT59&lt;&gt;""))&gt;0,'T_SelfStock'!CT59+'T_TTAFStock'!CT59,CS55+'Grid_Incoming'!CT55-'Grid_Requirement'!CT55))</f>
        <v/>
      </c>
      <c r="CU55">
        <f>IF(COUNTIFS(T_StockCount[Part Name],$A55,T_StockCount[WeekIndex],98)&gt;0,SUMIFS(T_StockCount[CountedQty],T_StockCount[Part Name],$A55,T_StockCount[WeekIndex],98),IF((('T_SelfStock'!CU59&lt;&gt;""))*(('T_TTAFStock'!CU59&lt;&gt;""))&gt;0,'T_SelfStock'!CU59+'T_TTAFStock'!CU59,CT55+'Grid_Incoming'!CU55-'Grid_Requirement'!CU55))</f>
        <v/>
      </c>
      <c r="CV55">
        <f>IF(COUNTIFS(T_StockCount[Part Name],$A55,T_StockCount[WeekIndex],99)&gt;0,SUMIFS(T_StockCount[CountedQty],T_StockCount[Part Name],$A55,T_StockCount[WeekIndex],99),IF((('T_SelfStock'!CV59&lt;&gt;""))*(('T_TTAFStock'!CV59&lt;&gt;""))&gt;0,'T_SelfStock'!CV59+'T_TTAFStock'!CV59,CU55+'Grid_Incoming'!CV55-'Grid_Requirement'!CV55))</f>
        <v/>
      </c>
      <c r="CW55">
        <f>IF(COUNTIFS(T_StockCount[Part Name],$A55,T_StockCount[WeekIndex],100)&gt;0,SUMIFS(T_StockCount[CountedQty],T_StockCount[Part Name],$A55,T_StockCount[WeekIndex],100),IF((('T_SelfStock'!CW59&lt;&gt;""))*(('T_TTAFStock'!CW59&lt;&gt;""))&gt;0,'T_SelfStock'!CW59+'T_TTAFStock'!CW59,CV55+'Grid_Incoming'!CW55-'Grid_Requirement'!CW55))</f>
        <v/>
      </c>
      <c r="CX55">
        <f>IF(COUNTIFS(T_StockCount[Part Name],$A55,T_StockCount[WeekIndex],101)&gt;0,SUMIFS(T_StockCount[CountedQty],T_StockCount[Part Name],$A55,T_StockCount[WeekIndex],101),IF((('T_SelfStock'!CX59&lt;&gt;""))*(('T_TTAFStock'!CX59&lt;&gt;""))&gt;0,'T_SelfStock'!CX59+'T_TTAFStock'!CX59,CW55+'Grid_Incoming'!CX55-'Grid_Requirement'!CX55))</f>
        <v/>
      </c>
      <c r="CY55">
        <f>IF(COUNTIFS(T_StockCount[Part Name],$A55,T_StockCount[WeekIndex],102)&gt;0,SUMIFS(T_StockCount[CountedQty],T_StockCount[Part Name],$A55,T_StockCount[WeekIndex],102),IF((('T_SelfStock'!CY59&lt;&gt;""))*(('T_TTAFStock'!CY59&lt;&gt;""))&gt;0,'T_SelfStock'!CY59+'T_TTAFStock'!CY59,CX55+'Grid_Incoming'!CY55-'Grid_Requirement'!CY55))</f>
        <v/>
      </c>
      <c r="CZ55">
        <f>IF(COUNTIFS(T_StockCount[Part Name],$A55,T_StockCount[WeekIndex],103)&gt;0,SUMIFS(T_StockCount[CountedQty],T_StockCount[Part Name],$A55,T_StockCount[WeekIndex],103),IF((('T_SelfStock'!CZ59&lt;&gt;""))*(('T_TTAFStock'!CZ59&lt;&gt;""))&gt;0,'T_SelfStock'!CZ59+'T_TTAFStock'!CZ59,CY55+'Grid_Incoming'!CZ55-'Grid_Requirement'!CZ55))</f>
        <v/>
      </c>
      <c r="DA55">
        <f>IF(COUNTIFS(T_StockCount[Part Name],$A55,T_StockCount[WeekIndex],104)&gt;0,SUMIFS(T_StockCount[CountedQty],T_StockCount[Part Name],$A55,T_StockCount[WeekIndex],104),IF((('T_SelfStock'!DA59&lt;&gt;""))*(('T_TTAFStock'!DA59&lt;&gt;""))&gt;0,'T_SelfStock'!DA59+'T_TTAFStock'!DA59,CZ55+'Grid_Incoming'!DA55-'Grid_Requirement'!DA55))</f>
        <v/>
      </c>
    </row>
    <row r="56">
      <c r="A56" t="inlineStr">
        <is>
          <t>CHEM-1690</t>
        </is>
      </c>
      <c r="B56">
        <f>IF(COUNTIFS(T_StockCount[Part Name],$A56,T_StockCount[WeekIndex],1)&gt;0,SUMIFS(T_StockCount[CountedQty],T_StockCount[Part Name],$A56,T_StockCount[WeekIndex],1),IF((('T_SelfStock'!B60&lt;&gt;""))*(('T_TTAFStock'!B60&lt;&gt;""))&gt;0,'T_SelfStock'!B60+'T_TTAFStock'!B60,IFERROR(INDEX(T_OpeningStock[Opening_Qty],MATCH($A56,T_OpeningStock[Part Name],0)),0)+'Grid_Incoming'!B56-'Grid_Requirement'!B56))</f>
        <v/>
      </c>
      <c r="C56">
        <f>IF(COUNTIFS(T_StockCount[Part Name],$A56,T_StockCount[WeekIndex],2)&gt;0,SUMIFS(T_StockCount[CountedQty],T_StockCount[Part Name],$A56,T_StockCount[WeekIndex],2),IF((('T_SelfStock'!C60&lt;&gt;""))*(('T_TTAFStock'!C60&lt;&gt;""))&gt;0,'T_SelfStock'!C60+'T_TTAFStock'!C60,B56+'Grid_Incoming'!C56-'Grid_Requirement'!C56))</f>
        <v/>
      </c>
      <c r="D56">
        <f>IF(COUNTIFS(T_StockCount[Part Name],$A56,T_StockCount[WeekIndex],3)&gt;0,SUMIFS(T_StockCount[CountedQty],T_StockCount[Part Name],$A56,T_StockCount[WeekIndex],3),IF((('T_SelfStock'!D60&lt;&gt;""))*(('T_TTAFStock'!D60&lt;&gt;""))&gt;0,'T_SelfStock'!D60+'T_TTAFStock'!D60,C56+'Grid_Incoming'!D56-'Grid_Requirement'!D56))</f>
        <v/>
      </c>
      <c r="E56">
        <f>IF(COUNTIFS(T_StockCount[Part Name],$A56,T_StockCount[WeekIndex],4)&gt;0,SUMIFS(T_StockCount[CountedQty],T_StockCount[Part Name],$A56,T_StockCount[WeekIndex],4),IF((('T_SelfStock'!E60&lt;&gt;""))*(('T_TTAFStock'!E60&lt;&gt;""))&gt;0,'T_SelfStock'!E60+'T_TTAFStock'!E60,D56+'Grid_Incoming'!E56-'Grid_Requirement'!E56))</f>
        <v/>
      </c>
      <c r="F56">
        <f>IF(COUNTIFS(T_StockCount[Part Name],$A56,T_StockCount[WeekIndex],5)&gt;0,SUMIFS(T_StockCount[CountedQty],T_StockCount[Part Name],$A56,T_StockCount[WeekIndex],5),IF((('T_SelfStock'!F60&lt;&gt;""))*(('T_TTAFStock'!F60&lt;&gt;""))&gt;0,'T_SelfStock'!F60+'T_TTAFStock'!F60,E56+'Grid_Incoming'!F56-'Grid_Requirement'!F56))</f>
        <v/>
      </c>
      <c r="G56">
        <f>IF(COUNTIFS(T_StockCount[Part Name],$A56,T_StockCount[WeekIndex],6)&gt;0,SUMIFS(T_StockCount[CountedQty],T_StockCount[Part Name],$A56,T_StockCount[WeekIndex],6),IF((('T_SelfStock'!G60&lt;&gt;""))*(('T_TTAFStock'!G60&lt;&gt;""))&gt;0,'T_SelfStock'!G60+'T_TTAFStock'!G60,F56+'Grid_Incoming'!G56-'Grid_Requirement'!G56))</f>
        <v/>
      </c>
      <c r="H56">
        <f>IF(COUNTIFS(T_StockCount[Part Name],$A56,T_StockCount[WeekIndex],7)&gt;0,SUMIFS(T_StockCount[CountedQty],T_StockCount[Part Name],$A56,T_StockCount[WeekIndex],7),IF((('T_SelfStock'!H60&lt;&gt;""))*(('T_TTAFStock'!H60&lt;&gt;""))&gt;0,'T_SelfStock'!H60+'T_TTAFStock'!H60,G56+'Grid_Incoming'!H56-'Grid_Requirement'!H56))</f>
        <v/>
      </c>
      <c r="I56">
        <f>IF(COUNTIFS(T_StockCount[Part Name],$A56,T_StockCount[WeekIndex],8)&gt;0,SUMIFS(T_StockCount[CountedQty],T_StockCount[Part Name],$A56,T_StockCount[WeekIndex],8),IF((('T_SelfStock'!I60&lt;&gt;""))*(('T_TTAFStock'!I60&lt;&gt;""))&gt;0,'T_SelfStock'!I60+'T_TTAFStock'!I60,H56+'Grid_Incoming'!I56-'Grid_Requirement'!I56))</f>
        <v/>
      </c>
      <c r="J56">
        <f>IF(COUNTIFS(T_StockCount[Part Name],$A56,T_StockCount[WeekIndex],9)&gt;0,SUMIFS(T_StockCount[CountedQty],T_StockCount[Part Name],$A56,T_StockCount[WeekIndex],9),IF((('T_SelfStock'!J60&lt;&gt;""))*(('T_TTAFStock'!J60&lt;&gt;""))&gt;0,'T_SelfStock'!J60+'T_TTAFStock'!J60,I56+'Grid_Incoming'!J56-'Grid_Requirement'!J56))</f>
        <v/>
      </c>
      <c r="K56">
        <f>IF(COUNTIFS(T_StockCount[Part Name],$A56,T_StockCount[WeekIndex],10)&gt;0,SUMIFS(T_StockCount[CountedQty],T_StockCount[Part Name],$A56,T_StockCount[WeekIndex],10),IF((('T_SelfStock'!K60&lt;&gt;""))*(('T_TTAFStock'!K60&lt;&gt;""))&gt;0,'T_SelfStock'!K60+'T_TTAFStock'!K60,J56+'Grid_Incoming'!K56-'Grid_Requirement'!K56))</f>
        <v/>
      </c>
      <c r="L56">
        <f>IF(COUNTIFS(T_StockCount[Part Name],$A56,T_StockCount[WeekIndex],11)&gt;0,SUMIFS(T_StockCount[CountedQty],T_StockCount[Part Name],$A56,T_StockCount[WeekIndex],11),IF((('T_SelfStock'!L60&lt;&gt;""))*(('T_TTAFStock'!L60&lt;&gt;""))&gt;0,'T_SelfStock'!L60+'T_TTAFStock'!L60,K56+'Grid_Incoming'!L56-'Grid_Requirement'!L56))</f>
        <v/>
      </c>
      <c r="M56">
        <f>IF(COUNTIFS(T_StockCount[Part Name],$A56,T_StockCount[WeekIndex],12)&gt;0,SUMIFS(T_StockCount[CountedQty],T_StockCount[Part Name],$A56,T_StockCount[WeekIndex],12),IF((('T_SelfStock'!M60&lt;&gt;""))*(('T_TTAFStock'!M60&lt;&gt;""))&gt;0,'T_SelfStock'!M60+'T_TTAFStock'!M60,L56+'Grid_Incoming'!M56-'Grid_Requirement'!M56))</f>
        <v/>
      </c>
      <c r="N56">
        <f>IF(COUNTIFS(T_StockCount[Part Name],$A56,T_StockCount[WeekIndex],13)&gt;0,SUMIFS(T_StockCount[CountedQty],T_StockCount[Part Name],$A56,T_StockCount[WeekIndex],13),IF((('T_SelfStock'!N60&lt;&gt;""))*(('T_TTAFStock'!N60&lt;&gt;""))&gt;0,'T_SelfStock'!N60+'T_TTAFStock'!N60,M56+'Grid_Incoming'!N56-'Grid_Requirement'!N56))</f>
        <v/>
      </c>
      <c r="O56">
        <f>IF(COUNTIFS(T_StockCount[Part Name],$A56,T_StockCount[WeekIndex],14)&gt;0,SUMIFS(T_StockCount[CountedQty],T_StockCount[Part Name],$A56,T_StockCount[WeekIndex],14),IF((('T_SelfStock'!O60&lt;&gt;""))*(('T_TTAFStock'!O60&lt;&gt;""))&gt;0,'T_SelfStock'!O60+'T_TTAFStock'!O60,N56+'Grid_Incoming'!O56-'Grid_Requirement'!O56))</f>
        <v/>
      </c>
      <c r="P56">
        <f>IF(COUNTIFS(T_StockCount[Part Name],$A56,T_StockCount[WeekIndex],15)&gt;0,SUMIFS(T_StockCount[CountedQty],T_StockCount[Part Name],$A56,T_StockCount[WeekIndex],15),IF((('T_SelfStock'!P60&lt;&gt;""))*(('T_TTAFStock'!P60&lt;&gt;""))&gt;0,'T_SelfStock'!P60+'T_TTAFStock'!P60,O56+'Grid_Incoming'!P56-'Grid_Requirement'!P56))</f>
        <v/>
      </c>
      <c r="Q56">
        <f>IF(COUNTIFS(T_StockCount[Part Name],$A56,T_StockCount[WeekIndex],16)&gt;0,SUMIFS(T_StockCount[CountedQty],T_StockCount[Part Name],$A56,T_StockCount[WeekIndex],16),IF((('T_SelfStock'!Q60&lt;&gt;""))*(('T_TTAFStock'!Q60&lt;&gt;""))&gt;0,'T_SelfStock'!Q60+'T_TTAFStock'!Q60,P56+'Grid_Incoming'!Q56-'Grid_Requirement'!Q56))</f>
        <v/>
      </c>
      <c r="R56">
        <f>IF(COUNTIFS(T_StockCount[Part Name],$A56,T_StockCount[WeekIndex],17)&gt;0,SUMIFS(T_StockCount[CountedQty],T_StockCount[Part Name],$A56,T_StockCount[WeekIndex],17),IF((('T_SelfStock'!R60&lt;&gt;""))*(('T_TTAFStock'!R60&lt;&gt;""))&gt;0,'T_SelfStock'!R60+'T_TTAFStock'!R60,Q56+'Grid_Incoming'!R56-'Grid_Requirement'!R56))</f>
        <v/>
      </c>
      <c r="S56">
        <f>IF(COUNTIFS(T_StockCount[Part Name],$A56,T_StockCount[WeekIndex],18)&gt;0,SUMIFS(T_StockCount[CountedQty],T_StockCount[Part Name],$A56,T_StockCount[WeekIndex],18),IF((('T_SelfStock'!S60&lt;&gt;""))*(('T_TTAFStock'!S60&lt;&gt;""))&gt;0,'T_SelfStock'!S60+'T_TTAFStock'!S60,R56+'Grid_Incoming'!S56-'Grid_Requirement'!S56))</f>
        <v/>
      </c>
      <c r="T56">
        <f>IF(COUNTIFS(T_StockCount[Part Name],$A56,T_StockCount[WeekIndex],19)&gt;0,SUMIFS(T_StockCount[CountedQty],T_StockCount[Part Name],$A56,T_StockCount[WeekIndex],19),IF((('T_SelfStock'!T60&lt;&gt;""))*(('T_TTAFStock'!T60&lt;&gt;""))&gt;0,'T_SelfStock'!T60+'T_TTAFStock'!T60,S56+'Grid_Incoming'!T56-'Grid_Requirement'!T56))</f>
        <v/>
      </c>
      <c r="U56">
        <f>IF(COUNTIFS(T_StockCount[Part Name],$A56,T_StockCount[WeekIndex],20)&gt;0,SUMIFS(T_StockCount[CountedQty],T_StockCount[Part Name],$A56,T_StockCount[WeekIndex],20),IF((('T_SelfStock'!U60&lt;&gt;""))*(('T_TTAFStock'!U60&lt;&gt;""))&gt;0,'T_SelfStock'!U60+'T_TTAFStock'!U60,T56+'Grid_Incoming'!U56-'Grid_Requirement'!U56))</f>
        <v/>
      </c>
      <c r="V56">
        <f>IF(COUNTIFS(T_StockCount[Part Name],$A56,T_StockCount[WeekIndex],21)&gt;0,SUMIFS(T_StockCount[CountedQty],T_StockCount[Part Name],$A56,T_StockCount[WeekIndex],21),IF((('T_SelfStock'!V60&lt;&gt;""))*(('T_TTAFStock'!V60&lt;&gt;""))&gt;0,'T_SelfStock'!V60+'T_TTAFStock'!V60,U56+'Grid_Incoming'!V56-'Grid_Requirement'!V56))</f>
        <v/>
      </c>
      <c r="W56">
        <f>IF(COUNTIFS(T_StockCount[Part Name],$A56,T_StockCount[WeekIndex],22)&gt;0,SUMIFS(T_StockCount[CountedQty],T_StockCount[Part Name],$A56,T_StockCount[WeekIndex],22),IF((('T_SelfStock'!W60&lt;&gt;""))*(('T_TTAFStock'!W60&lt;&gt;""))&gt;0,'T_SelfStock'!W60+'T_TTAFStock'!W60,V56+'Grid_Incoming'!W56-'Grid_Requirement'!W56))</f>
        <v/>
      </c>
      <c r="X56">
        <f>IF(COUNTIFS(T_StockCount[Part Name],$A56,T_StockCount[WeekIndex],23)&gt;0,SUMIFS(T_StockCount[CountedQty],T_StockCount[Part Name],$A56,T_StockCount[WeekIndex],23),IF((('T_SelfStock'!X60&lt;&gt;""))*(('T_TTAFStock'!X60&lt;&gt;""))&gt;0,'T_SelfStock'!X60+'T_TTAFStock'!X60,W56+'Grid_Incoming'!X56-'Grid_Requirement'!X56))</f>
        <v/>
      </c>
      <c r="Y56">
        <f>IF(COUNTIFS(T_StockCount[Part Name],$A56,T_StockCount[WeekIndex],24)&gt;0,SUMIFS(T_StockCount[CountedQty],T_StockCount[Part Name],$A56,T_StockCount[WeekIndex],24),IF((('T_SelfStock'!Y60&lt;&gt;""))*(('T_TTAFStock'!Y60&lt;&gt;""))&gt;0,'T_SelfStock'!Y60+'T_TTAFStock'!Y60,X56+'Grid_Incoming'!Y56-'Grid_Requirement'!Y56))</f>
        <v/>
      </c>
      <c r="Z56">
        <f>IF(COUNTIFS(T_StockCount[Part Name],$A56,T_StockCount[WeekIndex],25)&gt;0,SUMIFS(T_StockCount[CountedQty],T_StockCount[Part Name],$A56,T_StockCount[WeekIndex],25),IF((('T_SelfStock'!Z60&lt;&gt;""))*(('T_TTAFStock'!Z60&lt;&gt;""))&gt;0,'T_SelfStock'!Z60+'T_TTAFStock'!Z60,Y56+'Grid_Incoming'!Z56-'Grid_Requirement'!Z56))</f>
        <v/>
      </c>
      <c r="AA56">
        <f>IF(COUNTIFS(T_StockCount[Part Name],$A56,T_StockCount[WeekIndex],26)&gt;0,SUMIFS(T_StockCount[CountedQty],T_StockCount[Part Name],$A56,T_StockCount[WeekIndex],26),IF((('T_SelfStock'!AA60&lt;&gt;""))*(('T_TTAFStock'!AA60&lt;&gt;""))&gt;0,'T_SelfStock'!AA60+'T_TTAFStock'!AA60,Z56+'Grid_Incoming'!AA56-'Grid_Requirement'!AA56))</f>
        <v/>
      </c>
      <c r="AB56">
        <f>IF(COUNTIFS(T_StockCount[Part Name],$A56,T_StockCount[WeekIndex],27)&gt;0,SUMIFS(T_StockCount[CountedQty],T_StockCount[Part Name],$A56,T_StockCount[WeekIndex],27),IF((('T_SelfStock'!AB60&lt;&gt;""))*(('T_TTAFStock'!AB60&lt;&gt;""))&gt;0,'T_SelfStock'!AB60+'T_TTAFStock'!AB60,AA56+'Grid_Incoming'!AB56-'Grid_Requirement'!AB56))</f>
        <v/>
      </c>
      <c r="AC56">
        <f>IF(COUNTIFS(T_StockCount[Part Name],$A56,T_StockCount[WeekIndex],28)&gt;0,SUMIFS(T_StockCount[CountedQty],T_StockCount[Part Name],$A56,T_StockCount[WeekIndex],28),IF((('T_SelfStock'!AC60&lt;&gt;""))*(('T_TTAFStock'!AC60&lt;&gt;""))&gt;0,'T_SelfStock'!AC60+'T_TTAFStock'!AC60,AB56+'Grid_Incoming'!AC56-'Grid_Requirement'!AC56))</f>
        <v/>
      </c>
      <c r="AD56">
        <f>IF(COUNTIFS(T_StockCount[Part Name],$A56,T_StockCount[WeekIndex],29)&gt;0,SUMIFS(T_StockCount[CountedQty],T_StockCount[Part Name],$A56,T_StockCount[WeekIndex],29),IF((('T_SelfStock'!AD60&lt;&gt;""))*(('T_TTAFStock'!AD60&lt;&gt;""))&gt;0,'T_SelfStock'!AD60+'T_TTAFStock'!AD60,AC56+'Grid_Incoming'!AD56-'Grid_Requirement'!AD56))</f>
        <v/>
      </c>
      <c r="AE56">
        <f>IF(COUNTIFS(T_StockCount[Part Name],$A56,T_StockCount[WeekIndex],30)&gt;0,SUMIFS(T_StockCount[CountedQty],T_StockCount[Part Name],$A56,T_StockCount[WeekIndex],30),IF((('T_SelfStock'!AE60&lt;&gt;""))*(('T_TTAFStock'!AE60&lt;&gt;""))&gt;0,'T_SelfStock'!AE60+'T_TTAFStock'!AE60,AD56+'Grid_Incoming'!AE56-'Grid_Requirement'!AE56))</f>
        <v/>
      </c>
      <c r="AF56">
        <f>IF(COUNTIFS(T_StockCount[Part Name],$A56,T_StockCount[WeekIndex],31)&gt;0,SUMIFS(T_StockCount[CountedQty],T_StockCount[Part Name],$A56,T_StockCount[WeekIndex],31),IF((('T_SelfStock'!AF60&lt;&gt;""))*(('T_TTAFStock'!AF60&lt;&gt;""))&gt;0,'T_SelfStock'!AF60+'T_TTAFStock'!AF60,AE56+'Grid_Incoming'!AF56-'Grid_Requirement'!AF56))</f>
        <v/>
      </c>
      <c r="AG56">
        <f>IF(COUNTIFS(T_StockCount[Part Name],$A56,T_StockCount[WeekIndex],32)&gt;0,SUMIFS(T_StockCount[CountedQty],T_StockCount[Part Name],$A56,T_StockCount[WeekIndex],32),IF((('T_SelfStock'!AG60&lt;&gt;""))*(('T_TTAFStock'!AG60&lt;&gt;""))&gt;0,'T_SelfStock'!AG60+'T_TTAFStock'!AG60,AF56+'Grid_Incoming'!AG56-'Grid_Requirement'!AG56))</f>
        <v/>
      </c>
      <c r="AH56">
        <f>IF(COUNTIFS(T_StockCount[Part Name],$A56,T_StockCount[WeekIndex],33)&gt;0,SUMIFS(T_StockCount[CountedQty],T_StockCount[Part Name],$A56,T_StockCount[WeekIndex],33),IF((('T_SelfStock'!AH60&lt;&gt;""))*(('T_TTAFStock'!AH60&lt;&gt;""))&gt;0,'T_SelfStock'!AH60+'T_TTAFStock'!AH60,AG56+'Grid_Incoming'!AH56-'Grid_Requirement'!AH56))</f>
        <v/>
      </c>
      <c r="AI56">
        <f>IF(COUNTIFS(T_StockCount[Part Name],$A56,T_StockCount[WeekIndex],34)&gt;0,SUMIFS(T_StockCount[CountedQty],T_StockCount[Part Name],$A56,T_StockCount[WeekIndex],34),IF((('T_SelfStock'!AI60&lt;&gt;""))*(('T_TTAFStock'!AI60&lt;&gt;""))&gt;0,'T_SelfStock'!AI60+'T_TTAFStock'!AI60,AH56+'Grid_Incoming'!AI56-'Grid_Requirement'!AI56))</f>
        <v/>
      </c>
      <c r="AJ56">
        <f>IF(COUNTIFS(T_StockCount[Part Name],$A56,T_StockCount[WeekIndex],35)&gt;0,SUMIFS(T_StockCount[CountedQty],T_StockCount[Part Name],$A56,T_StockCount[WeekIndex],35),IF((('T_SelfStock'!AJ60&lt;&gt;""))*(('T_TTAFStock'!AJ60&lt;&gt;""))&gt;0,'T_SelfStock'!AJ60+'T_TTAFStock'!AJ60,AI56+'Grid_Incoming'!AJ56-'Grid_Requirement'!AJ56))</f>
        <v/>
      </c>
      <c r="AK56">
        <f>IF(COUNTIFS(T_StockCount[Part Name],$A56,T_StockCount[WeekIndex],36)&gt;0,SUMIFS(T_StockCount[CountedQty],T_StockCount[Part Name],$A56,T_StockCount[WeekIndex],36),IF((('T_SelfStock'!AK60&lt;&gt;""))*(('T_TTAFStock'!AK60&lt;&gt;""))&gt;0,'T_SelfStock'!AK60+'T_TTAFStock'!AK60,AJ56+'Grid_Incoming'!AK56-'Grid_Requirement'!AK56))</f>
        <v/>
      </c>
      <c r="AL56">
        <f>IF(COUNTIFS(T_StockCount[Part Name],$A56,T_StockCount[WeekIndex],37)&gt;0,SUMIFS(T_StockCount[CountedQty],T_StockCount[Part Name],$A56,T_StockCount[WeekIndex],37),IF((('T_SelfStock'!AL60&lt;&gt;""))*(('T_TTAFStock'!AL60&lt;&gt;""))&gt;0,'T_SelfStock'!AL60+'T_TTAFStock'!AL60,AK56+'Grid_Incoming'!AL56-'Grid_Requirement'!AL56))</f>
        <v/>
      </c>
      <c r="AM56">
        <f>IF(COUNTIFS(T_StockCount[Part Name],$A56,T_StockCount[WeekIndex],38)&gt;0,SUMIFS(T_StockCount[CountedQty],T_StockCount[Part Name],$A56,T_StockCount[WeekIndex],38),IF((('T_SelfStock'!AM60&lt;&gt;""))*(('T_TTAFStock'!AM60&lt;&gt;""))&gt;0,'T_SelfStock'!AM60+'T_TTAFStock'!AM60,AL56+'Grid_Incoming'!AM56-'Grid_Requirement'!AM56))</f>
        <v/>
      </c>
      <c r="AN56">
        <f>IF(COUNTIFS(T_StockCount[Part Name],$A56,T_StockCount[WeekIndex],39)&gt;0,SUMIFS(T_StockCount[CountedQty],T_StockCount[Part Name],$A56,T_StockCount[WeekIndex],39),IF((('T_SelfStock'!AN60&lt;&gt;""))*(('T_TTAFStock'!AN60&lt;&gt;""))&gt;0,'T_SelfStock'!AN60+'T_TTAFStock'!AN60,AM56+'Grid_Incoming'!AN56-'Grid_Requirement'!AN56))</f>
        <v/>
      </c>
      <c r="AO56">
        <f>IF(COUNTIFS(T_StockCount[Part Name],$A56,T_StockCount[WeekIndex],40)&gt;0,SUMIFS(T_StockCount[CountedQty],T_StockCount[Part Name],$A56,T_StockCount[WeekIndex],40),IF((('T_SelfStock'!AO60&lt;&gt;""))*(('T_TTAFStock'!AO60&lt;&gt;""))&gt;0,'T_SelfStock'!AO60+'T_TTAFStock'!AO60,AN56+'Grid_Incoming'!AO56-'Grid_Requirement'!AO56))</f>
        <v/>
      </c>
      <c r="AP56">
        <f>IF(COUNTIFS(T_StockCount[Part Name],$A56,T_StockCount[WeekIndex],41)&gt;0,SUMIFS(T_StockCount[CountedQty],T_StockCount[Part Name],$A56,T_StockCount[WeekIndex],41),IF((('T_SelfStock'!AP60&lt;&gt;""))*(('T_TTAFStock'!AP60&lt;&gt;""))&gt;0,'T_SelfStock'!AP60+'T_TTAFStock'!AP60,AO56+'Grid_Incoming'!AP56-'Grid_Requirement'!AP56))</f>
        <v/>
      </c>
      <c r="AQ56">
        <f>IF(COUNTIFS(T_StockCount[Part Name],$A56,T_StockCount[WeekIndex],42)&gt;0,SUMIFS(T_StockCount[CountedQty],T_StockCount[Part Name],$A56,T_StockCount[WeekIndex],42),IF((('T_SelfStock'!AQ60&lt;&gt;""))*(('T_TTAFStock'!AQ60&lt;&gt;""))&gt;0,'T_SelfStock'!AQ60+'T_TTAFStock'!AQ60,AP56+'Grid_Incoming'!AQ56-'Grid_Requirement'!AQ56))</f>
        <v/>
      </c>
      <c r="AR56">
        <f>IF(COUNTIFS(T_StockCount[Part Name],$A56,T_StockCount[WeekIndex],43)&gt;0,SUMIFS(T_StockCount[CountedQty],T_StockCount[Part Name],$A56,T_StockCount[WeekIndex],43),IF((('T_SelfStock'!AR60&lt;&gt;""))*(('T_TTAFStock'!AR60&lt;&gt;""))&gt;0,'T_SelfStock'!AR60+'T_TTAFStock'!AR60,AQ56+'Grid_Incoming'!AR56-'Grid_Requirement'!AR56))</f>
        <v/>
      </c>
      <c r="AS56">
        <f>IF(COUNTIFS(T_StockCount[Part Name],$A56,T_StockCount[WeekIndex],44)&gt;0,SUMIFS(T_StockCount[CountedQty],T_StockCount[Part Name],$A56,T_StockCount[WeekIndex],44),IF((('T_SelfStock'!AS60&lt;&gt;""))*(('T_TTAFStock'!AS60&lt;&gt;""))&gt;0,'T_SelfStock'!AS60+'T_TTAFStock'!AS60,AR56+'Grid_Incoming'!AS56-'Grid_Requirement'!AS56))</f>
        <v/>
      </c>
      <c r="AT56">
        <f>IF(COUNTIFS(T_StockCount[Part Name],$A56,T_StockCount[WeekIndex],45)&gt;0,SUMIFS(T_StockCount[CountedQty],T_StockCount[Part Name],$A56,T_StockCount[WeekIndex],45),IF((('T_SelfStock'!AT60&lt;&gt;""))*(('T_TTAFStock'!AT60&lt;&gt;""))&gt;0,'T_SelfStock'!AT60+'T_TTAFStock'!AT60,AS56+'Grid_Incoming'!AT56-'Grid_Requirement'!AT56))</f>
        <v/>
      </c>
      <c r="AU56">
        <f>IF(COUNTIFS(T_StockCount[Part Name],$A56,T_StockCount[WeekIndex],46)&gt;0,SUMIFS(T_StockCount[CountedQty],T_StockCount[Part Name],$A56,T_StockCount[WeekIndex],46),IF((('T_SelfStock'!AU60&lt;&gt;""))*(('T_TTAFStock'!AU60&lt;&gt;""))&gt;0,'T_SelfStock'!AU60+'T_TTAFStock'!AU60,AT56+'Grid_Incoming'!AU56-'Grid_Requirement'!AU56))</f>
        <v/>
      </c>
      <c r="AV56">
        <f>IF(COUNTIFS(T_StockCount[Part Name],$A56,T_StockCount[WeekIndex],47)&gt;0,SUMIFS(T_StockCount[CountedQty],T_StockCount[Part Name],$A56,T_StockCount[WeekIndex],47),IF((('T_SelfStock'!AV60&lt;&gt;""))*(('T_TTAFStock'!AV60&lt;&gt;""))&gt;0,'T_SelfStock'!AV60+'T_TTAFStock'!AV60,AU56+'Grid_Incoming'!AV56-'Grid_Requirement'!AV56))</f>
        <v/>
      </c>
      <c r="AW56">
        <f>IF(COUNTIFS(T_StockCount[Part Name],$A56,T_StockCount[WeekIndex],48)&gt;0,SUMIFS(T_StockCount[CountedQty],T_StockCount[Part Name],$A56,T_StockCount[WeekIndex],48),IF((('T_SelfStock'!AW60&lt;&gt;""))*(('T_TTAFStock'!AW60&lt;&gt;""))&gt;0,'T_SelfStock'!AW60+'T_TTAFStock'!AW60,AV56+'Grid_Incoming'!AW56-'Grid_Requirement'!AW56))</f>
        <v/>
      </c>
      <c r="AX56">
        <f>IF(COUNTIFS(T_StockCount[Part Name],$A56,T_StockCount[WeekIndex],49)&gt;0,SUMIFS(T_StockCount[CountedQty],T_StockCount[Part Name],$A56,T_StockCount[WeekIndex],49),IF((('T_SelfStock'!AX60&lt;&gt;""))*(('T_TTAFStock'!AX60&lt;&gt;""))&gt;0,'T_SelfStock'!AX60+'T_TTAFStock'!AX60,AW56+'Grid_Incoming'!AX56-'Grid_Requirement'!AX56))</f>
        <v/>
      </c>
      <c r="AY56">
        <f>IF(COUNTIFS(T_StockCount[Part Name],$A56,T_StockCount[WeekIndex],50)&gt;0,SUMIFS(T_StockCount[CountedQty],T_StockCount[Part Name],$A56,T_StockCount[WeekIndex],50),IF((('T_SelfStock'!AY60&lt;&gt;""))*(('T_TTAFStock'!AY60&lt;&gt;""))&gt;0,'T_SelfStock'!AY60+'T_TTAFStock'!AY60,AX56+'Grid_Incoming'!AY56-'Grid_Requirement'!AY56))</f>
        <v/>
      </c>
      <c r="AZ56">
        <f>IF(COUNTIFS(T_StockCount[Part Name],$A56,T_StockCount[WeekIndex],51)&gt;0,SUMIFS(T_StockCount[CountedQty],T_StockCount[Part Name],$A56,T_StockCount[WeekIndex],51),IF((('T_SelfStock'!AZ60&lt;&gt;""))*(('T_TTAFStock'!AZ60&lt;&gt;""))&gt;0,'T_SelfStock'!AZ60+'T_TTAFStock'!AZ60,AY56+'Grid_Incoming'!AZ56-'Grid_Requirement'!AZ56))</f>
        <v/>
      </c>
      <c r="BA56">
        <f>IF(COUNTIFS(T_StockCount[Part Name],$A56,T_StockCount[WeekIndex],52)&gt;0,SUMIFS(T_StockCount[CountedQty],T_StockCount[Part Name],$A56,T_StockCount[WeekIndex],52),IF((('T_SelfStock'!BA60&lt;&gt;""))*(('T_TTAFStock'!BA60&lt;&gt;""))&gt;0,'T_SelfStock'!BA60+'T_TTAFStock'!BA60,AZ56+'Grid_Incoming'!BA56-'Grid_Requirement'!BA56))</f>
        <v/>
      </c>
      <c r="BB56">
        <f>IF(COUNTIFS(T_StockCount[Part Name],$A56,T_StockCount[WeekIndex],53)&gt;0,SUMIFS(T_StockCount[CountedQty],T_StockCount[Part Name],$A56,T_StockCount[WeekIndex],53),IF((('T_SelfStock'!BB60&lt;&gt;""))*(('T_TTAFStock'!BB60&lt;&gt;""))&gt;0,'T_SelfStock'!BB60+'T_TTAFStock'!BB60,BA56+'Grid_Incoming'!BB56-'Grid_Requirement'!BB56))</f>
        <v/>
      </c>
      <c r="BC56">
        <f>IF(COUNTIFS(T_StockCount[Part Name],$A56,T_StockCount[WeekIndex],54)&gt;0,SUMIFS(T_StockCount[CountedQty],T_StockCount[Part Name],$A56,T_StockCount[WeekIndex],54),IF((('T_SelfStock'!BC60&lt;&gt;""))*(('T_TTAFStock'!BC60&lt;&gt;""))&gt;0,'T_SelfStock'!BC60+'T_TTAFStock'!BC60,BB56+'Grid_Incoming'!BC56-'Grid_Requirement'!BC56))</f>
        <v/>
      </c>
      <c r="BD56">
        <f>IF(COUNTIFS(T_StockCount[Part Name],$A56,T_StockCount[WeekIndex],55)&gt;0,SUMIFS(T_StockCount[CountedQty],T_StockCount[Part Name],$A56,T_StockCount[WeekIndex],55),IF((('T_SelfStock'!BD60&lt;&gt;""))*(('T_TTAFStock'!BD60&lt;&gt;""))&gt;0,'T_SelfStock'!BD60+'T_TTAFStock'!BD60,BC56+'Grid_Incoming'!BD56-'Grid_Requirement'!BD56))</f>
        <v/>
      </c>
      <c r="BE56">
        <f>IF(COUNTIFS(T_StockCount[Part Name],$A56,T_StockCount[WeekIndex],56)&gt;0,SUMIFS(T_StockCount[CountedQty],T_StockCount[Part Name],$A56,T_StockCount[WeekIndex],56),IF((('T_SelfStock'!BE60&lt;&gt;""))*(('T_TTAFStock'!BE60&lt;&gt;""))&gt;0,'T_SelfStock'!BE60+'T_TTAFStock'!BE60,BD56+'Grid_Incoming'!BE56-'Grid_Requirement'!BE56))</f>
        <v/>
      </c>
      <c r="BF56">
        <f>IF(COUNTIFS(T_StockCount[Part Name],$A56,T_StockCount[WeekIndex],57)&gt;0,SUMIFS(T_StockCount[CountedQty],T_StockCount[Part Name],$A56,T_StockCount[WeekIndex],57),IF((('T_SelfStock'!BF60&lt;&gt;""))*(('T_TTAFStock'!BF60&lt;&gt;""))&gt;0,'T_SelfStock'!BF60+'T_TTAFStock'!BF60,BE56+'Grid_Incoming'!BF56-'Grid_Requirement'!BF56))</f>
        <v/>
      </c>
      <c r="BG56">
        <f>IF(COUNTIFS(T_StockCount[Part Name],$A56,T_StockCount[WeekIndex],58)&gt;0,SUMIFS(T_StockCount[CountedQty],T_StockCount[Part Name],$A56,T_StockCount[WeekIndex],58),IF((('T_SelfStock'!BG60&lt;&gt;""))*(('T_TTAFStock'!BG60&lt;&gt;""))&gt;0,'T_SelfStock'!BG60+'T_TTAFStock'!BG60,BF56+'Grid_Incoming'!BG56-'Grid_Requirement'!BG56))</f>
        <v/>
      </c>
      <c r="BH56">
        <f>IF(COUNTIFS(T_StockCount[Part Name],$A56,T_StockCount[WeekIndex],59)&gt;0,SUMIFS(T_StockCount[CountedQty],T_StockCount[Part Name],$A56,T_StockCount[WeekIndex],59),IF((('T_SelfStock'!BH60&lt;&gt;""))*(('T_TTAFStock'!BH60&lt;&gt;""))&gt;0,'T_SelfStock'!BH60+'T_TTAFStock'!BH60,BG56+'Grid_Incoming'!BH56-'Grid_Requirement'!BH56))</f>
        <v/>
      </c>
      <c r="BI56">
        <f>IF(COUNTIFS(T_StockCount[Part Name],$A56,T_StockCount[WeekIndex],60)&gt;0,SUMIFS(T_StockCount[CountedQty],T_StockCount[Part Name],$A56,T_StockCount[WeekIndex],60),IF((('T_SelfStock'!BI60&lt;&gt;""))*(('T_TTAFStock'!BI60&lt;&gt;""))&gt;0,'T_SelfStock'!BI60+'T_TTAFStock'!BI60,BH56+'Grid_Incoming'!BI56-'Grid_Requirement'!BI56))</f>
        <v/>
      </c>
      <c r="BJ56">
        <f>IF(COUNTIFS(T_StockCount[Part Name],$A56,T_StockCount[WeekIndex],61)&gt;0,SUMIFS(T_StockCount[CountedQty],T_StockCount[Part Name],$A56,T_StockCount[WeekIndex],61),IF((('T_SelfStock'!BJ60&lt;&gt;""))*(('T_TTAFStock'!BJ60&lt;&gt;""))&gt;0,'T_SelfStock'!BJ60+'T_TTAFStock'!BJ60,BI56+'Grid_Incoming'!BJ56-'Grid_Requirement'!BJ56))</f>
        <v/>
      </c>
      <c r="BK56">
        <f>IF(COUNTIFS(T_StockCount[Part Name],$A56,T_StockCount[WeekIndex],62)&gt;0,SUMIFS(T_StockCount[CountedQty],T_StockCount[Part Name],$A56,T_StockCount[WeekIndex],62),IF((('T_SelfStock'!BK60&lt;&gt;""))*(('T_TTAFStock'!BK60&lt;&gt;""))&gt;0,'T_SelfStock'!BK60+'T_TTAFStock'!BK60,BJ56+'Grid_Incoming'!BK56-'Grid_Requirement'!BK56))</f>
        <v/>
      </c>
      <c r="BL56">
        <f>IF(COUNTIFS(T_StockCount[Part Name],$A56,T_StockCount[WeekIndex],63)&gt;0,SUMIFS(T_StockCount[CountedQty],T_StockCount[Part Name],$A56,T_StockCount[WeekIndex],63),IF((('T_SelfStock'!BL60&lt;&gt;""))*(('T_TTAFStock'!BL60&lt;&gt;""))&gt;0,'T_SelfStock'!BL60+'T_TTAFStock'!BL60,BK56+'Grid_Incoming'!BL56-'Grid_Requirement'!BL56))</f>
        <v/>
      </c>
      <c r="BM56">
        <f>IF(COUNTIFS(T_StockCount[Part Name],$A56,T_StockCount[WeekIndex],64)&gt;0,SUMIFS(T_StockCount[CountedQty],T_StockCount[Part Name],$A56,T_StockCount[WeekIndex],64),IF((('T_SelfStock'!BM60&lt;&gt;""))*(('T_TTAFStock'!BM60&lt;&gt;""))&gt;0,'T_SelfStock'!BM60+'T_TTAFStock'!BM60,BL56+'Grid_Incoming'!BM56-'Grid_Requirement'!BM56))</f>
        <v/>
      </c>
      <c r="BN56">
        <f>IF(COUNTIFS(T_StockCount[Part Name],$A56,T_StockCount[WeekIndex],65)&gt;0,SUMIFS(T_StockCount[CountedQty],T_StockCount[Part Name],$A56,T_StockCount[WeekIndex],65),IF((('T_SelfStock'!BN60&lt;&gt;""))*(('T_TTAFStock'!BN60&lt;&gt;""))&gt;0,'T_SelfStock'!BN60+'T_TTAFStock'!BN60,BM56+'Grid_Incoming'!BN56-'Grid_Requirement'!BN56))</f>
        <v/>
      </c>
      <c r="BO56">
        <f>IF(COUNTIFS(T_StockCount[Part Name],$A56,T_StockCount[WeekIndex],66)&gt;0,SUMIFS(T_StockCount[CountedQty],T_StockCount[Part Name],$A56,T_StockCount[WeekIndex],66),IF((('T_SelfStock'!BO60&lt;&gt;""))*(('T_TTAFStock'!BO60&lt;&gt;""))&gt;0,'T_SelfStock'!BO60+'T_TTAFStock'!BO60,BN56+'Grid_Incoming'!BO56-'Grid_Requirement'!BO56))</f>
        <v/>
      </c>
      <c r="BP56">
        <f>IF(COUNTIFS(T_StockCount[Part Name],$A56,T_StockCount[WeekIndex],67)&gt;0,SUMIFS(T_StockCount[CountedQty],T_StockCount[Part Name],$A56,T_StockCount[WeekIndex],67),IF((('T_SelfStock'!BP60&lt;&gt;""))*(('T_TTAFStock'!BP60&lt;&gt;""))&gt;0,'T_SelfStock'!BP60+'T_TTAFStock'!BP60,BO56+'Grid_Incoming'!BP56-'Grid_Requirement'!BP56))</f>
        <v/>
      </c>
      <c r="BQ56">
        <f>IF(COUNTIFS(T_StockCount[Part Name],$A56,T_StockCount[WeekIndex],68)&gt;0,SUMIFS(T_StockCount[CountedQty],T_StockCount[Part Name],$A56,T_StockCount[WeekIndex],68),IF((('T_SelfStock'!BQ60&lt;&gt;""))*(('T_TTAFStock'!BQ60&lt;&gt;""))&gt;0,'T_SelfStock'!BQ60+'T_TTAFStock'!BQ60,BP56+'Grid_Incoming'!BQ56-'Grid_Requirement'!BQ56))</f>
        <v/>
      </c>
      <c r="BR56">
        <f>IF(COUNTIFS(T_StockCount[Part Name],$A56,T_StockCount[WeekIndex],69)&gt;0,SUMIFS(T_StockCount[CountedQty],T_StockCount[Part Name],$A56,T_StockCount[WeekIndex],69),IF((('T_SelfStock'!BR60&lt;&gt;""))*(('T_TTAFStock'!BR60&lt;&gt;""))&gt;0,'T_SelfStock'!BR60+'T_TTAFStock'!BR60,BQ56+'Grid_Incoming'!BR56-'Grid_Requirement'!BR56))</f>
        <v/>
      </c>
      <c r="BS56">
        <f>IF(COUNTIFS(T_StockCount[Part Name],$A56,T_StockCount[WeekIndex],70)&gt;0,SUMIFS(T_StockCount[CountedQty],T_StockCount[Part Name],$A56,T_StockCount[WeekIndex],70),IF((('T_SelfStock'!BS60&lt;&gt;""))*(('T_TTAFStock'!BS60&lt;&gt;""))&gt;0,'T_SelfStock'!BS60+'T_TTAFStock'!BS60,BR56+'Grid_Incoming'!BS56-'Grid_Requirement'!BS56))</f>
        <v/>
      </c>
      <c r="BT56">
        <f>IF(COUNTIFS(T_StockCount[Part Name],$A56,T_StockCount[WeekIndex],71)&gt;0,SUMIFS(T_StockCount[CountedQty],T_StockCount[Part Name],$A56,T_StockCount[WeekIndex],71),IF((('T_SelfStock'!BT60&lt;&gt;""))*(('T_TTAFStock'!BT60&lt;&gt;""))&gt;0,'T_SelfStock'!BT60+'T_TTAFStock'!BT60,BS56+'Grid_Incoming'!BT56-'Grid_Requirement'!BT56))</f>
        <v/>
      </c>
      <c r="BU56">
        <f>IF(COUNTIFS(T_StockCount[Part Name],$A56,T_StockCount[WeekIndex],72)&gt;0,SUMIFS(T_StockCount[CountedQty],T_StockCount[Part Name],$A56,T_StockCount[WeekIndex],72),IF((('T_SelfStock'!BU60&lt;&gt;""))*(('T_TTAFStock'!BU60&lt;&gt;""))&gt;0,'T_SelfStock'!BU60+'T_TTAFStock'!BU60,BT56+'Grid_Incoming'!BU56-'Grid_Requirement'!BU56))</f>
        <v/>
      </c>
      <c r="BV56">
        <f>IF(COUNTIFS(T_StockCount[Part Name],$A56,T_StockCount[WeekIndex],73)&gt;0,SUMIFS(T_StockCount[CountedQty],T_StockCount[Part Name],$A56,T_StockCount[WeekIndex],73),IF((('T_SelfStock'!BV60&lt;&gt;""))*(('T_TTAFStock'!BV60&lt;&gt;""))&gt;0,'T_SelfStock'!BV60+'T_TTAFStock'!BV60,BU56+'Grid_Incoming'!BV56-'Grid_Requirement'!BV56))</f>
        <v/>
      </c>
      <c r="BW56">
        <f>IF(COUNTIFS(T_StockCount[Part Name],$A56,T_StockCount[WeekIndex],74)&gt;0,SUMIFS(T_StockCount[CountedQty],T_StockCount[Part Name],$A56,T_StockCount[WeekIndex],74),IF((('T_SelfStock'!BW60&lt;&gt;""))*(('T_TTAFStock'!BW60&lt;&gt;""))&gt;0,'T_SelfStock'!BW60+'T_TTAFStock'!BW60,BV56+'Grid_Incoming'!BW56-'Grid_Requirement'!BW56))</f>
        <v/>
      </c>
      <c r="BX56">
        <f>IF(COUNTIFS(T_StockCount[Part Name],$A56,T_StockCount[WeekIndex],75)&gt;0,SUMIFS(T_StockCount[CountedQty],T_StockCount[Part Name],$A56,T_StockCount[WeekIndex],75),IF((('T_SelfStock'!BX60&lt;&gt;""))*(('T_TTAFStock'!BX60&lt;&gt;""))&gt;0,'T_SelfStock'!BX60+'T_TTAFStock'!BX60,BW56+'Grid_Incoming'!BX56-'Grid_Requirement'!BX56))</f>
        <v/>
      </c>
      <c r="BY56">
        <f>IF(COUNTIFS(T_StockCount[Part Name],$A56,T_StockCount[WeekIndex],76)&gt;0,SUMIFS(T_StockCount[CountedQty],T_StockCount[Part Name],$A56,T_StockCount[WeekIndex],76),IF((('T_SelfStock'!BY60&lt;&gt;""))*(('T_TTAFStock'!BY60&lt;&gt;""))&gt;0,'T_SelfStock'!BY60+'T_TTAFStock'!BY60,BX56+'Grid_Incoming'!BY56-'Grid_Requirement'!BY56))</f>
        <v/>
      </c>
      <c r="BZ56">
        <f>IF(COUNTIFS(T_StockCount[Part Name],$A56,T_StockCount[WeekIndex],77)&gt;0,SUMIFS(T_StockCount[CountedQty],T_StockCount[Part Name],$A56,T_StockCount[WeekIndex],77),IF((('T_SelfStock'!BZ60&lt;&gt;""))*(('T_TTAFStock'!BZ60&lt;&gt;""))&gt;0,'T_SelfStock'!BZ60+'T_TTAFStock'!BZ60,BY56+'Grid_Incoming'!BZ56-'Grid_Requirement'!BZ56))</f>
        <v/>
      </c>
      <c r="CA56">
        <f>IF(COUNTIFS(T_StockCount[Part Name],$A56,T_StockCount[WeekIndex],78)&gt;0,SUMIFS(T_StockCount[CountedQty],T_StockCount[Part Name],$A56,T_StockCount[WeekIndex],78),IF((('T_SelfStock'!CA60&lt;&gt;""))*(('T_TTAFStock'!CA60&lt;&gt;""))&gt;0,'T_SelfStock'!CA60+'T_TTAFStock'!CA60,BZ56+'Grid_Incoming'!CA56-'Grid_Requirement'!CA56))</f>
        <v/>
      </c>
      <c r="CB56">
        <f>IF(COUNTIFS(T_StockCount[Part Name],$A56,T_StockCount[WeekIndex],79)&gt;0,SUMIFS(T_StockCount[CountedQty],T_StockCount[Part Name],$A56,T_StockCount[WeekIndex],79),IF((('T_SelfStock'!CB60&lt;&gt;""))*(('T_TTAFStock'!CB60&lt;&gt;""))&gt;0,'T_SelfStock'!CB60+'T_TTAFStock'!CB60,CA56+'Grid_Incoming'!CB56-'Grid_Requirement'!CB56))</f>
        <v/>
      </c>
      <c r="CC56">
        <f>IF(COUNTIFS(T_StockCount[Part Name],$A56,T_StockCount[WeekIndex],80)&gt;0,SUMIFS(T_StockCount[CountedQty],T_StockCount[Part Name],$A56,T_StockCount[WeekIndex],80),IF((('T_SelfStock'!CC60&lt;&gt;""))*(('T_TTAFStock'!CC60&lt;&gt;""))&gt;0,'T_SelfStock'!CC60+'T_TTAFStock'!CC60,CB56+'Grid_Incoming'!CC56-'Grid_Requirement'!CC56))</f>
        <v/>
      </c>
      <c r="CD56">
        <f>IF(COUNTIFS(T_StockCount[Part Name],$A56,T_StockCount[WeekIndex],81)&gt;0,SUMIFS(T_StockCount[CountedQty],T_StockCount[Part Name],$A56,T_StockCount[WeekIndex],81),IF((('T_SelfStock'!CD60&lt;&gt;""))*(('T_TTAFStock'!CD60&lt;&gt;""))&gt;0,'T_SelfStock'!CD60+'T_TTAFStock'!CD60,CC56+'Grid_Incoming'!CD56-'Grid_Requirement'!CD56))</f>
        <v/>
      </c>
      <c r="CE56">
        <f>IF(COUNTIFS(T_StockCount[Part Name],$A56,T_StockCount[WeekIndex],82)&gt;0,SUMIFS(T_StockCount[CountedQty],T_StockCount[Part Name],$A56,T_StockCount[WeekIndex],82),IF((('T_SelfStock'!CE60&lt;&gt;""))*(('T_TTAFStock'!CE60&lt;&gt;""))&gt;0,'T_SelfStock'!CE60+'T_TTAFStock'!CE60,CD56+'Grid_Incoming'!CE56-'Grid_Requirement'!CE56))</f>
        <v/>
      </c>
      <c r="CF56">
        <f>IF(COUNTIFS(T_StockCount[Part Name],$A56,T_StockCount[WeekIndex],83)&gt;0,SUMIFS(T_StockCount[CountedQty],T_StockCount[Part Name],$A56,T_StockCount[WeekIndex],83),IF((('T_SelfStock'!CF60&lt;&gt;""))*(('T_TTAFStock'!CF60&lt;&gt;""))&gt;0,'T_SelfStock'!CF60+'T_TTAFStock'!CF60,CE56+'Grid_Incoming'!CF56-'Grid_Requirement'!CF56))</f>
        <v/>
      </c>
      <c r="CG56">
        <f>IF(COUNTIFS(T_StockCount[Part Name],$A56,T_StockCount[WeekIndex],84)&gt;0,SUMIFS(T_StockCount[CountedQty],T_StockCount[Part Name],$A56,T_StockCount[WeekIndex],84),IF((('T_SelfStock'!CG60&lt;&gt;""))*(('T_TTAFStock'!CG60&lt;&gt;""))&gt;0,'T_SelfStock'!CG60+'T_TTAFStock'!CG60,CF56+'Grid_Incoming'!CG56-'Grid_Requirement'!CG56))</f>
        <v/>
      </c>
      <c r="CH56">
        <f>IF(COUNTIFS(T_StockCount[Part Name],$A56,T_StockCount[WeekIndex],85)&gt;0,SUMIFS(T_StockCount[CountedQty],T_StockCount[Part Name],$A56,T_StockCount[WeekIndex],85),IF((('T_SelfStock'!CH60&lt;&gt;""))*(('T_TTAFStock'!CH60&lt;&gt;""))&gt;0,'T_SelfStock'!CH60+'T_TTAFStock'!CH60,CG56+'Grid_Incoming'!CH56-'Grid_Requirement'!CH56))</f>
        <v/>
      </c>
      <c r="CI56">
        <f>IF(COUNTIFS(T_StockCount[Part Name],$A56,T_StockCount[WeekIndex],86)&gt;0,SUMIFS(T_StockCount[CountedQty],T_StockCount[Part Name],$A56,T_StockCount[WeekIndex],86),IF((('T_SelfStock'!CI60&lt;&gt;""))*(('T_TTAFStock'!CI60&lt;&gt;""))&gt;0,'T_SelfStock'!CI60+'T_TTAFStock'!CI60,CH56+'Grid_Incoming'!CI56-'Grid_Requirement'!CI56))</f>
        <v/>
      </c>
      <c r="CJ56">
        <f>IF(COUNTIFS(T_StockCount[Part Name],$A56,T_StockCount[WeekIndex],87)&gt;0,SUMIFS(T_StockCount[CountedQty],T_StockCount[Part Name],$A56,T_StockCount[WeekIndex],87),IF((('T_SelfStock'!CJ60&lt;&gt;""))*(('T_TTAFStock'!CJ60&lt;&gt;""))&gt;0,'T_SelfStock'!CJ60+'T_TTAFStock'!CJ60,CI56+'Grid_Incoming'!CJ56-'Grid_Requirement'!CJ56))</f>
        <v/>
      </c>
      <c r="CK56">
        <f>IF(COUNTIFS(T_StockCount[Part Name],$A56,T_StockCount[WeekIndex],88)&gt;0,SUMIFS(T_StockCount[CountedQty],T_StockCount[Part Name],$A56,T_StockCount[WeekIndex],88),IF((('T_SelfStock'!CK60&lt;&gt;""))*(('T_TTAFStock'!CK60&lt;&gt;""))&gt;0,'T_SelfStock'!CK60+'T_TTAFStock'!CK60,CJ56+'Grid_Incoming'!CK56-'Grid_Requirement'!CK56))</f>
        <v/>
      </c>
      <c r="CL56">
        <f>IF(COUNTIFS(T_StockCount[Part Name],$A56,T_StockCount[WeekIndex],89)&gt;0,SUMIFS(T_StockCount[CountedQty],T_StockCount[Part Name],$A56,T_StockCount[WeekIndex],89),IF((('T_SelfStock'!CL60&lt;&gt;""))*(('T_TTAFStock'!CL60&lt;&gt;""))&gt;0,'T_SelfStock'!CL60+'T_TTAFStock'!CL60,CK56+'Grid_Incoming'!CL56-'Grid_Requirement'!CL56))</f>
        <v/>
      </c>
      <c r="CM56">
        <f>IF(COUNTIFS(T_StockCount[Part Name],$A56,T_StockCount[WeekIndex],90)&gt;0,SUMIFS(T_StockCount[CountedQty],T_StockCount[Part Name],$A56,T_StockCount[WeekIndex],90),IF((('T_SelfStock'!CM60&lt;&gt;""))*(('T_TTAFStock'!CM60&lt;&gt;""))&gt;0,'T_SelfStock'!CM60+'T_TTAFStock'!CM60,CL56+'Grid_Incoming'!CM56-'Grid_Requirement'!CM56))</f>
        <v/>
      </c>
      <c r="CN56">
        <f>IF(COUNTIFS(T_StockCount[Part Name],$A56,T_StockCount[WeekIndex],91)&gt;0,SUMIFS(T_StockCount[CountedQty],T_StockCount[Part Name],$A56,T_StockCount[WeekIndex],91),IF((('T_SelfStock'!CN60&lt;&gt;""))*(('T_TTAFStock'!CN60&lt;&gt;""))&gt;0,'T_SelfStock'!CN60+'T_TTAFStock'!CN60,CM56+'Grid_Incoming'!CN56-'Grid_Requirement'!CN56))</f>
        <v/>
      </c>
      <c r="CO56">
        <f>IF(COUNTIFS(T_StockCount[Part Name],$A56,T_StockCount[WeekIndex],92)&gt;0,SUMIFS(T_StockCount[CountedQty],T_StockCount[Part Name],$A56,T_StockCount[WeekIndex],92),IF((('T_SelfStock'!CO60&lt;&gt;""))*(('T_TTAFStock'!CO60&lt;&gt;""))&gt;0,'T_SelfStock'!CO60+'T_TTAFStock'!CO60,CN56+'Grid_Incoming'!CO56-'Grid_Requirement'!CO56))</f>
        <v/>
      </c>
      <c r="CP56">
        <f>IF(COUNTIFS(T_StockCount[Part Name],$A56,T_StockCount[WeekIndex],93)&gt;0,SUMIFS(T_StockCount[CountedQty],T_StockCount[Part Name],$A56,T_StockCount[WeekIndex],93),IF((('T_SelfStock'!CP60&lt;&gt;""))*(('T_TTAFStock'!CP60&lt;&gt;""))&gt;0,'T_SelfStock'!CP60+'T_TTAFStock'!CP60,CO56+'Grid_Incoming'!CP56-'Grid_Requirement'!CP56))</f>
        <v/>
      </c>
      <c r="CQ56">
        <f>IF(COUNTIFS(T_StockCount[Part Name],$A56,T_StockCount[WeekIndex],94)&gt;0,SUMIFS(T_StockCount[CountedQty],T_StockCount[Part Name],$A56,T_StockCount[WeekIndex],94),IF((('T_SelfStock'!CQ60&lt;&gt;""))*(('T_TTAFStock'!CQ60&lt;&gt;""))&gt;0,'T_SelfStock'!CQ60+'T_TTAFStock'!CQ60,CP56+'Grid_Incoming'!CQ56-'Grid_Requirement'!CQ56))</f>
        <v/>
      </c>
      <c r="CR56">
        <f>IF(COUNTIFS(T_StockCount[Part Name],$A56,T_StockCount[WeekIndex],95)&gt;0,SUMIFS(T_StockCount[CountedQty],T_StockCount[Part Name],$A56,T_StockCount[WeekIndex],95),IF((('T_SelfStock'!CR60&lt;&gt;""))*(('T_TTAFStock'!CR60&lt;&gt;""))&gt;0,'T_SelfStock'!CR60+'T_TTAFStock'!CR60,CQ56+'Grid_Incoming'!CR56-'Grid_Requirement'!CR56))</f>
        <v/>
      </c>
      <c r="CS56">
        <f>IF(COUNTIFS(T_StockCount[Part Name],$A56,T_StockCount[WeekIndex],96)&gt;0,SUMIFS(T_StockCount[CountedQty],T_StockCount[Part Name],$A56,T_StockCount[WeekIndex],96),IF((('T_SelfStock'!CS60&lt;&gt;""))*(('T_TTAFStock'!CS60&lt;&gt;""))&gt;0,'T_SelfStock'!CS60+'T_TTAFStock'!CS60,CR56+'Grid_Incoming'!CS56-'Grid_Requirement'!CS56))</f>
        <v/>
      </c>
      <c r="CT56">
        <f>IF(COUNTIFS(T_StockCount[Part Name],$A56,T_StockCount[WeekIndex],97)&gt;0,SUMIFS(T_StockCount[CountedQty],T_StockCount[Part Name],$A56,T_StockCount[WeekIndex],97),IF((('T_SelfStock'!CT60&lt;&gt;""))*(('T_TTAFStock'!CT60&lt;&gt;""))&gt;0,'T_SelfStock'!CT60+'T_TTAFStock'!CT60,CS56+'Grid_Incoming'!CT56-'Grid_Requirement'!CT56))</f>
        <v/>
      </c>
      <c r="CU56">
        <f>IF(COUNTIFS(T_StockCount[Part Name],$A56,T_StockCount[WeekIndex],98)&gt;0,SUMIFS(T_StockCount[CountedQty],T_StockCount[Part Name],$A56,T_StockCount[WeekIndex],98),IF((('T_SelfStock'!CU60&lt;&gt;""))*(('T_TTAFStock'!CU60&lt;&gt;""))&gt;0,'T_SelfStock'!CU60+'T_TTAFStock'!CU60,CT56+'Grid_Incoming'!CU56-'Grid_Requirement'!CU56))</f>
        <v/>
      </c>
      <c r="CV56">
        <f>IF(COUNTIFS(T_StockCount[Part Name],$A56,T_StockCount[WeekIndex],99)&gt;0,SUMIFS(T_StockCount[CountedQty],T_StockCount[Part Name],$A56,T_StockCount[WeekIndex],99),IF((('T_SelfStock'!CV60&lt;&gt;""))*(('T_TTAFStock'!CV60&lt;&gt;""))&gt;0,'T_SelfStock'!CV60+'T_TTAFStock'!CV60,CU56+'Grid_Incoming'!CV56-'Grid_Requirement'!CV56))</f>
        <v/>
      </c>
      <c r="CW56">
        <f>IF(COUNTIFS(T_StockCount[Part Name],$A56,T_StockCount[WeekIndex],100)&gt;0,SUMIFS(T_StockCount[CountedQty],T_StockCount[Part Name],$A56,T_StockCount[WeekIndex],100),IF((('T_SelfStock'!CW60&lt;&gt;""))*(('T_TTAFStock'!CW60&lt;&gt;""))&gt;0,'T_SelfStock'!CW60+'T_TTAFStock'!CW60,CV56+'Grid_Incoming'!CW56-'Grid_Requirement'!CW56))</f>
        <v/>
      </c>
      <c r="CX56">
        <f>IF(COUNTIFS(T_StockCount[Part Name],$A56,T_StockCount[WeekIndex],101)&gt;0,SUMIFS(T_StockCount[CountedQty],T_StockCount[Part Name],$A56,T_StockCount[WeekIndex],101),IF((('T_SelfStock'!CX60&lt;&gt;""))*(('T_TTAFStock'!CX60&lt;&gt;""))&gt;0,'T_SelfStock'!CX60+'T_TTAFStock'!CX60,CW56+'Grid_Incoming'!CX56-'Grid_Requirement'!CX56))</f>
        <v/>
      </c>
      <c r="CY56">
        <f>IF(COUNTIFS(T_StockCount[Part Name],$A56,T_StockCount[WeekIndex],102)&gt;0,SUMIFS(T_StockCount[CountedQty],T_StockCount[Part Name],$A56,T_StockCount[WeekIndex],102),IF((('T_SelfStock'!CY60&lt;&gt;""))*(('T_TTAFStock'!CY60&lt;&gt;""))&gt;0,'T_SelfStock'!CY60+'T_TTAFStock'!CY60,CX56+'Grid_Incoming'!CY56-'Grid_Requirement'!CY56))</f>
        <v/>
      </c>
      <c r="CZ56">
        <f>IF(COUNTIFS(T_StockCount[Part Name],$A56,T_StockCount[WeekIndex],103)&gt;0,SUMIFS(T_StockCount[CountedQty],T_StockCount[Part Name],$A56,T_StockCount[WeekIndex],103),IF((('T_SelfStock'!CZ60&lt;&gt;""))*(('T_TTAFStock'!CZ60&lt;&gt;""))&gt;0,'T_SelfStock'!CZ60+'T_TTAFStock'!CZ60,CY56+'Grid_Incoming'!CZ56-'Grid_Requirement'!CZ56))</f>
        <v/>
      </c>
      <c r="DA56">
        <f>IF(COUNTIFS(T_StockCount[Part Name],$A56,T_StockCount[WeekIndex],104)&gt;0,SUMIFS(T_StockCount[CountedQty],T_StockCount[Part Name],$A56,T_StockCount[WeekIndex],104),IF((('T_SelfStock'!DA60&lt;&gt;""))*(('T_TTAFStock'!DA60&lt;&gt;""))&gt;0,'T_SelfStock'!DA60+'T_TTAFStock'!DA60,CZ56+'Grid_Incoming'!DA56-'Grid_Requirement'!DA56))</f>
        <v/>
      </c>
    </row>
    <row r="57">
      <c r="A57" t="inlineStr">
        <is>
          <t>CHEM-1720</t>
        </is>
      </c>
      <c r="B57">
        <f>IF(COUNTIFS(T_StockCount[Part Name],$A57,T_StockCount[WeekIndex],1)&gt;0,SUMIFS(T_StockCount[CountedQty],T_StockCount[Part Name],$A57,T_StockCount[WeekIndex],1),IF((('T_SelfStock'!B61&lt;&gt;""))*(('T_TTAFStock'!B61&lt;&gt;""))&gt;0,'T_SelfStock'!B61+'T_TTAFStock'!B61,IFERROR(INDEX(T_OpeningStock[Opening_Qty],MATCH($A57,T_OpeningStock[Part Name],0)),0)+'Grid_Incoming'!B57-'Grid_Requirement'!B57))</f>
        <v/>
      </c>
      <c r="C57">
        <f>IF(COUNTIFS(T_StockCount[Part Name],$A57,T_StockCount[WeekIndex],2)&gt;0,SUMIFS(T_StockCount[CountedQty],T_StockCount[Part Name],$A57,T_StockCount[WeekIndex],2),IF((('T_SelfStock'!C61&lt;&gt;""))*(('T_TTAFStock'!C61&lt;&gt;""))&gt;0,'T_SelfStock'!C61+'T_TTAFStock'!C61,B57+'Grid_Incoming'!C57-'Grid_Requirement'!C57))</f>
        <v/>
      </c>
      <c r="D57">
        <f>IF(COUNTIFS(T_StockCount[Part Name],$A57,T_StockCount[WeekIndex],3)&gt;0,SUMIFS(T_StockCount[CountedQty],T_StockCount[Part Name],$A57,T_StockCount[WeekIndex],3),IF((('T_SelfStock'!D61&lt;&gt;""))*(('T_TTAFStock'!D61&lt;&gt;""))&gt;0,'T_SelfStock'!D61+'T_TTAFStock'!D61,C57+'Grid_Incoming'!D57-'Grid_Requirement'!D57))</f>
        <v/>
      </c>
      <c r="E57">
        <f>IF(COUNTIFS(T_StockCount[Part Name],$A57,T_StockCount[WeekIndex],4)&gt;0,SUMIFS(T_StockCount[CountedQty],T_StockCount[Part Name],$A57,T_StockCount[WeekIndex],4),IF((('T_SelfStock'!E61&lt;&gt;""))*(('T_TTAFStock'!E61&lt;&gt;""))&gt;0,'T_SelfStock'!E61+'T_TTAFStock'!E61,D57+'Grid_Incoming'!E57-'Grid_Requirement'!E57))</f>
        <v/>
      </c>
      <c r="F57">
        <f>IF(COUNTIFS(T_StockCount[Part Name],$A57,T_StockCount[WeekIndex],5)&gt;0,SUMIFS(T_StockCount[CountedQty],T_StockCount[Part Name],$A57,T_StockCount[WeekIndex],5),IF((('T_SelfStock'!F61&lt;&gt;""))*(('T_TTAFStock'!F61&lt;&gt;""))&gt;0,'T_SelfStock'!F61+'T_TTAFStock'!F61,E57+'Grid_Incoming'!F57-'Grid_Requirement'!F57))</f>
        <v/>
      </c>
      <c r="G57">
        <f>IF(COUNTIFS(T_StockCount[Part Name],$A57,T_StockCount[WeekIndex],6)&gt;0,SUMIFS(T_StockCount[CountedQty],T_StockCount[Part Name],$A57,T_StockCount[WeekIndex],6),IF((('T_SelfStock'!G61&lt;&gt;""))*(('T_TTAFStock'!G61&lt;&gt;""))&gt;0,'T_SelfStock'!G61+'T_TTAFStock'!G61,F57+'Grid_Incoming'!G57-'Grid_Requirement'!G57))</f>
        <v/>
      </c>
      <c r="H57">
        <f>IF(COUNTIFS(T_StockCount[Part Name],$A57,T_StockCount[WeekIndex],7)&gt;0,SUMIFS(T_StockCount[CountedQty],T_StockCount[Part Name],$A57,T_StockCount[WeekIndex],7),IF((('T_SelfStock'!H61&lt;&gt;""))*(('T_TTAFStock'!H61&lt;&gt;""))&gt;0,'T_SelfStock'!H61+'T_TTAFStock'!H61,G57+'Grid_Incoming'!H57-'Grid_Requirement'!H57))</f>
        <v/>
      </c>
      <c r="I57">
        <f>IF(COUNTIFS(T_StockCount[Part Name],$A57,T_StockCount[WeekIndex],8)&gt;0,SUMIFS(T_StockCount[CountedQty],T_StockCount[Part Name],$A57,T_StockCount[WeekIndex],8),IF((('T_SelfStock'!I61&lt;&gt;""))*(('T_TTAFStock'!I61&lt;&gt;""))&gt;0,'T_SelfStock'!I61+'T_TTAFStock'!I61,H57+'Grid_Incoming'!I57-'Grid_Requirement'!I57))</f>
        <v/>
      </c>
      <c r="J57">
        <f>IF(COUNTIFS(T_StockCount[Part Name],$A57,T_StockCount[WeekIndex],9)&gt;0,SUMIFS(T_StockCount[CountedQty],T_StockCount[Part Name],$A57,T_StockCount[WeekIndex],9),IF((('T_SelfStock'!J61&lt;&gt;""))*(('T_TTAFStock'!J61&lt;&gt;""))&gt;0,'T_SelfStock'!J61+'T_TTAFStock'!J61,I57+'Grid_Incoming'!J57-'Grid_Requirement'!J57))</f>
        <v/>
      </c>
      <c r="K57">
        <f>IF(COUNTIFS(T_StockCount[Part Name],$A57,T_StockCount[WeekIndex],10)&gt;0,SUMIFS(T_StockCount[CountedQty],T_StockCount[Part Name],$A57,T_StockCount[WeekIndex],10),IF((('T_SelfStock'!K61&lt;&gt;""))*(('T_TTAFStock'!K61&lt;&gt;""))&gt;0,'T_SelfStock'!K61+'T_TTAFStock'!K61,J57+'Grid_Incoming'!K57-'Grid_Requirement'!K57))</f>
        <v/>
      </c>
      <c r="L57">
        <f>IF(COUNTIFS(T_StockCount[Part Name],$A57,T_StockCount[WeekIndex],11)&gt;0,SUMIFS(T_StockCount[CountedQty],T_StockCount[Part Name],$A57,T_StockCount[WeekIndex],11),IF((('T_SelfStock'!L61&lt;&gt;""))*(('T_TTAFStock'!L61&lt;&gt;""))&gt;0,'T_SelfStock'!L61+'T_TTAFStock'!L61,K57+'Grid_Incoming'!L57-'Grid_Requirement'!L57))</f>
        <v/>
      </c>
      <c r="M57">
        <f>IF(COUNTIFS(T_StockCount[Part Name],$A57,T_StockCount[WeekIndex],12)&gt;0,SUMIFS(T_StockCount[CountedQty],T_StockCount[Part Name],$A57,T_StockCount[WeekIndex],12),IF((('T_SelfStock'!M61&lt;&gt;""))*(('T_TTAFStock'!M61&lt;&gt;""))&gt;0,'T_SelfStock'!M61+'T_TTAFStock'!M61,L57+'Grid_Incoming'!M57-'Grid_Requirement'!M57))</f>
        <v/>
      </c>
      <c r="N57">
        <f>IF(COUNTIFS(T_StockCount[Part Name],$A57,T_StockCount[WeekIndex],13)&gt;0,SUMIFS(T_StockCount[CountedQty],T_StockCount[Part Name],$A57,T_StockCount[WeekIndex],13),IF((('T_SelfStock'!N61&lt;&gt;""))*(('T_TTAFStock'!N61&lt;&gt;""))&gt;0,'T_SelfStock'!N61+'T_TTAFStock'!N61,M57+'Grid_Incoming'!N57-'Grid_Requirement'!N57))</f>
        <v/>
      </c>
      <c r="O57">
        <f>IF(COUNTIFS(T_StockCount[Part Name],$A57,T_StockCount[WeekIndex],14)&gt;0,SUMIFS(T_StockCount[CountedQty],T_StockCount[Part Name],$A57,T_StockCount[WeekIndex],14),IF((('T_SelfStock'!O61&lt;&gt;""))*(('T_TTAFStock'!O61&lt;&gt;""))&gt;0,'T_SelfStock'!O61+'T_TTAFStock'!O61,N57+'Grid_Incoming'!O57-'Grid_Requirement'!O57))</f>
        <v/>
      </c>
      <c r="P57">
        <f>IF(COUNTIFS(T_StockCount[Part Name],$A57,T_StockCount[WeekIndex],15)&gt;0,SUMIFS(T_StockCount[CountedQty],T_StockCount[Part Name],$A57,T_StockCount[WeekIndex],15),IF((('T_SelfStock'!P61&lt;&gt;""))*(('T_TTAFStock'!P61&lt;&gt;""))&gt;0,'T_SelfStock'!P61+'T_TTAFStock'!P61,O57+'Grid_Incoming'!P57-'Grid_Requirement'!P57))</f>
        <v/>
      </c>
      <c r="Q57">
        <f>IF(COUNTIFS(T_StockCount[Part Name],$A57,T_StockCount[WeekIndex],16)&gt;0,SUMIFS(T_StockCount[CountedQty],T_StockCount[Part Name],$A57,T_StockCount[WeekIndex],16),IF((('T_SelfStock'!Q61&lt;&gt;""))*(('T_TTAFStock'!Q61&lt;&gt;""))&gt;0,'T_SelfStock'!Q61+'T_TTAFStock'!Q61,P57+'Grid_Incoming'!Q57-'Grid_Requirement'!Q57))</f>
        <v/>
      </c>
      <c r="R57">
        <f>IF(COUNTIFS(T_StockCount[Part Name],$A57,T_StockCount[WeekIndex],17)&gt;0,SUMIFS(T_StockCount[CountedQty],T_StockCount[Part Name],$A57,T_StockCount[WeekIndex],17),IF((('T_SelfStock'!R61&lt;&gt;""))*(('T_TTAFStock'!R61&lt;&gt;""))&gt;0,'T_SelfStock'!R61+'T_TTAFStock'!R61,Q57+'Grid_Incoming'!R57-'Grid_Requirement'!R57))</f>
        <v/>
      </c>
      <c r="S57">
        <f>IF(COUNTIFS(T_StockCount[Part Name],$A57,T_StockCount[WeekIndex],18)&gt;0,SUMIFS(T_StockCount[CountedQty],T_StockCount[Part Name],$A57,T_StockCount[WeekIndex],18),IF((('T_SelfStock'!S61&lt;&gt;""))*(('T_TTAFStock'!S61&lt;&gt;""))&gt;0,'T_SelfStock'!S61+'T_TTAFStock'!S61,R57+'Grid_Incoming'!S57-'Grid_Requirement'!S57))</f>
        <v/>
      </c>
      <c r="T57">
        <f>IF(COUNTIFS(T_StockCount[Part Name],$A57,T_StockCount[WeekIndex],19)&gt;0,SUMIFS(T_StockCount[CountedQty],T_StockCount[Part Name],$A57,T_StockCount[WeekIndex],19),IF((('T_SelfStock'!T61&lt;&gt;""))*(('T_TTAFStock'!T61&lt;&gt;""))&gt;0,'T_SelfStock'!T61+'T_TTAFStock'!T61,S57+'Grid_Incoming'!T57-'Grid_Requirement'!T57))</f>
        <v/>
      </c>
      <c r="U57">
        <f>IF(COUNTIFS(T_StockCount[Part Name],$A57,T_StockCount[WeekIndex],20)&gt;0,SUMIFS(T_StockCount[CountedQty],T_StockCount[Part Name],$A57,T_StockCount[WeekIndex],20),IF((('T_SelfStock'!U61&lt;&gt;""))*(('T_TTAFStock'!U61&lt;&gt;""))&gt;0,'T_SelfStock'!U61+'T_TTAFStock'!U61,T57+'Grid_Incoming'!U57-'Grid_Requirement'!U57))</f>
        <v/>
      </c>
      <c r="V57">
        <f>IF(COUNTIFS(T_StockCount[Part Name],$A57,T_StockCount[WeekIndex],21)&gt;0,SUMIFS(T_StockCount[CountedQty],T_StockCount[Part Name],$A57,T_StockCount[WeekIndex],21),IF((('T_SelfStock'!V61&lt;&gt;""))*(('T_TTAFStock'!V61&lt;&gt;""))&gt;0,'T_SelfStock'!V61+'T_TTAFStock'!V61,U57+'Grid_Incoming'!V57-'Grid_Requirement'!V57))</f>
        <v/>
      </c>
      <c r="W57">
        <f>IF(COUNTIFS(T_StockCount[Part Name],$A57,T_StockCount[WeekIndex],22)&gt;0,SUMIFS(T_StockCount[CountedQty],T_StockCount[Part Name],$A57,T_StockCount[WeekIndex],22),IF((('T_SelfStock'!W61&lt;&gt;""))*(('T_TTAFStock'!W61&lt;&gt;""))&gt;0,'T_SelfStock'!W61+'T_TTAFStock'!W61,V57+'Grid_Incoming'!W57-'Grid_Requirement'!W57))</f>
        <v/>
      </c>
      <c r="X57">
        <f>IF(COUNTIFS(T_StockCount[Part Name],$A57,T_StockCount[WeekIndex],23)&gt;0,SUMIFS(T_StockCount[CountedQty],T_StockCount[Part Name],$A57,T_StockCount[WeekIndex],23),IF((('T_SelfStock'!X61&lt;&gt;""))*(('T_TTAFStock'!X61&lt;&gt;""))&gt;0,'T_SelfStock'!X61+'T_TTAFStock'!X61,W57+'Grid_Incoming'!X57-'Grid_Requirement'!X57))</f>
        <v/>
      </c>
      <c r="Y57">
        <f>IF(COUNTIFS(T_StockCount[Part Name],$A57,T_StockCount[WeekIndex],24)&gt;0,SUMIFS(T_StockCount[CountedQty],T_StockCount[Part Name],$A57,T_StockCount[WeekIndex],24),IF((('T_SelfStock'!Y61&lt;&gt;""))*(('T_TTAFStock'!Y61&lt;&gt;""))&gt;0,'T_SelfStock'!Y61+'T_TTAFStock'!Y61,X57+'Grid_Incoming'!Y57-'Grid_Requirement'!Y57))</f>
        <v/>
      </c>
      <c r="Z57">
        <f>IF(COUNTIFS(T_StockCount[Part Name],$A57,T_StockCount[WeekIndex],25)&gt;0,SUMIFS(T_StockCount[CountedQty],T_StockCount[Part Name],$A57,T_StockCount[WeekIndex],25),IF((('T_SelfStock'!Z61&lt;&gt;""))*(('T_TTAFStock'!Z61&lt;&gt;""))&gt;0,'T_SelfStock'!Z61+'T_TTAFStock'!Z61,Y57+'Grid_Incoming'!Z57-'Grid_Requirement'!Z57))</f>
        <v/>
      </c>
      <c r="AA57">
        <f>IF(COUNTIFS(T_StockCount[Part Name],$A57,T_StockCount[WeekIndex],26)&gt;0,SUMIFS(T_StockCount[CountedQty],T_StockCount[Part Name],$A57,T_StockCount[WeekIndex],26),IF((('T_SelfStock'!AA61&lt;&gt;""))*(('T_TTAFStock'!AA61&lt;&gt;""))&gt;0,'T_SelfStock'!AA61+'T_TTAFStock'!AA61,Z57+'Grid_Incoming'!AA57-'Grid_Requirement'!AA57))</f>
        <v/>
      </c>
      <c r="AB57">
        <f>IF(COUNTIFS(T_StockCount[Part Name],$A57,T_StockCount[WeekIndex],27)&gt;0,SUMIFS(T_StockCount[CountedQty],T_StockCount[Part Name],$A57,T_StockCount[WeekIndex],27),IF((('T_SelfStock'!AB61&lt;&gt;""))*(('T_TTAFStock'!AB61&lt;&gt;""))&gt;0,'T_SelfStock'!AB61+'T_TTAFStock'!AB61,AA57+'Grid_Incoming'!AB57-'Grid_Requirement'!AB57))</f>
        <v/>
      </c>
      <c r="AC57">
        <f>IF(COUNTIFS(T_StockCount[Part Name],$A57,T_StockCount[WeekIndex],28)&gt;0,SUMIFS(T_StockCount[CountedQty],T_StockCount[Part Name],$A57,T_StockCount[WeekIndex],28),IF((('T_SelfStock'!AC61&lt;&gt;""))*(('T_TTAFStock'!AC61&lt;&gt;""))&gt;0,'T_SelfStock'!AC61+'T_TTAFStock'!AC61,AB57+'Grid_Incoming'!AC57-'Grid_Requirement'!AC57))</f>
        <v/>
      </c>
      <c r="AD57">
        <f>IF(COUNTIFS(T_StockCount[Part Name],$A57,T_StockCount[WeekIndex],29)&gt;0,SUMIFS(T_StockCount[CountedQty],T_StockCount[Part Name],$A57,T_StockCount[WeekIndex],29),IF((('T_SelfStock'!AD61&lt;&gt;""))*(('T_TTAFStock'!AD61&lt;&gt;""))&gt;0,'T_SelfStock'!AD61+'T_TTAFStock'!AD61,AC57+'Grid_Incoming'!AD57-'Grid_Requirement'!AD57))</f>
        <v/>
      </c>
      <c r="AE57">
        <f>IF(COUNTIFS(T_StockCount[Part Name],$A57,T_StockCount[WeekIndex],30)&gt;0,SUMIFS(T_StockCount[CountedQty],T_StockCount[Part Name],$A57,T_StockCount[WeekIndex],30),IF((('T_SelfStock'!AE61&lt;&gt;""))*(('T_TTAFStock'!AE61&lt;&gt;""))&gt;0,'T_SelfStock'!AE61+'T_TTAFStock'!AE61,AD57+'Grid_Incoming'!AE57-'Grid_Requirement'!AE57))</f>
        <v/>
      </c>
      <c r="AF57">
        <f>IF(COUNTIFS(T_StockCount[Part Name],$A57,T_StockCount[WeekIndex],31)&gt;0,SUMIFS(T_StockCount[CountedQty],T_StockCount[Part Name],$A57,T_StockCount[WeekIndex],31),IF((('T_SelfStock'!AF61&lt;&gt;""))*(('T_TTAFStock'!AF61&lt;&gt;""))&gt;0,'T_SelfStock'!AF61+'T_TTAFStock'!AF61,AE57+'Grid_Incoming'!AF57-'Grid_Requirement'!AF57))</f>
        <v/>
      </c>
      <c r="AG57">
        <f>IF(COUNTIFS(T_StockCount[Part Name],$A57,T_StockCount[WeekIndex],32)&gt;0,SUMIFS(T_StockCount[CountedQty],T_StockCount[Part Name],$A57,T_StockCount[WeekIndex],32),IF((('T_SelfStock'!AG61&lt;&gt;""))*(('T_TTAFStock'!AG61&lt;&gt;""))&gt;0,'T_SelfStock'!AG61+'T_TTAFStock'!AG61,AF57+'Grid_Incoming'!AG57-'Grid_Requirement'!AG57))</f>
        <v/>
      </c>
      <c r="AH57">
        <f>IF(COUNTIFS(T_StockCount[Part Name],$A57,T_StockCount[WeekIndex],33)&gt;0,SUMIFS(T_StockCount[CountedQty],T_StockCount[Part Name],$A57,T_StockCount[WeekIndex],33),IF((('T_SelfStock'!AH61&lt;&gt;""))*(('T_TTAFStock'!AH61&lt;&gt;""))&gt;0,'T_SelfStock'!AH61+'T_TTAFStock'!AH61,AG57+'Grid_Incoming'!AH57-'Grid_Requirement'!AH57))</f>
        <v/>
      </c>
      <c r="AI57">
        <f>IF(COUNTIFS(T_StockCount[Part Name],$A57,T_StockCount[WeekIndex],34)&gt;0,SUMIFS(T_StockCount[CountedQty],T_StockCount[Part Name],$A57,T_StockCount[WeekIndex],34),IF((('T_SelfStock'!AI61&lt;&gt;""))*(('T_TTAFStock'!AI61&lt;&gt;""))&gt;0,'T_SelfStock'!AI61+'T_TTAFStock'!AI61,AH57+'Grid_Incoming'!AI57-'Grid_Requirement'!AI57))</f>
        <v/>
      </c>
      <c r="AJ57">
        <f>IF(COUNTIFS(T_StockCount[Part Name],$A57,T_StockCount[WeekIndex],35)&gt;0,SUMIFS(T_StockCount[CountedQty],T_StockCount[Part Name],$A57,T_StockCount[WeekIndex],35),IF((('T_SelfStock'!AJ61&lt;&gt;""))*(('T_TTAFStock'!AJ61&lt;&gt;""))&gt;0,'T_SelfStock'!AJ61+'T_TTAFStock'!AJ61,AI57+'Grid_Incoming'!AJ57-'Grid_Requirement'!AJ57))</f>
        <v/>
      </c>
      <c r="AK57">
        <f>IF(COUNTIFS(T_StockCount[Part Name],$A57,T_StockCount[WeekIndex],36)&gt;0,SUMIFS(T_StockCount[CountedQty],T_StockCount[Part Name],$A57,T_StockCount[WeekIndex],36),IF((('T_SelfStock'!AK61&lt;&gt;""))*(('T_TTAFStock'!AK61&lt;&gt;""))&gt;0,'T_SelfStock'!AK61+'T_TTAFStock'!AK61,AJ57+'Grid_Incoming'!AK57-'Grid_Requirement'!AK57))</f>
        <v/>
      </c>
      <c r="AL57">
        <f>IF(COUNTIFS(T_StockCount[Part Name],$A57,T_StockCount[WeekIndex],37)&gt;0,SUMIFS(T_StockCount[CountedQty],T_StockCount[Part Name],$A57,T_StockCount[WeekIndex],37),IF((('T_SelfStock'!AL61&lt;&gt;""))*(('T_TTAFStock'!AL61&lt;&gt;""))&gt;0,'T_SelfStock'!AL61+'T_TTAFStock'!AL61,AK57+'Grid_Incoming'!AL57-'Grid_Requirement'!AL57))</f>
        <v/>
      </c>
      <c r="AM57">
        <f>IF(COUNTIFS(T_StockCount[Part Name],$A57,T_StockCount[WeekIndex],38)&gt;0,SUMIFS(T_StockCount[CountedQty],T_StockCount[Part Name],$A57,T_StockCount[WeekIndex],38),IF((('T_SelfStock'!AM61&lt;&gt;""))*(('T_TTAFStock'!AM61&lt;&gt;""))&gt;0,'T_SelfStock'!AM61+'T_TTAFStock'!AM61,AL57+'Grid_Incoming'!AM57-'Grid_Requirement'!AM57))</f>
        <v/>
      </c>
      <c r="AN57">
        <f>IF(COUNTIFS(T_StockCount[Part Name],$A57,T_StockCount[WeekIndex],39)&gt;0,SUMIFS(T_StockCount[CountedQty],T_StockCount[Part Name],$A57,T_StockCount[WeekIndex],39),IF((('T_SelfStock'!AN61&lt;&gt;""))*(('T_TTAFStock'!AN61&lt;&gt;""))&gt;0,'T_SelfStock'!AN61+'T_TTAFStock'!AN61,AM57+'Grid_Incoming'!AN57-'Grid_Requirement'!AN57))</f>
        <v/>
      </c>
      <c r="AO57">
        <f>IF(COUNTIFS(T_StockCount[Part Name],$A57,T_StockCount[WeekIndex],40)&gt;0,SUMIFS(T_StockCount[CountedQty],T_StockCount[Part Name],$A57,T_StockCount[WeekIndex],40),IF((('T_SelfStock'!AO61&lt;&gt;""))*(('T_TTAFStock'!AO61&lt;&gt;""))&gt;0,'T_SelfStock'!AO61+'T_TTAFStock'!AO61,AN57+'Grid_Incoming'!AO57-'Grid_Requirement'!AO57))</f>
        <v/>
      </c>
      <c r="AP57">
        <f>IF(COUNTIFS(T_StockCount[Part Name],$A57,T_StockCount[WeekIndex],41)&gt;0,SUMIFS(T_StockCount[CountedQty],T_StockCount[Part Name],$A57,T_StockCount[WeekIndex],41),IF((('T_SelfStock'!AP61&lt;&gt;""))*(('T_TTAFStock'!AP61&lt;&gt;""))&gt;0,'T_SelfStock'!AP61+'T_TTAFStock'!AP61,AO57+'Grid_Incoming'!AP57-'Grid_Requirement'!AP57))</f>
        <v/>
      </c>
      <c r="AQ57">
        <f>IF(COUNTIFS(T_StockCount[Part Name],$A57,T_StockCount[WeekIndex],42)&gt;0,SUMIFS(T_StockCount[CountedQty],T_StockCount[Part Name],$A57,T_StockCount[WeekIndex],42),IF((('T_SelfStock'!AQ61&lt;&gt;""))*(('T_TTAFStock'!AQ61&lt;&gt;""))&gt;0,'T_SelfStock'!AQ61+'T_TTAFStock'!AQ61,AP57+'Grid_Incoming'!AQ57-'Grid_Requirement'!AQ57))</f>
        <v/>
      </c>
      <c r="AR57">
        <f>IF(COUNTIFS(T_StockCount[Part Name],$A57,T_StockCount[WeekIndex],43)&gt;0,SUMIFS(T_StockCount[CountedQty],T_StockCount[Part Name],$A57,T_StockCount[WeekIndex],43),IF((('T_SelfStock'!AR61&lt;&gt;""))*(('T_TTAFStock'!AR61&lt;&gt;""))&gt;0,'T_SelfStock'!AR61+'T_TTAFStock'!AR61,AQ57+'Grid_Incoming'!AR57-'Grid_Requirement'!AR57))</f>
        <v/>
      </c>
      <c r="AS57">
        <f>IF(COUNTIFS(T_StockCount[Part Name],$A57,T_StockCount[WeekIndex],44)&gt;0,SUMIFS(T_StockCount[CountedQty],T_StockCount[Part Name],$A57,T_StockCount[WeekIndex],44),IF((('T_SelfStock'!AS61&lt;&gt;""))*(('T_TTAFStock'!AS61&lt;&gt;""))&gt;0,'T_SelfStock'!AS61+'T_TTAFStock'!AS61,AR57+'Grid_Incoming'!AS57-'Grid_Requirement'!AS57))</f>
        <v/>
      </c>
      <c r="AT57">
        <f>IF(COUNTIFS(T_StockCount[Part Name],$A57,T_StockCount[WeekIndex],45)&gt;0,SUMIFS(T_StockCount[CountedQty],T_StockCount[Part Name],$A57,T_StockCount[WeekIndex],45),IF((('T_SelfStock'!AT61&lt;&gt;""))*(('T_TTAFStock'!AT61&lt;&gt;""))&gt;0,'T_SelfStock'!AT61+'T_TTAFStock'!AT61,AS57+'Grid_Incoming'!AT57-'Grid_Requirement'!AT57))</f>
        <v/>
      </c>
      <c r="AU57">
        <f>IF(COUNTIFS(T_StockCount[Part Name],$A57,T_StockCount[WeekIndex],46)&gt;0,SUMIFS(T_StockCount[CountedQty],T_StockCount[Part Name],$A57,T_StockCount[WeekIndex],46),IF((('T_SelfStock'!AU61&lt;&gt;""))*(('T_TTAFStock'!AU61&lt;&gt;""))&gt;0,'T_SelfStock'!AU61+'T_TTAFStock'!AU61,AT57+'Grid_Incoming'!AU57-'Grid_Requirement'!AU57))</f>
        <v/>
      </c>
      <c r="AV57">
        <f>IF(COUNTIFS(T_StockCount[Part Name],$A57,T_StockCount[WeekIndex],47)&gt;0,SUMIFS(T_StockCount[CountedQty],T_StockCount[Part Name],$A57,T_StockCount[WeekIndex],47),IF((('T_SelfStock'!AV61&lt;&gt;""))*(('T_TTAFStock'!AV61&lt;&gt;""))&gt;0,'T_SelfStock'!AV61+'T_TTAFStock'!AV61,AU57+'Grid_Incoming'!AV57-'Grid_Requirement'!AV57))</f>
        <v/>
      </c>
      <c r="AW57">
        <f>IF(COUNTIFS(T_StockCount[Part Name],$A57,T_StockCount[WeekIndex],48)&gt;0,SUMIFS(T_StockCount[CountedQty],T_StockCount[Part Name],$A57,T_StockCount[WeekIndex],48),IF((('T_SelfStock'!AW61&lt;&gt;""))*(('T_TTAFStock'!AW61&lt;&gt;""))&gt;0,'T_SelfStock'!AW61+'T_TTAFStock'!AW61,AV57+'Grid_Incoming'!AW57-'Grid_Requirement'!AW57))</f>
        <v/>
      </c>
      <c r="AX57">
        <f>IF(COUNTIFS(T_StockCount[Part Name],$A57,T_StockCount[WeekIndex],49)&gt;0,SUMIFS(T_StockCount[CountedQty],T_StockCount[Part Name],$A57,T_StockCount[WeekIndex],49),IF((('T_SelfStock'!AX61&lt;&gt;""))*(('T_TTAFStock'!AX61&lt;&gt;""))&gt;0,'T_SelfStock'!AX61+'T_TTAFStock'!AX61,AW57+'Grid_Incoming'!AX57-'Grid_Requirement'!AX57))</f>
        <v/>
      </c>
      <c r="AY57">
        <f>IF(COUNTIFS(T_StockCount[Part Name],$A57,T_StockCount[WeekIndex],50)&gt;0,SUMIFS(T_StockCount[CountedQty],T_StockCount[Part Name],$A57,T_StockCount[WeekIndex],50),IF((('T_SelfStock'!AY61&lt;&gt;""))*(('T_TTAFStock'!AY61&lt;&gt;""))&gt;0,'T_SelfStock'!AY61+'T_TTAFStock'!AY61,AX57+'Grid_Incoming'!AY57-'Grid_Requirement'!AY57))</f>
        <v/>
      </c>
      <c r="AZ57">
        <f>IF(COUNTIFS(T_StockCount[Part Name],$A57,T_StockCount[WeekIndex],51)&gt;0,SUMIFS(T_StockCount[CountedQty],T_StockCount[Part Name],$A57,T_StockCount[WeekIndex],51),IF((('T_SelfStock'!AZ61&lt;&gt;""))*(('T_TTAFStock'!AZ61&lt;&gt;""))&gt;0,'T_SelfStock'!AZ61+'T_TTAFStock'!AZ61,AY57+'Grid_Incoming'!AZ57-'Grid_Requirement'!AZ57))</f>
        <v/>
      </c>
      <c r="BA57">
        <f>IF(COUNTIFS(T_StockCount[Part Name],$A57,T_StockCount[WeekIndex],52)&gt;0,SUMIFS(T_StockCount[CountedQty],T_StockCount[Part Name],$A57,T_StockCount[WeekIndex],52),IF((('T_SelfStock'!BA61&lt;&gt;""))*(('T_TTAFStock'!BA61&lt;&gt;""))&gt;0,'T_SelfStock'!BA61+'T_TTAFStock'!BA61,AZ57+'Grid_Incoming'!BA57-'Grid_Requirement'!BA57))</f>
        <v/>
      </c>
      <c r="BB57">
        <f>IF(COUNTIFS(T_StockCount[Part Name],$A57,T_StockCount[WeekIndex],53)&gt;0,SUMIFS(T_StockCount[CountedQty],T_StockCount[Part Name],$A57,T_StockCount[WeekIndex],53),IF((('T_SelfStock'!BB61&lt;&gt;""))*(('T_TTAFStock'!BB61&lt;&gt;""))&gt;0,'T_SelfStock'!BB61+'T_TTAFStock'!BB61,BA57+'Grid_Incoming'!BB57-'Grid_Requirement'!BB57))</f>
        <v/>
      </c>
      <c r="BC57">
        <f>IF(COUNTIFS(T_StockCount[Part Name],$A57,T_StockCount[WeekIndex],54)&gt;0,SUMIFS(T_StockCount[CountedQty],T_StockCount[Part Name],$A57,T_StockCount[WeekIndex],54),IF((('T_SelfStock'!BC61&lt;&gt;""))*(('T_TTAFStock'!BC61&lt;&gt;""))&gt;0,'T_SelfStock'!BC61+'T_TTAFStock'!BC61,BB57+'Grid_Incoming'!BC57-'Grid_Requirement'!BC57))</f>
        <v/>
      </c>
      <c r="BD57">
        <f>IF(COUNTIFS(T_StockCount[Part Name],$A57,T_StockCount[WeekIndex],55)&gt;0,SUMIFS(T_StockCount[CountedQty],T_StockCount[Part Name],$A57,T_StockCount[WeekIndex],55),IF((('T_SelfStock'!BD61&lt;&gt;""))*(('T_TTAFStock'!BD61&lt;&gt;""))&gt;0,'T_SelfStock'!BD61+'T_TTAFStock'!BD61,BC57+'Grid_Incoming'!BD57-'Grid_Requirement'!BD57))</f>
        <v/>
      </c>
      <c r="BE57">
        <f>IF(COUNTIFS(T_StockCount[Part Name],$A57,T_StockCount[WeekIndex],56)&gt;0,SUMIFS(T_StockCount[CountedQty],T_StockCount[Part Name],$A57,T_StockCount[WeekIndex],56),IF((('T_SelfStock'!BE61&lt;&gt;""))*(('T_TTAFStock'!BE61&lt;&gt;""))&gt;0,'T_SelfStock'!BE61+'T_TTAFStock'!BE61,BD57+'Grid_Incoming'!BE57-'Grid_Requirement'!BE57))</f>
        <v/>
      </c>
      <c r="BF57">
        <f>IF(COUNTIFS(T_StockCount[Part Name],$A57,T_StockCount[WeekIndex],57)&gt;0,SUMIFS(T_StockCount[CountedQty],T_StockCount[Part Name],$A57,T_StockCount[WeekIndex],57),IF((('T_SelfStock'!BF61&lt;&gt;""))*(('T_TTAFStock'!BF61&lt;&gt;""))&gt;0,'T_SelfStock'!BF61+'T_TTAFStock'!BF61,BE57+'Grid_Incoming'!BF57-'Grid_Requirement'!BF57))</f>
        <v/>
      </c>
      <c r="BG57">
        <f>IF(COUNTIFS(T_StockCount[Part Name],$A57,T_StockCount[WeekIndex],58)&gt;0,SUMIFS(T_StockCount[CountedQty],T_StockCount[Part Name],$A57,T_StockCount[WeekIndex],58),IF((('T_SelfStock'!BG61&lt;&gt;""))*(('T_TTAFStock'!BG61&lt;&gt;""))&gt;0,'T_SelfStock'!BG61+'T_TTAFStock'!BG61,BF57+'Grid_Incoming'!BG57-'Grid_Requirement'!BG57))</f>
        <v/>
      </c>
      <c r="BH57">
        <f>IF(COUNTIFS(T_StockCount[Part Name],$A57,T_StockCount[WeekIndex],59)&gt;0,SUMIFS(T_StockCount[CountedQty],T_StockCount[Part Name],$A57,T_StockCount[WeekIndex],59),IF((('T_SelfStock'!BH61&lt;&gt;""))*(('T_TTAFStock'!BH61&lt;&gt;""))&gt;0,'T_SelfStock'!BH61+'T_TTAFStock'!BH61,BG57+'Grid_Incoming'!BH57-'Grid_Requirement'!BH57))</f>
        <v/>
      </c>
      <c r="BI57">
        <f>IF(COUNTIFS(T_StockCount[Part Name],$A57,T_StockCount[WeekIndex],60)&gt;0,SUMIFS(T_StockCount[CountedQty],T_StockCount[Part Name],$A57,T_StockCount[WeekIndex],60),IF((('T_SelfStock'!BI61&lt;&gt;""))*(('T_TTAFStock'!BI61&lt;&gt;""))&gt;0,'T_SelfStock'!BI61+'T_TTAFStock'!BI61,BH57+'Grid_Incoming'!BI57-'Grid_Requirement'!BI57))</f>
        <v/>
      </c>
      <c r="BJ57">
        <f>IF(COUNTIFS(T_StockCount[Part Name],$A57,T_StockCount[WeekIndex],61)&gt;0,SUMIFS(T_StockCount[CountedQty],T_StockCount[Part Name],$A57,T_StockCount[WeekIndex],61),IF((('T_SelfStock'!BJ61&lt;&gt;""))*(('T_TTAFStock'!BJ61&lt;&gt;""))&gt;0,'T_SelfStock'!BJ61+'T_TTAFStock'!BJ61,BI57+'Grid_Incoming'!BJ57-'Grid_Requirement'!BJ57))</f>
        <v/>
      </c>
      <c r="BK57">
        <f>IF(COUNTIFS(T_StockCount[Part Name],$A57,T_StockCount[WeekIndex],62)&gt;0,SUMIFS(T_StockCount[CountedQty],T_StockCount[Part Name],$A57,T_StockCount[WeekIndex],62),IF((('T_SelfStock'!BK61&lt;&gt;""))*(('T_TTAFStock'!BK61&lt;&gt;""))&gt;0,'T_SelfStock'!BK61+'T_TTAFStock'!BK61,BJ57+'Grid_Incoming'!BK57-'Grid_Requirement'!BK57))</f>
        <v/>
      </c>
      <c r="BL57">
        <f>IF(COUNTIFS(T_StockCount[Part Name],$A57,T_StockCount[WeekIndex],63)&gt;0,SUMIFS(T_StockCount[CountedQty],T_StockCount[Part Name],$A57,T_StockCount[WeekIndex],63),IF((('T_SelfStock'!BL61&lt;&gt;""))*(('T_TTAFStock'!BL61&lt;&gt;""))&gt;0,'T_SelfStock'!BL61+'T_TTAFStock'!BL61,BK57+'Grid_Incoming'!BL57-'Grid_Requirement'!BL57))</f>
        <v/>
      </c>
      <c r="BM57">
        <f>IF(COUNTIFS(T_StockCount[Part Name],$A57,T_StockCount[WeekIndex],64)&gt;0,SUMIFS(T_StockCount[CountedQty],T_StockCount[Part Name],$A57,T_StockCount[WeekIndex],64),IF((('T_SelfStock'!BM61&lt;&gt;""))*(('T_TTAFStock'!BM61&lt;&gt;""))&gt;0,'T_SelfStock'!BM61+'T_TTAFStock'!BM61,BL57+'Grid_Incoming'!BM57-'Grid_Requirement'!BM57))</f>
        <v/>
      </c>
      <c r="BN57">
        <f>IF(COUNTIFS(T_StockCount[Part Name],$A57,T_StockCount[WeekIndex],65)&gt;0,SUMIFS(T_StockCount[CountedQty],T_StockCount[Part Name],$A57,T_StockCount[WeekIndex],65),IF((('T_SelfStock'!BN61&lt;&gt;""))*(('T_TTAFStock'!BN61&lt;&gt;""))&gt;0,'T_SelfStock'!BN61+'T_TTAFStock'!BN61,BM57+'Grid_Incoming'!BN57-'Grid_Requirement'!BN57))</f>
        <v/>
      </c>
      <c r="BO57">
        <f>IF(COUNTIFS(T_StockCount[Part Name],$A57,T_StockCount[WeekIndex],66)&gt;0,SUMIFS(T_StockCount[CountedQty],T_StockCount[Part Name],$A57,T_StockCount[WeekIndex],66),IF((('T_SelfStock'!BO61&lt;&gt;""))*(('T_TTAFStock'!BO61&lt;&gt;""))&gt;0,'T_SelfStock'!BO61+'T_TTAFStock'!BO61,BN57+'Grid_Incoming'!BO57-'Grid_Requirement'!BO57))</f>
        <v/>
      </c>
      <c r="BP57">
        <f>IF(COUNTIFS(T_StockCount[Part Name],$A57,T_StockCount[WeekIndex],67)&gt;0,SUMIFS(T_StockCount[CountedQty],T_StockCount[Part Name],$A57,T_StockCount[WeekIndex],67),IF((('T_SelfStock'!BP61&lt;&gt;""))*(('T_TTAFStock'!BP61&lt;&gt;""))&gt;0,'T_SelfStock'!BP61+'T_TTAFStock'!BP61,BO57+'Grid_Incoming'!BP57-'Grid_Requirement'!BP57))</f>
        <v/>
      </c>
      <c r="BQ57">
        <f>IF(COUNTIFS(T_StockCount[Part Name],$A57,T_StockCount[WeekIndex],68)&gt;0,SUMIFS(T_StockCount[CountedQty],T_StockCount[Part Name],$A57,T_StockCount[WeekIndex],68),IF((('T_SelfStock'!BQ61&lt;&gt;""))*(('T_TTAFStock'!BQ61&lt;&gt;""))&gt;0,'T_SelfStock'!BQ61+'T_TTAFStock'!BQ61,BP57+'Grid_Incoming'!BQ57-'Grid_Requirement'!BQ57))</f>
        <v/>
      </c>
      <c r="BR57">
        <f>IF(COUNTIFS(T_StockCount[Part Name],$A57,T_StockCount[WeekIndex],69)&gt;0,SUMIFS(T_StockCount[CountedQty],T_StockCount[Part Name],$A57,T_StockCount[WeekIndex],69),IF((('T_SelfStock'!BR61&lt;&gt;""))*(('T_TTAFStock'!BR61&lt;&gt;""))&gt;0,'T_SelfStock'!BR61+'T_TTAFStock'!BR61,BQ57+'Grid_Incoming'!BR57-'Grid_Requirement'!BR57))</f>
        <v/>
      </c>
      <c r="BS57">
        <f>IF(COUNTIFS(T_StockCount[Part Name],$A57,T_StockCount[WeekIndex],70)&gt;0,SUMIFS(T_StockCount[CountedQty],T_StockCount[Part Name],$A57,T_StockCount[WeekIndex],70),IF((('T_SelfStock'!BS61&lt;&gt;""))*(('T_TTAFStock'!BS61&lt;&gt;""))&gt;0,'T_SelfStock'!BS61+'T_TTAFStock'!BS61,BR57+'Grid_Incoming'!BS57-'Grid_Requirement'!BS57))</f>
        <v/>
      </c>
      <c r="BT57">
        <f>IF(COUNTIFS(T_StockCount[Part Name],$A57,T_StockCount[WeekIndex],71)&gt;0,SUMIFS(T_StockCount[CountedQty],T_StockCount[Part Name],$A57,T_StockCount[WeekIndex],71),IF((('T_SelfStock'!BT61&lt;&gt;""))*(('T_TTAFStock'!BT61&lt;&gt;""))&gt;0,'T_SelfStock'!BT61+'T_TTAFStock'!BT61,BS57+'Grid_Incoming'!BT57-'Grid_Requirement'!BT57))</f>
        <v/>
      </c>
      <c r="BU57">
        <f>IF(COUNTIFS(T_StockCount[Part Name],$A57,T_StockCount[WeekIndex],72)&gt;0,SUMIFS(T_StockCount[CountedQty],T_StockCount[Part Name],$A57,T_StockCount[WeekIndex],72),IF((('T_SelfStock'!BU61&lt;&gt;""))*(('T_TTAFStock'!BU61&lt;&gt;""))&gt;0,'T_SelfStock'!BU61+'T_TTAFStock'!BU61,BT57+'Grid_Incoming'!BU57-'Grid_Requirement'!BU57))</f>
        <v/>
      </c>
      <c r="BV57">
        <f>IF(COUNTIFS(T_StockCount[Part Name],$A57,T_StockCount[WeekIndex],73)&gt;0,SUMIFS(T_StockCount[CountedQty],T_StockCount[Part Name],$A57,T_StockCount[WeekIndex],73),IF((('T_SelfStock'!BV61&lt;&gt;""))*(('T_TTAFStock'!BV61&lt;&gt;""))&gt;0,'T_SelfStock'!BV61+'T_TTAFStock'!BV61,BU57+'Grid_Incoming'!BV57-'Grid_Requirement'!BV57))</f>
        <v/>
      </c>
      <c r="BW57">
        <f>IF(COUNTIFS(T_StockCount[Part Name],$A57,T_StockCount[WeekIndex],74)&gt;0,SUMIFS(T_StockCount[CountedQty],T_StockCount[Part Name],$A57,T_StockCount[WeekIndex],74),IF((('T_SelfStock'!BW61&lt;&gt;""))*(('T_TTAFStock'!BW61&lt;&gt;""))&gt;0,'T_SelfStock'!BW61+'T_TTAFStock'!BW61,BV57+'Grid_Incoming'!BW57-'Grid_Requirement'!BW57))</f>
        <v/>
      </c>
      <c r="BX57">
        <f>IF(COUNTIFS(T_StockCount[Part Name],$A57,T_StockCount[WeekIndex],75)&gt;0,SUMIFS(T_StockCount[CountedQty],T_StockCount[Part Name],$A57,T_StockCount[WeekIndex],75),IF((('T_SelfStock'!BX61&lt;&gt;""))*(('T_TTAFStock'!BX61&lt;&gt;""))&gt;0,'T_SelfStock'!BX61+'T_TTAFStock'!BX61,BW57+'Grid_Incoming'!BX57-'Grid_Requirement'!BX57))</f>
        <v/>
      </c>
      <c r="BY57">
        <f>IF(COUNTIFS(T_StockCount[Part Name],$A57,T_StockCount[WeekIndex],76)&gt;0,SUMIFS(T_StockCount[CountedQty],T_StockCount[Part Name],$A57,T_StockCount[WeekIndex],76),IF((('T_SelfStock'!BY61&lt;&gt;""))*(('T_TTAFStock'!BY61&lt;&gt;""))&gt;0,'T_SelfStock'!BY61+'T_TTAFStock'!BY61,BX57+'Grid_Incoming'!BY57-'Grid_Requirement'!BY57))</f>
        <v/>
      </c>
      <c r="BZ57">
        <f>IF(COUNTIFS(T_StockCount[Part Name],$A57,T_StockCount[WeekIndex],77)&gt;0,SUMIFS(T_StockCount[CountedQty],T_StockCount[Part Name],$A57,T_StockCount[WeekIndex],77),IF((('T_SelfStock'!BZ61&lt;&gt;""))*(('T_TTAFStock'!BZ61&lt;&gt;""))&gt;0,'T_SelfStock'!BZ61+'T_TTAFStock'!BZ61,BY57+'Grid_Incoming'!BZ57-'Grid_Requirement'!BZ57))</f>
        <v/>
      </c>
      <c r="CA57">
        <f>IF(COUNTIFS(T_StockCount[Part Name],$A57,T_StockCount[WeekIndex],78)&gt;0,SUMIFS(T_StockCount[CountedQty],T_StockCount[Part Name],$A57,T_StockCount[WeekIndex],78),IF((('T_SelfStock'!CA61&lt;&gt;""))*(('T_TTAFStock'!CA61&lt;&gt;""))&gt;0,'T_SelfStock'!CA61+'T_TTAFStock'!CA61,BZ57+'Grid_Incoming'!CA57-'Grid_Requirement'!CA57))</f>
        <v/>
      </c>
      <c r="CB57">
        <f>IF(COUNTIFS(T_StockCount[Part Name],$A57,T_StockCount[WeekIndex],79)&gt;0,SUMIFS(T_StockCount[CountedQty],T_StockCount[Part Name],$A57,T_StockCount[WeekIndex],79),IF((('T_SelfStock'!CB61&lt;&gt;""))*(('T_TTAFStock'!CB61&lt;&gt;""))&gt;0,'T_SelfStock'!CB61+'T_TTAFStock'!CB61,CA57+'Grid_Incoming'!CB57-'Grid_Requirement'!CB57))</f>
        <v/>
      </c>
      <c r="CC57">
        <f>IF(COUNTIFS(T_StockCount[Part Name],$A57,T_StockCount[WeekIndex],80)&gt;0,SUMIFS(T_StockCount[CountedQty],T_StockCount[Part Name],$A57,T_StockCount[WeekIndex],80),IF((('T_SelfStock'!CC61&lt;&gt;""))*(('T_TTAFStock'!CC61&lt;&gt;""))&gt;0,'T_SelfStock'!CC61+'T_TTAFStock'!CC61,CB57+'Grid_Incoming'!CC57-'Grid_Requirement'!CC57))</f>
        <v/>
      </c>
      <c r="CD57">
        <f>IF(COUNTIFS(T_StockCount[Part Name],$A57,T_StockCount[WeekIndex],81)&gt;0,SUMIFS(T_StockCount[CountedQty],T_StockCount[Part Name],$A57,T_StockCount[WeekIndex],81),IF((('T_SelfStock'!CD61&lt;&gt;""))*(('T_TTAFStock'!CD61&lt;&gt;""))&gt;0,'T_SelfStock'!CD61+'T_TTAFStock'!CD61,CC57+'Grid_Incoming'!CD57-'Grid_Requirement'!CD57))</f>
        <v/>
      </c>
      <c r="CE57">
        <f>IF(COUNTIFS(T_StockCount[Part Name],$A57,T_StockCount[WeekIndex],82)&gt;0,SUMIFS(T_StockCount[CountedQty],T_StockCount[Part Name],$A57,T_StockCount[WeekIndex],82),IF((('T_SelfStock'!CE61&lt;&gt;""))*(('T_TTAFStock'!CE61&lt;&gt;""))&gt;0,'T_SelfStock'!CE61+'T_TTAFStock'!CE61,CD57+'Grid_Incoming'!CE57-'Grid_Requirement'!CE57))</f>
        <v/>
      </c>
      <c r="CF57">
        <f>IF(COUNTIFS(T_StockCount[Part Name],$A57,T_StockCount[WeekIndex],83)&gt;0,SUMIFS(T_StockCount[CountedQty],T_StockCount[Part Name],$A57,T_StockCount[WeekIndex],83),IF((('T_SelfStock'!CF61&lt;&gt;""))*(('T_TTAFStock'!CF61&lt;&gt;""))&gt;0,'T_SelfStock'!CF61+'T_TTAFStock'!CF61,CE57+'Grid_Incoming'!CF57-'Grid_Requirement'!CF57))</f>
        <v/>
      </c>
      <c r="CG57">
        <f>IF(COUNTIFS(T_StockCount[Part Name],$A57,T_StockCount[WeekIndex],84)&gt;0,SUMIFS(T_StockCount[CountedQty],T_StockCount[Part Name],$A57,T_StockCount[WeekIndex],84),IF((('T_SelfStock'!CG61&lt;&gt;""))*(('T_TTAFStock'!CG61&lt;&gt;""))&gt;0,'T_SelfStock'!CG61+'T_TTAFStock'!CG61,CF57+'Grid_Incoming'!CG57-'Grid_Requirement'!CG57))</f>
        <v/>
      </c>
      <c r="CH57">
        <f>IF(COUNTIFS(T_StockCount[Part Name],$A57,T_StockCount[WeekIndex],85)&gt;0,SUMIFS(T_StockCount[CountedQty],T_StockCount[Part Name],$A57,T_StockCount[WeekIndex],85),IF((('T_SelfStock'!CH61&lt;&gt;""))*(('T_TTAFStock'!CH61&lt;&gt;""))&gt;0,'T_SelfStock'!CH61+'T_TTAFStock'!CH61,CG57+'Grid_Incoming'!CH57-'Grid_Requirement'!CH57))</f>
        <v/>
      </c>
      <c r="CI57">
        <f>IF(COUNTIFS(T_StockCount[Part Name],$A57,T_StockCount[WeekIndex],86)&gt;0,SUMIFS(T_StockCount[CountedQty],T_StockCount[Part Name],$A57,T_StockCount[WeekIndex],86),IF((('T_SelfStock'!CI61&lt;&gt;""))*(('T_TTAFStock'!CI61&lt;&gt;""))&gt;0,'T_SelfStock'!CI61+'T_TTAFStock'!CI61,CH57+'Grid_Incoming'!CI57-'Grid_Requirement'!CI57))</f>
        <v/>
      </c>
      <c r="CJ57">
        <f>IF(COUNTIFS(T_StockCount[Part Name],$A57,T_StockCount[WeekIndex],87)&gt;0,SUMIFS(T_StockCount[CountedQty],T_StockCount[Part Name],$A57,T_StockCount[WeekIndex],87),IF((('T_SelfStock'!CJ61&lt;&gt;""))*(('T_TTAFStock'!CJ61&lt;&gt;""))&gt;0,'T_SelfStock'!CJ61+'T_TTAFStock'!CJ61,CI57+'Grid_Incoming'!CJ57-'Grid_Requirement'!CJ57))</f>
        <v/>
      </c>
      <c r="CK57">
        <f>IF(COUNTIFS(T_StockCount[Part Name],$A57,T_StockCount[WeekIndex],88)&gt;0,SUMIFS(T_StockCount[CountedQty],T_StockCount[Part Name],$A57,T_StockCount[WeekIndex],88),IF((('T_SelfStock'!CK61&lt;&gt;""))*(('T_TTAFStock'!CK61&lt;&gt;""))&gt;0,'T_SelfStock'!CK61+'T_TTAFStock'!CK61,CJ57+'Grid_Incoming'!CK57-'Grid_Requirement'!CK57))</f>
        <v/>
      </c>
      <c r="CL57">
        <f>IF(COUNTIFS(T_StockCount[Part Name],$A57,T_StockCount[WeekIndex],89)&gt;0,SUMIFS(T_StockCount[CountedQty],T_StockCount[Part Name],$A57,T_StockCount[WeekIndex],89),IF((('T_SelfStock'!CL61&lt;&gt;""))*(('T_TTAFStock'!CL61&lt;&gt;""))&gt;0,'T_SelfStock'!CL61+'T_TTAFStock'!CL61,CK57+'Grid_Incoming'!CL57-'Grid_Requirement'!CL57))</f>
        <v/>
      </c>
      <c r="CM57">
        <f>IF(COUNTIFS(T_StockCount[Part Name],$A57,T_StockCount[WeekIndex],90)&gt;0,SUMIFS(T_StockCount[CountedQty],T_StockCount[Part Name],$A57,T_StockCount[WeekIndex],90),IF((('T_SelfStock'!CM61&lt;&gt;""))*(('T_TTAFStock'!CM61&lt;&gt;""))&gt;0,'T_SelfStock'!CM61+'T_TTAFStock'!CM61,CL57+'Grid_Incoming'!CM57-'Grid_Requirement'!CM57))</f>
        <v/>
      </c>
      <c r="CN57">
        <f>IF(COUNTIFS(T_StockCount[Part Name],$A57,T_StockCount[WeekIndex],91)&gt;0,SUMIFS(T_StockCount[CountedQty],T_StockCount[Part Name],$A57,T_StockCount[WeekIndex],91),IF((('T_SelfStock'!CN61&lt;&gt;""))*(('T_TTAFStock'!CN61&lt;&gt;""))&gt;0,'T_SelfStock'!CN61+'T_TTAFStock'!CN61,CM57+'Grid_Incoming'!CN57-'Grid_Requirement'!CN57))</f>
        <v/>
      </c>
      <c r="CO57">
        <f>IF(COUNTIFS(T_StockCount[Part Name],$A57,T_StockCount[WeekIndex],92)&gt;0,SUMIFS(T_StockCount[CountedQty],T_StockCount[Part Name],$A57,T_StockCount[WeekIndex],92),IF((('T_SelfStock'!CO61&lt;&gt;""))*(('T_TTAFStock'!CO61&lt;&gt;""))&gt;0,'T_SelfStock'!CO61+'T_TTAFStock'!CO61,CN57+'Grid_Incoming'!CO57-'Grid_Requirement'!CO57))</f>
        <v/>
      </c>
      <c r="CP57">
        <f>IF(COUNTIFS(T_StockCount[Part Name],$A57,T_StockCount[WeekIndex],93)&gt;0,SUMIFS(T_StockCount[CountedQty],T_StockCount[Part Name],$A57,T_StockCount[WeekIndex],93),IF((('T_SelfStock'!CP61&lt;&gt;""))*(('T_TTAFStock'!CP61&lt;&gt;""))&gt;0,'T_SelfStock'!CP61+'T_TTAFStock'!CP61,CO57+'Grid_Incoming'!CP57-'Grid_Requirement'!CP57))</f>
        <v/>
      </c>
      <c r="CQ57">
        <f>IF(COUNTIFS(T_StockCount[Part Name],$A57,T_StockCount[WeekIndex],94)&gt;0,SUMIFS(T_StockCount[CountedQty],T_StockCount[Part Name],$A57,T_StockCount[WeekIndex],94),IF((('T_SelfStock'!CQ61&lt;&gt;""))*(('T_TTAFStock'!CQ61&lt;&gt;""))&gt;0,'T_SelfStock'!CQ61+'T_TTAFStock'!CQ61,CP57+'Grid_Incoming'!CQ57-'Grid_Requirement'!CQ57))</f>
        <v/>
      </c>
      <c r="CR57">
        <f>IF(COUNTIFS(T_StockCount[Part Name],$A57,T_StockCount[WeekIndex],95)&gt;0,SUMIFS(T_StockCount[CountedQty],T_StockCount[Part Name],$A57,T_StockCount[WeekIndex],95),IF((('T_SelfStock'!CR61&lt;&gt;""))*(('T_TTAFStock'!CR61&lt;&gt;""))&gt;0,'T_SelfStock'!CR61+'T_TTAFStock'!CR61,CQ57+'Grid_Incoming'!CR57-'Grid_Requirement'!CR57))</f>
        <v/>
      </c>
      <c r="CS57">
        <f>IF(COUNTIFS(T_StockCount[Part Name],$A57,T_StockCount[WeekIndex],96)&gt;0,SUMIFS(T_StockCount[CountedQty],T_StockCount[Part Name],$A57,T_StockCount[WeekIndex],96),IF((('T_SelfStock'!CS61&lt;&gt;""))*(('T_TTAFStock'!CS61&lt;&gt;""))&gt;0,'T_SelfStock'!CS61+'T_TTAFStock'!CS61,CR57+'Grid_Incoming'!CS57-'Grid_Requirement'!CS57))</f>
        <v/>
      </c>
      <c r="CT57">
        <f>IF(COUNTIFS(T_StockCount[Part Name],$A57,T_StockCount[WeekIndex],97)&gt;0,SUMIFS(T_StockCount[CountedQty],T_StockCount[Part Name],$A57,T_StockCount[WeekIndex],97),IF((('T_SelfStock'!CT61&lt;&gt;""))*(('T_TTAFStock'!CT61&lt;&gt;""))&gt;0,'T_SelfStock'!CT61+'T_TTAFStock'!CT61,CS57+'Grid_Incoming'!CT57-'Grid_Requirement'!CT57))</f>
        <v/>
      </c>
      <c r="CU57">
        <f>IF(COUNTIFS(T_StockCount[Part Name],$A57,T_StockCount[WeekIndex],98)&gt;0,SUMIFS(T_StockCount[CountedQty],T_StockCount[Part Name],$A57,T_StockCount[WeekIndex],98),IF((('T_SelfStock'!CU61&lt;&gt;""))*(('T_TTAFStock'!CU61&lt;&gt;""))&gt;0,'T_SelfStock'!CU61+'T_TTAFStock'!CU61,CT57+'Grid_Incoming'!CU57-'Grid_Requirement'!CU57))</f>
        <v/>
      </c>
      <c r="CV57">
        <f>IF(COUNTIFS(T_StockCount[Part Name],$A57,T_StockCount[WeekIndex],99)&gt;0,SUMIFS(T_StockCount[CountedQty],T_StockCount[Part Name],$A57,T_StockCount[WeekIndex],99),IF((('T_SelfStock'!CV61&lt;&gt;""))*(('T_TTAFStock'!CV61&lt;&gt;""))&gt;0,'T_SelfStock'!CV61+'T_TTAFStock'!CV61,CU57+'Grid_Incoming'!CV57-'Grid_Requirement'!CV57))</f>
        <v/>
      </c>
      <c r="CW57">
        <f>IF(COUNTIFS(T_StockCount[Part Name],$A57,T_StockCount[WeekIndex],100)&gt;0,SUMIFS(T_StockCount[CountedQty],T_StockCount[Part Name],$A57,T_StockCount[WeekIndex],100),IF((('T_SelfStock'!CW61&lt;&gt;""))*(('T_TTAFStock'!CW61&lt;&gt;""))&gt;0,'T_SelfStock'!CW61+'T_TTAFStock'!CW61,CV57+'Grid_Incoming'!CW57-'Grid_Requirement'!CW57))</f>
        <v/>
      </c>
      <c r="CX57">
        <f>IF(COUNTIFS(T_StockCount[Part Name],$A57,T_StockCount[WeekIndex],101)&gt;0,SUMIFS(T_StockCount[CountedQty],T_StockCount[Part Name],$A57,T_StockCount[WeekIndex],101),IF((('T_SelfStock'!CX61&lt;&gt;""))*(('T_TTAFStock'!CX61&lt;&gt;""))&gt;0,'T_SelfStock'!CX61+'T_TTAFStock'!CX61,CW57+'Grid_Incoming'!CX57-'Grid_Requirement'!CX57))</f>
        <v/>
      </c>
      <c r="CY57">
        <f>IF(COUNTIFS(T_StockCount[Part Name],$A57,T_StockCount[WeekIndex],102)&gt;0,SUMIFS(T_StockCount[CountedQty],T_StockCount[Part Name],$A57,T_StockCount[WeekIndex],102),IF((('T_SelfStock'!CY61&lt;&gt;""))*(('T_TTAFStock'!CY61&lt;&gt;""))&gt;0,'T_SelfStock'!CY61+'T_TTAFStock'!CY61,CX57+'Grid_Incoming'!CY57-'Grid_Requirement'!CY57))</f>
        <v/>
      </c>
      <c r="CZ57">
        <f>IF(COUNTIFS(T_StockCount[Part Name],$A57,T_StockCount[WeekIndex],103)&gt;0,SUMIFS(T_StockCount[CountedQty],T_StockCount[Part Name],$A57,T_StockCount[WeekIndex],103),IF((('T_SelfStock'!CZ61&lt;&gt;""))*(('T_TTAFStock'!CZ61&lt;&gt;""))&gt;0,'T_SelfStock'!CZ61+'T_TTAFStock'!CZ61,CY57+'Grid_Incoming'!CZ57-'Grid_Requirement'!CZ57))</f>
        <v/>
      </c>
      <c r="DA57">
        <f>IF(COUNTIFS(T_StockCount[Part Name],$A57,T_StockCount[WeekIndex],104)&gt;0,SUMIFS(T_StockCount[CountedQty],T_StockCount[Part Name],$A57,T_StockCount[WeekIndex],104),IF((('T_SelfStock'!DA61&lt;&gt;""))*(('T_TTAFStock'!DA61&lt;&gt;""))&gt;0,'T_SelfStock'!DA61+'T_TTAFStock'!DA61,CZ57+'Grid_Incoming'!DA57-'Grid_Requirement'!DA57))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A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6" t="inlineStr">
        <is>
          <t>Part Name</t>
        </is>
      </c>
      <c r="B1" s="6" t="inlineStr">
        <is>
          <t>2026-W01</t>
        </is>
      </c>
      <c r="C1" s="6" t="inlineStr">
        <is>
          <t>2026-W02</t>
        </is>
      </c>
      <c r="D1" s="6" t="inlineStr">
        <is>
          <t>2026-W03</t>
        </is>
      </c>
      <c r="E1" s="6" t="inlineStr">
        <is>
          <t>2026-W04</t>
        </is>
      </c>
      <c r="F1" s="6" t="inlineStr">
        <is>
          <t>2026-W05</t>
        </is>
      </c>
      <c r="G1" s="6" t="inlineStr">
        <is>
          <t>2026-W06</t>
        </is>
      </c>
      <c r="H1" s="6" t="inlineStr">
        <is>
          <t>2026-W07</t>
        </is>
      </c>
      <c r="I1" s="6" t="inlineStr">
        <is>
          <t>2026-W08</t>
        </is>
      </c>
      <c r="J1" s="6" t="inlineStr">
        <is>
          <t>2026-W09</t>
        </is>
      </c>
      <c r="K1" s="6" t="inlineStr">
        <is>
          <t>2026-W10</t>
        </is>
      </c>
      <c r="L1" s="6" t="inlineStr">
        <is>
          <t>2026-W11</t>
        </is>
      </c>
      <c r="M1" s="6" t="inlineStr">
        <is>
          <t>2026-W12</t>
        </is>
      </c>
      <c r="N1" s="6" t="inlineStr">
        <is>
          <t>2026-W13</t>
        </is>
      </c>
      <c r="O1" s="6" t="inlineStr">
        <is>
          <t>2026-W14</t>
        </is>
      </c>
      <c r="P1" s="6" t="inlineStr">
        <is>
          <t>2026-W15</t>
        </is>
      </c>
      <c r="Q1" s="6" t="inlineStr">
        <is>
          <t>2026-W16</t>
        </is>
      </c>
      <c r="R1" s="6" t="inlineStr">
        <is>
          <t>2026-W17</t>
        </is>
      </c>
      <c r="S1" s="6" t="inlineStr">
        <is>
          <t>2026-W18</t>
        </is>
      </c>
      <c r="T1" s="6" t="inlineStr">
        <is>
          <t>2026-W19</t>
        </is>
      </c>
      <c r="U1" s="6" t="inlineStr">
        <is>
          <t>2026-W20</t>
        </is>
      </c>
      <c r="V1" s="6" t="inlineStr">
        <is>
          <t>2026-W21</t>
        </is>
      </c>
      <c r="W1" s="6" t="inlineStr">
        <is>
          <t>2026-W22</t>
        </is>
      </c>
      <c r="X1" s="6" t="inlineStr">
        <is>
          <t>2026-W23</t>
        </is>
      </c>
      <c r="Y1" s="6" t="inlineStr">
        <is>
          <t>2026-W24</t>
        </is>
      </c>
      <c r="Z1" s="6" t="inlineStr">
        <is>
          <t>2026-W25</t>
        </is>
      </c>
      <c r="AA1" s="6" t="inlineStr">
        <is>
          <t>2026-W26</t>
        </is>
      </c>
      <c r="AB1" s="6" t="inlineStr">
        <is>
          <t>2026-W27</t>
        </is>
      </c>
      <c r="AC1" s="6" t="inlineStr">
        <is>
          <t>2026-W28</t>
        </is>
      </c>
      <c r="AD1" s="6" t="inlineStr">
        <is>
          <t>2026-W29</t>
        </is>
      </c>
      <c r="AE1" s="6" t="inlineStr">
        <is>
          <t>2026-W30</t>
        </is>
      </c>
      <c r="AF1" s="6" t="inlineStr">
        <is>
          <t>2026-W31</t>
        </is>
      </c>
      <c r="AG1" s="6" t="inlineStr">
        <is>
          <t>2026-W32</t>
        </is>
      </c>
      <c r="AH1" s="6" t="inlineStr">
        <is>
          <t>2026-W33</t>
        </is>
      </c>
      <c r="AI1" s="6" t="inlineStr">
        <is>
          <t>2026-W34</t>
        </is>
      </c>
      <c r="AJ1" s="6" t="inlineStr">
        <is>
          <t>2026-W35</t>
        </is>
      </c>
      <c r="AK1" s="6" t="inlineStr">
        <is>
          <t>2026-W36</t>
        </is>
      </c>
      <c r="AL1" s="6" t="inlineStr">
        <is>
          <t>2026-W37</t>
        </is>
      </c>
      <c r="AM1" s="6" t="inlineStr">
        <is>
          <t>2026-W38</t>
        </is>
      </c>
      <c r="AN1" s="6" t="inlineStr">
        <is>
          <t>2026-W39</t>
        </is>
      </c>
      <c r="AO1" s="6" t="inlineStr">
        <is>
          <t>2026-W40</t>
        </is>
      </c>
      <c r="AP1" s="6" t="inlineStr">
        <is>
          <t>2026-W41</t>
        </is>
      </c>
      <c r="AQ1" s="6" t="inlineStr">
        <is>
          <t>2026-W42</t>
        </is>
      </c>
      <c r="AR1" s="6" t="inlineStr">
        <is>
          <t>2026-W43</t>
        </is>
      </c>
      <c r="AS1" s="6" t="inlineStr">
        <is>
          <t>2026-W44</t>
        </is>
      </c>
      <c r="AT1" s="6" t="inlineStr">
        <is>
          <t>2026-W45</t>
        </is>
      </c>
      <c r="AU1" s="6" t="inlineStr">
        <is>
          <t>2026-W46</t>
        </is>
      </c>
      <c r="AV1" s="6" t="inlineStr">
        <is>
          <t>2026-W47</t>
        </is>
      </c>
      <c r="AW1" s="6" t="inlineStr">
        <is>
          <t>2026-W48</t>
        </is>
      </c>
      <c r="AX1" s="6" t="inlineStr">
        <is>
          <t>2026-W49</t>
        </is>
      </c>
      <c r="AY1" s="6" t="inlineStr">
        <is>
          <t>2026-W50</t>
        </is>
      </c>
      <c r="AZ1" s="6" t="inlineStr">
        <is>
          <t>2026-W51</t>
        </is>
      </c>
      <c r="BA1" s="6" t="inlineStr">
        <is>
          <t>2026-W52</t>
        </is>
      </c>
      <c r="BB1" s="6" t="inlineStr">
        <is>
          <t>2027-W01</t>
        </is>
      </c>
      <c r="BC1" s="6" t="inlineStr">
        <is>
          <t>2027-W02</t>
        </is>
      </c>
      <c r="BD1" s="6" t="inlineStr">
        <is>
          <t>2027-W03</t>
        </is>
      </c>
      <c r="BE1" s="6" t="inlineStr">
        <is>
          <t>2027-W04</t>
        </is>
      </c>
      <c r="BF1" s="6" t="inlineStr">
        <is>
          <t>2027-W05</t>
        </is>
      </c>
      <c r="BG1" s="6" t="inlineStr">
        <is>
          <t>2027-W06</t>
        </is>
      </c>
      <c r="BH1" s="6" t="inlineStr">
        <is>
          <t>2027-W07</t>
        </is>
      </c>
      <c r="BI1" s="6" t="inlineStr">
        <is>
          <t>2027-W08</t>
        </is>
      </c>
      <c r="BJ1" s="6" t="inlineStr">
        <is>
          <t>2027-W09</t>
        </is>
      </c>
      <c r="BK1" s="6" t="inlineStr">
        <is>
          <t>2027-W10</t>
        </is>
      </c>
      <c r="BL1" s="6" t="inlineStr">
        <is>
          <t>2027-W11</t>
        </is>
      </c>
      <c r="BM1" s="6" t="inlineStr">
        <is>
          <t>2027-W12</t>
        </is>
      </c>
      <c r="BN1" s="6" t="inlineStr">
        <is>
          <t>2027-W13</t>
        </is>
      </c>
      <c r="BO1" s="6" t="inlineStr">
        <is>
          <t>2027-W14</t>
        </is>
      </c>
      <c r="BP1" s="6" t="inlineStr">
        <is>
          <t>2027-W15</t>
        </is>
      </c>
      <c r="BQ1" s="6" t="inlineStr">
        <is>
          <t>2027-W16</t>
        </is>
      </c>
      <c r="BR1" s="6" t="inlineStr">
        <is>
          <t>2027-W17</t>
        </is>
      </c>
      <c r="BS1" s="6" t="inlineStr">
        <is>
          <t>2027-W18</t>
        </is>
      </c>
      <c r="BT1" s="6" t="inlineStr">
        <is>
          <t>2027-W19</t>
        </is>
      </c>
      <c r="BU1" s="6" t="inlineStr">
        <is>
          <t>2027-W20</t>
        </is>
      </c>
      <c r="BV1" s="6" t="inlineStr">
        <is>
          <t>2027-W21</t>
        </is>
      </c>
      <c r="BW1" s="6" t="inlineStr">
        <is>
          <t>2027-W22</t>
        </is>
      </c>
      <c r="BX1" s="6" t="inlineStr">
        <is>
          <t>2027-W23</t>
        </is>
      </c>
      <c r="BY1" s="6" t="inlineStr">
        <is>
          <t>2027-W24</t>
        </is>
      </c>
      <c r="BZ1" s="6" t="inlineStr">
        <is>
          <t>2027-W25</t>
        </is>
      </c>
      <c r="CA1" s="6" t="inlineStr">
        <is>
          <t>2027-W26</t>
        </is>
      </c>
      <c r="CB1" s="6" t="inlineStr">
        <is>
          <t>2027-W27</t>
        </is>
      </c>
      <c r="CC1" s="6" t="inlineStr">
        <is>
          <t>2027-W28</t>
        </is>
      </c>
      <c r="CD1" s="6" t="inlineStr">
        <is>
          <t>2027-W29</t>
        </is>
      </c>
      <c r="CE1" s="6" t="inlineStr">
        <is>
          <t>2027-W30</t>
        </is>
      </c>
      <c r="CF1" s="6" t="inlineStr">
        <is>
          <t>2027-W31</t>
        </is>
      </c>
      <c r="CG1" s="6" t="inlineStr">
        <is>
          <t>2027-W32</t>
        </is>
      </c>
      <c r="CH1" s="6" t="inlineStr">
        <is>
          <t>2027-W33</t>
        </is>
      </c>
      <c r="CI1" s="6" t="inlineStr">
        <is>
          <t>2027-W34</t>
        </is>
      </c>
      <c r="CJ1" s="6" t="inlineStr">
        <is>
          <t>2027-W35</t>
        </is>
      </c>
      <c r="CK1" s="6" t="inlineStr">
        <is>
          <t>2027-W36</t>
        </is>
      </c>
      <c r="CL1" s="6" t="inlineStr">
        <is>
          <t>2027-W37</t>
        </is>
      </c>
      <c r="CM1" s="6" t="inlineStr">
        <is>
          <t>2027-W38</t>
        </is>
      </c>
      <c r="CN1" s="6" t="inlineStr">
        <is>
          <t>2027-W39</t>
        </is>
      </c>
      <c r="CO1" s="6" t="inlineStr">
        <is>
          <t>2027-W40</t>
        </is>
      </c>
      <c r="CP1" s="6" t="inlineStr">
        <is>
          <t>2027-W41</t>
        </is>
      </c>
      <c r="CQ1" s="6" t="inlineStr">
        <is>
          <t>2027-W42</t>
        </is>
      </c>
      <c r="CR1" s="6" t="inlineStr">
        <is>
          <t>2027-W43</t>
        </is>
      </c>
      <c r="CS1" s="6" t="inlineStr">
        <is>
          <t>2027-W44</t>
        </is>
      </c>
      <c r="CT1" s="6" t="inlineStr">
        <is>
          <t>2027-W45</t>
        </is>
      </c>
      <c r="CU1" s="6" t="inlineStr">
        <is>
          <t>2027-W46</t>
        </is>
      </c>
      <c r="CV1" s="6" t="inlineStr">
        <is>
          <t>2027-W47</t>
        </is>
      </c>
      <c r="CW1" s="6" t="inlineStr">
        <is>
          <t>2027-W48</t>
        </is>
      </c>
      <c r="CX1" s="6" t="inlineStr">
        <is>
          <t>2027-W49</t>
        </is>
      </c>
      <c r="CY1" s="6" t="inlineStr">
        <is>
          <t>2027-W50</t>
        </is>
      </c>
      <c r="CZ1" s="6" t="inlineStr">
        <is>
          <t>2027-W51</t>
        </is>
      </c>
      <c r="DA1" s="6" t="inlineStr">
        <is>
          <t>2027-W52</t>
        </is>
      </c>
    </row>
    <row r="2">
      <c r="A2" t="inlineStr">
        <is>
          <t>7EP</t>
        </is>
      </c>
      <c r="B2">
        <f>IFERROR(INDEX(T_OpeningStock[Opening_Qty],MATCH($A2,T_OpeningStock[Part Name],0)),0)+'Grid_Incoming'!B2-'Grid_Requirement'!B2</f>
        <v/>
      </c>
      <c r="C2">
        <f>B2+'Grid_Incoming'!C2-'Grid_Requirement'!C2</f>
        <v/>
      </c>
      <c r="D2">
        <f>C2+'Grid_Incoming'!D2-'Grid_Requirement'!D2</f>
        <v/>
      </c>
      <c r="E2">
        <f>D2+'Grid_Incoming'!E2-'Grid_Requirement'!E2</f>
        <v/>
      </c>
      <c r="F2">
        <f>E2+'Grid_Incoming'!F2-'Grid_Requirement'!F2</f>
        <v/>
      </c>
      <c r="G2">
        <f>F2+'Grid_Incoming'!G2-'Grid_Requirement'!G2</f>
        <v/>
      </c>
      <c r="H2">
        <f>G2+'Grid_Incoming'!H2-'Grid_Requirement'!H2</f>
        <v/>
      </c>
      <c r="I2">
        <f>H2+'Grid_Incoming'!I2-'Grid_Requirement'!I2</f>
        <v/>
      </c>
      <c r="J2">
        <f>I2+'Grid_Incoming'!J2-'Grid_Requirement'!J2</f>
        <v/>
      </c>
      <c r="K2">
        <f>J2+'Grid_Incoming'!K2-'Grid_Requirement'!K2</f>
        <v/>
      </c>
      <c r="L2">
        <f>K2+'Grid_Incoming'!L2-'Grid_Requirement'!L2</f>
        <v/>
      </c>
      <c r="M2">
        <f>L2+'Grid_Incoming'!M2-'Grid_Requirement'!M2</f>
        <v/>
      </c>
      <c r="N2">
        <f>M2+'Grid_Incoming'!N2-'Grid_Requirement'!N2</f>
        <v/>
      </c>
      <c r="O2">
        <f>N2+'Grid_Incoming'!O2-'Grid_Requirement'!O2</f>
        <v/>
      </c>
      <c r="P2">
        <f>O2+'Grid_Incoming'!P2-'Grid_Requirement'!P2</f>
        <v/>
      </c>
      <c r="Q2">
        <f>P2+'Grid_Incoming'!Q2-'Grid_Requirement'!Q2</f>
        <v/>
      </c>
      <c r="R2">
        <f>Q2+'Grid_Incoming'!R2-'Grid_Requirement'!R2</f>
        <v/>
      </c>
      <c r="S2">
        <f>R2+'Grid_Incoming'!S2-'Grid_Requirement'!S2</f>
        <v/>
      </c>
      <c r="T2">
        <f>S2+'Grid_Incoming'!T2-'Grid_Requirement'!T2</f>
        <v/>
      </c>
      <c r="U2">
        <f>T2+'Grid_Incoming'!U2-'Grid_Requirement'!U2</f>
        <v/>
      </c>
      <c r="V2">
        <f>U2+'Grid_Incoming'!V2-'Grid_Requirement'!V2</f>
        <v/>
      </c>
      <c r="W2">
        <f>V2+'Grid_Incoming'!W2-'Grid_Requirement'!W2</f>
        <v/>
      </c>
      <c r="X2">
        <f>W2+'Grid_Incoming'!X2-'Grid_Requirement'!X2</f>
        <v/>
      </c>
      <c r="Y2">
        <f>X2+'Grid_Incoming'!Y2-'Grid_Requirement'!Y2</f>
        <v/>
      </c>
      <c r="Z2">
        <f>Y2+'Grid_Incoming'!Z2-'Grid_Requirement'!Z2</f>
        <v/>
      </c>
      <c r="AA2">
        <f>Z2+'Grid_Incoming'!AA2-'Grid_Requirement'!AA2</f>
        <v/>
      </c>
      <c r="AB2">
        <f>AA2+'Grid_Incoming'!AB2-'Grid_Requirement'!AB2</f>
        <v/>
      </c>
      <c r="AC2">
        <f>AB2+'Grid_Incoming'!AC2-'Grid_Requirement'!AC2</f>
        <v/>
      </c>
      <c r="AD2">
        <f>AC2+'Grid_Incoming'!AD2-'Grid_Requirement'!AD2</f>
        <v/>
      </c>
      <c r="AE2">
        <f>AD2+'Grid_Incoming'!AE2-'Grid_Requirement'!AE2</f>
        <v/>
      </c>
      <c r="AF2">
        <f>AE2+'Grid_Incoming'!AF2-'Grid_Requirement'!AF2</f>
        <v/>
      </c>
      <c r="AG2">
        <f>AF2+'Grid_Incoming'!AG2-'Grid_Requirement'!AG2</f>
        <v/>
      </c>
      <c r="AH2">
        <f>AG2+'Grid_Incoming'!AH2-'Grid_Requirement'!AH2</f>
        <v/>
      </c>
      <c r="AI2">
        <f>AH2+'Grid_Incoming'!AI2-'Grid_Requirement'!AI2</f>
        <v/>
      </c>
      <c r="AJ2">
        <f>AI2+'Grid_Incoming'!AJ2-'Grid_Requirement'!AJ2</f>
        <v/>
      </c>
      <c r="AK2">
        <f>AJ2+'Grid_Incoming'!AK2-'Grid_Requirement'!AK2</f>
        <v/>
      </c>
      <c r="AL2">
        <f>AK2+'Grid_Incoming'!AL2-'Grid_Requirement'!AL2</f>
        <v/>
      </c>
      <c r="AM2">
        <f>AL2+'Grid_Incoming'!AM2-'Grid_Requirement'!AM2</f>
        <v/>
      </c>
      <c r="AN2">
        <f>AM2+'Grid_Incoming'!AN2-'Grid_Requirement'!AN2</f>
        <v/>
      </c>
      <c r="AO2">
        <f>AN2+'Grid_Incoming'!AO2-'Grid_Requirement'!AO2</f>
        <v/>
      </c>
      <c r="AP2">
        <f>AO2+'Grid_Incoming'!AP2-'Grid_Requirement'!AP2</f>
        <v/>
      </c>
      <c r="AQ2">
        <f>AP2+'Grid_Incoming'!AQ2-'Grid_Requirement'!AQ2</f>
        <v/>
      </c>
      <c r="AR2">
        <f>AQ2+'Grid_Incoming'!AR2-'Grid_Requirement'!AR2</f>
        <v/>
      </c>
      <c r="AS2">
        <f>AR2+'Grid_Incoming'!AS2-'Grid_Requirement'!AS2</f>
        <v/>
      </c>
      <c r="AT2">
        <f>AS2+'Grid_Incoming'!AT2-'Grid_Requirement'!AT2</f>
        <v/>
      </c>
      <c r="AU2">
        <f>AT2+'Grid_Incoming'!AU2-'Grid_Requirement'!AU2</f>
        <v/>
      </c>
      <c r="AV2">
        <f>AU2+'Grid_Incoming'!AV2-'Grid_Requirement'!AV2</f>
        <v/>
      </c>
      <c r="AW2">
        <f>AV2+'Grid_Incoming'!AW2-'Grid_Requirement'!AW2</f>
        <v/>
      </c>
      <c r="AX2">
        <f>AW2+'Grid_Incoming'!AX2-'Grid_Requirement'!AX2</f>
        <v/>
      </c>
      <c r="AY2">
        <f>AX2+'Grid_Incoming'!AY2-'Grid_Requirement'!AY2</f>
        <v/>
      </c>
      <c r="AZ2">
        <f>AY2+'Grid_Incoming'!AZ2-'Grid_Requirement'!AZ2</f>
        <v/>
      </c>
      <c r="BA2">
        <f>AZ2+'Grid_Incoming'!BA2-'Grid_Requirement'!BA2</f>
        <v/>
      </c>
      <c r="BB2">
        <f>BA2+'Grid_Incoming'!BB2-'Grid_Requirement'!BB2</f>
        <v/>
      </c>
      <c r="BC2">
        <f>BB2+'Grid_Incoming'!BC2-'Grid_Requirement'!BC2</f>
        <v/>
      </c>
      <c r="BD2">
        <f>BC2+'Grid_Incoming'!BD2-'Grid_Requirement'!BD2</f>
        <v/>
      </c>
      <c r="BE2">
        <f>BD2+'Grid_Incoming'!BE2-'Grid_Requirement'!BE2</f>
        <v/>
      </c>
      <c r="BF2">
        <f>BE2+'Grid_Incoming'!BF2-'Grid_Requirement'!BF2</f>
        <v/>
      </c>
      <c r="BG2">
        <f>BF2+'Grid_Incoming'!BG2-'Grid_Requirement'!BG2</f>
        <v/>
      </c>
      <c r="BH2">
        <f>BG2+'Grid_Incoming'!BH2-'Grid_Requirement'!BH2</f>
        <v/>
      </c>
      <c r="BI2">
        <f>BH2+'Grid_Incoming'!BI2-'Grid_Requirement'!BI2</f>
        <v/>
      </c>
      <c r="BJ2">
        <f>BI2+'Grid_Incoming'!BJ2-'Grid_Requirement'!BJ2</f>
        <v/>
      </c>
      <c r="BK2">
        <f>BJ2+'Grid_Incoming'!BK2-'Grid_Requirement'!BK2</f>
        <v/>
      </c>
      <c r="BL2">
        <f>BK2+'Grid_Incoming'!BL2-'Grid_Requirement'!BL2</f>
        <v/>
      </c>
      <c r="BM2">
        <f>BL2+'Grid_Incoming'!BM2-'Grid_Requirement'!BM2</f>
        <v/>
      </c>
      <c r="BN2">
        <f>BM2+'Grid_Incoming'!BN2-'Grid_Requirement'!BN2</f>
        <v/>
      </c>
      <c r="BO2">
        <f>BN2+'Grid_Incoming'!BO2-'Grid_Requirement'!BO2</f>
        <v/>
      </c>
      <c r="BP2">
        <f>BO2+'Grid_Incoming'!BP2-'Grid_Requirement'!BP2</f>
        <v/>
      </c>
      <c r="BQ2">
        <f>BP2+'Grid_Incoming'!BQ2-'Grid_Requirement'!BQ2</f>
        <v/>
      </c>
      <c r="BR2">
        <f>BQ2+'Grid_Incoming'!BR2-'Grid_Requirement'!BR2</f>
        <v/>
      </c>
      <c r="BS2">
        <f>BR2+'Grid_Incoming'!BS2-'Grid_Requirement'!BS2</f>
        <v/>
      </c>
      <c r="BT2">
        <f>BS2+'Grid_Incoming'!BT2-'Grid_Requirement'!BT2</f>
        <v/>
      </c>
      <c r="BU2">
        <f>BT2+'Grid_Incoming'!BU2-'Grid_Requirement'!BU2</f>
        <v/>
      </c>
      <c r="BV2">
        <f>BU2+'Grid_Incoming'!BV2-'Grid_Requirement'!BV2</f>
        <v/>
      </c>
      <c r="BW2">
        <f>BV2+'Grid_Incoming'!BW2-'Grid_Requirement'!BW2</f>
        <v/>
      </c>
      <c r="BX2">
        <f>BW2+'Grid_Incoming'!BX2-'Grid_Requirement'!BX2</f>
        <v/>
      </c>
      <c r="BY2">
        <f>BX2+'Grid_Incoming'!BY2-'Grid_Requirement'!BY2</f>
        <v/>
      </c>
      <c r="BZ2">
        <f>BY2+'Grid_Incoming'!BZ2-'Grid_Requirement'!BZ2</f>
        <v/>
      </c>
      <c r="CA2">
        <f>BZ2+'Grid_Incoming'!CA2-'Grid_Requirement'!CA2</f>
        <v/>
      </c>
      <c r="CB2">
        <f>CA2+'Grid_Incoming'!CB2-'Grid_Requirement'!CB2</f>
        <v/>
      </c>
      <c r="CC2">
        <f>CB2+'Grid_Incoming'!CC2-'Grid_Requirement'!CC2</f>
        <v/>
      </c>
      <c r="CD2">
        <f>CC2+'Grid_Incoming'!CD2-'Grid_Requirement'!CD2</f>
        <v/>
      </c>
      <c r="CE2">
        <f>CD2+'Grid_Incoming'!CE2-'Grid_Requirement'!CE2</f>
        <v/>
      </c>
      <c r="CF2">
        <f>CE2+'Grid_Incoming'!CF2-'Grid_Requirement'!CF2</f>
        <v/>
      </c>
      <c r="CG2">
        <f>CF2+'Grid_Incoming'!CG2-'Grid_Requirement'!CG2</f>
        <v/>
      </c>
      <c r="CH2">
        <f>CG2+'Grid_Incoming'!CH2-'Grid_Requirement'!CH2</f>
        <v/>
      </c>
      <c r="CI2">
        <f>CH2+'Grid_Incoming'!CI2-'Grid_Requirement'!CI2</f>
        <v/>
      </c>
      <c r="CJ2">
        <f>CI2+'Grid_Incoming'!CJ2-'Grid_Requirement'!CJ2</f>
        <v/>
      </c>
      <c r="CK2">
        <f>CJ2+'Grid_Incoming'!CK2-'Grid_Requirement'!CK2</f>
        <v/>
      </c>
      <c r="CL2">
        <f>CK2+'Grid_Incoming'!CL2-'Grid_Requirement'!CL2</f>
        <v/>
      </c>
      <c r="CM2">
        <f>CL2+'Grid_Incoming'!CM2-'Grid_Requirement'!CM2</f>
        <v/>
      </c>
      <c r="CN2">
        <f>CM2+'Grid_Incoming'!CN2-'Grid_Requirement'!CN2</f>
        <v/>
      </c>
      <c r="CO2">
        <f>CN2+'Grid_Incoming'!CO2-'Grid_Requirement'!CO2</f>
        <v/>
      </c>
      <c r="CP2">
        <f>CO2+'Grid_Incoming'!CP2-'Grid_Requirement'!CP2</f>
        <v/>
      </c>
      <c r="CQ2">
        <f>CP2+'Grid_Incoming'!CQ2-'Grid_Requirement'!CQ2</f>
        <v/>
      </c>
      <c r="CR2">
        <f>CQ2+'Grid_Incoming'!CR2-'Grid_Requirement'!CR2</f>
        <v/>
      </c>
      <c r="CS2">
        <f>CR2+'Grid_Incoming'!CS2-'Grid_Requirement'!CS2</f>
        <v/>
      </c>
      <c r="CT2">
        <f>CS2+'Grid_Incoming'!CT2-'Grid_Requirement'!CT2</f>
        <v/>
      </c>
      <c r="CU2">
        <f>CT2+'Grid_Incoming'!CU2-'Grid_Requirement'!CU2</f>
        <v/>
      </c>
      <c r="CV2">
        <f>CU2+'Grid_Incoming'!CV2-'Grid_Requirement'!CV2</f>
        <v/>
      </c>
      <c r="CW2">
        <f>CV2+'Grid_Incoming'!CW2-'Grid_Requirement'!CW2</f>
        <v/>
      </c>
      <c r="CX2">
        <f>CW2+'Grid_Incoming'!CX2-'Grid_Requirement'!CX2</f>
        <v/>
      </c>
      <c r="CY2">
        <f>CX2+'Grid_Incoming'!CY2-'Grid_Requirement'!CY2</f>
        <v/>
      </c>
      <c r="CZ2">
        <f>CY2+'Grid_Incoming'!CZ2-'Grid_Requirement'!CZ2</f>
        <v/>
      </c>
      <c r="DA2">
        <f>CZ2+'Grid_Incoming'!DA2-'Grid_Requirement'!DA2</f>
        <v/>
      </c>
    </row>
    <row r="3">
      <c r="A3" t="inlineStr">
        <is>
          <t>1EK</t>
        </is>
      </c>
      <c r="B3">
        <f>IFERROR(INDEX(T_OpeningStock[Opening_Qty],MATCH($A3,T_OpeningStock[Part Name],0)),0)+'Grid_Incoming'!B3-'Grid_Requirement'!B3</f>
        <v/>
      </c>
      <c r="C3">
        <f>B3+'Grid_Incoming'!C3-'Grid_Requirement'!C3</f>
        <v/>
      </c>
      <c r="D3">
        <f>C3+'Grid_Incoming'!D3-'Grid_Requirement'!D3</f>
        <v/>
      </c>
      <c r="E3">
        <f>D3+'Grid_Incoming'!E3-'Grid_Requirement'!E3</f>
        <v/>
      </c>
      <c r="F3">
        <f>E3+'Grid_Incoming'!F3-'Grid_Requirement'!F3</f>
        <v/>
      </c>
      <c r="G3">
        <f>F3+'Grid_Incoming'!G3-'Grid_Requirement'!G3</f>
        <v/>
      </c>
      <c r="H3">
        <f>G3+'Grid_Incoming'!H3-'Grid_Requirement'!H3</f>
        <v/>
      </c>
      <c r="I3">
        <f>H3+'Grid_Incoming'!I3-'Grid_Requirement'!I3</f>
        <v/>
      </c>
      <c r="J3">
        <f>I3+'Grid_Incoming'!J3-'Grid_Requirement'!J3</f>
        <v/>
      </c>
      <c r="K3">
        <f>J3+'Grid_Incoming'!K3-'Grid_Requirement'!K3</f>
        <v/>
      </c>
      <c r="L3">
        <f>K3+'Grid_Incoming'!L3-'Grid_Requirement'!L3</f>
        <v/>
      </c>
      <c r="M3">
        <f>L3+'Grid_Incoming'!M3-'Grid_Requirement'!M3</f>
        <v/>
      </c>
      <c r="N3">
        <f>M3+'Grid_Incoming'!N3-'Grid_Requirement'!N3</f>
        <v/>
      </c>
      <c r="O3">
        <f>N3+'Grid_Incoming'!O3-'Grid_Requirement'!O3</f>
        <v/>
      </c>
      <c r="P3">
        <f>O3+'Grid_Incoming'!P3-'Grid_Requirement'!P3</f>
        <v/>
      </c>
      <c r="Q3">
        <f>P3+'Grid_Incoming'!Q3-'Grid_Requirement'!Q3</f>
        <v/>
      </c>
      <c r="R3">
        <f>Q3+'Grid_Incoming'!R3-'Grid_Requirement'!R3</f>
        <v/>
      </c>
      <c r="S3">
        <f>R3+'Grid_Incoming'!S3-'Grid_Requirement'!S3</f>
        <v/>
      </c>
      <c r="T3">
        <f>S3+'Grid_Incoming'!T3-'Grid_Requirement'!T3</f>
        <v/>
      </c>
      <c r="U3">
        <f>T3+'Grid_Incoming'!U3-'Grid_Requirement'!U3</f>
        <v/>
      </c>
      <c r="V3">
        <f>U3+'Grid_Incoming'!V3-'Grid_Requirement'!V3</f>
        <v/>
      </c>
      <c r="W3">
        <f>V3+'Grid_Incoming'!W3-'Grid_Requirement'!W3</f>
        <v/>
      </c>
      <c r="X3">
        <f>W3+'Grid_Incoming'!X3-'Grid_Requirement'!X3</f>
        <v/>
      </c>
      <c r="Y3">
        <f>X3+'Grid_Incoming'!Y3-'Grid_Requirement'!Y3</f>
        <v/>
      </c>
      <c r="Z3">
        <f>Y3+'Grid_Incoming'!Z3-'Grid_Requirement'!Z3</f>
        <v/>
      </c>
      <c r="AA3">
        <f>Z3+'Grid_Incoming'!AA3-'Grid_Requirement'!AA3</f>
        <v/>
      </c>
      <c r="AB3">
        <f>AA3+'Grid_Incoming'!AB3-'Grid_Requirement'!AB3</f>
        <v/>
      </c>
      <c r="AC3">
        <f>AB3+'Grid_Incoming'!AC3-'Grid_Requirement'!AC3</f>
        <v/>
      </c>
      <c r="AD3">
        <f>AC3+'Grid_Incoming'!AD3-'Grid_Requirement'!AD3</f>
        <v/>
      </c>
      <c r="AE3">
        <f>AD3+'Grid_Incoming'!AE3-'Grid_Requirement'!AE3</f>
        <v/>
      </c>
      <c r="AF3">
        <f>AE3+'Grid_Incoming'!AF3-'Grid_Requirement'!AF3</f>
        <v/>
      </c>
      <c r="AG3">
        <f>AF3+'Grid_Incoming'!AG3-'Grid_Requirement'!AG3</f>
        <v/>
      </c>
      <c r="AH3">
        <f>AG3+'Grid_Incoming'!AH3-'Grid_Requirement'!AH3</f>
        <v/>
      </c>
      <c r="AI3">
        <f>AH3+'Grid_Incoming'!AI3-'Grid_Requirement'!AI3</f>
        <v/>
      </c>
      <c r="AJ3">
        <f>AI3+'Grid_Incoming'!AJ3-'Grid_Requirement'!AJ3</f>
        <v/>
      </c>
      <c r="AK3">
        <f>AJ3+'Grid_Incoming'!AK3-'Grid_Requirement'!AK3</f>
        <v/>
      </c>
      <c r="AL3">
        <f>AK3+'Grid_Incoming'!AL3-'Grid_Requirement'!AL3</f>
        <v/>
      </c>
      <c r="AM3">
        <f>AL3+'Grid_Incoming'!AM3-'Grid_Requirement'!AM3</f>
        <v/>
      </c>
      <c r="AN3">
        <f>AM3+'Grid_Incoming'!AN3-'Grid_Requirement'!AN3</f>
        <v/>
      </c>
      <c r="AO3">
        <f>AN3+'Grid_Incoming'!AO3-'Grid_Requirement'!AO3</f>
        <v/>
      </c>
      <c r="AP3">
        <f>AO3+'Grid_Incoming'!AP3-'Grid_Requirement'!AP3</f>
        <v/>
      </c>
      <c r="AQ3">
        <f>AP3+'Grid_Incoming'!AQ3-'Grid_Requirement'!AQ3</f>
        <v/>
      </c>
      <c r="AR3">
        <f>AQ3+'Grid_Incoming'!AR3-'Grid_Requirement'!AR3</f>
        <v/>
      </c>
      <c r="AS3">
        <f>AR3+'Grid_Incoming'!AS3-'Grid_Requirement'!AS3</f>
        <v/>
      </c>
      <c r="AT3">
        <f>AS3+'Grid_Incoming'!AT3-'Grid_Requirement'!AT3</f>
        <v/>
      </c>
      <c r="AU3">
        <f>AT3+'Grid_Incoming'!AU3-'Grid_Requirement'!AU3</f>
        <v/>
      </c>
      <c r="AV3">
        <f>AU3+'Grid_Incoming'!AV3-'Grid_Requirement'!AV3</f>
        <v/>
      </c>
      <c r="AW3">
        <f>AV3+'Grid_Incoming'!AW3-'Grid_Requirement'!AW3</f>
        <v/>
      </c>
      <c r="AX3">
        <f>AW3+'Grid_Incoming'!AX3-'Grid_Requirement'!AX3</f>
        <v/>
      </c>
      <c r="AY3">
        <f>AX3+'Grid_Incoming'!AY3-'Grid_Requirement'!AY3</f>
        <v/>
      </c>
      <c r="AZ3">
        <f>AY3+'Grid_Incoming'!AZ3-'Grid_Requirement'!AZ3</f>
        <v/>
      </c>
      <c r="BA3">
        <f>AZ3+'Grid_Incoming'!BA3-'Grid_Requirement'!BA3</f>
        <v/>
      </c>
      <c r="BB3">
        <f>BA3+'Grid_Incoming'!BB3-'Grid_Requirement'!BB3</f>
        <v/>
      </c>
      <c r="BC3">
        <f>BB3+'Grid_Incoming'!BC3-'Grid_Requirement'!BC3</f>
        <v/>
      </c>
      <c r="BD3">
        <f>BC3+'Grid_Incoming'!BD3-'Grid_Requirement'!BD3</f>
        <v/>
      </c>
      <c r="BE3">
        <f>BD3+'Grid_Incoming'!BE3-'Grid_Requirement'!BE3</f>
        <v/>
      </c>
      <c r="BF3">
        <f>BE3+'Grid_Incoming'!BF3-'Grid_Requirement'!BF3</f>
        <v/>
      </c>
      <c r="BG3">
        <f>BF3+'Grid_Incoming'!BG3-'Grid_Requirement'!BG3</f>
        <v/>
      </c>
      <c r="BH3">
        <f>BG3+'Grid_Incoming'!BH3-'Grid_Requirement'!BH3</f>
        <v/>
      </c>
      <c r="BI3">
        <f>BH3+'Grid_Incoming'!BI3-'Grid_Requirement'!BI3</f>
        <v/>
      </c>
      <c r="BJ3">
        <f>BI3+'Grid_Incoming'!BJ3-'Grid_Requirement'!BJ3</f>
        <v/>
      </c>
      <c r="BK3">
        <f>BJ3+'Grid_Incoming'!BK3-'Grid_Requirement'!BK3</f>
        <v/>
      </c>
      <c r="BL3">
        <f>BK3+'Grid_Incoming'!BL3-'Grid_Requirement'!BL3</f>
        <v/>
      </c>
      <c r="BM3">
        <f>BL3+'Grid_Incoming'!BM3-'Grid_Requirement'!BM3</f>
        <v/>
      </c>
      <c r="BN3">
        <f>BM3+'Grid_Incoming'!BN3-'Grid_Requirement'!BN3</f>
        <v/>
      </c>
      <c r="BO3">
        <f>BN3+'Grid_Incoming'!BO3-'Grid_Requirement'!BO3</f>
        <v/>
      </c>
      <c r="BP3">
        <f>BO3+'Grid_Incoming'!BP3-'Grid_Requirement'!BP3</f>
        <v/>
      </c>
      <c r="BQ3">
        <f>BP3+'Grid_Incoming'!BQ3-'Grid_Requirement'!BQ3</f>
        <v/>
      </c>
      <c r="BR3">
        <f>BQ3+'Grid_Incoming'!BR3-'Grid_Requirement'!BR3</f>
        <v/>
      </c>
      <c r="BS3">
        <f>BR3+'Grid_Incoming'!BS3-'Grid_Requirement'!BS3</f>
        <v/>
      </c>
      <c r="BT3">
        <f>BS3+'Grid_Incoming'!BT3-'Grid_Requirement'!BT3</f>
        <v/>
      </c>
      <c r="BU3">
        <f>BT3+'Grid_Incoming'!BU3-'Grid_Requirement'!BU3</f>
        <v/>
      </c>
      <c r="BV3">
        <f>BU3+'Grid_Incoming'!BV3-'Grid_Requirement'!BV3</f>
        <v/>
      </c>
      <c r="BW3">
        <f>BV3+'Grid_Incoming'!BW3-'Grid_Requirement'!BW3</f>
        <v/>
      </c>
      <c r="BX3">
        <f>BW3+'Grid_Incoming'!BX3-'Grid_Requirement'!BX3</f>
        <v/>
      </c>
      <c r="BY3">
        <f>BX3+'Grid_Incoming'!BY3-'Grid_Requirement'!BY3</f>
        <v/>
      </c>
      <c r="BZ3">
        <f>BY3+'Grid_Incoming'!BZ3-'Grid_Requirement'!BZ3</f>
        <v/>
      </c>
      <c r="CA3">
        <f>BZ3+'Grid_Incoming'!CA3-'Grid_Requirement'!CA3</f>
        <v/>
      </c>
      <c r="CB3">
        <f>CA3+'Grid_Incoming'!CB3-'Grid_Requirement'!CB3</f>
        <v/>
      </c>
      <c r="CC3">
        <f>CB3+'Grid_Incoming'!CC3-'Grid_Requirement'!CC3</f>
        <v/>
      </c>
      <c r="CD3">
        <f>CC3+'Grid_Incoming'!CD3-'Grid_Requirement'!CD3</f>
        <v/>
      </c>
      <c r="CE3">
        <f>CD3+'Grid_Incoming'!CE3-'Grid_Requirement'!CE3</f>
        <v/>
      </c>
      <c r="CF3">
        <f>CE3+'Grid_Incoming'!CF3-'Grid_Requirement'!CF3</f>
        <v/>
      </c>
      <c r="CG3">
        <f>CF3+'Grid_Incoming'!CG3-'Grid_Requirement'!CG3</f>
        <v/>
      </c>
      <c r="CH3">
        <f>CG3+'Grid_Incoming'!CH3-'Grid_Requirement'!CH3</f>
        <v/>
      </c>
      <c r="CI3">
        <f>CH3+'Grid_Incoming'!CI3-'Grid_Requirement'!CI3</f>
        <v/>
      </c>
      <c r="CJ3">
        <f>CI3+'Grid_Incoming'!CJ3-'Grid_Requirement'!CJ3</f>
        <v/>
      </c>
      <c r="CK3">
        <f>CJ3+'Grid_Incoming'!CK3-'Grid_Requirement'!CK3</f>
        <v/>
      </c>
      <c r="CL3">
        <f>CK3+'Grid_Incoming'!CL3-'Grid_Requirement'!CL3</f>
        <v/>
      </c>
      <c r="CM3">
        <f>CL3+'Grid_Incoming'!CM3-'Grid_Requirement'!CM3</f>
        <v/>
      </c>
      <c r="CN3">
        <f>CM3+'Grid_Incoming'!CN3-'Grid_Requirement'!CN3</f>
        <v/>
      </c>
      <c r="CO3">
        <f>CN3+'Grid_Incoming'!CO3-'Grid_Requirement'!CO3</f>
        <v/>
      </c>
      <c r="CP3">
        <f>CO3+'Grid_Incoming'!CP3-'Grid_Requirement'!CP3</f>
        <v/>
      </c>
      <c r="CQ3">
        <f>CP3+'Grid_Incoming'!CQ3-'Grid_Requirement'!CQ3</f>
        <v/>
      </c>
      <c r="CR3">
        <f>CQ3+'Grid_Incoming'!CR3-'Grid_Requirement'!CR3</f>
        <v/>
      </c>
      <c r="CS3">
        <f>CR3+'Grid_Incoming'!CS3-'Grid_Requirement'!CS3</f>
        <v/>
      </c>
      <c r="CT3">
        <f>CS3+'Grid_Incoming'!CT3-'Grid_Requirement'!CT3</f>
        <v/>
      </c>
      <c r="CU3">
        <f>CT3+'Grid_Incoming'!CU3-'Grid_Requirement'!CU3</f>
        <v/>
      </c>
      <c r="CV3">
        <f>CU3+'Grid_Incoming'!CV3-'Grid_Requirement'!CV3</f>
        <v/>
      </c>
      <c r="CW3">
        <f>CV3+'Grid_Incoming'!CW3-'Grid_Requirement'!CW3</f>
        <v/>
      </c>
      <c r="CX3">
        <f>CW3+'Grid_Incoming'!CX3-'Grid_Requirement'!CX3</f>
        <v/>
      </c>
      <c r="CY3">
        <f>CX3+'Grid_Incoming'!CY3-'Grid_Requirement'!CY3</f>
        <v/>
      </c>
      <c r="CZ3">
        <f>CY3+'Grid_Incoming'!CZ3-'Grid_Requirement'!CZ3</f>
        <v/>
      </c>
      <c r="DA3">
        <f>CZ3+'Grid_Incoming'!DA3-'Grid_Requirement'!DA3</f>
        <v/>
      </c>
    </row>
    <row r="4">
      <c r="A4" t="inlineStr">
        <is>
          <t>4HL</t>
        </is>
      </c>
      <c r="B4">
        <f>IFERROR(INDEX(T_OpeningStock[Opening_Qty],MATCH($A4,T_OpeningStock[Part Name],0)),0)+'Grid_Incoming'!B4-'Grid_Requirement'!B4</f>
        <v/>
      </c>
      <c r="C4">
        <f>B4+'Grid_Incoming'!C4-'Grid_Requirement'!C4</f>
        <v/>
      </c>
      <c r="D4">
        <f>C4+'Grid_Incoming'!D4-'Grid_Requirement'!D4</f>
        <v/>
      </c>
      <c r="E4">
        <f>D4+'Grid_Incoming'!E4-'Grid_Requirement'!E4</f>
        <v/>
      </c>
      <c r="F4">
        <f>E4+'Grid_Incoming'!F4-'Grid_Requirement'!F4</f>
        <v/>
      </c>
      <c r="G4">
        <f>F4+'Grid_Incoming'!G4-'Grid_Requirement'!G4</f>
        <v/>
      </c>
      <c r="H4">
        <f>G4+'Grid_Incoming'!H4-'Grid_Requirement'!H4</f>
        <v/>
      </c>
      <c r="I4">
        <f>H4+'Grid_Incoming'!I4-'Grid_Requirement'!I4</f>
        <v/>
      </c>
      <c r="J4">
        <f>I4+'Grid_Incoming'!J4-'Grid_Requirement'!J4</f>
        <v/>
      </c>
      <c r="K4">
        <f>J4+'Grid_Incoming'!K4-'Grid_Requirement'!K4</f>
        <v/>
      </c>
      <c r="L4">
        <f>K4+'Grid_Incoming'!L4-'Grid_Requirement'!L4</f>
        <v/>
      </c>
      <c r="M4">
        <f>L4+'Grid_Incoming'!M4-'Grid_Requirement'!M4</f>
        <v/>
      </c>
      <c r="N4">
        <f>M4+'Grid_Incoming'!N4-'Grid_Requirement'!N4</f>
        <v/>
      </c>
      <c r="O4">
        <f>N4+'Grid_Incoming'!O4-'Grid_Requirement'!O4</f>
        <v/>
      </c>
      <c r="P4">
        <f>O4+'Grid_Incoming'!P4-'Grid_Requirement'!P4</f>
        <v/>
      </c>
      <c r="Q4">
        <f>P4+'Grid_Incoming'!Q4-'Grid_Requirement'!Q4</f>
        <v/>
      </c>
      <c r="R4">
        <f>Q4+'Grid_Incoming'!R4-'Grid_Requirement'!R4</f>
        <v/>
      </c>
      <c r="S4">
        <f>R4+'Grid_Incoming'!S4-'Grid_Requirement'!S4</f>
        <v/>
      </c>
      <c r="T4">
        <f>S4+'Grid_Incoming'!T4-'Grid_Requirement'!T4</f>
        <v/>
      </c>
      <c r="U4">
        <f>T4+'Grid_Incoming'!U4-'Grid_Requirement'!U4</f>
        <v/>
      </c>
      <c r="V4">
        <f>U4+'Grid_Incoming'!V4-'Grid_Requirement'!V4</f>
        <v/>
      </c>
      <c r="W4">
        <f>V4+'Grid_Incoming'!W4-'Grid_Requirement'!W4</f>
        <v/>
      </c>
      <c r="X4">
        <f>W4+'Grid_Incoming'!X4-'Grid_Requirement'!X4</f>
        <v/>
      </c>
      <c r="Y4">
        <f>X4+'Grid_Incoming'!Y4-'Grid_Requirement'!Y4</f>
        <v/>
      </c>
      <c r="Z4">
        <f>Y4+'Grid_Incoming'!Z4-'Grid_Requirement'!Z4</f>
        <v/>
      </c>
      <c r="AA4">
        <f>Z4+'Grid_Incoming'!AA4-'Grid_Requirement'!AA4</f>
        <v/>
      </c>
      <c r="AB4">
        <f>AA4+'Grid_Incoming'!AB4-'Grid_Requirement'!AB4</f>
        <v/>
      </c>
      <c r="AC4">
        <f>AB4+'Grid_Incoming'!AC4-'Grid_Requirement'!AC4</f>
        <v/>
      </c>
      <c r="AD4">
        <f>AC4+'Grid_Incoming'!AD4-'Grid_Requirement'!AD4</f>
        <v/>
      </c>
      <c r="AE4">
        <f>AD4+'Grid_Incoming'!AE4-'Grid_Requirement'!AE4</f>
        <v/>
      </c>
      <c r="AF4">
        <f>AE4+'Grid_Incoming'!AF4-'Grid_Requirement'!AF4</f>
        <v/>
      </c>
      <c r="AG4">
        <f>AF4+'Grid_Incoming'!AG4-'Grid_Requirement'!AG4</f>
        <v/>
      </c>
      <c r="AH4">
        <f>AG4+'Grid_Incoming'!AH4-'Grid_Requirement'!AH4</f>
        <v/>
      </c>
      <c r="AI4">
        <f>AH4+'Grid_Incoming'!AI4-'Grid_Requirement'!AI4</f>
        <v/>
      </c>
      <c r="AJ4">
        <f>AI4+'Grid_Incoming'!AJ4-'Grid_Requirement'!AJ4</f>
        <v/>
      </c>
      <c r="AK4">
        <f>AJ4+'Grid_Incoming'!AK4-'Grid_Requirement'!AK4</f>
        <v/>
      </c>
      <c r="AL4">
        <f>AK4+'Grid_Incoming'!AL4-'Grid_Requirement'!AL4</f>
        <v/>
      </c>
      <c r="AM4">
        <f>AL4+'Grid_Incoming'!AM4-'Grid_Requirement'!AM4</f>
        <v/>
      </c>
      <c r="AN4">
        <f>AM4+'Grid_Incoming'!AN4-'Grid_Requirement'!AN4</f>
        <v/>
      </c>
      <c r="AO4">
        <f>AN4+'Grid_Incoming'!AO4-'Grid_Requirement'!AO4</f>
        <v/>
      </c>
      <c r="AP4">
        <f>AO4+'Grid_Incoming'!AP4-'Grid_Requirement'!AP4</f>
        <v/>
      </c>
      <c r="AQ4">
        <f>AP4+'Grid_Incoming'!AQ4-'Grid_Requirement'!AQ4</f>
        <v/>
      </c>
      <c r="AR4">
        <f>AQ4+'Grid_Incoming'!AR4-'Grid_Requirement'!AR4</f>
        <v/>
      </c>
      <c r="AS4">
        <f>AR4+'Grid_Incoming'!AS4-'Grid_Requirement'!AS4</f>
        <v/>
      </c>
      <c r="AT4">
        <f>AS4+'Grid_Incoming'!AT4-'Grid_Requirement'!AT4</f>
        <v/>
      </c>
      <c r="AU4">
        <f>AT4+'Grid_Incoming'!AU4-'Grid_Requirement'!AU4</f>
        <v/>
      </c>
      <c r="AV4">
        <f>AU4+'Grid_Incoming'!AV4-'Grid_Requirement'!AV4</f>
        <v/>
      </c>
      <c r="AW4">
        <f>AV4+'Grid_Incoming'!AW4-'Grid_Requirement'!AW4</f>
        <v/>
      </c>
      <c r="AX4">
        <f>AW4+'Grid_Incoming'!AX4-'Grid_Requirement'!AX4</f>
        <v/>
      </c>
      <c r="AY4">
        <f>AX4+'Grid_Incoming'!AY4-'Grid_Requirement'!AY4</f>
        <v/>
      </c>
      <c r="AZ4">
        <f>AY4+'Grid_Incoming'!AZ4-'Grid_Requirement'!AZ4</f>
        <v/>
      </c>
      <c r="BA4">
        <f>AZ4+'Grid_Incoming'!BA4-'Grid_Requirement'!BA4</f>
        <v/>
      </c>
      <c r="BB4">
        <f>BA4+'Grid_Incoming'!BB4-'Grid_Requirement'!BB4</f>
        <v/>
      </c>
      <c r="BC4">
        <f>BB4+'Grid_Incoming'!BC4-'Grid_Requirement'!BC4</f>
        <v/>
      </c>
      <c r="BD4">
        <f>BC4+'Grid_Incoming'!BD4-'Grid_Requirement'!BD4</f>
        <v/>
      </c>
      <c r="BE4">
        <f>BD4+'Grid_Incoming'!BE4-'Grid_Requirement'!BE4</f>
        <v/>
      </c>
      <c r="BF4">
        <f>BE4+'Grid_Incoming'!BF4-'Grid_Requirement'!BF4</f>
        <v/>
      </c>
      <c r="BG4">
        <f>BF4+'Grid_Incoming'!BG4-'Grid_Requirement'!BG4</f>
        <v/>
      </c>
      <c r="BH4">
        <f>BG4+'Grid_Incoming'!BH4-'Grid_Requirement'!BH4</f>
        <v/>
      </c>
      <c r="BI4">
        <f>BH4+'Grid_Incoming'!BI4-'Grid_Requirement'!BI4</f>
        <v/>
      </c>
      <c r="BJ4">
        <f>BI4+'Grid_Incoming'!BJ4-'Grid_Requirement'!BJ4</f>
        <v/>
      </c>
      <c r="BK4">
        <f>BJ4+'Grid_Incoming'!BK4-'Grid_Requirement'!BK4</f>
        <v/>
      </c>
      <c r="BL4">
        <f>BK4+'Grid_Incoming'!BL4-'Grid_Requirement'!BL4</f>
        <v/>
      </c>
      <c r="BM4">
        <f>BL4+'Grid_Incoming'!BM4-'Grid_Requirement'!BM4</f>
        <v/>
      </c>
      <c r="BN4">
        <f>BM4+'Grid_Incoming'!BN4-'Grid_Requirement'!BN4</f>
        <v/>
      </c>
      <c r="BO4">
        <f>BN4+'Grid_Incoming'!BO4-'Grid_Requirement'!BO4</f>
        <v/>
      </c>
      <c r="BP4">
        <f>BO4+'Grid_Incoming'!BP4-'Grid_Requirement'!BP4</f>
        <v/>
      </c>
      <c r="BQ4">
        <f>BP4+'Grid_Incoming'!BQ4-'Grid_Requirement'!BQ4</f>
        <v/>
      </c>
      <c r="BR4">
        <f>BQ4+'Grid_Incoming'!BR4-'Grid_Requirement'!BR4</f>
        <v/>
      </c>
      <c r="BS4">
        <f>BR4+'Grid_Incoming'!BS4-'Grid_Requirement'!BS4</f>
        <v/>
      </c>
      <c r="BT4">
        <f>BS4+'Grid_Incoming'!BT4-'Grid_Requirement'!BT4</f>
        <v/>
      </c>
      <c r="BU4">
        <f>BT4+'Grid_Incoming'!BU4-'Grid_Requirement'!BU4</f>
        <v/>
      </c>
      <c r="BV4">
        <f>BU4+'Grid_Incoming'!BV4-'Grid_Requirement'!BV4</f>
        <v/>
      </c>
      <c r="BW4">
        <f>BV4+'Grid_Incoming'!BW4-'Grid_Requirement'!BW4</f>
        <v/>
      </c>
      <c r="BX4">
        <f>BW4+'Grid_Incoming'!BX4-'Grid_Requirement'!BX4</f>
        <v/>
      </c>
      <c r="BY4">
        <f>BX4+'Grid_Incoming'!BY4-'Grid_Requirement'!BY4</f>
        <v/>
      </c>
      <c r="BZ4">
        <f>BY4+'Grid_Incoming'!BZ4-'Grid_Requirement'!BZ4</f>
        <v/>
      </c>
      <c r="CA4">
        <f>BZ4+'Grid_Incoming'!CA4-'Grid_Requirement'!CA4</f>
        <v/>
      </c>
      <c r="CB4">
        <f>CA4+'Grid_Incoming'!CB4-'Grid_Requirement'!CB4</f>
        <v/>
      </c>
      <c r="CC4">
        <f>CB4+'Grid_Incoming'!CC4-'Grid_Requirement'!CC4</f>
        <v/>
      </c>
      <c r="CD4">
        <f>CC4+'Grid_Incoming'!CD4-'Grid_Requirement'!CD4</f>
        <v/>
      </c>
      <c r="CE4">
        <f>CD4+'Grid_Incoming'!CE4-'Grid_Requirement'!CE4</f>
        <v/>
      </c>
      <c r="CF4">
        <f>CE4+'Grid_Incoming'!CF4-'Grid_Requirement'!CF4</f>
        <v/>
      </c>
      <c r="CG4">
        <f>CF4+'Grid_Incoming'!CG4-'Grid_Requirement'!CG4</f>
        <v/>
      </c>
      <c r="CH4">
        <f>CG4+'Grid_Incoming'!CH4-'Grid_Requirement'!CH4</f>
        <v/>
      </c>
      <c r="CI4">
        <f>CH4+'Grid_Incoming'!CI4-'Grid_Requirement'!CI4</f>
        <v/>
      </c>
      <c r="CJ4">
        <f>CI4+'Grid_Incoming'!CJ4-'Grid_Requirement'!CJ4</f>
        <v/>
      </c>
      <c r="CK4">
        <f>CJ4+'Grid_Incoming'!CK4-'Grid_Requirement'!CK4</f>
        <v/>
      </c>
      <c r="CL4">
        <f>CK4+'Grid_Incoming'!CL4-'Grid_Requirement'!CL4</f>
        <v/>
      </c>
      <c r="CM4">
        <f>CL4+'Grid_Incoming'!CM4-'Grid_Requirement'!CM4</f>
        <v/>
      </c>
      <c r="CN4">
        <f>CM4+'Grid_Incoming'!CN4-'Grid_Requirement'!CN4</f>
        <v/>
      </c>
      <c r="CO4">
        <f>CN4+'Grid_Incoming'!CO4-'Grid_Requirement'!CO4</f>
        <v/>
      </c>
      <c r="CP4">
        <f>CO4+'Grid_Incoming'!CP4-'Grid_Requirement'!CP4</f>
        <v/>
      </c>
      <c r="CQ4">
        <f>CP4+'Grid_Incoming'!CQ4-'Grid_Requirement'!CQ4</f>
        <v/>
      </c>
      <c r="CR4">
        <f>CQ4+'Grid_Incoming'!CR4-'Grid_Requirement'!CR4</f>
        <v/>
      </c>
      <c r="CS4">
        <f>CR4+'Grid_Incoming'!CS4-'Grid_Requirement'!CS4</f>
        <v/>
      </c>
      <c r="CT4">
        <f>CS4+'Grid_Incoming'!CT4-'Grid_Requirement'!CT4</f>
        <v/>
      </c>
      <c r="CU4">
        <f>CT4+'Grid_Incoming'!CU4-'Grid_Requirement'!CU4</f>
        <v/>
      </c>
      <c r="CV4">
        <f>CU4+'Grid_Incoming'!CV4-'Grid_Requirement'!CV4</f>
        <v/>
      </c>
      <c r="CW4">
        <f>CV4+'Grid_Incoming'!CW4-'Grid_Requirement'!CW4</f>
        <v/>
      </c>
      <c r="CX4">
        <f>CW4+'Grid_Incoming'!CX4-'Grid_Requirement'!CX4</f>
        <v/>
      </c>
      <c r="CY4">
        <f>CX4+'Grid_Incoming'!CY4-'Grid_Requirement'!CY4</f>
        <v/>
      </c>
      <c r="CZ4">
        <f>CY4+'Grid_Incoming'!CZ4-'Grid_Requirement'!CZ4</f>
        <v/>
      </c>
      <c r="DA4">
        <f>CZ4+'Grid_Incoming'!DA4-'Grid_Requirement'!DA4</f>
        <v/>
      </c>
    </row>
    <row r="5">
      <c r="A5" t="inlineStr">
        <is>
          <t>9RN</t>
        </is>
      </c>
      <c r="B5">
        <f>IFERROR(INDEX(T_OpeningStock[Opening_Qty],MATCH($A5,T_OpeningStock[Part Name],0)),0)+'Grid_Incoming'!B5-'Grid_Requirement'!B5</f>
        <v/>
      </c>
      <c r="C5">
        <f>B5+'Grid_Incoming'!C5-'Grid_Requirement'!C5</f>
        <v/>
      </c>
      <c r="D5">
        <f>C5+'Grid_Incoming'!D5-'Grid_Requirement'!D5</f>
        <v/>
      </c>
      <c r="E5">
        <f>D5+'Grid_Incoming'!E5-'Grid_Requirement'!E5</f>
        <v/>
      </c>
      <c r="F5">
        <f>E5+'Grid_Incoming'!F5-'Grid_Requirement'!F5</f>
        <v/>
      </c>
      <c r="G5">
        <f>F5+'Grid_Incoming'!G5-'Grid_Requirement'!G5</f>
        <v/>
      </c>
      <c r="H5">
        <f>G5+'Grid_Incoming'!H5-'Grid_Requirement'!H5</f>
        <v/>
      </c>
      <c r="I5">
        <f>H5+'Grid_Incoming'!I5-'Grid_Requirement'!I5</f>
        <v/>
      </c>
      <c r="J5">
        <f>I5+'Grid_Incoming'!J5-'Grid_Requirement'!J5</f>
        <v/>
      </c>
      <c r="K5">
        <f>J5+'Grid_Incoming'!K5-'Grid_Requirement'!K5</f>
        <v/>
      </c>
      <c r="L5">
        <f>K5+'Grid_Incoming'!L5-'Grid_Requirement'!L5</f>
        <v/>
      </c>
      <c r="M5">
        <f>L5+'Grid_Incoming'!M5-'Grid_Requirement'!M5</f>
        <v/>
      </c>
      <c r="N5">
        <f>M5+'Grid_Incoming'!N5-'Grid_Requirement'!N5</f>
        <v/>
      </c>
      <c r="O5">
        <f>N5+'Grid_Incoming'!O5-'Grid_Requirement'!O5</f>
        <v/>
      </c>
      <c r="P5">
        <f>O5+'Grid_Incoming'!P5-'Grid_Requirement'!P5</f>
        <v/>
      </c>
      <c r="Q5">
        <f>P5+'Grid_Incoming'!Q5-'Grid_Requirement'!Q5</f>
        <v/>
      </c>
      <c r="R5">
        <f>Q5+'Grid_Incoming'!R5-'Grid_Requirement'!R5</f>
        <v/>
      </c>
      <c r="S5">
        <f>R5+'Grid_Incoming'!S5-'Grid_Requirement'!S5</f>
        <v/>
      </c>
      <c r="T5">
        <f>S5+'Grid_Incoming'!T5-'Grid_Requirement'!T5</f>
        <v/>
      </c>
      <c r="U5">
        <f>T5+'Grid_Incoming'!U5-'Grid_Requirement'!U5</f>
        <v/>
      </c>
      <c r="V5">
        <f>U5+'Grid_Incoming'!V5-'Grid_Requirement'!V5</f>
        <v/>
      </c>
      <c r="W5">
        <f>V5+'Grid_Incoming'!W5-'Grid_Requirement'!W5</f>
        <v/>
      </c>
      <c r="X5">
        <f>W5+'Grid_Incoming'!X5-'Grid_Requirement'!X5</f>
        <v/>
      </c>
      <c r="Y5">
        <f>X5+'Grid_Incoming'!Y5-'Grid_Requirement'!Y5</f>
        <v/>
      </c>
      <c r="Z5">
        <f>Y5+'Grid_Incoming'!Z5-'Grid_Requirement'!Z5</f>
        <v/>
      </c>
      <c r="AA5">
        <f>Z5+'Grid_Incoming'!AA5-'Grid_Requirement'!AA5</f>
        <v/>
      </c>
      <c r="AB5">
        <f>AA5+'Grid_Incoming'!AB5-'Grid_Requirement'!AB5</f>
        <v/>
      </c>
      <c r="AC5">
        <f>AB5+'Grid_Incoming'!AC5-'Grid_Requirement'!AC5</f>
        <v/>
      </c>
      <c r="AD5">
        <f>AC5+'Grid_Incoming'!AD5-'Grid_Requirement'!AD5</f>
        <v/>
      </c>
      <c r="AE5">
        <f>AD5+'Grid_Incoming'!AE5-'Grid_Requirement'!AE5</f>
        <v/>
      </c>
      <c r="AF5">
        <f>AE5+'Grid_Incoming'!AF5-'Grid_Requirement'!AF5</f>
        <v/>
      </c>
      <c r="AG5">
        <f>AF5+'Grid_Incoming'!AG5-'Grid_Requirement'!AG5</f>
        <v/>
      </c>
      <c r="AH5">
        <f>AG5+'Grid_Incoming'!AH5-'Grid_Requirement'!AH5</f>
        <v/>
      </c>
      <c r="AI5">
        <f>AH5+'Grid_Incoming'!AI5-'Grid_Requirement'!AI5</f>
        <v/>
      </c>
      <c r="AJ5">
        <f>AI5+'Grid_Incoming'!AJ5-'Grid_Requirement'!AJ5</f>
        <v/>
      </c>
      <c r="AK5">
        <f>AJ5+'Grid_Incoming'!AK5-'Grid_Requirement'!AK5</f>
        <v/>
      </c>
      <c r="AL5">
        <f>AK5+'Grid_Incoming'!AL5-'Grid_Requirement'!AL5</f>
        <v/>
      </c>
      <c r="AM5">
        <f>AL5+'Grid_Incoming'!AM5-'Grid_Requirement'!AM5</f>
        <v/>
      </c>
      <c r="AN5">
        <f>AM5+'Grid_Incoming'!AN5-'Grid_Requirement'!AN5</f>
        <v/>
      </c>
      <c r="AO5">
        <f>AN5+'Grid_Incoming'!AO5-'Grid_Requirement'!AO5</f>
        <v/>
      </c>
      <c r="AP5">
        <f>AO5+'Grid_Incoming'!AP5-'Grid_Requirement'!AP5</f>
        <v/>
      </c>
      <c r="AQ5">
        <f>AP5+'Grid_Incoming'!AQ5-'Grid_Requirement'!AQ5</f>
        <v/>
      </c>
      <c r="AR5">
        <f>AQ5+'Grid_Incoming'!AR5-'Grid_Requirement'!AR5</f>
        <v/>
      </c>
      <c r="AS5">
        <f>AR5+'Grid_Incoming'!AS5-'Grid_Requirement'!AS5</f>
        <v/>
      </c>
      <c r="AT5">
        <f>AS5+'Grid_Incoming'!AT5-'Grid_Requirement'!AT5</f>
        <v/>
      </c>
      <c r="AU5">
        <f>AT5+'Grid_Incoming'!AU5-'Grid_Requirement'!AU5</f>
        <v/>
      </c>
      <c r="AV5">
        <f>AU5+'Grid_Incoming'!AV5-'Grid_Requirement'!AV5</f>
        <v/>
      </c>
      <c r="AW5">
        <f>AV5+'Grid_Incoming'!AW5-'Grid_Requirement'!AW5</f>
        <v/>
      </c>
      <c r="AX5">
        <f>AW5+'Grid_Incoming'!AX5-'Grid_Requirement'!AX5</f>
        <v/>
      </c>
      <c r="AY5">
        <f>AX5+'Grid_Incoming'!AY5-'Grid_Requirement'!AY5</f>
        <v/>
      </c>
      <c r="AZ5">
        <f>AY5+'Grid_Incoming'!AZ5-'Grid_Requirement'!AZ5</f>
        <v/>
      </c>
      <c r="BA5">
        <f>AZ5+'Grid_Incoming'!BA5-'Grid_Requirement'!BA5</f>
        <v/>
      </c>
      <c r="BB5">
        <f>BA5+'Grid_Incoming'!BB5-'Grid_Requirement'!BB5</f>
        <v/>
      </c>
      <c r="BC5">
        <f>BB5+'Grid_Incoming'!BC5-'Grid_Requirement'!BC5</f>
        <v/>
      </c>
      <c r="BD5">
        <f>BC5+'Grid_Incoming'!BD5-'Grid_Requirement'!BD5</f>
        <v/>
      </c>
      <c r="BE5">
        <f>BD5+'Grid_Incoming'!BE5-'Grid_Requirement'!BE5</f>
        <v/>
      </c>
      <c r="BF5">
        <f>BE5+'Grid_Incoming'!BF5-'Grid_Requirement'!BF5</f>
        <v/>
      </c>
      <c r="BG5">
        <f>BF5+'Grid_Incoming'!BG5-'Grid_Requirement'!BG5</f>
        <v/>
      </c>
      <c r="BH5">
        <f>BG5+'Grid_Incoming'!BH5-'Grid_Requirement'!BH5</f>
        <v/>
      </c>
      <c r="BI5">
        <f>BH5+'Grid_Incoming'!BI5-'Grid_Requirement'!BI5</f>
        <v/>
      </c>
      <c r="BJ5">
        <f>BI5+'Grid_Incoming'!BJ5-'Grid_Requirement'!BJ5</f>
        <v/>
      </c>
      <c r="BK5">
        <f>BJ5+'Grid_Incoming'!BK5-'Grid_Requirement'!BK5</f>
        <v/>
      </c>
      <c r="BL5">
        <f>BK5+'Grid_Incoming'!BL5-'Grid_Requirement'!BL5</f>
        <v/>
      </c>
      <c r="BM5">
        <f>BL5+'Grid_Incoming'!BM5-'Grid_Requirement'!BM5</f>
        <v/>
      </c>
      <c r="BN5">
        <f>BM5+'Grid_Incoming'!BN5-'Grid_Requirement'!BN5</f>
        <v/>
      </c>
      <c r="BO5">
        <f>BN5+'Grid_Incoming'!BO5-'Grid_Requirement'!BO5</f>
        <v/>
      </c>
      <c r="BP5">
        <f>BO5+'Grid_Incoming'!BP5-'Grid_Requirement'!BP5</f>
        <v/>
      </c>
      <c r="BQ5">
        <f>BP5+'Grid_Incoming'!BQ5-'Grid_Requirement'!BQ5</f>
        <v/>
      </c>
      <c r="BR5">
        <f>BQ5+'Grid_Incoming'!BR5-'Grid_Requirement'!BR5</f>
        <v/>
      </c>
      <c r="BS5">
        <f>BR5+'Grid_Incoming'!BS5-'Grid_Requirement'!BS5</f>
        <v/>
      </c>
      <c r="BT5">
        <f>BS5+'Grid_Incoming'!BT5-'Grid_Requirement'!BT5</f>
        <v/>
      </c>
      <c r="BU5">
        <f>BT5+'Grid_Incoming'!BU5-'Grid_Requirement'!BU5</f>
        <v/>
      </c>
      <c r="BV5">
        <f>BU5+'Grid_Incoming'!BV5-'Grid_Requirement'!BV5</f>
        <v/>
      </c>
      <c r="BW5">
        <f>BV5+'Grid_Incoming'!BW5-'Grid_Requirement'!BW5</f>
        <v/>
      </c>
      <c r="BX5">
        <f>BW5+'Grid_Incoming'!BX5-'Grid_Requirement'!BX5</f>
        <v/>
      </c>
      <c r="BY5">
        <f>BX5+'Grid_Incoming'!BY5-'Grid_Requirement'!BY5</f>
        <v/>
      </c>
      <c r="BZ5">
        <f>BY5+'Grid_Incoming'!BZ5-'Grid_Requirement'!BZ5</f>
        <v/>
      </c>
      <c r="CA5">
        <f>BZ5+'Grid_Incoming'!CA5-'Grid_Requirement'!CA5</f>
        <v/>
      </c>
      <c r="CB5">
        <f>CA5+'Grid_Incoming'!CB5-'Grid_Requirement'!CB5</f>
        <v/>
      </c>
      <c r="CC5">
        <f>CB5+'Grid_Incoming'!CC5-'Grid_Requirement'!CC5</f>
        <v/>
      </c>
      <c r="CD5">
        <f>CC5+'Grid_Incoming'!CD5-'Grid_Requirement'!CD5</f>
        <v/>
      </c>
      <c r="CE5">
        <f>CD5+'Grid_Incoming'!CE5-'Grid_Requirement'!CE5</f>
        <v/>
      </c>
      <c r="CF5">
        <f>CE5+'Grid_Incoming'!CF5-'Grid_Requirement'!CF5</f>
        <v/>
      </c>
      <c r="CG5">
        <f>CF5+'Grid_Incoming'!CG5-'Grid_Requirement'!CG5</f>
        <v/>
      </c>
      <c r="CH5">
        <f>CG5+'Grid_Incoming'!CH5-'Grid_Requirement'!CH5</f>
        <v/>
      </c>
      <c r="CI5">
        <f>CH5+'Grid_Incoming'!CI5-'Grid_Requirement'!CI5</f>
        <v/>
      </c>
      <c r="CJ5">
        <f>CI5+'Grid_Incoming'!CJ5-'Grid_Requirement'!CJ5</f>
        <v/>
      </c>
      <c r="CK5">
        <f>CJ5+'Grid_Incoming'!CK5-'Grid_Requirement'!CK5</f>
        <v/>
      </c>
      <c r="CL5">
        <f>CK5+'Grid_Incoming'!CL5-'Grid_Requirement'!CL5</f>
        <v/>
      </c>
      <c r="CM5">
        <f>CL5+'Grid_Incoming'!CM5-'Grid_Requirement'!CM5</f>
        <v/>
      </c>
      <c r="CN5">
        <f>CM5+'Grid_Incoming'!CN5-'Grid_Requirement'!CN5</f>
        <v/>
      </c>
      <c r="CO5">
        <f>CN5+'Grid_Incoming'!CO5-'Grid_Requirement'!CO5</f>
        <v/>
      </c>
      <c r="CP5">
        <f>CO5+'Grid_Incoming'!CP5-'Grid_Requirement'!CP5</f>
        <v/>
      </c>
      <c r="CQ5">
        <f>CP5+'Grid_Incoming'!CQ5-'Grid_Requirement'!CQ5</f>
        <v/>
      </c>
      <c r="CR5">
        <f>CQ5+'Grid_Incoming'!CR5-'Grid_Requirement'!CR5</f>
        <v/>
      </c>
      <c r="CS5">
        <f>CR5+'Grid_Incoming'!CS5-'Grid_Requirement'!CS5</f>
        <v/>
      </c>
      <c r="CT5">
        <f>CS5+'Grid_Incoming'!CT5-'Grid_Requirement'!CT5</f>
        <v/>
      </c>
      <c r="CU5">
        <f>CT5+'Grid_Incoming'!CU5-'Grid_Requirement'!CU5</f>
        <v/>
      </c>
      <c r="CV5">
        <f>CU5+'Grid_Incoming'!CV5-'Grid_Requirement'!CV5</f>
        <v/>
      </c>
      <c r="CW5">
        <f>CV5+'Grid_Incoming'!CW5-'Grid_Requirement'!CW5</f>
        <v/>
      </c>
      <c r="CX5">
        <f>CW5+'Grid_Incoming'!CX5-'Grid_Requirement'!CX5</f>
        <v/>
      </c>
      <c r="CY5">
        <f>CX5+'Grid_Incoming'!CY5-'Grid_Requirement'!CY5</f>
        <v/>
      </c>
      <c r="CZ5">
        <f>CY5+'Grid_Incoming'!CZ5-'Grid_Requirement'!CZ5</f>
        <v/>
      </c>
      <c r="DA5">
        <f>CZ5+'Grid_Incoming'!DA5-'Grid_Requirement'!DA5</f>
        <v/>
      </c>
    </row>
    <row r="6">
      <c r="A6" t="inlineStr">
        <is>
          <t>7CL</t>
        </is>
      </c>
      <c r="B6">
        <f>IFERROR(INDEX(T_OpeningStock[Opening_Qty],MATCH($A6,T_OpeningStock[Part Name],0)),0)+'Grid_Incoming'!B6-'Grid_Requirement'!B6</f>
        <v/>
      </c>
      <c r="C6">
        <f>B6+'Grid_Incoming'!C6-'Grid_Requirement'!C6</f>
        <v/>
      </c>
      <c r="D6">
        <f>C6+'Grid_Incoming'!D6-'Grid_Requirement'!D6</f>
        <v/>
      </c>
      <c r="E6">
        <f>D6+'Grid_Incoming'!E6-'Grid_Requirement'!E6</f>
        <v/>
      </c>
      <c r="F6">
        <f>E6+'Grid_Incoming'!F6-'Grid_Requirement'!F6</f>
        <v/>
      </c>
      <c r="G6">
        <f>F6+'Grid_Incoming'!G6-'Grid_Requirement'!G6</f>
        <v/>
      </c>
      <c r="H6">
        <f>G6+'Grid_Incoming'!H6-'Grid_Requirement'!H6</f>
        <v/>
      </c>
      <c r="I6">
        <f>H6+'Grid_Incoming'!I6-'Grid_Requirement'!I6</f>
        <v/>
      </c>
      <c r="J6">
        <f>I6+'Grid_Incoming'!J6-'Grid_Requirement'!J6</f>
        <v/>
      </c>
      <c r="K6">
        <f>J6+'Grid_Incoming'!K6-'Grid_Requirement'!K6</f>
        <v/>
      </c>
      <c r="L6">
        <f>K6+'Grid_Incoming'!L6-'Grid_Requirement'!L6</f>
        <v/>
      </c>
      <c r="M6">
        <f>L6+'Grid_Incoming'!M6-'Grid_Requirement'!M6</f>
        <v/>
      </c>
      <c r="N6">
        <f>M6+'Grid_Incoming'!N6-'Grid_Requirement'!N6</f>
        <v/>
      </c>
      <c r="O6">
        <f>N6+'Grid_Incoming'!O6-'Grid_Requirement'!O6</f>
        <v/>
      </c>
      <c r="P6">
        <f>O6+'Grid_Incoming'!P6-'Grid_Requirement'!P6</f>
        <v/>
      </c>
      <c r="Q6">
        <f>P6+'Grid_Incoming'!Q6-'Grid_Requirement'!Q6</f>
        <v/>
      </c>
      <c r="R6">
        <f>Q6+'Grid_Incoming'!R6-'Grid_Requirement'!R6</f>
        <v/>
      </c>
      <c r="S6">
        <f>R6+'Grid_Incoming'!S6-'Grid_Requirement'!S6</f>
        <v/>
      </c>
      <c r="T6">
        <f>S6+'Grid_Incoming'!T6-'Grid_Requirement'!T6</f>
        <v/>
      </c>
      <c r="U6">
        <f>T6+'Grid_Incoming'!U6-'Grid_Requirement'!U6</f>
        <v/>
      </c>
      <c r="V6">
        <f>U6+'Grid_Incoming'!V6-'Grid_Requirement'!V6</f>
        <v/>
      </c>
      <c r="W6">
        <f>V6+'Grid_Incoming'!W6-'Grid_Requirement'!W6</f>
        <v/>
      </c>
      <c r="X6">
        <f>W6+'Grid_Incoming'!X6-'Grid_Requirement'!X6</f>
        <v/>
      </c>
      <c r="Y6">
        <f>X6+'Grid_Incoming'!Y6-'Grid_Requirement'!Y6</f>
        <v/>
      </c>
      <c r="Z6">
        <f>Y6+'Grid_Incoming'!Z6-'Grid_Requirement'!Z6</f>
        <v/>
      </c>
      <c r="AA6">
        <f>Z6+'Grid_Incoming'!AA6-'Grid_Requirement'!AA6</f>
        <v/>
      </c>
      <c r="AB6">
        <f>AA6+'Grid_Incoming'!AB6-'Grid_Requirement'!AB6</f>
        <v/>
      </c>
      <c r="AC6">
        <f>AB6+'Grid_Incoming'!AC6-'Grid_Requirement'!AC6</f>
        <v/>
      </c>
      <c r="AD6">
        <f>AC6+'Grid_Incoming'!AD6-'Grid_Requirement'!AD6</f>
        <v/>
      </c>
      <c r="AE6">
        <f>AD6+'Grid_Incoming'!AE6-'Grid_Requirement'!AE6</f>
        <v/>
      </c>
      <c r="AF6">
        <f>AE6+'Grid_Incoming'!AF6-'Grid_Requirement'!AF6</f>
        <v/>
      </c>
      <c r="AG6">
        <f>AF6+'Grid_Incoming'!AG6-'Grid_Requirement'!AG6</f>
        <v/>
      </c>
      <c r="AH6">
        <f>AG6+'Grid_Incoming'!AH6-'Grid_Requirement'!AH6</f>
        <v/>
      </c>
      <c r="AI6">
        <f>AH6+'Grid_Incoming'!AI6-'Grid_Requirement'!AI6</f>
        <v/>
      </c>
      <c r="AJ6">
        <f>AI6+'Grid_Incoming'!AJ6-'Grid_Requirement'!AJ6</f>
        <v/>
      </c>
      <c r="AK6">
        <f>AJ6+'Grid_Incoming'!AK6-'Grid_Requirement'!AK6</f>
        <v/>
      </c>
      <c r="AL6">
        <f>AK6+'Grid_Incoming'!AL6-'Grid_Requirement'!AL6</f>
        <v/>
      </c>
      <c r="AM6">
        <f>AL6+'Grid_Incoming'!AM6-'Grid_Requirement'!AM6</f>
        <v/>
      </c>
      <c r="AN6">
        <f>AM6+'Grid_Incoming'!AN6-'Grid_Requirement'!AN6</f>
        <v/>
      </c>
      <c r="AO6">
        <f>AN6+'Grid_Incoming'!AO6-'Grid_Requirement'!AO6</f>
        <v/>
      </c>
      <c r="AP6">
        <f>AO6+'Grid_Incoming'!AP6-'Grid_Requirement'!AP6</f>
        <v/>
      </c>
      <c r="AQ6">
        <f>AP6+'Grid_Incoming'!AQ6-'Grid_Requirement'!AQ6</f>
        <v/>
      </c>
      <c r="AR6">
        <f>AQ6+'Grid_Incoming'!AR6-'Grid_Requirement'!AR6</f>
        <v/>
      </c>
      <c r="AS6">
        <f>AR6+'Grid_Incoming'!AS6-'Grid_Requirement'!AS6</f>
        <v/>
      </c>
      <c r="AT6">
        <f>AS6+'Grid_Incoming'!AT6-'Grid_Requirement'!AT6</f>
        <v/>
      </c>
      <c r="AU6">
        <f>AT6+'Grid_Incoming'!AU6-'Grid_Requirement'!AU6</f>
        <v/>
      </c>
      <c r="AV6">
        <f>AU6+'Grid_Incoming'!AV6-'Grid_Requirement'!AV6</f>
        <v/>
      </c>
      <c r="AW6">
        <f>AV6+'Grid_Incoming'!AW6-'Grid_Requirement'!AW6</f>
        <v/>
      </c>
      <c r="AX6">
        <f>AW6+'Grid_Incoming'!AX6-'Grid_Requirement'!AX6</f>
        <v/>
      </c>
      <c r="AY6">
        <f>AX6+'Grid_Incoming'!AY6-'Grid_Requirement'!AY6</f>
        <v/>
      </c>
      <c r="AZ6">
        <f>AY6+'Grid_Incoming'!AZ6-'Grid_Requirement'!AZ6</f>
        <v/>
      </c>
      <c r="BA6">
        <f>AZ6+'Grid_Incoming'!BA6-'Grid_Requirement'!BA6</f>
        <v/>
      </c>
      <c r="BB6">
        <f>BA6+'Grid_Incoming'!BB6-'Grid_Requirement'!BB6</f>
        <v/>
      </c>
      <c r="BC6">
        <f>BB6+'Grid_Incoming'!BC6-'Grid_Requirement'!BC6</f>
        <v/>
      </c>
      <c r="BD6">
        <f>BC6+'Grid_Incoming'!BD6-'Grid_Requirement'!BD6</f>
        <v/>
      </c>
      <c r="BE6">
        <f>BD6+'Grid_Incoming'!BE6-'Grid_Requirement'!BE6</f>
        <v/>
      </c>
      <c r="BF6">
        <f>BE6+'Grid_Incoming'!BF6-'Grid_Requirement'!BF6</f>
        <v/>
      </c>
      <c r="BG6">
        <f>BF6+'Grid_Incoming'!BG6-'Grid_Requirement'!BG6</f>
        <v/>
      </c>
      <c r="BH6">
        <f>BG6+'Grid_Incoming'!BH6-'Grid_Requirement'!BH6</f>
        <v/>
      </c>
      <c r="BI6">
        <f>BH6+'Grid_Incoming'!BI6-'Grid_Requirement'!BI6</f>
        <v/>
      </c>
      <c r="BJ6">
        <f>BI6+'Grid_Incoming'!BJ6-'Grid_Requirement'!BJ6</f>
        <v/>
      </c>
      <c r="BK6">
        <f>BJ6+'Grid_Incoming'!BK6-'Grid_Requirement'!BK6</f>
        <v/>
      </c>
      <c r="BL6">
        <f>BK6+'Grid_Incoming'!BL6-'Grid_Requirement'!BL6</f>
        <v/>
      </c>
      <c r="BM6">
        <f>BL6+'Grid_Incoming'!BM6-'Grid_Requirement'!BM6</f>
        <v/>
      </c>
      <c r="BN6">
        <f>BM6+'Grid_Incoming'!BN6-'Grid_Requirement'!BN6</f>
        <v/>
      </c>
      <c r="BO6">
        <f>BN6+'Grid_Incoming'!BO6-'Grid_Requirement'!BO6</f>
        <v/>
      </c>
      <c r="BP6">
        <f>BO6+'Grid_Incoming'!BP6-'Grid_Requirement'!BP6</f>
        <v/>
      </c>
      <c r="BQ6">
        <f>BP6+'Grid_Incoming'!BQ6-'Grid_Requirement'!BQ6</f>
        <v/>
      </c>
      <c r="BR6">
        <f>BQ6+'Grid_Incoming'!BR6-'Grid_Requirement'!BR6</f>
        <v/>
      </c>
      <c r="BS6">
        <f>BR6+'Grid_Incoming'!BS6-'Grid_Requirement'!BS6</f>
        <v/>
      </c>
      <c r="BT6">
        <f>BS6+'Grid_Incoming'!BT6-'Grid_Requirement'!BT6</f>
        <v/>
      </c>
      <c r="BU6">
        <f>BT6+'Grid_Incoming'!BU6-'Grid_Requirement'!BU6</f>
        <v/>
      </c>
      <c r="BV6">
        <f>BU6+'Grid_Incoming'!BV6-'Grid_Requirement'!BV6</f>
        <v/>
      </c>
      <c r="BW6">
        <f>BV6+'Grid_Incoming'!BW6-'Grid_Requirement'!BW6</f>
        <v/>
      </c>
      <c r="BX6">
        <f>BW6+'Grid_Incoming'!BX6-'Grid_Requirement'!BX6</f>
        <v/>
      </c>
      <c r="BY6">
        <f>BX6+'Grid_Incoming'!BY6-'Grid_Requirement'!BY6</f>
        <v/>
      </c>
      <c r="BZ6">
        <f>BY6+'Grid_Incoming'!BZ6-'Grid_Requirement'!BZ6</f>
        <v/>
      </c>
      <c r="CA6">
        <f>BZ6+'Grid_Incoming'!CA6-'Grid_Requirement'!CA6</f>
        <v/>
      </c>
      <c r="CB6">
        <f>CA6+'Grid_Incoming'!CB6-'Grid_Requirement'!CB6</f>
        <v/>
      </c>
      <c r="CC6">
        <f>CB6+'Grid_Incoming'!CC6-'Grid_Requirement'!CC6</f>
        <v/>
      </c>
      <c r="CD6">
        <f>CC6+'Grid_Incoming'!CD6-'Grid_Requirement'!CD6</f>
        <v/>
      </c>
      <c r="CE6">
        <f>CD6+'Grid_Incoming'!CE6-'Grid_Requirement'!CE6</f>
        <v/>
      </c>
      <c r="CF6">
        <f>CE6+'Grid_Incoming'!CF6-'Grid_Requirement'!CF6</f>
        <v/>
      </c>
      <c r="CG6">
        <f>CF6+'Grid_Incoming'!CG6-'Grid_Requirement'!CG6</f>
        <v/>
      </c>
      <c r="CH6">
        <f>CG6+'Grid_Incoming'!CH6-'Grid_Requirement'!CH6</f>
        <v/>
      </c>
      <c r="CI6">
        <f>CH6+'Grid_Incoming'!CI6-'Grid_Requirement'!CI6</f>
        <v/>
      </c>
      <c r="CJ6">
        <f>CI6+'Grid_Incoming'!CJ6-'Grid_Requirement'!CJ6</f>
        <v/>
      </c>
      <c r="CK6">
        <f>CJ6+'Grid_Incoming'!CK6-'Grid_Requirement'!CK6</f>
        <v/>
      </c>
      <c r="CL6">
        <f>CK6+'Grid_Incoming'!CL6-'Grid_Requirement'!CL6</f>
        <v/>
      </c>
      <c r="CM6">
        <f>CL6+'Grid_Incoming'!CM6-'Grid_Requirement'!CM6</f>
        <v/>
      </c>
      <c r="CN6">
        <f>CM6+'Grid_Incoming'!CN6-'Grid_Requirement'!CN6</f>
        <v/>
      </c>
      <c r="CO6">
        <f>CN6+'Grid_Incoming'!CO6-'Grid_Requirement'!CO6</f>
        <v/>
      </c>
      <c r="CP6">
        <f>CO6+'Grid_Incoming'!CP6-'Grid_Requirement'!CP6</f>
        <v/>
      </c>
      <c r="CQ6">
        <f>CP6+'Grid_Incoming'!CQ6-'Grid_Requirement'!CQ6</f>
        <v/>
      </c>
      <c r="CR6">
        <f>CQ6+'Grid_Incoming'!CR6-'Grid_Requirement'!CR6</f>
        <v/>
      </c>
      <c r="CS6">
        <f>CR6+'Grid_Incoming'!CS6-'Grid_Requirement'!CS6</f>
        <v/>
      </c>
      <c r="CT6">
        <f>CS6+'Grid_Incoming'!CT6-'Grid_Requirement'!CT6</f>
        <v/>
      </c>
      <c r="CU6">
        <f>CT6+'Grid_Incoming'!CU6-'Grid_Requirement'!CU6</f>
        <v/>
      </c>
      <c r="CV6">
        <f>CU6+'Grid_Incoming'!CV6-'Grid_Requirement'!CV6</f>
        <v/>
      </c>
      <c r="CW6">
        <f>CV6+'Grid_Incoming'!CW6-'Grid_Requirement'!CW6</f>
        <v/>
      </c>
      <c r="CX6">
        <f>CW6+'Grid_Incoming'!CX6-'Grid_Requirement'!CX6</f>
        <v/>
      </c>
      <c r="CY6">
        <f>CX6+'Grid_Incoming'!CY6-'Grid_Requirement'!CY6</f>
        <v/>
      </c>
      <c r="CZ6">
        <f>CY6+'Grid_Incoming'!CZ6-'Grid_Requirement'!CZ6</f>
        <v/>
      </c>
      <c r="DA6">
        <f>CZ6+'Grid_Incoming'!DA6-'Grid_Requirement'!DA6</f>
        <v/>
      </c>
    </row>
    <row r="7">
      <c r="A7" t="inlineStr">
        <is>
          <t>OJN</t>
        </is>
      </c>
      <c r="B7">
        <f>IFERROR(INDEX(T_OpeningStock[Opening_Qty],MATCH($A7,T_OpeningStock[Part Name],0)),0)+'Grid_Incoming'!B7-'Grid_Requirement'!B7</f>
        <v/>
      </c>
      <c r="C7">
        <f>B7+'Grid_Incoming'!C7-'Grid_Requirement'!C7</f>
        <v/>
      </c>
      <c r="D7">
        <f>C7+'Grid_Incoming'!D7-'Grid_Requirement'!D7</f>
        <v/>
      </c>
      <c r="E7">
        <f>D7+'Grid_Incoming'!E7-'Grid_Requirement'!E7</f>
        <v/>
      </c>
      <c r="F7">
        <f>E7+'Grid_Incoming'!F7-'Grid_Requirement'!F7</f>
        <v/>
      </c>
      <c r="G7">
        <f>F7+'Grid_Incoming'!G7-'Grid_Requirement'!G7</f>
        <v/>
      </c>
      <c r="H7">
        <f>G7+'Grid_Incoming'!H7-'Grid_Requirement'!H7</f>
        <v/>
      </c>
      <c r="I7">
        <f>H7+'Grid_Incoming'!I7-'Grid_Requirement'!I7</f>
        <v/>
      </c>
      <c r="J7">
        <f>I7+'Grid_Incoming'!J7-'Grid_Requirement'!J7</f>
        <v/>
      </c>
      <c r="K7">
        <f>J7+'Grid_Incoming'!K7-'Grid_Requirement'!K7</f>
        <v/>
      </c>
      <c r="L7">
        <f>K7+'Grid_Incoming'!L7-'Grid_Requirement'!L7</f>
        <v/>
      </c>
      <c r="M7">
        <f>L7+'Grid_Incoming'!M7-'Grid_Requirement'!M7</f>
        <v/>
      </c>
      <c r="N7">
        <f>M7+'Grid_Incoming'!N7-'Grid_Requirement'!N7</f>
        <v/>
      </c>
      <c r="O7">
        <f>N7+'Grid_Incoming'!O7-'Grid_Requirement'!O7</f>
        <v/>
      </c>
      <c r="P7">
        <f>O7+'Grid_Incoming'!P7-'Grid_Requirement'!P7</f>
        <v/>
      </c>
      <c r="Q7">
        <f>P7+'Grid_Incoming'!Q7-'Grid_Requirement'!Q7</f>
        <v/>
      </c>
      <c r="R7">
        <f>Q7+'Grid_Incoming'!R7-'Grid_Requirement'!R7</f>
        <v/>
      </c>
      <c r="S7">
        <f>R7+'Grid_Incoming'!S7-'Grid_Requirement'!S7</f>
        <v/>
      </c>
      <c r="T7">
        <f>S7+'Grid_Incoming'!T7-'Grid_Requirement'!T7</f>
        <v/>
      </c>
      <c r="U7">
        <f>T7+'Grid_Incoming'!U7-'Grid_Requirement'!U7</f>
        <v/>
      </c>
      <c r="V7">
        <f>U7+'Grid_Incoming'!V7-'Grid_Requirement'!V7</f>
        <v/>
      </c>
      <c r="W7">
        <f>V7+'Grid_Incoming'!W7-'Grid_Requirement'!W7</f>
        <v/>
      </c>
      <c r="X7">
        <f>W7+'Grid_Incoming'!X7-'Grid_Requirement'!X7</f>
        <v/>
      </c>
      <c r="Y7">
        <f>X7+'Grid_Incoming'!Y7-'Grid_Requirement'!Y7</f>
        <v/>
      </c>
      <c r="Z7">
        <f>Y7+'Grid_Incoming'!Z7-'Grid_Requirement'!Z7</f>
        <v/>
      </c>
      <c r="AA7">
        <f>Z7+'Grid_Incoming'!AA7-'Grid_Requirement'!AA7</f>
        <v/>
      </c>
      <c r="AB7">
        <f>AA7+'Grid_Incoming'!AB7-'Grid_Requirement'!AB7</f>
        <v/>
      </c>
      <c r="AC7">
        <f>AB7+'Grid_Incoming'!AC7-'Grid_Requirement'!AC7</f>
        <v/>
      </c>
      <c r="AD7">
        <f>AC7+'Grid_Incoming'!AD7-'Grid_Requirement'!AD7</f>
        <v/>
      </c>
      <c r="AE7">
        <f>AD7+'Grid_Incoming'!AE7-'Grid_Requirement'!AE7</f>
        <v/>
      </c>
      <c r="AF7">
        <f>AE7+'Grid_Incoming'!AF7-'Grid_Requirement'!AF7</f>
        <v/>
      </c>
      <c r="AG7">
        <f>AF7+'Grid_Incoming'!AG7-'Grid_Requirement'!AG7</f>
        <v/>
      </c>
      <c r="AH7">
        <f>AG7+'Grid_Incoming'!AH7-'Grid_Requirement'!AH7</f>
        <v/>
      </c>
      <c r="AI7">
        <f>AH7+'Grid_Incoming'!AI7-'Grid_Requirement'!AI7</f>
        <v/>
      </c>
      <c r="AJ7">
        <f>AI7+'Grid_Incoming'!AJ7-'Grid_Requirement'!AJ7</f>
        <v/>
      </c>
      <c r="AK7">
        <f>AJ7+'Grid_Incoming'!AK7-'Grid_Requirement'!AK7</f>
        <v/>
      </c>
      <c r="AL7">
        <f>AK7+'Grid_Incoming'!AL7-'Grid_Requirement'!AL7</f>
        <v/>
      </c>
      <c r="AM7">
        <f>AL7+'Grid_Incoming'!AM7-'Grid_Requirement'!AM7</f>
        <v/>
      </c>
      <c r="AN7">
        <f>AM7+'Grid_Incoming'!AN7-'Grid_Requirement'!AN7</f>
        <v/>
      </c>
      <c r="AO7">
        <f>AN7+'Grid_Incoming'!AO7-'Grid_Requirement'!AO7</f>
        <v/>
      </c>
      <c r="AP7">
        <f>AO7+'Grid_Incoming'!AP7-'Grid_Requirement'!AP7</f>
        <v/>
      </c>
      <c r="AQ7">
        <f>AP7+'Grid_Incoming'!AQ7-'Grid_Requirement'!AQ7</f>
        <v/>
      </c>
      <c r="AR7">
        <f>AQ7+'Grid_Incoming'!AR7-'Grid_Requirement'!AR7</f>
        <v/>
      </c>
      <c r="AS7">
        <f>AR7+'Grid_Incoming'!AS7-'Grid_Requirement'!AS7</f>
        <v/>
      </c>
      <c r="AT7">
        <f>AS7+'Grid_Incoming'!AT7-'Grid_Requirement'!AT7</f>
        <v/>
      </c>
      <c r="AU7">
        <f>AT7+'Grid_Incoming'!AU7-'Grid_Requirement'!AU7</f>
        <v/>
      </c>
      <c r="AV7">
        <f>AU7+'Grid_Incoming'!AV7-'Grid_Requirement'!AV7</f>
        <v/>
      </c>
      <c r="AW7">
        <f>AV7+'Grid_Incoming'!AW7-'Grid_Requirement'!AW7</f>
        <v/>
      </c>
      <c r="AX7">
        <f>AW7+'Grid_Incoming'!AX7-'Grid_Requirement'!AX7</f>
        <v/>
      </c>
      <c r="AY7">
        <f>AX7+'Grid_Incoming'!AY7-'Grid_Requirement'!AY7</f>
        <v/>
      </c>
      <c r="AZ7">
        <f>AY7+'Grid_Incoming'!AZ7-'Grid_Requirement'!AZ7</f>
        <v/>
      </c>
      <c r="BA7">
        <f>AZ7+'Grid_Incoming'!BA7-'Grid_Requirement'!BA7</f>
        <v/>
      </c>
      <c r="BB7">
        <f>BA7+'Grid_Incoming'!BB7-'Grid_Requirement'!BB7</f>
        <v/>
      </c>
      <c r="BC7">
        <f>BB7+'Grid_Incoming'!BC7-'Grid_Requirement'!BC7</f>
        <v/>
      </c>
      <c r="BD7">
        <f>BC7+'Grid_Incoming'!BD7-'Grid_Requirement'!BD7</f>
        <v/>
      </c>
      <c r="BE7">
        <f>BD7+'Grid_Incoming'!BE7-'Grid_Requirement'!BE7</f>
        <v/>
      </c>
      <c r="BF7">
        <f>BE7+'Grid_Incoming'!BF7-'Grid_Requirement'!BF7</f>
        <v/>
      </c>
      <c r="BG7">
        <f>BF7+'Grid_Incoming'!BG7-'Grid_Requirement'!BG7</f>
        <v/>
      </c>
      <c r="BH7">
        <f>BG7+'Grid_Incoming'!BH7-'Grid_Requirement'!BH7</f>
        <v/>
      </c>
      <c r="BI7">
        <f>BH7+'Grid_Incoming'!BI7-'Grid_Requirement'!BI7</f>
        <v/>
      </c>
      <c r="BJ7">
        <f>BI7+'Grid_Incoming'!BJ7-'Grid_Requirement'!BJ7</f>
        <v/>
      </c>
      <c r="BK7">
        <f>BJ7+'Grid_Incoming'!BK7-'Grid_Requirement'!BK7</f>
        <v/>
      </c>
      <c r="BL7">
        <f>BK7+'Grid_Incoming'!BL7-'Grid_Requirement'!BL7</f>
        <v/>
      </c>
      <c r="BM7">
        <f>BL7+'Grid_Incoming'!BM7-'Grid_Requirement'!BM7</f>
        <v/>
      </c>
      <c r="BN7">
        <f>BM7+'Grid_Incoming'!BN7-'Grid_Requirement'!BN7</f>
        <v/>
      </c>
      <c r="BO7">
        <f>BN7+'Grid_Incoming'!BO7-'Grid_Requirement'!BO7</f>
        <v/>
      </c>
      <c r="BP7">
        <f>BO7+'Grid_Incoming'!BP7-'Grid_Requirement'!BP7</f>
        <v/>
      </c>
      <c r="BQ7">
        <f>BP7+'Grid_Incoming'!BQ7-'Grid_Requirement'!BQ7</f>
        <v/>
      </c>
      <c r="BR7">
        <f>BQ7+'Grid_Incoming'!BR7-'Grid_Requirement'!BR7</f>
        <v/>
      </c>
      <c r="BS7">
        <f>BR7+'Grid_Incoming'!BS7-'Grid_Requirement'!BS7</f>
        <v/>
      </c>
      <c r="BT7">
        <f>BS7+'Grid_Incoming'!BT7-'Grid_Requirement'!BT7</f>
        <v/>
      </c>
      <c r="BU7">
        <f>BT7+'Grid_Incoming'!BU7-'Grid_Requirement'!BU7</f>
        <v/>
      </c>
      <c r="BV7">
        <f>BU7+'Grid_Incoming'!BV7-'Grid_Requirement'!BV7</f>
        <v/>
      </c>
      <c r="BW7">
        <f>BV7+'Grid_Incoming'!BW7-'Grid_Requirement'!BW7</f>
        <v/>
      </c>
      <c r="BX7">
        <f>BW7+'Grid_Incoming'!BX7-'Grid_Requirement'!BX7</f>
        <v/>
      </c>
      <c r="BY7">
        <f>BX7+'Grid_Incoming'!BY7-'Grid_Requirement'!BY7</f>
        <v/>
      </c>
      <c r="BZ7">
        <f>BY7+'Grid_Incoming'!BZ7-'Grid_Requirement'!BZ7</f>
        <v/>
      </c>
      <c r="CA7">
        <f>BZ7+'Grid_Incoming'!CA7-'Grid_Requirement'!CA7</f>
        <v/>
      </c>
      <c r="CB7">
        <f>CA7+'Grid_Incoming'!CB7-'Grid_Requirement'!CB7</f>
        <v/>
      </c>
      <c r="CC7">
        <f>CB7+'Grid_Incoming'!CC7-'Grid_Requirement'!CC7</f>
        <v/>
      </c>
      <c r="CD7">
        <f>CC7+'Grid_Incoming'!CD7-'Grid_Requirement'!CD7</f>
        <v/>
      </c>
      <c r="CE7">
        <f>CD7+'Grid_Incoming'!CE7-'Grid_Requirement'!CE7</f>
        <v/>
      </c>
      <c r="CF7">
        <f>CE7+'Grid_Incoming'!CF7-'Grid_Requirement'!CF7</f>
        <v/>
      </c>
      <c r="CG7">
        <f>CF7+'Grid_Incoming'!CG7-'Grid_Requirement'!CG7</f>
        <v/>
      </c>
      <c r="CH7">
        <f>CG7+'Grid_Incoming'!CH7-'Grid_Requirement'!CH7</f>
        <v/>
      </c>
      <c r="CI7">
        <f>CH7+'Grid_Incoming'!CI7-'Grid_Requirement'!CI7</f>
        <v/>
      </c>
      <c r="CJ7">
        <f>CI7+'Grid_Incoming'!CJ7-'Grid_Requirement'!CJ7</f>
        <v/>
      </c>
      <c r="CK7">
        <f>CJ7+'Grid_Incoming'!CK7-'Grid_Requirement'!CK7</f>
        <v/>
      </c>
      <c r="CL7">
        <f>CK7+'Grid_Incoming'!CL7-'Grid_Requirement'!CL7</f>
        <v/>
      </c>
      <c r="CM7">
        <f>CL7+'Grid_Incoming'!CM7-'Grid_Requirement'!CM7</f>
        <v/>
      </c>
      <c r="CN7">
        <f>CM7+'Grid_Incoming'!CN7-'Grid_Requirement'!CN7</f>
        <v/>
      </c>
      <c r="CO7">
        <f>CN7+'Grid_Incoming'!CO7-'Grid_Requirement'!CO7</f>
        <v/>
      </c>
      <c r="CP7">
        <f>CO7+'Grid_Incoming'!CP7-'Grid_Requirement'!CP7</f>
        <v/>
      </c>
      <c r="CQ7">
        <f>CP7+'Grid_Incoming'!CQ7-'Grid_Requirement'!CQ7</f>
        <v/>
      </c>
      <c r="CR7">
        <f>CQ7+'Grid_Incoming'!CR7-'Grid_Requirement'!CR7</f>
        <v/>
      </c>
      <c r="CS7">
        <f>CR7+'Grid_Incoming'!CS7-'Grid_Requirement'!CS7</f>
        <v/>
      </c>
      <c r="CT7">
        <f>CS7+'Grid_Incoming'!CT7-'Grid_Requirement'!CT7</f>
        <v/>
      </c>
      <c r="CU7">
        <f>CT7+'Grid_Incoming'!CU7-'Grid_Requirement'!CU7</f>
        <v/>
      </c>
      <c r="CV7">
        <f>CU7+'Grid_Incoming'!CV7-'Grid_Requirement'!CV7</f>
        <v/>
      </c>
      <c r="CW7">
        <f>CV7+'Grid_Incoming'!CW7-'Grid_Requirement'!CW7</f>
        <v/>
      </c>
      <c r="CX7">
        <f>CW7+'Grid_Incoming'!CX7-'Grid_Requirement'!CX7</f>
        <v/>
      </c>
      <c r="CY7">
        <f>CX7+'Grid_Incoming'!CY7-'Grid_Requirement'!CY7</f>
        <v/>
      </c>
      <c r="CZ7">
        <f>CY7+'Grid_Incoming'!CZ7-'Grid_Requirement'!CZ7</f>
        <v/>
      </c>
      <c r="DA7">
        <f>CZ7+'Grid_Incoming'!DA7-'Grid_Requirement'!DA7</f>
        <v/>
      </c>
    </row>
    <row r="8">
      <c r="A8" t="inlineStr">
        <is>
          <t>TDJ</t>
        </is>
      </c>
      <c r="B8">
        <f>IFERROR(INDEX(T_OpeningStock[Opening_Qty],MATCH($A8,T_OpeningStock[Part Name],0)),0)+'Grid_Incoming'!B8-'Grid_Requirement'!B8</f>
        <v/>
      </c>
      <c r="C8">
        <f>B8+'Grid_Incoming'!C8-'Grid_Requirement'!C8</f>
        <v/>
      </c>
      <c r="D8">
        <f>C8+'Grid_Incoming'!D8-'Grid_Requirement'!D8</f>
        <v/>
      </c>
      <c r="E8">
        <f>D8+'Grid_Incoming'!E8-'Grid_Requirement'!E8</f>
        <v/>
      </c>
      <c r="F8">
        <f>E8+'Grid_Incoming'!F8-'Grid_Requirement'!F8</f>
        <v/>
      </c>
      <c r="G8">
        <f>F8+'Grid_Incoming'!G8-'Grid_Requirement'!G8</f>
        <v/>
      </c>
      <c r="H8">
        <f>G8+'Grid_Incoming'!H8-'Grid_Requirement'!H8</f>
        <v/>
      </c>
      <c r="I8">
        <f>H8+'Grid_Incoming'!I8-'Grid_Requirement'!I8</f>
        <v/>
      </c>
      <c r="J8">
        <f>I8+'Grid_Incoming'!J8-'Grid_Requirement'!J8</f>
        <v/>
      </c>
      <c r="K8">
        <f>J8+'Grid_Incoming'!K8-'Grid_Requirement'!K8</f>
        <v/>
      </c>
      <c r="L8">
        <f>K8+'Grid_Incoming'!L8-'Grid_Requirement'!L8</f>
        <v/>
      </c>
      <c r="M8">
        <f>L8+'Grid_Incoming'!M8-'Grid_Requirement'!M8</f>
        <v/>
      </c>
      <c r="N8">
        <f>M8+'Grid_Incoming'!N8-'Grid_Requirement'!N8</f>
        <v/>
      </c>
      <c r="O8">
        <f>N8+'Grid_Incoming'!O8-'Grid_Requirement'!O8</f>
        <v/>
      </c>
      <c r="P8">
        <f>O8+'Grid_Incoming'!P8-'Grid_Requirement'!P8</f>
        <v/>
      </c>
      <c r="Q8">
        <f>P8+'Grid_Incoming'!Q8-'Grid_Requirement'!Q8</f>
        <v/>
      </c>
      <c r="R8">
        <f>Q8+'Grid_Incoming'!R8-'Grid_Requirement'!R8</f>
        <v/>
      </c>
      <c r="S8">
        <f>R8+'Grid_Incoming'!S8-'Grid_Requirement'!S8</f>
        <v/>
      </c>
      <c r="T8">
        <f>S8+'Grid_Incoming'!T8-'Grid_Requirement'!T8</f>
        <v/>
      </c>
      <c r="U8">
        <f>T8+'Grid_Incoming'!U8-'Grid_Requirement'!U8</f>
        <v/>
      </c>
      <c r="V8">
        <f>U8+'Grid_Incoming'!V8-'Grid_Requirement'!V8</f>
        <v/>
      </c>
      <c r="W8">
        <f>V8+'Grid_Incoming'!W8-'Grid_Requirement'!W8</f>
        <v/>
      </c>
      <c r="X8">
        <f>W8+'Grid_Incoming'!X8-'Grid_Requirement'!X8</f>
        <v/>
      </c>
      <c r="Y8">
        <f>X8+'Grid_Incoming'!Y8-'Grid_Requirement'!Y8</f>
        <v/>
      </c>
      <c r="Z8">
        <f>Y8+'Grid_Incoming'!Z8-'Grid_Requirement'!Z8</f>
        <v/>
      </c>
      <c r="AA8">
        <f>Z8+'Grid_Incoming'!AA8-'Grid_Requirement'!AA8</f>
        <v/>
      </c>
      <c r="AB8">
        <f>AA8+'Grid_Incoming'!AB8-'Grid_Requirement'!AB8</f>
        <v/>
      </c>
      <c r="AC8">
        <f>AB8+'Grid_Incoming'!AC8-'Grid_Requirement'!AC8</f>
        <v/>
      </c>
      <c r="AD8">
        <f>AC8+'Grid_Incoming'!AD8-'Grid_Requirement'!AD8</f>
        <v/>
      </c>
      <c r="AE8">
        <f>AD8+'Grid_Incoming'!AE8-'Grid_Requirement'!AE8</f>
        <v/>
      </c>
      <c r="AF8">
        <f>AE8+'Grid_Incoming'!AF8-'Grid_Requirement'!AF8</f>
        <v/>
      </c>
      <c r="AG8">
        <f>AF8+'Grid_Incoming'!AG8-'Grid_Requirement'!AG8</f>
        <v/>
      </c>
      <c r="AH8">
        <f>AG8+'Grid_Incoming'!AH8-'Grid_Requirement'!AH8</f>
        <v/>
      </c>
      <c r="AI8">
        <f>AH8+'Grid_Incoming'!AI8-'Grid_Requirement'!AI8</f>
        <v/>
      </c>
      <c r="AJ8">
        <f>AI8+'Grid_Incoming'!AJ8-'Grid_Requirement'!AJ8</f>
        <v/>
      </c>
      <c r="AK8">
        <f>AJ8+'Grid_Incoming'!AK8-'Grid_Requirement'!AK8</f>
        <v/>
      </c>
      <c r="AL8">
        <f>AK8+'Grid_Incoming'!AL8-'Grid_Requirement'!AL8</f>
        <v/>
      </c>
      <c r="AM8">
        <f>AL8+'Grid_Incoming'!AM8-'Grid_Requirement'!AM8</f>
        <v/>
      </c>
      <c r="AN8">
        <f>AM8+'Grid_Incoming'!AN8-'Grid_Requirement'!AN8</f>
        <v/>
      </c>
      <c r="AO8">
        <f>AN8+'Grid_Incoming'!AO8-'Grid_Requirement'!AO8</f>
        <v/>
      </c>
      <c r="AP8">
        <f>AO8+'Grid_Incoming'!AP8-'Grid_Requirement'!AP8</f>
        <v/>
      </c>
      <c r="AQ8">
        <f>AP8+'Grid_Incoming'!AQ8-'Grid_Requirement'!AQ8</f>
        <v/>
      </c>
      <c r="AR8">
        <f>AQ8+'Grid_Incoming'!AR8-'Grid_Requirement'!AR8</f>
        <v/>
      </c>
      <c r="AS8">
        <f>AR8+'Grid_Incoming'!AS8-'Grid_Requirement'!AS8</f>
        <v/>
      </c>
      <c r="AT8">
        <f>AS8+'Grid_Incoming'!AT8-'Grid_Requirement'!AT8</f>
        <v/>
      </c>
      <c r="AU8">
        <f>AT8+'Grid_Incoming'!AU8-'Grid_Requirement'!AU8</f>
        <v/>
      </c>
      <c r="AV8">
        <f>AU8+'Grid_Incoming'!AV8-'Grid_Requirement'!AV8</f>
        <v/>
      </c>
      <c r="AW8">
        <f>AV8+'Grid_Incoming'!AW8-'Grid_Requirement'!AW8</f>
        <v/>
      </c>
      <c r="AX8">
        <f>AW8+'Grid_Incoming'!AX8-'Grid_Requirement'!AX8</f>
        <v/>
      </c>
      <c r="AY8">
        <f>AX8+'Grid_Incoming'!AY8-'Grid_Requirement'!AY8</f>
        <v/>
      </c>
      <c r="AZ8">
        <f>AY8+'Grid_Incoming'!AZ8-'Grid_Requirement'!AZ8</f>
        <v/>
      </c>
      <c r="BA8">
        <f>AZ8+'Grid_Incoming'!BA8-'Grid_Requirement'!BA8</f>
        <v/>
      </c>
      <c r="BB8">
        <f>BA8+'Grid_Incoming'!BB8-'Grid_Requirement'!BB8</f>
        <v/>
      </c>
      <c r="BC8">
        <f>BB8+'Grid_Incoming'!BC8-'Grid_Requirement'!BC8</f>
        <v/>
      </c>
      <c r="BD8">
        <f>BC8+'Grid_Incoming'!BD8-'Grid_Requirement'!BD8</f>
        <v/>
      </c>
      <c r="BE8">
        <f>BD8+'Grid_Incoming'!BE8-'Grid_Requirement'!BE8</f>
        <v/>
      </c>
      <c r="BF8">
        <f>BE8+'Grid_Incoming'!BF8-'Grid_Requirement'!BF8</f>
        <v/>
      </c>
      <c r="BG8">
        <f>BF8+'Grid_Incoming'!BG8-'Grid_Requirement'!BG8</f>
        <v/>
      </c>
      <c r="BH8">
        <f>BG8+'Grid_Incoming'!BH8-'Grid_Requirement'!BH8</f>
        <v/>
      </c>
      <c r="BI8">
        <f>BH8+'Grid_Incoming'!BI8-'Grid_Requirement'!BI8</f>
        <v/>
      </c>
      <c r="BJ8">
        <f>BI8+'Grid_Incoming'!BJ8-'Grid_Requirement'!BJ8</f>
        <v/>
      </c>
      <c r="BK8">
        <f>BJ8+'Grid_Incoming'!BK8-'Grid_Requirement'!BK8</f>
        <v/>
      </c>
      <c r="BL8">
        <f>BK8+'Grid_Incoming'!BL8-'Grid_Requirement'!BL8</f>
        <v/>
      </c>
      <c r="BM8">
        <f>BL8+'Grid_Incoming'!BM8-'Grid_Requirement'!BM8</f>
        <v/>
      </c>
      <c r="BN8">
        <f>BM8+'Grid_Incoming'!BN8-'Grid_Requirement'!BN8</f>
        <v/>
      </c>
      <c r="BO8">
        <f>BN8+'Grid_Incoming'!BO8-'Grid_Requirement'!BO8</f>
        <v/>
      </c>
      <c r="BP8">
        <f>BO8+'Grid_Incoming'!BP8-'Grid_Requirement'!BP8</f>
        <v/>
      </c>
      <c r="BQ8">
        <f>BP8+'Grid_Incoming'!BQ8-'Grid_Requirement'!BQ8</f>
        <v/>
      </c>
      <c r="BR8">
        <f>BQ8+'Grid_Incoming'!BR8-'Grid_Requirement'!BR8</f>
        <v/>
      </c>
      <c r="BS8">
        <f>BR8+'Grid_Incoming'!BS8-'Grid_Requirement'!BS8</f>
        <v/>
      </c>
      <c r="BT8">
        <f>BS8+'Grid_Incoming'!BT8-'Grid_Requirement'!BT8</f>
        <v/>
      </c>
      <c r="BU8">
        <f>BT8+'Grid_Incoming'!BU8-'Grid_Requirement'!BU8</f>
        <v/>
      </c>
      <c r="BV8">
        <f>BU8+'Grid_Incoming'!BV8-'Grid_Requirement'!BV8</f>
        <v/>
      </c>
      <c r="BW8">
        <f>BV8+'Grid_Incoming'!BW8-'Grid_Requirement'!BW8</f>
        <v/>
      </c>
      <c r="BX8">
        <f>BW8+'Grid_Incoming'!BX8-'Grid_Requirement'!BX8</f>
        <v/>
      </c>
      <c r="BY8">
        <f>BX8+'Grid_Incoming'!BY8-'Grid_Requirement'!BY8</f>
        <v/>
      </c>
      <c r="BZ8">
        <f>BY8+'Grid_Incoming'!BZ8-'Grid_Requirement'!BZ8</f>
        <v/>
      </c>
      <c r="CA8">
        <f>BZ8+'Grid_Incoming'!CA8-'Grid_Requirement'!CA8</f>
        <v/>
      </c>
      <c r="CB8">
        <f>CA8+'Grid_Incoming'!CB8-'Grid_Requirement'!CB8</f>
        <v/>
      </c>
      <c r="CC8">
        <f>CB8+'Grid_Incoming'!CC8-'Grid_Requirement'!CC8</f>
        <v/>
      </c>
      <c r="CD8">
        <f>CC8+'Grid_Incoming'!CD8-'Grid_Requirement'!CD8</f>
        <v/>
      </c>
      <c r="CE8">
        <f>CD8+'Grid_Incoming'!CE8-'Grid_Requirement'!CE8</f>
        <v/>
      </c>
      <c r="CF8">
        <f>CE8+'Grid_Incoming'!CF8-'Grid_Requirement'!CF8</f>
        <v/>
      </c>
      <c r="CG8">
        <f>CF8+'Grid_Incoming'!CG8-'Grid_Requirement'!CG8</f>
        <v/>
      </c>
      <c r="CH8">
        <f>CG8+'Grid_Incoming'!CH8-'Grid_Requirement'!CH8</f>
        <v/>
      </c>
      <c r="CI8">
        <f>CH8+'Grid_Incoming'!CI8-'Grid_Requirement'!CI8</f>
        <v/>
      </c>
      <c r="CJ8">
        <f>CI8+'Grid_Incoming'!CJ8-'Grid_Requirement'!CJ8</f>
        <v/>
      </c>
      <c r="CK8">
        <f>CJ8+'Grid_Incoming'!CK8-'Grid_Requirement'!CK8</f>
        <v/>
      </c>
      <c r="CL8">
        <f>CK8+'Grid_Incoming'!CL8-'Grid_Requirement'!CL8</f>
        <v/>
      </c>
      <c r="CM8">
        <f>CL8+'Grid_Incoming'!CM8-'Grid_Requirement'!CM8</f>
        <v/>
      </c>
      <c r="CN8">
        <f>CM8+'Grid_Incoming'!CN8-'Grid_Requirement'!CN8</f>
        <v/>
      </c>
      <c r="CO8">
        <f>CN8+'Grid_Incoming'!CO8-'Grid_Requirement'!CO8</f>
        <v/>
      </c>
      <c r="CP8">
        <f>CO8+'Grid_Incoming'!CP8-'Grid_Requirement'!CP8</f>
        <v/>
      </c>
      <c r="CQ8">
        <f>CP8+'Grid_Incoming'!CQ8-'Grid_Requirement'!CQ8</f>
        <v/>
      </c>
      <c r="CR8">
        <f>CQ8+'Grid_Incoming'!CR8-'Grid_Requirement'!CR8</f>
        <v/>
      </c>
      <c r="CS8">
        <f>CR8+'Grid_Incoming'!CS8-'Grid_Requirement'!CS8</f>
        <v/>
      </c>
      <c r="CT8">
        <f>CS8+'Grid_Incoming'!CT8-'Grid_Requirement'!CT8</f>
        <v/>
      </c>
      <c r="CU8">
        <f>CT8+'Grid_Incoming'!CU8-'Grid_Requirement'!CU8</f>
        <v/>
      </c>
      <c r="CV8">
        <f>CU8+'Grid_Incoming'!CV8-'Grid_Requirement'!CV8</f>
        <v/>
      </c>
      <c r="CW8">
        <f>CV8+'Grid_Incoming'!CW8-'Grid_Requirement'!CW8</f>
        <v/>
      </c>
      <c r="CX8">
        <f>CW8+'Grid_Incoming'!CX8-'Grid_Requirement'!CX8</f>
        <v/>
      </c>
      <c r="CY8">
        <f>CX8+'Grid_Incoming'!CY8-'Grid_Requirement'!CY8</f>
        <v/>
      </c>
      <c r="CZ8">
        <f>CY8+'Grid_Incoming'!CZ8-'Grid_Requirement'!CZ8</f>
        <v/>
      </c>
      <c r="DA8">
        <f>CZ8+'Grid_Incoming'!DA8-'Grid_Requirement'!DA8</f>
        <v/>
      </c>
    </row>
    <row r="9">
      <c r="A9" t="inlineStr">
        <is>
          <t>3TP</t>
        </is>
      </c>
      <c r="B9">
        <f>IFERROR(INDEX(T_OpeningStock[Opening_Qty],MATCH($A9,T_OpeningStock[Part Name],0)),0)+'Grid_Incoming'!B9-'Grid_Requirement'!B9</f>
        <v/>
      </c>
      <c r="C9">
        <f>B9+'Grid_Incoming'!C9-'Grid_Requirement'!C9</f>
        <v/>
      </c>
      <c r="D9">
        <f>C9+'Grid_Incoming'!D9-'Grid_Requirement'!D9</f>
        <v/>
      </c>
      <c r="E9">
        <f>D9+'Grid_Incoming'!E9-'Grid_Requirement'!E9</f>
        <v/>
      </c>
      <c r="F9">
        <f>E9+'Grid_Incoming'!F9-'Grid_Requirement'!F9</f>
        <v/>
      </c>
      <c r="G9">
        <f>F9+'Grid_Incoming'!G9-'Grid_Requirement'!G9</f>
        <v/>
      </c>
      <c r="H9">
        <f>G9+'Grid_Incoming'!H9-'Grid_Requirement'!H9</f>
        <v/>
      </c>
      <c r="I9">
        <f>H9+'Grid_Incoming'!I9-'Grid_Requirement'!I9</f>
        <v/>
      </c>
      <c r="J9">
        <f>I9+'Grid_Incoming'!J9-'Grid_Requirement'!J9</f>
        <v/>
      </c>
      <c r="K9">
        <f>J9+'Grid_Incoming'!K9-'Grid_Requirement'!K9</f>
        <v/>
      </c>
      <c r="L9">
        <f>K9+'Grid_Incoming'!L9-'Grid_Requirement'!L9</f>
        <v/>
      </c>
      <c r="M9">
        <f>L9+'Grid_Incoming'!M9-'Grid_Requirement'!M9</f>
        <v/>
      </c>
      <c r="N9">
        <f>M9+'Grid_Incoming'!N9-'Grid_Requirement'!N9</f>
        <v/>
      </c>
      <c r="O9">
        <f>N9+'Grid_Incoming'!O9-'Grid_Requirement'!O9</f>
        <v/>
      </c>
      <c r="P9">
        <f>O9+'Grid_Incoming'!P9-'Grid_Requirement'!P9</f>
        <v/>
      </c>
      <c r="Q9">
        <f>P9+'Grid_Incoming'!Q9-'Grid_Requirement'!Q9</f>
        <v/>
      </c>
      <c r="R9">
        <f>Q9+'Grid_Incoming'!R9-'Grid_Requirement'!R9</f>
        <v/>
      </c>
      <c r="S9">
        <f>R9+'Grid_Incoming'!S9-'Grid_Requirement'!S9</f>
        <v/>
      </c>
      <c r="T9">
        <f>S9+'Grid_Incoming'!T9-'Grid_Requirement'!T9</f>
        <v/>
      </c>
      <c r="U9">
        <f>T9+'Grid_Incoming'!U9-'Grid_Requirement'!U9</f>
        <v/>
      </c>
      <c r="V9">
        <f>U9+'Grid_Incoming'!V9-'Grid_Requirement'!V9</f>
        <v/>
      </c>
      <c r="W9">
        <f>V9+'Grid_Incoming'!W9-'Grid_Requirement'!W9</f>
        <v/>
      </c>
      <c r="X9">
        <f>W9+'Grid_Incoming'!X9-'Grid_Requirement'!X9</f>
        <v/>
      </c>
      <c r="Y9">
        <f>X9+'Grid_Incoming'!Y9-'Grid_Requirement'!Y9</f>
        <v/>
      </c>
      <c r="Z9">
        <f>Y9+'Grid_Incoming'!Z9-'Grid_Requirement'!Z9</f>
        <v/>
      </c>
      <c r="AA9">
        <f>Z9+'Grid_Incoming'!AA9-'Grid_Requirement'!AA9</f>
        <v/>
      </c>
      <c r="AB9">
        <f>AA9+'Grid_Incoming'!AB9-'Grid_Requirement'!AB9</f>
        <v/>
      </c>
      <c r="AC9">
        <f>AB9+'Grid_Incoming'!AC9-'Grid_Requirement'!AC9</f>
        <v/>
      </c>
      <c r="AD9">
        <f>AC9+'Grid_Incoming'!AD9-'Grid_Requirement'!AD9</f>
        <v/>
      </c>
      <c r="AE9">
        <f>AD9+'Grid_Incoming'!AE9-'Grid_Requirement'!AE9</f>
        <v/>
      </c>
      <c r="AF9">
        <f>AE9+'Grid_Incoming'!AF9-'Grid_Requirement'!AF9</f>
        <v/>
      </c>
      <c r="AG9">
        <f>AF9+'Grid_Incoming'!AG9-'Grid_Requirement'!AG9</f>
        <v/>
      </c>
      <c r="AH9">
        <f>AG9+'Grid_Incoming'!AH9-'Grid_Requirement'!AH9</f>
        <v/>
      </c>
      <c r="AI9">
        <f>AH9+'Grid_Incoming'!AI9-'Grid_Requirement'!AI9</f>
        <v/>
      </c>
      <c r="AJ9">
        <f>AI9+'Grid_Incoming'!AJ9-'Grid_Requirement'!AJ9</f>
        <v/>
      </c>
      <c r="AK9">
        <f>AJ9+'Grid_Incoming'!AK9-'Grid_Requirement'!AK9</f>
        <v/>
      </c>
      <c r="AL9">
        <f>AK9+'Grid_Incoming'!AL9-'Grid_Requirement'!AL9</f>
        <v/>
      </c>
      <c r="AM9">
        <f>AL9+'Grid_Incoming'!AM9-'Grid_Requirement'!AM9</f>
        <v/>
      </c>
      <c r="AN9">
        <f>AM9+'Grid_Incoming'!AN9-'Grid_Requirement'!AN9</f>
        <v/>
      </c>
      <c r="AO9">
        <f>AN9+'Grid_Incoming'!AO9-'Grid_Requirement'!AO9</f>
        <v/>
      </c>
      <c r="AP9">
        <f>AO9+'Grid_Incoming'!AP9-'Grid_Requirement'!AP9</f>
        <v/>
      </c>
      <c r="AQ9">
        <f>AP9+'Grid_Incoming'!AQ9-'Grid_Requirement'!AQ9</f>
        <v/>
      </c>
      <c r="AR9">
        <f>AQ9+'Grid_Incoming'!AR9-'Grid_Requirement'!AR9</f>
        <v/>
      </c>
      <c r="AS9">
        <f>AR9+'Grid_Incoming'!AS9-'Grid_Requirement'!AS9</f>
        <v/>
      </c>
      <c r="AT9">
        <f>AS9+'Grid_Incoming'!AT9-'Grid_Requirement'!AT9</f>
        <v/>
      </c>
      <c r="AU9">
        <f>AT9+'Grid_Incoming'!AU9-'Grid_Requirement'!AU9</f>
        <v/>
      </c>
      <c r="AV9">
        <f>AU9+'Grid_Incoming'!AV9-'Grid_Requirement'!AV9</f>
        <v/>
      </c>
      <c r="AW9">
        <f>AV9+'Grid_Incoming'!AW9-'Grid_Requirement'!AW9</f>
        <v/>
      </c>
      <c r="AX9">
        <f>AW9+'Grid_Incoming'!AX9-'Grid_Requirement'!AX9</f>
        <v/>
      </c>
      <c r="AY9">
        <f>AX9+'Grid_Incoming'!AY9-'Grid_Requirement'!AY9</f>
        <v/>
      </c>
      <c r="AZ9">
        <f>AY9+'Grid_Incoming'!AZ9-'Grid_Requirement'!AZ9</f>
        <v/>
      </c>
      <c r="BA9">
        <f>AZ9+'Grid_Incoming'!BA9-'Grid_Requirement'!BA9</f>
        <v/>
      </c>
      <c r="BB9">
        <f>BA9+'Grid_Incoming'!BB9-'Grid_Requirement'!BB9</f>
        <v/>
      </c>
      <c r="BC9">
        <f>BB9+'Grid_Incoming'!BC9-'Grid_Requirement'!BC9</f>
        <v/>
      </c>
      <c r="BD9">
        <f>BC9+'Grid_Incoming'!BD9-'Grid_Requirement'!BD9</f>
        <v/>
      </c>
      <c r="BE9">
        <f>BD9+'Grid_Incoming'!BE9-'Grid_Requirement'!BE9</f>
        <v/>
      </c>
      <c r="BF9">
        <f>BE9+'Grid_Incoming'!BF9-'Grid_Requirement'!BF9</f>
        <v/>
      </c>
      <c r="BG9">
        <f>BF9+'Grid_Incoming'!BG9-'Grid_Requirement'!BG9</f>
        <v/>
      </c>
      <c r="BH9">
        <f>BG9+'Grid_Incoming'!BH9-'Grid_Requirement'!BH9</f>
        <v/>
      </c>
      <c r="BI9">
        <f>BH9+'Grid_Incoming'!BI9-'Grid_Requirement'!BI9</f>
        <v/>
      </c>
      <c r="BJ9">
        <f>BI9+'Grid_Incoming'!BJ9-'Grid_Requirement'!BJ9</f>
        <v/>
      </c>
      <c r="BK9">
        <f>BJ9+'Grid_Incoming'!BK9-'Grid_Requirement'!BK9</f>
        <v/>
      </c>
      <c r="BL9">
        <f>BK9+'Grid_Incoming'!BL9-'Grid_Requirement'!BL9</f>
        <v/>
      </c>
      <c r="BM9">
        <f>BL9+'Grid_Incoming'!BM9-'Grid_Requirement'!BM9</f>
        <v/>
      </c>
      <c r="BN9">
        <f>BM9+'Grid_Incoming'!BN9-'Grid_Requirement'!BN9</f>
        <v/>
      </c>
      <c r="BO9">
        <f>BN9+'Grid_Incoming'!BO9-'Grid_Requirement'!BO9</f>
        <v/>
      </c>
      <c r="BP9">
        <f>BO9+'Grid_Incoming'!BP9-'Grid_Requirement'!BP9</f>
        <v/>
      </c>
      <c r="BQ9">
        <f>BP9+'Grid_Incoming'!BQ9-'Grid_Requirement'!BQ9</f>
        <v/>
      </c>
      <c r="BR9">
        <f>BQ9+'Grid_Incoming'!BR9-'Grid_Requirement'!BR9</f>
        <v/>
      </c>
      <c r="BS9">
        <f>BR9+'Grid_Incoming'!BS9-'Grid_Requirement'!BS9</f>
        <v/>
      </c>
      <c r="BT9">
        <f>BS9+'Grid_Incoming'!BT9-'Grid_Requirement'!BT9</f>
        <v/>
      </c>
      <c r="BU9">
        <f>BT9+'Grid_Incoming'!BU9-'Grid_Requirement'!BU9</f>
        <v/>
      </c>
      <c r="BV9">
        <f>BU9+'Grid_Incoming'!BV9-'Grid_Requirement'!BV9</f>
        <v/>
      </c>
      <c r="BW9">
        <f>BV9+'Grid_Incoming'!BW9-'Grid_Requirement'!BW9</f>
        <v/>
      </c>
      <c r="BX9">
        <f>BW9+'Grid_Incoming'!BX9-'Grid_Requirement'!BX9</f>
        <v/>
      </c>
      <c r="BY9">
        <f>BX9+'Grid_Incoming'!BY9-'Grid_Requirement'!BY9</f>
        <v/>
      </c>
      <c r="BZ9">
        <f>BY9+'Grid_Incoming'!BZ9-'Grid_Requirement'!BZ9</f>
        <v/>
      </c>
      <c r="CA9">
        <f>BZ9+'Grid_Incoming'!CA9-'Grid_Requirement'!CA9</f>
        <v/>
      </c>
      <c r="CB9">
        <f>CA9+'Grid_Incoming'!CB9-'Grid_Requirement'!CB9</f>
        <v/>
      </c>
      <c r="CC9">
        <f>CB9+'Grid_Incoming'!CC9-'Grid_Requirement'!CC9</f>
        <v/>
      </c>
      <c r="CD9">
        <f>CC9+'Grid_Incoming'!CD9-'Grid_Requirement'!CD9</f>
        <v/>
      </c>
      <c r="CE9">
        <f>CD9+'Grid_Incoming'!CE9-'Grid_Requirement'!CE9</f>
        <v/>
      </c>
      <c r="CF9">
        <f>CE9+'Grid_Incoming'!CF9-'Grid_Requirement'!CF9</f>
        <v/>
      </c>
      <c r="CG9">
        <f>CF9+'Grid_Incoming'!CG9-'Grid_Requirement'!CG9</f>
        <v/>
      </c>
      <c r="CH9">
        <f>CG9+'Grid_Incoming'!CH9-'Grid_Requirement'!CH9</f>
        <v/>
      </c>
      <c r="CI9">
        <f>CH9+'Grid_Incoming'!CI9-'Grid_Requirement'!CI9</f>
        <v/>
      </c>
      <c r="CJ9">
        <f>CI9+'Grid_Incoming'!CJ9-'Grid_Requirement'!CJ9</f>
        <v/>
      </c>
      <c r="CK9">
        <f>CJ9+'Grid_Incoming'!CK9-'Grid_Requirement'!CK9</f>
        <v/>
      </c>
      <c r="CL9">
        <f>CK9+'Grid_Incoming'!CL9-'Grid_Requirement'!CL9</f>
        <v/>
      </c>
      <c r="CM9">
        <f>CL9+'Grid_Incoming'!CM9-'Grid_Requirement'!CM9</f>
        <v/>
      </c>
      <c r="CN9">
        <f>CM9+'Grid_Incoming'!CN9-'Grid_Requirement'!CN9</f>
        <v/>
      </c>
      <c r="CO9">
        <f>CN9+'Grid_Incoming'!CO9-'Grid_Requirement'!CO9</f>
        <v/>
      </c>
      <c r="CP9">
        <f>CO9+'Grid_Incoming'!CP9-'Grid_Requirement'!CP9</f>
        <v/>
      </c>
      <c r="CQ9">
        <f>CP9+'Grid_Incoming'!CQ9-'Grid_Requirement'!CQ9</f>
        <v/>
      </c>
      <c r="CR9">
        <f>CQ9+'Grid_Incoming'!CR9-'Grid_Requirement'!CR9</f>
        <v/>
      </c>
      <c r="CS9">
        <f>CR9+'Grid_Incoming'!CS9-'Grid_Requirement'!CS9</f>
        <v/>
      </c>
      <c r="CT9">
        <f>CS9+'Grid_Incoming'!CT9-'Grid_Requirement'!CT9</f>
        <v/>
      </c>
      <c r="CU9">
        <f>CT9+'Grid_Incoming'!CU9-'Grid_Requirement'!CU9</f>
        <v/>
      </c>
      <c r="CV9">
        <f>CU9+'Grid_Incoming'!CV9-'Grid_Requirement'!CV9</f>
        <v/>
      </c>
      <c r="CW9">
        <f>CV9+'Grid_Incoming'!CW9-'Grid_Requirement'!CW9</f>
        <v/>
      </c>
      <c r="CX9">
        <f>CW9+'Grid_Incoming'!CX9-'Grid_Requirement'!CX9</f>
        <v/>
      </c>
      <c r="CY9">
        <f>CX9+'Grid_Incoming'!CY9-'Grid_Requirement'!CY9</f>
        <v/>
      </c>
      <c r="CZ9">
        <f>CY9+'Grid_Incoming'!CZ9-'Grid_Requirement'!CZ9</f>
        <v/>
      </c>
      <c r="DA9">
        <f>CZ9+'Grid_Incoming'!DA9-'Grid_Requirement'!DA9</f>
        <v/>
      </c>
    </row>
    <row r="10">
      <c r="A10" t="inlineStr">
        <is>
          <t>KEJ</t>
        </is>
      </c>
      <c r="B10">
        <f>IFERROR(INDEX(T_OpeningStock[Opening_Qty],MATCH($A10,T_OpeningStock[Part Name],0)),0)+'Grid_Incoming'!B10-'Grid_Requirement'!B10</f>
        <v/>
      </c>
      <c r="C10">
        <f>B10+'Grid_Incoming'!C10-'Grid_Requirement'!C10</f>
        <v/>
      </c>
      <c r="D10">
        <f>C10+'Grid_Incoming'!D10-'Grid_Requirement'!D10</f>
        <v/>
      </c>
      <c r="E10">
        <f>D10+'Grid_Incoming'!E10-'Grid_Requirement'!E10</f>
        <v/>
      </c>
      <c r="F10">
        <f>E10+'Grid_Incoming'!F10-'Grid_Requirement'!F10</f>
        <v/>
      </c>
      <c r="G10">
        <f>F10+'Grid_Incoming'!G10-'Grid_Requirement'!G10</f>
        <v/>
      </c>
      <c r="H10">
        <f>G10+'Grid_Incoming'!H10-'Grid_Requirement'!H10</f>
        <v/>
      </c>
      <c r="I10">
        <f>H10+'Grid_Incoming'!I10-'Grid_Requirement'!I10</f>
        <v/>
      </c>
      <c r="J10">
        <f>I10+'Grid_Incoming'!J10-'Grid_Requirement'!J10</f>
        <v/>
      </c>
      <c r="K10">
        <f>J10+'Grid_Incoming'!K10-'Grid_Requirement'!K10</f>
        <v/>
      </c>
      <c r="L10">
        <f>K10+'Grid_Incoming'!L10-'Grid_Requirement'!L10</f>
        <v/>
      </c>
      <c r="M10">
        <f>L10+'Grid_Incoming'!M10-'Grid_Requirement'!M10</f>
        <v/>
      </c>
      <c r="N10">
        <f>M10+'Grid_Incoming'!N10-'Grid_Requirement'!N10</f>
        <v/>
      </c>
      <c r="O10">
        <f>N10+'Grid_Incoming'!O10-'Grid_Requirement'!O10</f>
        <v/>
      </c>
      <c r="P10">
        <f>O10+'Grid_Incoming'!P10-'Grid_Requirement'!P10</f>
        <v/>
      </c>
      <c r="Q10">
        <f>P10+'Grid_Incoming'!Q10-'Grid_Requirement'!Q10</f>
        <v/>
      </c>
      <c r="R10">
        <f>Q10+'Grid_Incoming'!R10-'Grid_Requirement'!R10</f>
        <v/>
      </c>
      <c r="S10">
        <f>R10+'Grid_Incoming'!S10-'Grid_Requirement'!S10</f>
        <v/>
      </c>
      <c r="T10">
        <f>S10+'Grid_Incoming'!T10-'Grid_Requirement'!T10</f>
        <v/>
      </c>
      <c r="U10">
        <f>T10+'Grid_Incoming'!U10-'Grid_Requirement'!U10</f>
        <v/>
      </c>
      <c r="V10">
        <f>U10+'Grid_Incoming'!V10-'Grid_Requirement'!V10</f>
        <v/>
      </c>
      <c r="W10">
        <f>V10+'Grid_Incoming'!W10-'Grid_Requirement'!W10</f>
        <v/>
      </c>
      <c r="X10">
        <f>W10+'Grid_Incoming'!X10-'Grid_Requirement'!X10</f>
        <v/>
      </c>
      <c r="Y10">
        <f>X10+'Grid_Incoming'!Y10-'Grid_Requirement'!Y10</f>
        <v/>
      </c>
      <c r="Z10">
        <f>Y10+'Grid_Incoming'!Z10-'Grid_Requirement'!Z10</f>
        <v/>
      </c>
      <c r="AA10">
        <f>Z10+'Grid_Incoming'!AA10-'Grid_Requirement'!AA10</f>
        <v/>
      </c>
      <c r="AB10">
        <f>AA10+'Grid_Incoming'!AB10-'Grid_Requirement'!AB10</f>
        <v/>
      </c>
      <c r="AC10">
        <f>AB10+'Grid_Incoming'!AC10-'Grid_Requirement'!AC10</f>
        <v/>
      </c>
      <c r="AD10">
        <f>AC10+'Grid_Incoming'!AD10-'Grid_Requirement'!AD10</f>
        <v/>
      </c>
      <c r="AE10">
        <f>AD10+'Grid_Incoming'!AE10-'Grid_Requirement'!AE10</f>
        <v/>
      </c>
      <c r="AF10">
        <f>AE10+'Grid_Incoming'!AF10-'Grid_Requirement'!AF10</f>
        <v/>
      </c>
      <c r="AG10">
        <f>AF10+'Grid_Incoming'!AG10-'Grid_Requirement'!AG10</f>
        <v/>
      </c>
      <c r="AH10">
        <f>AG10+'Grid_Incoming'!AH10-'Grid_Requirement'!AH10</f>
        <v/>
      </c>
      <c r="AI10">
        <f>AH10+'Grid_Incoming'!AI10-'Grid_Requirement'!AI10</f>
        <v/>
      </c>
      <c r="AJ10">
        <f>AI10+'Grid_Incoming'!AJ10-'Grid_Requirement'!AJ10</f>
        <v/>
      </c>
      <c r="AK10">
        <f>AJ10+'Grid_Incoming'!AK10-'Grid_Requirement'!AK10</f>
        <v/>
      </c>
      <c r="AL10">
        <f>AK10+'Grid_Incoming'!AL10-'Grid_Requirement'!AL10</f>
        <v/>
      </c>
      <c r="AM10">
        <f>AL10+'Grid_Incoming'!AM10-'Grid_Requirement'!AM10</f>
        <v/>
      </c>
      <c r="AN10">
        <f>AM10+'Grid_Incoming'!AN10-'Grid_Requirement'!AN10</f>
        <v/>
      </c>
      <c r="AO10">
        <f>AN10+'Grid_Incoming'!AO10-'Grid_Requirement'!AO10</f>
        <v/>
      </c>
      <c r="AP10">
        <f>AO10+'Grid_Incoming'!AP10-'Grid_Requirement'!AP10</f>
        <v/>
      </c>
      <c r="AQ10">
        <f>AP10+'Grid_Incoming'!AQ10-'Grid_Requirement'!AQ10</f>
        <v/>
      </c>
      <c r="AR10">
        <f>AQ10+'Grid_Incoming'!AR10-'Grid_Requirement'!AR10</f>
        <v/>
      </c>
      <c r="AS10">
        <f>AR10+'Grid_Incoming'!AS10-'Grid_Requirement'!AS10</f>
        <v/>
      </c>
      <c r="AT10">
        <f>AS10+'Grid_Incoming'!AT10-'Grid_Requirement'!AT10</f>
        <v/>
      </c>
      <c r="AU10">
        <f>AT10+'Grid_Incoming'!AU10-'Grid_Requirement'!AU10</f>
        <v/>
      </c>
      <c r="AV10">
        <f>AU10+'Grid_Incoming'!AV10-'Grid_Requirement'!AV10</f>
        <v/>
      </c>
      <c r="AW10">
        <f>AV10+'Grid_Incoming'!AW10-'Grid_Requirement'!AW10</f>
        <v/>
      </c>
      <c r="AX10">
        <f>AW10+'Grid_Incoming'!AX10-'Grid_Requirement'!AX10</f>
        <v/>
      </c>
      <c r="AY10">
        <f>AX10+'Grid_Incoming'!AY10-'Grid_Requirement'!AY10</f>
        <v/>
      </c>
      <c r="AZ10">
        <f>AY10+'Grid_Incoming'!AZ10-'Grid_Requirement'!AZ10</f>
        <v/>
      </c>
      <c r="BA10">
        <f>AZ10+'Grid_Incoming'!BA10-'Grid_Requirement'!BA10</f>
        <v/>
      </c>
      <c r="BB10">
        <f>BA10+'Grid_Incoming'!BB10-'Grid_Requirement'!BB10</f>
        <v/>
      </c>
      <c r="BC10">
        <f>BB10+'Grid_Incoming'!BC10-'Grid_Requirement'!BC10</f>
        <v/>
      </c>
      <c r="BD10">
        <f>BC10+'Grid_Incoming'!BD10-'Grid_Requirement'!BD10</f>
        <v/>
      </c>
      <c r="BE10">
        <f>BD10+'Grid_Incoming'!BE10-'Grid_Requirement'!BE10</f>
        <v/>
      </c>
      <c r="BF10">
        <f>BE10+'Grid_Incoming'!BF10-'Grid_Requirement'!BF10</f>
        <v/>
      </c>
      <c r="BG10">
        <f>BF10+'Grid_Incoming'!BG10-'Grid_Requirement'!BG10</f>
        <v/>
      </c>
      <c r="BH10">
        <f>BG10+'Grid_Incoming'!BH10-'Grid_Requirement'!BH10</f>
        <v/>
      </c>
      <c r="BI10">
        <f>BH10+'Grid_Incoming'!BI10-'Grid_Requirement'!BI10</f>
        <v/>
      </c>
      <c r="BJ10">
        <f>BI10+'Grid_Incoming'!BJ10-'Grid_Requirement'!BJ10</f>
        <v/>
      </c>
      <c r="BK10">
        <f>BJ10+'Grid_Incoming'!BK10-'Grid_Requirement'!BK10</f>
        <v/>
      </c>
      <c r="BL10">
        <f>BK10+'Grid_Incoming'!BL10-'Grid_Requirement'!BL10</f>
        <v/>
      </c>
      <c r="BM10">
        <f>BL10+'Grid_Incoming'!BM10-'Grid_Requirement'!BM10</f>
        <v/>
      </c>
      <c r="BN10">
        <f>BM10+'Grid_Incoming'!BN10-'Grid_Requirement'!BN10</f>
        <v/>
      </c>
      <c r="BO10">
        <f>BN10+'Grid_Incoming'!BO10-'Grid_Requirement'!BO10</f>
        <v/>
      </c>
      <c r="BP10">
        <f>BO10+'Grid_Incoming'!BP10-'Grid_Requirement'!BP10</f>
        <v/>
      </c>
      <c r="BQ10">
        <f>BP10+'Grid_Incoming'!BQ10-'Grid_Requirement'!BQ10</f>
        <v/>
      </c>
      <c r="BR10">
        <f>BQ10+'Grid_Incoming'!BR10-'Grid_Requirement'!BR10</f>
        <v/>
      </c>
      <c r="BS10">
        <f>BR10+'Grid_Incoming'!BS10-'Grid_Requirement'!BS10</f>
        <v/>
      </c>
      <c r="BT10">
        <f>BS10+'Grid_Incoming'!BT10-'Grid_Requirement'!BT10</f>
        <v/>
      </c>
      <c r="BU10">
        <f>BT10+'Grid_Incoming'!BU10-'Grid_Requirement'!BU10</f>
        <v/>
      </c>
      <c r="BV10">
        <f>BU10+'Grid_Incoming'!BV10-'Grid_Requirement'!BV10</f>
        <v/>
      </c>
      <c r="BW10">
        <f>BV10+'Grid_Incoming'!BW10-'Grid_Requirement'!BW10</f>
        <v/>
      </c>
      <c r="BX10">
        <f>BW10+'Grid_Incoming'!BX10-'Grid_Requirement'!BX10</f>
        <v/>
      </c>
      <c r="BY10">
        <f>BX10+'Grid_Incoming'!BY10-'Grid_Requirement'!BY10</f>
        <v/>
      </c>
      <c r="BZ10">
        <f>BY10+'Grid_Incoming'!BZ10-'Grid_Requirement'!BZ10</f>
        <v/>
      </c>
      <c r="CA10">
        <f>BZ10+'Grid_Incoming'!CA10-'Grid_Requirement'!CA10</f>
        <v/>
      </c>
      <c r="CB10">
        <f>CA10+'Grid_Incoming'!CB10-'Grid_Requirement'!CB10</f>
        <v/>
      </c>
      <c r="CC10">
        <f>CB10+'Grid_Incoming'!CC10-'Grid_Requirement'!CC10</f>
        <v/>
      </c>
      <c r="CD10">
        <f>CC10+'Grid_Incoming'!CD10-'Grid_Requirement'!CD10</f>
        <v/>
      </c>
      <c r="CE10">
        <f>CD10+'Grid_Incoming'!CE10-'Grid_Requirement'!CE10</f>
        <v/>
      </c>
      <c r="CF10">
        <f>CE10+'Grid_Incoming'!CF10-'Grid_Requirement'!CF10</f>
        <v/>
      </c>
      <c r="CG10">
        <f>CF10+'Grid_Incoming'!CG10-'Grid_Requirement'!CG10</f>
        <v/>
      </c>
      <c r="CH10">
        <f>CG10+'Grid_Incoming'!CH10-'Grid_Requirement'!CH10</f>
        <v/>
      </c>
      <c r="CI10">
        <f>CH10+'Grid_Incoming'!CI10-'Grid_Requirement'!CI10</f>
        <v/>
      </c>
      <c r="CJ10">
        <f>CI10+'Grid_Incoming'!CJ10-'Grid_Requirement'!CJ10</f>
        <v/>
      </c>
      <c r="CK10">
        <f>CJ10+'Grid_Incoming'!CK10-'Grid_Requirement'!CK10</f>
        <v/>
      </c>
      <c r="CL10">
        <f>CK10+'Grid_Incoming'!CL10-'Grid_Requirement'!CL10</f>
        <v/>
      </c>
      <c r="CM10">
        <f>CL10+'Grid_Incoming'!CM10-'Grid_Requirement'!CM10</f>
        <v/>
      </c>
      <c r="CN10">
        <f>CM10+'Grid_Incoming'!CN10-'Grid_Requirement'!CN10</f>
        <v/>
      </c>
      <c r="CO10">
        <f>CN10+'Grid_Incoming'!CO10-'Grid_Requirement'!CO10</f>
        <v/>
      </c>
      <c r="CP10">
        <f>CO10+'Grid_Incoming'!CP10-'Grid_Requirement'!CP10</f>
        <v/>
      </c>
      <c r="CQ10">
        <f>CP10+'Grid_Incoming'!CQ10-'Grid_Requirement'!CQ10</f>
        <v/>
      </c>
      <c r="CR10">
        <f>CQ10+'Grid_Incoming'!CR10-'Grid_Requirement'!CR10</f>
        <v/>
      </c>
      <c r="CS10">
        <f>CR10+'Grid_Incoming'!CS10-'Grid_Requirement'!CS10</f>
        <v/>
      </c>
      <c r="CT10">
        <f>CS10+'Grid_Incoming'!CT10-'Grid_Requirement'!CT10</f>
        <v/>
      </c>
      <c r="CU10">
        <f>CT10+'Grid_Incoming'!CU10-'Grid_Requirement'!CU10</f>
        <v/>
      </c>
      <c r="CV10">
        <f>CU10+'Grid_Incoming'!CV10-'Grid_Requirement'!CV10</f>
        <v/>
      </c>
      <c r="CW10">
        <f>CV10+'Grid_Incoming'!CW10-'Grid_Requirement'!CW10</f>
        <v/>
      </c>
      <c r="CX10">
        <f>CW10+'Grid_Incoming'!CX10-'Grid_Requirement'!CX10</f>
        <v/>
      </c>
      <c r="CY10">
        <f>CX10+'Grid_Incoming'!CY10-'Grid_Requirement'!CY10</f>
        <v/>
      </c>
      <c r="CZ10">
        <f>CY10+'Grid_Incoming'!CZ10-'Grid_Requirement'!CZ10</f>
        <v/>
      </c>
      <c r="DA10">
        <f>CZ10+'Grid_Incoming'!DA10-'Grid_Requirement'!DA10</f>
        <v/>
      </c>
    </row>
    <row r="11">
      <c r="A11" t="inlineStr">
        <is>
          <t>JEJ</t>
        </is>
      </c>
      <c r="B11">
        <f>IFERROR(INDEX(T_OpeningStock[Opening_Qty],MATCH($A11,T_OpeningStock[Part Name],0)),0)+'Grid_Incoming'!B11-'Grid_Requirement'!B11</f>
        <v/>
      </c>
      <c r="C11">
        <f>B11+'Grid_Incoming'!C11-'Grid_Requirement'!C11</f>
        <v/>
      </c>
      <c r="D11">
        <f>C11+'Grid_Incoming'!D11-'Grid_Requirement'!D11</f>
        <v/>
      </c>
      <c r="E11">
        <f>D11+'Grid_Incoming'!E11-'Grid_Requirement'!E11</f>
        <v/>
      </c>
      <c r="F11">
        <f>E11+'Grid_Incoming'!F11-'Grid_Requirement'!F11</f>
        <v/>
      </c>
      <c r="G11">
        <f>F11+'Grid_Incoming'!G11-'Grid_Requirement'!G11</f>
        <v/>
      </c>
      <c r="H11">
        <f>G11+'Grid_Incoming'!H11-'Grid_Requirement'!H11</f>
        <v/>
      </c>
      <c r="I11">
        <f>H11+'Grid_Incoming'!I11-'Grid_Requirement'!I11</f>
        <v/>
      </c>
      <c r="J11">
        <f>I11+'Grid_Incoming'!J11-'Grid_Requirement'!J11</f>
        <v/>
      </c>
      <c r="K11">
        <f>J11+'Grid_Incoming'!K11-'Grid_Requirement'!K11</f>
        <v/>
      </c>
      <c r="L11">
        <f>K11+'Grid_Incoming'!L11-'Grid_Requirement'!L11</f>
        <v/>
      </c>
      <c r="M11">
        <f>L11+'Grid_Incoming'!M11-'Grid_Requirement'!M11</f>
        <v/>
      </c>
      <c r="N11">
        <f>M11+'Grid_Incoming'!N11-'Grid_Requirement'!N11</f>
        <v/>
      </c>
      <c r="O11">
        <f>N11+'Grid_Incoming'!O11-'Grid_Requirement'!O11</f>
        <v/>
      </c>
      <c r="P11">
        <f>O11+'Grid_Incoming'!P11-'Grid_Requirement'!P11</f>
        <v/>
      </c>
      <c r="Q11">
        <f>P11+'Grid_Incoming'!Q11-'Grid_Requirement'!Q11</f>
        <v/>
      </c>
      <c r="R11">
        <f>Q11+'Grid_Incoming'!R11-'Grid_Requirement'!R11</f>
        <v/>
      </c>
      <c r="S11">
        <f>R11+'Grid_Incoming'!S11-'Grid_Requirement'!S11</f>
        <v/>
      </c>
      <c r="T11">
        <f>S11+'Grid_Incoming'!T11-'Grid_Requirement'!T11</f>
        <v/>
      </c>
      <c r="U11">
        <f>T11+'Grid_Incoming'!U11-'Grid_Requirement'!U11</f>
        <v/>
      </c>
      <c r="V11">
        <f>U11+'Grid_Incoming'!V11-'Grid_Requirement'!V11</f>
        <v/>
      </c>
      <c r="W11">
        <f>V11+'Grid_Incoming'!W11-'Grid_Requirement'!W11</f>
        <v/>
      </c>
      <c r="X11">
        <f>W11+'Grid_Incoming'!X11-'Grid_Requirement'!X11</f>
        <v/>
      </c>
      <c r="Y11">
        <f>X11+'Grid_Incoming'!Y11-'Grid_Requirement'!Y11</f>
        <v/>
      </c>
      <c r="Z11">
        <f>Y11+'Grid_Incoming'!Z11-'Grid_Requirement'!Z11</f>
        <v/>
      </c>
      <c r="AA11">
        <f>Z11+'Grid_Incoming'!AA11-'Grid_Requirement'!AA11</f>
        <v/>
      </c>
      <c r="AB11">
        <f>AA11+'Grid_Incoming'!AB11-'Grid_Requirement'!AB11</f>
        <v/>
      </c>
      <c r="AC11">
        <f>AB11+'Grid_Incoming'!AC11-'Grid_Requirement'!AC11</f>
        <v/>
      </c>
      <c r="AD11">
        <f>AC11+'Grid_Incoming'!AD11-'Grid_Requirement'!AD11</f>
        <v/>
      </c>
      <c r="AE11">
        <f>AD11+'Grid_Incoming'!AE11-'Grid_Requirement'!AE11</f>
        <v/>
      </c>
      <c r="AF11">
        <f>AE11+'Grid_Incoming'!AF11-'Grid_Requirement'!AF11</f>
        <v/>
      </c>
      <c r="AG11">
        <f>AF11+'Grid_Incoming'!AG11-'Grid_Requirement'!AG11</f>
        <v/>
      </c>
      <c r="AH11">
        <f>AG11+'Grid_Incoming'!AH11-'Grid_Requirement'!AH11</f>
        <v/>
      </c>
      <c r="AI11">
        <f>AH11+'Grid_Incoming'!AI11-'Grid_Requirement'!AI11</f>
        <v/>
      </c>
      <c r="AJ11">
        <f>AI11+'Grid_Incoming'!AJ11-'Grid_Requirement'!AJ11</f>
        <v/>
      </c>
      <c r="AK11">
        <f>AJ11+'Grid_Incoming'!AK11-'Grid_Requirement'!AK11</f>
        <v/>
      </c>
      <c r="AL11">
        <f>AK11+'Grid_Incoming'!AL11-'Grid_Requirement'!AL11</f>
        <v/>
      </c>
      <c r="AM11">
        <f>AL11+'Grid_Incoming'!AM11-'Grid_Requirement'!AM11</f>
        <v/>
      </c>
      <c r="AN11">
        <f>AM11+'Grid_Incoming'!AN11-'Grid_Requirement'!AN11</f>
        <v/>
      </c>
      <c r="AO11">
        <f>AN11+'Grid_Incoming'!AO11-'Grid_Requirement'!AO11</f>
        <v/>
      </c>
      <c r="AP11">
        <f>AO11+'Grid_Incoming'!AP11-'Grid_Requirement'!AP11</f>
        <v/>
      </c>
      <c r="AQ11">
        <f>AP11+'Grid_Incoming'!AQ11-'Grid_Requirement'!AQ11</f>
        <v/>
      </c>
      <c r="AR11">
        <f>AQ11+'Grid_Incoming'!AR11-'Grid_Requirement'!AR11</f>
        <v/>
      </c>
      <c r="AS11">
        <f>AR11+'Grid_Incoming'!AS11-'Grid_Requirement'!AS11</f>
        <v/>
      </c>
      <c r="AT11">
        <f>AS11+'Grid_Incoming'!AT11-'Grid_Requirement'!AT11</f>
        <v/>
      </c>
      <c r="AU11">
        <f>AT11+'Grid_Incoming'!AU11-'Grid_Requirement'!AU11</f>
        <v/>
      </c>
      <c r="AV11">
        <f>AU11+'Grid_Incoming'!AV11-'Grid_Requirement'!AV11</f>
        <v/>
      </c>
      <c r="AW11">
        <f>AV11+'Grid_Incoming'!AW11-'Grid_Requirement'!AW11</f>
        <v/>
      </c>
      <c r="AX11">
        <f>AW11+'Grid_Incoming'!AX11-'Grid_Requirement'!AX11</f>
        <v/>
      </c>
      <c r="AY11">
        <f>AX11+'Grid_Incoming'!AY11-'Grid_Requirement'!AY11</f>
        <v/>
      </c>
      <c r="AZ11">
        <f>AY11+'Grid_Incoming'!AZ11-'Grid_Requirement'!AZ11</f>
        <v/>
      </c>
      <c r="BA11">
        <f>AZ11+'Grid_Incoming'!BA11-'Grid_Requirement'!BA11</f>
        <v/>
      </c>
      <c r="BB11">
        <f>BA11+'Grid_Incoming'!BB11-'Grid_Requirement'!BB11</f>
        <v/>
      </c>
      <c r="BC11">
        <f>BB11+'Grid_Incoming'!BC11-'Grid_Requirement'!BC11</f>
        <v/>
      </c>
      <c r="BD11">
        <f>BC11+'Grid_Incoming'!BD11-'Grid_Requirement'!BD11</f>
        <v/>
      </c>
      <c r="BE11">
        <f>BD11+'Grid_Incoming'!BE11-'Grid_Requirement'!BE11</f>
        <v/>
      </c>
      <c r="BF11">
        <f>BE11+'Grid_Incoming'!BF11-'Grid_Requirement'!BF11</f>
        <v/>
      </c>
      <c r="BG11">
        <f>BF11+'Grid_Incoming'!BG11-'Grid_Requirement'!BG11</f>
        <v/>
      </c>
      <c r="BH11">
        <f>BG11+'Grid_Incoming'!BH11-'Grid_Requirement'!BH11</f>
        <v/>
      </c>
      <c r="BI11">
        <f>BH11+'Grid_Incoming'!BI11-'Grid_Requirement'!BI11</f>
        <v/>
      </c>
      <c r="BJ11">
        <f>BI11+'Grid_Incoming'!BJ11-'Grid_Requirement'!BJ11</f>
        <v/>
      </c>
      <c r="BK11">
        <f>BJ11+'Grid_Incoming'!BK11-'Grid_Requirement'!BK11</f>
        <v/>
      </c>
      <c r="BL11">
        <f>BK11+'Grid_Incoming'!BL11-'Grid_Requirement'!BL11</f>
        <v/>
      </c>
      <c r="BM11">
        <f>BL11+'Grid_Incoming'!BM11-'Grid_Requirement'!BM11</f>
        <v/>
      </c>
      <c r="BN11">
        <f>BM11+'Grid_Incoming'!BN11-'Grid_Requirement'!BN11</f>
        <v/>
      </c>
      <c r="BO11">
        <f>BN11+'Grid_Incoming'!BO11-'Grid_Requirement'!BO11</f>
        <v/>
      </c>
      <c r="BP11">
        <f>BO11+'Grid_Incoming'!BP11-'Grid_Requirement'!BP11</f>
        <v/>
      </c>
      <c r="BQ11">
        <f>BP11+'Grid_Incoming'!BQ11-'Grid_Requirement'!BQ11</f>
        <v/>
      </c>
      <c r="BR11">
        <f>BQ11+'Grid_Incoming'!BR11-'Grid_Requirement'!BR11</f>
        <v/>
      </c>
      <c r="BS11">
        <f>BR11+'Grid_Incoming'!BS11-'Grid_Requirement'!BS11</f>
        <v/>
      </c>
      <c r="BT11">
        <f>BS11+'Grid_Incoming'!BT11-'Grid_Requirement'!BT11</f>
        <v/>
      </c>
      <c r="BU11">
        <f>BT11+'Grid_Incoming'!BU11-'Grid_Requirement'!BU11</f>
        <v/>
      </c>
      <c r="BV11">
        <f>BU11+'Grid_Incoming'!BV11-'Grid_Requirement'!BV11</f>
        <v/>
      </c>
      <c r="BW11">
        <f>BV11+'Grid_Incoming'!BW11-'Grid_Requirement'!BW11</f>
        <v/>
      </c>
      <c r="BX11">
        <f>BW11+'Grid_Incoming'!BX11-'Grid_Requirement'!BX11</f>
        <v/>
      </c>
      <c r="BY11">
        <f>BX11+'Grid_Incoming'!BY11-'Grid_Requirement'!BY11</f>
        <v/>
      </c>
      <c r="BZ11">
        <f>BY11+'Grid_Incoming'!BZ11-'Grid_Requirement'!BZ11</f>
        <v/>
      </c>
      <c r="CA11">
        <f>BZ11+'Grid_Incoming'!CA11-'Grid_Requirement'!CA11</f>
        <v/>
      </c>
      <c r="CB11">
        <f>CA11+'Grid_Incoming'!CB11-'Grid_Requirement'!CB11</f>
        <v/>
      </c>
      <c r="CC11">
        <f>CB11+'Grid_Incoming'!CC11-'Grid_Requirement'!CC11</f>
        <v/>
      </c>
      <c r="CD11">
        <f>CC11+'Grid_Incoming'!CD11-'Grid_Requirement'!CD11</f>
        <v/>
      </c>
      <c r="CE11">
        <f>CD11+'Grid_Incoming'!CE11-'Grid_Requirement'!CE11</f>
        <v/>
      </c>
      <c r="CF11">
        <f>CE11+'Grid_Incoming'!CF11-'Grid_Requirement'!CF11</f>
        <v/>
      </c>
      <c r="CG11">
        <f>CF11+'Grid_Incoming'!CG11-'Grid_Requirement'!CG11</f>
        <v/>
      </c>
      <c r="CH11">
        <f>CG11+'Grid_Incoming'!CH11-'Grid_Requirement'!CH11</f>
        <v/>
      </c>
      <c r="CI11">
        <f>CH11+'Grid_Incoming'!CI11-'Grid_Requirement'!CI11</f>
        <v/>
      </c>
      <c r="CJ11">
        <f>CI11+'Grid_Incoming'!CJ11-'Grid_Requirement'!CJ11</f>
        <v/>
      </c>
      <c r="CK11">
        <f>CJ11+'Grid_Incoming'!CK11-'Grid_Requirement'!CK11</f>
        <v/>
      </c>
      <c r="CL11">
        <f>CK11+'Grid_Incoming'!CL11-'Grid_Requirement'!CL11</f>
        <v/>
      </c>
      <c r="CM11">
        <f>CL11+'Grid_Incoming'!CM11-'Grid_Requirement'!CM11</f>
        <v/>
      </c>
      <c r="CN11">
        <f>CM11+'Grid_Incoming'!CN11-'Grid_Requirement'!CN11</f>
        <v/>
      </c>
      <c r="CO11">
        <f>CN11+'Grid_Incoming'!CO11-'Grid_Requirement'!CO11</f>
        <v/>
      </c>
      <c r="CP11">
        <f>CO11+'Grid_Incoming'!CP11-'Grid_Requirement'!CP11</f>
        <v/>
      </c>
      <c r="CQ11">
        <f>CP11+'Grid_Incoming'!CQ11-'Grid_Requirement'!CQ11</f>
        <v/>
      </c>
      <c r="CR11">
        <f>CQ11+'Grid_Incoming'!CR11-'Grid_Requirement'!CR11</f>
        <v/>
      </c>
      <c r="CS11">
        <f>CR11+'Grid_Incoming'!CS11-'Grid_Requirement'!CS11</f>
        <v/>
      </c>
      <c r="CT11">
        <f>CS11+'Grid_Incoming'!CT11-'Grid_Requirement'!CT11</f>
        <v/>
      </c>
      <c r="CU11">
        <f>CT11+'Grid_Incoming'!CU11-'Grid_Requirement'!CU11</f>
        <v/>
      </c>
      <c r="CV11">
        <f>CU11+'Grid_Incoming'!CV11-'Grid_Requirement'!CV11</f>
        <v/>
      </c>
      <c r="CW11">
        <f>CV11+'Grid_Incoming'!CW11-'Grid_Requirement'!CW11</f>
        <v/>
      </c>
      <c r="CX11">
        <f>CW11+'Grid_Incoming'!CX11-'Grid_Requirement'!CX11</f>
        <v/>
      </c>
      <c r="CY11">
        <f>CX11+'Grid_Incoming'!CY11-'Grid_Requirement'!CY11</f>
        <v/>
      </c>
      <c r="CZ11">
        <f>CY11+'Grid_Incoming'!CZ11-'Grid_Requirement'!CZ11</f>
        <v/>
      </c>
      <c r="DA11">
        <f>CZ11+'Grid_Incoming'!DA11-'Grid_Requirement'!DA11</f>
        <v/>
      </c>
    </row>
    <row r="12">
      <c r="A12" t="inlineStr">
        <is>
          <t>YAN</t>
        </is>
      </c>
      <c r="B12">
        <f>IFERROR(INDEX(T_OpeningStock[Opening_Qty],MATCH($A12,T_OpeningStock[Part Name],0)),0)+'Grid_Incoming'!B12-'Grid_Requirement'!B12</f>
        <v/>
      </c>
      <c r="C12">
        <f>B12+'Grid_Incoming'!C12-'Grid_Requirement'!C12</f>
        <v/>
      </c>
      <c r="D12">
        <f>C12+'Grid_Incoming'!D12-'Grid_Requirement'!D12</f>
        <v/>
      </c>
      <c r="E12">
        <f>D12+'Grid_Incoming'!E12-'Grid_Requirement'!E12</f>
        <v/>
      </c>
      <c r="F12">
        <f>E12+'Grid_Incoming'!F12-'Grid_Requirement'!F12</f>
        <v/>
      </c>
      <c r="G12">
        <f>F12+'Grid_Incoming'!G12-'Grid_Requirement'!G12</f>
        <v/>
      </c>
      <c r="H12">
        <f>G12+'Grid_Incoming'!H12-'Grid_Requirement'!H12</f>
        <v/>
      </c>
      <c r="I12">
        <f>H12+'Grid_Incoming'!I12-'Grid_Requirement'!I12</f>
        <v/>
      </c>
      <c r="J12">
        <f>I12+'Grid_Incoming'!J12-'Grid_Requirement'!J12</f>
        <v/>
      </c>
      <c r="K12">
        <f>J12+'Grid_Incoming'!K12-'Grid_Requirement'!K12</f>
        <v/>
      </c>
      <c r="L12">
        <f>K12+'Grid_Incoming'!L12-'Grid_Requirement'!L12</f>
        <v/>
      </c>
      <c r="M12">
        <f>L12+'Grid_Incoming'!M12-'Grid_Requirement'!M12</f>
        <v/>
      </c>
      <c r="N12">
        <f>M12+'Grid_Incoming'!N12-'Grid_Requirement'!N12</f>
        <v/>
      </c>
      <c r="O12">
        <f>N12+'Grid_Incoming'!O12-'Grid_Requirement'!O12</f>
        <v/>
      </c>
      <c r="P12">
        <f>O12+'Grid_Incoming'!P12-'Grid_Requirement'!P12</f>
        <v/>
      </c>
      <c r="Q12">
        <f>P12+'Grid_Incoming'!Q12-'Grid_Requirement'!Q12</f>
        <v/>
      </c>
      <c r="R12">
        <f>Q12+'Grid_Incoming'!R12-'Grid_Requirement'!R12</f>
        <v/>
      </c>
      <c r="S12">
        <f>R12+'Grid_Incoming'!S12-'Grid_Requirement'!S12</f>
        <v/>
      </c>
      <c r="T12">
        <f>S12+'Grid_Incoming'!T12-'Grid_Requirement'!T12</f>
        <v/>
      </c>
      <c r="U12">
        <f>T12+'Grid_Incoming'!U12-'Grid_Requirement'!U12</f>
        <v/>
      </c>
      <c r="V12">
        <f>U12+'Grid_Incoming'!V12-'Grid_Requirement'!V12</f>
        <v/>
      </c>
      <c r="W12">
        <f>V12+'Grid_Incoming'!W12-'Grid_Requirement'!W12</f>
        <v/>
      </c>
      <c r="X12">
        <f>W12+'Grid_Incoming'!X12-'Grid_Requirement'!X12</f>
        <v/>
      </c>
      <c r="Y12">
        <f>X12+'Grid_Incoming'!Y12-'Grid_Requirement'!Y12</f>
        <v/>
      </c>
      <c r="Z12">
        <f>Y12+'Grid_Incoming'!Z12-'Grid_Requirement'!Z12</f>
        <v/>
      </c>
      <c r="AA12">
        <f>Z12+'Grid_Incoming'!AA12-'Grid_Requirement'!AA12</f>
        <v/>
      </c>
      <c r="AB12">
        <f>AA12+'Grid_Incoming'!AB12-'Grid_Requirement'!AB12</f>
        <v/>
      </c>
      <c r="AC12">
        <f>AB12+'Grid_Incoming'!AC12-'Grid_Requirement'!AC12</f>
        <v/>
      </c>
      <c r="AD12">
        <f>AC12+'Grid_Incoming'!AD12-'Grid_Requirement'!AD12</f>
        <v/>
      </c>
      <c r="AE12">
        <f>AD12+'Grid_Incoming'!AE12-'Grid_Requirement'!AE12</f>
        <v/>
      </c>
      <c r="AF12">
        <f>AE12+'Grid_Incoming'!AF12-'Grid_Requirement'!AF12</f>
        <v/>
      </c>
      <c r="AG12">
        <f>AF12+'Grid_Incoming'!AG12-'Grid_Requirement'!AG12</f>
        <v/>
      </c>
      <c r="AH12">
        <f>AG12+'Grid_Incoming'!AH12-'Grid_Requirement'!AH12</f>
        <v/>
      </c>
      <c r="AI12">
        <f>AH12+'Grid_Incoming'!AI12-'Grid_Requirement'!AI12</f>
        <v/>
      </c>
      <c r="AJ12">
        <f>AI12+'Grid_Incoming'!AJ12-'Grid_Requirement'!AJ12</f>
        <v/>
      </c>
      <c r="AK12">
        <f>AJ12+'Grid_Incoming'!AK12-'Grid_Requirement'!AK12</f>
        <v/>
      </c>
      <c r="AL12">
        <f>AK12+'Grid_Incoming'!AL12-'Grid_Requirement'!AL12</f>
        <v/>
      </c>
      <c r="AM12">
        <f>AL12+'Grid_Incoming'!AM12-'Grid_Requirement'!AM12</f>
        <v/>
      </c>
      <c r="AN12">
        <f>AM12+'Grid_Incoming'!AN12-'Grid_Requirement'!AN12</f>
        <v/>
      </c>
      <c r="AO12">
        <f>AN12+'Grid_Incoming'!AO12-'Grid_Requirement'!AO12</f>
        <v/>
      </c>
      <c r="AP12">
        <f>AO12+'Grid_Incoming'!AP12-'Grid_Requirement'!AP12</f>
        <v/>
      </c>
      <c r="AQ12">
        <f>AP12+'Grid_Incoming'!AQ12-'Grid_Requirement'!AQ12</f>
        <v/>
      </c>
      <c r="AR12">
        <f>AQ12+'Grid_Incoming'!AR12-'Grid_Requirement'!AR12</f>
        <v/>
      </c>
      <c r="AS12">
        <f>AR12+'Grid_Incoming'!AS12-'Grid_Requirement'!AS12</f>
        <v/>
      </c>
      <c r="AT12">
        <f>AS12+'Grid_Incoming'!AT12-'Grid_Requirement'!AT12</f>
        <v/>
      </c>
      <c r="AU12">
        <f>AT12+'Grid_Incoming'!AU12-'Grid_Requirement'!AU12</f>
        <v/>
      </c>
      <c r="AV12">
        <f>AU12+'Grid_Incoming'!AV12-'Grid_Requirement'!AV12</f>
        <v/>
      </c>
      <c r="AW12">
        <f>AV12+'Grid_Incoming'!AW12-'Grid_Requirement'!AW12</f>
        <v/>
      </c>
      <c r="AX12">
        <f>AW12+'Grid_Incoming'!AX12-'Grid_Requirement'!AX12</f>
        <v/>
      </c>
      <c r="AY12">
        <f>AX12+'Grid_Incoming'!AY12-'Grid_Requirement'!AY12</f>
        <v/>
      </c>
      <c r="AZ12">
        <f>AY12+'Grid_Incoming'!AZ12-'Grid_Requirement'!AZ12</f>
        <v/>
      </c>
      <c r="BA12">
        <f>AZ12+'Grid_Incoming'!BA12-'Grid_Requirement'!BA12</f>
        <v/>
      </c>
      <c r="BB12">
        <f>BA12+'Grid_Incoming'!BB12-'Grid_Requirement'!BB12</f>
        <v/>
      </c>
      <c r="BC12">
        <f>BB12+'Grid_Incoming'!BC12-'Grid_Requirement'!BC12</f>
        <v/>
      </c>
      <c r="BD12">
        <f>BC12+'Grid_Incoming'!BD12-'Grid_Requirement'!BD12</f>
        <v/>
      </c>
      <c r="BE12">
        <f>BD12+'Grid_Incoming'!BE12-'Grid_Requirement'!BE12</f>
        <v/>
      </c>
      <c r="BF12">
        <f>BE12+'Grid_Incoming'!BF12-'Grid_Requirement'!BF12</f>
        <v/>
      </c>
      <c r="BG12">
        <f>BF12+'Grid_Incoming'!BG12-'Grid_Requirement'!BG12</f>
        <v/>
      </c>
      <c r="BH12">
        <f>BG12+'Grid_Incoming'!BH12-'Grid_Requirement'!BH12</f>
        <v/>
      </c>
      <c r="BI12">
        <f>BH12+'Grid_Incoming'!BI12-'Grid_Requirement'!BI12</f>
        <v/>
      </c>
      <c r="BJ12">
        <f>BI12+'Grid_Incoming'!BJ12-'Grid_Requirement'!BJ12</f>
        <v/>
      </c>
      <c r="BK12">
        <f>BJ12+'Grid_Incoming'!BK12-'Grid_Requirement'!BK12</f>
        <v/>
      </c>
      <c r="BL12">
        <f>BK12+'Grid_Incoming'!BL12-'Grid_Requirement'!BL12</f>
        <v/>
      </c>
      <c r="BM12">
        <f>BL12+'Grid_Incoming'!BM12-'Grid_Requirement'!BM12</f>
        <v/>
      </c>
      <c r="BN12">
        <f>BM12+'Grid_Incoming'!BN12-'Grid_Requirement'!BN12</f>
        <v/>
      </c>
      <c r="BO12">
        <f>BN12+'Grid_Incoming'!BO12-'Grid_Requirement'!BO12</f>
        <v/>
      </c>
      <c r="BP12">
        <f>BO12+'Grid_Incoming'!BP12-'Grid_Requirement'!BP12</f>
        <v/>
      </c>
      <c r="BQ12">
        <f>BP12+'Grid_Incoming'!BQ12-'Grid_Requirement'!BQ12</f>
        <v/>
      </c>
      <c r="BR12">
        <f>BQ12+'Grid_Incoming'!BR12-'Grid_Requirement'!BR12</f>
        <v/>
      </c>
      <c r="BS12">
        <f>BR12+'Grid_Incoming'!BS12-'Grid_Requirement'!BS12</f>
        <v/>
      </c>
      <c r="BT12">
        <f>BS12+'Grid_Incoming'!BT12-'Grid_Requirement'!BT12</f>
        <v/>
      </c>
      <c r="BU12">
        <f>BT12+'Grid_Incoming'!BU12-'Grid_Requirement'!BU12</f>
        <v/>
      </c>
      <c r="BV12">
        <f>BU12+'Grid_Incoming'!BV12-'Grid_Requirement'!BV12</f>
        <v/>
      </c>
      <c r="BW12">
        <f>BV12+'Grid_Incoming'!BW12-'Grid_Requirement'!BW12</f>
        <v/>
      </c>
      <c r="BX12">
        <f>BW12+'Grid_Incoming'!BX12-'Grid_Requirement'!BX12</f>
        <v/>
      </c>
      <c r="BY12">
        <f>BX12+'Grid_Incoming'!BY12-'Grid_Requirement'!BY12</f>
        <v/>
      </c>
      <c r="BZ12">
        <f>BY12+'Grid_Incoming'!BZ12-'Grid_Requirement'!BZ12</f>
        <v/>
      </c>
      <c r="CA12">
        <f>BZ12+'Grid_Incoming'!CA12-'Grid_Requirement'!CA12</f>
        <v/>
      </c>
      <c r="CB12">
        <f>CA12+'Grid_Incoming'!CB12-'Grid_Requirement'!CB12</f>
        <v/>
      </c>
      <c r="CC12">
        <f>CB12+'Grid_Incoming'!CC12-'Grid_Requirement'!CC12</f>
        <v/>
      </c>
      <c r="CD12">
        <f>CC12+'Grid_Incoming'!CD12-'Grid_Requirement'!CD12</f>
        <v/>
      </c>
      <c r="CE12">
        <f>CD12+'Grid_Incoming'!CE12-'Grid_Requirement'!CE12</f>
        <v/>
      </c>
      <c r="CF12">
        <f>CE12+'Grid_Incoming'!CF12-'Grid_Requirement'!CF12</f>
        <v/>
      </c>
      <c r="CG12">
        <f>CF12+'Grid_Incoming'!CG12-'Grid_Requirement'!CG12</f>
        <v/>
      </c>
      <c r="CH12">
        <f>CG12+'Grid_Incoming'!CH12-'Grid_Requirement'!CH12</f>
        <v/>
      </c>
      <c r="CI12">
        <f>CH12+'Grid_Incoming'!CI12-'Grid_Requirement'!CI12</f>
        <v/>
      </c>
      <c r="CJ12">
        <f>CI12+'Grid_Incoming'!CJ12-'Grid_Requirement'!CJ12</f>
        <v/>
      </c>
      <c r="CK12">
        <f>CJ12+'Grid_Incoming'!CK12-'Grid_Requirement'!CK12</f>
        <v/>
      </c>
      <c r="CL12">
        <f>CK12+'Grid_Incoming'!CL12-'Grid_Requirement'!CL12</f>
        <v/>
      </c>
      <c r="CM12">
        <f>CL12+'Grid_Incoming'!CM12-'Grid_Requirement'!CM12</f>
        <v/>
      </c>
      <c r="CN12">
        <f>CM12+'Grid_Incoming'!CN12-'Grid_Requirement'!CN12</f>
        <v/>
      </c>
      <c r="CO12">
        <f>CN12+'Grid_Incoming'!CO12-'Grid_Requirement'!CO12</f>
        <v/>
      </c>
      <c r="CP12">
        <f>CO12+'Grid_Incoming'!CP12-'Grid_Requirement'!CP12</f>
        <v/>
      </c>
      <c r="CQ12">
        <f>CP12+'Grid_Incoming'!CQ12-'Grid_Requirement'!CQ12</f>
        <v/>
      </c>
      <c r="CR12">
        <f>CQ12+'Grid_Incoming'!CR12-'Grid_Requirement'!CR12</f>
        <v/>
      </c>
      <c r="CS12">
        <f>CR12+'Grid_Incoming'!CS12-'Grid_Requirement'!CS12</f>
        <v/>
      </c>
      <c r="CT12">
        <f>CS12+'Grid_Incoming'!CT12-'Grid_Requirement'!CT12</f>
        <v/>
      </c>
      <c r="CU12">
        <f>CT12+'Grid_Incoming'!CU12-'Grid_Requirement'!CU12</f>
        <v/>
      </c>
      <c r="CV12">
        <f>CU12+'Grid_Incoming'!CV12-'Grid_Requirement'!CV12</f>
        <v/>
      </c>
      <c r="CW12">
        <f>CV12+'Grid_Incoming'!CW12-'Grid_Requirement'!CW12</f>
        <v/>
      </c>
      <c r="CX12">
        <f>CW12+'Grid_Incoming'!CX12-'Grid_Requirement'!CX12</f>
        <v/>
      </c>
      <c r="CY12">
        <f>CX12+'Grid_Incoming'!CY12-'Grid_Requirement'!CY12</f>
        <v/>
      </c>
      <c r="CZ12">
        <f>CY12+'Grid_Incoming'!CZ12-'Grid_Requirement'!CZ12</f>
        <v/>
      </c>
      <c r="DA12">
        <f>CZ12+'Grid_Incoming'!DA12-'Grid_Requirement'!DA12</f>
        <v/>
      </c>
    </row>
    <row r="13">
      <c r="A13" t="inlineStr">
        <is>
          <t>ABN</t>
        </is>
      </c>
      <c r="B13">
        <f>IFERROR(INDEX(T_OpeningStock[Opening_Qty],MATCH($A13,T_OpeningStock[Part Name],0)),0)+'Grid_Incoming'!B13-'Grid_Requirement'!B13</f>
        <v/>
      </c>
      <c r="C13">
        <f>B13+'Grid_Incoming'!C13-'Grid_Requirement'!C13</f>
        <v/>
      </c>
      <c r="D13">
        <f>C13+'Grid_Incoming'!D13-'Grid_Requirement'!D13</f>
        <v/>
      </c>
      <c r="E13">
        <f>D13+'Grid_Incoming'!E13-'Grid_Requirement'!E13</f>
        <v/>
      </c>
      <c r="F13">
        <f>E13+'Grid_Incoming'!F13-'Grid_Requirement'!F13</f>
        <v/>
      </c>
      <c r="G13">
        <f>F13+'Grid_Incoming'!G13-'Grid_Requirement'!G13</f>
        <v/>
      </c>
      <c r="H13">
        <f>G13+'Grid_Incoming'!H13-'Grid_Requirement'!H13</f>
        <v/>
      </c>
      <c r="I13">
        <f>H13+'Grid_Incoming'!I13-'Grid_Requirement'!I13</f>
        <v/>
      </c>
      <c r="J13">
        <f>I13+'Grid_Incoming'!J13-'Grid_Requirement'!J13</f>
        <v/>
      </c>
      <c r="K13">
        <f>J13+'Grid_Incoming'!K13-'Grid_Requirement'!K13</f>
        <v/>
      </c>
      <c r="L13">
        <f>K13+'Grid_Incoming'!L13-'Grid_Requirement'!L13</f>
        <v/>
      </c>
      <c r="M13">
        <f>L13+'Grid_Incoming'!M13-'Grid_Requirement'!M13</f>
        <v/>
      </c>
      <c r="N13">
        <f>M13+'Grid_Incoming'!N13-'Grid_Requirement'!N13</f>
        <v/>
      </c>
      <c r="O13">
        <f>N13+'Grid_Incoming'!O13-'Grid_Requirement'!O13</f>
        <v/>
      </c>
      <c r="P13">
        <f>O13+'Grid_Incoming'!P13-'Grid_Requirement'!P13</f>
        <v/>
      </c>
      <c r="Q13">
        <f>P13+'Grid_Incoming'!Q13-'Grid_Requirement'!Q13</f>
        <v/>
      </c>
      <c r="R13">
        <f>Q13+'Grid_Incoming'!R13-'Grid_Requirement'!R13</f>
        <v/>
      </c>
      <c r="S13">
        <f>R13+'Grid_Incoming'!S13-'Grid_Requirement'!S13</f>
        <v/>
      </c>
      <c r="T13">
        <f>S13+'Grid_Incoming'!T13-'Grid_Requirement'!T13</f>
        <v/>
      </c>
      <c r="U13">
        <f>T13+'Grid_Incoming'!U13-'Grid_Requirement'!U13</f>
        <v/>
      </c>
      <c r="V13">
        <f>U13+'Grid_Incoming'!V13-'Grid_Requirement'!V13</f>
        <v/>
      </c>
      <c r="W13">
        <f>V13+'Grid_Incoming'!W13-'Grid_Requirement'!W13</f>
        <v/>
      </c>
      <c r="X13">
        <f>W13+'Grid_Incoming'!X13-'Grid_Requirement'!X13</f>
        <v/>
      </c>
      <c r="Y13">
        <f>X13+'Grid_Incoming'!Y13-'Grid_Requirement'!Y13</f>
        <v/>
      </c>
      <c r="Z13">
        <f>Y13+'Grid_Incoming'!Z13-'Grid_Requirement'!Z13</f>
        <v/>
      </c>
      <c r="AA13">
        <f>Z13+'Grid_Incoming'!AA13-'Grid_Requirement'!AA13</f>
        <v/>
      </c>
      <c r="AB13">
        <f>AA13+'Grid_Incoming'!AB13-'Grid_Requirement'!AB13</f>
        <v/>
      </c>
      <c r="AC13">
        <f>AB13+'Grid_Incoming'!AC13-'Grid_Requirement'!AC13</f>
        <v/>
      </c>
      <c r="AD13">
        <f>AC13+'Grid_Incoming'!AD13-'Grid_Requirement'!AD13</f>
        <v/>
      </c>
      <c r="AE13">
        <f>AD13+'Grid_Incoming'!AE13-'Grid_Requirement'!AE13</f>
        <v/>
      </c>
      <c r="AF13">
        <f>AE13+'Grid_Incoming'!AF13-'Grid_Requirement'!AF13</f>
        <v/>
      </c>
      <c r="AG13">
        <f>AF13+'Grid_Incoming'!AG13-'Grid_Requirement'!AG13</f>
        <v/>
      </c>
      <c r="AH13">
        <f>AG13+'Grid_Incoming'!AH13-'Grid_Requirement'!AH13</f>
        <v/>
      </c>
      <c r="AI13">
        <f>AH13+'Grid_Incoming'!AI13-'Grid_Requirement'!AI13</f>
        <v/>
      </c>
      <c r="AJ13">
        <f>AI13+'Grid_Incoming'!AJ13-'Grid_Requirement'!AJ13</f>
        <v/>
      </c>
      <c r="AK13">
        <f>AJ13+'Grid_Incoming'!AK13-'Grid_Requirement'!AK13</f>
        <v/>
      </c>
      <c r="AL13">
        <f>AK13+'Grid_Incoming'!AL13-'Grid_Requirement'!AL13</f>
        <v/>
      </c>
      <c r="AM13">
        <f>AL13+'Grid_Incoming'!AM13-'Grid_Requirement'!AM13</f>
        <v/>
      </c>
      <c r="AN13">
        <f>AM13+'Grid_Incoming'!AN13-'Grid_Requirement'!AN13</f>
        <v/>
      </c>
      <c r="AO13">
        <f>AN13+'Grid_Incoming'!AO13-'Grid_Requirement'!AO13</f>
        <v/>
      </c>
      <c r="AP13">
        <f>AO13+'Grid_Incoming'!AP13-'Grid_Requirement'!AP13</f>
        <v/>
      </c>
      <c r="AQ13">
        <f>AP13+'Grid_Incoming'!AQ13-'Grid_Requirement'!AQ13</f>
        <v/>
      </c>
      <c r="AR13">
        <f>AQ13+'Grid_Incoming'!AR13-'Grid_Requirement'!AR13</f>
        <v/>
      </c>
      <c r="AS13">
        <f>AR13+'Grid_Incoming'!AS13-'Grid_Requirement'!AS13</f>
        <v/>
      </c>
      <c r="AT13">
        <f>AS13+'Grid_Incoming'!AT13-'Grid_Requirement'!AT13</f>
        <v/>
      </c>
      <c r="AU13">
        <f>AT13+'Grid_Incoming'!AU13-'Grid_Requirement'!AU13</f>
        <v/>
      </c>
      <c r="AV13">
        <f>AU13+'Grid_Incoming'!AV13-'Grid_Requirement'!AV13</f>
        <v/>
      </c>
      <c r="AW13">
        <f>AV13+'Grid_Incoming'!AW13-'Grid_Requirement'!AW13</f>
        <v/>
      </c>
      <c r="AX13">
        <f>AW13+'Grid_Incoming'!AX13-'Grid_Requirement'!AX13</f>
        <v/>
      </c>
      <c r="AY13">
        <f>AX13+'Grid_Incoming'!AY13-'Grid_Requirement'!AY13</f>
        <v/>
      </c>
      <c r="AZ13">
        <f>AY13+'Grid_Incoming'!AZ13-'Grid_Requirement'!AZ13</f>
        <v/>
      </c>
      <c r="BA13">
        <f>AZ13+'Grid_Incoming'!BA13-'Grid_Requirement'!BA13</f>
        <v/>
      </c>
      <c r="BB13">
        <f>BA13+'Grid_Incoming'!BB13-'Grid_Requirement'!BB13</f>
        <v/>
      </c>
      <c r="BC13">
        <f>BB13+'Grid_Incoming'!BC13-'Grid_Requirement'!BC13</f>
        <v/>
      </c>
      <c r="BD13">
        <f>BC13+'Grid_Incoming'!BD13-'Grid_Requirement'!BD13</f>
        <v/>
      </c>
      <c r="BE13">
        <f>BD13+'Grid_Incoming'!BE13-'Grid_Requirement'!BE13</f>
        <v/>
      </c>
      <c r="BF13">
        <f>BE13+'Grid_Incoming'!BF13-'Grid_Requirement'!BF13</f>
        <v/>
      </c>
      <c r="BG13">
        <f>BF13+'Grid_Incoming'!BG13-'Grid_Requirement'!BG13</f>
        <v/>
      </c>
      <c r="BH13">
        <f>BG13+'Grid_Incoming'!BH13-'Grid_Requirement'!BH13</f>
        <v/>
      </c>
      <c r="BI13">
        <f>BH13+'Grid_Incoming'!BI13-'Grid_Requirement'!BI13</f>
        <v/>
      </c>
      <c r="BJ13">
        <f>BI13+'Grid_Incoming'!BJ13-'Grid_Requirement'!BJ13</f>
        <v/>
      </c>
      <c r="BK13">
        <f>BJ13+'Grid_Incoming'!BK13-'Grid_Requirement'!BK13</f>
        <v/>
      </c>
      <c r="BL13">
        <f>BK13+'Grid_Incoming'!BL13-'Grid_Requirement'!BL13</f>
        <v/>
      </c>
      <c r="BM13">
        <f>BL13+'Grid_Incoming'!BM13-'Grid_Requirement'!BM13</f>
        <v/>
      </c>
      <c r="BN13">
        <f>BM13+'Grid_Incoming'!BN13-'Grid_Requirement'!BN13</f>
        <v/>
      </c>
      <c r="BO13">
        <f>BN13+'Grid_Incoming'!BO13-'Grid_Requirement'!BO13</f>
        <v/>
      </c>
      <c r="BP13">
        <f>BO13+'Grid_Incoming'!BP13-'Grid_Requirement'!BP13</f>
        <v/>
      </c>
      <c r="BQ13">
        <f>BP13+'Grid_Incoming'!BQ13-'Grid_Requirement'!BQ13</f>
        <v/>
      </c>
      <c r="BR13">
        <f>BQ13+'Grid_Incoming'!BR13-'Grid_Requirement'!BR13</f>
        <v/>
      </c>
      <c r="BS13">
        <f>BR13+'Grid_Incoming'!BS13-'Grid_Requirement'!BS13</f>
        <v/>
      </c>
      <c r="BT13">
        <f>BS13+'Grid_Incoming'!BT13-'Grid_Requirement'!BT13</f>
        <v/>
      </c>
      <c r="BU13">
        <f>BT13+'Grid_Incoming'!BU13-'Grid_Requirement'!BU13</f>
        <v/>
      </c>
      <c r="BV13">
        <f>BU13+'Grid_Incoming'!BV13-'Grid_Requirement'!BV13</f>
        <v/>
      </c>
      <c r="BW13">
        <f>BV13+'Grid_Incoming'!BW13-'Grid_Requirement'!BW13</f>
        <v/>
      </c>
      <c r="BX13">
        <f>BW13+'Grid_Incoming'!BX13-'Grid_Requirement'!BX13</f>
        <v/>
      </c>
      <c r="BY13">
        <f>BX13+'Grid_Incoming'!BY13-'Grid_Requirement'!BY13</f>
        <v/>
      </c>
      <c r="BZ13">
        <f>BY13+'Grid_Incoming'!BZ13-'Grid_Requirement'!BZ13</f>
        <v/>
      </c>
      <c r="CA13">
        <f>BZ13+'Grid_Incoming'!CA13-'Grid_Requirement'!CA13</f>
        <v/>
      </c>
      <c r="CB13">
        <f>CA13+'Grid_Incoming'!CB13-'Grid_Requirement'!CB13</f>
        <v/>
      </c>
      <c r="CC13">
        <f>CB13+'Grid_Incoming'!CC13-'Grid_Requirement'!CC13</f>
        <v/>
      </c>
      <c r="CD13">
        <f>CC13+'Grid_Incoming'!CD13-'Grid_Requirement'!CD13</f>
        <v/>
      </c>
      <c r="CE13">
        <f>CD13+'Grid_Incoming'!CE13-'Grid_Requirement'!CE13</f>
        <v/>
      </c>
      <c r="CF13">
        <f>CE13+'Grid_Incoming'!CF13-'Grid_Requirement'!CF13</f>
        <v/>
      </c>
      <c r="CG13">
        <f>CF13+'Grid_Incoming'!CG13-'Grid_Requirement'!CG13</f>
        <v/>
      </c>
      <c r="CH13">
        <f>CG13+'Grid_Incoming'!CH13-'Grid_Requirement'!CH13</f>
        <v/>
      </c>
      <c r="CI13">
        <f>CH13+'Grid_Incoming'!CI13-'Grid_Requirement'!CI13</f>
        <v/>
      </c>
      <c r="CJ13">
        <f>CI13+'Grid_Incoming'!CJ13-'Grid_Requirement'!CJ13</f>
        <v/>
      </c>
      <c r="CK13">
        <f>CJ13+'Grid_Incoming'!CK13-'Grid_Requirement'!CK13</f>
        <v/>
      </c>
      <c r="CL13">
        <f>CK13+'Grid_Incoming'!CL13-'Grid_Requirement'!CL13</f>
        <v/>
      </c>
      <c r="CM13">
        <f>CL13+'Grid_Incoming'!CM13-'Grid_Requirement'!CM13</f>
        <v/>
      </c>
      <c r="CN13">
        <f>CM13+'Grid_Incoming'!CN13-'Grid_Requirement'!CN13</f>
        <v/>
      </c>
      <c r="CO13">
        <f>CN13+'Grid_Incoming'!CO13-'Grid_Requirement'!CO13</f>
        <v/>
      </c>
      <c r="CP13">
        <f>CO13+'Grid_Incoming'!CP13-'Grid_Requirement'!CP13</f>
        <v/>
      </c>
      <c r="CQ13">
        <f>CP13+'Grid_Incoming'!CQ13-'Grid_Requirement'!CQ13</f>
        <v/>
      </c>
      <c r="CR13">
        <f>CQ13+'Grid_Incoming'!CR13-'Grid_Requirement'!CR13</f>
        <v/>
      </c>
      <c r="CS13">
        <f>CR13+'Grid_Incoming'!CS13-'Grid_Requirement'!CS13</f>
        <v/>
      </c>
      <c r="CT13">
        <f>CS13+'Grid_Incoming'!CT13-'Grid_Requirement'!CT13</f>
        <v/>
      </c>
      <c r="CU13">
        <f>CT13+'Grid_Incoming'!CU13-'Grid_Requirement'!CU13</f>
        <v/>
      </c>
      <c r="CV13">
        <f>CU13+'Grid_Incoming'!CV13-'Grid_Requirement'!CV13</f>
        <v/>
      </c>
      <c r="CW13">
        <f>CV13+'Grid_Incoming'!CW13-'Grid_Requirement'!CW13</f>
        <v/>
      </c>
      <c r="CX13">
        <f>CW13+'Grid_Incoming'!CX13-'Grid_Requirement'!CX13</f>
        <v/>
      </c>
      <c r="CY13">
        <f>CX13+'Grid_Incoming'!CY13-'Grid_Requirement'!CY13</f>
        <v/>
      </c>
      <c r="CZ13">
        <f>CY13+'Grid_Incoming'!CZ13-'Grid_Requirement'!CZ13</f>
        <v/>
      </c>
      <c r="DA13">
        <f>CZ13+'Grid_Incoming'!DA13-'Grid_Requirement'!DA13</f>
        <v/>
      </c>
    </row>
    <row r="14">
      <c r="A14" t="inlineStr">
        <is>
          <t>OLJ</t>
        </is>
      </c>
      <c r="B14">
        <f>IFERROR(INDEX(T_OpeningStock[Opening_Qty],MATCH($A14,T_OpeningStock[Part Name],0)),0)+'Grid_Incoming'!B14-'Grid_Requirement'!B14</f>
        <v/>
      </c>
      <c r="C14">
        <f>B14+'Grid_Incoming'!C14-'Grid_Requirement'!C14</f>
        <v/>
      </c>
      <c r="D14">
        <f>C14+'Grid_Incoming'!D14-'Grid_Requirement'!D14</f>
        <v/>
      </c>
      <c r="E14">
        <f>D14+'Grid_Incoming'!E14-'Grid_Requirement'!E14</f>
        <v/>
      </c>
      <c r="F14">
        <f>E14+'Grid_Incoming'!F14-'Grid_Requirement'!F14</f>
        <v/>
      </c>
      <c r="G14">
        <f>F14+'Grid_Incoming'!G14-'Grid_Requirement'!G14</f>
        <v/>
      </c>
      <c r="H14">
        <f>G14+'Grid_Incoming'!H14-'Grid_Requirement'!H14</f>
        <v/>
      </c>
      <c r="I14">
        <f>H14+'Grid_Incoming'!I14-'Grid_Requirement'!I14</f>
        <v/>
      </c>
      <c r="J14">
        <f>I14+'Grid_Incoming'!J14-'Grid_Requirement'!J14</f>
        <v/>
      </c>
      <c r="K14">
        <f>J14+'Grid_Incoming'!K14-'Grid_Requirement'!K14</f>
        <v/>
      </c>
      <c r="L14">
        <f>K14+'Grid_Incoming'!L14-'Grid_Requirement'!L14</f>
        <v/>
      </c>
      <c r="M14">
        <f>L14+'Grid_Incoming'!M14-'Grid_Requirement'!M14</f>
        <v/>
      </c>
      <c r="N14">
        <f>M14+'Grid_Incoming'!N14-'Grid_Requirement'!N14</f>
        <v/>
      </c>
      <c r="O14">
        <f>N14+'Grid_Incoming'!O14-'Grid_Requirement'!O14</f>
        <v/>
      </c>
      <c r="P14">
        <f>O14+'Grid_Incoming'!P14-'Grid_Requirement'!P14</f>
        <v/>
      </c>
      <c r="Q14">
        <f>P14+'Grid_Incoming'!Q14-'Grid_Requirement'!Q14</f>
        <v/>
      </c>
      <c r="R14">
        <f>Q14+'Grid_Incoming'!R14-'Grid_Requirement'!R14</f>
        <v/>
      </c>
      <c r="S14">
        <f>R14+'Grid_Incoming'!S14-'Grid_Requirement'!S14</f>
        <v/>
      </c>
      <c r="T14">
        <f>S14+'Grid_Incoming'!T14-'Grid_Requirement'!T14</f>
        <v/>
      </c>
      <c r="U14">
        <f>T14+'Grid_Incoming'!U14-'Grid_Requirement'!U14</f>
        <v/>
      </c>
      <c r="V14">
        <f>U14+'Grid_Incoming'!V14-'Grid_Requirement'!V14</f>
        <v/>
      </c>
      <c r="W14">
        <f>V14+'Grid_Incoming'!W14-'Grid_Requirement'!W14</f>
        <v/>
      </c>
      <c r="X14">
        <f>W14+'Grid_Incoming'!X14-'Grid_Requirement'!X14</f>
        <v/>
      </c>
      <c r="Y14">
        <f>X14+'Grid_Incoming'!Y14-'Grid_Requirement'!Y14</f>
        <v/>
      </c>
      <c r="Z14">
        <f>Y14+'Grid_Incoming'!Z14-'Grid_Requirement'!Z14</f>
        <v/>
      </c>
      <c r="AA14">
        <f>Z14+'Grid_Incoming'!AA14-'Grid_Requirement'!AA14</f>
        <v/>
      </c>
      <c r="AB14">
        <f>AA14+'Grid_Incoming'!AB14-'Grid_Requirement'!AB14</f>
        <v/>
      </c>
      <c r="AC14">
        <f>AB14+'Grid_Incoming'!AC14-'Grid_Requirement'!AC14</f>
        <v/>
      </c>
      <c r="AD14">
        <f>AC14+'Grid_Incoming'!AD14-'Grid_Requirement'!AD14</f>
        <v/>
      </c>
      <c r="AE14">
        <f>AD14+'Grid_Incoming'!AE14-'Grid_Requirement'!AE14</f>
        <v/>
      </c>
      <c r="AF14">
        <f>AE14+'Grid_Incoming'!AF14-'Grid_Requirement'!AF14</f>
        <v/>
      </c>
      <c r="AG14">
        <f>AF14+'Grid_Incoming'!AG14-'Grid_Requirement'!AG14</f>
        <v/>
      </c>
      <c r="AH14">
        <f>AG14+'Grid_Incoming'!AH14-'Grid_Requirement'!AH14</f>
        <v/>
      </c>
      <c r="AI14">
        <f>AH14+'Grid_Incoming'!AI14-'Grid_Requirement'!AI14</f>
        <v/>
      </c>
      <c r="AJ14">
        <f>AI14+'Grid_Incoming'!AJ14-'Grid_Requirement'!AJ14</f>
        <v/>
      </c>
      <c r="AK14">
        <f>AJ14+'Grid_Incoming'!AK14-'Grid_Requirement'!AK14</f>
        <v/>
      </c>
      <c r="AL14">
        <f>AK14+'Grid_Incoming'!AL14-'Grid_Requirement'!AL14</f>
        <v/>
      </c>
      <c r="AM14">
        <f>AL14+'Grid_Incoming'!AM14-'Grid_Requirement'!AM14</f>
        <v/>
      </c>
      <c r="AN14">
        <f>AM14+'Grid_Incoming'!AN14-'Grid_Requirement'!AN14</f>
        <v/>
      </c>
      <c r="AO14">
        <f>AN14+'Grid_Incoming'!AO14-'Grid_Requirement'!AO14</f>
        <v/>
      </c>
      <c r="AP14">
        <f>AO14+'Grid_Incoming'!AP14-'Grid_Requirement'!AP14</f>
        <v/>
      </c>
      <c r="AQ14">
        <f>AP14+'Grid_Incoming'!AQ14-'Grid_Requirement'!AQ14</f>
        <v/>
      </c>
      <c r="AR14">
        <f>AQ14+'Grid_Incoming'!AR14-'Grid_Requirement'!AR14</f>
        <v/>
      </c>
      <c r="AS14">
        <f>AR14+'Grid_Incoming'!AS14-'Grid_Requirement'!AS14</f>
        <v/>
      </c>
      <c r="AT14">
        <f>AS14+'Grid_Incoming'!AT14-'Grid_Requirement'!AT14</f>
        <v/>
      </c>
      <c r="AU14">
        <f>AT14+'Grid_Incoming'!AU14-'Grid_Requirement'!AU14</f>
        <v/>
      </c>
      <c r="AV14">
        <f>AU14+'Grid_Incoming'!AV14-'Grid_Requirement'!AV14</f>
        <v/>
      </c>
      <c r="AW14">
        <f>AV14+'Grid_Incoming'!AW14-'Grid_Requirement'!AW14</f>
        <v/>
      </c>
      <c r="AX14">
        <f>AW14+'Grid_Incoming'!AX14-'Grid_Requirement'!AX14</f>
        <v/>
      </c>
      <c r="AY14">
        <f>AX14+'Grid_Incoming'!AY14-'Grid_Requirement'!AY14</f>
        <v/>
      </c>
      <c r="AZ14">
        <f>AY14+'Grid_Incoming'!AZ14-'Grid_Requirement'!AZ14</f>
        <v/>
      </c>
      <c r="BA14">
        <f>AZ14+'Grid_Incoming'!BA14-'Grid_Requirement'!BA14</f>
        <v/>
      </c>
      <c r="BB14">
        <f>BA14+'Grid_Incoming'!BB14-'Grid_Requirement'!BB14</f>
        <v/>
      </c>
      <c r="BC14">
        <f>BB14+'Grid_Incoming'!BC14-'Grid_Requirement'!BC14</f>
        <v/>
      </c>
      <c r="BD14">
        <f>BC14+'Grid_Incoming'!BD14-'Grid_Requirement'!BD14</f>
        <v/>
      </c>
      <c r="BE14">
        <f>BD14+'Grid_Incoming'!BE14-'Grid_Requirement'!BE14</f>
        <v/>
      </c>
      <c r="BF14">
        <f>BE14+'Grid_Incoming'!BF14-'Grid_Requirement'!BF14</f>
        <v/>
      </c>
      <c r="BG14">
        <f>BF14+'Grid_Incoming'!BG14-'Grid_Requirement'!BG14</f>
        <v/>
      </c>
      <c r="BH14">
        <f>BG14+'Grid_Incoming'!BH14-'Grid_Requirement'!BH14</f>
        <v/>
      </c>
      <c r="BI14">
        <f>BH14+'Grid_Incoming'!BI14-'Grid_Requirement'!BI14</f>
        <v/>
      </c>
      <c r="BJ14">
        <f>BI14+'Grid_Incoming'!BJ14-'Grid_Requirement'!BJ14</f>
        <v/>
      </c>
      <c r="BK14">
        <f>BJ14+'Grid_Incoming'!BK14-'Grid_Requirement'!BK14</f>
        <v/>
      </c>
      <c r="BL14">
        <f>BK14+'Grid_Incoming'!BL14-'Grid_Requirement'!BL14</f>
        <v/>
      </c>
      <c r="BM14">
        <f>BL14+'Grid_Incoming'!BM14-'Grid_Requirement'!BM14</f>
        <v/>
      </c>
      <c r="BN14">
        <f>BM14+'Grid_Incoming'!BN14-'Grid_Requirement'!BN14</f>
        <v/>
      </c>
      <c r="BO14">
        <f>BN14+'Grid_Incoming'!BO14-'Grid_Requirement'!BO14</f>
        <v/>
      </c>
      <c r="BP14">
        <f>BO14+'Grid_Incoming'!BP14-'Grid_Requirement'!BP14</f>
        <v/>
      </c>
      <c r="BQ14">
        <f>BP14+'Grid_Incoming'!BQ14-'Grid_Requirement'!BQ14</f>
        <v/>
      </c>
      <c r="BR14">
        <f>BQ14+'Grid_Incoming'!BR14-'Grid_Requirement'!BR14</f>
        <v/>
      </c>
      <c r="BS14">
        <f>BR14+'Grid_Incoming'!BS14-'Grid_Requirement'!BS14</f>
        <v/>
      </c>
      <c r="BT14">
        <f>BS14+'Grid_Incoming'!BT14-'Grid_Requirement'!BT14</f>
        <v/>
      </c>
      <c r="BU14">
        <f>BT14+'Grid_Incoming'!BU14-'Grid_Requirement'!BU14</f>
        <v/>
      </c>
      <c r="BV14">
        <f>BU14+'Grid_Incoming'!BV14-'Grid_Requirement'!BV14</f>
        <v/>
      </c>
      <c r="BW14">
        <f>BV14+'Grid_Incoming'!BW14-'Grid_Requirement'!BW14</f>
        <v/>
      </c>
      <c r="BX14">
        <f>BW14+'Grid_Incoming'!BX14-'Grid_Requirement'!BX14</f>
        <v/>
      </c>
      <c r="BY14">
        <f>BX14+'Grid_Incoming'!BY14-'Grid_Requirement'!BY14</f>
        <v/>
      </c>
      <c r="BZ14">
        <f>BY14+'Grid_Incoming'!BZ14-'Grid_Requirement'!BZ14</f>
        <v/>
      </c>
      <c r="CA14">
        <f>BZ14+'Grid_Incoming'!CA14-'Grid_Requirement'!CA14</f>
        <v/>
      </c>
      <c r="CB14">
        <f>CA14+'Grid_Incoming'!CB14-'Grid_Requirement'!CB14</f>
        <v/>
      </c>
      <c r="CC14">
        <f>CB14+'Grid_Incoming'!CC14-'Grid_Requirement'!CC14</f>
        <v/>
      </c>
      <c r="CD14">
        <f>CC14+'Grid_Incoming'!CD14-'Grid_Requirement'!CD14</f>
        <v/>
      </c>
      <c r="CE14">
        <f>CD14+'Grid_Incoming'!CE14-'Grid_Requirement'!CE14</f>
        <v/>
      </c>
      <c r="CF14">
        <f>CE14+'Grid_Incoming'!CF14-'Grid_Requirement'!CF14</f>
        <v/>
      </c>
      <c r="CG14">
        <f>CF14+'Grid_Incoming'!CG14-'Grid_Requirement'!CG14</f>
        <v/>
      </c>
      <c r="CH14">
        <f>CG14+'Grid_Incoming'!CH14-'Grid_Requirement'!CH14</f>
        <v/>
      </c>
      <c r="CI14">
        <f>CH14+'Grid_Incoming'!CI14-'Grid_Requirement'!CI14</f>
        <v/>
      </c>
      <c r="CJ14">
        <f>CI14+'Grid_Incoming'!CJ14-'Grid_Requirement'!CJ14</f>
        <v/>
      </c>
      <c r="CK14">
        <f>CJ14+'Grid_Incoming'!CK14-'Grid_Requirement'!CK14</f>
        <v/>
      </c>
      <c r="CL14">
        <f>CK14+'Grid_Incoming'!CL14-'Grid_Requirement'!CL14</f>
        <v/>
      </c>
      <c r="CM14">
        <f>CL14+'Grid_Incoming'!CM14-'Grid_Requirement'!CM14</f>
        <v/>
      </c>
      <c r="CN14">
        <f>CM14+'Grid_Incoming'!CN14-'Grid_Requirement'!CN14</f>
        <v/>
      </c>
      <c r="CO14">
        <f>CN14+'Grid_Incoming'!CO14-'Grid_Requirement'!CO14</f>
        <v/>
      </c>
      <c r="CP14">
        <f>CO14+'Grid_Incoming'!CP14-'Grid_Requirement'!CP14</f>
        <v/>
      </c>
      <c r="CQ14">
        <f>CP14+'Grid_Incoming'!CQ14-'Grid_Requirement'!CQ14</f>
        <v/>
      </c>
      <c r="CR14">
        <f>CQ14+'Grid_Incoming'!CR14-'Grid_Requirement'!CR14</f>
        <v/>
      </c>
      <c r="CS14">
        <f>CR14+'Grid_Incoming'!CS14-'Grid_Requirement'!CS14</f>
        <v/>
      </c>
      <c r="CT14">
        <f>CS14+'Grid_Incoming'!CT14-'Grid_Requirement'!CT14</f>
        <v/>
      </c>
      <c r="CU14">
        <f>CT14+'Grid_Incoming'!CU14-'Grid_Requirement'!CU14</f>
        <v/>
      </c>
      <c r="CV14">
        <f>CU14+'Grid_Incoming'!CV14-'Grid_Requirement'!CV14</f>
        <v/>
      </c>
      <c r="CW14">
        <f>CV14+'Grid_Incoming'!CW14-'Grid_Requirement'!CW14</f>
        <v/>
      </c>
      <c r="CX14">
        <f>CW14+'Grid_Incoming'!CX14-'Grid_Requirement'!CX14</f>
        <v/>
      </c>
      <c r="CY14">
        <f>CX14+'Grid_Incoming'!CY14-'Grid_Requirement'!CY14</f>
        <v/>
      </c>
      <c r="CZ14">
        <f>CY14+'Grid_Incoming'!CZ14-'Grid_Requirement'!CZ14</f>
        <v/>
      </c>
      <c r="DA14">
        <f>CZ14+'Grid_Incoming'!DA14-'Grid_Requirement'!DA14</f>
        <v/>
      </c>
    </row>
    <row r="15">
      <c r="A15" t="inlineStr">
        <is>
          <t>5SN</t>
        </is>
      </c>
      <c r="B15">
        <f>IFERROR(INDEX(T_OpeningStock[Opening_Qty],MATCH($A15,T_OpeningStock[Part Name],0)),0)+'Grid_Incoming'!B15-'Grid_Requirement'!B15</f>
        <v/>
      </c>
      <c r="C15">
        <f>B15+'Grid_Incoming'!C15-'Grid_Requirement'!C15</f>
        <v/>
      </c>
      <c r="D15">
        <f>C15+'Grid_Incoming'!D15-'Grid_Requirement'!D15</f>
        <v/>
      </c>
      <c r="E15">
        <f>D15+'Grid_Incoming'!E15-'Grid_Requirement'!E15</f>
        <v/>
      </c>
      <c r="F15">
        <f>E15+'Grid_Incoming'!F15-'Grid_Requirement'!F15</f>
        <v/>
      </c>
      <c r="G15">
        <f>F15+'Grid_Incoming'!G15-'Grid_Requirement'!G15</f>
        <v/>
      </c>
      <c r="H15">
        <f>G15+'Grid_Incoming'!H15-'Grid_Requirement'!H15</f>
        <v/>
      </c>
      <c r="I15">
        <f>H15+'Grid_Incoming'!I15-'Grid_Requirement'!I15</f>
        <v/>
      </c>
      <c r="J15">
        <f>I15+'Grid_Incoming'!J15-'Grid_Requirement'!J15</f>
        <v/>
      </c>
      <c r="K15">
        <f>J15+'Grid_Incoming'!K15-'Grid_Requirement'!K15</f>
        <v/>
      </c>
      <c r="L15">
        <f>K15+'Grid_Incoming'!L15-'Grid_Requirement'!L15</f>
        <v/>
      </c>
      <c r="M15">
        <f>L15+'Grid_Incoming'!M15-'Grid_Requirement'!M15</f>
        <v/>
      </c>
      <c r="N15">
        <f>M15+'Grid_Incoming'!N15-'Grid_Requirement'!N15</f>
        <v/>
      </c>
      <c r="O15">
        <f>N15+'Grid_Incoming'!O15-'Grid_Requirement'!O15</f>
        <v/>
      </c>
      <c r="P15">
        <f>O15+'Grid_Incoming'!P15-'Grid_Requirement'!P15</f>
        <v/>
      </c>
      <c r="Q15">
        <f>P15+'Grid_Incoming'!Q15-'Grid_Requirement'!Q15</f>
        <v/>
      </c>
      <c r="R15">
        <f>Q15+'Grid_Incoming'!R15-'Grid_Requirement'!R15</f>
        <v/>
      </c>
      <c r="S15">
        <f>R15+'Grid_Incoming'!S15-'Grid_Requirement'!S15</f>
        <v/>
      </c>
      <c r="T15">
        <f>S15+'Grid_Incoming'!T15-'Grid_Requirement'!T15</f>
        <v/>
      </c>
      <c r="U15">
        <f>T15+'Grid_Incoming'!U15-'Grid_Requirement'!U15</f>
        <v/>
      </c>
      <c r="V15">
        <f>U15+'Grid_Incoming'!V15-'Grid_Requirement'!V15</f>
        <v/>
      </c>
      <c r="W15">
        <f>V15+'Grid_Incoming'!W15-'Grid_Requirement'!W15</f>
        <v/>
      </c>
      <c r="X15">
        <f>W15+'Grid_Incoming'!X15-'Grid_Requirement'!X15</f>
        <v/>
      </c>
      <c r="Y15">
        <f>X15+'Grid_Incoming'!Y15-'Grid_Requirement'!Y15</f>
        <v/>
      </c>
      <c r="Z15">
        <f>Y15+'Grid_Incoming'!Z15-'Grid_Requirement'!Z15</f>
        <v/>
      </c>
      <c r="AA15">
        <f>Z15+'Grid_Incoming'!AA15-'Grid_Requirement'!AA15</f>
        <v/>
      </c>
      <c r="AB15">
        <f>AA15+'Grid_Incoming'!AB15-'Grid_Requirement'!AB15</f>
        <v/>
      </c>
      <c r="AC15">
        <f>AB15+'Grid_Incoming'!AC15-'Grid_Requirement'!AC15</f>
        <v/>
      </c>
      <c r="AD15">
        <f>AC15+'Grid_Incoming'!AD15-'Grid_Requirement'!AD15</f>
        <v/>
      </c>
      <c r="AE15">
        <f>AD15+'Grid_Incoming'!AE15-'Grid_Requirement'!AE15</f>
        <v/>
      </c>
      <c r="AF15">
        <f>AE15+'Grid_Incoming'!AF15-'Grid_Requirement'!AF15</f>
        <v/>
      </c>
      <c r="AG15">
        <f>AF15+'Grid_Incoming'!AG15-'Grid_Requirement'!AG15</f>
        <v/>
      </c>
      <c r="AH15">
        <f>AG15+'Grid_Incoming'!AH15-'Grid_Requirement'!AH15</f>
        <v/>
      </c>
      <c r="AI15">
        <f>AH15+'Grid_Incoming'!AI15-'Grid_Requirement'!AI15</f>
        <v/>
      </c>
      <c r="AJ15">
        <f>AI15+'Grid_Incoming'!AJ15-'Grid_Requirement'!AJ15</f>
        <v/>
      </c>
      <c r="AK15">
        <f>AJ15+'Grid_Incoming'!AK15-'Grid_Requirement'!AK15</f>
        <v/>
      </c>
      <c r="AL15">
        <f>AK15+'Grid_Incoming'!AL15-'Grid_Requirement'!AL15</f>
        <v/>
      </c>
      <c r="AM15">
        <f>AL15+'Grid_Incoming'!AM15-'Grid_Requirement'!AM15</f>
        <v/>
      </c>
      <c r="AN15">
        <f>AM15+'Grid_Incoming'!AN15-'Grid_Requirement'!AN15</f>
        <v/>
      </c>
      <c r="AO15">
        <f>AN15+'Grid_Incoming'!AO15-'Grid_Requirement'!AO15</f>
        <v/>
      </c>
      <c r="AP15">
        <f>AO15+'Grid_Incoming'!AP15-'Grid_Requirement'!AP15</f>
        <v/>
      </c>
      <c r="AQ15">
        <f>AP15+'Grid_Incoming'!AQ15-'Grid_Requirement'!AQ15</f>
        <v/>
      </c>
      <c r="AR15">
        <f>AQ15+'Grid_Incoming'!AR15-'Grid_Requirement'!AR15</f>
        <v/>
      </c>
      <c r="AS15">
        <f>AR15+'Grid_Incoming'!AS15-'Grid_Requirement'!AS15</f>
        <v/>
      </c>
      <c r="AT15">
        <f>AS15+'Grid_Incoming'!AT15-'Grid_Requirement'!AT15</f>
        <v/>
      </c>
      <c r="AU15">
        <f>AT15+'Grid_Incoming'!AU15-'Grid_Requirement'!AU15</f>
        <v/>
      </c>
      <c r="AV15">
        <f>AU15+'Grid_Incoming'!AV15-'Grid_Requirement'!AV15</f>
        <v/>
      </c>
      <c r="AW15">
        <f>AV15+'Grid_Incoming'!AW15-'Grid_Requirement'!AW15</f>
        <v/>
      </c>
      <c r="AX15">
        <f>AW15+'Grid_Incoming'!AX15-'Grid_Requirement'!AX15</f>
        <v/>
      </c>
      <c r="AY15">
        <f>AX15+'Grid_Incoming'!AY15-'Grid_Requirement'!AY15</f>
        <v/>
      </c>
      <c r="AZ15">
        <f>AY15+'Grid_Incoming'!AZ15-'Grid_Requirement'!AZ15</f>
        <v/>
      </c>
      <c r="BA15">
        <f>AZ15+'Grid_Incoming'!BA15-'Grid_Requirement'!BA15</f>
        <v/>
      </c>
      <c r="BB15">
        <f>BA15+'Grid_Incoming'!BB15-'Grid_Requirement'!BB15</f>
        <v/>
      </c>
      <c r="BC15">
        <f>BB15+'Grid_Incoming'!BC15-'Grid_Requirement'!BC15</f>
        <v/>
      </c>
      <c r="BD15">
        <f>BC15+'Grid_Incoming'!BD15-'Grid_Requirement'!BD15</f>
        <v/>
      </c>
      <c r="BE15">
        <f>BD15+'Grid_Incoming'!BE15-'Grid_Requirement'!BE15</f>
        <v/>
      </c>
      <c r="BF15">
        <f>BE15+'Grid_Incoming'!BF15-'Grid_Requirement'!BF15</f>
        <v/>
      </c>
      <c r="BG15">
        <f>BF15+'Grid_Incoming'!BG15-'Grid_Requirement'!BG15</f>
        <v/>
      </c>
      <c r="BH15">
        <f>BG15+'Grid_Incoming'!BH15-'Grid_Requirement'!BH15</f>
        <v/>
      </c>
      <c r="BI15">
        <f>BH15+'Grid_Incoming'!BI15-'Grid_Requirement'!BI15</f>
        <v/>
      </c>
      <c r="BJ15">
        <f>BI15+'Grid_Incoming'!BJ15-'Grid_Requirement'!BJ15</f>
        <v/>
      </c>
      <c r="BK15">
        <f>BJ15+'Grid_Incoming'!BK15-'Grid_Requirement'!BK15</f>
        <v/>
      </c>
      <c r="BL15">
        <f>BK15+'Grid_Incoming'!BL15-'Grid_Requirement'!BL15</f>
        <v/>
      </c>
      <c r="BM15">
        <f>BL15+'Grid_Incoming'!BM15-'Grid_Requirement'!BM15</f>
        <v/>
      </c>
      <c r="BN15">
        <f>BM15+'Grid_Incoming'!BN15-'Grid_Requirement'!BN15</f>
        <v/>
      </c>
      <c r="BO15">
        <f>BN15+'Grid_Incoming'!BO15-'Grid_Requirement'!BO15</f>
        <v/>
      </c>
      <c r="BP15">
        <f>BO15+'Grid_Incoming'!BP15-'Grid_Requirement'!BP15</f>
        <v/>
      </c>
      <c r="BQ15">
        <f>BP15+'Grid_Incoming'!BQ15-'Grid_Requirement'!BQ15</f>
        <v/>
      </c>
      <c r="BR15">
        <f>BQ15+'Grid_Incoming'!BR15-'Grid_Requirement'!BR15</f>
        <v/>
      </c>
      <c r="BS15">
        <f>BR15+'Grid_Incoming'!BS15-'Grid_Requirement'!BS15</f>
        <v/>
      </c>
      <c r="BT15">
        <f>BS15+'Grid_Incoming'!BT15-'Grid_Requirement'!BT15</f>
        <v/>
      </c>
      <c r="BU15">
        <f>BT15+'Grid_Incoming'!BU15-'Grid_Requirement'!BU15</f>
        <v/>
      </c>
      <c r="BV15">
        <f>BU15+'Grid_Incoming'!BV15-'Grid_Requirement'!BV15</f>
        <v/>
      </c>
      <c r="BW15">
        <f>BV15+'Grid_Incoming'!BW15-'Grid_Requirement'!BW15</f>
        <v/>
      </c>
      <c r="BX15">
        <f>BW15+'Grid_Incoming'!BX15-'Grid_Requirement'!BX15</f>
        <v/>
      </c>
      <c r="BY15">
        <f>BX15+'Grid_Incoming'!BY15-'Grid_Requirement'!BY15</f>
        <v/>
      </c>
      <c r="BZ15">
        <f>BY15+'Grid_Incoming'!BZ15-'Grid_Requirement'!BZ15</f>
        <v/>
      </c>
      <c r="CA15">
        <f>BZ15+'Grid_Incoming'!CA15-'Grid_Requirement'!CA15</f>
        <v/>
      </c>
      <c r="CB15">
        <f>CA15+'Grid_Incoming'!CB15-'Grid_Requirement'!CB15</f>
        <v/>
      </c>
      <c r="CC15">
        <f>CB15+'Grid_Incoming'!CC15-'Grid_Requirement'!CC15</f>
        <v/>
      </c>
      <c r="CD15">
        <f>CC15+'Grid_Incoming'!CD15-'Grid_Requirement'!CD15</f>
        <v/>
      </c>
      <c r="CE15">
        <f>CD15+'Grid_Incoming'!CE15-'Grid_Requirement'!CE15</f>
        <v/>
      </c>
      <c r="CF15">
        <f>CE15+'Grid_Incoming'!CF15-'Grid_Requirement'!CF15</f>
        <v/>
      </c>
      <c r="CG15">
        <f>CF15+'Grid_Incoming'!CG15-'Grid_Requirement'!CG15</f>
        <v/>
      </c>
      <c r="CH15">
        <f>CG15+'Grid_Incoming'!CH15-'Grid_Requirement'!CH15</f>
        <v/>
      </c>
      <c r="CI15">
        <f>CH15+'Grid_Incoming'!CI15-'Grid_Requirement'!CI15</f>
        <v/>
      </c>
      <c r="CJ15">
        <f>CI15+'Grid_Incoming'!CJ15-'Grid_Requirement'!CJ15</f>
        <v/>
      </c>
      <c r="CK15">
        <f>CJ15+'Grid_Incoming'!CK15-'Grid_Requirement'!CK15</f>
        <v/>
      </c>
      <c r="CL15">
        <f>CK15+'Grid_Incoming'!CL15-'Grid_Requirement'!CL15</f>
        <v/>
      </c>
      <c r="CM15">
        <f>CL15+'Grid_Incoming'!CM15-'Grid_Requirement'!CM15</f>
        <v/>
      </c>
      <c r="CN15">
        <f>CM15+'Grid_Incoming'!CN15-'Grid_Requirement'!CN15</f>
        <v/>
      </c>
      <c r="CO15">
        <f>CN15+'Grid_Incoming'!CO15-'Grid_Requirement'!CO15</f>
        <v/>
      </c>
      <c r="CP15">
        <f>CO15+'Grid_Incoming'!CP15-'Grid_Requirement'!CP15</f>
        <v/>
      </c>
      <c r="CQ15">
        <f>CP15+'Grid_Incoming'!CQ15-'Grid_Requirement'!CQ15</f>
        <v/>
      </c>
      <c r="CR15">
        <f>CQ15+'Grid_Incoming'!CR15-'Grid_Requirement'!CR15</f>
        <v/>
      </c>
      <c r="CS15">
        <f>CR15+'Grid_Incoming'!CS15-'Grid_Requirement'!CS15</f>
        <v/>
      </c>
      <c r="CT15">
        <f>CS15+'Grid_Incoming'!CT15-'Grid_Requirement'!CT15</f>
        <v/>
      </c>
      <c r="CU15">
        <f>CT15+'Grid_Incoming'!CU15-'Grid_Requirement'!CU15</f>
        <v/>
      </c>
      <c r="CV15">
        <f>CU15+'Grid_Incoming'!CV15-'Grid_Requirement'!CV15</f>
        <v/>
      </c>
      <c r="CW15">
        <f>CV15+'Grid_Incoming'!CW15-'Grid_Requirement'!CW15</f>
        <v/>
      </c>
      <c r="CX15">
        <f>CW15+'Grid_Incoming'!CX15-'Grid_Requirement'!CX15</f>
        <v/>
      </c>
      <c r="CY15">
        <f>CX15+'Grid_Incoming'!CY15-'Grid_Requirement'!CY15</f>
        <v/>
      </c>
      <c r="CZ15">
        <f>CY15+'Grid_Incoming'!CZ15-'Grid_Requirement'!CZ15</f>
        <v/>
      </c>
      <c r="DA15">
        <f>CZ15+'Grid_Incoming'!DA15-'Grid_Requirement'!DA15</f>
        <v/>
      </c>
    </row>
    <row r="16">
      <c r="A16" t="inlineStr">
        <is>
          <t>8EN</t>
        </is>
      </c>
      <c r="B16">
        <f>IFERROR(INDEX(T_OpeningStock[Opening_Qty],MATCH($A16,T_OpeningStock[Part Name],0)),0)+'Grid_Incoming'!B16-'Grid_Requirement'!B16</f>
        <v/>
      </c>
      <c r="C16">
        <f>B16+'Grid_Incoming'!C16-'Grid_Requirement'!C16</f>
        <v/>
      </c>
      <c r="D16">
        <f>C16+'Grid_Incoming'!D16-'Grid_Requirement'!D16</f>
        <v/>
      </c>
      <c r="E16">
        <f>D16+'Grid_Incoming'!E16-'Grid_Requirement'!E16</f>
        <v/>
      </c>
      <c r="F16">
        <f>E16+'Grid_Incoming'!F16-'Grid_Requirement'!F16</f>
        <v/>
      </c>
      <c r="G16">
        <f>F16+'Grid_Incoming'!G16-'Grid_Requirement'!G16</f>
        <v/>
      </c>
      <c r="H16">
        <f>G16+'Grid_Incoming'!H16-'Grid_Requirement'!H16</f>
        <v/>
      </c>
      <c r="I16">
        <f>H16+'Grid_Incoming'!I16-'Grid_Requirement'!I16</f>
        <v/>
      </c>
      <c r="J16">
        <f>I16+'Grid_Incoming'!J16-'Grid_Requirement'!J16</f>
        <v/>
      </c>
      <c r="K16">
        <f>J16+'Grid_Incoming'!K16-'Grid_Requirement'!K16</f>
        <v/>
      </c>
      <c r="L16">
        <f>K16+'Grid_Incoming'!L16-'Grid_Requirement'!L16</f>
        <v/>
      </c>
      <c r="M16">
        <f>L16+'Grid_Incoming'!M16-'Grid_Requirement'!M16</f>
        <v/>
      </c>
      <c r="N16">
        <f>M16+'Grid_Incoming'!N16-'Grid_Requirement'!N16</f>
        <v/>
      </c>
      <c r="O16">
        <f>N16+'Grid_Incoming'!O16-'Grid_Requirement'!O16</f>
        <v/>
      </c>
      <c r="P16">
        <f>O16+'Grid_Incoming'!P16-'Grid_Requirement'!P16</f>
        <v/>
      </c>
      <c r="Q16">
        <f>P16+'Grid_Incoming'!Q16-'Grid_Requirement'!Q16</f>
        <v/>
      </c>
      <c r="R16">
        <f>Q16+'Grid_Incoming'!R16-'Grid_Requirement'!R16</f>
        <v/>
      </c>
      <c r="S16">
        <f>R16+'Grid_Incoming'!S16-'Grid_Requirement'!S16</f>
        <v/>
      </c>
      <c r="T16">
        <f>S16+'Grid_Incoming'!T16-'Grid_Requirement'!T16</f>
        <v/>
      </c>
      <c r="U16">
        <f>T16+'Grid_Incoming'!U16-'Grid_Requirement'!U16</f>
        <v/>
      </c>
      <c r="V16">
        <f>U16+'Grid_Incoming'!V16-'Grid_Requirement'!V16</f>
        <v/>
      </c>
      <c r="W16">
        <f>V16+'Grid_Incoming'!W16-'Grid_Requirement'!W16</f>
        <v/>
      </c>
      <c r="X16">
        <f>W16+'Grid_Incoming'!X16-'Grid_Requirement'!X16</f>
        <v/>
      </c>
      <c r="Y16">
        <f>X16+'Grid_Incoming'!Y16-'Grid_Requirement'!Y16</f>
        <v/>
      </c>
      <c r="Z16">
        <f>Y16+'Grid_Incoming'!Z16-'Grid_Requirement'!Z16</f>
        <v/>
      </c>
      <c r="AA16">
        <f>Z16+'Grid_Incoming'!AA16-'Grid_Requirement'!AA16</f>
        <v/>
      </c>
      <c r="AB16">
        <f>AA16+'Grid_Incoming'!AB16-'Grid_Requirement'!AB16</f>
        <v/>
      </c>
      <c r="AC16">
        <f>AB16+'Grid_Incoming'!AC16-'Grid_Requirement'!AC16</f>
        <v/>
      </c>
      <c r="AD16">
        <f>AC16+'Grid_Incoming'!AD16-'Grid_Requirement'!AD16</f>
        <v/>
      </c>
      <c r="AE16">
        <f>AD16+'Grid_Incoming'!AE16-'Grid_Requirement'!AE16</f>
        <v/>
      </c>
      <c r="AF16">
        <f>AE16+'Grid_Incoming'!AF16-'Grid_Requirement'!AF16</f>
        <v/>
      </c>
      <c r="AG16">
        <f>AF16+'Grid_Incoming'!AG16-'Grid_Requirement'!AG16</f>
        <v/>
      </c>
      <c r="AH16">
        <f>AG16+'Grid_Incoming'!AH16-'Grid_Requirement'!AH16</f>
        <v/>
      </c>
      <c r="AI16">
        <f>AH16+'Grid_Incoming'!AI16-'Grid_Requirement'!AI16</f>
        <v/>
      </c>
      <c r="AJ16">
        <f>AI16+'Grid_Incoming'!AJ16-'Grid_Requirement'!AJ16</f>
        <v/>
      </c>
      <c r="AK16">
        <f>AJ16+'Grid_Incoming'!AK16-'Grid_Requirement'!AK16</f>
        <v/>
      </c>
      <c r="AL16">
        <f>AK16+'Grid_Incoming'!AL16-'Grid_Requirement'!AL16</f>
        <v/>
      </c>
      <c r="AM16">
        <f>AL16+'Grid_Incoming'!AM16-'Grid_Requirement'!AM16</f>
        <v/>
      </c>
      <c r="AN16">
        <f>AM16+'Grid_Incoming'!AN16-'Grid_Requirement'!AN16</f>
        <v/>
      </c>
      <c r="AO16">
        <f>AN16+'Grid_Incoming'!AO16-'Grid_Requirement'!AO16</f>
        <v/>
      </c>
      <c r="AP16">
        <f>AO16+'Grid_Incoming'!AP16-'Grid_Requirement'!AP16</f>
        <v/>
      </c>
      <c r="AQ16">
        <f>AP16+'Grid_Incoming'!AQ16-'Grid_Requirement'!AQ16</f>
        <v/>
      </c>
      <c r="AR16">
        <f>AQ16+'Grid_Incoming'!AR16-'Grid_Requirement'!AR16</f>
        <v/>
      </c>
      <c r="AS16">
        <f>AR16+'Grid_Incoming'!AS16-'Grid_Requirement'!AS16</f>
        <v/>
      </c>
      <c r="AT16">
        <f>AS16+'Grid_Incoming'!AT16-'Grid_Requirement'!AT16</f>
        <v/>
      </c>
      <c r="AU16">
        <f>AT16+'Grid_Incoming'!AU16-'Grid_Requirement'!AU16</f>
        <v/>
      </c>
      <c r="AV16">
        <f>AU16+'Grid_Incoming'!AV16-'Grid_Requirement'!AV16</f>
        <v/>
      </c>
      <c r="AW16">
        <f>AV16+'Grid_Incoming'!AW16-'Grid_Requirement'!AW16</f>
        <v/>
      </c>
      <c r="AX16">
        <f>AW16+'Grid_Incoming'!AX16-'Grid_Requirement'!AX16</f>
        <v/>
      </c>
      <c r="AY16">
        <f>AX16+'Grid_Incoming'!AY16-'Grid_Requirement'!AY16</f>
        <v/>
      </c>
      <c r="AZ16">
        <f>AY16+'Grid_Incoming'!AZ16-'Grid_Requirement'!AZ16</f>
        <v/>
      </c>
      <c r="BA16">
        <f>AZ16+'Grid_Incoming'!BA16-'Grid_Requirement'!BA16</f>
        <v/>
      </c>
      <c r="BB16">
        <f>BA16+'Grid_Incoming'!BB16-'Grid_Requirement'!BB16</f>
        <v/>
      </c>
      <c r="BC16">
        <f>BB16+'Grid_Incoming'!BC16-'Grid_Requirement'!BC16</f>
        <v/>
      </c>
      <c r="BD16">
        <f>BC16+'Grid_Incoming'!BD16-'Grid_Requirement'!BD16</f>
        <v/>
      </c>
      <c r="BE16">
        <f>BD16+'Grid_Incoming'!BE16-'Grid_Requirement'!BE16</f>
        <v/>
      </c>
      <c r="BF16">
        <f>BE16+'Grid_Incoming'!BF16-'Grid_Requirement'!BF16</f>
        <v/>
      </c>
      <c r="BG16">
        <f>BF16+'Grid_Incoming'!BG16-'Grid_Requirement'!BG16</f>
        <v/>
      </c>
      <c r="BH16">
        <f>BG16+'Grid_Incoming'!BH16-'Grid_Requirement'!BH16</f>
        <v/>
      </c>
      <c r="BI16">
        <f>BH16+'Grid_Incoming'!BI16-'Grid_Requirement'!BI16</f>
        <v/>
      </c>
      <c r="BJ16">
        <f>BI16+'Grid_Incoming'!BJ16-'Grid_Requirement'!BJ16</f>
        <v/>
      </c>
      <c r="BK16">
        <f>BJ16+'Grid_Incoming'!BK16-'Grid_Requirement'!BK16</f>
        <v/>
      </c>
      <c r="BL16">
        <f>BK16+'Grid_Incoming'!BL16-'Grid_Requirement'!BL16</f>
        <v/>
      </c>
      <c r="BM16">
        <f>BL16+'Grid_Incoming'!BM16-'Grid_Requirement'!BM16</f>
        <v/>
      </c>
      <c r="BN16">
        <f>BM16+'Grid_Incoming'!BN16-'Grid_Requirement'!BN16</f>
        <v/>
      </c>
      <c r="BO16">
        <f>BN16+'Grid_Incoming'!BO16-'Grid_Requirement'!BO16</f>
        <v/>
      </c>
      <c r="BP16">
        <f>BO16+'Grid_Incoming'!BP16-'Grid_Requirement'!BP16</f>
        <v/>
      </c>
      <c r="BQ16">
        <f>BP16+'Grid_Incoming'!BQ16-'Grid_Requirement'!BQ16</f>
        <v/>
      </c>
      <c r="BR16">
        <f>BQ16+'Grid_Incoming'!BR16-'Grid_Requirement'!BR16</f>
        <v/>
      </c>
      <c r="BS16">
        <f>BR16+'Grid_Incoming'!BS16-'Grid_Requirement'!BS16</f>
        <v/>
      </c>
      <c r="BT16">
        <f>BS16+'Grid_Incoming'!BT16-'Grid_Requirement'!BT16</f>
        <v/>
      </c>
      <c r="BU16">
        <f>BT16+'Grid_Incoming'!BU16-'Grid_Requirement'!BU16</f>
        <v/>
      </c>
      <c r="BV16">
        <f>BU16+'Grid_Incoming'!BV16-'Grid_Requirement'!BV16</f>
        <v/>
      </c>
      <c r="BW16">
        <f>BV16+'Grid_Incoming'!BW16-'Grid_Requirement'!BW16</f>
        <v/>
      </c>
      <c r="BX16">
        <f>BW16+'Grid_Incoming'!BX16-'Grid_Requirement'!BX16</f>
        <v/>
      </c>
      <c r="BY16">
        <f>BX16+'Grid_Incoming'!BY16-'Grid_Requirement'!BY16</f>
        <v/>
      </c>
      <c r="BZ16">
        <f>BY16+'Grid_Incoming'!BZ16-'Grid_Requirement'!BZ16</f>
        <v/>
      </c>
      <c r="CA16">
        <f>BZ16+'Grid_Incoming'!CA16-'Grid_Requirement'!CA16</f>
        <v/>
      </c>
      <c r="CB16">
        <f>CA16+'Grid_Incoming'!CB16-'Grid_Requirement'!CB16</f>
        <v/>
      </c>
      <c r="CC16">
        <f>CB16+'Grid_Incoming'!CC16-'Grid_Requirement'!CC16</f>
        <v/>
      </c>
      <c r="CD16">
        <f>CC16+'Grid_Incoming'!CD16-'Grid_Requirement'!CD16</f>
        <v/>
      </c>
      <c r="CE16">
        <f>CD16+'Grid_Incoming'!CE16-'Grid_Requirement'!CE16</f>
        <v/>
      </c>
      <c r="CF16">
        <f>CE16+'Grid_Incoming'!CF16-'Grid_Requirement'!CF16</f>
        <v/>
      </c>
      <c r="CG16">
        <f>CF16+'Grid_Incoming'!CG16-'Grid_Requirement'!CG16</f>
        <v/>
      </c>
      <c r="CH16">
        <f>CG16+'Grid_Incoming'!CH16-'Grid_Requirement'!CH16</f>
        <v/>
      </c>
      <c r="CI16">
        <f>CH16+'Grid_Incoming'!CI16-'Grid_Requirement'!CI16</f>
        <v/>
      </c>
      <c r="CJ16">
        <f>CI16+'Grid_Incoming'!CJ16-'Grid_Requirement'!CJ16</f>
        <v/>
      </c>
      <c r="CK16">
        <f>CJ16+'Grid_Incoming'!CK16-'Grid_Requirement'!CK16</f>
        <v/>
      </c>
      <c r="CL16">
        <f>CK16+'Grid_Incoming'!CL16-'Grid_Requirement'!CL16</f>
        <v/>
      </c>
      <c r="CM16">
        <f>CL16+'Grid_Incoming'!CM16-'Grid_Requirement'!CM16</f>
        <v/>
      </c>
      <c r="CN16">
        <f>CM16+'Grid_Incoming'!CN16-'Grid_Requirement'!CN16</f>
        <v/>
      </c>
      <c r="CO16">
        <f>CN16+'Grid_Incoming'!CO16-'Grid_Requirement'!CO16</f>
        <v/>
      </c>
      <c r="CP16">
        <f>CO16+'Grid_Incoming'!CP16-'Grid_Requirement'!CP16</f>
        <v/>
      </c>
      <c r="CQ16">
        <f>CP16+'Grid_Incoming'!CQ16-'Grid_Requirement'!CQ16</f>
        <v/>
      </c>
      <c r="CR16">
        <f>CQ16+'Grid_Incoming'!CR16-'Grid_Requirement'!CR16</f>
        <v/>
      </c>
      <c r="CS16">
        <f>CR16+'Grid_Incoming'!CS16-'Grid_Requirement'!CS16</f>
        <v/>
      </c>
      <c r="CT16">
        <f>CS16+'Grid_Incoming'!CT16-'Grid_Requirement'!CT16</f>
        <v/>
      </c>
      <c r="CU16">
        <f>CT16+'Grid_Incoming'!CU16-'Grid_Requirement'!CU16</f>
        <v/>
      </c>
      <c r="CV16">
        <f>CU16+'Grid_Incoming'!CV16-'Grid_Requirement'!CV16</f>
        <v/>
      </c>
      <c r="CW16">
        <f>CV16+'Grid_Incoming'!CW16-'Grid_Requirement'!CW16</f>
        <v/>
      </c>
      <c r="CX16">
        <f>CW16+'Grid_Incoming'!CX16-'Grid_Requirement'!CX16</f>
        <v/>
      </c>
      <c r="CY16">
        <f>CX16+'Grid_Incoming'!CY16-'Grid_Requirement'!CY16</f>
        <v/>
      </c>
      <c r="CZ16">
        <f>CY16+'Grid_Incoming'!CZ16-'Grid_Requirement'!CZ16</f>
        <v/>
      </c>
      <c r="DA16">
        <f>CZ16+'Grid_Incoming'!DA16-'Grid_Requirement'!DA16</f>
        <v/>
      </c>
    </row>
    <row r="17">
      <c r="A17" t="inlineStr">
        <is>
          <t>9RJ</t>
        </is>
      </c>
      <c r="B17">
        <f>IFERROR(INDEX(T_OpeningStock[Opening_Qty],MATCH($A17,T_OpeningStock[Part Name],0)),0)+'Grid_Incoming'!B17-'Grid_Requirement'!B17</f>
        <v/>
      </c>
      <c r="C17">
        <f>B17+'Grid_Incoming'!C17-'Grid_Requirement'!C17</f>
        <v/>
      </c>
      <c r="D17">
        <f>C17+'Grid_Incoming'!D17-'Grid_Requirement'!D17</f>
        <v/>
      </c>
      <c r="E17">
        <f>D17+'Grid_Incoming'!E17-'Grid_Requirement'!E17</f>
        <v/>
      </c>
      <c r="F17">
        <f>E17+'Grid_Incoming'!F17-'Grid_Requirement'!F17</f>
        <v/>
      </c>
      <c r="G17">
        <f>F17+'Grid_Incoming'!G17-'Grid_Requirement'!G17</f>
        <v/>
      </c>
      <c r="H17">
        <f>G17+'Grid_Incoming'!H17-'Grid_Requirement'!H17</f>
        <v/>
      </c>
      <c r="I17">
        <f>H17+'Grid_Incoming'!I17-'Grid_Requirement'!I17</f>
        <v/>
      </c>
      <c r="J17">
        <f>I17+'Grid_Incoming'!J17-'Grid_Requirement'!J17</f>
        <v/>
      </c>
      <c r="K17">
        <f>J17+'Grid_Incoming'!K17-'Grid_Requirement'!K17</f>
        <v/>
      </c>
      <c r="L17">
        <f>K17+'Grid_Incoming'!L17-'Grid_Requirement'!L17</f>
        <v/>
      </c>
      <c r="M17">
        <f>L17+'Grid_Incoming'!M17-'Grid_Requirement'!M17</f>
        <v/>
      </c>
      <c r="N17">
        <f>M17+'Grid_Incoming'!N17-'Grid_Requirement'!N17</f>
        <v/>
      </c>
      <c r="O17">
        <f>N17+'Grid_Incoming'!O17-'Grid_Requirement'!O17</f>
        <v/>
      </c>
      <c r="P17">
        <f>O17+'Grid_Incoming'!P17-'Grid_Requirement'!P17</f>
        <v/>
      </c>
      <c r="Q17">
        <f>P17+'Grid_Incoming'!Q17-'Grid_Requirement'!Q17</f>
        <v/>
      </c>
      <c r="R17">
        <f>Q17+'Grid_Incoming'!R17-'Grid_Requirement'!R17</f>
        <v/>
      </c>
      <c r="S17">
        <f>R17+'Grid_Incoming'!S17-'Grid_Requirement'!S17</f>
        <v/>
      </c>
      <c r="T17">
        <f>S17+'Grid_Incoming'!T17-'Grid_Requirement'!T17</f>
        <v/>
      </c>
      <c r="U17">
        <f>T17+'Grid_Incoming'!U17-'Grid_Requirement'!U17</f>
        <v/>
      </c>
      <c r="V17">
        <f>U17+'Grid_Incoming'!V17-'Grid_Requirement'!V17</f>
        <v/>
      </c>
      <c r="W17">
        <f>V17+'Grid_Incoming'!W17-'Grid_Requirement'!W17</f>
        <v/>
      </c>
      <c r="X17">
        <f>W17+'Grid_Incoming'!X17-'Grid_Requirement'!X17</f>
        <v/>
      </c>
      <c r="Y17">
        <f>X17+'Grid_Incoming'!Y17-'Grid_Requirement'!Y17</f>
        <v/>
      </c>
      <c r="Z17">
        <f>Y17+'Grid_Incoming'!Z17-'Grid_Requirement'!Z17</f>
        <v/>
      </c>
      <c r="AA17">
        <f>Z17+'Grid_Incoming'!AA17-'Grid_Requirement'!AA17</f>
        <v/>
      </c>
      <c r="AB17">
        <f>AA17+'Grid_Incoming'!AB17-'Grid_Requirement'!AB17</f>
        <v/>
      </c>
      <c r="AC17">
        <f>AB17+'Grid_Incoming'!AC17-'Grid_Requirement'!AC17</f>
        <v/>
      </c>
      <c r="AD17">
        <f>AC17+'Grid_Incoming'!AD17-'Grid_Requirement'!AD17</f>
        <v/>
      </c>
      <c r="AE17">
        <f>AD17+'Grid_Incoming'!AE17-'Grid_Requirement'!AE17</f>
        <v/>
      </c>
      <c r="AF17">
        <f>AE17+'Grid_Incoming'!AF17-'Grid_Requirement'!AF17</f>
        <v/>
      </c>
      <c r="AG17">
        <f>AF17+'Grid_Incoming'!AG17-'Grid_Requirement'!AG17</f>
        <v/>
      </c>
      <c r="AH17">
        <f>AG17+'Grid_Incoming'!AH17-'Grid_Requirement'!AH17</f>
        <v/>
      </c>
      <c r="AI17">
        <f>AH17+'Grid_Incoming'!AI17-'Grid_Requirement'!AI17</f>
        <v/>
      </c>
      <c r="AJ17">
        <f>AI17+'Grid_Incoming'!AJ17-'Grid_Requirement'!AJ17</f>
        <v/>
      </c>
      <c r="AK17">
        <f>AJ17+'Grid_Incoming'!AK17-'Grid_Requirement'!AK17</f>
        <v/>
      </c>
      <c r="AL17">
        <f>AK17+'Grid_Incoming'!AL17-'Grid_Requirement'!AL17</f>
        <v/>
      </c>
      <c r="AM17">
        <f>AL17+'Grid_Incoming'!AM17-'Grid_Requirement'!AM17</f>
        <v/>
      </c>
      <c r="AN17">
        <f>AM17+'Grid_Incoming'!AN17-'Grid_Requirement'!AN17</f>
        <v/>
      </c>
      <c r="AO17">
        <f>AN17+'Grid_Incoming'!AO17-'Grid_Requirement'!AO17</f>
        <v/>
      </c>
      <c r="AP17">
        <f>AO17+'Grid_Incoming'!AP17-'Grid_Requirement'!AP17</f>
        <v/>
      </c>
      <c r="AQ17">
        <f>AP17+'Grid_Incoming'!AQ17-'Grid_Requirement'!AQ17</f>
        <v/>
      </c>
      <c r="AR17">
        <f>AQ17+'Grid_Incoming'!AR17-'Grid_Requirement'!AR17</f>
        <v/>
      </c>
      <c r="AS17">
        <f>AR17+'Grid_Incoming'!AS17-'Grid_Requirement'!AS17</f>
        <v/>
      </c>
      <c r="AT17">
        <f>AS17+'Grid_Incoming'!AT17-'Grid_Requirement'!AT17</f>
        <v/>
      </c>
      <c r="AU17">
        <f>AT17+'Grid_Incoming'!AU17-'Grid_Requirement'!AU17</f>
        <v/>
      </c>
      <c r="AV17">
        <f>AU17+'Grid_Incoming'!AV17-'Grid_Requirement'!AV17</f>
        <v/>
      </c>
      <c r="AW17">
        <f>AV17+'Grid_Incoming'!AW17-'Grid_Requirement'!AW17</f>
        <v/>
      </c>
      <c r="AX17">
        <f>AW17+'Grid_Incoming'!AX17-'Grid_Requirement'!AX17</f>
        <v/>
      </c>
      <c r="AY17">
        <f>AX17+'Grid_Incoming'!AY17-'Grid_Requirement'!AY17</f>
        <v/>
      </c>
      <c r="AZ17">
        <f>AY17+'Grid_Incoming'!AZ17-'Grid_Requirement'!AZ17</f>
        <v/>
      </c>
      <c r="BA17">
        <f>AZ17+'Grid_Incoming'!BA17-'Grid_Requirement'!BA17</f>
        <v/>
      </c>
      <c r="BB17">
        <f>BA17+'Grid_Incoming'!BB17-'Grid_Requirement'!BB17</f>
        <v/>
      </c>
      <c r="BC17">
        <f>BB17+'Grid_Incoming'!BC17-'Grid_Requirement'!BC17</f>
        <v/>
      </c>
      <c r="BD17">
        <f>BC17+'Grid_Incoming'!BD17-'Grid_Requirement'!BD17</f>
        <v/>
      </c>
      <c r="BE17">
        <f>BD17+'Grid_Incoming'!BE17-'Grid_Requirement'!BE17</f>
        <v/>
      </c>
      <c r="BF17">
        <f>BE17+'Grid_Incoming'!BF17-'Grid_Requirement'!BF17</f>
        <v/>
      </c>
      <c r="BG17">
        <f>BF17+'Grid_Incoming'!BG17-'Grid_Requirement'!BG17</f>
        <v/>
      </c>
      <c r="BH17">
        <f>BG17+'Grid_Incoming'!BH17-'Grid_Requirement'!BH17</f>
        <v/>
      </c>
      <c r="BI17">
        <f>BH17+'Grid_Incoming'!BI17-'Grid_Requirement'!BI17</f>
        <v/>
      </c>
      <c r="BJ17">
        <f>BI17+'Grid_Incoming'!BJ17-'Grid_Requirement'!BJ17</f>
        <v/>
      </c>
      <c r="BK17">
        <f>BJ17+'Grid_Incoming'!BK17-'Grid_Requirement'!BK17</f>
        <v/>
      </c>
      <c r="BL17">
        <f>BK17+'Grid_Incoming'!BL17-'Grid_Requirement'!BL17</f>
        <v/>
      </c>
      <c r="BM17">
        <f>BL17+'Grid_Incoming'!BM17-'Grid_Requirement'!BM17</f>
        <v/>
      </c>
      <c r="BN17">
        <f>BM17+'Grid_Incoming'!BN17-'Grid_Requirement'!BN17</f>
        <v/>
      </c>
      <c r="BO17">
        <f>BN17+'Grid_Incoming'!BO17-'Grid_Requirement'!BO17</f>
        <v/>
      </c>
      <c r="BP17">
        <f>BO17+'Grid_Incoming'!BP17-'Grid_Requirement'!BP17</f>
        <v/>
      </c>
      <c r="BQ17">
        <f>BP17+'Grid_Incoming'!BQ17-'Grid_Requirement'!BQ17</f>
        <v/>
      </c>
      <c r="BR17">
        <f>BQ17+'Grid_Incoming'!BR17-'Grid_Requirement'!BR17</f>
        <v/>
      </c>
      <c r="BS17">
        <f>BR17+'Grid_Incoming'!BS17-'Grid_Requirement'!BS17</f>
        <v/>
      </c>
      <c r="BT17">
        <f>BS17+'Grid_Incoming'!BT17-'Grid_Requirement'!BT17</f>
        <v/>
      </c>
      <c r="BU17">
        <f>BT17+'Grid_Incoming'!BU17-'Grid_Requirement'!BU17</f>
        <v/>
      </c>
      <c r="BV17">
        <f>BU17+'Grid_Incoming'!BV17-'Grid_Requirement'!BV17</f>
        <v/>
      </c>
      <c r="BW17">
        <f>BV17+'Grid_Incoming'!BW17-'Grid_Requirement'!BW17</f>
        <v/>
      </c>
      <c r="BX17">
        <f>BW17+'Grid_Incoming'!BX17-'Grid_Requirement'!BX17</f>
        <v/>
      </c>
      <c r="BY17">
        <f>BX17+'Grid_Incoming'!BY17-'Grid_Requirement'!BY17</f>
        <v/>
      </c>
      <c r="BZ17">
        <f>BY17+'Grid_Incoming'!BZ17-'Grid_Requirement'!BZ17</f>
        <v/>
      </c>
      <c r="CA17">
        <f>BZ17+'Grid_Incoming'!CA17-'Grid_Requirement'!CA17</f>
        <v/>
      </c>
      <c r="CB17">
        <f>CA17+'Grid_Incoming'!CB17-'Grid_Requirement'!CB17</f>
        <v/>
      </c>
      <c r="CC17">
        <f>CB17+'Grid_Incoming'!CC17-'Grid_Requirement'!CC17</f>
        <v/>
      </c>
      <c r="CD17">
        <f>CC17+'Grid_Incoming'!CD17-'Grid_Requirement'!CD17</f>
        <v/>
      </c>
      <c r="CE17">
        <f>CD17+'Grid_Incoming'!CE17-'Grid_Requirement'!CE17</f>
        <v/>
      </c>
      <c r="CF17">
        <f>CE17+'Grid_Incoming'!CF17-'Grid_Requirement'!CF17</f>
        <v/>
      </c>
      <c r="CG17">
        <f>CF17+'Grid_Incoming'!CG17-'Grid_Requirement'!CG17</f>
        <v/>
      </c>
      <c r="CH17">
        <f>CG17+'Grid_Incoming'!CH17-'Grid_Requirement'!CH17</f>
        <v/>
      </c>
      <c r="CI17">
        <f>CH17+'Grid_Incoming'!CI17-'Grid_Requirement'!CI17</f>
        <v/>
      </c>
      <c r="CJ17">
        <f>CI17+'Grid_Incoming'!CJ17-'Grid_Requirement'!CJ17</f>
        <v/>
      </c>
      <c r="CK17">
        <f>CJ17+'Grid_Incoming'!CK17-'Grid_Requirement'!CK17</f>
        <v/>
      </c>
      <c r="CL17">
        <f>CK17+'Grid_Incoming'!CL17-'Grid_Requirement'!CL17</f>
        <v/>
      </c>
      <c r="CM17">
        <f>CL17+'Grid_Incoming'!CM17-'Grid_Requirement'!CM17</f>
        <v/>
      </c>
      <c r="CN17">
        <f>CM17+'Grid_Incoming'!CN17-'Grid_Requirement'!CN17</f>
        <v/>
      </c>
      <c r="CO17">
        <f>CN17+'Grid_Incoming'!CO17-'Grid_Requirement'!CO17</f>
        <v/>
      </c>
      <c r="CP17">
        <f>CO17+'Grid_Incoming'!CP17-'Grid_Requirement'!CP17</f>
        <v/>
      </c>
      <c r="CQ17">
        <f>CP17+'Grid_Incoming'!CQ17-'Grid_Requirement'!CQ17</f>
        <v/>
      </c>
      <c r="CR17">
        <f>CQ17+'Grid_Incoming'!CR17-'Grid_Requirement'!CR17</f>
        <v/>
      </c>
      <c r="CS17">
        <f>CR17+'Grid_Incoming'!CS17-'Grid_Requirement'!CS17</f>
        <v/>
      </c>
      <c r="CT17">
        <f>CS17+'Grid_Incoming'!CT17-'Grid_Requirement'!CT17</f>
        <v/>
      </c>
      <c r="CU17">
        <f>CT17+'Grid_Incoming'!CU17-'Grid_Requirement'!CU17</f>
        <v/>
      </c>
      <c r="CV17">
        <f>CU17+'Grid_Incoming'!CV17-'Grid_Requirement'!CV17</f>
        <v/>
      </c>
      <c r="CW17">
        <f>CV17+'Grid_Incoming'!CW17-'Grid_Requirement'!CW17</f>
        <v/>
      </c>
      <c r="CX17">
        <f>CW17+'Grid_Incoming'!CX17-'Grid_Requirement'!CX17</f>
        <v/>
      </c>
      <c r="CY17">
        <f>CX17+'Grid_Incoming'!CY17-'Grid_Requirement'!CY17</f>
        <v/>
      </c>
      <c r="CZ17">
        <f>CY17+'Grid_Incoming'!CZ17-'Grid_Requirement'!CZ17</f>
        <v/>
      </c>
      <c r="DA17">
        <f>CZ17+'Grid_Incoming'!DA17-'Grid_Requirement'!DA17</f>
        <v/>
      </c>
    </row>
    <row r="18">
      <c r="A18" t="inlineStr">
        <is>
          <t>5JK</t>
        </is>
      </c>
      <c r="B18">
        <f>IFERROR(INDEX(T_OpeningStock[Opening_Qty],MATCH($A18,T_OpeningStock[Part Name],0)),0)+'Grid_Incoming'!B18-'Grid_Requirement'!B18</f>
        <v/>
      </c>
      <c r="C18">
        <f>B18+'Grid_Incoming'!C18-'Grid_Requirement'!C18</f>
        <v/>
      </c>
      <c r="D18">
        <f>C18+'Grid_Incoming'!D18-'Grid_Requirement'!D18</f>
        <v/>
      </c>
      <c r="E18">
        <f>D18+'Grid_Incoming'!E18-'Grid_Requirement'!E18</f>
        <v/>
      </c>
      <c r="F18">
        <f>E18+'Grid_Incoming'!F18-'Grid_Requirement'!F18</f>
        <v/>
      </c>
      <c r="G18">
        <f>F18+'Grid_Incoming'!G18-'Grid_Requirement'!G18</f>
        <v/>
      </c>
      <c r="H18">
        <f>G18+'Grid_Incoming'!H18-'Grid_Requirement'!H18</f>
        <v/>
      </c>
      <c r="I18">
        <f>H18+'Grid_Incoming'!I18-'Grid_Requirement'!I18</f>
        <v/>
      </c>
      <c r="J18">
        <f>I18+'Grid_Incoming'!J18-'Grid_Requirement'!J18</f>
        <v/>
      </c>
      <c r="K18">
        <f>J18+'Grid_Incoming'!K18-'Grid_Requirement'!K18</f>
        <v/>
      </c>
      <c r="L18">
        <f>K18+'Grid_Incoming'!L18-'Grid_Requirement'!L18</f>
        <v/>
      </c>
      <c r="M18">
        <f>L18+'Grid_Incoming'!M18-'Grid_Requirement'!M18</f>
        <v/>
      </c>
      <c r="N18">
        <f>M18+'Grid_Incoming'!N18-'Grid_Requirement'!N18</f>
        <v/>
      </c>
      <c r="O18">
        <f>N18+'Grid_Incoming'!O18-'Grid_Requirement'!O18</f>
        <v/>
      </c>
      <c r="P18">
        <f>O18+'Grid_Incoming'!P18-'Grid_Requirement'!P18</f>
        <v/>
      </c>
      <c r="Q18">
        <f>P18+'Grid_Incoming'!Q18-'Grid_Requirement'!Q18</f>
        <v/>
      </c>
      <c r="R18">
        <f>Q18+'Grid_Incoming'!R18-'Grid_Requirement'!R18</f>
        <v/>
      </c>
      <c r="S18">
        <f>R18+'Grid_Incoming'!S18-'Grid_Requirement'!S18</f>
        <v/>
      </c>
      <c r="T18">
        <f>S18+'Grid_Incoming'!T18-'Grid_Requirement'!T18</f>
        <v/>
      </c>
      <c r="U18">
        <f>T18+'Grid_Incoming'!U18-'Grid_Requirement'!U18</f>
        <v/>
      </c>
      <c r="V18">
        <f>U18+'Grid_Incoming'!V18-'Grid_Requirement'!V18</f>
        <v/>
      </c>
      <c r="W18">
        <f>V18+'Grid_Incoming'!W18-'Grid_Requirement'!W18</f>
        <v/>
      </c>
      <c r="X18">
        <f>W18+'Grid_Incoming'!X18-'Grid_Requirement'!X18</f>
        <v/>
      </c>
      <c r="Y18">
        <f>X18+'Grid_Incoming'!Y18-'Grid_Requirement'!Y18</f>
        <v/>
      </c>
      <c r="Z18">
        <f>Y18+'Grid_Incoming'!Z18-'Grid_Requirement'!Z18</f>
        <v/>
      </c>
      <c r="AA18">
        <f>Z18+'Grid_Incoming'!AA18-'Grid_Requirement'!AA18</f>
        <v/>
      </c>
      <c r="AB18">
        <f>AA18+'Grid_Incoming'!AB18-'Grid_Requirement'!AB18</f>
        <v/>
      </c>
      <c r="AC18">
        <f>AB18+'Grid_Incoming'!AC18-'Grid_Requirement'!AC18</f>
        <v/>
      </c>
      <c r="AD18">
        <f>AC18+'Grid_Incoming'!AD18-'Grid_Requirement'!AD18</f>
        <v/>
      </c>
      <c r="AE18">
        <f>AD18+'Grid_Incoming'!AE18-'Grid_Requirement'!AE18</f>
        <v/>
      </c>
      <c r="AF18">
        <f>AE18+'Grid_Incoming'!AF18-'Grid_Requirement'!AF18</f>
        <v/>
      </c>
      <c r="AG18">
        <f>AF18+'Grid_Incoming'!AG18-'Grid_Requirement'!AG18</f>
        <v/>
      </c>
      <c r="AH18">
        <f>AG18+'Grid_Incoming'!AH18-'Grid_Requirement'!AH18</f>
        <v/>
      </c>
      <c r="AI18">
        <f>AH18+'Grid_Incoming'!AI18-'Grid_Requirement'!AI18</f>
        <v/>
      </c>
      <c r="AJ18">
        <f>AI18+'Grid_Incoming'!AJ18-'Grid_Requirement'!AJ18</f>
        <v/>
      </c>
      <c r="AK18">
        <f>AJ18+'Grid_Incoming'!AK18-'Grid_Requirement'!AK18</f>
        <v/>
      </c>
      <c r="AL18">
        <f>AK18+'Grid_Incoming'!AL18-'Grid_Requirement'!AL18</f>
        <v/>
      </c>
      <c r="AM18">
        <f>AL18+'Grid_Incoming'!AM18-'Grid_Requirement'!AM18</f>
        <v/>
      </c>
      <c r="AN18">
        <f>AM18+'Grid_Incoming'!AN18-'Grid_Requirement'!AN18</f>
        <v/>
      </c>
      <c r="AO18">
        <f>AN18+'Grid_Incoming'!AO18-'Grid_Requirement'!AO18</f>
        <v/>
      </c>
      <c r="AP18">
        <f>AO18+'Grid_Incoming'!AP18-'Grid_Requirement'!AP18</f>
        <v/>
      </c>
      <c r="AQ18">
        <f>AP18+'Grid_Incoming'!AQ18-'Grid_Requirement'!AQ18</f>
        <v/>
      </c>
      <c r="AR18">
        <f>AQ18+'Grid_Incoming'!AR18-'Grid_Requirement'!AR18</f>
        <v/>
      </c>
      <c r="AS18">
        <f>AR18+'Grid_Incoming'!AS18-'Grid_Requirement'!AS18</f>
        <v/>
      </c>
      <c r="AT18">
        <f>AS18+'Grid_Incoming'!AT18-'Grid_Requirement'!AT18</f>
        <v/>
      </c>
      <c r="AU18">
        <f>AT18+'Grid_Incoming'!AU18-'Grid_Requirement'!AU18</f>
        <v/>
      </c>
      <c r="AV18">
        <f>AU18+'Grid_Incoming'!AV18-'Grid_Requirement'!AV18</f>
        <v/>
      </c>
      <c r="AW18">
        <f>AV18+'Grid_Incoming'!AW18-'Grid_Requirement'!AW18</f>
        <v/>
      </c>
      <c r="AX18">
        <f>AW18+'Grid_Incoming'!AX18-'Grid_Requirement'!AX18</f>
        <v/>
      </c>
      <c r="AY18">
        <f>AX18+'Grid_Incoming'!AY18-'Grid_Requirement'!AY18</f>
        <v/>
      </c>
      <c r="AZ18">
        <f>AY18+'Grid_Incoming'!AZ18-'Grid_Requirement'!AZ18</f>
        <v/>
      </c>
      <c r="BA18">
        <f>AZ18+'Grid_Incoming'!BA18-'Grid_Requirement'!BA18</f>
        <v/>
      </c>
      <c r="BB18">
        <f>BA18+'Grid_Incoming'!BB18-'Grid_Requirement'!BB18</f>
        <v/>
      </c>
      <c r="BC18">
        <f>BB18+'Grid_Incoming'!BC18-'Grid_Requirement'!BC18</f>
        <v/>
      </c>
      <c r="BD18">
        <f>BC18+'Grid_Incoming'!BD18-'Grid_Requirement'!BD18</f>
        <v/>
      </c>
      <c r="BE18">
        <f>BD18+'Grid_Incoming'!BE18-'Grid_Requirement'!BE18</f>
        <v/>
      </c>
      <c r="BF18">
        <f>BE18+'Grid_Incoming'!BF18-'Grid_Requirement'!BF18</f>
        <v/>
      </c>
      <c r="BG18">
        <f>BF18+'Grid_Incoming'!BG18-'Grid_Requirement'!BG18</f>
        <v/>
      </c>
      <c r="BH18">
        <f>BG18+'Grid_Incoming'!BH18-'Grid_Requirement'!BH18</f>
        <v/>
      </c>
      <c r="BI18">
        <f>BH18+'Grid_Incoming'!BI18-'Grid_Requirement'!BI18</f>
        <v/>
      </c>
      <c r="BJ18">
        <f>BI18+'Grid_Incoming'!BJ18-'Grid_Requirement'!BJ18</f>
        <v/>
      </c>
      <c r="BK18">
        <f>BJ18+'Grid_Incoming'!BK18-'Grid_Requirement'!BK18</f>
        <v/>
      </c>
      <c r="BL18">
        <f>BK18+'Grid_Incoming'!BL18-'Grid_Requirement'!BL18</f>
        <v/>
      </c>
      <c r="BM18">
        <f>BL18+'Grid_Incoming'!BM18-'Grid_Requirement'!BM18</f>
        <v/>
      </c>
      <c r="BN18">
        <f>BM18+'Grid_Incoming'!BN18-'Grid_Requirement'!BN18</f>
        <v/>
      </c>
      <c r="BO18">
        <f>BN18+'Grid_Incoming'!BO18-'Grid_Requirement'!BO18</f>
        <v/>
      </c>
      <c r="BP18">
        <f>BO18+'Grid_Incoming'!BP18-'Grid_Requirement'!BP18</f>
        <v/>
      </c>
      <c r="BQ18">
        <f>BP18+'Grid_Incoming'!BQ18-'Grid_Requirement'!BQ18</f>
        <v/>
      </c>
      <c r="BR18">
        <f>BQ18+'Grid_Incoming'!BR18-'Grid_Requirement'!BR18</f>
        <v/>
      </c>
      <c r="BS18">
        <f>BR18+'Grid_Incoming'!BS18-'Grid_Requirement'!BS18</f>
        <v/>
      </c>
      <c r="BT18">
        <f>BS18+'Grid_Incoming'!BT18-'Grid_Requirement'!BT18</f>
        <v/>
      </c>
      <c r="BU18">
        <f>BT18+'Grid_Incoming'!BU18-'Grid_Requirement'!BU18</f>
        <v/>
      </c>
      <c r="BV18">
        <f>BU18+'Grid_Incoming'!BV18-'Grid_Requirement'!BV18</f>
        <v/>
      </c>
      <c r="BW18">
        <f>BV18+'Grid_Incoming'!BW18-'Grid_Requirement'!BW18</f>
        <v/>
      </c>
      <c r="BX18">
        <f>BW18+'Grid_Incoming'!BX18-'Grid_Requirement'!BX18</f>
        <v/>
      </c>
      <c r="BY18">
        <f>BX18+'Grid_Incoming'!BY18-'Grid_Requirement'!BY18</f>
        <v/>
      </c>
      <c r="BZ18">
        <f>BY18+'Grid_Incoming'!BZ18-'Grid_Requirement'!BZ18</f>
        <v/>
      </c>
      <c r="CA18">
        <f>BZ18+'Grid_Incoming'!CA18-'Grid_Requirement'!CA18</f>
        <v/>
      </c>
      <c r="CB18">
        <f>CA18+'Grid_Incoming'!CB18-'Grid_Requirement'!CB18</f>
        <v/>
      </c>
      <c r="CC18">
        <f>CB18+'Grid_Incoming'!CC18-'Grid_Requirement'!CC18</f>
        <v/>
      </c>
      <c r="CD18">
        <f>CC18+'Grid_Incoming'!CD18-'Grid_Requirement'!CD18</f>
        <v/>
      </c>
      <c r="CE18">
        <f>CD18+'Grid_Incoming'!CE18-'Grid_Requirement'!CE18</f>
        <v/>
      </c>
      <c r="CF18">
        <f>CE18+'Grid_Incoming'!CF18-'Grid_Requirement'!CF18</f>
        <v/>
      </c>
      <c r="CG18">
        <f>CF18+'Grid_Incoming'!CG18-'Grid_Requirement'!CG18</f>
        <v/>
      </c>
      <c r="CH18">
        <f>CG18+'Grid_Incoming'!CH18-'Grid_Requirement'!CH18</f>
        <v/>
      </c>
      <c r="CI18">
        <f>CH18+'Grid_Incoming'!CI18-'Grid_Requirement'!CI18</f>
        <v/>
      </c>
      <c r="CJ18">
        <f>CI18+'Grid_Incoming'!CJ18-'Grid_Requirement'!CJ18</f>
        <v/>
      </c>
      <c r="CK18">
        <f>CJ18+'Grid_Incoming'!CK18-'Grid_Requirement'!CK18</f>
        <v/>
      </c>
      <c r="CL18">
        <f>CK18+'Grid_Incoming'!CL18-'Grid_Requirement'!CL18</f>
        <v/>
      </c>
      <c r="CM18">
        <f>CL18+'Grid_Incoming'!CM18-'Grid_Requirement'!CM18</f>
        <v/>
      </c>
      <c r="CN18">
        <f>CM18+'Grid_Incoming'!CN18-'Grid_Requirement'!CN18</f>
        <v/>
      </c>
      <c r="CO18">
        <f>CN18+'Grid_Incoming'!CO18-'Grid_Requirement'!CO18</f>
        <v/>
      </c>
      <c r="CP18">
        <f>CO18+'Grid_Incoming'!CP18-'Grid_Requirement'!CP18</f>
        <v/>
      </c>
      <c r="CQ18">
        <f>CP18+'Grid_Incoming'!CQ18-'Grid_Requirement'!CQ18</f>
        <v/>
      </c>
      <c r="CR18">
        <f>CQ18+'Grid_Incoming'!CR18-'Grid_Requirement'!CR18</f>
        <v/>
      </c>
      <c r="CS18">
        <f>CR18+'Grid_Incoming'!CS18-'Grid_Requirement'!CS18</f>
        <v/>
      </c>
      <c r="CT18">
        <f>CS18+'Grid_Incoming'!CT18-'Grid_Requirement'!CT18</f>
        <v/>
      </c>
      <c r="CU18">
        <f>CT18+'Grid_Incoming'!CU18-'Grid_Requirement'!CU18</f>
        <v/>
      </c>
      <c r="CV18">
        <f>CU18+'Grid_Incoming'!CV18-'Grid_Requirement'!CV18</f>
        <v/>
      </c>
      <c r="CW18">
        <f>CV18+'Grid_Incoming'!CW18-'Grid_Requirement'!CW18</f>
        <v/>
      </c>
      <c r="CX18">
        <f>CW18+'Grid_Incoming'!CX18-'Grid_Requirement'!CX18</f>
        <v/>
      </c>
      <c r="CY18">
        <f>CX18+'Grid_Incoming'!CY18-'Grid_Requirement'!CY18</f>
        <v/>
      </c>
      <c r="CZ18">
        <f>CY18+'Grid_Incoming'!CZ18-'Grid_Requirement'!CZ18</f>
        <v/>
      </c>
      <c r="DA18">
        <f>CZ18+'Grid_Incoming'!DA18-'Grid_Requirement'!DA18</f>
        <v/>
      </c>
    </row>
    <row r="19">
      <c r="A19" t="inlineStr">
        <is>
          <t>26F</t>
        </is>
      </c>
      <c r="B19">
        <f>IFERROR(INDEX(T_OpeningStock[Opening_Qty],MATCH($A19,T_OpeningStock[Part Name],0)),0)+'Grid_Incoming'!B19-'Grid_Requirement'!B19</f>
        <v/>
      </c>
      <c r="C19">
        <f>B19+'Grid_Incoming'!C19-'Grid_Requirement'!C19</f>
        <v/>
      </c>
      <c r="D19">
        <f>C19+'Grid_Incoming'!D19-'Grid_Requirement'!D19</f>
        <v/>
      </c>
      <c r="E19">
        <f>D19+'Grid_Incoming'!E19-'Grid_Requirement'!E19</f>
        <v/>
      </c>
      <c r="F19">
        <f>E19+'Grid_Incoming'!F19-'Grid_Requirement'!F19</f>
        <v/>
      </c>
      <c r="G19">
        <f>F19+'Grid_Incoming'!G19-'Grid_Requirement'!G19</f>
        <v/>
      </c>
      <c r="H19">
        <f>G19+'Grid_Incoming'!H19-'Grid_Requirement'!H19</f>
        <v/>
      </c>
      <c r="I19">
        <f>H19+'Grid_Incoming'!I19-'Grid_Requirement'!I19</f>
        <v/>
      </c>
      <c r="J19">
        <f>I19+'Grid_Incoming'!J19-'Grid_Requirement'!J19</f>
        <v/>
      </c>
      <c r="K19">
        <f>J19+'Grid_Incoming'!K19-'Grid_Requirement'!K19</f>
        <v/>
      </c>
      <c r="L19">
        <f>K19+'Grid_Incoming'!L19-'Grid_Requirement'!L19</f>
        <v/>
      </c>
      <c r="M19">
        <f>L19+'Grid_Incoming'!M19-'Grid_Requirement'!M19</f>
        <v/>
      </c>
      <c r="N19">
        <f>M19+'Grid_Incoming'!N19-'Grid_Requirement'!N19</f>
        <v/>
      </c>
      <c r="O19">
        <f>N19+'Grid_Incoming'!O19-'Grid_Requirement'!O19</f>
        <v/>
      </c>
      <c r="P19">
        <f>O19+'Grid_Incoming'!P19-'Grid_Requirement'!P19</f>
        <v/>
      </c>
      <c r="Q19">
        <f>P19+'Grid_Incoming'!Q19-'Grid_Requirement'!Q19</f>
        <v/>
      </c>
      <c r="R19">
        <f>Q19+'Grid_Incoming'!R19-'Grid_Requirement'!R19</f>
        <v/>
      </c>
      <c r="S19">
        <f>R19+'Grid_Incoming'!S19-'Grid_Requirement'!S19</f>
        <v/>
      </c>
      <c r="T19">
        <f>S19+'Grid_Incoming'!T19-'Grid_Requirement'!T19</f>
        <v/>
      </c>
      <c r="U19">
        <f>T19+'Grid_Incoming'!U19-'Grid_Requirement'!U19</f>
        <v/>
      </c>
      <c r="V19">
        <f>U19+'Grid_Incoming'!V19-'Grid_Requirement'!V19</f>
        <v/>
      </c>
      <c r="W19">
        <f>V19+'Grid_Incoming'!W19-'Grid_Requirement'!W19</f>
        <v/>
      </c>
      <c r="X19">
        <f>W19+'Grid_Incoming'!X19-'Grid_Requirement'!X19</f>
        <v/>
      </c>
      <c r="Y19">
        <f>X19+'Grid_Incoming'!Y19-'Grid_Requirement'!Y19</f>
        <v/>
      </c>
      <c r="Z19">
        <f>Y19+'Grid_Incoming'!Z19-'Grid_Requirement'!Z19</f>
        <v/>
      </c>
      <c r="AA19">
        <f>Z19+'Grid_Incoming'!AA19-'Grid_Requirement'!AA19</f>
        <v/>
      </c>
      <c r="AB19">
        <f>AA19+'Grid_Incoming'!AB19-'Grid_Requirement'!AB19</f>
        <v/>
      </c>
      <c r="AC19">
        <f>AB19+'Grid_Incoming'!AC19-'Grid_Requirement'!AC19</f>
        <v/>
      </c>
      <c r="AD19">
        <f>AC19+'Grid_Incoming'!AD19-'Grid_Requirement'!AD19</f>
        <v/>
      </c>
      <c r="AE19">
        <f>AD19+'Grid_Incoming'!AE19-'Grid_Requirement'!AE19</f>
        <v/>
      </c>
      <c r="AF19">
        <f>AE19+'Grid_Incoming'!AF19-'Grid_Requirement'!AF19</f>
        <v/>
      </c>
      <c r="AG19">
        <f>AF19+'Grid_Incoming'!AG19-'Grid_Requirement'!AG19</f>
        <v/>
      </c>
      <c r="AH19">
        <f>AG19+'Grid_Incoming'!AH19-'Grid_Requirement'!AH19</f>
        <v/>
      </c>
      <c r="AI19">
        <f>AH19+'Grid_Incoming'!AI19-'Grid_Requirement'!AI19</f>
        <v/>
      </c>
      <c r="AJ19">
        <f>AI19+'Grid_Incoming'!AJ19-'Grid_Requirement'!AJ19</f>
        <v/>
      </c>
      <c r="AK19">
        <f>AJ19+'Grid_Incoming'!AK19-'Grid_Requirement'!AK19</f>
        <v/>
      </c>
      <c r="AL19">
        <f>AK19+'Grid_Incoming'!AL19-'Grid_Requirement'!AL19</f>
        <v/>
      </c>
      <c r="AM19">
        <f>AL19+'Grid_Incoming'!AM19-'Grid_Requirement'!AM19</f>
        <v/>
      </c>
      <c r="AN19">
        <f>AM19+'Grid_Incoming'!AN19-'Grid_Requirement'!AN19</f>
        <v/>
      </c>
      <c r="AO19">
        <f>AN19+'Grid_Incoming'!AO19-'Grid_Requirement'!AO19</f>
        <v/>
      </c>
      <c r="AP19">
        <f>AO19+'Grid_Incoming'!AP19-'Grid_Requirement'!AP19</f>
        <v/>
      </c>
      <c r="AQ19">
        <f>AP19+'Grid_Incoming'!AQ19-'Grid_Requirement'!AQ19</f>
        <v/>
      </c>
      <c r="AR19">
        <f>AQ19+'Grid_Incoming'!AR19-'Grid_Requirement'!AR19</f>
        <v/>
      </c>
      <c r="AS19">
        <f>AR19+'Grid_Incoming'!AS19-'Grid_Requirement'!AS19</f>
        <v/>
      </c>
      <c r="AT19">
        <f>AS19+'Grid_Incoming'!AT19-'Grid_Requirement'!AT19</f>
        <v/>
      </c>
      <c r="AU19">
        <f>AT19+'Grid_Incoming'!AU19-'Grid_Requirement'!AU19</f>
        <v/>
      </c>
      <c r="AV19">
        <f>AU19+'Grid_Incoming'!AV19-'Grid_Requirement'!AV19</f>
        <v/>
      </c>
      <c r="AW19">
        <f>AV19+'Grid_Incoming'!AW19-'Grid_Requirement'!AW19</f>
        <v/>
      </c>
      <c r="AX19">
        <f>AW19+'Grid_Incoming'!AX19-'Grid_Requirement'!AX19</f>
        <v/>
      </c>
      <c r="AY19">
        <f>AX19+'Grid_Incoming'!AY19-'Grid_Requirement'!AY19</f>
        <v/>
      </c>
      <c r="AZ19">
        <f>AY19+'Grid_Incoming'!AZ19-'Grid_Requirement'!AZ19</f>
        <v/>
      </c>
      <c r="BA19">
        <f>AZ19+'Grid_Incoming'!BA19-'Grid_Requirement'!BA19</f>
        <v/>
      </c>
      <c r="BB19">
        <f>BA19+'Grid_Incoming'!BB19-'Grid_Requirement'!BB19</f>
        <v/>
      </c>
      <c r="BC19">
        <f>BB19+'Grid_Incoming'!BC19-'Grid_Requirement'!BC19</f>
        <v/>
      </c>
      <c r="BD19">
        <f>BC19+'Grid_Incoming'!BD19-'Grid_Requirement'!BD19</f>
        <v/>
      </c>
      <c r="BE19">
        <f>BD19+'Grid_Incoming'!BE19-'Grid_Requirement'!BE19</f>
        <v/>
      </c>
      <c r="BF19">
        <f>BE19+'Grid_Incoming'!BF19-'Grid_Requirement'!BF19</f>
        <v/>
      </c>
      <c r="BG19">
        <f>BF19+'Grid_Incoming'!BG19-'Grid_Requirement'!BG19</f>
        <v/>
      </c>
      <c r="BH19">
        <f>BG19+'Grid_Incoming'!BH19-'Grid_Requirement'!BH19</f>
        <v/>
      </c>
      <c r="BI19">
        <f>BH19+'Grid_Incoming'!BI19-'Grid_Requirement'!BI19</f>
        <v/>
      </c>
      <c r="BJ19">
        <f>BI19+'Grid_Incoming'!BJ19-'Grid_Requirement'!BJ19</f>
        <v/>
      </c>
      <c r="BK19">
        <f>BJ19+'Grid_Incoming'!BK19-'Grid_Requirement'!BK19</f>
        <v/>
      </c>
      <c r="BL19">
        <f>BK19+'Grid_Incoming'!BL19-'Grid_Requirement'!BL19</f>
        <v/>
      </c>
      <c r="BM19">
        <f>BL19+'Grid_Incoming'!BM19-'Grid_Requirement'!BM19</f>
        <v/>
      </c>
      <c r="BN19">
        <f>BM19+'Grid_Incoming'!BN19-'Grid_Requirement'!BN19</f>
        <v/>
      </c>
      <c r="BO19">
        <f>BN19+'Grid_Incoming'!BO19-'Grid_Requirement'!BO19</f>
        <v/>
      </c>
      <c r="BP19">
        <f>BO19+'Grid_Incoming'!BP19-'Grid_Requirement'!BP19</f>
        <v/>
      </c>
      <c r="BQ19">
        <f>BP19+'Grid_Incoming'!BQ19-'Grid_Requirement'!BQ19</f>
        <v/>
      </c>
      <c r="BR19">
        <f>BQ19+'Grid_Incoming'!BR19-'Grid_Requirement'!BR19</f>
        <v/>
      </c>
      <c r="BS19">
        <f>BR19+'Grid_Incoming'!BS19-'Grid_Requirement'!BS19</f>
        <v/>
      </c>
      <c r="BT19">
        <f>BS19+'Grid_Incoming'!BT19-'Grid_Requirement'!BT19</f>
        <v/>
      </c>
      <c r="BU19">
        <f>BT19+'Grid_Incoming'!BU19-'Grid_Requirement'!BU19</f>
        <v/>
      </c>
      <c r="BV19">
        <f>BU19+'Grid_Incoming'!BV19-'Grid_Requirement'!BV19</f>
        <v/>
      </c>
      <c r="BW19">
        <f>BV19+'Grid_Incoming'!BW19-'Grid_Requirement'!BW19</f>
        <v/>
      </c>
      <c r="BX19">
        <f>BW19+'Grid_Incoming'!BX19-'Grid_Requirement'!BX19</f>
        <v/>
      </c>
      <c r="BY19">
        <f>BX19+'Grid_Incoming'!BY19-'Grid_Requirement'!BY19</f>
        <v/>
      </c>
      <c r="BZ19">
        <f>BY19+'Grid_Incoming'!BZ19-'Grid_Requirement'!BZ19</f>
        <v/>
      </c>
      <c r="CA19">
        <f>BZ19+'Grid_Incoming'!CA19-'Grid_Requirement'!CA19</f>
        <v/>
      </c>
      <c r="CB19">
        <f>CA19+'Grid_Incoming'!CB19-'Grid_Requirement'!CB19</f>
        <v/>
      </c>
      <c r="CC19">
        <f>CB19+'Grid_Incoming'!CC19-'Grid_Requirement'!CC19</f>
        <v/>
      </c>
      <c r="CD19">
        <f>CC19+'Grid_Incoming'!CD19-'Grid_Requirement'!CD19</f>
        <v/>
      </c>
      <c r="CE19">
        <f>CD19+'Grid_Incoming'!CE19-'Grid_Requirement'!CE19</f>
        <v/>
      </c>
      <c r="CF19">
        <f>CE19+'Grid_Incoming'!CF19-'Grid_Requirement'!CF19</f>
        <v/>
      </c>
      <c r="CG19">
        <f>CF19+'Grid_Incoming'!CG19-'Grid_Requirement'!CG19</f>
        <v/>
      </c>
      <c r="CH19">
        <f>CG19+'Grid_Incoming'!CH19-'Grid_Requirement'!CH19</f>
        <v/>
      </c>
      <c r="CI19">
        <f>CH19+'Grid_Incoming'!CI19-'Grid_Requirement'!CI19</f>
        <v/>
      </c>
      <c r="CJ19">
        <f>CI19+'Grid_Incoming'!CJ19-'Grid_Requirement'!CJ19</f>
        <v/>
      </c>
      <c r="CK19">
        <f>CJ19+'Grid_Incoming'!CK19-'Grid_Requirement'!CK19</f>
        <v/>
      </c>
      <c r="CL19">
        <f>CK19+'Grid_Incoming'!CL19-'Grid_Requirement'!CL19</f>
        <v/>
      </c>
      <c r="CM19">
        <f>CL19+'Grid_Incoming'!CM19-'Grid_Requirement'!CM19</f>
        <v/>
      </c>
      <c r="CN19">
        <f>CM19+'Grid_Incoming'!CN19-'Grid_Requirement'!CN19</f>
        <v/>
      </c>
      <c r="CO19">
        <f>CN19+'Grid_Incoming'!CO19-'Grid_Requirement'!CO19</f>
        <v/>
      </c>
      <c r="CP19">
        <f>CO19+'Grid_Incoming'!CP19-'Grid_Requirement'!CP19</f>
        <v/>
      </c>
      <c r="CQ19">
        <f>CP19+'Grid_Incoming'!CQ19-'Grid_Requirement'!CQ19</f>
        <v/>
      </c>
      <c r="CR19">
        <f>CQ19+'Grid_Incoming'!CR19-'Grid_Requirement'!CR19</f>
        <v/>
      </c>
      <c r="CS19">
        <f>CR19+'Grid_Incoming'!CS19-'Grid_Requirement'!CS19</f>
        <v/>
      </c>
      <c r="CT19">
        <f>CS19+'Grid_Incoming'!CT19-'Grid_Requirement'!CT19</f>
        <v/>
      </c>
      <c r="CU19">
        <f>CT19+'Grid_Incoming'!CU19-'Grid_Requirement'!CU19</f>
        <v/>
      </c>
      <c r="CV19">
        <f>CU19+'Grid_Incoming'!CV19-'Grid_Requirement'!CV19</f>
        <v/>
      </c>
      <c r="CW19">
        <f>CV19+'Grid_Incoming'!CW19-'Grid_Requirement'!CW19</f>
        <v/>
      </c>
      <c r="CX19">
        <f>CW19+'Grid_Incoming'!CX19-'Grid_Requirement'!CX19</f>
        <v/>
      </c>
      <c r="CY19">
        <f>CX19+'Grid_Incoming'!CY19-'Grid_Requirement'!CY19</f>
        <v/>
      </c>
      <c r="CZ19">
        <f>CY19+'Grid_Incoming'!CZ19-'Grid_Requirement'!CZ19</f>
        <v/>
      </c>
      <c r="DA19">
        <f>CZ19+'Grid_Incoming'!DA19-'Grid_Requirement'!DA19</f>
        <v/>
      </c>
    </row>
    <row r="20">
      <c r="A20" t="inlineStr">
        <is>
          <t>73K</t>
        </is>
      </c>
      <c r="B20">
        <f>IFERROR(INDEX(T_OpeningStock[Opening_Qty],MATCH($A20,T_OpeningStock[Part Name],0)),0)+'Grid_Incoming'!B20-'Grid_Requirement'!B20</f>
        <v/>
      </c>
      <c r="C20">
        <f>B20+'Grid_Incoming'!C20-'Grid_Requirement'!C20</f>
        <v/>
      </c>
      <c r="D20">
        <f>C20+'Grid_Incoming'!D20-'Grid_Requirement'!D20</f>
        <v/>
      </c>
      <c r="E20">
        <f>D20+'Grid_Incoming'!E20-'Grid_Requirement'!E20</f>
        <v/>
      </c>
      <c r="F20">
        <f>E20+'Grid_Incoming'!F20-'Grid_Requirement'!F20</f>
        <v/>
      </c>
      <c r="G20">
        <f>F20+'Grid_Incoming'!G20-'Grid_Requirement'!G20</f>
        <v/>
      </c>
      <c r="H20">
        <f>G20+'Grid_Incoming'!H20-'Grid_Requirement'!H20</f>
        <v/>
      </c>
      <c r="I20">
        <f>H20+'Grid_Incoming'!I20-'Grid_Requirement'!I20</f>
        <v/>
      </c>
      <c r="J20">
        <f>I20+'Grid_Incoming'!J20-'Grid_Requirement'!J20</f>
        <v/>
      </c>
      <c r="K20">
        <f>J20+'Grid_Incoming'!K20-'Grid_Requirement'!K20</f>
        <v/>
      </c>
      <c r="L20">
        <f>K20+'Grid_Incoming'!L20-'Grid_Requirement'!L20</f>
        <v/>
      </c>
      <c r="M20">
        <f>L20+'Grid_Incoming'!M20-'Grid_Requirement'!M20</f>
        <v/>
      </c>
      <c r="N20">
        <f>M20+'Grid_Incoming'!N20-'Grid_Requirement'!N20</f>
        <v/>
      </c>
      <c r="O20">
        <f>N20+'Grid_Incoming'!O20-'Grid_Requirement'!O20</f>
        <v/>
      </c>
      <c r="P20">
        <f>O20+'Grid_Incoming'!P20-'Grid_Requirement'!P20</f>
        <v/>
      </c>
      <c r="Q20">
        <f>P20+'Grid_Incoming'!Q20-'Grid_Requirement'!Q20</f>
        <v/>
      </c>
      <c r="R20">
        <f>Q20+'Grid_Incoming'!R20-'Grid_Requirement'!R20</f>
        <v/>
      </c>
      <c r="S20">
        <f>R20+'Grid_Incoming'!S20-'Grid_Requirement'!S20</f>
        <v/>
      </c>
      <c r="T20">
        <f>S20+'Grid_Incoming'!T20-'Grid_Requirement'!T20</f>
        <v/>
      </c>
      <c r="U20">
        <f>T20+'Grid_Incoming'!U20-'Grid_Requirement'!U20</f>
        <v/>
      </c>
      <c r="V20">
        <f>U20+'Grid_Incoming'!V20-'Grid_Requirement'!V20</f>
        <v/>
      </c>
      <c r="W20">
        <f>V20+'Grid_Incoming'!W20-'Grid_Requirement'!W20</f>
        <v/>
      </c>
      <c r="X20">
        <f>W20+'Grid_Incoming'!X20-'Grid_Requirement'!X20</f>
        <v/>
      </c>
      <c r="Y20">
        <f>X20+'Grid_Incoming'!Y20-'Grid_Requirement'!Y20</f>
        <v/>
      </c>
      <c r="Z20">
        <f>Y20+'Grid_Incoming'!Z20-'Grid_Requirement'!Z20</f>
        <v/>
      </c>
      <c r="AA20">
        <f>Z20+'Grid_Incoming'!AA20-'Grid_Requirement'!AA20</f>
        <v/>
      </c>
      <c r="AB20">
        <f>AA20+'Grid_Incoming'!AB20-'Grid_Requirement'!AB20</f>
        <v/>
      </c>
      <c r="AC20">
        <f>AB20+'Grid_Incoming'!AC20-'Grid_Requirement'!AC20</f>
        <v/>
      </c>
      <c r="AD20">
        <f>AC20+'Grid_Incoming'!AD20-'Grid_Requirement'!AD20</f>
        <v/>
      </c>
      <c r="AE20">
        <f>AD20+'Grid_Incoming'!AE20-'Grid_Requirement'!AE20</f>
        <v/>
      </c>
      <c r="AF20">
        <f>AE20+'Grid_Incoming'!AF20-'Grid_Requirement'!AF20</f>
        <v/>
      </c>
      <c r="AG20">
        <f>AF20+'Grid_Incoming'!AG20-'Grid_Requirement'!AG20</f>
        <v/>
      </c>
      <c r="AH20">
        <f>AG20+'Grid_Incoming'!AH20-'Grid_Requirement'!AH20</f>
        <v/>
      </c>
      <c r="AI20">
        <f>AH20+'Grid_Incoming'!AI20-'Grid_Requirement'!AI20</f>
        <v/>
      </c>
      <c r="AJ20">
        <f>AI20+'Grid_Incoming'!AJ20-'Grid_Requirement'!AJ20</f>
        <v/>
      </c>
      <c r="AK20">
        <f>AJ20+'Grid_Incoming'!AK20-'Grid_Requirement'!AK20</f>
        <v/>
      </c>
      <c r="AL20">
        <f>AK20+'Grid_Incoming'!AL20-'Grid_Requirement'!AL20</f>
        <v/>
      </c>
      <c r="AM20">
        <f>AL20+'Grid_Incoming'!AM20-'Grid_Requirement'!AM20</f>
        <v/>
      </c>
      <c r="AN20">
        <f>AM20+'Grid_Incoming'!AN20-'Grid_Requirement'!AN20</f>
        <v/>
      </c>
      <c r="AO20">
        <f>AN20+'Grid_Incoming'!AO20-'Grid_Requirement'!AO20</f>
        <v/>
      </c>
      <c r="AP20">
        <f>AO20+'Grid_Incoming'!AP20-'Grid_Requirement'!AP20</f>
        <v/>
      </c>
      <c r="AQ20">
        <f>AP20+'Grid_Incoming'!AQ20-'Grid_Requirement'!AQ20</f>
        <v/>
      </c>
      <c r="AR20">
        <f>AQ20+'Grid_Incoming'!AR20-'Grid_Requirement'!AR20</f>
        <v/>
      </c>
      <c r="AS20">
        <f>AR20+'Grid_Incoming'!AS20-'Grid_Requirement'!AS20</f>
        <v/>
      </c>
      <c r="AT20">
        <f>AS20+'Grid_Incoming'!AT20-'Grid_Requirement'!AT20</f>
        <v/>
      </c>
      <c r="AU20">
        <f>AT20+'Grid_Incoming'!AU20-'Grid_Requirement'!AU20</f>
        <v/>
      </c>
      <c r="AV20">
        <f>AU20+'Grid_Incoming'!AV20-'Grid_Requirement'!AV20</f>
        <v/>
      </c>
      <c r="AW20">
        <f>AV20+'Grid_Incoming'!AW20-'Grid_Requirement'!AW20</f>
        <v/>
      </c>
      <c r="AX20">
        <f>AW20+'Grid_Incoming'!AX20-'Grid_Requirement'!AX20</f>
        <v/>
      </c>
      <c r="AY20">
        <f>AX20+'Grid_Incoming'!AY20-'Grid_Requirement'!AY20</f>
        <v/>
      </c>
      <c r="AZ20">
        <f>AY20+'Grid_Incoming'!AZ20-'Grid_Requirement'!AZ20</f>
        <v/>
      </c>
      <c r="BA20">
        <f>AZ20+'Grid_Incoming'!BA20-'Grid_Requirement'!BA20</f>
        <v/>
      </c>
      <c r="BB20">
        <f>BA20+'Grid_Incoming'!BB20-'Grid_Requirement'!BB20</f>
        <v/>
      </c>
      <c r="BC20">
        <f>BB20+'Grid_Incoming'!BC20-'Grid_Requirement'!BC20</f>
        <v/>
      </c>
      <c r="BD20">
        <f>BC20+'Grid_Incoming'!BD20-'Grid_Requirement'!BD20</f>
        <v/>
      </c>
      <c r="BE20">
        <f>BD20+'Grid_Incoming'!BE20-'Grid_Requirement'!BE20</f>
        <v/>
      </c>
      <c r="BF20">
        <f>BE20+'Grid_Incoming'!BF20-'Grid_Requirement'!BF20</f>
        <v/>
      </c>
      <c r="BG20">
        <f>BF20+'Grid_Incoming'!BG20-'Grid_Requirement'!BG20</f>
        <v/>
      </c>
      <c r="BH20">
        <f>BG20+'Grid_Incoming'!BH20-'Grid_Requirement'!BH20</f>
        <v/>
      </c>
      <c r="BI20">
        <f>BH20+'Grid_Incoming'!BI20-'Grid_Requirement'!BI20</f>
        <v/>
      </c>
      <c r="BJ20">
        <f>BI20+'Grid_Incoming'!BJ20-'Grid_Requirement'!BJ20</f>
        <v/>
      </c>
      <c r="BK20">
        <f>BJ20+'Grid_Incoming'!BK20-'Grid_Requirement'!BK20</f>
        <v/>
      </c>
      <c r="BL20">
        <f>BK20+'Grid_Incoming'!BL20-'Grid_Requirement'!BL20</f>
        <v/>
      </c>
      <c r="BM20">
        <f>BL20+'Grid_Incoming'!BM20-'Grid_Requirement'!BM20</f>
        <v/>
      </c>
      <c r="BN20">
        <f>BM20+'Grid_Incoming'!BN20-'Grid_Requirement'!BN20</f>
        <v/>
      </c>
      <c r="BO20">
        <f>BN20+'Grid_Incoming'!BO20-'Grid_Requirement'!BO20</f>
        <v/>
      </c>
      <c r="BP20">
        <f>BO20+'Grid_Incoming'!BP20-'Grid_Requirement'!BP20</f>
        <v/>
      </c>
      <c r="BQ20">
        <f>BP20+'Grid_Incoming'!BQ20-'Grid_Requirement'!BQ20</f>
        <v/>
      </c>
      <c r="BR20">
        <f>BQ20+'Grid_Incoming'!BR20-'Grid_Requirement'!BR20</f>
        <v/>
      </c>
      <c r="BS20">
        <f>BR20+'Grid_Incoming'!BS20-'Grid_Requirement'!BS20</f>
        <v/>
      </c>
      <c r="BT20">
        <f>BS20+'Grid_Incoming'!BT20-'Grid_Requirement'!BT20</f>
        <v/>
      </c>
      <c r="BU20">
        <f>BT20+'Grid_Incoming'!BU20-'Grid_Requirement'!BU20</f>
        <v/>
      </c>
      <c r="BV20">
        <f>BU20+'Grid_Incoming'!BV20-'Grid_Requirement'!BV20</f>
        <v/>
      </c>
      <c r="BW20">
        <f>BV20+'Grid_Incoming'!BW20-'Grid_Requirement'!BW20</f>
        <v/>
      </c>
      <c r="BX20">
        <f>BW20+'Grid_Incoming'!BX20-'Grid_Requirement'!BX20</f>
        <v/>
      </c>
      <c r="BY20">
        <f>BX20+'Grid_Incoming'!BY20-'Grid_Requirement'!BY20</f>
        <v/>
      </c>
      <c r="BZ20">
        <f>BY20+'Grid_Incoming'!BZ20-'Grid_Requirement'!BZ20</f>
        <v/>
      </c>
      <c r="CA20">
        <f>BZ20+'Grid_Incoming'!CA20-'Grid_Requirement'!CA20</f>
        <v/>
      </c>
      <c r="CB20">
        <f>CA20+'Grid_Incoming'!CB20-'Grid_Requirement'!CB20</f>
        <v/>
      </c>
      <c r="CC20">
        <f>CB20+'Grid_Incoming'!CC20-'Grid_Requirement'!CC20</f>
        <v/>
      </c>
      <c r="CD20">
        <f>CC20+'Grid_Incoming'!CD20-'Grid_Requirement'!CD20</f>
        <v/>
      </c>
      <c r="CE20">
        <f>CD20+'Grid_Incoming'!CE20-'Grid_Requirement'!CE20</f>
        <v/>
      </c>
      <c r="CF20">
        <f>CE20+'Grid_Incoming'!CF20-'Grid_Requirement'!CF20</f>
        <v/>
      </c>
      <c r="CG20">
        <f>CF20+'Grid_Incoming'!CG20-'Grid_Requirement'!CG20</f>
        <v/>
      </c>
      <c r="CH20">
        <f>CG20+'Grid_Incoming'!CH20-'Grid_Requirement'!CH20</f>
        <v/>
      </c>
      <c r="CI20">
        <f>CH20+'Grid_Incoming'!CI20-'Grid_Requirement'!CI20</f>
        <v/>
      </c>
      <c r="CJ20">
        <f>CI20+'Grid_Incoming'!CJ20-'Grid_Requirement'!CJ20</f>
        <v/>
      </c>
      <c r="CK20">
        <f>CJ20+'Grid_Incoming'!CK20-'Grid_Requirement'!CK20</f>
        <v/>
      </c>
      <c r="CL20">
        <f>CK20+'Grid_Incoming'!CL20-'Grid_Requirement'!CL20</f>
        <v/>
      </c>
      <c r="CM20">
        <f>CL20+'Grid_Incoming'!CM20-'Grid_Requirement'!CM20</f>
        <v/>
      </c>
      <c r="CN20">
        <f>CM20+'Grid_Incoming'!CN20-'Grid_Requirement'!CN20</f>
        <v/>
      </c>
      <c r="CO20">
        <f>CN20+'Grid_Incoming'!CO20-'Grid_Requirement'!CO20</f>
        <v/>
      </c>
      <c r="CP20">
        <f>CO20+'Grid_Incoming'!CP20-'Grid_Requirement'!CP20</f>
        <v/>
      </c>
      <c r="CQ20">
        <f>CP20+'Grid_Incoming'!CQ20-'Grid_Requirement'!CQ20</f>
        <v/>
      </c>
      <c r="CR20">
        <f>CQ20+'Grid_Incoming'!CR20-'Grid_Requirement'!CR20</f>
        <v/>
      </c>
      <c r="CS20">
        <f>CR20+'Grid_Incoming'!CS20-'Grid_Requirement'!CS20</f>
        <v/>
      </c>
      <c r="CT20">
        <f>CS20+'Grid_Incoming'!CT20-'Grid_Requirement'!CT20</f>
        <v/>
      </c>
      <c r="CU20">
        <f>CT20+'Grid_Incoming'!CU20-'Grid_Requirement'!CU20</f>
        <v/>
      </c>
      <c r="CV20">
        <f>CU20+'Grid_Incoming'!CV20-'Grid_Requirement'!CV20</f>
        <v/>
      </c>
      <c r="CW20">
        <f>CV20+'Grid_Incoming'!CW20-'Grid_Requirement'!CW20</f>
        <v/>
      </c>
      <c r="CX20">
        <f>CW20+'Grid_Incoming'!CX20-'Grid_Requirement'!CX20</f>
        <v/>
      </c>
      <c r="CY20">
        <f>CX20+'Grid_Incoming'!CY20-'Grid_Requirement'!CY20</f>
        <v/>
      </c>
      <c r="CZ20">
        <f>CY20+'Grid_Incoming'!CZ20-'Grid_Requirement'!CZ20</f>
        <v/>
      </c>
      <c r="DA20">
        <f>CZ20+'Grid_Incoming'!DA20-'Grid_Requirement'!DA20</f>
        <v/>
      </c>
    </row>
    <row r="21">
      <c r="A21" t="inlineStr">
        <is>
          <t>1JN</t>
        </is>
      </c>
      <c r="B21">
        <f>IFERROR(INDEX(T_OpeningStock[Opening_Qty],MATCH($A21,T_OpeningStock[Part Name],0)),0)+'Grid_Incoming'!B21-'Grid_Requirement'!B21</f>
        <v/>
      </c>
      <c r="C21">
        <f>B21+'Grid_Incoming'!C21-'Grid_Requirement'!C21</f>
        <v/>
      </c>
      <c r="D21">
        <f>C21+'Grid_Incoming'!D21-'Grid_Requirement'!D21</f>
        <v/>
      </c>
      <c r="E21">
        <f>D21+'Grid_Incoming'!E21-'Grid_Requirement'!E21</f>
        <v/>
      </c>
      <c r="F21">
        <f>E21+'Grid_Incoming'!F21-'Grid_Requirement'!F21</f>
        <v/>
      </c>
      <c r="G21">
        <f>F21+'Grid_Incoming'!G21-'Grid_Requirement'!G21</f>
        <v/>
      </c>
      <c r="H21">
        <f>G21+'Grid_Incoming'!H21-'Grid_Requirement'!H21</f>
        <v/>
      </c>
      <c r="I21">
        <f>H21+'Grid_Incoming'!I21-'Grid_Requirement'!I21</f>
        <v/>
      </c>
      <c r="J21">
        <f>I21+'Grid_Incoming'!J21-'Grid_Requirement'!J21</f>
        <v/>
      </c>
      <c r="K21">
        <f>J21+'Grid_Incoming'!K21-'Grid_Requirement'!K21</f>
        <v/>
      </c>
      <c r="L21">
        <f>K21+'Grid_Incoming'!L21-'Grid_Requirement'!L21</f>
        <v/>
      </c>
      <c r="M21">
        <f>L21+'Grid_Incoming'!M21-'Grid_Requirement'!M21</f>
        <v/>
      </c>
      <c r="N21">
        <f>M21+'Grid_Incoming'!N21-'Grid_Requirement'!N21</f>
        <v/>
      </c>
      <c r="O21">
        <f>N21+'Grid_Incoming'!O21-'Grid_Requirement'!O21</f>
        <v/>
      </c>
      <c r="P21">
        <f>O21+'Grid_Incoming'!P21-'Grid_Requirement'!P21</f>
        <v/>
      </c>
      <c r="Q21">
        <f>P21+'Grid_Incoming'!Q21-'Grid_Requirement'!Q21</f>
        <v/>
      </c>
      <c r="R21">
        <f>Q21+'Grid_Incoming'!R21-'Grid_Requirement'!R21</f>
        <v/>
      </c>
      <c r="S21">
        <f>R21+'Grid_Incoming'!S21-'Grid_Requirement'!S21</f>
        <v/>
      </c>
      <c r="T21">
        <f>S21+'Grid_Incoming'!T21-'Grid_Requirement'!T21</f>
        <v/>
      </c>
      <c r="U21">
        <f>T21+'Grid_Incoming'!U21-'Grid_Requirement'!U21</f>
        <v/>
      </c>
      <c r="V21">
        <f>U21+'Grid_Incoming'!V21-'Grid_Requirement'!V21</f>
        <v/>
      </c>
      <c r="W21">
        <f>V21+'Grid_Incoming'!W21-'Grid_Requirement'!W21</f>
        <v/>
      </c>
      <c r="X21">
        <f>W21+'Grid_Incoming'!X21-'Grid_Requirement'!X21</f>
        <v/>
      </c>
      <c r="Y21">
        <f>X21+'Grid_Incoming'!Y21-'Grid_Requirement'!Y21</f>
        <v/>
      </c>
      <c r="Z21">
        <f>Y21+'Grid_Incoming'!Z21-'Grid_Requirement'!Z21</f>
        <v/>
      </c>
      <c r="AA21">
        <f>Z21+'Grid_Incoming'!AA21-'Grid_Requirement'!AA21</f>
        <v/>
      </c>
      <c r="AB21">
        <f>AA21+'Grid_Incoming'!AB21-'Grid_Requirement'!AB21</f>
        <v/>
      </c>
      <c r="AC21">
        <f>AB21+'Grid_Incoming'!AC21-'Grid_Requirement'!AC21</f>
        <v/>
      </c>
      <c r="AD21">
        <f>AC21+'Grid_Incoming'!AD21-'Grid_Requirement'!AD21</f>
        <v/>
      </c>
      <c r="AE21">
        <f>AD21+'Grid_Incoming'!AE21-'Grid_Requirement'!AE21</f>
        <v/>
      </c>
      <c r="AF21">
        <f>AE21+'Grid_Incoming'!AF21-'Grid_Requirement'!AF21</f>
        <v/>
      </c>
      <c r="AG21">
        <f>AF21+'Grid_Incoming'!AG21-'Grid_Requirement'!AG21</f>
        <v/>
      </c>
      <c r="AH21">
        <f>AG21+'Grid_Incoming'!AH21-'Grid_Requirement'!AH21</f>
        <v/>
      </c>
      <c r="AI21">
        <f>AH21+'Grid_Incoming'!AI21-'Grid_Requirement'!AI21</f>
        <v/>
      </c>
      <c r="AJ21">
        <f>AI21+'Grid_Incoming'!AJ21-'Grid_Requirement'!AJ21</f>
        <v/>
      </c>
      <c r="AK21">
        <f>AJ21+'Grid_Incoming'!AK21-'Grid_Requirement'!AK21</f>
        <v/>
      </c>
      <c r="AL21">
        <f>AK21+'Grid_Incoming'!AL21-'Grid_Requirement'!AL21</f>
        <v/>
      </c>
      <c r="AM21">
        <f>AL21+'Grid_Incoming'!AM21-'Grid_Requirement'!AM21</f>
        <v/>
      </c>
      <c r="AN21">
        <f>AM21+'Grid_Incoming'!AN21-'Grid_Requirement'!AN21</f>
        <v/>
      </c>
      <c r="AO21">
        <f>AN21+'Grid_Incoming'!AO21-'Grid_Requirement'!AO21</f>
        <v/>
      </c>
      <c r="AP21">
        <f>AO21+'Grid_Incoming'!AP21-'Grid_Requirement'!AP21</f>
        <v/>
      </c>
      <c r="AQ21">
        <f>AP21+'Grid_Incoming'!AQ21-'Grid_Requirement'!AQ21</f>
        <v/>
      </c>
      <c r="AR21">
        <f>AQ21+'Grid_Incoming'!AR21-'Grid_Requirement'!AR21</f>
        <v/>
      </c>
      <c r="AS21">
        <f>AR21+'Grid_Incoming'!AS21-'Grid_Requirement'!AS21</f>
        <v/>
      </c>
      <c r="AT21">
        <f>AS21+'Grid_Incoming'!AT21-'Grid_Requirement'!AT21</f>
        <v/>
      </c>
      <c r="AU21">
        <f>AT21+'Grid_Incoming'!AU21-'Grid_Requirement'!AU21</f>
        <v/>
      </c>
      <c r="AV21">
        <f>AU21+'Grid_Incoming'!AV21-'Grid_Requirement'!AV21</f>
        <v/>
      </c>
      <c r="AW21">
        <f>AV21+'Grid_Incoming'!AW21-'Grid_Requirement'!AW21</f>
        <v/>
      </c>
      <c r="AX21">
        <f>AW21+'Grid_Incoming'!AX21-'Grid_Requirement'!AX21</f>
        <v/>
      </c>
      <c r="AY21">
        <f>AX21+'Grid_Incoming'!AY21-'Grid_Requirement'!AY21</f>
        <v/>
      </c>
      <c r="AZ21">
        <f>AY21+'Grid_Incoming'!AZ21-'Grid_Requirement'!AZ21</f>
        <v/>
      </c>
      <c r="BA21">
        <f>AZ21+'Grid_Incoming'!BA21-'Grid_Requirement'!BA21</f>
        <v/>
      </c>
      <c r="BB21">
        <f>BA21+'Grid_Incoming'!BB21-'Grid_Requirement'!BB21</f>
        <v/>
      </c>
      <c r="BC21">
        <f>BB21+'Grid_Incoming'!BC21-'Grid_Requirement'!BC21</f>
        <v/>
      </c>
      <c r="BD21">
        <f>BC21+'Grid_Incoming'!BD21-'Grid_Requirement'!BD21</f>
        <v/>
      </c>
      <c r="BE21">
        <f>BD21+'Grid_Incoming'!BE21-'Grid_Requirement'!BE21</f>
        <v/>
      </c>
      <c r="BF21">
        <f>BE21+'Grid_Incoming'!BF21-'Grid_Requirement'!BF21</f>
        <v/>
      </c>
      <c r="BG21">
        <f>BF21+'Grid_Incoming'!BG21-'Grid_Requirement'!BG21</f>
        <v/>
      </c>
      <c r="BH21">
        <f>BG21+'Grid_Incoming'!BH21-'Grid_Requirement'!BH21</f>
        <v/>
      </c>
      <c r="BI21">
        <f>BH21+'Grid_Incoming'!BI21-'Grid_Requirement'!BI21</f>
        <v/>
      </c>
      <c r="BJ21">
        <f>BI21+'Grid_Incoming'!BJ21-'Grid_Requirement'!BJ21</f>
        <v/>
      </c>
      <c r="BK21">
        <f>BJ21+'Grid_Incoming'!BK21-'Grid_Requirement'!BK21</f>
        <v/>
      </c>
      <c r="BL21">
        <f>BK21+'Grid_Incoming'!BL21-'Grid_Requirement'!BL21</f>
        <v/>
      </c>
      <c r="BM21">
        <f>BL21+'Grid_Incoming'!BM21-'Grid_Requirement'!BM21</f>
        <v/>
      </c>
      <c r="BN21">
        <f>BM21+'Grid_Incoming'!BN21-'Grid_Requirement'!BN21</f>
        <v/>
      </c>
      <c r="BO21">
        <f>BN21+'Grid_Incoming'!BO21-'Grid_Requirement'!BO21</f>
        <v/>
      </c>
      <c r="BP21">
        <f>BO21+'Grid_Incoming'!BP21-'Grid_Requirement'!BP21</f>
        <v/>
      </c>
      <c r="BQ21">
        <f>BP21+'Grid_Incoming'!BQ21-'Grid_Requirement'!BQ21</f>
        <v/>
      </c>
      <c r="BR21">
        <f>BQ21+'Grid_Incoming'!BR21-'Grid_Requirement'!BR21</f>
        <v/>
      </c>
      <c r="BS21">
        <f>BR21+'Grid_Incoming'!BS21-'Grid_Requirement'!BS21</f>
        <v/>
      </c>
      <c r="BT21">
        <f>BS21+'Grid_Incoming'!BT21-'Grid_Requirement'!BT21</f>
        <v/>
      </c>
      <c r="BU21">
        <f>BT21+'Grid_Incoming'!BU21-'Grid_Requirement'!BU21</f>
        <v/>
      </c>
      <c r="BV21">
        <f>BU21+'Grid_Incoming'!BV21-'Grid_Requirement'!BV21</f>
        <v/>
      </c>
      <c r="BW21">
        <f>BV21+'Grid_Incoming'!BW21-'Grid_Requirement'!BW21</f>
        <v/>
      </c>
      <c r="BX21">
        <f>BW21+'Grid_Incoming'!BX21-'Grid_Requirement'!BX21</f>
        <v/>
      </c>
      <c r="BY21">
        <f>BX21+'Grid_Incoming'!BY21-'Grid_Requirement'!BY21</f>
        <v/>
      </c>
      <c r="BZ21">
        <f>BY21+'Grid_Incoming'!BZ21-'Grid_Requirement'!BZ21</f>
        <v/>
      </c>
      <c r="CA21">
        <f>BZ21+'Grid_Incoming'!CA21-'Grid_Requirement'!CA21</f>
        <v/>
      </c>
      <c r="CB21">
        <f>CA21+'Grid_Incoming'!CB21-'Grid_Requirement'!CB21</f>
        <v/>
      </c>
      <c r="CC21">
        <f>CB21+'Grid_Incoming'!CC21-'Grid_Requirement'!CC21</f>
        <v/>
      </c>
      <c r="CD21">
        <f>CC21+'Grid_Incoming'!CD21-'Grid_Requirement'!CD21</f>
        <v/>
      </c>
      <c r="CE21">
        <f>CD21+'Grid_Incoming'!CE21-'Grid_Requirement'!CE21</f>
        <v/>
      </c>
      <c r="CF21">
        <f>CE21+'Grid_Incoming'!CF21-'Grid_Requirement'!CF21</f>
        <v/>
      </c>
      <c r="CG21">
        <f>CF21+'Grid_Incoming'!CG21-'Grid_Requirement'!CG21</f>
        <v/>
      </c>
      <c r="CH21">
        <f>CG21+'Grid_Incoming'!CH21-'Grid_Requirement'!CH21</f>
        <v/>
      </c>
      <c r="CI21">
        <f>CH21+'Grid_Incoming'!CI21-'Grid_Requirement'!CI21</f>
        <v/>
      </c>
      <c r="CJ21">
        <f>CI21+'Grid_Incoming'!CJ21-'Grid_Requirement'!CJ21</f>
        <v/>
      </c>
      <c r="CK21">
        <f>CJ21+'Grid_Incoming'!CK21-'Grid_Requirement'!CK21</f>
        <v/>
      </c>
      <c r="CL21">
        <f>CK21+'Grid_Incoming'!CL21-'Grid_Requirement'!CL21</f>
        <v/>
      </c>
      <c r="CM21">
        <f>CL21+'Grid_Incoming'!CM21-'Grid_Requirement'!CM21</f>
        <v/>
      </c>
      <c r="CN21">
        <f>CM21+'Grid_Incoming'!CN21-'Grid_Requirement'!CN21</f>
        <v/>
      </c>
      <c r="CO21">
        <f>CN21+'Grid_Incoming'!CO21-'Grid_Requirement'!CO21</f>
        <v/>
      </c>
      <c r="CP21">
        <f>CO21+'Grid_Incoming'!CP21-'Grid_Requirement'!CP21</f>
        <v/>
      </c>
      <c r="CQ21">
        <f>CP21+'Grid_Incoming'!CQ21-'Grid_Requirement'!CQ21</f>
        <v/>
      </c>
      <c r="CR21">
        <f>CQ21+'Grid_Incoming'!CR21-'Grid_Requirement'!CR21</f>
        <v/>
      </c>
      <c r="CS21">
        <f>CR21+'Grid_Incoming'!CS21-'Grid_Requirement'!CS21</f>
        <v/>
      </c>
      <c r="CT21">
        <f>CS21+'Grid_Incoming'!CT21-'Grid_Requirement'!CT21</f>
        <v/>
      </c>
      <c r="CU21">
        <f>CT21+'Grid_Incoming'!CU21-'Grid_Requirement'!CU21</f>
        <v/>
      </c>
      <c r="CV21">
        <f>CU21+'Grid_Incoming'!CV21-'Grid_Requirement'!CV21</f>
        <v/>
      </c>
      <c r="CW21">
        <f>CV21+'Grid_Incoming'!CW21-'Grid_Requirement'!CW21</f>
        <v/>
      </c>
      <c r="CX21">
        <f>CW21+'Grid_Incoming'!CX21-'Grid_Requirement'!CX21</f>
        <v/>
      </c>
      <c r="CY21">
        <f>CX21+'Grid_Incoming'!CY21-'Grid_Requirement'!CY21</f>
        <v/>
      </c>
      <c r="CZ21">
        <f>CY21+'Grid_Incoming'!CZ21-'Grid_Requirement'!CZ21</f>
        <v/>
      </c>
      <c r="DA21">
        <f>CZ21+'Grid_Incoming'!DA21-'Grid_Requirement'!DA21</f>
        <v/>
      </c>
    </row>
    <row r="22">
      <c r="A22" t="inlineStr">
        <is>
          <t>CHEM-1670</t>
        </is>
      </c>
      <c r="B22">
        <f>IFERROR(INDEX(T_OpeningStock[Opening_Qty],MATCH($A22,T_OpeningStock[Part Name],0)),0)+'Grid_Incoming'!B22-'Grid_Requirement'!B22</f>
        <v/>
      </c>
      <c r="C22">
        <f>B22+'Grid_Incoming'!C22-'Grid_Requirement'!C22</f>
        <v/>
      </c>
      <c r="D22">
        <f>C22+'Grid_Incoming'!D22-'Grid_Requirement'!D22</f>
        <v/>
      </c>
      <c r="E22">
        <f>D22+'Grid_Incoming'!E22-'Grid_Requirement'!E22</f>
        <v/>
      </c>
      <c r="F22">
        <f>E22+'Grid_Incoming'!F22-'Grid_Requirement'!F22</f>
        <v/>
      </c>
      <c r="G22">
        <f>F22+'Grid_Incoming'!G22-'Grid_Requirement'!G22</f>
        <v/>
      </c>
      <c r="H22">
        <f>G22+'Grid_Incoming'!H22-'Grid_Requirement'!H22</f>
        <v/>
      </c>
      <c r="I22">
        <f>H22+'Grid_Incoming'!I22-'Grid_Requirement'!I22</f>
        <v/>
      </c>
      <c r="J22">
        <f>I22+'Grid_Incoming'!J22-'Grid_Requirement'!J22</f>
        <v/>
      </c>
      <c r="K22">
        <f>J22+'Grid_Incoming'!K22-'Grid_Requirement'!K22</f>
        <v/>
      </c>
      <c r="L22">
        <f>K22+'Grid_Incoming'!L22-'Grid_Requirement'!L22</f>
        <v/>
      </c>
      <c r="M22">
        <f>L22+'Grid_Incoming'!M22-'Grid_Requirement'!M22</f>
        <v/>
      </c>
      <c r="N22">
        <f>M22+'Grid_Incoming'!N22-'Grid_Requirement'!N22</f>
        <v/>
      </c>
      <c r="O22">
        <f>N22+'Grid_Incoming'!O22-'Grid_Requirement'!O22</f>
        <v/>
      </c>
      <c r="P22">
        <f>O22+'Grid_Incoming'!P22-'Grid_Requirement'!P22</f>
        <v/>
      </c>
      <c r="Q22">
        <f>P22+'Grid_Incoming'!Q22-'Grid_Requirement'!Q22</f>
        <v/>
      </c>
      <c r="R22">
        <f>Q22+'Grid_Incoming'!R22-'Grid_Requirement'!R22</f>
        <v/>
      </c>
      <c r="S22">
        <f>R22+'Grid_Incoming'!S22-'Grid_Requirement'!S22</f>
        <v/>
      </c>
      <c r="T22">
        <f>S22+'Grid_Incoming'!T22-'Grid_Requirement'!T22</f>
        <v/>
      </c>
      <c r="U22">
        <f>T22+'Grid_Incoming'!U22-'Grid_Requirement'!U22</f>
        <v/>
      </c>
      <c r="V22">
        <f>U22+'Grid_Incoming'!V22-'Grid_Requirement'!V22</f>
        <v/>
      </c>
      <c r="W22">
        <f>V22+'Grid_Incoming'!W22-'Grid_Requirement'!W22</f>
        <v/>
      </c>
      <c r="X22">
        <f>W22+'Grid_Incoming'!X22-'Grid_Requirement'!X22</f>
        <v/>
      </c>
      <c r="Y22">
        <f>X22+'Grid_Incoming'!Y22-'Grid_Requirement'!Y22</f>
        <v/>
      </c>
      <c r="Z22">
        <f>Y22+'Grid_Incoming'!Z22-'Grid_Requirement'!Z22</f>
        <v/>
      </c>
      <c r="AA22">
        <f>Z22+'Grid_Incoming'!AA22-'Grid_Requirement'!AA22</f>
        <v/>
      </c>
      <c r="AB22">
        <f>AA22+'Grid_Incoming'!AB22-'Grid_Requirement'!AB22</f>
        <v/>
      </c>
      <c r="AC22">
        <f>AB22+'Grid_Incoming'!AC22-'Grid_Requirement'!AC22</f>
        <v/>
      </c>
      <c r="AD22">
        <f>AC22+'Grid_Incoming'!AD22-'Grid_Requirement'!AD22</f>
        <v/>
      </c>
      <c r="AE22">
        <f>AD22+'Grid_Incoming'!AE22-'Grid_Requirement'!AE22</f>
        <v/>
      </c>
      <c r="AF22">
        <f>AE22+'Grid_Incoming'!AF22-'Grid_Requirement'!AF22</f>
        <v/>
      </c>
      <c r="AG22">
        <f>AF22+'Grid_Incoming'!AG22-'Grid_Requirement'!AG22</f>
        <v/>
      </c>
      <c r="AH22">
        <f>AG22+'Grid_Incoming'!AH22-'Grid_Requirement'!AH22</f>
        <v/>
      </c>
      <c r="AI22">
        <f>AH22+'Grid_Incoming'!AI22-'Grid_Requirement'!AI22</f>
        <v/>
      </c>
      <c r="AJ22">
        <f>AI22+'Grid_Incoming'!AJ22-'Grid_Requirement'!AJ22</f>
        <v/>
      </c>
      <c r="AK22">
        <f>AJ22+'Grid_Incoming'!AK22-'Grid_Requirement'!AK22</f>
        <v/>
      </c>
      <c r="AL22">
        <f>AK22+'Grid_Incoming'!AL22-'Grid_Requirement'!AL22</f>
        <v/>
      </c>
      <c r="AM22">
        <f>AL22+'Grid_Incoming'!AM22-'Grid_Requirement'!AM22</f>
        <v/>
      </c>
      <c r="AN22">
        <f>AM22+'Grid_Incoming'!AN22-'Grid_Requirement'!AN22</f>
        <v/>
      </c>
      <c r="AO22">
        <f>AN22+'Grid_Incoming'!AO22-'Grid_Requirement'!AO22</f>
        <v/>
      </c>
      <c r="AP22">
        <f>AO22+'Grid_Incoming'!AP22-'Grid_Requirement'!AP22</f>
        <v/>
      </c>
      <c r="AQ22">
        <f>AP22+'Grid_Incoming'!AQ22-'Grid_Requirement'!AQ22</f>
        <v/>
      </c>
      <c r="AR22">
        <f>AQ22+'Grid_Incoming'!AR22-'Grid_Requirement'!AR22</f>
        <v/>
      </c>
      <c r="AS22">
        <f>AR22+'Grid_Incoming'!AS22-'Grid_Requirement'!AS22</f>
        <v/>
      </c>
      <c r="AT22">
        <f>AS22+'Grid_Incoming'!AT22-'Grid_Requirement'!AT22</f>
        <v/>
      </c>
      <c r="AU22">
        <f>AT22+'Grid_Incoming'!AU22-'Grid_Requirement'!AU22</f>
        <v/>
      </c>
      <c r="AV22">
        <f>AU22+'Grid_Incoming'!AV22-'Grid_Requirement'!AV22</f>
        <v/>
      </c>
      <c r="AW22">
        <f>AV22+'Grid_Incoming'!AW22-'Grid_Requirement'!AW22</f>
        <v/>
      </c>
      <c r="AX22">
        <f>AW22+'Grid_Incoming'!AX22-'Grid_Requirement'!AX22</f>
        <v/>
      </c>
      <c r="AY22">
        <f>AX22+'Grid_Incoming'!AY22-'Grid_Requirement'!AY22</f>
        <v/>
      </c>
      <c r="AZ22">
        <f>AY22+'Grid_Incoming'!AZ22-'Grid_Requirement'!AZ22</f>
        <v/>
      </c>
      <c r="BA22">
        <f>AZ22+'Grid_Incoming'!BA22-'Grid_Requirement'!BA22</f>
        <v/>
      </c>
      <c r="BB22">
        <f>BA22+'Grid_Incoming'!BB22-'Grid_Requirement'!BB22</f>
        <v/>
      </c>
      <c r="BC22">
        <f>BB22+'Grid_Incoming'!BC22-'Grid_Requirement'!BC22</f>
        <v/>
      </c>
      <c r="BD22">
        <f>BC22+'Grid_Incoming'!BD22-'Grid_Requirement'!BD22</f>
        <v/>
      </c>
      <c r="BE22">
        <f>BD22+'Grid_Incoming'!BE22-'Grid_Requirement'!BE22</f>
        <v/>
      </c>
      <c r="BF22">
        <f>BE22+'Grid_Incoming'!BF22-'Grid_Requirement'!BF22</f>
        <v/>
      </c>
      <c r="BG22">
        <f>BF22+'Grid_Incoming'!BG22-'Grid_Requirement'!BG22</f>
        <v/>
      </c>
      <c r="BH22">
        <f>BG22+'Grid_Incoming'!BH22-'Grid_Requirement'!BH22</f>
        <v/>
      </c>
      <c r="BI22">
        <f>BH22+'Grid_Incoming'!BI22-'Grid_Requirement'!BI22</f>
        <v/>
      </c>
      <c r="BJ22">
        <f>BI22+'Grid_Incoming'!BJ22-'Grid_Requirement'!BJ22</f>
        <v/>
      </c>
      <c r="BK22">
        <f>BJ22+'Grid_Incoming'!BK22-'Grid_Requirement'!BK22</f>
        <v/>
      </c>
      <c r="BL22">
        <f>BK22+'Grid_Incoming'!BL22-'Grid_Requirement'!BL22</f>
        <v/>
      </c>
      <c r="BM22">
        <f>BL22+'Grid_Incoming'!BM22-'Grid_Requirement'!BM22</f>
        <v/>
      </c>
      <c r="BN22">
        <f>BM22+'Grid_Incoming'!BN22-'Grid_Requirement'!BN22</f>
        <v/>
      </c>
      <c r="BO22">
        <f>BN22+'Grid_Incoming'!BO22-'Grid_Requirement'!BO22</f>
        <v/>
      </c>
      <c r="BP22">
        <f>BO22+'Grid_Incoming'!BP22-'Grid_Requirement'!BP22</f>
        <v/>
      </c>
      <c r="BQ22">
        <f>BP22+'Grid_Incoming'!BQ22-'Grid_Requirement'!BQ22</f>
        <v/>
      </c>
      <c r="BR22">
        <f>BQ22+'Grid_Incoming'!BR22-'Grid_Requirement'!BR22</f>
        <v/>
      </c>
      <c r="BS22">
        <f>BR22+'Grid_Incoming'!BS22-'Grid_Requirement'!BS22</f>
        <v/>
      </c>
      <c r="BT22">
        <f>BS22+'Grid_Incoming'!BT22-'Grid_Requirement'!BT22</f>
        <v/>
      </c>
      <c r="BU22">
        <f>BT22+'Grid_Incoming'!BU22-'Grid_Requirement'!BU22</f>
        <v/>
      </c>
      <c r="BV22">
        <f>BU22+'Grid_Incoming'!BV22-'Grid_Requirement'!BV22</f>
        <v/>
      </c>
      <c r="BW22">
        <f>BV22+'Grid_Incoming'!BW22-'Grid_Requirement'!BW22</f>
        <v/>
      </c>
      <c r="BX22">
        <f>BW22+'Grid_Incoming'!BX22-'Grid_Requirement'!BX22</f>
        <v/>
      </c>
      <c r="BY22">
        <f>BX22+'Grid_Incoming'!BY22-'Grid_Requirement'!BY22</f>
        <v/>
      </c>
      <c r="BZ22">
        <f>BY22+'Grid_Incoming'!BZ22-'Grid_Requirement'!BZ22</f>
        <v/>
      </c>
      <c r="CA22">
        <f>BZ22+'Grid_Incoming'!CA22-'Grid_Requirement'!CA22</f>
        <v/>
      </c>
      <c r="CB22">
        <f>CA22+'Grid_Incoming'!CB22-'Grid_Requirement'!CB22</f>
        <v/>
      </c>
      <c r="CC22">
        <f>CB22+'Grid_Incoming'!CC22-'Grid_Requirement'!CC22</f>
        <v/>
      </c>
      <c r="CD22">
        <f>CC22+'Grid_Incoming'!CD22-'Grid_Requirement'!CD22</f>
        <v/>
      </c>
      <c r="CE22">
        <f>CD22+'Grid_Incoming'!CE22-'Grid_Requirement'!CE22</f>
        <v/>
      </c>
      <c r="CF22">
        <f>CE22+'Grid_Incoming'!CF22-'Grid_Requirement'!CF22</f>
        <v/>
      </c>
      <c r="CG22">
        <f>CF22+'Grid_Incoming'!CG22-'Grid_Requirement'!CG22</f>
        <v/>
      </c>
      <c r="CH22">
        <f>CG22+'Grid_Incoming'!CH22-'Grid_Requirement'!CH22</f>
        <v/>
      </c>
      <c r="CI22">
        <f>CH22+'Grid_Incoming'!CI22-'Grid_Requirement'!CI22</f>
        <v/>
      </c>
      <c r="CJ22">
        <f>CI22+'Grid_Incoming'!CJ22-'Grid_Requirement'!CJ22</f>
        <v/>
      </c>
      <c r="CK22">
        <f>CJ22+'Grid_Incoming'!CK22-'Grid_Requirement'!CK22</f>
        <v/>
      </c>
      <c r="CL22">
        <f>CK22+'Grid_Incoming'!CL22-'Grid_Requirement'!CL22</f>
        <v/>
      </c>
      <c r="CM22">
        <f>CL22+'Grid_Incoming'!CM22-'Grid_Requirement'!CM22</f>
        <v/>
      </c>
      <c r="CN22">
        <f>CM22+'Grid_Incoming'!CN22-'Grid_Requirement'!CN22</f>
        <v/>
      </c>
      <c r="CO22">
        <f>CN22+'Grid_Incoming'!CO22-'Grid_Requirement'!CO22</f>
        <v/>
      </c>
      <c r="CP22">
        <f>CO22+'Grid_Incoming'!CP22-'Grid_Requirement'!CP22</f>
        <v/>
      </c>
      <c r="CQ22">
        <f>CP22+'Grid_Incoming'!CQ22-'Grid_Requirement'!CQ22</f>
        <v/>
      </c>
      <c r="CR22">
        <f>CQ22+'Grid_Incoming'!CR22-'Grid_Requirement'!CR22</f>
        <v/>
      </c>
      <c r="CS22">
        <f>CR22+'Grid_Incoming'!CS22-'Grid_Requirement'!CS22</f>
        <v/>
      </c>
      <c r="CT22">
        <f>CS22+'Grid_Incoming'!CT22-'Grid_Requirement'!CT22</f>
        <v/>
      </c>
      <c r="CU22">
        <f>CT22+'Grid_Incoming'!CU22-'Grid_Requirement'!CU22</f>
        <v/>
      </c>
      <c r="CV22">
        <f>CU22+'Grid_Incoming'!CV22-'Grid_Requirement'!CV22</f>
        <v/>
      </c>
      <c r="CW22">
        <f>CV22+'Grid_Incoming'!CW22-'Grid_Requirement'!CW22</f>
        <v/>
      </c>
      <c r="CX22">
        <f>CW22+'Grid_Incoming'!CX22-'Grid_Requirement'!CX22</f>
        <v/>
      </c>
      <c r="CY22">
        <f>CX22+'Grid_Incoming'!CY22-'Grid_Requirement'!CY22</f>
        <v/>
      </c>
      <c r="CZ22">
        <f>CY22+'Grid_Incoming'!CZ22-'Grid_Requirement'!CZ22</f>
        <v/>
      </c>
      <c r="DA22">
        <f>CZ22+'Grid_Incoming'!DA22-'Grid_Requirement'!DA22</f>
        <v/>
      </c>
    </row>
    <row r="23">
      <c r="A23" t="inlineStr">
        <is>
          <t>CHEM-1110</t>
        </is>
      </c>
      <c r="B23">
        <f>IFERROR(INDEX(T_OpeningStock[Opening_Qty],MATCH($A23,T_OpeningStock[Part Name],0)),0)+'Grid_Incoming'!B23-'Grid_Requirement'!B23</f>
        <v/>
      </c>
      <c r="C23">
        <f>B23+'Grid_Incoming'!C23-'Grid_Requirement'!C23</f>
        <v/>
      </c>
      <c r="D23">
        <f>C23+'Grid_Incoming'!D23-'Grid_Requirement'!D23</f>
        <v/>
      </c>
      <c r="E23">
        <f>D23+'Grid_Incoming'!E23-'Grid_Requirement'!E23</f>
        <v/>
      </c>
      <c r="F23">
        <f>E23+'Grid_Incoming'!F23-'Grid_Requirement'!F23</f>
        <v/>
      </c>
      <c r="G23">
        <f>F23+'Grid_Incoming'!G23-'Grid_Requirement'!G23</f>
        <v/>
      </c>
      <c r="H23">
        <f>G23+'Grid_Incoming'!H23-'Grid_Requirement'!H23</f>
        <v/>
      </c>
      <c r="I23">
        <f>H23+'Grid_Incoming'!I23-'Grid_Requirement'!I23</f>
        <v/>
      </c>
      <c r="J23">
        <f>I23+'Grid_Incoming'!J23-'Grid_Requirement'!J23</f>
        <v/>
      </c>
      <c r="K23">
        <f>J23+'Grid_Incoming'!K23-'Grid_Requirement'!K23</f>
        <v/>
      </c>
      <c r="L23">
        <f>K23+'Grid_Incoming'!L23-'Grid_Requirement'!L23</f>
        <v/>
      </c>
      <c r="M23">
        <f>L23+'Grid_Incoming'!M23-'Grid_Requirement'!M23</f>
        <v/>
      </c>
      <c r="N23">
        <f>M23+'Grid_Incoming'!N23-'Grid_Requirement'!N23</f>
        <v/>
      </c>
      <c r="O23">
        <f>N23+'Grid_Incoming'!O23-'Grid_Requirement'!O23</f>
        <v/>
      </c>
      <c r="P23">
        <f>O23+'Grid_Incoming'!P23-'Grid_Requirement'!P23</f>
        <v/>
      </c>
      <c r="Q23">
        <f>P23+'Grid_Incoming'!Q23-'Grid_Requirement'!Q23</f>
        <v/>
      </c>
      <c r="R23">
        <f>Q23+'Grid_Incoming'!R23-'Grid_Requirement'!R23</f>
        <v/>
      </c>
      <c r="S23">
        <f>R23+'Grid_Incoming'!S23-'Grid_Requirement'!S23</f>
        <v/>
      </c>
      <c r="T23">
        <f>S23+'Grid_Incoming'!T23-'Grid_Requirement'!T23</f>
        <v/>
      </c>
      <c r="U23">
        <f>T23+'Grid_Incoming'!U23-'Grid_Requirement'!U23</f>
        <v/>
      </c>
      <c r="V23">
        <f>U23+'Grid_Incoming'!V23-'Grid_Requirement'!V23</f>
        <v/>
      </c>
      <c r="W23">
        <f>V23+'Grid_Incoming'!W23-'Grid_Requirement'!W23</f>
        <v/>
      </c>
      <c r="X23">
        <f>W23+'Grid_Incoming'!X23-'Grid_Requirement'!X23</f>
        <v/>
      </c>
      <c r="Y23">
        <f>X23+'Grid_Incoming'!Y23-'Grid_Requirement'!Y23</f>
        <v/>
      </c>
      <c r="Z23">
        <f>Y23+'Grid_Incoming'!Z23-'Grid_Requirement'!Z23</f>
        <v/>
      </c>
      <c r="AA23">
        <f>Z23+'Grid_Incoming'!AA23-'Grid_Requirement'!AA23</f>
        <v/>
      </c>
      <c r="AB23">
        <f>AA23+'Grid_Incoming'!AB23-'Grid_Requirement'!AB23</f>
        <v/>
      </c>
      <c r="AC23">
        <f>AB23+'Grid_Incoming'!AC23-'Grid_Requirement'!AC23</f>
        <v/>
      </c>
      <c r="AD23">
        <f>AC23+'Grid_Incoming'!AD23-'Grid_Requirement'!AD23</f>
        <v/>
      </c>
      <c r="AE23">
        <f>AD23+'Grid_Incoming'!AE23-'Grid_Requirement'!AE23</f>
        <v/>
      </c>
      <c r="AF23">
        <f>AE23+'Grid_Incoming'!AF23-'Grid_Requirement'!AF23</f>
        <v/>
      </c>
      <c r="AG23">
        <f>AF23+'Grid_Incoming'!AG23-'Grid_Requirement'!AG23</f>
        <v/>
      </c>
      <c r="AH23">
        <f>AG23+'Grid_Incoming'!AH23-'Grid_Requirement'!AH23</f>
        <v/>
      </c>
      <c r="AI23">
        <f>AH23+'Grid_Incoming'!AI23-'Grid_Requirement'!AI23</f>
        <v/>
      </c>
      <c r="AJ23">
        <f>AI23+'Grid_Incoming'!AJ23-'Grid_Requirement'!AJ23</f>
        <v/>
      </c>
      <c r="AK23">
        <f>AJ23+'Grid_Incoming'!AK23-'Grid_Requirement'!AK23</f>
        <v/>
      </c>
      <c r="AL23">
        <f>AK23+'Grid_Incoming'!AL23-'Grid_Requirement'!AL23</f>
        <v/>
      </c>
      <c r="AM23">
        <f>AL23+'Grid_Incoming'!AM23-'Grid_Requirement'!AM23</f>
        <v/>
      </c>
      <c r="AN23">
        <f>AM23+'Grid_Incoming'!AN23-'Grid_Requirement'!AN23</f>
        <v/>
      </c>
      <c r="AO23">
        <f>AN23+'Grid_Incoming'!AO23-'Grid_Requirement'!AO23</f>
        <v/>
      </c>
      <c r="AP23">
        <f>AO23+'Grid_Incoming'!AP23-'Grid_Requirement'!AP23</f>
        <v/>
      </c>
      <c r="AQ23">
        <f>AP23+'Grid_Incoming'!AQ23-'Grid_Requirement'!AQ23</f>
        <v/>
      </c>
      <c r="AR23">
        <f>AQ23+'Grid_Incoming'!AR23-'Grid_Requirement'!AR23</f>
        <v/>
      </c>
      <c r="AS23">
        <f>AR23+'Grid_Incoming'!AS23-'Grid_Requirement'!AS23</f>
        <v/>
      </c>
      <c r="AT23">
        <f>AS23+'Grid_Incoming'!AT23-'Grid_Requirement'!AT23</f>
        <v/>
      </c>
      <c r="AU23">
        <f>AT23+'Grid_Incoming'!AU23-'Grid_Requirement'!AU23</f>
        <v/>
      </c>
      <c r="AV23">
        <f>AU23+'Grid_Incoming'!AV23-'Grid_Requirement'!AV23</f>
        <v/>
      </c>
      <c r="AW23">
        <f>AV23+'Grid_Incoming'!AW23-'Grid_Requirement'!AW23</f>
        <v/>
      </c>
      <c r="AX23">
        <f>AW23+'Grid_Incoming'!AX23-'Grid_Requirement'!AX23</f>
        <v/>
      </c>
      <c r="AY23">
        <f>AX23+'Grid_Incoming'!AY23-'Grid_Requirement'!AY23</f>
        <v/>
      </c>
      <c r="AZ23">
        <f>AY23+'Grid_Incoming'!AZ23-'Grid_Requirement'!AZ23</f>
        <v/>
      </c>
      <c r="BA23">
        <f>AZ23+'Grid_Incoming'!BA23-'Grid_Requirement'!BA23</f>
        <v/>
      </c>
      <c r="BB23">
        <f>BA23+'Grid_Incoming'!BB23-'Grid_Requirement'!BB23</f>
        <v/>
      </c>
      <c r="BC23">
        <f>BB23+'Grid_Incoming'!BC23-'Grid_Requirement'!BC23</f>
        <v/>
      </c>
      <c r="BD23">
        <f>BC23+'Grid_Incoming'!BD23-'Grid_Requirement'!BD23</f>
        <v/>
      </c>
      <c r="BE23">
        <f>BD23+'Grid_Incoming'!BE23-'Grid_Requirement'!BE23</f>
        <v/>
      </c>
      <c r="BF23">
        <f>BE23+'Grid_Incoming'!BF23-'Grid_Requirement'!BF23</f>
        <v/>
      </c>
      <c r="BG23">
        <f>BF23+'Grid_Incoming'!BG23-'Grid_Requirement'!BG23</f>
        <v/>
      </c>
      <c r="BH23">
        <f>BG23+'Grid_Incoming'!BH23-'Grid_Requirement'!BH23</f>
        <v/>
      </c>
      <c r="BI23">
        <f>BH23+'Grid_Incoming'!BI23-'Grid_Requirement'!BI23</f>
        <v/>
      </c>
      <c r="BJ23">
        <f>BI23+'Grid_Incoming'!BJ23-'Grid_Requirement'!BJ23</f>
        <v/>
      </c>
      <c r="BK23">
        <f>BJ23+'Grid_Incoming'!BK23-'Grid_Requirement'!BK23</f>
        <v/>
      </c>
      <c r="BL23">
        <f>BK23+'Grid_Incoming'!BL23-'Grid_Requirement'!BL23</f>
        <v/>
      </c>
      <c r="BM23">
        <f>BL23+'Grid_Incoming'!BM23-'Grid_Requirement'!BM23</f>
        <v/>
      </c>
      <c r="BN23">
        <f>BM23+'Grid_Incoming'!BN23-'Grid_Requirement'!BN23</f>
        <v/>
      </c>
      <c r="BO23">
        <f>BN23+'Grid_Incoming'!BO23-'Grid_Requirement'!BO23</f>
        <v/>
      </c>
      <c r="BP23">
        <f>BO23+'Grid_Incoming'!BP23-'Grid_Requirement'!BP23</f>
        <v/>
      </c>
      <c r="BQ23">
        <f>BP23+'Grid_Incoming'!BQ23-'Grid_Requirement'!BQ23</f>
        <v/>
      </c>
      <c r="BR23">
        <f>BQ23+'Grid_Incoming'!BR23-'Grid_Requirement'!BR23</f>
        <v/>
      </c>
      <c r="BS23">
        <f>BR23+'Grid_Incoming'!BS23-'Grid_Requirement'!BS23</f>
        <v/>
      </c>
      <c r="BT23">
        <f>BS23+'Grid_Incoming'!BT23-'Grid_Requirement'!BT23</f>
        <v/>
      </c>
      <c r="BU23">
        <f>BT23+'Grid_Incoming'!BU23-'Grid_Requirement'!BU23</f>
        <v/>
      </c>
      <c r="BV23">
        <f>BU23+'Grid_Incoming'!BV23-'Grid_Requirement'!BV23</f>
        <v/>
      </c>
      <c r="BW23">
        <f>BV23+'Grid_Incoming'!BW23-'Grid_Requirement'!BW23</f>
        <v/>
      </c>
      <c r="BX23">
        <f>BW23+'Grid_Incoming'!BX23-'Grid_Requirement'!BX23</f>
        <v/>
      </c>
      <c r="BY23">
        <f>BX23+'Grid_Incoming'!BY23-'Grid_Requirement'!BY23</f>
        <v/>
      </c>
      <c r="BZ23">
        <f>BY23+'Grid_Incoming'!BZ23-'Grid_Requirement'!BZ23</f>
        <v/>
      </c>
      <c r="CA23">
        <f>BZ23+'Grid_Incoming'!CA23-'Grid_Requirement'!CA23</f>
        <v/>
      </c>
      <c r="CB23">
        <f>CA23+'Grid_Incoming'!CB23-'Grid_Requirement'!CB23</f>
        <v/>
      </c>
      <c r="CC23">
        <f>CB23+'Grid_Incoming'!CC23-'Grid_Requirement'!CC23</f>
        <v/>
      </c>
      <c r="CD23">
        <f>CC23+'Grid_Incoming'!CD23-'Grid_Requirement'!CD23</f>
        <v/>
      </c>
      <c r="CE23">
        <f>CD23+'Grid_Incoming'!CE23-'Grid_Requirement'!CE23</f>
        <v/>
      </c>
      <c r="CF23">
        <f>CE23+'Grid_Incoming'!CF23-'Grid_Requirement'!CF23</f>
        <v/>
      </c>
      <c r="CG23">
        <f>CF23+'Grid_Incoming'!CG23-'Grid_Requirement'!CG23</f>
        <v/>
      </c>
      <c r="CH23">
        <f>CG23+'Grid_Incoming'!CH23-'Grid_Requirement'!CH23</f>
        <v/>
      </c>
      <c r="CI23">
        <f>CH23+'Grid_Incoming'!CI23-'Grid_Requirement'!CI23</f>
        <v/>
      </c>
      <c r="CJ23">
        <f>CI23+'Grid_Incoming'!CJ23-'Grid_Requirement'!CJ23</f>
        <v/>
      </c>
      <c r="CK23">
        <f>CJ23+'Grid_Incoming'!CK23-'Grid_Requirement'!CK23</f>
        <v/>
      </c>
      <c r="CL23">
        <f>CK23+'Grid_Incoming'!CL23-'Grid_Requirement'!CL23</f>
        <v/>
      </c>
      <c r="CM23">
        <f>CL23+'Grid_Incoming'!CM23-'Grid_Requirement'!CM23</f>
        <v/>
      </c>
      <c r="CN23">
        <f>CM23+'Grid_Incoming'!CN23-'Grid_Requirement'!CN23</f>
        <v/>
      </c>
      <c r="CO23">
        <f>CN23+'Grid_Incoming'!CO23-'Grid_Requirement'!CO23</f>
        <v/>
      </c>
      <c r="CP23">
        <f>CO23+'Grid_Incoming'!CP23-'Grid_Requirement'!CP23</f>
        <v/>
      </c>
      <c r="CQ23">
        <f>CP23+'Grid_Incoming'!CQ23-'Grid_Requirement'!CQ23</f>
        <v/>
      </c>
      <c r="CR23">
        <f>CQ23+'Grid_Incoming'!CR23-'Grid_Requirement'!CR23</f>
        <v/>
      </c>
      <c r="CS23">
        <f>CR23+'Grid_Incoming'!CS23-'Grid_Requirement'!CS23</f>
        <v/>
      </c>
      <c r="CT23">
        <f>CS23+'Grid_Incoming'!CT23-'Grid_Requirement'!CT23</f>
        <v/>
      </c>
      <c r="CU23">
        <f>CT23+'Grid_Incoming'!CU23-'Grid_Requirement'!CU23</f>
        <v/>
      </c>
      <c r="CV23">
        <f>CU23+'Grid_Incoming'!CV23-'Grid_Requirement'!CV23</f>
        <v/>
      </c>
      <c r="CW23">
        <f>CV23+'Grid_Incoming'!CW23-'Grid_Requirement'!CW23</f>
        <v/>
      </c>
      <c r="CX23">
        <f>CW23+'Grid_Incoming'!CX23-'Grid_Requirement'!CX23</f>
        <v/>
      </c>
      <c r="CY23">
        <f>CX23+'Grid_Incoming'!CY23-'Grid_Requirement'!CY23</f>
        <v/>
      </c>
      <c r="CZ23">
        <f>CY23+'Grid_Incoming'!CZ23-'Grid_Requirement'!CZ23</f>
        <v/>
      </c>
      <c r="DA23">
        <f>CZ23+'Grid_Incoming'!DA23-'Grid_Requirement'!DA23</f>
        <v/>
      </c>
    </row>
    <row r="24">
      <c r="A24" t="inlineStr">
        <is>
          <t>CHEM-1240</t>
        </is>
      </c>
      <c r="B24">
        <f>IFERROR(INDEX(T_OpeningStock[Opening_Qty],MATCH($A24,T_OpeningStock[Part Name],0)),0)+'Grid_Incoming'!B24-'Grid_Requirement'!B24</f>
        <v/>
      </c>
      <c r="C24">
        <f>B24+'Grid_Incoming'!C24-'Grid_Requirement'!C24</f>
        <v/>
      </c>
      <c r="D24">
        <f>C24+'Grid_Incoming'!D24-'Grid_Requirement'!D24</f>
        <v/>
      </c>
      <c r="E24">
        <f>D24+'Grid_Incoming'!E24-'Grid_Requirement'!E24</f>
        <v/>
      </c>
      <c r="F24">
        <f>E24+'Grid_Incoming'!F24-'Grid_Requirement'!F24</f>
        <v/>
      </c>
      <c r="G24">
        <f>F24+'Grid_Incoming'!G24-'Grid_Requirement'!G24</f>
        <v/>
      </c>
      <c r="H24">
        <f>G24+'Grid_Incoming'!H24-'Grid_Requirement'!H24</f>
        <v/>
      </c>
      <c r="I24">
        <f>H24+'Grid_Incoming'!I24-'Grid_Requirement'!I24</f>
        <v/>
      </c>
      <c r="J24">
        <f>I24+'Grid_Incoming'!J24-'Grid_Requirement'!J24</f>
        <v/>
      </c>
      <c r="K24">
        <f>J24+'Grid_Incoming'!K24-'Grid_Requirement'!K24</f>
        <v/>
      </c>
      <c r="L24">
        <f>K24+'Grid_Incoming'!L24-'Grid_Requirement'!L24</f>
        <v/>
      </c>
      <c r="M24">
        <f>L24+'Grid_Incoming'!M24-'Grid_Requirement'!M24</f>
        <v/>
      </c>
      <c r="N24">
        <f>M24+'Grid_Incoming'!N24-'Grid_Requirement'!N24</f>
        <v/>
      </c>
      <c r="O24">
        <f>N24+'Grid_Incoming'!O24-'Grid_Requirement'!O24</f>
        <v/>
      </c>
      <c r="P24">
        <f>O24+'Grid_Incoming'!P24-'Grid_Requirement'!P24</f>
        <v/>
      </c>
      <c r="Q24">
        <f>P24+'Grid_Incoming'!Q24-'Grid_Requirement'!Q24</f>
        <v/>
      </c>
      <c r="R24">
        <f>Q24+'Grid_Incoming'!R24-'Grid_Requirement'!R24</f>
        <v/>
      </c>
      <c r="S24">
        <f>R24+'Grid_Incoming'!S24-'Grid_Requirement'!S24</f>
        <v/>
      </c>
      <c r="T24">
        <f>S24+'Grid_Incoming'!T24-'Grid_Requirement'!T24</f>
        <v/>
      </c>
      <c r="U24">
        <f>T24+'Grid_Incoming'!U24-'Grid_Requirement'!U24</f>
        <v/>
      </c>
      <c r="V24">
        <f>U24+'Grid_Incoming'!V24-'Grid_Requirement'!V24</f>
        <v/>
      </c>
      <c r="W24">
        <f>V24+'Grid_Incoming'!W24-'Grid_Requirement'!W24</f>
        <v/>
      </c>
      <c r="X24">
        <f>W24+'Grid_Incoming'!X24-'Grid_Requirement'!X24</f>
        <v/>
      </c>
      <c r="Y24">
        <f>X24+'Grid_Incoming'!Y24-'Grid_Requirement'!Y24</f>
        <v/>
      </c>
      <c r="Z24">
        <f>Y24+'Grid_Incoming'!Z24-'Grid_Requirement'!Z24</f>
        <v/>
      </c>
      <c r="AA24">
        <f>Z24+'Grid_Incoming'!AA24-'Grid_Requirement'!AA24</f>
        <v/>
      </c>
      <c r="AB24">
        <f>AA24+'Grid_Incoming'!AB24-'Grid_Requirement'!AB24</f>
        <v/>
      </c>
      <c r="AC24">
        <f>AB24+'Grid_Incoming'!AC24-'Grid_Requirement'!AC24</f>
        <v/>
      </c>
      <c r="AD24">
        <f>AC24+'Grid_Incoming'!AD24-'Grid_Requirement'!AD24</f>
        <v/>
      </c>
      <c r="AE24">
        <f>AD24+'Grid_Incoming'!AE24-'Grid_Requirement'!AE24</f>
        <v/>
      </c>
      <c r="AF24">
        <f>AE24+'Grid_Incoming'!AF24-'Grid_Requirement'!AF24</f>
        <v/>
      </c>
      <c r="AG24">
        <f>AF24+'Grid_Incoming'!AG24-'Grid_Requirement'!AG24</f>
        <v/>
      </c>
      <c r="AH24">
        <f>AG24+'Grid_Incoming'!AH24-'Grid_Requirement'!AH24</f>
        <v/>
      </c>
      <c r="AI24">
        <f>AH24+'Grid_Incoming'!AI24-'Grid_Requirement'!AI24</f>
        <v/>
      </c>
      <c r="AJ24">
        <f>AI24+'Grid_Incoming'!AJ24-'Grid_Requirement'!AJ24</f>
        <v/>
      </c>
      <c r="AK24">
        <f>AJ24+'Grid_Incoming'!AK24-'Grid_Requirement'!AK24</f>
        <v/>
      </c>
      <c r="AL24">
        <f>AK24+'Grid_Incoming'!AL24-'Grid_Requirement'!AL24</f>
        <v/>
      </c>
      <c r="AM24">
        <f>AL24+'Grid_Incoming'!AM24-'Grid_Requirement'!AM24</f>
        <v/>
      </c>
      <c r="AN24">
        <f>AM24+'Grid_Incoming'!AN24-'Grid_Requirement'!AN24</f>
        <v/>
      </c>
      <c r="AO24">
        <f>AN24+'Grid_Incoming'!AO24-'Grid_Requirement'!AO24</f>
        <v/>
      </c>
      <c r="AP24">
        <f>AO24+'Grid_Incoming'!AP24-'Grid_Requirement'!AP24</f>
        <v/>
      </c>
      <c r="AQ24">
        <f>AP24+'Grid_Incoming'!AQ24-'Grid_Requirement'!AQ24</f>
        <v/>
      </c>
      <c r="AR24">
        <f>AQ24+'Grid_Incoming'!AR24-'Grid_Requirement'!AR24</f>
        <v/>
      </c>
      <c r="AS24">
        <f>AR24+'Grid_Incoming'!AS24-'Grid_Requirement'!AS24</f>
        <v/>
      </c>
      <c r="AT24">
        <f>AS24+'Grid_Incoming'!AT24-'Grid_Requirement'!AT24</f>
        <v/>
      </c>
      <c r="AU24">
        <f>AT24+'Grid_Incoming'!AU24-'Grid_Requirement'!AU24</f>
        <v/>
      </c>
      <c r="AV24">
        <f>AU24+'Grid_Incoming'!AV24-'Grid_Requirement'!AV24</f>
        <v/>
      </c>
      <c r="AW24">
        <f>AV24+'Grid_Incoming'!AW24-'Grid_Requirement'!AW24</f>
        <v/>
      </c>
      <c r="AX24">
        <f>AW24+'Grid_Incoming'!AX24-'Grid_Requirement'!AX24</f>
        <v/>
      </c>
      <c r="AY24">
        <f>AX24+'Grid_Incoming'!AY24-'Grid_Requirement'!AY24</f>
        <v/>
      </c>
      <c r="AZ24">
        <f>AY24+'Grid_Incoming'!AZ24-'Grid_Requirement'!AZ24</f>
        <v/>
      </c>
      <c r="BA24">
        <f>AZ24+'Grid_Incoming'!BA24-'Grid_Requirement'!BA24</f>
        <v/>
      </c>
      <c r="BB24">
        <f>BA24+'Grid_Incoming'!BB24-'Grid_Requirement'!BB24</f>
        <v/>
      </c>
      <c r="BC24">
        <f>BB24+'Grid_Incoming'!BC24-'Grid_Requirement'!BC24</f>
        <v/>
      </c>
      <c r="BD24">
        <f>BC24+'Grid_Incoming'!BD24-'Grid_Requirement'!BD24</f>
        <v/>
      </c>
      <c r="BE24">
        <f>BD24+'Grid_Incoming'!BE24-'Grid_Requirement'!BE24</f>
        <v/>
      </c>
      <c r="BF24">
        <f>BE24+'Grid_Incoming'!BF24-'Grid_Requirement'!BF24</f>
        <v/>
      </c>
      <c r="BG24">
        <f>BF24+'Grid_Incoming'!BG24-'Grid_Requirement'!BG24</f>
        <v/>
      </c>
      <c r="BH24">
        <f>BG24+'Grid_Incoming'!BH24-'Grid_Requirement'!BH24</f>
        <v/>
      </c>
      <c r="BI24">
        <f>BH24+'Grid_Incoming'!BI24-'Grid_Requirement'!BI24</f>
        <v/>
      </c>
      <c r="BJ24">
        <f>BI24+'Grid_Incoming'!BJ24-'Grid_Requirement'!BJ24</f>
        <v/>
      </c>
      <c r="BK24">
        <f>BJ24+'Grid_Incoming'!BK24-'Grid_Requirement'!BK24</f>
        <v/>
      </c>
      <c r="BL24">
        <f>BK24+'Grid_Incoming'!BL24-'Grid_Requirement'!BL24</f>
        <v/>
      </c>
      <c r="BM24">
        <f>BL24+'Grid_Incoming'!BM24-'Grid_Requirement'!BM24</f>
        <v/>
      </c>
      <c r="BN24">
        <f>BM24+'Grid_Incoming'!BN24-'Grid_Requirement'!BN24</f>
        <v/>
      </c>
      <c r="BO24">
        <f>BN24+'Grid_Incoming'!BO24-'Grid_Requirement'!BO24</f>
        <v/>
      </c>
      <c r="BP24">
        <f>BO24+'Grid_Incoming'!BP24-'Grid_Requirement'!BP24</f>
        <v/>
      </c>
      <c r="BQ24">
        <f>BP24+'Grid_Incoming'!BQ24-'Grid_Requirement'!BQ24</f>
        <v/>
      </c>
      <c r="BR24">
        <f>BQ24+'Grid_Incoming'!BR24-'Grid_Requirement'!BR24</f>
        <v/>
      </c>
      <c r="BS24">
        <f>BR24+'Grid_Incoming'!BS24-'Grid_Requirement'!BS24</f>
        <v/>
      </c>
      <c r="BT24">
        <f>BS24+'Grid_Incoming'!BT24-'Grid_Requirement'!BT24</f>
        <v/>
      </c>
      <c r="BU24">
        <f>BT24+'Grid_Incoming'!BU24-'Grid_Requirement'!BU24</f>
        <v/>
      </c>
      <c r="BV24">
        <f>BU24+'Grid_Incoming'!BV24-'Grid_Requirement'!BV24</f>
        <v/>
      </c>
      <c r="BW24">
        <f>BV24+'Grid_Incoming'!BW24-'Grid_Requirement'!BW24</f>
        <v/>
      </c>
      <c r="BX24">
        <f>BW24+'Grid_Incoming'!BX24-'Grid_Requirement'!BX24</f>
        <v/>
      </c>
      <c r="BY24">
        <f>BX24+'Grid_Incoming'!BY24-'Grid_Requirement'!BY24</f>
        <v/>
      </c>
      <c r="BZ24">
        <f>BY24+'Grid_Incoming'!BZ24-'Grid_Requirement'!BZ24</f>
        <v/>
      </c>
      <c r="CA24">
        <f>BZ24+'Grid_Incoming'!CA24-'Grid_Requirement'!CA24</f>
        <v/>
      </c>
      <c r="CB24">
        <f>CA24+'Grid_Incoming'!CB24-'Grid_Requirement'!CB24</f>
        <v/>
      </c>
      <c r="CC24">
        <f>CB24+'Grid_Incoming'!CC24-'Grid_Requirement'!CC24</f>
        <v/>
      </c>
      <c r="CD24">
        <f>CC24+'Grid_Incoming'!CD24-'Grid_Requirement'!CD24</f>
        <v/>
      </c>
      <c r="CE24">
        <f>CD24+'Grid_Incoming'!CE24-'Grid_Requirement'!CE24</f>
        <v/>
      </c>
      <c r="CF24">
        <f>CE24+'Grid_Incoming'!CF24-'Grid_Requirement'!CF24</f>
        <v/>
      </c>
      <c r="CG24">
        <f>CF24+'Grid_Incoming'!CG24-'Grid_Requirement'!CG24</f>
        <v/>
      </c>
      <c r="CH24">
        <f>CG24+'Grid_Incoming'!CH24-'Grid_Requirement'!CH24</f>
        <v/>
      </c>
      <c r="CI24">
        <f>CH24+'Grid_Incoming'!CI24-'Grid_Requirement'!CI24</f>
        <v/>
      </c>
      <c r="CJ24">
        <f>CI24+'Grid_Incoming'!CJ24-'Grid_Requirement'!CJ24</f>
        <v/>
      </c>
      <c r="CK24">
        <f>CJ24+'Grid_Incoming'!CK24-'Grid_Requirement'!CK24</f>
        <v/>
      </c>
      <c r="CL24">
        <f>CK24+'Grid_Incoming'!CL24-'Grid_Requirement'!CL24</f>
        <v/>
      </c>
      <c r="CM24">
        <f>CL24+'Grid_Incoming'!CM24-'Grid_Requirement'!CM24</f>
        <v/>
      </c>
      <c r="CN24">
        <f>CM24+'Grid_Incoming'!CN24-'Grid_Requirement'!CN24</f>
        <v/>
      </c>
      <c r="CO24">
        <f>CN24+'Grid_Incoming'!CO24-'Grid_Requirement'!CO24</f>
        <v/>
      </c>
      <c r="CP24">
        <f>CO24+'Grid_Incoming'!CP24-'Grid_Requirement'!CP24</f>
        <v/>
      </c>
      <c r="CQ24">
        <f>CP24+'Grid_Incoming'!CQ24-'Grid_Requirement'!CQ24</f>
        <v/>
      </c>
      <c r="CR24">
        <f>CQ24+'Grid_Incoming'!CR24-'Grid_Requirement'!CR24</f>
        <v/>
      </c>
      <c r="CS24">
        <f>CR24+'Grid_Incoming'!CS24-'Grid_Requirement'!CS24</f>
        <v/>
      </c>
      <c r="CT24">
        <f>CS24+'Grid_Incoming'!CT24-'Grid_Requirement'!CT24</f>
        <v/>
      </c>
      <c r="CU24">
        <f>CT24+'Grid_Incoming'!CU24-'Grid_Requirement'!CU24</f>
        <v/>
      </c>
      <c r="CV24">
        <f>CU24+'Grid_Incoming'!CV24-'Grid_Requirement'!CV24</f>
        <v/>
      </c>
      <c r="CW24">
        <f>CV24+'Grid_Incoming'!CW24-'Grid_Requirement'!CW24</f>
        <v/>
      </c>
      <c r="CX24">
        <f>CW24+'Grid_Incoming'!CX24-'Grid_Requirement'!CX24</f>
        <v/>
      </c>
      <c r="CY24">
        <f>CX24+'Grid_Incoming'!CY24-'Grid_Requirement'!CY24</f>
        <v/>
      </c>
      <c r="CZ24">
        <f>CY24+'Grid_Incoming'!CZ24-'Grid_Requirement'!CZ24</f>
        <v/>
      </c>
      <c r="DA24">
        <f>CZ24+'Grid_Incoming'!DA24-'Grid_Requirement'!DA24</f>
        <v/>
      </c>
    </row>
    <row r="25">
      <c r="A25" t="inlineStr">
        <is>
          <t>CHEM-1510</t>
        </is>
      </c>
      <c r="B25">
        <f>IFERROR(INDEX(T_OpeningStock[Opening_Qty],MATCH($A25,T_OpeningStock[Part Name],0)),0)+'Grid_Incoming'!B25-'Grid_Requirement'!B25</f>
        <v/>
      </c>
      <c r="C25">
        <f>B25+'Grid_Incoming'!C25-'Grid_Requirement'!C25</f>
        <v/>
      </c>
      <c r="D25">
        <f>C25+'Grid_Incoming'!D25-'Grid_Requirement'!D25</f>
        <v/>
      </c>
      <c r="E25">
        <f>D25+'Grid_Incoming'!E25-'Grid_Requirement'!E25</f>
        <v/>
      </c>
      <c r="F25">
        <f>E25+'Grid_Incoming'!F25-'Grid_Requirement'!F25</f>
        <v/>
      </c>
      <c r="G25">
        <f>F25+'Grid_Incoming'!G25-'Grid_Requirement'!G25</f>
        <v/>
      </c>
      <c r="H25">
        <f>G25+'Grid_Incoming'!H25-'Grid_Requirement'!H25</f>
        <v/>
      </c>
      <c r="I25">
        <f>H25+'Grid_Incoming'!I25-'Grid_Requirement'!I25</f>
        <v/>
      </c>
      <c r="J25">
        <f>I25+'Grid_Incoming'!J25-'Grid_Requirement'!J25</f>
        <v/>
      </c>
      <c r="K25">
        <f>J25+'Grid_Incoming'!K25-'Grid_Requirement'!K25</f>
        <v/>
      </c>
      <c r="L25">
        <f>K25+'Grid_Incoming'!L25-'Grid_Requirement'!L25</f>
        <v/>
      </c>
      <c r="M25">
        <f>L25+'Grid_Incoming'!M25-'Grid_Requirement'!M25</f>
        <v/>
      </c>
      <c r="N25">
        <f>M25+'Grid_Incoming'!N25-'Grid_Requirement'!N25</f>
        <v/>
      </c>
      <c r="O25">
        <f>N25+'Grid_Incoming'!O25-'Grid_Requirement'!O25</f>
        <v/>
      </c>
      <c r="P25">
        <f>O25+'Grid_Incoming'!P25-'Grid_Requirement'!P25</f>
        <v/>
      </c>
      <c r="Q25">
        <f>P25+'Grid_Incoming'!Q25-'Grid_Requirement'!Q25</f>
        <v/>
      </c>
      <c r="R25">
        <f>Q25+'Grid_Incoming'!R25-'Grid_Requirement'!R25</f>
        <v/>
      </c>
      <c r="S25">
        <f>R25+'Grid_Incoming'!S25-'Grid_Requirement'!S25</f>
        <v/>
      </c>
      <c r="T25">
        <f>S25+'Grid_Incoming'!T25-'Grid_Requirement'!T25</f>
        <v/>
      </c>
      <c r="U25">
        <f>T25+'Grid_Incoming'!U25-'Grid_Requirement'!U25</f>
        <v/>
      </c>
      <c r="V25">
        <f>U25+'Grid_Incoming'!V25-'Grid_Requirement'!V25</f>
        <v/>
      </c>
      <c r="W25">
        <f>V25+'Grid_Incoming'!W25-'Grid_Requirement'!W25</f>
        <v/>
      </c>
      <c r="X25">
        <f>W25+'Grid_Incoming'!X25-'Grid_Requirement'!X25</f>
        <v/>
      </c>
      <c r="Y25">
        <f>X25+'Grid_Incoming'!Y25-'Grid_Requirement'!Y25</f>
        <v/>
      </c>
      <c r="Z25">
        <f>Y25+'Grid_Incoming'!Z25-'Grid_Requirement'!Z25</f>
        <v/>
      </c>
      <c r="AA25">
        <f>Z25+'Grid_Incoming'!AA25-'Grid_Requirement'!AA25</f>
        <v/>
      </c>
      <c r="AB25">
        <f>AA25+'Grid_Incoming'!AB25-'Grid_Requirement'!AB25</f>
        <v/>
      </c>
      <c r="AC25">
        <f>AB25+'Grid_Incoming'!AC25-'Grid_Requirement'!AC25</f>
        <v/>
      </c>
      <c r="AD25">
        <f>AC25+'Grid_Incoming'!AD25-'Grid_Requirement'!AD25</f>
        <v/>
      </c>
      <c r="AE25">
        <f>AD25+'Grid_Incoming'!AE25-'Grid_Requirement'!AE25</f>
        <v/>
      </c>
      <c r="AF25">
        <f>AE25+'Grid_Incoming'!AF25-'Grid_Requirement'!AF25</f>
        <v/>
      </c>
      <c r="AG25">
        <f>AF25+'Grid_Incoming'!AG25-'Grid_Requirement'!AG25</f>
        <v/>
      </c>
      <c r="AH25">
        <f>AG25+'Grid_Incoming'!AH25-'Grid_Requirement'!AH25</f>
        <v/>
      </c>
      <c r="AI25">
        <f>AH25+'Grid_Incoming'!AI25-'Grid_Requirement'!AI25</f>
        <v/>
      </c>
      <c r="AJ25">
        <f>AI25+'Grid_Incoming'!AJ25-'Grid_Requirement'!AJ25</f>
        <v/>
      </c>
      <c r="AK25">
        <f>AJ25+'Grid_Incoming'!AK25-'Grid_Requirement'!AK25</f>
        <v/>
      </c>
      <c r="AL25">
        <f>AK25+'Grid_Incoming'!AL25-'Grid_Requirement'!AL25</f>
        <v/>
      </c>
      <c r="AM25">
        <f>AL25+'Grid_Incoming'!AM25-'Grid_Requirement'!AM25</f>
        <v/>
      </c>
      <c r="AN25">
        <f>AM25+'Grid_Incoming'!AN25-'Grid_Requirement'!AN25</f>
        <v/>
      </c>
      <c r="AO25">
        <f>AN25+'Grid_Incoming'!AO25-'Grid_Requirement'!AO25</f>
        <v/>
      </c>
      <c r="AP25">
        <f>AO25+'Grid_Incoming'!AP25-'Grid_Requirement'!AP25</f>
        <v/>
      </c>
      <c r="AQ25">
        <f>AP25+'Grid_Incoming'!AQ25-'Grid_Requirement'!AQ25</f>
        <v/>
      </c>
      <c r="AR25">
        <f>AQ25+'Grid_Incoming'!AR25-'Grid_Requirement'!AR25</f>
        <v/>
      </c>
      <c r="AS25">
        <f>AR25+'Grid_Incoming'!AS25-'Grid_Requirement'!AS25</f>
        <v/>
      </c>
      <c r="AT25">
        <f>AS25+'Grid_Incoming'!AT25-'Grid_Requirement'!AT25</f>
        <v/>
      </c>
      <c r="AU25">
        <f>AT25+'Grid_Incoming'!AU25-'Grid_Requirement'!AU25</f>
        <v/>
      </c>
      <c r="AV25">
        <f>AU25+'Grid_Incoming'!AV25-'Grid_Requirement'!AV25</f>
        <v/>
      </c>
      <c r="AW25">
        <f>AV25+'Grid_Incoming'!AW25-'Grid_Requirement'!AW25</f>
        <v/>
      </c>
      <c r="AX25">
        <f>AW25+'Grid_Incoming'!AX25-'Grid_Requirement'!AX25</f>
        <v/>
      </c>
      <c r="AY25">
        <f>AX25+'Grid_Incoming'!AY25-'Grid_Requirement'!AY25</f>
        <v/>
      </c>
      <c r="AZ25">
        <f>AY25+'Grid_Incoming'!AZ25-'Grid_Requirement'!AZ25</f>
        <v/>
      </c>
      <c r="BA25">
        <f>AZ25+'Grid_Incoming'!BA25-'Grid_Requirement'!BA25</f>
        <v/>
      </c>
      <c r="BB25">
        <f>BA25+'Grid_Incoming'!BB25-'Grid_Requirement'!BB25</f>
        <v/>
      </c>
      <c r="BC25">
        <f>BB25+'Grid_Incoming'!BC25-'Grid_Requirement'!BC25</f>
        <v/>
      </c>
      <c r="BD25">
        <f>BC25+'Grid_Incoming'!BD25-'Grid_Requirement'!BD25</f>
        <v/>
      </c>
      <c r="BE25">
        <f>BD25+'Grid_Incoming'!BE25-'Grid_Requirement'!BE25</f>
        <v/>
      </c>
      <c r="BF25">
        <f>BE25+'Grid_Incoming'!BF25-'Grid_Requirement'!BF25</f>
        <v/>
      </c>
      <c r="BG25">
        <f>BF25+'Grid_Incoming'!BG25-'Grid_Requirement'!BG25</f>
        <v/>
      </c>
      <c r="BH25">
        <f>BG25+'Grid_Incoming'!BH25-'Grid_Requirement'!BH25</f>
        <v/>
      </c>
      <c r="BI25">
        <f>BH25+'Grid_Incoming'!BI25-'Grid_Requirement'!BI25</f>
        <v/>
      </c>
      <c r="BJ25">
        <f>BI25+'Grid_Incoming'!BJ25-'Grid_Requirement'!BJ25</f>
        <v/>
      </c>
      <c r="BK25">
        <f>BJ25+'Grid_Incoming'!BK25-'Grid_Requirement'!BK25</f>
        <v/>
      </c>
      <c r="BL25">
        <f>BK25+'Grid_Incoming'!BL25-'Grid_Requirement'!BL25</f>
        <v/>
      </c>
      <c r="BM25">
        <f>BL25+'Grid_Incoming'!BM25-'Grid_Requirement'!BM25</f>
        <v/>
      </c>
      <c r="BN25">
        <f>BM25+'Grid_Incoming'!BN25-'Grid_Requirement'!BN25</f>
        <v/>
      </c>
      <c r="BO25">
        <f>BN25+'Grid_Incoming'!BO25-'Grid_Requirement'!BO25</f>
        <v/>
      </c>
      <c r="BP25">
        <f>BO25+'Grid_Incoming'!BP25-'Grid_Requirement'!BP25</f>
        <v/>
      </c>
      <c r="BQ25">
        <f>BP25+'Grid_Incoming'!BQ25-'Grid_Requirement'!BQ25</f>
        <v/>
      </c>
      <c r="BR25">
        <f>BQ25+'Grid_Incoming'!BR25-'Grid_Requirement'!BR25</f>
        <v/>
      </c>
      <c r="BS25">
        <f>BR25+'Grid_Incoming'!BS25-'Grid_Requirement'!BS25</f>
        <v/>
      </c>
      <c r="BT25">
        <f>BS25+'Grid_Incoming'!BT25-'Grid_Requirement'!BT25</f>
        <v/>
      </c>
      <c r="BU25">
        <f>BT25+'Grid_Incoming'!BU25-'Grid_Requirement'!BU25</f>
        <v/>
      </c>
      <c r="BV25">
        <f>BU25+'Grid_Incoming'!BV25-'Grid_Requirement'!BV25</f>
        <v/>
      </c>
      <c r="BW25">
        <f>BV25+'Grid_Incoming'!BW25-'Grid_Requirement'!BW25</f>
        <v/>
      </c>
      <c r="BX25">
        <f>BW25+'Grid_Incoming'!BX25-'Grid_Requirement'!BX25</f>
        <v/>
      </c>
      <c r="BY25">
        <f>BX25+'Grid_Incoming'!BY25-'Grid_Requirement'!BY25</f>
        <v/>
      </c>
      <c r="BZ25">
        <f>BY25+'Grid_Incoming'!BZ25-'Grid_Requirement'!BZ25</f>
        <v/>
      </c>
      <c r="CA25">
        <f>BZ25+'Grid_Incoming'!CA25-'Grid_Requirement'!CA25</f>
        <v/>
      </c>
      <c r="CB25">
        <f>CA25+'Grid_Incoming'!CB25-'Grid_Requirement'!CB25</f>
        <v/>
      </c>
      <c r="CC25">
        <f>CB25+'Grid_Incoming'!CC25-'Grid_Requirement'!CC25</f>
        <v/>
      </c>
      <c r="CD25">
        <f>CC25+'Grid_Incoming'!CD25-'Grid_Requirement'!CD25</f>
        <v/>
      </c>
      <c r="CE25">
        <f>CD25+'Grid_Incoming'!CE25-'Grid_Requirement'!CE25</f>
        <v/>
      </c>
      <c r="CF25">
        <f>CE25+'Grid_Incoming'!CF25-'Grid_Requirement'!CF25</f>
        <v/>
      </c>
      <c r="CG25">
        <f>CF25+'Grid_Incoming'!CG25-'Grid_Requirement'!CG25</f>
        <v/>
      </c>
      <c r="CH25">
        <f>CG25+'Grid_Incoming'!CH25-'Grid_Requirement'!CH25</f>
        <v/>
      </c>
      <c r="CI25">
        <f>CH25+'Grid_Incoming'!CI25-'Grid_Requirement'!CI25</f>
        <v/>
      </c>
      <c r="CJ25">
        <f>CI25+'Grid_Incoming'!CJ25-'Grid_Requirement'!CJ25</f>
        <v/>
      </c>
      <c r="CK25">
        <f>CJ25+'Grid_Incoming'!CK25-'Grid_Requirement'!CK25</f>
        <v/>
      </c>
      <c r="CL25">
        <f>CK25+'Grid_Incoming'!CL25-'Grid_Requirement'!CL25</f>
        <v/>
      </c>
      <c r="CM25">
        <f>CL25+'Grid_Incoming'!CM25-'Grid_Requirement'!CM25</f>
        <v/>
      </c>
      <c r="CN25">
        <f>CM25+'Grid_Incoming'!CN25-'Grid_Requirement'!CN25</f>
        <v/>
      </c>
      <c r="CO25">
        <f>CN25+'Grid_Incoming'!CO25-'Grid_Requirement'!CO25</f>
        <v/>
      </c>
      <c r="CP25">
        <f>CO25+'Grid_Incoming'!CP25-'Grid_Requirement'!CP25</f>
        <v/>
      </c>
      <c r="CQ25">
        <f>CP25+'Grid_Incoming'!CQ25-'Grid_Requirement'!CQ25</f>
        <v/>
      </c>
      <c r="CR25">
        <f>CQ25+'Grid_Incoming'!CR25-'Grid_Requirement'!CR25</f>
        <v/>
      </c>
      <c r="CS25">
        <f>CR25+'Grid_Incoming'!CS25-'Grid_Requirement'!CS25</f>
        <v/>
      </c>
      <c r="CT25">
        <f>CS25+'Grid_Incoming'!CT25-'Grid_Requirement'!CT25</f>
        <v/>
      </c>
      <c r="CU25">
        <f>CT25+'Grid_Incoming'!CU25-'Grid_Requirement'!CU25</f>
        <v/>
      </c>
      <c r="CV25">
        <f>CU25+'Grid_Incoming'!CV25-'Grid_Requirement'!CV25</f>
        <v/>
      </c>
      <c r="CW25">
        <f>CV25+'Grid_Incoming'!CW25-'Grid_Requirement'!CW25</f>
        <v/>
      </c>
      <c r="CX25">
        <f>CW25+'Grid_Incoming'!CX25-'Grid_Requirement'!CX25</f>
        <v/>
      </c>
      <c r="CY25">
        <f>CX25+'Grid_Incoming'!CY25-'Grid_Requirement'!CY25</f>
        <v/>
      </c>
      <c r="CZ25">
        <f>CY25+'Grid_Incoming'!CZ25-'Grid_Requirement'!CZ25</f>
        <v/>
      </c>
      <c r="DA25">
        <f>CZ25+'Grid_Incoming'!DA25-'Grid_Requirement'!DA25</f>
        <v/>
      </c>
    </row>
    <row r="26">
      <c r="A26" t="inlineStr">
        <is>
          <t>CHEM-1580</t>
        </is>
      </c>
      <c r="B26">
        <f>IFERROR(INDEX(T_OpeningStock[Opening_Qty],MATCH($A26,T_OpeningStock[Part Name],0)),0)+'Grid_Incoming'!B26-'Grid_Requirement'!B26</f>
        <v/>
      </c>
      <c r="C26">
        <f>B26+'Grid_Incoming'!C26-'Grid_Requirement'!C26</f>
        <v/>
      </c>
      <c r="D26">
        <f>C26+'Grid_Incoming'!D26-'Grid_Requirement'!D26</f>
        <v/>
      </c>
      <c r="E26">
        <f>D26+'Grid_Incoming'!E26-'Grid_Requirement'!E26</f>
        <v/>
      </c>
      <c r="F26">
        <f>E26+'Grid_Incoming'!F26-'Grid_Requirement'!F26</f>
        <v/>
      </c>
      <c r="G26">
        <f>F26+'Grid_Incoming'!G26-'Grid_Requirement'!G26</f>
        <v/>
      </c>
      <c r="H26">
        <f>G26+'Grid_Incoming'!H26-'Grid_Requirement'!H26</f>
        <v/>
      </c>
      <c r="I26">
        <f>H26+'Grid_Incoming'!I26-'Grid_Requirement'!I26</f>
        <v/>
      </c>
      <c r="J26">
        <f>I26+'Grid_Incoming'!J26-'Grid_Requirement'!J26</f>
        <v/>
      </c>
      <c r="K26">
        <f>J26+'Grid_Incoming'!K26-'Grid_Requirement'!K26</f>
        <v/>
      </c>
      <c r="L26">
        <f>K26+'Grid_Incoming'!L26-'Grid_Requirement'!L26</f>
        <v/>
      </c>
      <c r="M26">
        <f>L26+'Grid_Incoming'!M26-'Grid_Requirement'!M26</f>
        <v/>
      </c>
      <c r="N26">
        <f>M26+'Grid_Incoming'!N26-'Grid_Requirement'!N26</f>
        <v/>
      </c>
      <c r="O26">
        <f>N26+'Grid_Incoming'!O26-'Grid_Requirement'!O26</f>
        <v/>
      </c>
      <c r="P26">
        <f>O26+'Grid_Incoming'!P26-'Grid_Requirement'!P26</f>
        <v/>
      </c>
      <c r="Q26">
        <f>P26+'Grid_Incoming'!Q26-'Grid_Requirement'!Q26</f>
        <v/>
      </c>
      <c r="R26">
        <f>Q26+'Grid_Incoming'!R26-'Grid_Requirement'!R26</f>
        <v/>
      </c>
      <c r="S26">
        <f>R26+'Grid_Incoming'!S26-'Grid_Requirement'!S26</f>
        <v/>
      </c>
      <c r="T26">
        <f>S26+'Grid_Incoming'!T26-'Grid_Requirement'!T26</f>
        <v/>
      </c>
      <c r="U26">
        <f>T26+'Grid_Incoming'!U26-'Grid_Requirement'!U26</f>
        <v/>
      </c>
      <c r="V26">
        <f>U26+'Grid_Incoming'!V26-'Grid_Requirement'!V26</f>
        <v/>
      </c>
      <c r="W26">
        <f>V26+'Grid_Incoming'!W26-'Grid_Requirement'!W26</f>
        <v/>
      </c>
      <c r="X26">
        <f>W26+'Grid_Incoming'!X26-'Grid_Requirement'!X26</f>
        <v/>
      </c>
      <c r="Y26">
        <f>X26+'Grid_Incoming'!Y26-'Grid_Requirement'!Y26</f>
        <v/>
      </c>
      <c r="Z26">
        <f>Y26+'Grid_Incoming'!Z26-'Grid_Requirement'!Z26</f>
        <v/>
      </c>
      <c r="AA26">
        <f>Z26+'Grid_Incoming'!AA26-'Grid_Requirement'!AA26</f>
        <v/>
      </c>
      <c r="AB26">
        <f>AA26+'Grid_Incoming'!AB26-'Grid_Requirement'!AB26</f>
        <v/>
      </c>
      <c r="AC26">
        <f>AB26+'Grid_Incoming'!AC26-'Grid_Requirement'!AC26</f>
        <v/>
      </c>
      <c r="AD26">
        <f>AC26+'Grid_Incoming'!AD26-'Grid_Requirement'!AD26</f>
        <v/>
      </c>
      <c r="AE26">
        <f>AD26+'Grid_Incoming'!AE26-'Grid_Requirement'!AE26</f>
        <v/>
      </c>
      <c r="AF26">
        <f>AE26+'Grid_Incoming'!AF26-'Grid_Requirement'!AF26</f>
        <v/>
      </c>
      <c r="AG26">
        <f>AF26+'Grid_Incoming'!AG26-'Grid_Requirement'!AG26</f>
        <v/>
      </c>
      <c r="AH26">
        <f>AG26+'Grid_Incoming'!AH26-'Grid_Requirement'!AH26</f>
        <v/>
      </c>
      <c r="AI26">
        <f>AH26+'Grid_Incoming'!AI26-'Grid_Requirement'!AI26</f>
        <v/>
      </c>
      <c r="AJ26">
        <f>AI26+'Grid_Incoming'!AJ26-'Grid_Requirement'!AJ26</f>
        <v/>
      </c>
      <c r="AK26">
        <f>AJ26+'Grid_Incoming'!AK26-'Grid_Requirement'!AK26</f>
        <v/>
      </c>
      <c r="AL26">
        <f>AK26+'Grid_Incoming'!AL26-'Grid_Requirement'!AL26</f>
        <v/>
      </c>
      <c r="AM26">
        <f>AL26+'Grid_Incoming'!AM26-'Grid_Requirement'!AM26</f>
        <v/>
      </c>
      <c r="AN26">
        <f>AM26+'Grid_Incoming'!AN26-'Grid_Requirement'!AN26</f>
        <v/>
      </c>
      <c r="AO26">
        <f>AN26+'Grid_Incoming'!AO26-'Grid_Requirement'!AO26</f>
        <v/>
      </c>
      <c r="AP26">
        <f>AO26+'Grid_Incoming'!AP26-'Grid_Requirement'!AP26</f>
        <v/>
      </c>
      <c r="AQ26">
        <f>AP26+'Grid_Incoming'!AQ26-'Grid_Requirement'!AQ26</f>
        <v/>
      </c>
      <c r="AR26">
        <f>AQ26+'Grid_Incoming'!AR26-'Grid_Requirement'!AR26</f>
        <v/>
      </c>
      <c r="AS26">
        <f>AR26+'Grid_Incoming'!AS26-'Grid_Requirement'!AS26</f>
        <v/>
      </c>
      <c r="AT26">
        <f>AS26+'Grid_Incoming'!AT26-'Grid_Requirement'!AT26</f>
        <v/>
      </c>
      <c r="AU26">
        <f>AT26+'Grid_Incoming'!AU26-'Grid_Requirement'!AU26</f>
        <v/>
      </c>
      <c r="AV26">
        <f>AU26+'Grid_Incoming'!AV26-'Grid_Requirement'!AV26</f>
        <v/>
      </c>
      <c r="AW26">
        <f>AV26+'Grid_Incoming'!AW26-'Grid_Requirement'!AW26</f>
        <v/>
      </c>
      <c r="AX26">
        <f>AW26+'Grid_Incoming'!AX26-'Grid_Requirement'!AX26</f>
        <v/>
      </c>
      <c r="AY26">
        <f>AX26+'Grid_Incoming'!AY26-'Grid_Requirement'!AY26</f>
        <v/>
      </c>
      <c r="AZ26">
        <f>AY26+'Grid_Incoming'!AZ26-'Grid_Requirement'!AZ26</f>
        <v/>
      </c>
      <c r="BA26">
        <f>AZ26+'Grid_Incoming'!BA26-'Grid_Requirement'!BA26</f>
        <v/>
      </c>
      <c r="BB26">
        <f>BA26+'Grid_Incoming'!BB26-'Grid_Requirement'!BB26</f>
        <v/>
      </c>
      <c r="BC26">
        <f>BB26+'Grid_Incoming'!BC26-'Grid_Requirement'!BC26</f>
        <v/>
      </c>
      <c r="BD26">
        <f>BC26+'Grid_Incoming'!BD26-'Grid_Requirement'!BD26</f>
        <v/>
      </c>
      <c r="BE26">
        <f>BD26+'Grid_Incoming'!BE26-'Grid_Requirement'!BE26</f>
        <v/>
      </c>
      <c r="BF26">
        <f>BE26+'Grid_Incoming'!BF26-'Grid_Requirement'!BF26</f>
        <v/>
      </c>
      <c r="BG26">
        <f>BF26+'Grid_Incoming'!BG26-'Grid_Requirement'!BG26</f>
        <v/>
      </c>
      <c r="BH26">
        <f>BG26+'Grid_Incoming'!BH26-'Grid_Requirement'!BH26</f>
        <v/>
      </c>
      <c r="BI26">
        <f>BH26+'Grid_Incoming'!BI26-'Grid_Requirement'!BI26</f>
        <v/>
      </c>
      <c r="BJ26">
        <f>BI26+'Grid_Incoming'!BJ26-'Grid_Requirement'!BJ26</f>
        <v/>
      </c>
      <c r="BK26">
        <f>BJ26+'Grid_Incoming'!BK26-'Grid_Requirement'!BK26</f>
        <v/>
      </c>
      <c r="BL26">
        <f>BK26+'Grid_Incoming'!BL26-'Grid_Requirement'!BL26</f>
        <v/>
      </c>
      <c r="BM26">
        <f>BL26+'Grid_Incoming'!BM26-'Grid_Requirement'!BM26</f>
        <v/>
      </c>
      <c r="BN26">
        <f>BM26+'Grid_Incoming'!BN26-'Grid_Requirement'!BN26</f>
        <v/>
      </c>
      <c r="BO26">
        <f>BN26+'Grid_Incoming'!BO26-'Grid_Requirement'!BO26</f>
        <v/>
      </c>
      <c r="BP26">
        <f>BO26+'Grid_Incoming'!BP26-'Grid_Requirement'!BP26</f>
        <v/>
      </c>
      <c r="BQ26">
        <f>BP26+'Grid_Incoming'!BQ26-'Grid_Requirement'!BQ26</f>
        <v/>
      </c>
      <c r="BR26">
        <f>BQ26+'Grid_Incoming'!BR26-'Grid_Requirement'!BR26</f>
        <v/>
      </c>
      <c r="BS26">
        <f>BR26+'Grid_Incoming'!BS26-'Grid_Requirement'!BS26</f>
        <v/>
      </c>
      <c r="BT26">
        <f>BS26+'Grid_Incoming'!BT26-'Grid_Requirement'!BT26</f>
        <v/>
      </c>
      <c r="BU26">
        <f>BT26+'Grid_Incoming'!BU26-'Grid_Requirement'!BU26</f>
        <v/>
      </c>
      <c r="BV26">
        <f>BU26+'Grid_Incoming'!BV26-'Grid_Requirement'!BV26</f>
        <v/>
      </c>
      <c r="BW26">
        <f>BV26+'Grid_Incoming'!BW26-'Grid_Requirement'!BW26</f>
        <v/>
      </c>
      <c r="BX26">
        <f>BW26+'Grid_Incoming'!BX26-'Grid_Requirement'!BX26</f>
        <v/>
      </c>
      <c r="BY26">
        <f>BX26+'Grid_Incoming'!BY26-'Grid_Requirement'!BY26</f>
        <v/>
      </c>
      <c r="BZ26">
        <f>BY26+'Grid_Incoming'!BZ26-'Grid_Requirement'!BZ26</f>
        <v/>
      </c>
      <c r="CA26">
        <f>BZ26+'Grid_Incoming'!CA26-'Grid_Requirement'!CA26</f>
        <v/>
      </c>
      <c r="CB26">
        <f>CA26+'Grid_Incoming'!CB26-'Grid_Requirement'!CB26</f>
        <v/>
      </c>
      <c r="CC26">
        <f>CB26+'Grid_Incoming'!CC26-'Grid_Requirement'!CC26</f>
        <v/>
      </c>
      <c r="CD26">
        <f>CC26+'Grid_Incoming'!CD26-'Grid_Requirement'!CD26</f>
        <v/>
      </c>
      <c r="CE26">
        <f>CD26+'Grid_Incoming'!CE26-'Grid_Requirement'!CE26</f>
        <v/>
      </c>
      <c r="CF26">
        <f>CE26+'Grid_Incoming'!CF26-'Grid_Requirement'!CF26</f>
        <v/>
      </c>
      <c r="CG26">
        <f>CF26+'Grid_Incoming'!CG26-'Grid_Requirement'!CG26</f>
        <v/>
      </c>
      <c r="CH26">
        <f>CG26+'Grid_Incoming'!CH26-'Grid_Requirement'!CH26</f>
        <v/>
      </c>
      <c r="CI26">
        <f>CH26+'Grid_Incoming'!CI26-'Grid_Requirement'!CI26</f>
        <v/>
      </c>
      <c r="CJ26">
        <f>CI26+'Grid_Incoming'!CJ26-'Grid_Requirement'!CJ26</f>
        <v/>
      </c>
      <c r="CK26">
        <f>CJ26+'Grid_Incoming'!CK26-'Grid_Requirement'!CK26</f>
        <v/>
      </c>
      <c r="CL26">
        <f>CK26+'Grid_Incoming'!CL26-'Grid_Requirement'!CL26</f>
        <v/>
      </c>
      <c r="CM26">
        <f>CL26+'Grid_Incoming'!CM26-'Grid_Requirement'!CM26</f>
        <v/>
      </c>
      <c r="CN26">
        <f>CM26+'Grid_Incoming'!CN26-'Grid_Requirement'!CN26</f>
        <v/>
      </c>
      <c r="CO26">
        <f>CN26+'Grid_Incoming'!CO26-'Grid_Requirement'!CO26</f>
        <v/>
      </c>
      <c r="CP26">
        <f>CO26+'Grid_Incoming'!CP26-'Grid_Requirement'!CP26</f>
        <v/>
      </c>
      <c r="CQ26">
        <f>CP26+'Grid_Incoming'!CQ26-'Grid_Requirement'!CQ26</f>
        <v/>
      </c>
      <c r="CR26">
        <f>CQ26+'Grid_Incoming'!CR26-'Grid_Requirement'!CR26</f>
        <v/>
      </c>
      <c r="CS26">
        <f>CR26+'Grid_Incoming'!CS26-'Grid_Requirement'!CS26</f>
        <v/>
      </c>
      <c r="CT26">
        <f>CS26+'Grid_Incoming'!CT26-'Grid_Requirement'!CT26</f>
        <v/>
      </c>
      <c r="CU26">
        <f>CT26+'Grid_Incoming'!CU26-'Grid_Requirement'!CU26</f>
        <v/>
      </c>
      <c r="CV26">
        <f>CU26+'Grid_Incoming'!CV26-'Grid_Requirement'!CV26</f>
        <v/>
      </c>
      <c r="CW26">
        <f>CV26+'Grid_Incoming'!CW26-'Grid_Requirement'!CW26</f>
        <v/>
      </c>
      <c r="CX26">
        <f>CW26+'Grid_Incoming'!CX26-'Grid_Requirement'!CX26</f>
        <v/>
      </c>
      <c r="CY26">
        <f>CX26+'Grid_Incoming'!CY26-'Grid_Requirement'!CY26</f>
        <v/>
      </c>
      <c r="CZ26">
        <f>CY26+'Grid_Incoming'!CZ26-'Grid_Requirement'!CZ26</f>
        <v/>
      </c>
      <c r="DA26">
        <f>CZ26+'Grid_Incoming'!DA26-'Grid_Requirement'!DA26</f>
        <v/>
      </c>
    </row>
    <row r="27">
      <c r="A27" t="inlineStr">
        <is>
          <t>CHEM-1250</t>
        </is>
      </c>
      <c r="B27">
        <f>IFERROR(INDEX(T_OpeningStock[Opening_Qty],MATCH($A27,T_OpeningStock[Part Name],0)),0)+'Grid_Incoming'!B27-'Grid_Requirement'!B27</f>
        <v/>
      </c>
      <c r="C27">
        <f>B27+'Grid_Incoming'!C27-'Grid_Requirement'!C27</f>
        <v/>
      </c>
      <c r="D27">
        <f>C27+'Grid_Incoming'!D27-'Grid_Requirement'!D27</f>
        <v/>
      </c>
      <c r="E27">
        <f>D27+'Grid_Incoming'!E27-'Grid_Requirement'!E27</f>
        <v/>
      </c>
      <c r="F27">
        <f>E27+'Grid_Incoming'!F27-'Grid_Requirement'!F27</f>
        <v/>
      </c>
      <c r="G27">
        <f>F27+'Grid_Incoming'!G27-'Grid_Requirement'!G27</f>
        <v/>
      </c>
      <c r="H27">
        <f>G27+'Grid_Incoming'!H27-'Grid_Requirement'!H27</f>
        <v/>
      </c>
      <c r="I27">
        <f>H27+'Grid_Incoming'!I27-'Grid_Requirement'!I27</f>
        <v/>
      </c>
      <c r="J27">
        <f>I27+'Grid_Incoming'!J27-'Grid_Requirement'!J27</f>
        <v/>
      </c>
      <c r="K27">
        <f>J27+'Grid_Incoming'!K27-'Grid_Requirement'!K27</f>
        <v/>
      </c>
      <c r="L27">
        <f>K27+'Grid_Incoming'!L27-'Grid_Requirement'!L27</f>
        <v/>
      </c>
      <c r="M27">
        <f>L27+'Grid_Incoming'!M27-'Grid_Requirement'!M27</f>
        <v/>
      </c>
      <c r="N27">
        <f>M27+'Grid_Incoming'!N27-'Grid_Requirement'!N27</f>
        <v/>
      </c>
      <c r="O27">
        <f>N27+'Grid_Incoming'!O27-'Grid_Requirement'!O27</f>
        <v/>
      </c>
      <c r="P27">
        <f>O27+'Grid_Incoming'!P27-'Grid_Requirement'!P27</f>
        <v/>
      </c>
      <c r="Q27">
        <f>P27+'Grid_Incoming'!Q27-'Grid_Requirement'!Q27</f>
        <v/>
      </c>
      <c r="R27">
        <f>Q27+'Grid_Incoming'!R27-'Grid_Requirement'!R27</f>
        <v/>
      </c>
      <c r="S27">
        <f>R27+'Grid_Incoming'!S27-'Grid_Requirement'!S27</f>
        <v/>
      </c>
      <c r="T27">
        <f>S27+'Grid_Incoming'!T27-'Grid_Requirement'!T27</f>
        <v/>
      </c>
      <c r="U27">
        <f>T27+'Grid_Incoming'!U27-'Grid_Requirement'!U27</f>
        <v/>
      </c>
      <c r="V27">
        <f>U27+'Grid_Incoming'!V27-'Grid_Requirement'!V27</f>
        <v/>
      </c>
      <c r="W27">
        <f>V27+'Grid_Incoming'!W27-'Grid_Requirement'!W27</f>
        <v/>
      </c>
      <c r="X27">
        <f>W27+'Grid_Incoming'!X27-'Grid_Requirement'!X27</f>
        <v/>
      </c>
      <c r="Y27">
        <f>X27+'Grid_Incoming'!Y27-'Grid_Requirement'!Y27</f>
        <v/>
      </c>
      <c r="Z27">
        <f>Y27+'Grid_Incoming'!Z27-'Grid_Requirement'!Z27</f>
        <v/>
      </c>
      <c r="AA27">
        <f>Z27+'Grid_Incoming'!AA27-'Grid_Requirement'!AA27</f>
        <v/>
      </c>
      <c r="AB27">
        <f>AA27+'Grid_Incoming'!AB27-'Grid_Requirement'!AB27</f>
        <v/>
      </c>
      <c r="AC27">
        <f>AB27+'Grid_Incoming'!AC27-'Grid_Requirement'!AC27</f>
        <v/>
      </c>
      <c r="AD27">
        <f>AC27+'Grid_Incoming'!AD27-'Grid_Requirement'!AD27</f>
        <v/>
      </c>
      <c r="AE27">
        <f>AD27+'Grid_Incoming'!AE27-'Grid_Requirement'!AE27</f>
        <v/>
      </c>
      <c r="AF27">
        <f>AE27+'Grid_Incoming'!AF27-'Grid_Requirement'!AF27</f>
        <v/>
      </c>
      <c r="AG27">
        <f>AF27+'Grid_Incoming'!AG27-'Grid_Requirement'!AG27</f>
        <v/>
      </c>
      <c r="AH27">
        <f>AG27+'Grid_Incoming'!AH27-'Grid_Requirement'!AH27</f>
        <v/>
      </c>
      <c r="AI27">
        <f>AH27+'Grid_Incoming'!AI27-'Grid_Requirement'!AI27</f>
        <v/>
      </c>
      <c r="AJ27">
        <f>AI27+'Grid_Incoming'!AJ27-'Grid_Requirement'!AJ27</f>
        <v/>
      </c>
      <c r="AK27">
        <f>AJ27+'Grid_Incoming'!AK27-'Grid_Requirement'!AK27</f>
        <v/>
      </c>
      <c r="AL27">
        <f>AK27+'Grid_Incoming'!AL27-'Grid_Requirement'!AL27</f>
        <v/>
      </c>
      <c r="AM27">
        <f>AL27+'Grid_Incoming'!AM27-'Grid_Requirement'!AM27</f>
        <v/>
      </c>
      <c r="AN27">
        <f>AM27+'Grid_Incoming'!AN27-'Grid_Requirement'!AN27</f>
        <v/>
      </c>
      <c r="AO27">
        <f>AN27+'Grid_Incoming'!AO27-'Grid_Requirement'!AO27</f>
        <v/>
      </c>
      <c r="AP27">
        <f>AO27+'Grid_Incoming'!AP27-'Grid_Requirement'!AP27</f>
        <v/>
      </c>
      <c r="AQ27">
        <f>AP27+'Grid_Incoming'!AQ27-'Grid_Requirement'!AQ27</f>
        <v/>
      </c>
      <c r="AR27">
        <f>AQ27+'Grid_Incoming'!AR27-'Grid_Requirement'!AR27</f>
        <v/>
      </c>
      <c r="AS27">
        <f>AR27+'Grid_Incoming'!AS27-'Grid_Requirement'!AS27</f>
        <v/>
      </c>
      <c r="AT27">
        <f>AS27+'Grid_Incoming'!AT27-'Grid_Requirement'!AT27</f>
        <v/>
      </c>
      <c r="AU27">
        <f>AT27+'Grid_Incoming'!AU27-'Grid_Requirement'!AU27</f>
        <v/>
      </c>
      <c r="AV27">
        <f>AU27+'Grid_Incoming'!AV27-'Grid_Requirement'!AV27</f>
        <v/>
      </c>
      <c r="AW27">
        <f>AV27+'Grid_Incoming'!AW27-'Grid_Requirement'!AW27</f>
        <v/>
      </c>
      <c r="AX27">
        <f>AW27+'Grid_Incoming'!AX27-'Grid_Requirement'!AX27</f>
        <v/>
      </c>
      <c r="AY27">
        <f>AX27+'Grid_Incoming'!AY27-'Grid_Requirement'!AY27</f>
        <v/>
      </c>
      <c r="AZ27">
        <f>AY27+'Grid_Incoming'!AZ27-'Grid_Requirement'!AZ27</f>
        <v/>
      </c>
      <c r="BA27">
        <f>AZ27+'Grid_Incoming'!BA27-'Grid_Requirement'!BA27</f>
        <v/>
      </c>
      <c r="BB27">
        <f>BA27+'Grid_Incoming'!BB27-'Grid_Requirement'!BB27</f>
        <v/>
      </c>
      <c r="BC27">
        <f>BB27+'Grid_Incoming'!BC27-'Grid_Requirement'!BC27</f>
        <v/>
      </c>
      <c r="BD27">
        <f>BC27+'Grid_Incoming'!BD27-'Grid_Requirement'!BD27</f>
        <v/>
      </c>
      <c r="BE27">
        <f>BD27+'Grid_Incoming'!BE27-'Grid_Requirement'!BE27</f>
        <v/>
      </c>
      <c r="BF27">
        <f>BE27+'Grid_Incoming'!BF27-'Grid_Requirement'!BF27</f>
        <v/>
      </c>
      <c r="BG27">
        <f>BF27+'Grid_Incoming'!BG27-'Grid_Requirement'!BG27</f>
        <v/>
      </c>
      <c r="BH27">
        <f>BG27+'Grid_Incoming'!BH27-'Grid_Requirement'!BH27</f>
        <v/>
      </c>
      <c r="BI27">
        <f>BH27+'Grid_Incoming'!BI27-'Grid_Requirement'!BI27</f>
        <v/>
      </c>
      <c r="BJ27">
        <f>BI27+'Grid_Incoming'!BJ27-'Grid_Requirement'!BJ27</f>
        <v/>
      </c>
      <c r="BK27">
        <f>BJ27+'Grid_Incoming'!BK27-'Grid_Requirement'!BK27</f>
        <v/>
      </c>
      <c r="BL27">
        <f>BK27+'Grid_Incoming'!BL27-'Grid_Requirement'!BL27</f>
        <v/>
      </c>
      <c r="BM27">
        <f>BL27+'Grid_Incoming'!BM27-'Grid_Requirement'!BM27</f>
        <v/>
      </c>
      <c r="BN27">
        <f>BM27+'Grid_Incoming'!BN27-'Grid_Requirement'!BN27</f>
        <v/>
      </c>
      <c r="BO27">
        <f>BN27+'Grid_Incoming'!BO27-'Grid_Requirement'!BO27</f>
        <v/>
      </c>
      <c r="BP27">
        <f>BO27+'Grid_Incoming'!BP27-'Grid_Requirement'!BP27</f>
        <v/>
      </c>
      <c r="BQ27">
        <f>BP27+'Grid_Incoming'!BQ27-'Grid_Requirement'!BQ27</f>
        <v/>
      </c>
      <c r="BR27">
        <f>BQ27+'Grid_Incoming'!BR27-'Grid_Requirement'!BR27</f>
        <v/>
      </c>
      <c r="BS27">
        <f>BR27+'Grid_Incoming'!BS27-'Grid_Requirement'!BS27</f>
        <v/>
      </c>
      <c r="BT27">
        <f>BS27+'Grid_Incoming'!BT27-'Grid_Requirement'!BT27</f>
        <v/>
      </c>
      <c r="BU27">
        <f>BT27+'Grid_Incoming'!BU27-'Grid_Requirement'!BU27</f>
        <v/>
      </c>
      <c r="BV27">
        <f>BU27+'Grid_Incoming'!BV27-'Grid_Requirement'!BV27</f>
        <v/>
      </c>
      <c r="BW27">
        <f>BV27+'Grid_Incoming'!BW27-'Grid_Requirement'!BW27</f>
        <v/>
      </c>
      <c r="BX27">
        <f>BW27+'Grid_Incoming'!BX27-'Grid_Requirement'!BX27</f>
        <v/>
      </c>
      <c r="BY27">
        <f>BX27+'Grid_Incoming'!BY27-'Grid_Requirement'!BY27</f>
        <v/>
      </c>
      <c r="BZ27">
        <f>BY27+'Grid_Incoming'!BZ27-'Grid_Requirement'!BZ27</f>
        <v/>
      </c>
      <c r="CA27">
        <f>BZ27+'Grid_Incoming'!CA27-'Grid_Requirement'!CA27</f>
        <v/>
      </c>
      <c r="CB27">
        <f>CA27+'Grid_Incoming'!CB27-'Grid_Requirement'!CB27</f>
        <v/>
      </c>
      <c r="CC27">
        <f>CB27+'Grid_Incoming'!CC27-'Grid_Requirement'!CC27</f>
        <v/>
      </c>
      <c r="CD27">
        <f>CC27+'Grid_Incoming'!CD27-'Grid_Requirement'!CD27</f>
        <v/>
      </c>
      <c r="CE27">
        <f>CD27+'Grid_Incoming'!CE27-'Grid_Requirement'!CE27</f>
        <v/>
      </c>
      <c r="CF27">
        <f>CE27+'Grid_Incoming'!CF27-'Grid_Requirement'!CF27</f>
        <v/>
      </c>
      <c r="CG27">
        <f>CF27+'Grid_Incoming'!CG27-'Grid_Requirement'!CG27</f>
        <v/>
      </c>
      <c r="CH27">
        <f>CG27+'Grid_Incoming'!CH27-'Grid_Requirement'!CH27</f>
        <v/>
      </c>
      <c r="CI27">
        <f>CH27+'Grid_Incoming'!CI27-'Grid_Requirement'!CI27</f>
        <v/>
      </c>
      <c r="CJ27">
        <f>CI27+'Grid_Incoming'!CJ27-'Grid_Requirement'!CJ27</f>
        <v/>
      </c>
      <c r="CK27">
        <f>CJ27+'Grid_Incoming'!CK27-'Grid_Requirement'!CK27</f>
        <v/>
      </c>
      <c r="CL27">
        <f>CK27+'Grid_Incoming'!CL27-'Grid_Requirement'!CL27</f>
        <v/>
      </c>
      <c r="CM27">
        <f>CL27+'Grid_Incoming'!CM27-'Grid_Requirement'!CM27</f>
        <v/>
      </c>
      <c r="CN27">
        <f>CM27+'Grid_Incoming'!CN27-'Grid_Requirement'!CN27</f>
        <v/>
      </c>
      <c r="CO27">
        <f>CN27+'Grid_Incoming'!CO27-'Grid_Requirement'!CO27</f>
        <v/>
      </c>
      <c r="CP27">
        <f>CO27+'Grid_Incoming'!CP27-'Grid_Requirement'!CP27</f>
        <v/>
      </c>
      <c r="CQ27">
        <f>CP27+'Grid_Incoming'!CQ27-'Grid_Requirement'!CQ27</f>
        <v/>
      </c>
      <c r="CR27">
        <f>CQ27+'Grid_Incoming'!CR27-'Grid_Requirement'!CR27</f>
        <v/>
      </c>
      <c r="CS27">
        <f>CR27+'Grid_Incoming'!CS27-'Grid_Requirement'!CS27</f>
        <v/>
      </c>
      <c r="CT27">
        <f>CS27+'Grid_Incoming'!CT27-'Grid_Requirement'!CT27</f>
        <v/>
      </c>
      <c r="CU27">
        <f>CT27+'Grid_Incoming'!CU27-'Grid_Requirement'!CU27</f>
        <v/>
      </c>
      <c r="CV27">
        <f>CU27+'Grid_Incoming'!CV27-'Grid_Requirement'!CV27</f>
        <v/>
      </c>
      <c r="CW27">
        <f>CV27+'Grid_Incoming'!CW27-'Grid_Requirement'!CW27</f>
        <v/>
      </c>
      <c r="CX27">
        <f>CW27+'Grid_Incoming'!CX27-'Grid_Requirement'!CX27</f>
        <v/>
      </c>
      <c r="CY27">
        <f>CX27+'Grid_Incoming'!CY27-'Grid_Requirement'!CY27</f>
        <v/>
      </c>
      <c r="CZ27">
        <f>CY27+'Grid_Incoming'!CZ27-'Grid_Requirement'!CZ27</f>
        <v/>
      </c>
      <c r="DA27">
        <f>CZ27+'Grid_Incoming'!DA27-'Grid_Requirement'!DA27</f>
        <v/>
      </c>
    </row>
    <row r="28">
      <c r="A28" t="inlineStr">
        <is>
          <t>CHEM-1600</t>
        </is>
      </c>
      <c r="B28">
        <f>IFERROR(INDEX(T_OpeningStock[Opening_Qty],MATCH($A28,T_OpeningStock[Part Name],0)),0)+'Grid_Incoming'!B28-'Grid_Requirement'!B28</f>
        <v/>
      </c>
      <c r="C28">
        <f>B28+'Grid_Incoming'!C28-'Grid_Requirement'!C28</f>
        <v/>
      </c>
      <c r="D28">
        <f>C28+'Grid_Incoming'!D28-'Grid_Requirement'!D28</f>
        <v/>
      </c>
      <c r="E28">
        <f>D28+'Grid_Incoming'!E28-'Grid_Requirement'!E28</f>
        <v/>
      </c>
      <c r="F28">
        <f>E28+'Grid_Incoming'!F28-'Grid_Requirement'!F28</f>
        <v/>
      </c>
      <c r="G28">
        <f>F28+'Grid_Incoming'!G28-'Grid_Requirement'!G28</f>
        <v/>
      </c>
      <c r="H28">
        <f>G28+'Grid_Incoming'!H28-'Grid_Requirement'!H28</f>
        <v/>
      </c>
      <c r="I28">
        <f>H28+'Grid_Incoming'!I28-'Grid_Requirement'!I28</f>
        <v/>
      </c>
      <c r="J28">
        <f>I28+'Grid_Incoming'!J28-'Grid_Requirement'!J28</f>
        <v/>
      </c>
      <c r="K28">
        <f>J28+'Grid_Incoming'!K28-'Grid_Requirement'!K28</f>
        <v/>
      </c>
      <c r="L28">
        <f>K28+'Grid_Incoming'!L28-'Grid_Requirement'!L28</f>
        <v/>
      </c>
      <c r="M28">
        <f>L28+'Grid_Incoming'!M28-'Grid_Requirement'!M28</f>
        <v/>
      </c>
      <c r="N28">
        <f>M28+'Grid_Incoming'!N28-'Grid_Requirement'!N28</f>
        <v/>
      </c>
      <c r="O28">
        <f>N28+'Grid_Incoming'!O28-'Grid_Requirement'!O28</f>
        <v/>
      </c>
      <c r="P28">
        <f>O28+'Grid_Incoming'!P28-'Grid_Requirement'!P28</f>
        <v/>
      </c>
      <c r="Q28">
        <f>P28+'Grid_Incoming'!Q28-'Grid_Requirement'!Q28</f>
        <v/>
      </c>
      <c r="R28">
        <f>Q28+'Grid_Incoming'!R28-'Grid_Requirement'!R28</f>
        <v/>
      </c>
      <c r="S28">
        <f>R28+'Grid_Incoming'!S28-'Grid_Requirement'!S28</f>
        <v/>
      </c>
      <c r="T28">
        <f>S28+'Grid_Incoming'!T28-'Grid_Requirement'!T28</f>
        <v/>
      </c>
      <c r="U28">
        <f>T28+'Grid_Incoming'!U28-'Grid_Requirement'!U28</f>
        <v/>
      </c>
      <c r="V28">
        <f>U28+'Grid_Incoming'!V28-'Grid_Requirement'!V28</f>
        <v/>
      </c>
      <c r="W28">
        <f>V28+'Grid_Incoming'!W28-'Grid_Requirement'!W28</f>
        <v/>
      </c>
      <c r="X28">
        <f>W28+'Grid_Incoming'!X28-'Grid_Requirement'!X28</f>
        <v/>
      </c>
      <c r="Y28">
        <f>X28+'Grid_Incoming'!Y28-'Grid_Requirement'!Y28</f>
        <v/>
      </c>
      <c r="Z28">
        <f>Y28+'Grid_Incoming'!Z28-'Grid_Requirement'!Z28</f>
        <v/>
      </c>
      <c r="AA28">
        <f>Z28+'Grid_Incoming'!AA28-'Grid_Requirement'!AA28</f>
        <v/>
      </c>
      <c r="AB28">
        <f>AA28+'Grid_Incoming'!AB28-'Grid_Requirement'!AB28</f>
        <v/>
      </c>
      <c r="AC28">
        <f>AB28+'Grid_Incoming'!AC28-'Grid_Requirement'!AC28</f>
        <v/>
      </c>
      <c r="AD28">
        <f>AC28+'Grid_Incoming'!AD28-'Grid_Requirement'!AD28</f>
        <v/>
      </c>
      <c r="AE28">
        <f>AD28+'Grid_Incoming'!AE28-'Grid_Requirement'!AE28</f>
        <v/>
      </c>
      <c r="AF28">
        <f>AE28+'Grid_Incoming'!AF28-'Grid_Requirement'!AF28</f>
        <v/>
      </c>
      <c r="AG28">
        <f>AF28+'Grid_Incoming'!AG28-'Grid_Requirement'!AG28</f>
        <v/>
      </c>
      <c r="AH28">
        <f>AG28+'Grid_Incoming'!AH28-'Grid_Requirement'!AH28</f>
        <v/>
      </c>
      <c r="AI28">
        <f>AH28+'Grid_Incoming'!AI28-'Grid_Requirement'!AI28</f>
        <v/>
      </c>
      <c r="AJ28">
        <f>AI28+'Grid_Incoming'!AJ28-'Grid_Requirement'!AJ28</f>
        <v/>
      </c>
      <c r="AK28">
        <f>AJ28+'Grid_Incoming'!AK28-'Grid_Requirement'!AK28</f>
        <v/>
      </c>
      <c r="AL28">
        <f>AK28+'Grid_Incoming'!AL28-'Grid_Requirement'!AL28</f>
        <v/>
      </c>
      <c r="AM28">
        <f>AL28+'Grid_Incoming'!AM28-'Grid_Requirement'!AM28</f>
        <v/>
      </c>
      <c r="AN28">
        <f>AM28+'Grid_Incoming'!AN28-'Grid_Requirement'!AN28</f>
        <v/>
      </c>
      <c r="AO28">
        <f>AN28+'Grid_Incoming'!AO28-'Grid_Requirement'!AO28</f>
        <v/>
      </c>
      <c r="AP28">
        <f>AO28+'Grid_Incoming'!AP28-'Grid_Requirement'!AP28</f>
        <v/>
      </c>
      <c r="AQ28">
        <f>AP28+'Grid_Incoming'!AQ28-'Grid_Requirement'!AQ28</f>
        <v/>
      </c>
      <c r="AR28">
        <f>AQ28+'Grid_Incoming'!AR28-'Grid_Requirement'!AR28</f>
        <v/>
      </c>
      <c r="AS28">
        <f>AR28+'Grid_Incoming'!AS28-'Grid_Requirement'!AS28</f>
        <v/>
      </c>
      <c r="AT28">
        <f>AS28+'Grid_Incoming'!AT28-'Grid_Requirement'!AT28</f>
        <v/>
      </c>
      <c r="AU28">
        <f>AT28+'Grid_Incoming'!AU28-'Grid_Requirement'!AU28</f>
        <v/>
      </c>
      <c r="AV28">
        <f>AU28+'Grid_Incoming'!AV28-'Grid_Requirement'!AV28</f>
        <v/>
      </c>
      <c r="AW28">
        <f>AV28+'Grid_Incoming'!AW28-'Grid_Requirement'!AW28</f>
        <v/>
      </c>
      <c r="AX28">
        <f>AW28+'Grid_Incoming'!AX28-'Grid_Requirement'!AX28</f>
        <v/>
      </c>
      <c r="AY28">
        <f>AX28+'Grid_Incoming'!AY28-'Grid_Requirement'!AY28</f>
        <v/>
      </c>
      <c r="AZ28">
        <f>AY28+'Grid_Incoming'!AZ28-'Grid_Requirement'!AZ28</f>
        <v/>
      </c>
      <c r="BA28">
        <f>AZ28+'Grid_Incoming'!BA28-'Grid_Requirement'!BA28</f>
        <v/>
      </c>
      <c r="BB28">
        <f>BA28+'Grid_Incoming'!BB28-'Grid_Requirement'!BB28</f>
        <v/>
      </c>
      <c r="BC28">
        <f>BB28+'Grid_Incoming'!BC28-'Grid_Requirement'!BC28</f>
        <v/>
      </c>
      <c r="BD28">
        <f>BC28+'Grid_Incoming'!BD28-'Grid_Requirement'!BD28</f>
        <v/>
      </c>
      <c r="BE28">
        <f>BD28+'Grid_Incoming'!BE28-'Grid_Requirement'!BE28</f>
        <v/>
      </c>
      <c r="BF28">
        <f>BE28+'Grid_Incoming'!BF28-'Grid_Requirement'!BF28</f>
        <v/>
      </c>
      <c r="BG28">
        <f>BF28+'Grid_Incoming'!BG28-'Grid_Requirement'!BG28</f>
        <v/>
      </c>
      <c r="BH28">
        <f>BG28+'Grid_Incoming'!BH28-'Grid_Requirement'!BH28</f>
        <v/>
      </c>
      <c r="BI28">
        <f>BH28+'Grid_Incoming'!BI28-'Grid_Requirement'!BI28</f>
        <v/>
      </c>
      <c r="BJ28">
        <f>BI28+'Grid_Incoming'!BJ28-'Grid_Requirement'!BJ28</f>
        <v/>
      </c>
      <c r="BK28">
        <f>BJ28+'Grid_Incoming'!BK28-'Grid_Requirement'!BK28</f>
        <v/>
      </c>
      <c r="BL28">
        <f>BK28+'Grid_Incoming'!BL28-'Grid_Requirement'!BL28</f>
        <v/>
      </c>
      <c r="BM28">
        <f>BL28+'Grid_Incoming'!BM28-'Grid_Requirement'!BM28</f>
        <v/>
      </c>
      <c r="BN28">
        <f>BM28+'Grid_Incoming'!BN28-'Grid_Requirement'!BN28</f>
        <v/>
      </c>
      <c r="BO28">
        <f>BN28+'Grid_Incoming'!BO28-'Grid_Requirement'!BO28</f>
        <v/>
      </c>
      <c r="BP28">
        <f>BO28+'Grid_Incoming'!BP28-'Grid_Requirement'!BP28</f>
        <v/>
      </c>
      <c r="BQ28">
        <f>BP28+'Grid_Incoming'!BQ28-'Grid_Requirement'!BQ28</f>
        <v/>
      </c>
      <c r="BR28">
        <f>BQ28+'Grid_Incoming'!BR28-'Grid_Requirement'!BR28</f>
        <v/>
      </c>
      <c r="BS28">
        <f>BR28+'Grid_Incoming'!BS28-'Grid_Requirement'!BS28</f>
        <v/>
      </c>
      <c r="BT28">
        <f>BS28+'Grid_Incoming'!BT28-'Grid_Requirement'!BT28</f>
        <v/>
      </c>
      <c r="BU28">
        <f>BT28+'Grid_Incoming'!BU28-'Grid_Requirement'!BU28</f>
        <v/>
      </c>
      <c r="BV28">
        <f>BU28+'Grid_Incoming'!BV28-'Grid_Requirement'!BV28</f>
        <v/>
      </c>
      <c r="BW28">
        <f>BV28+'Grid_Incoming'!BW28-'Grid_Requirement'!BW28</f>
        <v/>
      </c>
      <c r="BX28">
        <f>BW28+'Grid_Incoming'!BX28-'Grid_Requirement'!BX28</f>
        <v/>
      </c>
      <c r="BY28">
        <f>BX28+'Grid_Incoming'!BY28-'Grid_Requirement'!BY28</f>
        <v/>
      </c>
      <c r="BZ28">
        <f>BY28+'Grid_Incoming'!BZ28-'Grid_Requirement'!BZ28</f>
        <v/>
      </c>
      <c r="CA28">
        <f>BZ28+'Grid_Incoming'!CA28-'Grid_Requirement'!CA28</f>
        <v/>
      </c>
      <c r="CB28">
        <f>CA28+'Grid_Incoming'!CB28-'Grid_Requirement'!CB28</f>
        <v/>
      </c>
      <c r="CC28">
        <f>CB28+'Grid_Incoming'!CC28-'Grid_Requirement'!CC28</f>
        <v/>
      </c>
      <c r="CD28">
        <f>CC28+'Grid_Incoming'!CD28-'Grid_Requirement'!CD28</f>
        <v/>
      </c>
      <c r="CE28">
        <f>CD28+'Grid_Incoming'!CE28-'Grid_Requirement'!CE28</f>
        <v/>
      </c>
      <c r="CF28">
        <f>CE28+'Grid_Incoming'!CF28-'Grid_Requirement'!CF28</f>
        <v/>
      </c>
      <c r="CG28">
        <f>CF28+'Grid_Incoming'!CG28-'Grid_Requirement'!CG28</f>
        <v/>
      </c>
      <c r="CH28">
        <f>CG28+'Grid_Incoming'!CH28-'Grid_Requirement'!CH28</f>
        <v/>
      </c>
      <c r="CI28">
        <f>CH28+'Grid_Incoming'!CI28-'Grid_Requirement'!CI28</f>
        <v/>
      </c>
      <c r="CJ28">
        <f>CI28+'Grid_Incoming'!CJ28-'Grid_Requirement'!CJ28</f>
        <v/>
      </c>
      <c r="CK28">
        <f>CJ28+'Grid_Incoming'!CK28-'Grid_Requirement'!CK28</f>
        <v/>
      </c>
      <c r="CL28">
        <f>CK28+'Grid_Incoming'!CL28-'Grid_Requirement'!CL28</f>
        <v/>
      </c>
      <c r="CM28">
        <f>CL28+'Grid_Incoming'!CM28-'Grid_Requirement'!CM28</f>
        <v/>
      </c>
      <c r="CN28">
        <f>CM28+'Grid_Incoming'!CN28-'Grid_Requirement'!CN28</f>
        <v/>
      </c>
      <c r="CO28">
        <f>CN28+'Grid_Incoming'!CO28-'Grid_Requirement'!CO28</f>
        <v/>
      </c>
      <c r="CP28">
        <f>CO28+'Grid_Incoming'!CP28-'Grid_Requirement'!CP28</f>
        <v/>
      </c>
      <c r="CQ28">
        <f>CP28+'Grid_Incoming'!CQ28-'Grid_Requirement'!CQ28</f>
        <v/>
      </c>
      <c r="CR28">
        <f>CQ28+'Grid_Incoming'!CR28-'Grid_Requirement'!CR28</f>
        <v/>
      </c>
      <c r="CS28">
        <f>CR28+'Grid_Incoming'!CS28-'Grid_Requirement'!CS28</f>
        <v/>
      </c>
      <c r="CT28">
        <f>CS28+'Grid_Incoming'!CT28-'Grid_Requirement'!CT28</f>
        <v/>
      </c>
      <c r="CU28">
        <f>CT28+'Grid_Incoming'!CU28-'Grid_Requirement'!CU28</f>
        <v/>
      </c>
      <c r="CV28">
        <f>CU28+'Grid_Incoming'!CV28-'Grid_Requirement'!CV28</f>
        <v/>
      </c>
      <c r="CW28">
        <f>CV28+'Grid_Incoming'!CW28-'Grid_Requirement'!CW28</f>
        <v/>
      </c>
      <c r="CX28">
        <f>CW28+'Grid_Incoming'!CX28-'Grid_Requirement'!CX28</f>
        <v/>
      </c>
      <c r="CY28">
        <f>CX28+'Grid_Incoming'!CY28-'Grid_Requirement'!CY28</f>
        <v/>
      </c>
      <c r="CZ28">
        <f>CY28+'Grid_Incoming'!CZ28-'Grid_Requirement'!CZ28</f>
        <v/>
      </c>
      <c r="DA28">
        <f>CZ28+'Grid_Incoming'!DA28-'Grid_Requirement'!DA28</f>
        <v/>
      </c>
    </row>
    <row r="29">
      <c r="A29" t="inlineStr">
        <is>
          <t>CHEM-1120</t>
        </is>
      </c>
      <c r="B29">
        <f>IFERROR(INDEX(T_OpeningStock[Opening_Qty],MATCH($A29,T_OpeningStock[Part Name],0)),0)+'Grid_Incoming'!B29-'Grid_Requirement'!B29</f>
        <v/>
      </c>
      <c r="C29">
        <f>B29+'Grid_Incoming'!C29-'Grid_Requirement'!C29</f>
        <v/>
      </c>
      <c r="D29">
        <f>C29+'Grid_Incoming'!D29-'Grid_Requirement'!D29</f>
        <v/>
      </c>
      <c r="E29">
        <f>D29+'Grid_Incoming'!E29-'Grid_Requirement'!E29</f>
        <v/>
      </c>
      <c r="F29">
        <f>E29+'Grid_Incoming'!F29-'Grid_Requirement'!F29</f>
        <v/>
      </c>
      <c r="G29">
        <f>F29+'Grid_Incoming'!G29-'Grid_Requirement'!G29</f>
        <v/>
      </c>
      <c r="H29">
        <f>G29+'Grid_Incoming'!H29-'Grid_Requirement'!H29</f>
        <v/>
      </c>
      <c r="I29">
        <f>H29+'Grid_Incoming'!I29-'Grid_Requirement'!I29</f>
        <v/>
      </c>
      <c r="J29">
        <f>I29+'Grid_Incoming'!J29-'Grid_Requirement'!J29</f>
        <v/>
      </c>
      <c r="K29">
        <f>J29+'Grid_Incoming'!K29-'Grid_Requirement'!K29</f>
        <v/>
      </c>
      <c r="L29">
        <f>K29+'Grid_Incoming'!L29-'Grid_Requirement'!L29</f>
        <v/>
      </c>
      <c r="M29">
        <f>L29+'Grid_Incoming'!M29-'Grid_Requirement'!M29</f>
        <v/>
      </c>
      <c r="N29">
        <f>M29+'Grid_Incoming'!N29-'Grid_Requirement'!N29</f>
        <v/>
      </c>
      <c r="O29">
        <f>N29+'Grid_Incoming'!O29-'Grid_Requirement'!O29</f>
        <v/>
      </c>
      <c r="P29">
        <f>O29+'Grid_Incoming'!P29-'Grid_Requirement'!P29</f>
        <v/>
      </c>
      <c r="Q29">
        <f>P29+'Grid_Incoming'!Q29-'Grid_Requirement'!Q29</f>
        <v/>
      </c>
      <c r="R29">
        <f>Q29+'Grid_Incoming'!R29-'Grid_Requirement'!R29</f>
        <v/>
      </c>
      <c r="S29">
        <f>R29+'Grid_Incoming'!S29-'Grid_Requirement'!S29</f>
        <v/>
      </c>
      <c r="T29">
        <f>S29+'Grid_Incoming'!T29-'Grid_Requirement'!T29</f>
        <v/>
      </c>
      <c r="U29">
        <f>T29+'Grid_Incoming'!U29-'Grid_Requirement'!U29</f>
        <v/>
      </c>
      <c r="V29">
        <f>U29+'Grid_Incoming'!V29-'Grid_Requirement'!V29</f>
        <v/>
      </c>
      <c r="W29">
        <f>V29+'Grid_Incoming'!W29-'Grid_Requirement'!W29</f>
        <v/>
      </c>
      <c r="X29">
        <f>W29+'Grid_Incoming'!X29-'Grid_Requirement'!X29</f>
        <v/>
      </c>
      <c r="Y29">
        <f>X29+'Grid_Incoming'!Y29-'Grid_Requirement'!Y29</f>
        <v/>
      </c>
      <c r="Z29">
        <f>Y29+'Grid_Incoming'!Z29-'Grid_Requirement'!Z29</f>
        <v/>
      </c>
      <c r="AA29">
        <f>Z29+'Grid_Incoming'!AA29-'Grid_Requirement'!AA29</f>
        <v/>
      </c>
      <c r="AB29">
        <f>AA29+'Grid_Incoming'!AB29-'Grid_Requirement'!AB29</f>
        <v/>
      </c>
      <c r="AC29">
        <f>AB29+'Grid_Incoming'!AC29-'Grid_Requirement'!AC29</f>
        <v/>
      </c>
      <c r="AD29">
        <f>AC29+'Grid_Incoming'!AD29-'Grid_Requirement'!AD29</f>
        <v/>
      </c>
      <c r="AE29">
        <f>AD29+'Grid_Incoming'!AE29-'Grid_Requirement'!AE29</f>
        <v/>
      </c>
      <c r="AF29">
        <f>AE29+'Grid_Incoming'!AF29-'Grid_Requirement'!AF29</f>
        <v/>
      </c>
      <c r="AG29">
        <f>AF29+'Grid_Incoming'!AG29-'Grid_Requirement'!AG29</f>
        <v/>
      </c>
      <c r="AH29">
        <f>AG29+'Grid_Incoming'!AH29-'Grid_Requirement'!AH29</f>
        <v/>
      </c>
      <c r="AI29">
        <f>AH29+'Grid_Incoming'!AI29-'Grid_Requirement'!AI29</f>
        <v/>
      </c>
      <c r="AJ29">
        <f>AI29+'Grid_Incoming'!AJ29-'Grid_Requirement'!AJ29</f>
        <v/>
      </c>
      <c r="AK29">
        <f>AJ29+'Grid_Incoming'!AK29-'Grid_Requirement'!AK29</f>
        <v/>
      </c>
      <c r="AL29">
        <f>AK29+'Grid_Incoming'!AL29-'Grid_Requirement'!AL29</f>
        <v/>
      </c>
      <c r="AM29">
        <f>AL29+'Grid_Incoming'!AM29-'Grid_Requirement'!AM29</f>
        <v/>
      </c>
      <c r="AN29">
        <f>AM29+'Grid_Incoming'!AN29-'Grid_Requirement'!AN29</f>
        <v/>
      </c>
      <c r="AO29">
        <f>AN29+'Grid_Incoming'!AO29-'Grid_Requirement'!AO29</f>
        <v/>
      </c>
      <c r="AP29">
        <f>AO29+'Grid_Incoming'!AP29-'Grid_Requirement'!AP29</f>
        <v/>
      </c>
      <c r="AQ29">
        <f>AP29+'Grid_Incoming'!AQ29-'Grid_Requirement'!AQ29</f>
        <v/>
      </c>
      <c r="AR29">
        <f>AQ29+'Grid_Incoming'!AR29-'Grid_Requirement'!AR29</f>
        <v/>
      </c>
      <c r="AS29">
        <f>AR29+'Grid_Incoming'!AS29-'Grid_Requirement'!AS29</f>
        <v/>
      </c>
      <c r="AT29">
        <f>AS29+'Grid_Incoming'!AT29-'Grid_Requirement'!AT29</f>
        <v/>
      </c>
      <c r="AU29">
        <f>AT29+'Grid_Incoming'!AU29-'Grid_Requirement'!AU29</f>
        <v/>
      </c>
      <c r="AV29">
        <f>AU29+'Grid_Incoming'!AV29-'Grid_Requirement'!AV29</f>
        <v/>
      </c>
      <c r="AW29">
        <f>AV29+'Grid_Incoming'!AW29-'Grid_Requirement'!AW29</f>
        <v/>
      </c>
      <c r="AX29">
        <f>AW29+'Grid_Incoming'!AX29-'Grid_Requirement'!AX29</f>
        <v/>
      </c>
      <c r="AY29">
        <f>AX29+'Grid_Incoming'!AY29-'Grid_Requirement'!AY29</f>
        <v/>
      </c>
      <c r="AZ29">
        <f>AY29+'Grid_Incoming'!AZ29-'Grid_Requirement'!AZ29</f>
        <v/>
      </c>
      <c r="BA29">
        <f>AZ29+'Grid_Incoming'!BA29-'Grid_Requirement'!BA29</f>
        <v/>
      </c>
      <c r="BB29">
        <f>BA29+'Grid_Incoming'!BB29-'Grid_Requirement'!BB29</f>
        <v/>
      </c>
      <c r="BC29">
        <f>BB29+'Grid_Incoming'!BC29-'Grid_Requirement'!BC29</f>
        <v/>
      </c>
      <c r="BD29">
        <f>BC29+'Grid_Incoming'!BD29-'Grid_Requirement'!BD29</f>
        <v/>
      </c>
      <c r="BE29">
        <f>BD29+'Grid_Incoming'!BE29-'Grid_Requirement'!BE29</f>
        <v/>
      </c>
      <c r="BF29">
        <f>BE29+'Grid_Incoming'!BF29-'Grid_Requirement'!BF29</f>
        <v/>
      </c>
      <c r="BG29">
        <f>BF29+'Grid_Incoming'!BG29-'Grid_Requirement'!BG29</f>
        <v/>
      </c>
      <c r="BH29">
        <f>BG29+'Grid_Incoming'!BH29-'Grid_Requirement'!BH29</f>
        <v/>
      </c>
      <c r="BI29">
        <f>BH29+'Grid_Incoming'!BI29-'Grid_Requirement'!BI29</f>
        <v/>
      </c>
      <c r="BJ29">
        <f>BI29+'Grid_Incoming'!BJ29-'Grid_Requirement'!BJ29</f>
        <v/>
      </c>
      <c r="BK29">
        <f>BJ29+'Grid_Incoming'!BK29-'Grid_Requirement'!BK29</f>
        <v/>
      </c>
      <c r="BL29">
        <f>BK29+'Grid_Incoming'!BL29-'Grid_Requirement'!BL29</f>
        <v/>
      </c>
      <c r="BM29">
        <f>BL29+'Grid_Incoming'!BM29-'Grid_Requirement'!BM29</f>
        <v/>
      </c>
      <c r="BN29">
        <f>BM29+'Grid_Incoming'!BN29-'Grid_Requirement'!BN29</f>
        <v/>
      </c>
      <c r="BO29">
        <f>BN29+'Grid_Incoming'!BO29-'Grid_Requirement'!BO29</f>
        <v/>
      </c>
      <c r="BP29">
        <f>BO29+'Grid_Incoming'!BP29-'Grid_Requirement'!BP29</f>
        <v/>
      </c>
      <c r="BQ29">
        <f>BP29+'Grid_Incoming'!BQ29-'Grid_Requirement'!BQ29</f>
        <v/>
      </c>
      <c r="BR29">
        <f>BQ29+'Grid_Incoming'!BR29-'Grid_Requirement'!BR29</f>
        <v/>
      </c>
      <c r="BS29">
        <f>BR29+'Grid_Incoming'!BS29-'Grid_Requirement'!BS29</f>
        <v/>
      </c>
      <c r="BT29">
        <f>BS29+'Grid_Incoming'!BT29-'Grid_Requirement'!BT29</f>
        <v/>
      </c>
      <c r="BU29">
        <f>BT29+'Grid_Incoming'!BU29-'Grid_Requirement'!BU29</f>
        <v/>
      </c>
      <c r="BV29">
        <f>BU29+'Grid_Incoming'!BV29-'Grid_Requirement'!BV29</f>
        <v/>
      </c>
      <c r="BW29">
        <f>BV29+'Grid_Incoming'!BW29-'Grid_Requirement'!BW29</f>
        <v/>
      </c>
      <c r="BX29">
        <f>BW29+'Grid_Incoming'!BX29-'Grid_Requirement'!BX29</f>
        <v/>
      </c>
      <c r="BY29">
        <f>BX29+'Grid_Incoming'!BY29-'Grid_Requirement'!BY29</f>
        <v/>
      </c>
      <c r="BZ29">
        <f>BY29+'Grid_Incoming'!BZ29-'Grid_Requirement'!BZ29</f>
        <v/>
      </c>
      <c r="CA29">
        <f>BZ29+'Grid_Incoming'!CA29-'Grid_Requirement'!CA29</f>
        <v/>
      </c>
      <c r="CB29">
        <f>CA29+'Grid_Incoming'!CB29-'Grid_Requirement'!CB29</f>
        <v/>
      </c>
      <c r="CC29">
        <f>CB29+'Grid_Incoming'!CC29-'Grid_Requirement'!CC29</f>
        <v/>
      </c>
      <c r="CD29">
        <f>CC29+'Grid_Incoming'!CD29-'Grid_Requirement'!CD29</f>
        <v/>
      </c>
      <c r="CE29">
        <f>CD29+'Grid_Incoming'!CE29-'Grid_Requirement'!CE29</f>
        <v/>
      </c>
      <c r="CF29">
        <f>CE29+'Grid_Incoming'!CF29-'Grid_Requirement'!CF29</f>
        <v/>
      </c>
      <c r="CG29">
        <f>CF29+'Grid_Incoming'!CG29-'Grid_Requirement'!CG29</f>
        <v/>
      </c>
      <c r="CH29">
        <f>CG29+'Grid_Incoming'!CH29-'Grid_Requirement'!CH29</f>
        <v/>
      </c>
      <c r="CI29">
        <f>CH29+'Grid_Incoming'!CI29-'Grid_Requirement'!CI29</f>
        <v/>
      </c>
      <c r="CJ29">
        <f>CI29+'Grid_Incoming'!CJ29-'Grid_Requirement'!CJ29</f>
        <v/>
      </c>
      <c r="CK29">
        <f>CJ29+'Grid_Incoming'!CK29-'Grid_Requirement'!CK29</f>
        <v/>
      </c>
      <c r="CL29">
        <f>CK29+'Grid_Incoming'!CL29-'Grid_Requirement'!CL29</f>
        <v/>
      </c>
      <c r="CM29">
        <f>CL29+'Grid_Incoming'!CM29-'Grid_Requirement'!CM29</f>
        <v/>
      </c>
      <c r="CN29">
        <f>CM29+'Grid_Incoming'!CN29-'Grid_Requirement'!CN29</f>
        <v/>
      </c>
      <c r="CO29">
        <f>CN29+'Grid_Incoming'!CO29-'Grid_Requirement'!CO29</f>
        <v/>
      </c>
      <c r="CP29">
        <f>CO29+'Grid_Incoming'!CP29-'Grid_Requirement'!CP29</f>
        <v/>
      </c>
      <c r="CQ29">
        <f>CP29+'Grid_Incoming'!CQ29-'Grid_Requirement'!CQ29</f>
        <v/>
      </c>
      <c r="CR29">
        <f>CQ29+'Grid_Incoming'!CR29-'Grid_Requirement'!CR29</f>
        <v/>
      </c>
      <c r="CS29">
        <f>CR29+'Grid_Incoming'!CS29-'Grid_Requirement'!CS29</f>
        <v/>
      </c>
      <c r="CT29">
        <f>CS29+'Grid_Incoming'!CT29-'Grid_Requirement'!CT29</f>
        <v/>
      </c>
      <c r="CU29">
        <f>CT29+'Grid_Incoming'!CU29-'Grid_Requirement'!CU29</f>
        <v/>
      </c>
      <c r="CV29">
        <f>CU29+'Grid_Incoming'!CV29-'Grid_Requirement'!CV29</f>
        <v/>
      </c>
      <c r="CW29">
        <f>CV29+'Grid_Incoming'!CW29-'Grid_Requirement'!CW29</f>
        <v/>
      </c>
      <c r="CX29">
        <f>CW29+'Grid_Incoming'!CX29-'Grid_Requirement'!CX29</f>
        <v/>
      </c>
      <c r="CY29">
        <f>CX29+'Grid_Incoming'!CY29-'Grid_Requirement'!CY29</f>
        <v/>
      </c>
      <c r="CZ29">
        <f>CY29+'Grid_Incoming'!CZ29-'Grid_Requirement'!CZ29</f>
        <v/>
      </c>
      <c r="DA29">
        <f>CZ29+'Grid_Incoming'!DA29-'Grid_Requirement'!DA29</f>
        <v/>
      </c>
    </row>
    <row r="30">
      <c r="A30" t="inlineStr">
        <is>
          <t>CHEM-1550</t>
        </is>
      </c>
      <c r="B30">
        <f>IFERROR(INDEX(T_OpeningStock[Opening_Qty],MATCH($A30,T_OpeningStock[Part Name],0)),0)+'Grid_Incoming'!B30-'Grid_Requirement'!B30</f>
        <v/>
      </c>
      <c r="C30">
        <f>B30+'Grid_Incoming'!C30-'Grid_Requirement'!C30</f>
        <v/>
      </c>
      <c r="D30">
        <f>C30+'Grid_Incoming'!D30-'Grid_Requirement'!D30</f>
        <v/>
      </c>
      <c r="E30">
        <f>D30+'Grid_Incoming'!E30-'Grid_Requirement'!E30</f>
        <v/>
      </c>
      <c r="F30">
        <f>E30+'Grid_Incoming'!F30-'Grid_Requirement'!F30</f>
        <v/>
      </c>
      <c r="G30">
        <f>F30+'Grid_Incoming'!G30-'Grid_Requirement'!G30</f>
        <v/>
      </c>
      <c r="H30">
        <f>G30+'Grid_Incoming'!H30-'Grid_Requirement'!H30</f>
        <v/>
      </c>
      <c r="I30">
        <f>H30+'Grid_Incoming'!I30-'Grid_Requirement'!I30</f>
        <v/>
      </c>
      <c r="J30">
        <f>I30+'Grid_Incoming'!J30-'Grid_Requirement'!J30</f>
        <v/>
      </c>
      <c r="K30">
        <f>J30+'Grid_Incoming'!K30-'Grid_Requirement'!K30</f>
        <v/>
      </c>
      <c r="L30">
        <f>K30+'Grid_Incoming'!L30-'Grid_Requirement'!L30</f>
        <v/>
      </c>
      <c r="M30">
        <f>L30+'Grid_Incoming'!M30-'Grid_Requirement'!M30</f>
        <v/>
      </c>
      <c r="N30">
        <f>M30+'Grid_Incoming'!N30-'Grid_Requirement'!N30</f>
        <v/>
      </c>
      <c r="O30">
        <f>N30+'Grid_Incoming'!O30-'Grid_Requirement'!O30</f>
        <v/>
      </c>
      <c r="P30">
        <f>O30+'Grid_Incoming'!P30-'Grid_Requirement'!P30</f>
        <v/>
      </c>
      <c r="Q30">
        <f>P30+'Grid_Incoming'!Q30-'Grid_Requirement'!Q30</f>
        <v/>
      </c>
      <c r="R30">
        <f>Q30+'Grid_Incoming'!R30-'Grid_Requirement'!R30</f>
        <v/>
      </c>
      <c r="S30">
        <f>R30+'Grid_Incoming'!S30-'Grid_Requirement'!S30</f>
        <v/>
      </c>
      <c r="T30">
        <f>S30+'Grid_Incoming'!T30-'Grid_Requirement'!T30</f>
        <v/>
      </c>
      <c r="U30">
        <f>T30+'Grid_Incoming'!U30-'Grid_Requirement'!U30</f>
        <v/>
      </c>
      <c r="V30">
        <f>U30+'Grid_Incoming'!V30-'Grid_Requirement'!V30</f>
        <v/>
      </c>
      <c r="W30">
        <f>V30+'Grid_Incoming'!W30-'Grid_Requirement'!W30</f>
        <v/>
      </c>
      <c r="X30">
        <f>W30+'Grid_Incoming'!X30-'Grid_Requirement'!X30</f>
        <v/>
      </c>
      <c r="Y30">
        <f>X30+'Grid_Incoming'!Y30-'Grid_Requirement'!Y30</f>
        <v/>
      </c>
      <c r="Z30">
        <f>Y30+'Grid_Incoming'!Z30-'Grid_Requirement'!Z30</f>
        <v/>
      </c>
      <c r="AA30">
        <f>Z30+'Grid_Incoming'!AA30-'Grid_Requirement'!AA30</f>
        <v/>
      </c>
      <c r="AB30">
        <f>AA30+'Grid_Incoming'!AB30-'Grid_Requirement'!AB30</f>
        <v/>
      </c>
      <c r="AC30">
        <f>AB30+'Grid_Incoming'!AC30-'Grid_Requirement'!AC30</f>
        <v/>
      </c>
      <c r="AD30">
        <f>AC30+'Grid_Incoming'!AD30-'Grid_Requirement'!AD30</f>
        <v/>
      </c>
      <c r="AE30">
        <f>AD30+'Grid_Incoming'!AE30-'Grid_Requirement'!AE30</f>
        <v/>
      </c>
      <c r="AF30">
        <f>AE30+'Grid_Incoming'!AF30-'Grid_Requirement'!AF30</f>
        <v/>
      </c>
      <c r="AG30">
        <f>AF30+'Grid_Incoming'!AG30-'Grid_Requirement'!AG30</f>
        <v/>
      </c>
      <c r="AH30">
        <f>AG30+'Grid_Incoming'!AH30-'Grid_Requirement'!AH30</f>
        <v/>
      </c>
      <c r="AI30">
        <f>AH30+'Grid_Incoming'!AI30-'Grid_Requirement'!AI30</f>
        <v/>
      </c>
      <c r="AJ30">
        <f>AI30+'Grid_Incoming'!AJ30-'Grid_Requirement'!AJ30</f>
        <v/>
      </c>
      <c r="AK30">
        <f>AJ30+'Grid_Incoming'!AK30-'Grid_Requirement'!AK30</f>
        <v/>
      </c>
      <c r="AL30">
        <f>AK30+'Grid_Incoming'!AL30-'Grid_Requirement'!AL30</f>
        <v/>
      </c>
      <c r="AM30">
        <f>AL30+'Grid_Incoming'!AM30-'Grid_Requirement'!AM30</f>
        <v/>
      </c>
      <c r="AN30">
        <f>AM30+'Grid_Incoming'!AN30-'Grid_Requirement'!AN30</f>
        <v/>
      </c>
      <c r="AO30">
        <f>AN30+'Grid_Incoming'!AO30-'Grid_Requirement'!AO30</f>
        <v/>
      </c>
      <c r="AP30">
        <f>AO30+'Grid_Incoming'!AP30-'Grid_Requirement'!AP30</f>
        <v/>
      </c>
      <c r="AQ30">
        <f>AP30+'Grid_Incoming'!AQ30-'Grid_Requirement'!AQ30</f>
        <v/>
      </c>
      <c r="AR30">
        <f>AQ30+'Grid_Incoming'!AR30-'Grid_Requirement'!AR30</f>
        <v/>
      </c>
      <c r="AS30">
        <f>AR30+'Grid_Incoming'!AS30-'Grid_Requirement'!AS30</f>
        <v/>
      </c>
      <c r="AT30">
        <f>AS30+'Grid_Incoming'!AT30-'Grid_Requirement'!AT30</f>
        <v/>
      </c>
      <c r="AU30">
        <f>AT30+'Grid_Incoming'!AU30-'Grid_Requirement'!AU30</f>
        <v/>
      </c>
      <c r="AV30">
        <f>AU30+'Grid_Incoming'!AV30-'Grid_Requirement'!AV30</f>
        <v/>
      </c>
      <c r="AW30">
        <f>AV30+'Grid_Incoming'!AW30-'Grid_Requirement'!AW30</f>
        <v/>
      </c>
      <c r="AX30">
        <f>AW30+'Grid_Incoming'!AX30-'Grid_Requirement'!AX30</f>
        <v/>
      </c>
      <c r="AY30">
        <f>AX30+'Grid_Incoming'!AY30-'Grid_Requirement'!AY30</f>
        <v/>
      </c>
      <c r="AZ30">
        <f>AY30+'Grid_Incoming'!AZ30-'Grid_Requirement'!AZ30</f>
        <v/>
      </c>
      <c r="BA30">
        <f>AZ30+'Grid_Incoming'!BA30-'Grid_Requirement'!BA30</f>
        <v/>
      </c>
      <c r="BB30">
        <f>BA30+'Grid_Incoming'!BB30-'Grid_Requirement'!BB30</f>
        <v/>
      </c>
      <c r="BC30">
        <f>BB30+'Grid_Incoming'!BC30-'Grid_Requirement'!BC30</f>
        <v/>
      </c>
      <c r="BD30">
        <f>BC30+'Grid_Incoming'!BD30-'Grid_Requirement'!BD30</f>
        <v/>
      </c>
      <c r="BE30">
        <f>BD30+'Grid_Incoming'!BE30-'Grid_Requirement'!BE30</f>
        <v/>
      </c>
      <c r="BF30">
        <f>BE30+'Grid_Incoming'!BF30-'Grid_Requirement'!BF30</f>
        <v/>
      </c>
      <c r="BG30">
        <f>BF30+'Grid_Incoming'!BG30-'Grid_Requirement'!BG30</f>
        <v/>
      </c>
      <c r="BH30">
        <f>BG30+'Grid_Incoming'!BH30-'Grid_Requirement'!BH30</f>
        <v/>
      </c>
      <c r="BI30">
        <f>BH30+'Grid_Incoming'!BI30-'Grid_Requirement'!BI30</f>
        <v/>
      </c>
      <c r="BJ30">
        <f>BI30+'Grid_Incoming'!BJ30-'Grid_Requirement'!BJ30</f>
        <v/>
      </c>
      <c r="BK30">
        <f>BJ30+'Grid_Incoming'!BK30-'Grid_Requirement'!BK30</f>
        <v/>
      </c>
      <c r="BL30">
        <f>BK30+'Grid_Incoming'!BL30-'Grid_Requirement'!BL30</f>
        <v/>
      </c>
      <c r="BM30">
        <f>BL30+'Grid_Incoming'!BM30-'Grid_Requirement'!BM30</f>
        <v/>
      </c>
      <c r="BN30">
        <f>BM30+'Grid_Incoming'!BN30-'Grid_Requirement'!BN30</f>
        <v/>
      </c>
      <c r="BO30">
        <f>BN30+'Grid_Incoming'!BO30-'Grid_Requirement'!BO30</f>
        <v/>
      </c>
      <c r="BP30">
        <f>BO30+'Grid_Incoming'!BP30-'Grid_Requirement'!BP30</f>
        <v/>
      </c>
      <c r="BQ30">
        <f>BP30+'Grid_Incoming'!BQ30-'Grid_Requirement'!BQ30</f>
        <v/>
      </c>
      <c r="BR30">
        <f>BQ30+'Grid_Incoming'!BR30-'Grid_Requirement'!BR30</f>
        <v/>
      </c>
      <c r="BS30">
        <f>BR30+'Grid_Incoming'!BS30-'Grid_Requirement'!BS30</f>
        <v/>
      </c>
      <c r="BT30">
        <f>BS30+'Grid_Incoming'!BT30-'Grid_Requirement'!BT30</f>
        <v/>
      </c>
      <c r="BU30">
        <f>BT30+'Grid_Incoming'!BU30-'Grid_Requirement'!BU30</f>
        <v/>
      </c>
      <c r="BV30">
        <f>BU30+'Grid_Incoming'!BV30-'Grid_Requirement'!BV30</f>
        <v/>
      </c>
      <c r="BW30">
        <f>BV30+'Grid_Incoming'!BW30-'Grid_Requirement'!BW30</f>
        <v/>
      </c>
      <c r="BX30">
        <f>BW30+'Grid_Incoming'!BX30-'Grid_Requirement'!BX30</f>
        <v/>
      </c>
      <c r="BY30">
        <f>BX30+'Grid_Incoming'!BY30-'Grid_Requirement'!BY30</f>
        <v/>
      </c>
      <c r="BZ30">
        <f>BY30+'Grid_Incoming'!BZ30-'Grid_Requirement'!BZ30</f>
        <v/>
      </c>
      <c r="CA30">
        <f>BZ30+'Grid_Incoming'!CA30-'Grid_Requirement'!CA30</f>
        <v/>
      </c>
      <c r="CB30">
        <f>CA30+'Grid_Incoming'!CB30-'Grid_Requirement'!CB30</f>
        <v/>
      </c>
      <c r="CC30">
        <f>CB30+'Grid_Incoming'!CC30-'Grid_Requirement'!CC30</f>
        <v/>
      </c>
      <c r="CD30">
        <f>CC30+'Grid_Incoming'!CD30-'Grid_Requirement'!CD30</f>
        <v/>
      </c>
      <c r="CE30">
        <f>CD30+'Grid_Incoming'!CE30-'Grid_Requirement'!CE30</f>
        <v/>
      </c>
      <c r="CF30">
        <f>CE30+'Grid_Incoming'!CF30-'Grid_Requirement'!CF30</f>
        <v/>
      </c>
      <c r="CG30">
        <f>CF30+'Grid_Incoming'!CG30-'Grid_Requirement'!CG30</f>
        <v/>
      </c>
      <c r="CH30">
        <f>CG30+'Grid_Incoming'!CH30-'Grid_Requirement'!CH30</f>
        <v/>
      </c>
      <c r="CI30">
        <f>CH30+'Grid_Incoming'!CI30-'Grid_Requirement'!CI30</f>
        <v/>
      </c>
      <c r="CJ30">
        <f>CI30+'Grid_Incoming'!CJ30-'Grid_Requirement'!CJ30</f>
        <v/>
      </c>
      <c r="CK30">
        <f>CJ30+'Grid_Incoming'!CK30-'Grid_Requirement'!CK30</f>
        <v/>
      </c>
      <c r="CL30">
        <f>CK30+'Grid_Incoming'!CL30-'Grid_Requirement'!CL30</f>
        <v/>
      </c>
      <c r="CM30">
        <f>CL30+'Grid_Incoming'!CM30-'Grid_Requirement'!CM30</f>
        <v/>
      </c>
      <c r="CN30">
        <f>CM30+'Grid_Incoming'!CN30-'Grid_Requirement'!CN30</f>
        <v/>
      </c>
      <c r="CO30">
        <f>CN30+'Grid_Incoming'!CO30-'Grid_Requirement'!CO30</f>
        <v/>
      </c>
      <c r="CP30">
        <f>CO30+'Grid_Incoming'!CP30-'Grid_Requirement'!CP30</f>
        <v/>
      </c>
      <c r="CQ30">
        <f>CP30+'Grid_Incoming'!CQ30-'Grid_Requirement'!CQ30</f>
        <v/>
      </c>
      <c r="CR30">
        <f>CQ30+'Grid_Incoming'!CR30-'Grid_Requirement'!CR30</f>
        <v/>
      </c>
      <c r="CS30">
        <f>CR30+'Grid_Incoming'!CS30-'Grid_Requirement'!CS30</f>
        <v/>
      </c>
      <c r="CT30">
        <f>CS30+'Grid_Incoming'!CT30-'Grid_Requirement'!CT30</f>
        <v/>
      </c>
      <c r="CU30">
        <f>CT30+'Grid_Incoming'!CU30-'Grid_Requirement'!CU30</f>
        <v/>
      </c>
      <c r="CV30">
        <f>CU30+'Grid_Incoming'!CV30-'Grid_Requirement'!CV30</f>
        <v/>
      </c>
      <c r="CW30">
        <f>CV30+'Grid_Incoming'!CW30-'Grid_Requirement'!CW30</f>
        <v/>
      </c>
      <c r="CX30">
        <f>CW30+'Grid_Incoming'!CX30-'Grid_Requirement'!CX30</f>
        <v/>
      </c>
      <c r="CY30">
        <f>CX30+'Grid_Incoming'!CY30-'Grid_Requirement'!CY30</f>
        <v/>
      </c>
      <c r="CZ30">
        <f>CY30+'Grid_Incoming'!CZ30-'Grid_Requirement'!CZ30</f>
        <v/>
      </c>
      <c r="DA30">
        <f>CZ30+'Grid_Incoming'!DA30-'Grid_Requirement'!DA30</f>
        <v/>
      </c>
    </row>
    <row r="31">
      <c r="A31" t="inlineStr">
        <is>
          <t>CHEM-1440</t>
        </is>
      </c>
      <c r="B31">
        <f>IFERROR(INDEX(T_OpeningStock[Opening_Qty],MATCH($A31,T_OpeningStock[Part Name],0)),0)+'Grid_Incoming'!B31-'Grid_Requirement'!B31</f>
        <v/>
      </c>
      <c r="C31">
        <f>B31+'Grid_Incoming'!C31-'Grid_Requirement'!C31</f>
        <v/>
      </c>
      <c r="D31">
        <f>C31+'Grid_Incoming'!D31-'Grid_Requirement'!D31</f>
        <v/>
      </c>
      <c r="E31">
        <f>D31+'Grid_Incoming'!E31-'Grid_Requirement'!E31</f>
        <v/>
      </c>
      <c r="F31">
        <f>E31+'Grid_Incoming'!F31-'Grid_Requirement'!F31</f>
        <v/>
      </c>
      <c r="G31">
        <f>F31+'Grid_Incoming'!G31-'Grid_Requirement'!G31</f>
        <v/>
      </c>
      <c r="H31">
        <f>G31+'Grid_Incoming'!H31-'Grid_Requirement'!H31</f>
        <v/>
      </c>
      <c r="I31">
        <f>H31+'Grid_Incoming'!I31-'Grid_Requirement'!I31</f>
        <v/>
      </c>
      <c r="J31">
        <f>I31+'Grid_Incoming'!J31-'Grid_Requirement'!J31</f>
        <v/>
      </c>
      <c r="K31">
        <f>J31+'Grid_Incoming'!K31-'Grid_Requirement'!K31</f>
        <v/>
      </c>
      <c r="L31">
        <f>K31+'Grid_Incoming'!L31-'Grid_Requirement'!L31</f>
        <v/>
      </c>
      <c r="M31">
        <f>L31+'Grid_Incoming'!M31-'Grid_Requirement'!M31</f>
        <v/>
      </c>
      <c r="N31">
        <f>M31+'Grid_Incoming'!N31-'Grid_Requirement'!N31</f>
        <v/>
      </c>
      <c r="O31">
        <f>N31+'Grid_Incoming'!O31-'Grid_Requirement'!O31</f>
        <v/>
      </c>
      <c r="P31">
        <f>O31+'Grid_Incoming'!P31-'Grid_Requirement'!P31</f>
        <v/>
      </c>
      <c r="Q31">
        <f>P31+'Grid_Incoming'!Q31-'Grid_Requirement'!Q31</f>
        <v/>
      </c>
      <c r="R31">
        <f>Q31+'Grid_Incoming'!R31-'Grid_Requirement'!R31</f>
        <v/>
      </c>
      <c r="S31">
        <f>R31+'Grid_Incoming'!S31-'Grid_Requirement'!S31</f>
        <v/>
      </c>
      <c r="T31">
        <f>S31+'Grid_Incoming'!T31-'Grid_Requirement'!T31</f>
        <v/>
      </c>
      <c r="U31">
        <f>T31+'Grid_Incoming'!U31-'Grid_Requirement'!U31</f>
        <v/>
      </c>
      <c r="V31">
        <f>U31+'Grid_Incoming'!V31-'Grid_Requirement'!V31</f>
        <v/>
      </c>
      <c r="W31">
        <f>V31+'Grid_Incoming'!W31-'Grid_Requirement'!W31</f>
        <v/>
      </c>
      <c r="X31">
        <f>W31+'Grid_Incoming'!X31-'Grid_Requirement'!X31</f>
        <v/>
      </c>
      <c r="Y31">
        <f>X31+'Grid_Incoming'!Y31-'Grid_Requirement'!Y31</f>
        <v/>
      </c>
      <c r="Z31">
        <f>Y31+'Grid_Incoming'!Z31-'Grid_Requirement'!Z31</f>
        <v/>
      </c>
      <c r="AA31">
        <f>Z31+'Grid_Incoming'!AA31-'Grid_Requirement'!AA31</f>
        <v/>
      </c>
      <c r="AB31">
        <f>AA31+'Grid_Incoming'!AB31-'Grid_Requirement'!AB31</f>
        <v/>
      </c>
      <c r="AC31">
        <f>AB31+'Grid_Incoming'!AC31-'Grid_Requirement'!AC31</f>
        <v/>
      </c>
      <c r="AD31">
        <f>AC31+'Grid_Incoming'!AD31-'Grid_Requirement'!AD31</f>
        <v/>
      </c>
      <c r="AE31">
        <f>AD31+'Grid_Incoming'!AE31-'Grid_Requirement'!AE31</f>
        <v/>
      </c>
      <c r="AF31">
        <f>AE31+'Grid_Incoming'!AF31-'Grid_Requirement'!AF31</f>
        <v/>
      </c>
      <c r="AG31">
        <f>AF31+'Grid_Incoming'!AG31-'Grid_Requirement'!AG31</f>
        <v/>
      </c>
      <c r="AH31">
        <f>AG31+'Grid_Incoming'!AH31-'Grid_Requirement'!AH31</f>
        <v/>
      </c>
      <c r="AI31">
        <f>AH31+'Grid_Incoming'!AI31-'Grid_Requirement'!AI31</f>
        <v/>
      </c>
      <c r="AJ31">
        <f>AI31+'Grid_Incoming'!AJ31-'Grid_Requirement'!AJ31</f>
        <v/>
      </c>
      <c r="AK31">
        <f>AJ31+'Grid_Incoming'!AK31-'Grid_Requirement'!AK31</f>
        <v/>
      </c>
      <c r="AL31">
        <f>AK31+'Grid_Incoming'!AL31-'Grid_Requirement'!AL31</f>
        <v/>
      </c>
      <c r="AM31">
        <f>AL31+'Grid_Incoming'!AM31-'Grid_Requirement'!AM31</f>
        <v/>
      </c>
      <c r="AN31">
        <f>AM31+'Grid_Incoming'!AN31-'Grid_Requirement'!AN31</f>
        <v/>
      </c>
      <c r="AO31">
        <f>AN31+'Grid_Incoming'!AO31-'Grid_Requirement'!AO31</f>
        <v/>
      </c>
      <c r="AP31">
        <f>AO31+'Grid_Incoming'!AP31-'Grid_Requirement'!AP31</f>
        <v/>
      </c>
      <c r="AQ31">
        <f>AP31+'Grid_Incoming'!AQ31-'Grid_Requirement'!AQ31</f>
        <v/>
      </c>
      <c r="AR31">
        <f>AQ31+'Grid_Incoming'!AR31-'Grid_Requirement'!AR31</f>
        <v/>
      </c>
      <c r="AS31">
        <f>AR31+'Grid_Incoming'!AS31-'Grid_Requirement'!AS31</f>
        <v/>
      </c>
      <c r="AT31">
        <f>AS31+'Grid_Incoming'!AT31-'Grid_Requirement'!AT31</f>
        <v/>
      </c>
      <c r="AU31">
        <f>AT31+'Grid_Incoming'!AU31-'Grid_Requirement'!AU31</f>
        <v/>
      </c>
      <c r="AV31">
        <f>AU31+'Grid_Incoming'!AV31-'Grid_Requirement'!AV31</f>
        <v/>
      </c>
      <c r="AW31">
        <f>AV31+'Grid_Incoming'!AW31-'Grid_Requirement'!AW31</f>
        <v/>
      </c>
      <c r="AX31">
        <f>AW31+'Grid_Incoming'!AX31-'Grid_Requirement'!AX31</f>
        <v/>
      </c>
      <c r="AY31">
        <f>AX31+'Grid_Incoming'!AY31-'Grid_Requirement'!AY31</f>
        <v/>
      </c>
      <c r="AZ31">
        <f>AY31+'Grid_Incoming'!AZ31-'Grid_Requirement'!AZ31</f>
        <v/>
      </c>
      <c r="BA31">
        <f>AZ31+'Grid_Incoming'!BA31-'Grid_Requirement'!BA31</f>
        <v/>
      </c>
      <c r="BB31">
        <f>BA31+'Grid_Incoming'!BB31-'Grid_Requirement'!BB31</f>
        <v/>
      </c>
      <c r="BC31">
        <f>BB31+'Grid_Incoming'!BC31-'Grid_Requirement'!BC31</f>
        <v/>
      </c>
      <c r="BD31">
        <f>BC31+'Grid_Incoming'!BD31-'Grid_Requirement'!BD31</f>
        <v/>
      </c>
      <c r="BE31">
        <f>BD31+'Grid_Incoming'!BE31-'Grid_Requirement'!BE31</f>
        <v/>
      </c>
      <c r="BF31">
        <f>BE31+'Grid_Incoming'!BF31-'Grid_Requirement'!BF31</f>
        <v/>
      </c>
      <c r="BG31">
        <f>BF31+'Grid_Incoming'!BG31-'Grid_Requirement'!BG31</f>
        <v/>
      </c>
      <c r="BH31">
        <f>BG31+'Grid_Incoming'!BH31-'Grid_Requirement'!BH31</f>
        <v/>
      </c>
      <c r="BI31">
        <f>BH31+'Grid_Incoming'!BI31-'Grid_Requirement'!BI31</f>
        <v/>
      </c>
      <c r="BJ31">
        <f>BI31+'Grid_Incoming'!BJ31-'Grid_Requirement'!BJ31</f>
        <v/>
      </c>
      <c r="BK31">
        <f>BJ31+'Grid_Incoming'!BK31-'Grid_Requirement'!BK31</f>
        <v/>
      </c>
      <c r="BL31">
        <f>BK31+'Grid_Incoming'!BL31-'Grid_Requirement'!BL31</f>
        <v/>
      </c>
      <c r="BM31">
        <f>BL31+'Grid_Incoming'!BM31-'Grid_Requirement'!BM31</f>
        <v/>
      </c>
      <c r="BN31">
        <f>BM31+'Grid_Incoming'!BN31-'Grid_Requirement'!BN31</f>
        <v/>
      </c>
      <c r="BO31">
        <f>BN31+'Grid_Incoming'!BO31-'Grid_Requirement'!BO31</f>
        <v/>
      </c>
      <c r="BP31">
        <f>BO31+'Grid_Incoming'!BP31-'Grid_Requirement'!BP31</f>
        <v/>
      </c>
      <c r="BQ31">
        <f>BP31+'Grid_Incoming'!BQ31-'Grid_Requirement'!BQ31</f>
        <v/>
      </c>
      <c r="BR31">
        <f>BQ31+'Grid_Incoming'!BR31-'Grid_Requirement'!BR31</f>
        <v/>
      </c>
      <c r="BS31">
        <f>BR31+'Grid_Incoming'!BS31-'Grid_Requirement'!BS31</f>
        <v/>
      </c>
      <c r="BT31">
        <f>BS31+'Grid_Incoming'!BT31-'Grid_Requirement'!BT31</f>
        <v/>
      </c>
      <c r="BU31">
        <f>BT31+'Grid_Incoming'!BU31-'Grid_Requirement'!BU31</f>
        <v/>
      </c>
      <c r="BV31">
        <f>BU31+'Grid_Incoming'!BV31-'Grid_Requirement'!BV31</f>
        <v/>
      </c>
      <c r="BW31">
        <f>BV31+'Grid_Incoming'!BW31-'Grid_Requirement'!BW31</f>
        <v/>
      </c>
      <c r="BX31">
        <f>BW31+'Grid_Incoming'!BX31-'Grid_Requirement'!BX31</f>
        <v/>
      </c>
      <c r="BY31">
        <f>BX31+'Grid_Incoming'!BY31-'Grid_Requirement'!BY31</f>
        <v/>
      </c>
      <c r="BZ31">
        <f>BY31+'Grid_Incoming'!BZ31-'Grid_Requirement'!BZ31</f>
        <v/>
      </c>
      <c r="CA31">
        <f>BZ31+'Grid_Incoming'!CA31-'Grid_Requirement'!CA31</f>
        <v/>
      </c>
      <c r="CB31">
        <f>CA31+'Grid_Incoming'!CB31-'Grid_Requirement'!CB31</f>
        <v/>
      </c>
      <c r="CC31">
        <f>CB31+'Grid_Incoming'!CC31-'Grid_Requirement'!CC31</f>
        <v/>
      </c>
      <c r="CD31">
        <f>CC31+'Grid_Incoming'!CD31-'Grid_Requirement'!CD31</f>
        <v/>
      </c>
      <c r="CE31">
        <f>CD31+'Grid_Incoming'!CE31-'Grid_Requirement'!CE31</f>
        <v/>
      </c>
      <c r="CF31">
        <f>CE31+'Grid_Incoming'!CF31-'Grid_Requirement'!CF31</f>
        <v/>
      </c>
      <c r="CG31">
        <f>CF31+'Grid_Incoming'!CG31-'Grid_Requirement'!CG31</f>
        <v/>
      </c>
      <c r="CH31">
        <f>CG31+'Grid_Incoming'!CH31-'Grid_Requirement'!CH31</f>
        <v/>
      </c>
      <c r="CI31">
        <f>CH31+'Grid_Incoming'!CI31-'Grid_Requirement'!CI31</f>
        <v/>
      </c>
      <c r="CJ31">
        <f>CI31+'Grid_Incoming'!CJ31-'Grid_Requirement'!CJ31</f>
        <v/>
      </c>
      <c r="CK31">
        <f>CJ31+'Grid_Incoming'!CK31-'Grid_Requirement'!CK31</f>
        <v/>
      </c>
      <c r="CL31">
        <f>CK31+'Grid_Incoming'!CL31-'Grid_Requirement'!CL31</f>
        <v/>
      </c>
      <c r="CM31">
        <f>CL31+'Grid_Incoming'!CM31-'Grid_Requirement'!CM31</f>
        <v/>
      </c>
      <c r="CN31">
        <f>CM31+'Grid_Incoming'!CN31-'Grid_Requirement'!CN31</f>
        <v/>
      </c>
      <c r="CO31">
        <f>CN31+'Grid_Incoming'!CO31-'Grid_Requirement'!CO31</f>
        <v/>
      </c>
      <c r="CP31">
        <f>CO31+'Grid_Incoming'!CP31-'Grid_Requirement'!CP31</f>
        <v/>
      </c>
      <c r="CQ31">
        <f>CP31+'Grid_Incoming'!CQ31-'Grid_Requirement'!CQ31</f>
        <v/>
      </c>
      <c r="CR31">
        <f>CQ31+'Grid_Incoming'!CR31-'Grid_Requirement'!CR31</f>
        <v/>
      </c>
      <c r="CS31">
        <f>CR31+'Grid_Incoming'!CS31-'Grid_Requirement'!CS31</f>
        <v/>
      </c>
      <c r="CT31">
        <f>CS31+'Grid_Incoming'!CT31-'Grid_Requirement'!CT31</f>
        <v/>
      </c>
      <c r="CU31">
        <f>CT31+'Grid_Incoming'!CU31-'Grid_Requirement'!CU31</f>
        <v/>
      </c>
      <c r="CV31">
        <f>CU31+'Grid_Incoming'!CV31-'Grid_Requirement'!CV31</f>
        <v/>
      </c>
      <c r="CW31">
        <f>CV31+'Grid_Incoming'!CW31-'Grid_Requirement'!CW31</f>
        <v/>
      </c>
      <c r="CX31">
        <f>CW31+'Grid_Incoming'!CX31-'Grid_Requirement'!CX31</f>
        <v/>
      </c>
      <c r="CY31">
        <f>CX31+'Grid_Incoming'!CY31-'Grid_Requirement'!CY31</f>
        <v/>
      </c>
      <c r="CZ31">
        <f>CY31+'Grid_Incoming'!CZ31-'Grid_Requirement'!CZ31</f>
        <v/>
      </c>
      <c r="DA31">
        <f>CZ31+'Grid_Incoming'!DA31-'Grid_Requirement'!DA31</f>
        <v/>
      </c>
    </row>
    <row r="32">
      <c r="A32" t="inlineStr">
        <is>
          <t>CHEM-1780</t>
        </is>
      </c>
      <c r="B32">
        <f>IFERROR(INDEX(T_OpeningStock[Opening_Qty],MATCH($A32,T_OpeningStock[Part Name],0)),0)+'Grid_Incoming'!B32-'Grid_Requirement'!B32</f>
        <v/>
      </c>
      <c r="C32">
        <f>B32+'Grid_Incoming'!C32-'Grid_Requirement'!C32</f>
        <v/>
      </c>
      <c r="D32">
        <f>C32+'Grid_Incoming'!D32-'Grid_Requirement'!D32</f>
        <v/>
      </c>
      <c r="E32">
        <f>D32+'Grid_Incoming'!E32-'Grid_Requirement'!E32</f>
        <v/>
      </c>
      <c r="F32">
        <f>E32+'Grid_Incoming'!F32-'Grid_Requirement'!F32</f>
        <v/>
      </c>
      <c r="G32">
        <f>F32+'Grid_Incoming'!G32-'Grid_Requirement'!G32</f>
        <v/>
      </c>
      <c r="H32">
        <f>G32+'Grid_Incoming'!H32-'Grid_Requirement'!H32</f>
        <v/>
      </c>
      <c r="I32">
        <f>H32+'Grid_Incoming'!I32-'Grid_Requirement'!I32</f>
        <v/>
      </c>
      <c r="J32">
        <f>I32+'Grid_Incoming'!J32-'Grid_Requirement'!J32</f>
        <v/>
      </c>
      <c r="K32">
        <f>J32+'Grid_Incoming'!K32-'Grid_Requirement'!K32</f>
        <v/>
      </c>
      <c r="L32">
        <f>K32+'Grid_Incoming'!L32-'Grid_Requirement'!L32</f>
        <v/>
      </c>
      <c r="M32">
        <f>L32+'Grid_Incoming'!M32-'Grid_Requirement'!M32</f>
        <v/>
      </c>
      <c r="N32">
        <f>M32+'Grid_Incoming'!N32-'Grid_Requirement'!N32</f>
        <v/>
      </c>
      <c r="O32">
        <f>N32+'Grid_Incoming'!O32-'Grid_Requirement'!O32</f>
        <v/>
      </c>
      <c r="P32">
        <f>O32+'Grid_Incoming'!P32-'Grid_Requirement'!P32</f>
        <v/>
      </c>
      <c r="Q32">
        <f>P32+'Grid_Incoming'!Q32-'Grid_Requirement'!Q32</f>
        <v/>
      </c>
      <c r="R32">
        <f>Q32+'Grid_Incoming'!R32-'Grid_Requirement'!R32</f>
        <v/>
      </c>
      <c r="S32">
        <f>R32+'Grid_Incoming'!S32-'Grid_Requirement'!S32</f>
        <v/>
      </c>
      <c r="T32">
        <f>S32+'Grid_Incoming'!T32-'Grid_Requirement'!T32</f>
        <v/>
      </c>
      <c r="U32">
        <f>T32+'Grid_Incoming'!U32-'Grid_Requirement'!U32</f>
        <v/>
      </c>
      <c r="V32">
        <f>U32+'Grid_Incoming'!V32-'Grid_Requirement'!V32</f>
        <v/>
      </c>
      <c r="W32">
        <f>V32+'Grid_Incoming'!W32-'Grid_Requirement'!W32</f>
        <v/>
      </c>
      <c r="X32">
        <f>W32+'Grid_Incoming'!X32-'Grid_Requirement'!X32</f>
        <v/>
      </c>
      <c r="Y32">
        <f>X32+'Grid_Incoming'!Y32-'Grid_Requirement'!Y32</f>
        <v/>
      </c>
      <c r="Z32">
        <f>Y32+'Grid_Incoming'!Z32-'Grid_Requirement'!Z32</f>
        <v/>
      </c>
      <c r="AA32">
        <f>Z32+'Grid_Incoming'!AA32-'Grid_Requirement'!AA32</f>
        <v/>
      </c>
      <c r="AB32">
        <f>AA32+'Grid_Incoming'!AB32-'Grid_Requirement'!AB32</f>
        <v/>
      </c>
      <c r="AC32">
        <f>AB32+'Grid_Incoming'!AC32-'Grid_Requirement'!AC32</f>
        <v/>
      </c>
      <c r="AD32">
        <f>AC32+'Grid_Incoming'!AD32-'Grid_Requirement'!AD32</f>
        <v/>
      </c>
      <c r="AE32">
        <f>AD32+'Grid_Incoming'!AE32-'Grid_Requirement'!AE32</f>
        <v/>
      </c>
      <c r="AF32">
        <f>AE32+'Grid_Incoming'!AF32-'Grid_Requirement'!AF32</f>
        <v/>
      </c>
      <c r="AG32">
        <f>AF32+'Grid_Incoming'!AG32-'Grid_Requirement'!AG32</f>
        <v/>
      </c>
      <c r="AH32">
        <f>AG32+'Grid_Incoming'!AH32-'Grid_Requirement'!AH32</f>
        <v/>
      </c>
      <c r="AI32">
        <f>AH32+'Grid_Incoming'!AI32-'Grid_Requirement'!AI32</f>
        <v/>
      </c>
      <c r="AJ32">
        <f>AI32+'Grid_Incoming'!AJ32-'Grid_Requirement'!AJ32</f>
        <v/>
      </c>
      <c r="AK32">
        <f>AJ32+'Grid_Incoming'!AK32-'Grid_Requirement'!AK32</f>
        <v/>
      </c>
      <c r="AL32">
        <f>AK32+'Grid_Incoming'!AL32-'Grid_Requirement'!AL32</f>
        <v/>
      </c>
      <c r="AM32">
        <f>AL32+'Grid_Incoming'!AM32-'Grid_Requirement'!AM32</f>
        <v/>
      </c>
      <c r="AN32">
        <f>AM32+'Grid_Incoming'!AN32-'Grid_Requirement'!AN32</f>
        <v/>
      </c>
      <c r="AO32">
        <f>AN32+'Grid_Incoming'!AO32-'Grid_Requirement'!AO32</f>
        <v/>
      </c>
      <c r="AP32">
        <f>AO32+'Grid_Incoming'!AP32-'Grid_Requirement'!AP32</f>
        <v/>
      </c>
      <c r="AQ32">
        <f>AP32+'Grid_Incoming'!AQ32-'Grid_Requirement'!AQ32</f>
        <v/>
      </c>
      <c r="AR32">
        <f>AQ32+'Grid_Incoming'!AR32-'Grid_Requirement'!AR32</f>
        <v/>
      </c>
      <c r="AS32">
        <f>AR32+'Grid_Incoming'!AS32-'Grid_Requirement'!AS32</f>
        <v/>
      </c>
      <c r="AT32">
        <f>AS32+'Grid_Incoming'!AT32-'Grid_Requirement'!AT32</f>
        <v/>
      </c>
      <c r="AU32">
        <f>AT32+'Grid_Incoming'!AU32-'Grid_Requirement'!AU32</f>
        <v/>
      </c>
      <c r="AV32">
        <f>AU32+'Grid_Incoming'!AV32-'Grid_Requirement'!AV32</f>
        <v/>
      </c>
      <c r="AW32">
        <f>AV32+'Grid_Incoming'!AW32-'Grid_Requirement'!AW32</f>
        <v/>
      </c>
      <c r="AX32">
        <f>AW32+'Grid_Incoming'!AX32-'Grid_Requirement'!AX32</f>
        <v/>
      </c>
      <c r="AY32">
        <f>AX32+'Grid_Incoming'!AY32-'Grid_Requirement'!AY32</f>
        <v/>
      </c>
      <c r="AZ32">
        <f>AY32+'Grid_Incoming'!AZ32-'Grid_Requirement'!AZ32</f>
        <v/>
      </c>
      <c r="BA32">
        <f>AZ32+'Grid_Incoming'!BA32-'Grid_Requirement'!BA32</f>
        <v/>
      </c>
      <c r="BB32">
        <f>BA32+'Grid_Incoming'!BB32-'Grid_Requirement'!BB32</f>
        <v/>
      </c>
      <c r="BC32">
        <f>BB32+'Grid_Incoming'!BC32-'Grid_Requirement'!BC32</f>
        <v/>
      </c>
      <c r="BD32">
        <f>BC32+'Grid_Incoming'!BD32-'Grid_Requirement'!BD32</f>
        <v/>
      </c>
      <c r="BE32">
        <f>BD32+'Grid_Incoming'!BE32-'Grid_Requirement'!BE32</f>
        <v/>
      </c>
      <c r="BF32">
        <f>BE32+'Grid_Incoming'!BF32-'Grid_Requirement'!BF32</f>
        <v/>
      </c>
      <c r="BG32">
        <f>BF32+'Grid_Incoming'!BG32-'Grid_Requirement'!BG32</f>
        <v/>
      </c>
      <c r="BH32">
        <f>BG32+'Grid_Incoming'!BH32-'Grid_Requirement'!BH32</f>
        <v/>
      </c>
      <c r="BI32">
        <f>BH32+'Grid_Incoming'!BI32-'Grid_Requirement'!BI32</f>
        <v/>
      </c>
      <c r="BJ32">
        <f>BI32+'Grid_Incoming'!BJ32-'Grid_Requirement'!BJ32</f>
        <v/>
      </c>
      <c r="BK32">
        <f>BJ32+'Grid_Incoming'!BK32-'Grid_Requirement'!BK32</f>
        <v/>
      </c>
      <c r="BL32">
        <f>BK32+'Grid_Incoming'!BL32-'Grid_Requirement'!BL32</f>
        <v/>
      </c>
      <c r="BM32">
        <f>BL32+'Grid_Incoming'!BM32-'Grid_Requirement'!BM32</f>
        <v/>
      </c>
      <c r="BN32">
        <f>BM32+'Grid_Incoming'!BN32-'Grid_Requirement'!BN32</f>
        <v/>
      </c>
      <c r="BO32">
        <f>BN32+'Grid_Incoming'!BO32-'Grid_Requirement'!BO32</f>
        <v/>
      </c>
      <c r="BP32">
        <f>BO32+'Grid_Incoming'!BP32-'Grid_Requirement'!BP32</f>
        <v/>
      </c>
      <c r="BQ32">
        <f>BP32+'Grid_Incoming'!BQ32-'Grid_Requirement'!BQ32</f>
        <v/>
      </c>
      <c r="BR32">
        <f>BQ32+'Grid_Incoming'!BR32-'Grid_Requirement'!BR32</f>
        <v/>
      </c>
      <c r="BS32">
        <f>BR32+'Grid_Incoming'!BS32-'Grid_Requirement'!BS32</f>
        <v/>
      </c>
      <c r="BT32">
        <f>BS32+'Grid_Incoming'!BT32-'Grid_Requirement'!BT32</f>
        <v/>
      </c>
      <c r="BU32">
        <f>BT32+'Grid_Incoming'!BU32-'Grid_Requirement'!BU32</f>
        <v/>
      </c>
      <c r="BV32">
        <f>BU32+'Grid_Incoming'!BV32-'Grid_Requirement'!BV32</f>
        <v/>
      </c>
      <c r="BW32">
        <f>BV32+'Grid_Incoming'!BW32-'Grid_Requirement'!BW32</f>
        <v/>
      </c>
      <c r="BX32">
        <f>BW32+'Grid_Incoming'!BX32-'Grid_Requirement'!BX32</f>
        <v/>
      </c>
      <c r="BY32">
        <f>BX32+'Grid_Incoming'!BY32-'Grid_Requirement'!BY32</f>
        <v/>
      </c>
      <c r="BZ32">
        <f>BY32+'Grid_Incoming'!BZ32-'Grid_Requirement'!BZ32</f>
        <v/>
      </c>
      <c r="CA32">
        <f>BZ32+'Grid_Incoming'!CA32-'Grid_Requirement'!CA32</f>
        <v/>
      </c>
      <c r="CB32">
        <f>CA32+'Grid_Incoming'!CB32-'Grid_Requirement'!CB32</f>
        <v/>
      </c>
      <c r="CC32">
        <f>CB32+'Grid_Incoming'!CC32-'Grid_Requirement'!CC32</f>
        <v/>
      </c>
      <c r="CD32">
        <f>CC32+'Grid_Incoming'!CD32-'Grid_Requirement'!CD32</f>
        <v/>
      </c>
      <c r="CE32">
        <f>CD32+'Grid_Incoming'!CE32-'Grid_Requirement'!CE32</f>
        <v/>
      </c>
      <c r="CF32">
        <f>CE32+'Grid_Incoming'!CF32-'Grid_Requirement'!CF32</f>
        <v/>
      </c>
      <c r="CG32">
        <f>CF32+'Grid_Incoming'!CG32-'Grid_Requirement'!CG32</f>
        <v/>
      </c>
      <c r="CH32">
        <f>CG32+'Grid_Incoming'!CH32-'Grid_Requirement'!CH32</f>
        <v/>
      </c>
      <c r="CI32">
        <f>CH32+'Grid_Incoming'!CI32-'Grid_Requirement'!CI32</f>
        <v/>
      </c>
      <c r="CJ32">
        <f>CI32+'Grid_Incoming'!CJ32-'Grid_Requirement'!CJ32</f>
        <v/>
      </c>
      <c r="CK32">
        <f>CJ32+'Grid_Incoming'!CK32-'Grid_Requirement'!CK32</f>
        <v/>
      </c>
      <c r="CL32">
        <f>CK32+'Grid_Incoming'!CL32-'Grid_Requirement'!CL32</f>
        <v/>
      </c>
      <c r="CM32">
        <f>CL32+'Grid_Incoming'!CM32-'Grid_Requirement'!CM32</f>
        <v/>
      </c>
      <c r="CN32">
        <f>CM32+'Grid_Incoming'!CN32-'Grid_Requirement'!CN32</f>
        <v/>
      </c>
      <c r="CO32">
        <f>CN32+'Grid_Incoming'!CO32-'Grid_Requirement'!CO32</f>
        <v/>
      </c>
      <c r="CP32">
        <f>CO32+'Grid_Incoming'!CP32-'Grid_Requirement'!CP32</f>
        <v/>
      </c>
      <c r="CQ32">
        <f>CP32+'Grid_Incoming'!CQ32-'Grid_Requirement'!CQ32</f>
        <v/>
      </c>
      <c r="CR32">
        <f>CQ32+'Grid_Incoming'!CR32-'Grid_Requirement'!CR32</f>
        <v/>
      </c>
      <c r="CS32">
        <f>CR32+'Grid_Incoming'!CS32-'Grid_Requirement'!CS32</f>
        <v/>
      </c>
      <c r="CT32">
        <f>CS32+'Grid_Incoming'!CT32-'Grid_Requirement'!CT32</f>
        <v/>
      </c>
      <c r="CU32">
        <f>CT32+'Grid_Incoming'!CU32-'Grid_Requirement'!CU32</f>
        <v/>
      </c>
      <c r="CV32">
        <f>CU32+'Grid_Incoming'!CV32-'Grid_Requirement'!CV32</f>
        <v/>
      </c>
      <c r="CW32">
        <f>CV32+'Grid_Incoming'!CW32-'Grid_Requirement'!CW32</f>
        <v/>
      </c>
      <c r="CX32">
        <f>CW32+'Grid_Incoming'!CX32-'Grid_Requirement'!CX32</f>
        <v/>
      </c>
      <c r="CY32">
        <f>CX32+'Grid_Incoming'!CY32-'Grid_Requirement'!CY32</f>
        <v/>
      </c>
      <c r="CZ32">
        <f>CY32+'Grid_Incoming'!CZ32-'Grid_Requirement'!CZ32</f>
        <v/>
      </c>
      <c r="DA32">
        <f>CZ32+'Grid_Incoming'!DA32-'Grid_Requirement'!DA32</f>
        <v/>
      </c>
    </row>
    <row r="33">
      <c r="A33" t="inlineStr">
        <is>
          <t>CHEM-1400</t>
        </is>
      </c>
      <c r="B33">
        <f>IFERROR(INDEX(T_OpeningStock[Opening_Qty],MATCH($A33,T_OpeningStock[Part Name],0)),0)+'Grid_Incoming'!B33-'Grid_Requirement'!B33</f>
        <v/>
      </c>
      <c r="C33">
        <f>B33+'Grid_Incoming'!C33-'Grid_Requirement'!C33</f>
        <v/>
      </c>
      <c r="D33">
        <f>C33+'Grid_Incoming'!D33-'Grid_Requirement'!D33</f>
        <v/>
      </c>
      <c r="E33">
        <f>D33+'Grid_Incoming'!E33-'Grid_Requirement'!E33</f>
        <v/>
      </c>
      <c r="F33">
        <f>E33+'Grid_Incoming'!F33-'Grid_Requirement'!F33</f>
        <v/>
      </c>
      <c r="G33">
        <f>F33+'Grid_Incoming'!G33-'Grid_Requirement'!G33</f>
        <v/>
      </c>
      <c r="H33">
        <f>G33+'Grid_Incoming'!H33-'Grid_Requirement'!H33</f>
        <v/>
      </c>
      <c r="I33">
        <f>H33+'Grid_Incoming'!I33-'Grid_Requirement'!I33</f>
        <v/>
      </c>
      <c r="J33">
        <f>I33+'Grid_Incoming'!J33-'Grid_Requirement'!J33</f>
        <v/>
      </c>
      <c r="K33">
        <f>J33+'Grid_Incoming'!K33-'Grid_Requirement'!K33</f>
        <v/>
      </c>
      <c r="L33">
        <f>K33+'Grid_Incoming'!L33-'Grid_Requirement'!L33</f>
        <v/>
      </c>
      <c r="M33">
        <f>L33+'Grid_Incoming'!M33-'Grid_Requirement'!M33</f>
        <v/>
      </c>
      <c r="N33">
        <f>M33+'Grid_Incoming'!N33-'Grid_Requirement'!N33</f>
        <v/>
      </c>
      <c r="O33">
        <f>N33+'Grid_Incoming'!O33-'Grid_Requirement'!O33</f>
        <v/>
      </c>
      <c r="P33">
        <f>O33+'Grid_Incoming'!P33-'Grid_Requirement'!P33</f>
        <v/>
      </c>
      <c r="Q33">
        <f>P33+'Grid_Incoming'!Q33-'Grid_Requirement'!Q33</f>
        <v/>
      </c>
      <c r="R33">
        <f>Q33+'Grid_Incoming'!R33-'Grid_Requirement'!R33</f>
        <v/>
      </c>
      <c r="S33">
        <f>R33+'Grid_Incoming'!S33-'Grid_Requirement'!S33</f>
        <v/>
      </c>
      <c r="T33">
        <f>S33+'Grid_Incoming'!T33-'Grid_Requirement'!T33</f>
        <v/>
      </c>
      <c r="U33">
        <f>T33+'Grid_Incoming'!U33-'Grid_Requirement'!U33</f>
        <v/>
      </c>
      <c r="V33">
        <f>U33+'Grid_Incoming'!V33-'Grid_Requirement'!V33</f>
        <v/>
      </c>
      <c r="W33">
        <f>V33+'Grid_Incoming'!W33-'Grid_Requirement'!W33</f>
        <v/>
      </c>
      <c r="X33">
        <f>W33+'Grid_Incoming'!X33-'Grid_Requirement'!X33</f>
        <v/>
      </c>
      <c r="Y33">
        <f>X33+'Grid_Incoming'!Y33-'Grid_Requirement'!Y33</f>
        <v/>
      </c>
      <c r="Z33">
        <f>Y33+'Grid_Incoming'!Z33-'Grid_Requirement'!Z33</f>
        <v/>
      </c>
      <c r="AA33">
        <f>Z33+'Grid_Incoming'!AA33-'Grid_Requirement'!AA33</f>
        <v/>
      </c>
      <c r="AB33">
        <f>AA33+'Grid_Incoming'!AB33-'Grid_Requirement'!AB33</f>
        <v/>
      </c>
      <c r="AC33">
        <f>AB33+'Grid_Incoming'!AC33-'Grid_Requirement'!AC33</f>
        <v/>
      </c>
      <c r="AD33">
        <f>AC33+'Grid_Incoming'!AD33-'Grid_Requirement'!AD33</f>
        <v/>
      </c>
      <c r="AE33">
        <f>AD33+'Grid_Incoming'!AE33-'Grid_Requirement'!AE33</f>
        <v/>
      </c>
      <c r="AF33">
        <f>AE33+'Grid_Incoming'!AF33-'Grid_Requirement'!AF33</f>
        <v/>
      </c>
      <c r="AG33">
        <f>AF33+'Grid_Incoming'!AG33-'Grid_Requirement'!AG33</f>
        <v/>
      </c>
      <c r="AH33">
        <f>AG33+'Grid_Incoming'!AH33-'Grid_Requirement'!AH33</f>
        <v/>
      </c>
      <c r="AI33">
        <f>AH33+'Grid_Incoming'!AI33-'Grid_Requirement'!AI33</f>
        <v/>
      </c>
      <c r="AJ33">
        <f>AI33+'Grid_Incoming'!AJ33-'Grid_Requirement'!AJ33</f>
        <v/>
      </c>
      <c r="AK33">
        <f>AJ33+'Grid_Incoming'!AK33-'Grid_Requirement'!AK33</f>
        <v/>
      </c>
      <c r="AL33">
        <f>AK33+'Grid_Incoming'!AL33-'Grid_Requirement'!AL33</f>
        <v/>
      </c>
      <c r="AM33">
        <f>AL33+'Grid_Incoming'!AM33-'Grid_Requirement'!AM33</f>
        <v/>
      </c>
      <c r="AN33">
        <f>AM33+'Grid_Incoming'!AN33-'Grid_Requirement'!AN33</f>
        <v/>
      </c>
      <c r="AO33">
        <f>AN33+'Grid_Incoming'!AO33-'Grid_Requirement'!AO33</f>
        <v/>
      </c>
      <c r="AP33">
        <f>AO33+'Grid_Incoming'!AP33-'Grid_Requirement'!AP33</f>
        <v/>
      </c>
      <c r="AQ33">
        <f>AP33+'Grid_Incoming'!AQ33-'Grid_Requirement'!AQ33</f>
        <v/>
      </c>
      <c r="AR33">
        <f>AQ33+'Grid_Incoming'!AR33-'Grid_Requirement'!AR33</f>
        <v/>
      </c>
      <c r="AS33">
        <f>AR33+'Grid_Incoming'!AS33-'Grid_Requirement'!AS33</f>
        <v/>
      </c>
      <c r="AT33">
        <f>AS33+'Grid_Incoming'!AT33-'Grid_Requirement'!AT33</f>
        <v/>
      </c>
      <c r="AU33">
        <f>AT33+'Grid_Incoming'!AU33-'Grid_Requirement'!AU33</f>
        <v/>
      </c>
      <c r="AV33">
        <f>AU33+'Grid_Incoming'!AV33-'Grid_Requirement'!AV33</f>
        <v/>
      </c>
      <c r="AW33">
        <f>AV33+'Grid_Incoming'!AW33-'Grid_Requirement'!AW33</f>
        <v/>
      </c>
      <c r="AX33">
        <f>AW33+'Grid_Incoming'!AX33-'Grid_Requirement'!AX33</f>
        <v/>
      </c>
      <c r="AY33">
        <f>AX33+'Grid_Incoming'!AY33-'Grid_Requirement'!AY33</f>
        <v/>
      </c>
      <c r="AZ33">
        <f>AY33+'Grid_Incoming'!AZ33-'Grid_Requirement'!AZ33</f>
        <v/>
      </c>
      <c r="BA33">
        <f>AZ33+'Grid_Incoming'!BA33-'Grid_Requirement'!BA33</f>
        <v/>
      </c>
      <c r="BB33">
        <f>BA33+'Grid_Incoming'!BB33-'Grid_Requirement'!BB33</f>
        <v/>
      </c>
      <c r="BC33">
        <f>BB33+'Grid_Incoming'!BC33-'Grid_Requirement'!BC33</f>
        <v/>
      </c>
      <c r="BD33">
        <f>BC33+'Grid_Incoming'!BD33-'Grid_Requirement'!BD33</f>
        <v/>
      </c>
      <c r="BE33">
        <f>BD33+'Grid_Incoming'!BE33-'Grid_Requirement'!BE33</f>
        <v/>
      </c>
      <c r="BF33">
        <f>BE33+'Grid_Incoming'!BF33-'Grid_Requirement'!BF33</f>
        <v/>
      </c>
      <c r="BG33">
        <f>BF33+'Grid_Incoming'!BG33-'Grid_Requirement'!BG33</f>
        <v/>
      </c>
      <c r="BH33">
        <f>BG33+'Grid_Incoming'!BH33-'Grid_Requirement'!BH33</f>
        <v/>
      </c>
      <c r="BI33">
        <f>BH33+'Grid_Incoming'!BI33-'Grid_Requirement'!BI33</f>
        <v/>
      </c>
      <c r="BJ33">
        <f>BI33+'Grid_Incoming'!BJ33-'Grid_Requirement'!BJ33</f>
        <v/>
      </c>
      <c r="BK33">
        <f>BJ33+'Grid_Incoming'!BK33-'Grid_Requirement'!BK33</f>
        <v/>
      </c>
      <c r="BL33">
        <f>BK33+'Grid_Incoming'!BL33-'Grid_Requirement'!BL33</f>
        <v/>
      </c>
      <c r="BM33">
        <f>BL33+'Grid_Incoming'!BM33-'Grid_Requirement'!BM33</f>
        <v/>
      </c>
      <c r="BN33">
        <f>BM33+'Grid_Incoming'!BN33-'Grid_Requirement'!BN33</f>
        <v/>
      </c>
      <c r="BO33">
        <f>BN33+'Grid_Incoming'!BO33-'Grid_Requirement'!BO33</f>
        <v/>
      </c>
      <c r="BP33">
        <f>BO33+'Grid_Incoming'!BP33-'Grid_Requirement'!BP33</f>
        <v/>
      </c>
      <c r="BQ33">
        <f>BP33+'Grid_Incoming'!BQ33-'Grid_Requirement'!BQ33</f>
        <v/>
      </c>
      <c r="BR33">
        <f>BQ33+'Grid_Incoming'!BR33-'Grid_Requirement'!BR33</f>
        <v/>
      </c>
      <c r="BS33">
        <f>BR33+'Grid_Incoming'!BS33-'Grid_Requirement'!BS33</f>
        <v/>
      </c>
      <c r="BT33">
        <f>BS33+'Grid_Incoming'!BT33-'Grid_Requirement'!BT33</f>
        <v/>
      </c>
      <c r="BU33">
        <f>BT33+'Grid_Incoming'!BU33-'Grid_Requirement'!BU33</f>
        <v/>
      </c>
      <c r="BV33">
        <f>BU33+'Grid_Incoming'!BV33-'Grid_Requirement'!BV33</f>
        <v/>
      </c>
      <c r="BW33">
        <f>BV33+'Grid_Incoming'!BW33-'Grid_Requirement'!BW33</f>
        <v/>
      </c>
      <c r="BX33">
        <f>BW33+'Grid_Incoming'!BX33-'Grid_Requirement'!BX33</f>
        <v/>
      </c>
      <c r="BY33">
        <f>BX33+'Grid_Incoming'!BY33-'Grid_Requirement'!BY33</f>
        <v/>
      </c>
      <c r="BZ33">
        <f>BY33+'Grid_Incoming'!BZ33-'Grid_Requirement'!BZ33</f>
        <v/>
      </c>
      <c r="CA33">
        <f>BZ33+'Grid_Incoming'!CA33-'Grid_Requirement'!CA33</f>
        <v/>
      </c>
      <c r="CB33">
        <f>CA33+'Grid_Incoming'!CB33-'Grid_Requirement'!CB33</f>
        <v/>
      </c>
      <c r="CC33">
        <f>CB33+'Grid_Incoming'!CC33-'Grid_Requirement'!CC33</f>
        <v/>
      </c>
      <c r="CD33">
        <f>CC33+'Grid_Incoming'!CD33-'Grid_Requirement'!CD33</f>
        <v/>
      </c>
      <c r="CE33">
        <f>CD33+'Grid_Incoming'!CE33-'Grid_Requirement'!CE33</f>
        <v/>
      </c>
      <c r="CF33">
        <f>CE33+'Grid_Incoming'!CF33-'Grid_Requirement'!CF33</f>
        <v/>
      </c>
      <c r="CG33">
        <f>CF33+'Grid_Incoming'!CG33-'Grid_Requirement'!CG33</f>
        <v/>
      </c>
      <c r="CH33">
        <f>CG33+'Grid_Incoming'!CH33-'Grid_Requirement'!CH33</f>
        <v/>
      </c>
      <c r="CI33">
        <f>CH33+'Grid_Incoming'!CI33-'Grid_Requirement'!CI33</f>
        <v/>
      </c>
      <c r="CJ33">
        <f>CI33+'Grid_Incoming'!CJ33-'Grid_Requirement'!CJ33</f>
        <v/>
      </c>
      <c r="CK33">
        <f>CJ33+'Grid_Incoming'!CK33-'Grid_Requirement'!CK33</f>
        <v/>
      </c>
      <c r="CL33">
        <f>CK33+'Grid_Incoming'!CL33-'Grid_Requirement'!CL33</f>
        <v/>
      </c>
      <c r="CM33">
        <f>CL33+'Grid_Incoming'!CM33-'Grid_Requirement'!CM33</f>
        <v/>
      </c>
      <c r="CN33">
        <f>CM33+'Grid_Incoming'!CN33-'Grid_Requirement'!CN33</f>
        <v/>
      </c>
      <c r="CO33">
        <f>CN33+'Grid_Incoming'!CO33-'Grid_Requirement'!CO33</f>
        <v/>
      </c>
      <c r="CP33">
        <f>CO33+'Grid_Incoming'!CP33-'Grid_Requirement'!CP33</f>
        <v/>
      </c>
      <c r="CQ33">
        <f>CP33+'Grid_Incoming'!CQ33-'Grid_Requirement'!CQ33</f>
        <v/>
      </c>
      <c r="CR33">
        <f>CQ33+'Grid_Incoming'!CR33-'Grid_Requirement'!CR33</f>
        <v/>
      </c>
      <c r="CS33">
        <f>CR33+'Grid_Incoming'!CS33-'Grid_Requirement'!CS33</f>
        <v/>
      </c>
      <c r="CT33">
        <f>CS33+'Grid_Incoming'!CT33-'Grid_Requirement'!CT33</f>
        <v/>
      </c>
      <c r="CU33">
        <f>CT33+'Grid_Incoming'!CU33-'Grid_Requirement'!CU33</f>
        <v/>
      </c>
      <c r="CV33">
        <f>CU33+'Grid_Incoming'!CV33-'Grid_Requirement'!CV33</f>
        <v/>
      </c>
      <c r="CW33">
        <f>CV33+'Grid_Incoming'!CW33-'Grid_Requirement'!CW33</f>
        <v/>
      </c>
      <c r="CX33">
        <f>CW33+'Grid_Incoming'!CX33-'Grid_Requirement'!CX33</f>
        <v/>
      </c>
      <c r="CY33">
        <f>CX33+'Grid_Incoming'!CY33-'Grid_Requirement'!CY33</f>
        <v/>
      </c>
      <c r="CZ33">
        <f>CY33+'Grid_Incoming'!CZ33-'Grid_Requirement'!CZ33</f>
        <v/>
      </c>
      <c r="DA33">
        <f>CZ33+'Grid_Incoming'!DA33-'Grid_Requirement'!DA33</f>
        <v/>
      </c>
    </row>
    <row r="34">
      <c r="A34" t="inlineStr">
        <is>
          <t>CHEM-1650</t>
        </is>
      </c>
      <c r="B34">
        <f>IFERROR(INDEX(T_OpeningStock[Opening_Qty],MATCH($A34,T_OpeningStock[Part Name],0)),0)+'Grid_Incoming'!B34-'Grid_Requirement'!B34</f>
        <v/>
      </c>
      <c r="C34">
        <f>B34+'Grid_Incoming'!C34-'Grid_Requirement'!C34</f>
        <v/>
      </c>
      <c r="D34">
        <f>C34+'Grid_Incoming'!D34-'Grid_Requirement'!D34</f>
        <v/>
      </c>
      <c r="E34">
        <f>D34+'Grid_Incoming'!E34-'Grid_Requirement'!E34</f>
        <v/>
      </c>
      <c r="F34">
        <f>E34+'Grid_Incoming'!F34-'Grid_Requirement'!F34</f>
        <v/>
      </c>
      <c r="G34">
        <f>F34+'Grid_Incoming'!G34-'Grid_Requirement'!G34</f>
        <v/>
      </c>
      <c r="H34">
        <f>G34+'Grid_Incoming'!H34-'Grid_Requirement'!H34</f>
        <v/>
      </c>
      <c r="I34">
        <f>H34+'Grid_Incoming'!I34-'Grid_Requirement'!I34</f>
        <v/>
      </c>
      <c r="J34">
        <f>I34+'Grid_Incoming'!J34-'Grid_Requirement'!J34</f>
        <v/>
      </c>
      <c r="K34">
        <f>J34+'Grid_Incoming'!K34-'Grid_Requirement'!K34</f>
        <v/>
      </c>
      <c r="L34">
        <f>K34+'Grid_Incoming'!L34-'Grid_Requirement'!L34</f>
        <v/>
      </c>
      <c r="M34">
        <f>L34+'Grid_Incoming'!M34-'Grid_Requirement'!M34</f>
        <v/>
      </c>
      <c r="N34">
        <f>M34+'Grid_Incoming'!N34-'Grid_Requirement'!N34</f>
        <v/>
      </c>
      <c r="O34">
        <f>N34+'Grid_Incoming'!O34-'Grid_Requirement'!O34</f>
        <v/>
      </c>
      <c r="P34">
        <f>O34+'Grid_Incoming'!P34-'Grid_Requirement'!P34</f>
        <v/>
      </c>
      <c r="Q34">
        <f>P34+'Grid_Incoming'!Q34-'Grid_Requirement'!Q34</f>
        <v/>
      </c>
      <c r="R34">
        <f>Q34+'Grid_Incoming'!R34-'Grid_Requirement'!R34</f>
        <v/>
      </c>
      <c r="S34">
        <f>R34+'Grid_Incoming'!S34-'Grid_Requirement'!S34</f>
        <v/>
      </c>
      <c r="T34">
        <f>S34+'Grid_Incoming'!T34-'Grid_Requirement'!T34</f>
        <v/>
      </c>
      <c r="U34">
        <f>T34+'Grid_Incoming'!U34-'Grid_Requirement'!U34</f>
        <v/>
      </c>
      <c r="V34">
        <f>U34+'Grid_Incoming'!V34-'Grid_Requirement'!V34</f>
        <v/>
      </c>
      <c r="W34">
        <f>V34+'Grid_Incoming'!W34-'Grid_Requirement'!W34</f>
        <v/>
      </c>
      <c r="X34">
        <f>W34+'Grid_Incoming'!X34-'Grid_Requirement'!X34</f>
        <v/>
      </c>
      <c r="Y34">
        <f>X34+'Grid_Incoming'!Y34-'Grid_Requirement'!Y34</f>
        <v/>
      </c>
      <c r="Z34">
        <f>Y34+'Grid_Incoming'!Z34-'Grid_Requirement'!Z34</f>
        <v/>
      </c>
      <c r="AA34">
        <f>Z34+'Grid_Incoming'!AA34-'Grid_Requirement'!AA34</f>
        <v/>
      </c>
      <c r="AB34">
        <f>AA34+'Grid_Incoming'!AB34-'Grid_Requirement'!AB34</f>
        <v/>
      </c>
      <c r="AC34">
        <f>AB34+'Grid_Incoming'!AC34-'Grid_Requirement'!AC34</f>
        <v/>
      </c>
      <c r="AD34">
        <f>AC34+'Grid_Incoming'!AD34-'Grid_Requirement'!AD34</f>
        <v/>
      </c>
      <c r="AE34">
        <f>AD34+'Grid_Incoming'!AE34-'Grid_Requirement'!AE34</f>
        <v/>
      </c>
      <c r="AF34">
        <f>AE34+'Grid_Incoming'!AF34-'Grid_Requirement'!AF34</f>
        <v/>
      </c>
      <c r="AG34">
        <f>AF34+'Grid_Incoming'!AG34-'Grid_Requirement'!AG34</f>
        <v/>
      </c>
      <c r="AH34">
        <f>AG34+'Grid_Incoming'!AH34-'Grid_Requirement'!AH34</f>
        <v/>
      </c>
      <c r="AI34">
        <f>AH34+'Grid_Incoming'!AI34-'Grid_Requirement'!AI34</f>
        <v/>
      </c>
      <c r="AJ34">
        <f>AI34+'Grid_Incoming'!AJ34-'Grid_Requirement'!AJ34</f>
        <v/>
      </c>
      <c r="AK34">
        <f>AJ34+'Grid_Incoming'!AK34-'Grid_Requirement'!AK34</f>
        <v/>
      </c>
      <c r="AL34">
        <f>AK34+'Grid_Incoming'!AL34-'Grid_Requirement'!AL34</f>
        <v/>
      </c>
      <c r="AM34">
        <f>AL34+'Grid_Incoming'!AM34-'Grid_Requirement'!AM34</f>
        <v/>
      </c>
      <c r="AN34">
        <f>AM34+'Grid_Incoming'!AN34-'Grid_Requirement'!AN34</f>
        <v/>
      </c>
      <c r="AO34">
        <f>AN34+'Grid_Incoming'!AO34-'Grid_Requirement'!AO34</f>
        <v/>
      </c>
      <c r="AP34">
        <f>AO34+'Grid_Incoming'!AP34-'Grid_Requirement'!AP34</f>
        <v/>
      </c>
      <c r="AQ34">
        <f>AP34+'Grid_Incoming'!AQ34-'Grid_Requirement'!AQ34</f>
        <v/>
      </c>
      <c r="AR34">
        <f>AQ34+'Grid_Incoming'!AR34-'Grid_Requirement'!AR34</f>
        <v/>
      </c>
      <c r="AS34">
        <f>AR34+'Grid_Incoming'!AS34-'Grid_Requirement'!AS34</f>
        <v/>
      </c>
      <c r="AT34">
        <f>AS34+'Grid_Incoming'!AT34-'Grid_Requirement'!AT34</f>
        <v/>
      </c>
      <c r="AU34">
        <f>AT34+'Grid_Incoming'!AU34-'Grid_Requirement'!AU34</f>
        <v/>
      </c>
      <c r="AV34">
        <f>AU34+'Grid_Incoming'!AV34-'Grid_Requirement'!AV34</f>
        <v/>
      </c>
      <c r="AW34">
        <f>AV34+'Grid_Incoming'!AW34-'Grid_Requirement'!AW34</f>
        <v/>
      </c>
      <c r="AX34">
        <f>AW34+'Grid_Incoming'!AX34-'Grid_Requirement'!AX34</f>
        <v/>
      </c>
      <c r="AY34">
        <f>AX34+'Grid_Incoming'!AY34-'Grid_Requirement'!AY34</f>
        <v/>
      </c>
      <c r="AZ34">
        <f>AY34+'Grid_Incoming'!AZ34-'Grid_Requirement'!AZ34</f>
        <v/>
      </c>
      <c r="BA34">
        <f>AZ34+'Grid_Incoming'!BA34-'Grid_Requirement'!BA34</f>
        <v/>
      </c>
      <c r="BB34">
        <f>BA34+'Grid_Incoming'!BB34-'Grid_Requirement'!BB34</f>
        <v/>
      </c>
      <c r="BC34">
        <f>BB34+'Grid_Incoming'!BC34-'Grid_Requirement'!BC34</f>
        <v/>
      </c>
      <c r="BD34">
        <f>BC34+'Grid_Incoming'!BD34-'Grid_Requirement'!BD34</f>
        <v/>
      </c>
      <c r="BE34">
        <f>BD34+'Grid_Incoming'!BE34-'Grid_Requirement'!BE34</f>
        <v/>
      </c>
      <c r="BF34">
        <f>BE34+'Grid_Incoming'!BF34-'Grid_Requirement'!BF34</f>
        <v/>
      </c>
      <c r="BG34">
        <f>BF34+'Grid_Incoming'!BG34-'Grid_Requirement'!BG34</f>
        <v/>
      </c>
      <c r="BH34">
        <f>BG34+'Grid_Incoming'!BH34-'Grid_Requirement'!BH34</f>
        <v/>
      </c>
      <c r="BI34">
        <f>BH34+'Grid_Incoming'!BI34-'Grid_Requirement'!BI34</f>
        <v/>
      </c>
      <c r="BJ34">
        <f>BI34+'Grid_Incoming'!BJ34-'Grid_Requirement'!BJ34</f>
        <v/>
      </c>
      <c r="BK34">
        <f>BJ34+'Grid_Incoming'!BK34-'Grid_Requirement'!BK34</f>
        <v/>
      </c>
      <c r="BL34">
        <f>BK34+'Grid_Incoming'!BL34-'Grid_Requirement'!BL34</f>
        <v/>
      </c>
      <c r="BM34">
        <f>BL34+'Grid_Incoming'!BM34-'Grid_Requirement'!BM34</f>
        <v/>
      </c>
      <c r="BN34">
        <f>BM34+'Grid_Incoming'!BN34-'Grid_Requirement'!BN34</f>
        <v/>
      </c>
      <c r="BO34">
        <f>BN34+'Grid_Incoming'!BO34-'Grid_Requirement'!BO34</f>
        <v/>
      </c>
      <c r="BP34">
        <f>BO34+'Grid_Incoming'!BP34-'Grid_Requirement'!BP34</f>
        <v/>
      </c>
      <c r="BQ34">
        <f>BP34+'Grid_Incoming'!BQ34-'Grid_Requirement'!BQ34</f>
        <v/>
      </c>
      <c r="BR34">
        <f>BQ34+'Grid_Incoming'!BR34-'Grid_Requirement'!BR34</f>
        <v/>
      </c>
      <c r="BS34">
        <f>BR34+'Grid_Incoming'!BS34-'Grid_Requirement'!BS34</f>
        <v/>
      </c>
      <c r="BT34">
        <f>BS34+'Grid_Incoming'!BT34-'Grid_Requirement'!BT34</f>
        <v/>
      </c>
      <c r="BU34">
        <f>BT34+'Grid_Incoming'!BU34-'Grid_Requirement'!BU34</f>
        <v/>
      </c>
      <c r="BV34">
        <f>BU34+'Grid_Incoming'!BV34-'Grid_Requirement'!BV34</f>
        <v/>
      </c>
      <c r="BW34">
        <f>BV34+'Grid_Incoming'!BW34-'Grid_Requirement'!BW34</f>
        <v/>
      </c>
      <c r="BX34">
        <f>BW34+'Grid_Incoming'!BX34-'Grid_Requirement'!BX34</f>
        <v/>
      </c>
      <c r="BY34">
        <f>BX34+'Grid_Incoming'!BY34-'Grid_Requirement'!BY34</f>
        <v/>
      </c>
      <c r="BZ34">
        <f>BY34+'Grid_Incoming'!BZ34-'Grid_Requirement'!BZ34</f>
        <v/>
      </c>
      <c r="CA34">
        <f>BZ34+'Grid_Incoming'!CA34-'Grid_Requirement'!CA34</f>
        <v/>
      </c>
      <c r="CB34">
        <f>CA34+'Grid_Incoming'!CB34-'Grid_Requirement'!CB34</f>
        <v/>
      </c>
      <c r="CC34">
        <f>CB34+'Grid_Incoming'!CC34-'Grid_Requirement'!CC34</f>
        <v/>
      </c>
      <c r="CD34">
        <f>CC34+'Grid_Incoming'!CD34-'Grid_Requirement'!CD34</f>
        <v/>
      </c>
      <c r="CE34">
        <f>CD34+'Grid_Incoming'!CE34-'Grid_Requirement'!CE34</f>
        <v/>
      </c>
      <c r="CF34">
        <f>CE34+'Grid_Incoming'!CF34-'Grid_Requirement'!CF34</f>
        <v/>
      </c>
      <c r="CG34">
        <f>CF34+'Grid_Incoming'!CG34-'Grid_Requirement'!CG34</f>
        <v/>
      </c>
      <c r="CH34">
        <f>CG34+'Grid_Incoming'!CH34-'Grid_Requirement'!CH34</f>
        <v/>
      </c>
      <c r="CI34">
        <f>CH34+'Grid_Incoming'!CI34-'Grid_Requirement'!CI34</f>
        <v/>
      </c>
      <c r="CJ34">
        <f>CI34+'Grid_Incoming'!CJ34-'Grid_Requirement'!CJ34</f>
        <v/>
      </c>
      <c r="CK34">
        <f>CJ34+'Grid_Incoming'!CK34-'Grid_Requirement'!CK34</f>
        <v/>
      </c>
      <c r="CL34">
        <f>CK34+'Grid_Incoming'!CL34-'Grid_Requirement'!CL34</f>
        <v/>
      </c>
      <c r="CM34">
        <f>CL34+'Grid_Incoming'!CM34-'Grid_Requirement'!CM34</f>
        <v/>
      </c>
      <c r="CN34">
        <f>CM34+'Grid_Incoming'!CN34-'Grid_Requirement'!CN34</f>
        <v/>
      </c>
      <c r="CO34">
        <f>CN34+'Grid_Incoming'!CO34-'Grid_Requirement'!CO34</f>
        <v/>
      </c>
      <c r="CP34">
        <f>CO34+'Grid_Incoming'!CP34-'Grid_Requirement'!CP34</f>
        <v/>
      </c>
      <c r="CQ34">
        <f>CP34+'Grid_Incoming'!CQ34-'Grid_Requirement'!CQ34</f>
        <v/>
      </c>
      <c r="CR34">
        <f>CQ34+'Grid_Incoming'!CR34-'Grid_Requirement'!CR34</f>
        <v/>
      </c>
      <c r="CS34">
        <f>CR34+'Grid_Incoming'!CS34-'Grid_Requirement'!CS34</f>
        <v/>
      </c>
      <c r="CT34">
        <f>CS34+'Grid_Incoming'!CT34-'Grid_Requirement'!CT34</f>
        <v/>
      </c>
      <c r="CU34">
        <f>CT34+'Grid_Incoming'!CU34-'Grid_Requirement'!CU34</f>
        <v/>
      </c>
      <c r="CV34">
        <f>CU34+'Grid_Incoming'!CV34-'Grid_Requirement'!CV34</f>
        <v/>
      </c>
      <c r="CW34">
        <f>CV34+'Grid_Incoming'!CW34-'Grid_Requirement'!CW34</f>
        <v/>
      </c>
      <c r="CX34">
        <f>CW34+'Grid_Incoming'!CX34-'Grid_Requirement'!CX34</f>
        <v/>
      </c>
      <c r="CY34">
        <f>CX34+'Grid_Incoming'!CY34-'Grid_Requirement'!CY34</f>
        <v/>
      </c>
      <c r="CZ34">
        <f>CY34+'Grid_Incoming'!CZ34-'Grid_Requirement'!CZ34</f>
        <v/>
      </c>
      <c r="DA34">
        <f>CZ34+'Grid_Incoming'!DA34-'Grid_Requirement'!DA34</f>
        <v/>
      </c>
    </row>
    <row r="35">
      <c r="A35" t="inlineStr">
        <is>
          <t>CHEM-1660</t>
        </is>
      </c>
      <c r="B35">
        <f>IFERROR(INDEX(T_OpeningStock[Opening_Qty],MATCH($A35,T_OpeningStock[Part Name],0)),0)+'Grid_Incoming'!B35-'Grid_Requirement'!B35</f>
        <v/>
      </c>
      <c r="C35">
        <f>B35+'Grid_Incoming'!C35-'Grid_Requirement'!C35</f>
        <v/>
      </c>
      <c r="D35">
        <f>C35+'Grid_Incoming'!D35-'Grid_Requirement'!D35</f>
        <v/>
      </c>
      <c r="E35">
        <f>D35+'Grid_Incoming'!E35-'Grid_Requirement'!E35</f>
        <v/>
      </c>
      <c r="F35">
        <f>E35+'Grid_Incoming'!F35-'Grid_Requirement'!F35</f>
        <v/>
      </c>
      <c r="G35">
        <f>F35+'Grid_Incoming'!G35-'Grid_Requirement'!G35</f>
        <v/>
      </c>
      <c r="H35">
        <f>G35+'Grid_Incoming'!H35-'Grid_Requirement'!H35</f>
        <v/>
      </c>
      <c r="I35">
        <f>H35+'Grid_Incoming'!I35-'Grid_Requirement'!I35</f>
        <v/>
      </c>
      <c r="J35">
        <f>I35+'Grid_Incoming'!J35-'Grid_Requirement'!J35</f>
        <v/>
      </c>
      <c r="K35">
        <f>J35+'Grid_Incoming'!K35-'Grid_Requirement'!K35</f>
        <v/>
      </c>
      <c r="L35">
        <f>K35+'Grid_Incoming'!L35-'Grid_Requirement'!L35</f>
        <v/>
      </c>
      <c r="M35">
        <f>L35+'Grid_Incoming'!M35-'Grid_Requirement'!M35</f>
        <v/>
      </c>
      <c r="N35">
        <f>M35+'Grid_Incoming'!N35-'Grid_Requirement'!N35</f>
        <v/>
      </c>
      <c r="O35">
        <f>N35+'Grid_Incoming'!O35-'Grid_Requirement'!O35</f>
        <v/>
      </c>
      <c r="P35">
        <f>O35+'Grid_Incoming'!P35-'Grid_Requirement'!P35</f>
        <v/>
      </c>
      <c r="Q35">
        <f>P35+'Grid_Incoming'!Q35-'Grid_Requirement'!Q35</f>
        <v/>
      </c>
      <c r="R35">
        <f>Q35+'Grid_Incoming'!R35-'Grid_Requirement'!R35</f>
        <v/>
      </c>
      <c r="S35">
        <f>R35+'Grid_Incoming'!S35-'Grid_Requirement'!S35</f>
        <v/>
      </c>
      <c r="T35">
        <f>S35+'Grid_Incoming'!T35-'Grid_Requirement'!T35</f>
        <v/>
      </c>
      <c r="U35">
        <f>T35+'Grid_Incoming'!U35-'Grid_Requirement'!U35</f>
        <v/>
      </c>
      <c r="V35">
        <f>U35+'Grid_Incoming'!V35-'Grid_Requirement'!V35</f>
        <v/>
      </c>
      <c r="W35">
        <f>V35+'Grid_Incoming'!W35-'Grid_Requirement'!W35</f>
        <v/>
      </c>
      <c r="X35">
        <f>W35+'Grid_Incoming'!X35-'Grid_Requirement'!X35</f>
        <v/>
      </c>
      <c r="Y35">
        <f>X35+'Grid_Incoming'!Y35-'Grid_Requirement'!Y35</f>
        <v/>
      </c>
      <c r="Z35">
        <f>Y35+'Grid_Incoming'!Z35-'Grid_Requirement'!Z35</f>
        <v/>
      </c>
      <c r="AA35">
        <f>Z35+'Grid_Incoming'!AA35-'Grid_Requirement'!AA35</f>
        <v/>
      </c>
      <c r="AB35">
        <f>AA35+'Grid_Incoming'!AB35-'Grid_Requirement'!AB35</f>
        <v/>
      </c>
      <c r="AC35">
        <f>AB35+'Grid_Incoming'!AC35-'Grid_Requirement'!AC35</f>
        <v/>
      </c>
      <c r="AD35">
        <f>AC35+'Grid_Incoming'!AD35-'Grid_Requirement'!AD35</f>
        <v/>
      </c>
      <c r="AE35">
        <f>AD35+'Grid_Incoming'!AE35-'Grid_Requirement'!AE35</f>
        <v/>
      </c>
      <c r="AF35">
        <f>AE35+'Grid_Incoming'!AF35-'Grid_Requirement'!AF35</f>
        <v/>
      </c>
      <c r="AG35">
        <f>AF35+'Grid_Incoming'!AG35-'Grid_Requirement'!AG35</f>
        <v/>
      </c>
      <c r="AH35">
        <f>AG35+'Grid_Incoming'!AH35-'Grid_Requirement'!AH35</f>
        <v/>
      </c>
      <c r="AI35">
        <f>AH35+'Grid_Incoming'!AI35-'Grid_Requirement'!AI35</f>
        <v/>
      </c>
      <c r="AJ35">
        <f>AI35+'Grid_Incoming'!AJ35-'Grid_Requirement'!AJ35</f>
        <v/>
      </c>
      <c r="AK35">
        <f>AJ35+'Grid_Incoming'!AK35-'Grid_Requirement'!AK35</f>
        <v/>
      </c>
      <c r="AL35">
        <f>AK35+'Grid_Incoming'!AL35-'Grid_Requirement'!AL35</f>
        <v/>
      </c>
      <c r="AM35">
        <f>AL35+'Grid_Incoming'!AM35-'Grid_Requirement'!AM35</f>
        <v/>
      </c>
      <c r="AN35">
        <f>AM35+'Grid_Incoming'!AN35-'Grid_Requirement'!AN35</f>
        <v/>
      </c>
      <c r="AO35">
        <f>AN35+'Grid_Incoming'!AO35-'Grid_Requirement'!AO35</f>
        <v/>
      </c>
      <c r="AP35">
        <f>AO35+'Grid_Incoming'!AP35-'Grid_Requirement'!AP35</f>
        <v/>
      </c>
      <c r="AQ35">
        <f>AP35+'Grid_Incoming'!AQ35-'Grid_Requirement'!AQ35</f>
        <v/>
      </c>
      <c r="AR35">
        <f>AQ35+'Grid_Incoming'!AR35-'Grid_Requirement'!AR35</f>
        <v/>
      </c>
      <c r="AS35">
        <f>AR35+'Grid_Incoming'!AS35-'Grid_Requirement'!AS35</f>
        <v/>
      </c>
      <c r="AT35">
        <f>AS35+'Grid_Incoming'!AT35-'Grid_Requirement'!AT35</f>
        <v/>
      </c>
      <c r="AU35">
        <f>AT35+'Grid_Incoming'!AU35-'Grid_Requirement'!AU35</f>
        <v/>
      </c>
      <c r="AV35">
        <f>AU35+'Grid_Incoming'!AV35-'Grid_Requirement'!AV35</f>
        <v/>
      </c>
      <c r="AW35">
        <f>AV35+'Grid_Incoming'!AW35-'Grid_Requirement'!AW35</f>
        <v/>
      </c>
      <c r="AX35">
        <f>AW35+'Grid_Incoming'!AX35-'Grid_Requirement'!AX35</f>
        <v/>
      </c>
      <c r="AY35">
        <f>AX35+'Grid_Incoming'!AY35-'Grid_Requirement'!AY35</f>
        <v/>
      </c>
      <c r="AZ35">
        <f>AY35+'Grid_Incoming'!AZ35-'Grid_Requirement'!AZ35</f>
        <v/>
      </c>
      <c r="BA35">
        <f>AZ35+'Grid_Incoming'!BA35-'Grid_Requirement'!BA35</f>
        <v/>
      </c>
      <c r="BB35">
        <f>BA35+'Grid_Incoming'!BB35-'Grid_Requirement'!BB35</f>
        <v/>
      </c>
      <c r="BC35">
        <f>BB35+'Grid_Incoming'!BC35-'Grid_Requirement'!BC35</f>
        <v/>
      </c>
      <c r="BD35">
        <f>BC35+'Grid_Incoming'!BD35-'Grid_Requirement'!BD35</f>
        <v/>
      </c>
      <c r="BE35">
        <f>BD35+'Grid_Incoming'!BE35-'Grid_Requirement'!BE35</f>
        <v/>
      </c>
      <c r="BF35">
        <f>BE35+'Grid_Incoming'!BF35-'Grid_Requirement'!BF35</f>
        <v/>
      </c>
      <c r="BG35">
        <f>BF35+'Grid_Incoming'!BG35-'Grid_Requirement'!BG35</f>
        <v/>
      </c>
      <c r="BH35">
        <f>BG35+'Grid_Incoming'!BH35-'Grid_Requirement'!BH35</f>
        <v/>
      </c>
      <c r="BI35">
        <f>BH35+'Grid_Incoming'!BI35-'Grid_Requirement'!BI35</f>
        <v/>
      </c>
      <c r="BJ35">
        <f>BI35+'Grid_Incoming'!BJ35-'Grid_Requirement'!BJ35</f>
        <v/>
      </c>
      <c r="BK35">
        <f>BJ35+'Grid_Incoming'!BK35-'Grid_Requirement'!BK35</f>
        <v/>
      </c>
      <c r="BL35">
        <f>BK35+'Grid_Incoming'!BL35-'Grid_Requirement'!BL35</f>
        <v/>
      </c>
      <c r="BM35">
        <f>BL35+'Grid_Incoming'!BM35-'Grid_Requirement'!BM35</f>
        <v/>
      </c>
      <c r="BN35">
        <f>BM35+'Grid_Incoming'!BN35-'Grid_Requirement'!BN35</f>
        <v/>
      </c>
      <c r="BO35">
        <f>BN35+'Grid_Incoming'!BO35-'Grid_Requirement'!BO35</f>
        <v/>
      </c>
      <c r="BP35">
        <f>BO35+'Grid_Incoming'!BP35-'Grid_Requirement'!BP35</f>
        <v/>
      </c>
      <c r="BQ35">
        <f>BP35+'Grid_Incoming'!BQ35-'Grid_Requirement'!BQ35</f>
        <v/>
      </c>
      <c r="BR35">
        <f>BQ35+'Grid_Incoming'!BR35-'Grid_Requirement'!BR35</f>
        <v/>
      </c>
      <c r="BS35">
        <f>BR35+'Grid_Incoming'!BS35-'Grid_Requirement'!BS35</f>
        <v/>
      </c>
      <c r="BT35">
        <f>BS35+'Grid_Incoming'!BT35-'Grid_Requirement'!BT35</f>
        <v/>
      </c>
      <c r="BU35">
        <f>BT35+'Grid_Incoming'!BU35-'Grid_Requirement'!BU35</f>
        <v/>
      </c>
      <c r="BV35">
        <f>BU35+'Grid_Incoming'!BV35-'Grid_Requirement'!BV35</f>
        <v/>
      </c>
      <c r="BW35">
        <f>BV35+'Grid_Incoming'!BW35-'Grid_Requirement'!BW35</f>
        <v/>
      </c>
      <c r="BX35">
        <f>BW35+'Grid_Incoming'!BX35-'Grid_Requirement'!BX35</f>
        <v/>
      </c>
      <c r="BY35">
        <f>BX35+'Grid_Incoming'!BY35-'Grid_Requirement'!BY35</f>
        <v/>
      </c>
      <c r="BZ35">
        <f>BY35+'Grid_Incoming'!BZ35-'Grid_Requirement'!BZ35</f>
        <v/>
      </c>
      <c r="CA35">
        <f>BZ35+'Grid_Incoming'!CA35-'Grid_Requirement'!CA35</f>
        <v/>
      </c>
      <c r="CB35">
        <f>CA35+'Grid_Incoming'!CB35-'Grid_Requirement'!CB35</f>
        <v/>
      </c>
      <c r="CC35">
        <f>CB35+'Grid_Incoming'!CC35-'Grid_Requirement'!CC35</f>
        <v/>
      </c>
      <c r="CD35">
        <f>CC35+'Grid_Incoming'!CD35-'Grid_Requirement'!CD35</f>
        <v/>
      </c>
      <c r="CE35">
        <f>CD35+'Grid_Incoming'!CE35-'Grid_Requirement'!CE35</f>
        <v/>
      </c>
      <c r="CF35">
        <f>CE35+'Grid_Incoming'!CF35-'Grid_Requirement'!CF35</f>
        <v/>
      </c>
      <c r="CG35">
        <f>CF35+'Grid_Incoming'!CG35-'Grid_Requirement'!CG35</f>
        <v/>
      </c>
      <c r="CH35">
        <f>CG35+'Grid_Incoming'!CH35-'Grid_Requirement'!CH35</f>
        <v/>
      </c>
      <c r="CI35">
        <f>CH35+'Grid_Incoming'!CI35-'Grid_Requirement'!CI35</f>
        <v/>
      </c>
      <c r="CJ35">
        <f>CI35+'Grid_Incoming'!CJ35-'Grid_Requirement'!CJ35</f>
        <v/>
      </c>
      <c r="CK35">
        <f>CJ35+'Grid_Incoming'!CK35-'Grid_Requirement'!CK35</f>
        <v/>
      </c>
      <c r="CL35">
        <f>CK35+'Grid_Incoming'!CL35-'Grid_Requirement'!CL35</f>
        <v/>
      </c>
      <c r="CM35">
        <f>CL35+'Grid_Incoming'!CM35-'Grid_Requirement'!CM35</f>
        <v/>
      </c>
      <c r="CN35">
        <f>CM35+'Grid_Incoming'!CN35-'Grid_Requirement'!CN35</f>
        <v/>
      </c>
      <c r="CO35">
        <f>CN35+'Grid_Incoming'!CO35-'Grid_Requirement'!CO35</f>
        <v/>
      </c>
      <c r="CP35">
        <f>CO35+'Grid_Incoming'!CP35-'Grid_Requirement'!CP35</f>
        <v/>
      </c>
      <c r="CQ35">
        <f>CP35+'Grid_Incoming'!CQ35-'Grid_Requirement'!CQ35</f>
        <v/>
      </c>
      <c r="CR35">
        <f>CQ35+'Grid_Incoming'!CR35-'Grid_Requirement'!CR35</f>
        <v/>
      </c>
      <c r="CS35">
        <f>CR35+'Grid_Incoming'!CS35-'Grid_Requirement'!CS35</f>
        <v/>
      </c>
      <c r="CT35">
        <f>CS35+'Grid_Incoming'!CT35-'Grid_Requirement'!CT35</f>
        <v/>
      </c>
      <c r="CU35">
        <f>CT35+'Grid_Incoming'!CU35-'Grid_Requirement'!CU35</f>
        <v/>
      </c>
      <c r="CV35">
        <f>CU35+'Grid_Incoming'!CV35-'Grid_Requirement'!CV35</f>
        <v/>
      </c>
      <c r="CW35">
        <f>CV35+'Grid_Incoming'!CW35-'Grid_Requirement'!CW35</f>
        <v/>
      </c>
      <c r="CX35">
        <f>CW35+'Grid_Incoming'!CX35-'Grid_Requirement'!CX35</f>
        <v/>
      </c>
      <c r="CY35">
        <f>CX35+'Grid_Incoming'!CY35-'Grid_Requirement'!CY35</f>
        <v/>
      </c>
      <c r="CZ35">
        <f>CY35+'Grid_Incoming'!CZ35-'Grid_Requirement'!CZ35</f>
        <v/>
      </c>
      <c r="DA35">
        <f>CZ35+'Grid_Incoming'!DA35-'Grid_Requirement'!DA35</f>
        <v/>
      </c>
    </row>
    <row r="36">
      <c r="A36" t="inlineStr">
        <is>
          <t>CHEM-1420</t>
        </is>
      </c>
      <c r="B36">
        <f>IFERROR(INDEX(T_OpeningStock[Opening_Qty],MATCH($A36,T_OpeningStock[Part Name],0)),0)+'Grid_Incoming'!B36-'Grid_Requirement'!B36</f>
        <v/>
      </c>
      <c r="C36">
        <f>B36+'Grid_Incoming'!C36-'Grid_Requirement'!C36</f>
        <v/>
      </c>
      <c r="D36">
        <f>C36+'Grid_Incoming'!D36-'Grid_Requirement'!D36</f>
        <v/>
      </c>
      <c r="E36">
        <f>D36+'Grid_Incoming'!E36-'Grid_Requirement'!E36</f>
        <v/>
      </c>
      <c r="F36">
        <f>E36+'Grid_Incoming'!F36-'Grid_Requirement'!F36</f>
        <v/>
      </c>
      <c r="G36">
        <f>F36+'Grid_Incoming'!G36-'Grid_Requirement'!G36</f>
        <v/>
      </c>
      <c r="H36">
        <f>G36+'Grid_Incoming'!H36-'Grid_Requirement'!H36</f>
        <v/>
      </c>
      <c r="I36">
        <f>H36+'Grid_Incoming'!I36-'Grid_Requirement'!I36</f>
        <v/>
      </c>
      <c r="J36">
        <f>I36+'Grid_Incoming'!J36-'Grid_Requirement'!J36</f>
        <v/>
      </c>
      <c r="K36">
        <f>J36+'Grid_Incoming'!K36-'Grid_Requirement'!K36</f>
        <v/>
      </c>
      <c r="L36">
        <f>K36+'Grid_Incoming'!L36-'Grid_Requirement'!L36</f>
        <v/>
      </c>
      <c r="M36">
        <f>L36+'Grid_Incoming'!M36-'Grid_Requirement'!M36</f>
        <v/>
      </c>
      <c r="N36">
        <f>M36+'Grid_Incoming'!N36-'Grid_Requirement'!N36</f>
        <v/>
      </c>
      <c r="O36">
        <f>N36+'Grid_Incoming'!O36-'Grid_Requirement'!O36</f>
        <v/>
      </c>
      <c r="P36">
        <f>O36+'Grid_Incoming'!P36-'Grid_Requirement'!P36</f>
        <v/>
      </c>
      <c r="Q36">
        <f>P36+'Grid_Incoming'!Q36-'Grid_Requirement'!Q36</f>
        <v/>
      </c>
      <c r="R36">
        <f>Q36+'Grid_Incoming'!R36-'Grid_Requirement'!R36</f>
        <v/>
      </c>
      <c r="S36">
        <f>R36+'Grid_Incoming'!S36-'Grid_Requirement'!S36</f>
        <v/>
      </c>
      <c r="T36">
        <f>S36+'Grid_Incoming'!T36-'Grid_Requirement'!T36</f>
        <v/>
      </c>
      <c r="U36">
        <f>T36+'Grid_Incoming'!U36-'Grid_Requirement'!U36</f>
        <v/>
      </c>
      <c r="V36">
        <f>U36+'Grid_Incoming'!V36-'Grid_Requirement'!V36</f>
        <v/>
      </c>
      <c r="W36">
        <f>V36+'Grid_Incoming'!W36-'Grid_Requirement'!W36</f>
        <v/>
      </c>
      <c r="X36">
        <f>W36+'Grid_Incoming'!X36-'Grid_Requirement'!X36</f>
        <v/>
      </c>
      <c r="Y36">
        <f>X36+'Grid_Incoming'!Y36-'Grid_Requirement'!Y36</f>
        <v/>
      </c>
      <c r="Z36">
        <f>Y36+'Grid_Incoming'!Z36-'Grid_Requirement'!Z36</f>
        <v/>
      </c>
      <c r="AA36">
        <f>Z36+'Grid_Incoming'!AA36-'Grid_Requirement'!AA36</f>
        <v/>
      </c>
      <c r="AB36">
        <f>AA36+'Grid_Incoming'!AB36-'Grid_Requirement'!AB36</f>
        <v/>
      </c>
      <c r="AC36">
        <f>AB36+'Grid_Incoming'!AC36-'Grid_Requirement'!AC36</f>
        <v/>
      </c>
      <c r="AD36">
        <f>AC36+'Grid_Incoming'!AD36-'Grid_Requirement'!AD36</f>
        <v/>
      </c>
      <c r="AE36">
        <f>AD36+'Grid_Incoming'!AE36-'Grid_Requirement'!AE36</f>
        <v/>
      </c>
      <c r="AF36">
        <f>AE36+'Grid_Incoming'!AF36-'Grid_Requirement'!AF36</f>
        <v/>
      </c>
      <c r="AG36">
        <f>AF36+'Grid_Incoming'!AG36-'Grid_Requirement'!AG36</f>
        <v/>
      </c>
      <c r="AH36">
        <f>AG36+'Grid_Incoming'!AH36-'Grid_Requirement'!AH36</f>
        <v/>
      </c>
      <c r="AI36">
        <f>AH36+'Grid_Incoming'!AI36-'Grid_Requirement'!AI36</f>
        <v/>
      </c>
      <c r="AJ36">
        <f>AI36+'Grid_Incoming'!AJ36-'Grid_Requirement'!AJ36</f>
        <v/>
      </c>
      <c r="AK36">
        <f>AJ36+'Grid_Incoming'!AK36-'Grid_Requirement'!AK36</f>
        <v/>
      </c>
      <c r="AL36">
        <f>AK36+'Grid_Incoming'!AL36-'Grid_Requirement'!AL36</f>
        <v/>
      </c>
      <c r="AM36">
        <f>AL36+'Grid_Incoming'!AM36-'Grid_Requirement'!AM36</f>
        <v/>
      </c>
      <c r="AN36">
        <f>AM36+'Grid_Incoming'!AN36-'Grid_Requirement'!AN36</f>
        <v/>
      </c>
      <c r="AO36">
        <f>AN36+'Grid_Incoming'!AO36-'Grid_Requirement'!AO36</f>
        <v/>
      </c>
      <c r="AP36">
        <f>AO36+'Grid_Incoming'!AP36-'Grid_Requirement'!AP36</f>
        <v/>
      </c>
      <c r="AQ36">
        <f>AP36+'Grid_Incoming'!AQ36-'Grid_Requirement'!AQ36</f>
        <v/>
      </c>
      <c r="AR36">
        <f>AQ36+'Grid_Incoming'!AR36-'Grid_Requirement'!AR36</f>
        <v/>
      </c>
      <c r="AS36">
        <f>AR36+'Grid_Incoming'!AS36-'Grid_Requirement'!AS36</f>
        <v/>
      </c>
      <c r="AT36">
        <f>AS36+'Grid_Incoming'!AT36-'Grid_Requirement'!AT36</f>
        <v/>
      </c>
      <c r="AU36">
        <f>AT36+'Grid_Incoming'!AU36-'Grid_Requirement'!AU36</f>
        <v/>
      </c>
      <c r="AV36">
        <f>AU36+'Grid_Incoming'!AV36-'Grid_Requirement'!AV36</f>
        <v/>
      </c>
      <c r="AW36">
        <f>AV36+'Grid_Incoming'!AW36-'Grid_Requirement'!AW36</f>
        <v/>
      </c>
      <c r="AX36">
        <f>AW36+'Grid_Incoming'!AX36-'Grid_Requirement'!AX36</f>
        <v/>
      </c>
      <c r="AY36">
        <f>AX36+'Grid_Incoming'!AY36-'Grid_Requirement'!AY36</f>
        <v/>
      </c>
      <c r="AZ36">
        <f>AY36+'Grid_Incoming'!AZ36-'Grid_Requirement'!AZ36</f>
        <v/>
      </c>
      <c r="BA36">
        <f>AZ36+'Grid_Incoming'!BA36-'Grid_Requirement'!BA36</f>
        <v/>
      </c>
      <c r="BB36">
        <f>BA36+'Grid_Incoming'!BB36-'Grid_Requirement'!BB36</f>
        <v/>
      </c>
      <c r="BC36">
        <f>BB36+'Grid_Incoming'!BC36-'Grid_Requirement'!BC36</f>
        <v/>
      </c>
      <c r="BD36">
        <f>BC36+'Grid_Incoming'!BD36-'Grid_Requirement'!BD36</f>
        <v/>
      </c>
      <c r="BE36">
        <f>BD36+'Grid_Incoming'!BE36-'Grid_Requirement'!BE36</f>
        <v/>
      </c>
      <c r="BF36">
        <f>BE36+'Grid_Incoming'!BF36-'Grid_Requirement'!BF36</f>
        <v/>
      </c>
      <c r="BG36">
        <f>BF36+'Grid_Incoming'!BG36-'Grid_Requirement'!BG36</f>
        <v/>
      </c>
      <c r="BH36">
        <f>BG36+'Grid_Incoming'!BH36-'Grid_Requirement'!BH36</f>
        <v/>
      </c>
      <c r="BI36">
        <f>BH36+'Grid_Incoming'!BI36-'Grid_Requirement'!BI36</f>
        <v/>
      </c>
      <c r="BJ36">
        <f>BI36+'Grid_Incoming'!BJ36-'Grid_Requirement'!BJ36</f>
        <v/>
      </c>
      <c r="BK36">
        <f>BJ36+'Grid_Incoming'!BK36-'Grid_Requirement'!BK36</f>
        <v/>
      </c>
      <c r="BL36">
        <f>BK36+'Grid_Incoming'!BL36-'Grid_Requirement'!BL36</f>
        <v/>
      </c>
      <c r="BM36">
        <f>BL36+'Grid_Incoming'!BM36-'Grid_Requirement'!BM36</f>
        <v/>
      </c>
      <c r="BN36">
        <f>BM36+'Grid_Incoming'!BN36-'Grid_Requirement'!BN36</f>
        <v/>
      </c>
      <c r="BO36">
        <f>BN36+'Grid_Incoming'!BO36-'Grid_Requirement'!BO36</f>
        <v/>
      </c>
      <c r="BP36">
        <f>BO36+'Grid_Incoming'!BP36-'Grid_Requirement'!BP36</f>
        <v/>
      </c>
      <c r="BQ36">
        <f>BP36+'Grid_Incoming'!BQ36-'Grid_Requirement'!BQ36</f>
        <v/>
      </c>
      <c r="BR36">
        <f>BQ36+'Grid_Incoming'!BR36-'Grid_Requirement'!BR36</f>
        <v/>
      </c>
      <c r="BS36">
        <f>BR36+'Grid_Incoming'!BS36-'Grid_Requirement'!BS36</f>
        <v/>
      </c>
      <c r="BT36">
        <f>BS36+'Grid_Incoming'!BT36-'Grid_Requirement'!BT36</f>
        <v/>
      </c>
      <c r="BU36">
        <f>BT36+'Grid_Incoming'!BU36-'Grid_Requirement'!BU36</f>
        <v/>
      </c>
      <c r="BV36">
        <f>BU36+'Grid_Incoming'!BV36-'Grid_Requirement'!BV36</f>
        <v/>
      </c>
      <c r="BW36">
        <f>BV36+'Grid_Incoming'!BW36-'Grid_Requirement'!BW36</f>
        <v/>
      </c>
      <c r="BX36">
        <f>BW36+'Grid_Incoming'!BX36-'Grid_Requirement'!BX36</f>
        <v/>
      </c>
      <c r="BY36">
        <f>BX36+'Grid_Incoming'!BY36-'Grid_Requirement'!BY36</f>
        <v/>
      </c>
      <c r="BZ36">
        <f>BY36+'Grid_Incoming'!BZ36-'Grid_Requirement'!BZ36</f>
        <v/>
      </c>
      <c r="CA36">
        <f>BZ36+'Grid_Incoming'!CA36-'Grid_Requirement'!CA36</f>
        <v/>
      </c>
      <c r="CB36">
        <f>CA36+'Grid_Incoming'!CB36-'Grid_Requirement'!CB36</f>
        <v/>
      </c>
      <c r="CC36">
        <f>CB36+'Grid_Incoming'!CC36-'Grid_Requirement'!CC36</f>
        <v/>
      </c>
      <c r="CD36">
        <f>CC36+'Grid_Incoming'!CD36-'Grid_Requirement'!CD36</f>
        <v/>
      </c>
      <c r="CE36">
        <f>CD36+'Grid_Incoming'!CE36-'Grid_Requirement'!CE36</f>
        <v/>
      </c>
      <c r="CF36">
        <f>CE36+'Grid_Incoming'!CF36-'Grid_Requirement'!CF36</f>
        <v/>
      </c>
      <c r="CG36">
        <f>CF36+'Grid_Incoming'!CG36-'Grid_Requirement'!CG36</f>
        <v/>
      </c>
      <c r="CH36">
        <f>CG36+'Grid_Incoming'!CH36-'Grid_Requirement'!CH36</f>
        <v/>
      </c>
      <c r="CI36">
        <f>CH36+'Grid_Incoming'!CI36-'Grid_Requirement'!CI36</f>
        <v/>
      </c>
      <c r="CJ36">
        <f>CI36+'Grid_Incoming'!CJ36-'Grid_Requirement'!CJ36</f>
        <v/>
      </c>
      <c r="CK36">
        <f>CJ36+'Grid_Incoming'!CK36-'Grid_Requirement'!CK36</f>
        <v/>
      </c>
      <c r="CL36">
        <f>CK36+'Grid_Incoming'!CL36-'Grid_Requirement'!CL36</f>
        <v/>
      </c>
      <c r="CM36">
        <f>CL36+'Grid_Incoming'!CM36-'Grid_Requirement'!CM36</f>
        <v/>
      </c>
      <c r="CN36">
        <f>CM36+'Grid_Incoming'!CN36-'Grid_Requirement'!CN36</f>
        <v/>
      </c>
      <c r="CO36">
        <f>CN36+'Grid_Incoming'!CO36-'Grid_Requirement'!CO36</f>
        <v/>
      </c>
      <c r="CP36">
        <f>CO36+'Grid_Incoming'!CP36-'Grid_Requirement'!CP36</f>
        <v/>
      </c>
      <c r="CQ36">
        <f>CP36+'Grid_Incoming'!CQ36-'Grid_Requirement'!CQ36</f>
        <v/>
      </c>
      <c r="CR36">
        <f>CQ36+'Grid_Incoming'!CR36-'Grid_Requirement'!CR36</f>
        <v/>
      </c>
      <c r="CS36">
        <f>CR36+'Grid_Incoming'!CS36-'Grid_Requirement'!CS36</f>
        <v/>
      </c>
      <c r="CT36">
        <f>CS36+'Grid_Incoming'!CT36-'Grid_Requirement'!CT36</f>
        <v/>
      </c>
      <c r="CU36">
        <f>CT36+'Grid_Incoming'!CU36-'Grid_Requirement'!CU36</f>
        <v/>
      </c>
      <c r="CV36">
        <f>CU36+'Grid_Incoming'!CV36-'Grid_Requirement'!CV36</f>
        <v/>
      </c>
      <c r="CW36">
        <f>CV36+'Grid_Incoming'!CW36-'Grid_Requirement'!CW36</f>
        <v/>
      </c>
      <c r="CX36">
        <f>CW36+'Grid_Incoming'!CX36-'Grid_Requirement'!CX36</f>
        <v/>
      </c>
      <c r="CY36">
        <f>CX36+'Grid_Incoming'!CY36-'Grid_Requirement'!CY36</f>
        <v/>
      </c>
      <c r="CZ36">
        <f>CY36+'Grid_Incoming'!CZ36-'Grid_Requirement'!CZ36</f>
        <v/>
      </c>
      <c r="DA36">
        <f>CZ36+'Grid_Incoming'!DA36-'Grid_Requirement'!DA36</f>
        <v/>
      </c>
    </row>
    <row r="37">
      <c r="A37" t="inlineStr">
        <is>
          <t>CHEM-1530</t>
        </is>
      </c>
      <c r="B37">
        <f>IFERROR(INDEX(T_OpeningStock[Opening_Qty],MATCH($A37,T_OpeningStock[Part Name],0)),0)+'Grid_Incoming'!B37-'Grid_Requirement'!B37</f>
        <v/>
      </c>
      <c r="C37">
        <f>B37+'Grid_Incoming'!C37-'Grid_Requirement'!C37</f>
        <v/>
      </c>
      <c r="D37">
        <f>C37+'Grid_Incoming'!D37-'Grid_Requirement'!D37</f>
        <v/>
      </c>
      <c r="E37">
        <f>D37+'Grid_Incoming'!E37-'Grid_Requirement'!E37</f>
        <v/>
      </c>
      <c r="F37">
        <f>E37+'Grid_Incoming'!F37-'Grid_Requirement'!F37</f>
        <v/>
      </c>
      <c r="G37">
        <f>F37+'Grid_Incoming'!G37-'Grid_Requirement'!G37</f>
        <v/>
      </c>
      <c r="H37">
        <f>G37+'Grid_Incoming'!H37-'Grid_Requirement'!H37</f>
        <v/>
      </c>
      <c r="I37">
        <f>H37+'Grid_Incoming'!I37-'Grid_Requirement'!I37</f>
        <v/>
      </c>
      <c r="J37">
        <f>I37+'Grid_Incoming'!J37-'Grid_Requirement'!J37</f>
        <v/>
      </c>
      <c r="K37">
        <f>J37+'Grid_Incoming'!K37-'Grid_Requirement'!K37</f>
        <v/>
      </c>
      <c r="L37">
        <f>K37+'Grid_Incoming'!L37-'Grid_Requirement'!L37</f>
        <v/>
      </c>
      <c r="M37">
        <f>L37+'Grid_Incoming'!M37-'Grid_Requirement'!M37</f>
        <v/>
      </c>
      <c r="N37">
        <f>M37+'Grid_Incoming'!N37-'Grid_Requirement'!N37</f>
        <v/>
      </c>
      <c r="O37">
        <f>N37+'Grid_Incoming'!O37-'Grid_Requirement'!O37</f>
        <v/>
      </c>
      <c r="P37">
        <f>O37+'Grid_Incoming'!P37-'Grid_Requirement'!P37</f>
        <v/>
      </c>
      <c r="Q37">
        <f>P37+'Grid_Incoming'!Q37-'Grid_Requirement'!Q37</f>
        <v/>
      </c>
      <c r="R37">
        <f>Q37+'Grid_Incoming'!R37-'Grid_Requirement'!R37</f>
        <v/>
      </c>
      <c r="S37">
        <f>R37+'Grid_Incoming'!S37-'Grid_Requirement'!S37</f>
        <v/>
      </c>
      <c r="T37">
        <f>S37+'Grid_Incoming'!T37-'Grid_Requirement'!T37</f>
        <v/>
      </c>
      <c r="U37">
        <f>T37+'Grid_Incoming'!U37-'Grid_Requirement'!U37</f>
        <v/>
      </c>
      <c r="V37">
        <f>U37+'Grid_Incoming'!V37-'Grid_Requirement'!V37</f>
        <v/>
      </c>
      <c r="W37">
        <f>V37+'Grid_Incoming'!W37-'Grid_Requirement'!W37</f>
        <v/>
      </c>
      <c r="X37">
        <f>W37+'Grid_Incoming'!X37-'Grid_Requirement'!X37</f>
        <v/>
      </c>
      <c r="Y37">
        <f>X37+'Grid_Incoming'!Y37-'Grid_Requirement'!Y37</f>
        <v/>
      </c>
      <c r="Z37">
        <f>Y37+'Grid_Incoming'!Z37-'Grid_Requirement'!Z37</f>
        <v/>
      </c>
      <c r="AA37">
        <f>Z37+'Grid_Incoming'!AA37-'Grid_Requirement'!AA37</f>
        <v/>
      </c>
      <c r="AB37">
        <f>AA37+'Grid_Incoming'!AB37-'Grid_Requirement'!AB37</f>
        <v/>
      </c>
      <c r="AC37">
        <f>AB37+'Grid_Incoming'!AC37-'Grid_Requirement'!AC37</f>
        <v/>
      </c>
      <c r="AD37">
        <f>AC37+'Grid_Incoming'!AD37-'Grid_Requirement'!AD37</f>
        <v/>
      </c>
      <c r="AE37">
        <f>AD37+'Grid_Incoming'!AE37-'Grid_Requirement'!AE37</f>
        <v/>
      </c>
      <c r="AF37">
        <f>AE37+'Grid_Incoming'!AF37-'Grid_Requirement'!AF37</f>
        <v/>
      </c>
      <c r="AG37">
        <f>AF37+'Grid_Incoming'!AG37-'Grid_Requirement'!AG37</f>
        <v/>
      </c>
      <c r="AH37">
        <f>AG37+'Grid_Incoming'!AH37-'Grid_Requirement'!AH37</f>
        <v/>
      </c>
      <c r="AI37">
        <f>AH37+'Grid_Incoming'!AI37-'Grid_Requirement'!AI37</f>
        <v/>
      </c>
      <c r="AJ37">
        <f>AI37+'Grid_Incoming'!AJ37-'Grid_Requirement'!AJ37</f>
        <v/>
      </c>
      <c r="AK37">
        <f>AJ37+'Grid_Incoming'!AK37-'Grid_Requirement'!AK37</f>
        <v/>
      </c>
      <c r="AL37">
        <f>AK37+'Grid_Incoming'!AL37-'Grid_Requirement'!AL37</f>
        <v/>
      </c>
      <c r="AM37">
        <f>AL37+'Grid_Incoming'!AM37-'Grid_Requirement'!AM37</f>
        <v/>
      </c>
      <c r="AN37">
        <f>AM37+'Grid_Incoming'!AN37-'Grid_Requirement'!AN37</f>
        <v/>
      </c>
      <c r="AO37">
        <f>AN37+'Grid_Incoming'!AO37-'Grid_Requirement'!AO37</f>
        <v/>
      </c>
      <c r="AP37">
        <f>AO37+'Grid_Incoming'!AP37-'Grid_Requirement'!AP37</f>
        <v/>
      </c>
      <c r="AQ37">
        <f>AP37+'Grid_Incoming'!AQ37-'Grid_Requirement'!AQ37</f>
        <v/>
      </c>
      <c r="AR37">
        <f>AQ37+'Grid_Incoming'!AR37-'Grid_Requirement'!AR37</f>
        <v/>
      </c>
      <c r="AS37">
        <f>AR37+'Grid_Incoming'!AS37-'Grid_Requirement'!AS37</f>
        <v/>
      </c>
      <c r="AT37">
        <f>AS37+'Grid_Incoming'!AT37-'Grid_Requirement'!AT37</f>
        <v/>
      </c>
      <c r="AU37">
        <f>AT37+'Grid_Incoming'!AU37-'Grid_Requirement'!AU37</f>
        <v/>
      </c>
      <c r="AV37">
        <f>AU37+'Grid_Incoming'!AV37-'Grid_Requirement'!AV37</f>
        <v/>
      </c>
      <c r="AW37">
        <f>AV37+'Grid_Incoming'!AW37-'Grid_Requirement'!AW37</f>
        <v/>
      </c>
      <c r="AX37">
        <f>AW37+'Grid_Incoming'!AX37-'Grid_Requirement'!AX37</f>
        <v/>
      </c>
      <c r="AY37">
        <f>AX37+'Grid_Incoming'!AY37-'Grid_Requirement'!AY37</f>
        <v/>
      </c>
      <c r="AZ37">
        <f>AY37+'Grid_Incoming'!AZ37-'Grid_Requirement'!AZ37</f>
        <v/>
      </c>
      <c r="BA37">
        <f>AZ37+'Grid_Incoming'!BA37-'Grid_Requirement'!BA37</f>
        <v/>
      </c>
      <c r="BB37">
        <f>BA37+'Grid_Incoming'!BB37-'Grid_Requirement'!BB37</f>
        <v/>
      </c>
      <c r="BC37">
        <f>BB37+'Grid_Incoming'!BC37-'Grid_Requirement'!BC37</f>
        <v/>
      </c>
      <c r="BD37">
        <f>BC37+'Grid_Incoming'!BD37-'Grid_Requirement'!BD37</f>
        <v/>
      </c>
      <c r="BE37">
        <f>BD37+'Grid_Incoming'!BE37-'Grid_Requirement'!BE37</f>
        <v/>
      </c>
      <c r="BF37">
        <f>BE37+'Grid_Incoming'!BF37-'Grid_Requirement'!BF37</f>
        <v/>
      </c>
      <c r="BG37">
        <f>BF37+'Grid_Incoming'!BG37-'Grid_Requirement'!BG37</f>
        <v/>
      </c>
      <c r="BH37">
        <f>BG37+'Grid_Incoming'!BH37-'Grid_Requirement'!BH37</f>
        <v/>
      </c>
      <c r="BI37">
        <f>BH37+'Grid_Incoming'!BI37-'Grid_Requirement'!BI37</f>
        <v/>
      </c>
      <c r="BJ37">
        <f>BI37+'Grid_Incoming'!BJ37-'Grid_Requirement'!BJ37</f>
        <v/>
      </c>
      <c r="BK37">
        <f>BJ37+'Grid_Incoming'!BK37-'Grid_Requirement'!BK37</f>
        <v/>
      </c>
      <c r="BL37">
        <f>BK37+'Grid_Incoming'!BL37-'Grid_Requirement'!BL37</f>
        <v/>
      </c>
      <c r="BM37">
        <f>BL37+'Grid_Incoming'!BM37-'Grid_Requirement'!BM37</f>
        <v/>
      </c>
      <c r="BN37">
        <f>BM37+'Grid_Incoming'!BN37-'Grid_Requirement'!BN37</f>
        <v/>
      </c>
      <c r="BO37">
        <f>BN37+'Grid_Incoming'!BO37-'Grid_Requirement'!BO37</f>
        <v/>
      </c>
      <c r="BP37">
        <f>BO37+'Grid_Incoming'!BP37-'Grid_Requirement'!BP37</f>
        <v/>
      </c>
      <c r="BQ37">
        <f>BP37+'Grid_Incoming'!BQ37-'Grid_Requirement'!BQ37</f>
        <v/>
      </c>
      <c r="BR37">
        <f>BQ37+'Grid_Incoming'!BR37-'Grid_Requirement'!BR37</f>
        <v/>
      </c>
      <c r="BS37">
        <f>BR37+'Grid_Incoming'!BS37-'Grid_Requirement'!BS37</f>
        <v/>
      </c>
      <c r="BT37">
        <f>BS37+'Grid_Incoming'!BT37-'Grid_Requirement'!BT37</f>
        <v/>
      </c>
      <c r="BU37">
        <f>BT37+'Grid_Incoming'!BU37-'Grid_Requirement'!BU37</f>
        <v/>
      </c>
      <c r="BV37">
        <f>BU37+'Grid_Incoming'!BV37-'Grid_Requirement'!BV37</f>
        <v/>
      </c>
      <c r="BW37">
        <f>BV37+'Grid_Incoming'!BW37-'Grid_Requirement'!BW37</f>
        <v/>
      </c>
      <c r="BX37">
        <f>BW37+'Grid_Incoming'!BX37-'Grid_Requirement'!BX37</f>
        <v/>
      </c>
      <c r="BY37">
        <f>BX37+'Grid_Incoming'!BY37-'Grid_Requirement'!BY37</f>
        <v/>
      </c>
      <c r="BZ37">
        <f>BY37+'Grid_Incoming'!BZ37-'Grid_Requirement'!BZ37</f>
        <v/>
      </c>
      <c r="CA37">
        <f>BZ37+'Grid_Incoming'!CA37-'Grid_Requirement'!CA37</f>
        <v/>
      </c>
      <c r="CB37">
        <f>CA37+'Grid_Incoming'!CB37-'Grid_Requirement'!CB37</f>
        <v/>
      </c>
      <c r="CC37">
        <f>CB37+'Grid_Incoming'!CC37-'Grid_Requirement'!CC37</f>
        <v/>
      </c>
      <c r="CD37">
        <f>CC37+'Grid_Incoming'!CD37-'Grid_Requirement'!CD37</f>
        <v/>
      </c>
      <c r="CE37">
        <f>CD37+'Grid_Incoming'!CE37-'Grid_Requirement'!CE37</f>
        <v/>
      </c>
      <c r="CF37">
        <f>CE37+'Grid_Incoming'!CF37-'Grid_Requirement'!CF37</f>
        <v/>
      </c>
      <c r="CG37">
        <f>CF37+'Grid_Incoming'!CG37-'Grid_Requirement'!CG37</f>
        <v/>
      </c>
      <c r="CH37">
        <f>CG37+'Grid_Incoming'!CH37-'Grid_Requirement'!CH37</f>
        <v/>
      </c>
      <c r="CI37">
        <f>CH37+'Grid_Incoming'!CI37-'Grid_Requirement'!CI37</f>
        <v/>
      </c>
      <c r="CJ37">
        <f>CI37+'Grid_Incoming'!CJ37-'Grid_Requirement'!CJ37</f>
        <v/>
      </c>
      <c r="CK37">
        <f>CJ37+'Grid_Incoming'!CK37-'Grid_Requirement'!CK37</f>
        <v/>
      </c>
      <c r="CL37">
        <f>CK37+'Grid_Incoming'!CL37-'Grid_Requirement'!CL37</f>
        <v/>
      </c>
      <c r="CM37">
        <f>CL37+'Grid_Incoming'!CM37-'Grid_Requirement'!CM37</f>
        <v/>
      </c>
      <c r="CN37">
        <f>CM37+'Grid_Incoming'!CN37-'Grid_Requirement'!CN37</f>
        <v/>
      </c>
      <c r="CO37">
        <f>CN37+'Grid_Incoming'!CO37-'Grid_Requirement'!CO37</f>
        <v/>
      </c>
      <c r="CP37">
        <f>CO37+'Grid_Incoming'!CP37-'Grid_Requirement'!CP37</f>
        <v/>
      </c>
      <c r="CQ37">
        <f>CP37+'Grid_Incoming'!CQ37-'Grid_Requirement'!CQ37</f>
        <v/>
      </c>
      <c r="CR37">
        <f>CQ37+'Grid_Incoming'!CR37-'Grid_Requirement'!CR37</f>
        <v/>
      </c>
      <c r="CS37">
        <f>CR37+'Grid_Incoming'!CS37-'Grid_Requirement'!CS37</f>
        <v/>
      </c>
      <c r="CT37">
        <f>CS37+'Grid_Incoming'!CT37-'Grid_Requirement'!CT37</f>
        <v/>
      </c>
      <c r="CU37">
        <f>CT37+'Grid_Incoming'!CU37-'Grid_Requirement'!CU37</f>
        <v/>
      </c>
      <c r="CV37">
        <f>CU37+'Grid_Incoming'!CV37-'Grid_Requirement'!CV37</f>
        <v/>
      </c>
      <c r="CW37">
        <f>CV37+'Grid_Incoming'!CW37-'Grid_Requirement'!CW37</f>
        <v/>
      </c>
      <c r="CX37">
        <f>CW37+'Grid_Incoming'!CX37-'Grid_Requirement'!CX37</f>
        <v/>
      </c>
      <c r="CY37">
        <f>CX37+'Grid_Incoming'!CY37-'Grid_Requirement'!CY37</f>
        <v/>
      </c>
      <c r="CZ37">
        <f>CY37+'Grid_Incoming'!CZ37-'Grid_Requirement'!CZ37</f>
        <v/>
      </c>
      <c r="DA37">
        <f>CZ37+'Grid_Incoming'!DA37-'Grid_Requirement'!DA37</f>
        <v/>
      </c>
    </row>
    <row r="38">
      <c r="A38" t="inlineStr">
        <is>
          <t>CHEM-1480</t>
        </is>
      </c>
      <c r="B38">
        <f>IFERROR(INDEX(T_OpeningStock[Opening_Qty],MATCH($A38,T_OpeningStock[Part Name],0)),0)+'Grid_Incoming'!B38-'Grid_Requirement'!B38</f>
        <v/>
      </c>
      <c r="C38">
        <f>B38+'Grid_Incoming'!C38-'Grid_Requirement'!C38</f>
        <v/>
      </c>
      <c r="D38">
        <f>C38+'Grid_Incoming'!D38-'Grid_Requirement'!D38</f>
        <v/>
      </c>
      <c r="E38">
        <f>D38+'Grid_Incoming'!E38-'Grid_Requirement'!E38</f>
        <v/>
      </c>
      <c r="F38">
        <f>E38+'Grid_Incoming'!F38-'Grid_Requirement'!F38</f>
        <v/>
      </c>
      <c r="G38">
        <f>F38+'Grid_Incoming'!G38-'Grid_Requirement'!G38</f>
        <v/>
      </c>
      <c r="H38">
        <f>G38+'Grid_Incoming'!H38-'Grid_Requirement'!H38</f>
        <v/>
      </c>
      <c r="I38">
        <f>H38+'Grid_Incoming'!I38-'Grid_Requirement'!I38</f>
        <v/>
      </c>
      <c r="J38">
        <f>I38+'Grid_Incoming'!J38-'Grid_Requirement'!J38</f>
        <v/>
      </c>
      <c r="K38">
        <f>J38+'Grid_Incoming'!K38-'Grid_Requirement'!K38</f>
        <v/>
      </c>
      <c r="L38">
        <f>K38+'Grid_Incoming'!L38-'Grid_Requirement'!L38</f>
        <v/>
      </c>
      <c r="M38">
        <f>L38+'Grid_Incoming'!M38-'Grid_Requirement'!M38</f>
        <v/>
      </c>
      <c r="N38">
        <f>M38+'Grid_Incoming'!N38-'Grid_Requirement'!N38</f>
        <v/>
      </c>
      <c r="O38">
        <f>N38+'Grid_Incoming'!O38-'Grid_Requirement'!O38</f>
        <v/>
      </c>
      <c r="P38">
        <f>O38+'Grid_Incoming'!P38-'Grid_Requirement'!P38</f>
        <v/>
      </c>
      <c r="Q38">
        <f>P38+'Grid_Incoming'!Q38-'Grid_Requirement'!Q38</f>
        <v/>
      </c>
      <c r="R38">
        <f>Q38+'Grid_Incoming'!R38-'Grid_Requirement'!R38</f>
        <v/>
      </c>
      <c r="S38">
        <f>R38+'Grid_Incoming'!S38-'Grid_Requirement'!S38</f>
        <v/>
      </c>
      <c r="T38">
        <f>S38+'Grid_Incoming'!T38-'Grid_Requirement'!T38</f>
        <v/>
      </c>
      <c r="U38">
        <f>T38+'Grid_Incoming'!U38-'Grid_Requirement'!U38</f>
        <v/>
      </c>
      <c r="V38">
        <f>U38+'Grid_Incoming'!V38-'Grid_Requirement'!V38</f>
        <v/>
      </c>
      <c r="W38">
        <f>V38+'Grid_Incoming'!W38-'Grid_Requirement'!W38</f>
        <v/>
      </c>
      <c r="X38">
        <f>W38+'Grid_Incoming'!X38-'Grid_Requirement'!X38</f>
        <v/>
      </c>
      <c r="Y38">
        <f>X38+'Grid_Incoming'!Y38-'Grid_Requirement'!Y38</f>
        <v/>
      </c>
      <c r="Z38">
        <f>Y38+'Grid_Incoming'!Z38-'Grid_Requirement'!Z38</f>
        <v/>
      </c>
      <c r="AA38">
        <f>Z38+'Grid_Incoming'!AA38-'Grid_Requirement'!AA38</f>
        <v/>
      </c>
      <c r="AB38">
        <f>AA38+'Grid_Incoming'!AB38-'Grid_Requirement'!AB38</f>
        <v/>
      </c>
      <c r="AC38">
        <f>AB38+'Grid_Incoming'!AC38-'Grid_Requirement'!AC38</f>
        <v/>
      </c>
      <c r="AD38">
        <f>AC38+'Grid_Incoming'!AD38-'Grid_Requirement'!AD38</f>
        <v/>
      </c>
      <c r="AE38">
        <f>AD38+'Grid_Incoming'!AE38-'Grid_Requirement'!AE38</f>
        <v/>
      </c>
      <c r="AF38">
        <f>AE38+'Grid_Incoming'!AF38-'Grid_Requirement'!AF38</f>
        <v/>
      </c>
      <c r="AG38">
        <f>AF38+'Grid_Incoming'!AG38-'Grid_Requirement'!AG38</f>
        <v/>
      </c>
      <c r="AH38">
        <f>AG38+'Grid_Incoming'!AH38-'Grid_Requirement'!AH38</f>
        <v/>
      </c>
      <c r="AI38">
        <f>AH38+'Grid_Incoming'!AI38-'Grid_Requirement'!AI38</f>
        <v/>
      </c>
      <c r="AJ38">
        <f>AI38+'Grid_Incoming'!AJ38-'Grid_Requirement'!AJ38</f>
        <v/>
      </c>
      <c r="AK38">
        <f>AJ38+'Grid_Incoming'!AK38-'Grid_Requirement'!AK38</f>
        <v/>
      </c>
      <c r="AL38">
        <f>AK38+'Grid_Incoming'!AL38-'Grid_Requirement'!AL38</f>
        <v/>
      </c>
      <c r="AM38">
        <f>AL38+'Grid_Incoming'!AM38-'Grid_Requirement'!AM38</f>
        <v/>
      </c>
      <c r="AN38">
        <f>AM38+'Grid_Incoming'!AN38-'Grid_Requirement'!AN38</f>
        <v/>
      </c>
      <c r="AO38">
        <f>AN38+'Grid_Incoming'!AO38-'Grid_Requirement'!AO38</f>
        <v/>
      </c>
      <c r="AP38">
        <f>AO38+'Grid_Incoming'!AP38-'Grid_Requirement'!AP38</f>
        <v/>
      </c>
      <c r="AQ38">
        <f>AP38+'Grid_Incoming'!AQ38-'Grid_Requirement'!AQ38</f>
        <v/>
      </c>
      <c r="AR38">
        <f>AQ38+'Grid_Incoming'!AR38-'Grid_Requirement'!AR38</f>
        <v/>
      </c>
      <c r="AS38">
        <f>AR38+'Grid_Incoming'!AS38-'Grid_Requirement'!AS38</f>
        <v/>
      </c>
      <c r="AT38">
        <f>AS38+'Grid_Incoming'!AT38-'Grid_Requirement'!AT38</f>
        <v/>
      </c>
      <c r="AU38">
        <f>AT38+'Grid_Incoming'!AU38-'Grid_Requirement'!AU38</f>
        <v/>
      </c>
      <c r="AV38">
        <f>AU38+'Grid_Incoming'!AV38-'Grid_Requirement'!AV38</f>
        <v/>
      </c>
      <c r="AW38">
        <f>AV38+'Grid_Incoming'!AW38-'Grid_Requirement'!AW38</f>
        <v/>
      </c>
      <c r="AX38">
        <f>AW38+'Grid_Incoming'!AX38-'Grid_Requirement'!AX38</f>
        <v/>
      </c>
      <c r="AY38">
        <f>AX38+'Grid_Incoming'!AY38-'Grid_Requirement'!AY38</f>
        <v/>
      </c>
      <c r="AZ38">
        <f>AY38+'Grid_Incoming'!AZ38-'Grid_Requirement'!AZ38</f>
        <v/>
      </c>
      <c r="BA38">
        <f>AZ38+'Grid_Incoming'!BA38-'Grid_Requirement'!BA38</f>
        <v/>
      </c>
      <c r="BB38">
        <f>BA38+'Grid_Incoming'!BB38-'Grid_Requirement'!BB38</f>
        <v/>
      </c>
      <c r="BC38">
        <f>BB38+'Grid_Incoming'!BC38-'Grid_Requirement'!BC38</f>
        <v/>
      </c>
      <c r="BD38">
        <f>BC38+'Grid_Incoming'!BD38-'Grid_Requirement'!BD38</f>
        <v/>
      </c>
      <c r="BE38">
        <f>BD38+'Grid_Incoming'!BE38-'Grid_Requirement'!BE38</f>
        <v/>
      </c>
      <c r="BF38">
        <f>BE38+'Grid_Incoming'!BF38-'Grid_Requirement'!BF38</f>
        <v/>
      </c>
      <c r="BG38">
        <f>BF38+'Grid_Incoming'!BG38-'Grid_Requirement'!BG38</f>
        <v/>
      </c>
      <c r="BH38">
        <f>BG38+'Grid_Incoming'!BH38-'Grid_Requirement'!BH38</f>
        <v/>
      </c>
      <c r="BI38">
        <f>BH38+'Grid_Incoming'!BI38-'Grid_Requirement'!BI38</f>
        <v/>
      </c>
      <c r="BJ38">
        <f>BI38+'Grid_Incoming'!BJ38-'Grid_Requirement'!BJ38</f>
        <v/>
      </c>
      <c r="BK38">
        <f>BJ38+'Grid_Incoming'!BK38-'Grid_Requirement'!BK38</f>
        <v/>
      </c>
      <c r="BL38">
        <f>BK38+'Grid_Incoming'!BL38-'Grid_Requirement'!BL38</f>
        <v/>
      </c>
      <c r="BM38">
        <f>BL38+'Grid_Incoming'!BM38-'Grid_Requirement'!BM38</f>
        <v/>
      </c>
      <c r="BN38">
        <f>BM38+'Grid_Incoming'!BN38-'Grid_Requirement'!BN38</f>
        <v/>
      </c>
      <c r="BO38">
        <f>BN38+'Grid_Incoming'!BO38-'Grid_Requirement'!BO38</f>
        <v/>
      </c>
      <c r="BP38">
        <f>BO38+'Grid_Incoming'!BP38-'Grid_Requirement'!BP38</f>
        <v/>
      </c>
      <c r="BQ38">
        <f>BP38+'Grid_Incoming'!BQ38-'Grid_Requirement'!BQ38</f>
        <v/>
      </c>
      <c r="BR38">
        <f>BQ38+'Grid_Incoming'!BR38-'Grid_Requirement'!BR38</f>
        <v/>
      </c>
      <c r="BS38">
        <f>BR38+'Grid_Incoming'!BS38-'Grid_Requirement'!BS38</f>
        <v/>
      </c>
      <c r="BT38">
        <f>BS38+'Grid_Incoming'!BT38-'Grid_Requirement'!BT38</f>
        <v/>
      </c>
      <c r="BU38">
        <f>BT38+'Grid_Incoming'!BU38-'Grid_Requirement'!BU38</f>
        <v/>
      </c>
      <c r="BV38">
        <f>BU38+'Grid_Incoming'!BV38-'Grid_Requirement'!BV38</f>
        <v/>
      </c>
      <c r="BW38">
        <f>BV38+'Grid_Incoming'!BW38-'Grid_Requirement'!BW38</f>
        <v/>
      </c>
      <c r="BX38">
        <f>BW38+'Grid_Incoming'!BX38-'Grid_Requirement'!BX38</f>
        <v/>
      </c>
      <c r="BY38">
        <f>BX38+'Grid_Incoming'!BY38-'Grid_Requirement'!BY38</f>
        <v/>
      </c>
      <c r="BZ38">
        <f>BY38+'Grid_Incoming'!BZ38-'Grid_Requirement'!BZ38</f>
        <v/>
      </c>
      <c r="CA38">
        <f>BZ38+'Grid_Incoming'!CA38-'Grid_Requirement'!CA38</f>
        <v/>
      </c>
      <c r="CB38">
        <f>CA38+'Grid_Incoming'!CB38-'Grid_Requirement'!CB38</f>
        <v/>
      </c>
      <c r="CC38">
        <f>CB38+'Grid_Incoming'!CC38-'Grid_Requirement'!CC38</f>
        <v/>
      </c>
      <c r="CD38">
        <f>CC38+'Grid_Incoming'!CD38-'Grid_Requirement'!CD38</f>
        <v/>
      </c>
      <c r="CE38">
        <f>CD38+'Grid_Incoming'!CE38-'Grid_Requirement'!CE38</f>
        <v/>
      </c>
      <c r="CF38">
        <f>CE38+'Grid_Incoming'!CF38-'Grid_Requirement'!CF38</f>
        <v/>
      </c>
      <c r="CG38">
        <f>CF38+'Grid_Incoming'!CG38-'Grid_Requirement'!CG38</f>
        <v/>
      </c>
      <c r="CH38">
        <f>CG38+'Grid_Incoming'!CH38-'Grid_Requirement'!CH38</f>
        <v/>
      </c>
      <c r="CI38">
        <f>CH38+'Grid_Incoming'!CI38-'Grid_Requirement'!CI38</f>
        <v/>
      </c>
      <c r="CJ38">
        <f>CI38+'Grid_Incoming'!CJ38-'Grid_Requirement'!CJ38</f>
        <v/>
      </c>
      <c r="CK38">
        <f>CJ38+'Grid_Incoming'!CK38-'Grid_Requirement'!CK38</f>
        <v/>
      </c>
      <c r="CL38">
        <f>CK38+'Grid_Incoming'!CL38-'Grid_Requirement'!CL38</f>
        <v/>
      </c>
      <c r="CM38">
        <f>CL38+'Grid_Incoming'!CM38-'Grid_Requirement'!CM38</f>
        <v/>
      </c>
      <c r="CN38">
        <f>CM38+'Grid_Incoming'!CN38-'Grid_Requirement'!CN38</f>
        <v/>
      </c>
      <c r="CO38">
        <f>CN38+'Grid_Incoming'!CO38-'Grid_Requirement'!CO38</f>
        <v/>
      </c>
      <c r="CP38">
        <f>CO38+'Grid_Incoming'!CP38-'Grid_Requirement'!CP38</f>
        <v/>
      </c>
      <c r="CQ38">
        <f>CP38+'Grid_Incoming'!CQ38-'Grid_Requirement'!CQ38</f>
        <v/>
      </c>
      <c r="CR38">
        <f>CQ38+'Grid_Incoming'!CR38-'Grid_Requirement'!CR38</f>
        <v/>
      </c>
      <c r="CS38">
        <f>CR38+'Grid_Incoming'!CS38-'Grid_Requirement'!CS38</f>
        <v/>
      </c>
      <c r="CT38">
        <f>CS38+'Grid_Incoming'!CT38-'Grid_Requirement'!CT38</f>
        <v/>
      </c>
      <c r="CU38">
        <f>CT38+'Grid_Incoming'!CU38-'Grid_Requirement'!CU38</f>
        <v/>
      </c>
      <c r="CV38">
        <f>CU38+'Grid_Incoming'!CV38-'Grid_Requirement'!CV38</f>
        <v/>
      </c>
      <c r="CW38">
        <f>CV38+'Grid_Incoming'!CW38-'Grid_Requirement'!CW38</f>
        <v/>
      </c>
      <c r="CX38">
        <f>CW38+'Grid_Incoming'!CX38-'Grid_Requirement'!CX38</f>
        <v/>
      </c>
      <c r="CY38">
        <f>CX38+'Grid_Incoming'!CY38-'Grid_Requirement'!CY38</f>
        <v/>
      </c>
      <c r="CZ38">
        <f>CY38+'Grid_Incoming'!CZ38-'Grid_Requirement'!CZ38</f>
        <v/>
      </c>
      <c r="DA38">
        <f>CZ38+'Grid_Incoming'!DA38-'Grid_Requirement'!DA38</f>
        <v/>
      </c>
    </row>
    <row r="39">
      <c r="A39" t="inlineStr">
        <is>
          <t>CHEM-1540</t>
        </is>
      </c>
      <c r="B39">
        <f>IFERROR(INDEX(T_OpeningStock[Opening_Qty],MATCH($A39,T_OpeningStock[Part Name],0)),0)+'Grid_Incoming'!B39-'Grid_Requirement'!B39</f>
        <v/>
      </c>
      <c r="C39">
        <f>B39+'Grid_Incoming'!C39-'Grid_Requirement'!C39</f>
        <v/>
      </c>
      <c r="D39">
        <f>C39+'Grid_Incoming'!D39-'Grid_Requirement'!D39</f>
        <v/>
      </c>
      <c r="E39">
        <f>D39+'Grid_Incoming'!E39-'Grid_Requirement'!E39</f>
        <v/>
      </c>
      <c r="F39">
        <f>E39+'Grid_Incoming'!F39-'Grid_Requirement'!F39</f>
        <v/>
      </c>
      <c r="G39">
        <f>F39+'Grid_Incoming'!G39-'Grid_Requirement'!G39</f>
        <v/>
      </c>
      <c r="H39">
        <f>G39+'Grid_Incoming'!H39-'Grid_Requirement'!H39</f>
        <v/>
      </c>
      <c r="I39">
        <f>H39+'Grid_Incoming'!I39-'Grid_Requirement'!I39</f>
        <v/>
      </c>
      <c r="J39">
        <f>I39+'Grid_Incoming'!J39-'Grid_Requirement'!J39</f>
        <v/>
      </c>
      <c r="K39">
        <f>J39+'Grid_Incoming'!K39-'Grid_Requirement'!K39</f>
        <v/>
      </c>
      <c r="L39">
        <f>K39+'Grid_Incoming'!L39-'Grid_Requirement'!L39</f>
        <v/>
      </c>
      <c r="M39">
        <f>L39+'Grid_Incoming'!M39-'Grid_Requirement'!M39</f>
        <v/>
      </c>
      <c r="N39">
        <f>M39+'Grid_Incoming'!N39-'Grid_Requirement'!N39</f>
        <v/>
      </c>
      <c r="O39">
        <f>N39+'Grid_Incoming'!O39-'Grid_Requirement'!O39</f>
        <v/>
      </c>
      <c r="P39">
        <f>O39+'Grid_Incoming'!P39-'Grid_Requirement'!P39</f>
        <v/>
      </c>
      <c r="Q39">
        <f>P39+'Grid_Incoming'!Q39-'Grid_Requirement'!Q39</f>
        <v/>
      </c>
      <c r="R39">
        <f>Q39+'Grid_Incoming'!R39-'Grid_Requirement'!R39</f>
        <v/>
      </c>
      <c r="S39">
        <f>R39+'Grid_Incoming'!S39-'Grid_Requirement'!S39</f>
        <v/>
      </c>
      <c r="T39">
        <f>S39+'Grid_Incoming'!T39-'Grid_Requirement'!T39</f>
        <v/>
      </c>
      <c r="U39">
        <f>T39+'Grid_Incoming'!U39-'Grid_Requirement'!U39</f>
        <v/>
      </c>
      <c r="V39">
        <f>U39+'Grid_Incoming'!V39-'Grid_Requirement'!V39</f>
        <v/>
      </c>
      <c r="W39">
        <f>V39+'Grid_Incoming'!W39-'Grid_Requirement'!W39</f>
        <v/>
      </c>
      <c r="X39">
        <f>W39+'Grid_Incoming'!X39-'Grid_Requirement'!X39</f>
        <v/>
      </c>
      <c r="Y39">
        <f>X39+'Grid_Incoming'!Y39-'Grid_Requirement'!Y39</f>
        <v/>
      </c>
      <c r="Z39">
        <f>Y39+'Grid_Incoming'!Z39-'Grid_Requirement'!Z39</f>
        <v/>
      </c>
      <c r="AA39">
        <f>Z39+'Grid_Incoming'!AA39-'Grid_Requirement'!AA39</f>
        <v/>
      </c>
      <c r="AB39">
        <f>AA39+'Grid_Incoming'!AB39-'Grid_Requirement'!AB39</f>
        <v/>
      </c>
      <c r="AC39">
        <f>AB39+'Grid_Incoming'!AC39-'Grid_Requirement'!AC39</f>
        <v/>
      </c>
      <c r="AD39">
        <f>AC39+'Grid_Incoming'!AD39-'Grid_Requirement'!AD39</f>
        <v/>
      </c>
      <c r="AE39">
        <f>AD39+'Grid_Incoming'!AE39-'Grid_Requirement'!AE39</f>
        <v/>
      </c>
      <c r="AF39">
        <f>AE39+'Grid_Incoming'!AF39-'Grid_Requirement'!AF39</f>
        <v/>
      </c>
      <c r="AG39">
        <f>AF39+'Grid_Incoming'!AG39-'Grid_Requirement'!AG39</f>
        <v/>
      </c>
      <c r="AH39">
        <f>AG39+'Grid_Incoming'!AH39-'Grid_Requirement'!AH39</f>
        <v/>
      </c>
      <c r="AI39">
        <f>AH39+'Grid_Incoming'!AI39-'Grid_Requirement'!AI39</f>
        <v/>
      </c>
      <c r="AJ39">
        <f>AI39+'Grid_Incoming'!AJ39-'Grid_Requirement'!AJ39</f>
        <v/>
      </c>
      <c r="AK39">
        <f>AJ39+'Grid_Incoming'!AK39-'Grid_Requirement'!AK39</f>
        <v/>
      </c>
      <c r="AL39">
        <f>AK39+'Grid_Incoming'!AL39-'Grid_Requirement'!AL39</f>
        <v/>
      </c>
      <c r="AM39">
        <f>AL39+'Grid_Incoming'!AM39-'Grid_Requirement'!AM39</f>
        <v/>
      </c>
      <c r="AN39">
        <f>AM39+'Grid_Incoming'!AN39-'Grid_Requirement'!AN39</f>
        <v/>
      </c>
      <c r="AO39">
        <f>AN39+'Grid_Incoming'!AO39-'Grid_Requirement'!AO39</f>
        <v/>
      </c>
      <c r="AP39">
        <f>AO39+'Grid_Incoming'!AP39-'Grid_Requirement'!AP39</f>
        <v/>
      </c>
      <c r="AQ39">
        <f>AP39+'Grid_Incoming'!AQ39-'Grid_Requirement'!AQ39</f>
        <v/>
      </c>
      <c r="AR39">
        <f>AQ39+'Grid_Incoming'!AR39-'Grid_Requirement'!AR39</f>
        <v/>
      </c>
      <c r="AS39">
        <f>AR39+'Grid_Incoming'!AS39-'Grid_Requirement'!AS39</f>
        <v/>
      </c>
      <c r="AT39">
        <f>AS39+'Grid_Incoming'!AT39-'Grid_Requirement'!AT39</f>
        <v/>
      </c>
      <c r="AU39">
        <f>AT39+'Grid_Incoming'!AU39-'Grid_Requirement'!AU39</f>
        <v/>
      </c>
      <c r="AV39">
        <f>AU39+'Grid_Incoming'!AV39-'Grid_Requirement'!AV39</f>
        <v/>
      </c>
      <c r="AW39">
        <f>AV39+'Grid_Incoming'!AW39-'Grid_Requirement'!AW39</f>
        <v/>
      </c>
      <c r="AX39">
        <f>AW39+'Grid_Incoming'!AX39-'Grid_Requirement'!AX39</f>
        <v/>
      </c>
      <c r="AY39">
        <f>AX39+'Grid_Incoming'!AY39-'Grid_Requirement'!AY39</f>
        <v/>
      </c>
      <c r="AZ39">
        <f>AY39+'Grid_Incoming'!AZ39-'Grid_Requirement'!AZ39</f>
        <v/>
      </c>
      <c r="BA39">
        <f>AZ39+'Grid_Incoming'!BA39-'Grid_Requirement'!BA39</f>
        <v/>
      </c>
      <c r="BB39">
        <f>BA39+'Grid_Incoming'!BB39-'Grid_Requirement'!BB39</f>
        <v/>
      </c>
      <c r="BC39">
        <f>BB39+'Grid_Incoming'!BC39-'Grid_Requirement'!BC39</f>
        <v/>
      </c>
      <c r="BD39">
        <f>BC39+'Grid_Incoming'!BD39-'Grid_Requirement'!BD39</f>
        <v/>
      </c>
      <c r="BE39">
        <f>BD39+'Grid_Incoming'!BE39-'Grid_Requirement'!BE39</f>
        <v/>
      </c>
      <c r="BF39">
        <f>BE39+'Grid_Incoming'!BF39-'Grid_Requirement'!BF39</f>
        <v/>
      </c>
      <c r="BG39">
        <f>BF39+'Grid_Incoming'!BG39-'Grid_Requirement'!BG39</f>
        <v/>
      </c>
      <c r="BH39">
        <f>BG39+'Grid_Incoming'!BH39-'Grid_Requirement'!BH39</f>
        <v/>
      </c>
      <c r="BI39">
        <f>BH39+'Grid_Incoming'!BI39-'Grid_Requirement'!BI39</f>
        <v/>
      </c>
      <c r="BJ39">
        <f>BI39+'Grid_Incoming'!BJ39-'Grid_Requirement'!BJ39</f>
        <v/>
      </c>
      <c r="BK39">
        <f>BJ39+'Grid_Incoming'!BK39-'Grid_Requirement'!BK39</f>
        <v/>
      </c>
      <c r="BL39">
        <f>BK39+'Grid_Incoming'!BL39-'Grid_Requirement'!BL39</f>
        <v/>
      </c>
      <c r="BM39">
        <f>BL39+'Grid_Incoming'!BM39-'Grid_Requirement'!BM39</f>
        <v/>
      </c>
      <c r="BN39">
        <f>BM39+'Grid_Incoming'!BN39-'Grid_Requirement'!BN39</f>
        <v/>
      </c>
      <c r="BO39">
        <f>BN39+'Grid_Incoming'!BO39-'Grid_Requirement'!BO39</f>
        <v/>
      </c>
      <c r="BP39">
        <f>BO39+'Grid_Incoming'!BP39-'Grid_Requirement'!BP39</f>
        <v/>
      </c>
      <c r="BQ39">
        <f>BP39+'Grid_Incoming'!BQ39-'Grid_Requirement'!BQ39</f>
        <v/>
      </c>
      <c r="BR39">
        <f>BQ39+'Grid_Incoming'!BR39-'Grid_Requirement'!BR39</f>
        <v/>
      </c>
      <c r="BS39">
        <f>BR39+'Grid_Incoming'!BS39-'Grid_Requirement'!BS39</f>
        <v/>
      </c>
      <c r="BT39">
        <f>BS39+'Grid_Incoming'!BT39-'Grid_Requirement'!BT39</f>
        <v/>
      </c>
      <c r="BU39">
        <f>BT39+'Grid_Incoming'!BU39-'Grid_Requirement'!BU39</f>
        <v/>
      </c>
      <c r="BV39">
        <f>BU39+'Grid_Incoming'!BV39-'Grid_Requirement'!BV39</f>
        <v/>
      </c>
      <c r="BW39">
        <f>BV39+'Grid_Incoming'!BW39-'Grid_Requirement'!BW39</f>
        <v/>
      </c>
      <c r="BX39">
        <f>BW39+'Grid_Incoming'!BX39-'Grid_Requirement'!BX39</f>
        <v/>
      </c>
      <c r="BY39">
        <f>BX39+'Grid_Incoming'!BY39-'Grid_Requirement'!BY39</f>
        <v/>
      </c>
      <c r="BZ39">
        <f>BY39+'Grid_Incoming'!BZ39-'Grid_Requirement'!BZ39</f>
        <v/>
      </c>
      <c r="CA39">
        <f>BZ39+'Grid_Incoming'!CA39-'Grid_Requirement'!CA39</f>
        <v/>
      </c>
      <c r="CB39">
        <f>CA39+'Grid_Incoming'!CB39-'Grid_Requirement'!CB39</f>
        <v/>
      </c>
      <c r="CC39">
        <f>CB39+'Grid_Incoming'!CC39-'Grid_Requirement'!CC39</f>
        <v/>
      </c>
      <c r="CD39">
        <f>CC39+'Grid_Incoming'!CD39-'Grid_Requirement'!CD39</f>
        <v/>
      </c>
      <c r="CE39">
        <f>CD39+'Grid_Incoming'!CE39-'Grid_Requirement'!CE39</f>
        <v/>
      </c>
      <c r="CF39">
        <f>CE39+'Grid_Incoming'!CF39-'Grid_Requirement'!CF39</f>
        <v/>
      </c>
      <c r="CG39">
        <f>CF39+'Grid_Incoming'!CG39-'Grid_Requirement'!CG39</f>
        <v/>
      </c>
      <c r="CH39">
        <f>CG39+'Grid_Incoming'!CH39-'Grid_Requirement'!CH39</f>
        <v/>
      </c>
      <c r="CI39">
        <f>CH39+'Grid_Incoming'!CI39-'Grid_Requirement'!CI39</f>
        <v/>
      </c>
      <c r="CJ39">
        <f>CI39+'Grid_Incoming'!CJ39-'Grid_Requirement'!CJ39</f>
        <v/>
      </c>
      <c r="CK39">
        <f>CJ39+'Grid_Incoming'!CK39-'Grid_Requirement'!CK39</f>
        <v/>
      </c>
      <c r="CL39">
        <f>CK39+'Grid_Incoming'!CL39-'Grid_Requirement'!CL39</f>
        <v/>
      </c>
      <c r="CM39">
        <f>CL39+'Grid_Incoming'!CM39-'Grid_Requirement'!CM39</f>
        <v/>
      </c>
      <c r="CN39">
        <f>CM39+'Grid_Incoming'!CN39-'Grid_Requirement'!CN39</f>
        <v/>
      </c>
      <c r="CO39">
        <f>CN39+'Grid_Incoming'!CO39-'Grid_Requirement'!CO39</f>
        <v/>
      </c>
      <c r="CP39">
        <f>CO39+'Grid_Incoming'!CP39-'Grid_Requirement'!CP39</f>
        <v/>
      </c>
      <c r="CQ39">
        <f>CP39+'Grid_Incoming'!CQ39-'Grid_Requirement'!CQ39</f>
        <v/>
      </c>
      <c r="CR39">
        <f>CQ39+'Grid_Incoming'!CR39-'Grid_Requirement'!CR39</f>
        <v/>
      </c>
      <c r="CS39">
        <f>CR39+'Grid_Incoming'!CS39-'Grid_Requirement'!CS39</f>
        <v/>
      </c>
      <c r="CT39">
        <f>CS39+'Grid_Incoming'!CT39-'Grid_Requirement'!CT39</f>
        <v/>
      </c>
      <c r="CU39">
        <f>CT39+'Grid_Incoming'!CU39-'Grid_Requirement'!CU39</f>
        <v/>
      </c>
      <c r="CV39">
        <f>CU39+'Grid_Incoming'!CV39-'Grid_Requirement'!CV39</f>
        <v/>
      </c>
      <c r="CW39">
        <f>CV39+'Grid_Incoming'!CW39-'Grid_Requirement'!CW39</f>
        <v/>
      </c>
      <c r="CX39">
        <f>CW39+'Grid_Incoming'!CX39-'Grid_Requirement'!CX39</f>
        <v/>
      </c>
      <c r="CY39">
        <f>CX39+'Grid_Incoming'!CY39-'Grid_Requirement'!CY39</f>
        <v/>
      </c>
      <c r="CZ39">
        <f>CY39+'Grid_Incoming'!CZ39-'Grid_Requirement'!CZ39</f>
        <v/>
      </c>
      <c r="DA39">
        <f>CZ39+'Grid_Incoming'!DA39-'Grid_Requirement'!DA39</f>
        <v/>
      </c>
    </row>
    <row r="40">
      <c r="A40" t="inlineStr">
        <is>
          <t>CHEM-1680</t>
        </is>
      </c>
      <c r="B40">
        <f>IFERROR(INDEX(T_OpeningStock[Opening_Qty],MATCH($A40,T_OpeningStock[Part Name],0)),0)+'Grid_Incoming'!B40-'Grid_Requirement'!B40</f>
        <v/>
      </c>
      <c r="C40">
        <f>B40+'Grid_Incoming'!C40-'Grid_Requirement'!C40</f>
        <v/>
      </c>
      <c r="D40">
        <f>C40+'Grid_Incoming'!D40-'Grid_Requirement'!D40</f>
        <v/>
      </c>
      <c r="E40">
        <f>D40+'Grid_Incoming'!E40-'Grid_Requirement'!E40</f>
        <v/>
      </c>
      <c r="F40">
        <f>E40+'Grid_Incoming'!F40-'Grid_Requirement'!F40</f>
        <v/>
      </c>
      <c r="G40">
        <f>F40+'Grid_Incoming'!G40-'Grid_Requirement'!G40</f>
        <v/>
      </c>
      <c r="H40">
        <f>G40+'Grid_Incoming'!H40-'Grid_Requirement'!H40</f>
        <v/>
      </c>
      <c r="I40">
        <f>H40+'Grid_Incoming'!I40-'Grid_Requirement'!I40</f>
        <v/>
      </c>
      <c r="J40">
        <f>I40+'Grid_Incoming'!J40-'Grid_Requirement'!J40</f>
        <v/>
      </c>
      <c r="K40">
        <f>J40+'Grid_Incoming'!K40-'Grid_Requirement'!K40</f>
        <v/>
      </c>
      <c r="L40">
        <f>K40+'Grid_Incoming'!L40-'Grid_Requirement'!L40</f>
        <v/>
      </c>
      <c r="M40">
        <f>L40+'Grid_Incoming'!M40-'Grid_Requirement'!M40</f>
        <v/>
      </c>
      <c r="N40">
        <f>M40+'Grid_Incoming'!N40-'Grid_Requirement'!N40</f>
        <v/>
      </c>
      <c r="O40">
        <f>N40+'Grid_Incoming'!O40-'Grid_Requirement'!O40</f>
        <v/>
      </c>
      <c r="P40">
        <f>O40+'Grid_Incoming'!P40-'Grid_Requirement'!P40</f>
        <v/>
      </c>
      <c r="Q40">
        <f>P40+'Grid_Incoming'!Q40-'Grid_Requirement'!Q40</f>
        <v/>
      </c>
      <c r="R40">
        <f>Q40+'Grid_Incoming'!R40-'Grid_Requirement'!R40</f>
        <v/>
      </c>
      <c r="S40">
        <f>R40+'Grid_Incoming'!S40-'Grid_Requirement'!S40</f>
        <v/>
      </c>
      <c r="T40">
        <f>S40+'Grid_Incoming'!T40-'Grid_Requirement'!T40</f>
        <v/>
      </c>
      <c r="U40">
        <f>T40+'Grid_Incoming'!U40-'Grid_Requirement'!U40</f>
        <v/>
      </c>
      <c r="V40">
        <f>U40+'Grid_Incoming'!V40-'Grid_Requirement'!V40</f>
        <v/>
      </c>
      <c r="W40">
        <f>V40+'Grid_Incoming'!W40-'Grid_Requirement'!W40</f>
        <v/>
      </c>
      <c r="X40">
        <f>W40+'Grid_Incoming'!X40-'Grid_Requirement'!X40</f>
        <v/>
      </c>
      <c r="Y40">
        <f>X40+'Grid_Incoming'!Y40-'Grid_Requirement'!Y40</f>
        <v/>
      </c>
      <c r="Z40">
        <f>Y40+'Grid_Incoming'!Z40-'Grid_Requirement'!Z40</f>
        <v/>
      </c>
      <c r="AA40">
        <f>Z40+'Grid_Incoming'!AA40-'Grid_Requirement'!AA40</f>
        <v/>
      </c>
      <c r="AB40">
        <f>AA40+'Grid_Incoming'!AB40-'Grid_Requirement'!AB40</f>
        <v/>
      </c>
      <c r="AC40">
        <f>AB40+'Grid_Incoming'!AC40-'Grid_Requirement'!AC40</f>
        <v/>
      </c>
      <c r="AD40">
        <f>AC40+'Grid_Incoming'!AD40-'Grid_Requirement'!AD40</f>
        <v/>
      </c>
      <c r="AE40">
        <f>AD40+'Grid_Incoming'!AE40-'Grid_Requirement'!AE40</f>
        <v/>
      </c>
      <c r="AF40">
        <f>AE40+'Grid_Incoming'!AF40-'Grid_Requirement'!AF40</f>
        <v/>
      </c>
      <c r="AG40">
        <f>AF40+'Grid_Incoming'!AG40-'Grid_Requirement'!AG40</f>
        <v/>
      </c>
      <c r="AH40">
        <f>AG40+'Grid_Incoming'!AH40-'Grid_Requirement'!AH40</f>
        <v/>
      </c>
      <c r="AI40">
        <f>AH40+'Grid_Incoming'!AI40-'Grid_Requirement'!AI40</f>
        <v/>
      </c>
      <c r="AJ40">
        <f>AI40+'Grid_Incoming'!AJ40-'Grid_Requirement'!AJ40</f>
        <v/>
      </c>
      <c r="AK40">
        <f>AJ40+'Grid_Incoming'!AK40-'Grid_Requirement'!AK40</f>
        <v/>
      </c>
      <c r="AL40">
        <f>AK40+'Grid_Incoming'!AL40-'Grid_Requirement'!AL40</f>
        <v/>
      </c>
      <c r="AM40">
        <f>AL40+'Grid_Incoming'!AM40-'Grid_Requirement'!AM40</f>
        <v/>
      </c>
      <c r="AN40">
        <f>AM40+'Grid_Incoming'!AN40-'Grid_Requirement'!AN40</f>
        <v/>
      </c>
      <c r="AO40">
        <f>AN40+'Grid_Incoming'!AO40-'Grid_Requirement'!AO40</f>
        <v/>
      </c>
      <c r="AP40">
        <f>AO40+'Grid_Incoming'!AP40-'Grid_Requirement'!AP40</f>
        <v/>
      </c>
      <c r="AQ40">
        <f>AP40+'Grid_Incoming'!AQ40-'Grid_Requirement'!AQ40</f>
        <v/>
      </c>
      <c r="AR40">
        <f>AQ40+'Grid_Incoming'!AR40-'Grid_Requirement'!AR40</f>
        <v/>
      </c>
      <c r="AS40">
        <f>AR40+'Grid_Incoming'!AS40-'Grid_Requirement'!AS40</f>
        <v/>
      </c>
      <c r="AT40">
        <f>AS40+'Grid_Incoming'!AT40-'Grid_Requirement'!AT40</f>
        <v/>
      </c>
      <c r="AU40">
        <f>AT40+'Grid_Incoming'!AU40-'Grid_Requirement'!AU40</f>
        <v/>
      </c>
      <c r="AV40">
        <f>AU40+'Grid_Incoming'!AV40-'Grid_Requirement'!AV40</f>
        <v/>
      </c>
      <c r="AW40">
        <f>AV40+'Grid_Incoming'!AW40-'Grid_Requirement'!AW40</f>
        <v/>
      </c>
      <c r="AX40">
        <f>AW40+'Grid_Incoming'!AX40-'Grid_Requirement'!AX40</f>
        <v/>
      </c>
      <c r="AY40">
        <f>AX40+'Grid_Incoming'!AY40-'Grid_Requirement'!AY40</f>
        <v/>
      </c>
      <c r="AZ40">
        <f>AY40+'Grid_Incoming'!AZ40-'Grid_Requirement'!AZ40</f>
        <v/>
      </c>
      <c r="BA40">
        <f>AZ40+'Grid_Incoming'!BA40-'Grid_Requirement'!BA40</f>
        <v/>
      </c>
      <c r="BB40">
        <f>BA40+'Grid_Incoming'!BB40-'Grid_Requirement'!BB40</f>
        <v/>
      </c>
      <c r="BC40">
        <f>BB40+'Grid_Incoming'!BC40-'Grid_Requirement'!BC40</f>
        <v/>
      </c>
      <c r="BD40">
        <f>BC40+'Grid_Incoming'!BD40-'Grid_Requirement'!BD40</f>
        <v/>
      </c>
      <c r="BE40">
        <f>BD40+'Grid_Incoming'!BE40-'Grid_Requirement'!BE40</f>
        <v/>
      </c>
      <c r="BF40">
        <f>BE40+'Grid_Incoming'!BF40-'Grid_Requirement'!BF40</f>
        <v/>
      </c>
      <c r="BG40">
        <f>BF40+'Grid_Incoming'!BG40-'Grid_Requirement'!BG40</f>
        <v/>
      </c>
      <c r="BH40">
        <f>BG40+'Grid_Incoming'!BH40-'Grid_Requirement'!BH40</f>
        <v/>
      </c>
      <c r="BI40">
        <f>BH40+'Grid_Incoming'!BI40-'Grid_Requirement'!BI40</f>
        <v/>
      </c>
      <c r="BJ40">
        <f>BI40+'Grid_Incoming'!BJ40-'Grid_Requirement'!BJ40</f>
        <v/>
      </c>
      <c r="BK40">
        <f>BJ40+'Grid_Incoming'!BK40-'Grid_Requirement'!BK40</f>
        <v/>
      </c>
      <c r="BL40">
        <f>BK40+'Grid_Incoming'!BL40-'Grid_Requirement'!BL40</f>
        <v/>
      </c>
      <c r="BM40">
        <f>BL40+'Grid_Incoming'!BM40-'Grid_Requirement'!BM40</f>
        <v/>
      </c>
      <c r="BN40">
        <f>BM40+'Grid_Incoming'!BN40-'Grid_Requirement'!BN40</f>
        <v/>
      </c>
      <c r="BO40">
        <f>BN40+'Grid_Incoming'!BO40-'Grid_Requirement'!BO40</f>
        <v/>
      </c>
      <c r="BP40">
        <f>BO40+'Grid_Incoming'!BP40-'Grid_Requirement'!BP40</f>
        <v/>
      </c>
      <c r="BQ40">
        <f>BP40+'Grid_Incoming'!BQ40-'Grid_Requirement'!BQ40</f>
        <v/>
      </c>
      <c r="BR40">
        <f>BQ40+'Grid_Incoming'!BR40-'Grid_Requirement'!BR40</f>
        <v/>
      </c>
      <c r="BS40">
        <f>BR40+'Grid_Incoming'!BS40-'Grid_Requirement'!BS40</f>
        <v/>
      </c>
      <c r="BT40">
        <f>BS40+'Grid_Incoming'!BT40-'Grid_Requirement'!BT40</f>
        <v/>
      </c>
      <c r="BU40">
        <f>BT40+'Grid_Incoming'!BU40-'Grid_Requirement'!BU40</f>
        <v/>
      </c>
      <c r="BV40">
        <f>BU40+'Grid_Incoming'!BV40-'Grid_Requirement'!BV40</f>
        <v/>
      </c>
      <c r="BW40">
        <f>BV40+'Grid_Incoming'!BW40-'Grid_Requirement'!BW40</f>
        <v/>
      </c>
      <c r="BX40">
        <f>BW40+'Grid_Incoming'!BX40-'Grid_Requirement'!BX40</f>
        <v/>
      </c>
      <c r="BY40">
        <f>BX40+'Grid_Incoming'!BY40-'Grid_Requirement'!BY40</f>
        <v/>
      </c>
      <c r="BZ40">
        <f>BY40+'Grid_Incoming'!BZ40-'Grid_Requirement'!BZ40</f>
        <v/>
      </c>
      <c r="CA40">
        <f>BZ40+'Grid_Incoming'!CA40-'Grid_Requirement'!CA40</f>
        <v/>
      </c>
      <c r="CB40">
        <f>CA40+'Grid_Incoming'!CB40-'Grid_Requirement'!CB40</f>
        <v/>
      </c>
      <c r="CC40">
        <f>CB40+'Grid_Incoming'!CC40-'Grid_Requirement'!CC40</f>
        <v/>
      </c>
      <c r="CD40">
        <f>CC40+'Grid_Incoming'!CD40-'Grid_Requirement'!CD40</f>
        <v/>
      </c>
      <c r="CE40">
        <f>CD40+'Grid_Incoming'!CE40-'Grid_Requirement'!CE40</f>
        <v/>
      </c>
      <c r="CF40">
        <f>CE40+'Grid_Incoming'!CF40-'Grid_Requirement'!CF40</f>
        <v/>
      </c>
      <c r="CG40">
        <f>CF40+'Grid_Incoming'!CG40-'Grid_Requirement'!CG40</f>
        <v/>
      </c>
      <c r="CH40">
        <f>CG40+'Grid_Incoming'!CH40-'Grid_Requirement'!CH40</f>
        <v/>
      </c>
      <c r="CI40">
        <f>CH40+'Grid_Incoming'!CI40-'Grid_Requirement'!CI40</f>
        <v/>
      </c>
      <c r="CJ40">
        <f>CI40+'Grid_Incoming'!CJ40-'Grid_Requirement'!CJ40</f>
        <v/>
      </c>
      <c r="CK40">
        <f>CJ40+'Grid_Incoming'!CK40-'Grid_Requirement'!CK40</f>
        <v/>
      </c>
      <c r="CL40">
        <f>CK40+'Grid_Incoming'!CL40-'Grid_Requirement'!CL40</f>
        <v/>
      </c>
      <c r="CM40">
        <f>CL40+'Grid_Incoming'!CM40-'Grid_Requirement'!CM40</f>
        <v/>
      </c>
      <c r="CN40">
        <f>CM40+'Grid_Incoming'!CN40-'Grid_Requirement'!CN40</f>
        <v/>
      </c>
      <c r="CO40">
        <f>CN40+'Grid_Incoming'!CO40-'Grid_Requirement'!CO40</f>
        <v/>
      </c>
      <c r="CP40">
        <f>CO40+'Grid_Incoming'!CP40-'Grid_Requirement'!CP40</f>
        <v/>
      </c>
      <c r="CQ40">
        <f>CP40+'Grid_Incoming'!CQ40-'Grid_Requirement'!CQ40</f>
        <v/>
      </c>
      <c r="CR40">
        <f>CQ40+'Grid_Incoming'!CR40-'Grid_Requirement'!CR40</f>
        <v/>
      </c>
      <c r="CS40">
        <f>CR40+'Grid_Incoming'!CS40-'Grid_Requirement'!CS40</f>
        <v/>
      </c>
      <c r="CT40">
        <f>CS40+'Grid_Incoming'!CT40-'Grid_Requirement'!CT40</f>
        <v/>
      </c>
      <c r="CU40">
        <f>CT40+'Grid_Incoming'!CU40-'Grid_Requirement'!CU40</f>
        <v/>
      </c>
      <c r="CV40">
        <f>CU40+'Grid_Incoming'!CV40-'Grid_Requirement'!CV40</f>
        <v/>
      </c>
      <c r="CW40">
        <f>CV40+'Grid_Incoming'!CW40-'Grid_Requirement'!CW40</f>
        <v/>
      </c>
      <c r="CX40">
        <f>CW40+'Grid_Incoming'!CX40-'Grid_Requirement'!CX40</f>
        <v/>
      </c>
      <c r="CY40">
        <f>CX40+'Grid_Incoming'!CY40-'Grid_Requirement'!CY40</f>
        <v/>
      </c>
      <c r="CZ40">
        <f>CY40+'Grid_Incoming'!CZ40-'Grid_Requirement'!CZ40</f>
        <v/>
      </c>
      <c r="DA40">
        <f>CZ40+'Grid_Incoming'!DA40-'Grid_Requirement'!DA40</f>
        <v/>
      </c>
    </row>
    <row r="41">
      <c r="A41" t="inlineStr">
        <is>
          <t>CHEM-1730</t>
        </is>
      </c>
      <c r="B41">
        <f>IFERROR(INDEX(T_OpeningStock[Opening_Qty],MATCH($A41,T_OpeningStock[Part Name],0)),0)+'Grid_Incoming'!B41-'Grid_Requirement'!B41</f>
        <v/>
      </c>
      <c r="C41">
        <f>B41+'Grid_Incoming'!C41-'Grid_Requirement'!C41</f>
        <v/>
      </c>
      <c r="D41">
        <f>C41+'Grid_Incoming'!D41-'Grid_Requirement'!D41</f>
        <v/>
      </c>
      <c r="E41">
        <f>D41+'Grid_Incoming'!E41-'Grid_Requirement'!E41</f>
        <v/>
      </c>
      <c r="F41">
        <f>E41+'Grid_Incoming'!F41-'Grid_Requirement'!F41</f>
        <v/>
      </c>
      <c r="G41">
        <f>F41+'Grid_Incoming'!G41-'Grid_Requirement'!G41</f>
        <v/>
      </c>
      <c r="H41">
        <f>G41+'Grid_Incoming'!H41-'Grid_Requirement'!H41</f>
        <v/>
      </c>
      <c r="I41">
        <f>H41+'Grid_Incoming'!I41-'Grid_Requirement'!I41</f>
        <v/>
      </c>
      <c r="J41">
        <f>I41+'Grid_Incoming'!J41-'Grid_Requirement'!J41</f>
        <v/>
      </c>
      <c r="K41">
        <f>J41+'Grid_Incoming'!K41-'Grid_Requirement'!K41</f>
        <v/>
      </c>
      <c r="L41">
        <f>K41+'Grid_Incoming'!L41-'Grid_Requirement'!L41</f>
        <v/>
      </c>
      <c r="M41">
        <f>L41+'Grid_Incoming'!M41-'Grid_Requirement'!M41</f>
        <v/>
      </c>
      <c r="N41">
        <f>M41+'Grid_Incoming'!N41-'Grid_Requirement'!N41</f>
        <v/>
      </c>
      <c r="O41">
        <f>N41+'Grid_Incoming'!O41-'Grid_Requirement'!O41</f>
        <v/>
      </c>
      <c r="P41">
        <f>O41+'Grid_Incoming'!P41-'Grid_Requirement'!P41</f>
        <v/>
      </c>
      <c r="Q41">
        <f>P41+'Grid_Incoming'!Q41-'Grid_Requirement'!Q41</f>
        <v/>
      </c>
      <c r="R41">
        <f>Q41+'Grid_Incoming'!R41-'Grid_Requirement'!R41</f>
        <v/>
      </c>
      <c r="S41">
        <f>R41+'Grid_Incoming'!S41-'Grid_Requirement'!S41</f>
        <v/>
      </c>
      <c r="T41">
        <f>S41+'Grid_Incoming'!T41-'Grid_Requirement'!T41</f>
        <v/>
      </c>
      <c r="U41">
        <f>T41+'Grid_Incoming'!U41-'Grid_Requirement'!U41</f>
        <v/>
      </c>
      <c r="V41">
        <f>U41+'Grid_Incoming'!V41-'Grid_Requirement'!V41</f>
        <v/>
      </c>
      <c r="W41">
        <f>V41+'Grid_Incoming'!W41-'Grid_Requirement'!W41</f>
        <v/>
      </c>
      <c r="X41">
        <f>W41+'Grid_Incoming'!X41-'Grid_Requirement'!X41</f>
        <v/>
      </c>
      <c r="Y41">
        <f>X41+'Grid_Incoming'!Y41-'Grid_Requirement'!Y41</f>
        <v/>
      </c>
      <c r="Z41">
        <f>Y41+'Grid_Incoming'!Z41-'Grid_Requirement'!Z41</f>
        <v/>
      </c>
      <c r="AA41">
        <f>Z41+'Grid_Incoming'!AA41-'Grid_Requirement'!AA41</f>
        <v/>
      </c>
      <c r="AB41">
        <f>AA41+'Grid_Incoming'!AB41-'Grid_Requirement'!AB41</f>
        <v/>
      </c>
      <c r="AC41">
        <f>AB41+'Grid_Incoming'!AC41-'Grid_Requirement'!AC41</f>
        <v/>
      </c>
      <c r="AD41">
        <f>AC41+'Grid_Incoming'!AD41-'Grid_Requirement'!AD41</f>
        <v/>
      </c>
      <c r="AE41">
        <f>AD41+'Grid_Incoming'!AE41-'Grid_Requirement'!AE41</f>
        <v/>
      </c>
      <c r="AF41">
        <f>AE41+'Grid_Incoming'!AF41-'Grid_Requirement'!AF41</f>
        <v/>
      </c>
      <c r="AG41">
        <f>AF41+'Grid_Incoming'!AG41-'Grid_Requirement'!AG41</f>
        <v/>
      </c>
      <c r="AH41">
        <f>AG41+'Grid_Incoming'!AH41-'Grid_Requirement'!AH41</f>
        <v/>
      </c>
      <c r="AI41">
        <f>AH41+'Grid_Incoming'!AI41-'Grid_Requirement'!AI41</f>
        <v/>
      </c>
      <c r="AJ41">
        <f>AI41+'Grid_Incoming'!AJ41-'Grid_Requirement'!AJ41</f>
        <v/>
      </c>
      <c r="AK41">
        <f>AJ41+'Grid_Incoming'!AK41-'Grid_Requirement'!AK41</f>
        <v/>
      </c>
      <c r="AL41">
        <f>AK41+'Grid_Incoming'!AL41-'Grid_Requirement'!AL41</f>
        <v/>
      </c>
      <c r="AM41">
        <f>AL41+'Grid_Incoming'!AM41-'Grid_Requirement'!AM41</f>
        <v/>
      </c>
      <c r="AN41">
        <f>AM41+'Grid_Incoming'!AN41-'Grid_Requirement'!AN41</f>
        <v/>
      </c>
      <c r="AO41">
        <f>AN41+'Grid_Incoming'!AO41-'Grid_Requirement'!AO41</f>
        <v/>
      </c>
      <c r="AP41">
        <f>AO41+'Grid_Incoming'!AP41-'Grid_Requirement'!AP41</f>
        <v/>
      </c>
      <c r="AQ41">
        <f>AP41+'Grid_Incoming'!AQ41-'Grid_Requirement'!AQ41</f>
        <v/>
      </c>
      <c r="AR41">
        <f>AQ41+'Grid_Incoming'!AR41-'Grid_Requirement'!AR41</f>
        <v/>
      </c>
      <c r="AS41">
        <f>AR41+'Grid_Incoming'!AS41-'Grid_Requirement'!AS41</f>
        <v/>
      </c>
      <c r="AT41">
        <f>AS41+'Grid_Incoming'!AT41-'Grid_Requirement'!AT41</f>
        <v/>
      </c>
      <c r="AU41">
        <f>AT41+'Grid_Incoming'!AU41-'Grid_Requirement'!AU41</f>
        <v/>
      </c>
      <c r="AV41">
        <f>AU41+'Grid_Incoming'!AV41-'Grid_Requirement'!AV41</f>
        <v/>
      </c>
      <c r="AW41">
        <f>AV41+'Grid_Incoming'!AW41-'Grid_Requirement'!AW41</f>
        <v/>
      </c>
      <c r="AX41">
        <f>AW41+'Grid_Incoming'!AX41-'Grid_Requirement'!AX41</f>
        <v/>
      </c>
      <c r="AY41">
        <f>AX41+'Grid_Incoming'!AY41-'Grid_Requirement'!AY41</f>
        <v/>
      </c>
      <c r="AZ41">
        <f>AY41+'Grid_Incoming'!AZ41-'Grid_Requirement'!AZ41</f>
        <v/>
      </c>
      <c r="BA41">
        <f>AZ41+'Grid_Incoming'!BA41-'Grid_Requirement'!BA41</f>
        <v/>
      </c>
      <c r="BB41">
        <f>BA41+'Grid_Incoming'!BB41-'Grid_Requirement'!BB41</f>
        <v/>
      </c>
      <c r="BC41">
        <f>BB41+'Grid_Incoming'!BC41-'Grid_Requirement'!BC41</f>
        <v/>
      </c>
      <c r="BD41">
        <f>BC41+'Grid_Incoming'!BD41-'Grid_Requirement'!BD41</f>
        <v/>
      </c>
      <c r="BE41">
        <f>BD41+'Grid_Incoming'!BE41-'Grid_Requirement'!BE41</f>
        <v/>
      </c>
      <c r="BF41">
        <f>BE41+'Grid_Incoming'!BF41-'Grid_Requirement'!BF41</f>
        <v/>
      </c>
      <c r="BG41">
        <f>BF41+'Grid_Incoming'!BG41-'Grid_Requirement'!BG41</f>
        <v/>
      </c>
      <c r="BH41">
        <f>BG41+'Grid_Incoming'!BH41-'Grid_Requirement'!BH41</f>
        <v/>
      </c>
      <c r="BI41">
        <f>BH41+'Grid_Incoming'!BI41-'Grid_Requirement'!BI41</f>
        <v/>
      </c>
      <c r="BJ41">
        <f>BI41+'Grid_Incoming'!BJ41-'Grid_Requirement'!BJ41</f>
        <v/>
      </c>
      <c r="BK41">
        <f>BJ41+'Grid_Incoming'!BK41-'Grid_Requirement'!BK41</f>
        <v/>
      </c>
      <c r="BL41">
        <f>BK41+'Grid_Incoming'!BL41-'Grid_Requirement'!BL41</f>
        <v/>
      </c>
      <c r="BM41">
        <f>BL41+'Grid_Incoming'!BM41-'Grid_Requirement'!BM41</f>
        <v/>
      </c>
      <c r="BN41">
        <f>BM41+'Grid_Incoming'!BN41-'Grid_Requirement'!BN41</f>
        <v/>
      </c>
      <c r="BO41">
        <f>BN41+'Grid_Incoming'!BO41-'Grid_Requirement'!BO41</f>
        <v/>
      </c>
      <c r="BP41">
        <f>BO41+'Grid_Incoming'!BP41-'Grid_Requirement'!BP41</f>
        <v/>
      </c>
      <c r="BQ41">
        <f>BP41+'Grid_Incoming'!BQ41-'Grid_Requirement'!BQ41</f>
        <v/>
      </c>
      <c r="BR41">
        <f>BQ41+'Grid_Incoming'!BR41-'Grid_Requirement'!BR41</f>
        <v/>
      </c>
      <c r="BS41">
        <f>BR41+'Grid_Incoming'!BS41-'Grid_Requirement'!BS41</f>
        <v/>
      </c>
      <c r="BT41">
        <f>BS41+'Grid_Incoming'!BT41-'Grid_Requirement'!BT41</f>
        <v/>
      </c>
      <c r="BU41">
        <f>BT41+'Grid_Incoming'!BU41-'Grid_Requirement'!BU41</f>
        <v/>
      </c>
      <c r="BV41">
        <f>BU41+'Grid_Incoming'!BV41-'Grid_Requirement'!BV41</f>
        <v/>
      </c>
      <c r="BW41">
        <f>BV41+'Grid_Incoming'!BW41-'Grid_Requirement'!BW41</f>
        <v/>
      </c>
      <c r="BX41">
        <f>BW41+'Grid_Incoming'!BX41-'Grid_Requirement'!BX41</f>
        <v/>
      </c>
      <c r="BY41">
        <f>BX41+'Grid_Incoming'!BY41-'Grid_Requirement'!BY41</f>
        <v/>
      </c>
      <c r="BZ41">
        <f>BY41+'Grid_Incoming'!BZ41-'Grid_Requirement'!BZ41</f>
        <v/>
      </c>
      <c r="CA41">
        <f>BZ41+'Grid_Incoming'!CA41-'Grid_Requirement'!CA41</f>
        <v/>
      </c>
      <c r="CB41">
        <f>CA41+'Grid_Incoming'!CB41-'Grid_Requirement'!CB41</f>
        <v/>
      </c>
      <c r="CC41">
        <f>CB41+'Grid_Incoming'!CC41-'Grid_Requirement'!CC41</f>
        <v/>
      </c>
      <c r="CD41">
        <f>CC41+'Grid_Incoming'!CD41-'Grid_Requirement'!CD41</f>
        <v/>
      </c>
      <c r="CE41">
        <f>CD41+'Grid_Incoming'!CE41-'Grid_Requirement'!CE41</f>
        <v/>
      </c>
      <c r="CF41">
        <f>CE41+'Grid_Incoming'!CF41-'Grid_Requirement'!CF41</f>
        <v/>
      </c>
      <c r="CG41">
        <f>CF41+'Grid_Incoming'!CG41-'Grid_Requirement'!CG41</f>
        <v/>
      </c>
      <c r="CH41">
        <f>CG41+'Grid_Incoming'!CH41-'Grid_Requirement'!CH41</f>
        <v/>
      </c>
      <c r="CI41">
        <f>CH41+'Grid_Incoming'!CI41-'Grid_Requirement'!CI41</f>
        <v/>
      </c>
      <c r="CJ41">
        <f>CI41+'Grid_Incoming'!CJ41-'Grid_Requirement'!CJ41</f>
        <v/>
      </c>
      <c r="CK41">
        <f>CJ41+'Grid_Incoming'!CK41-'Grid_Requirement'!CK41</f>
        <v/>
      </c>
      <c r="CL41">
        <f>CK41+'Grid_Incoming'!CL41-'Grid_Requirement'!CL41</f>
        <v/>
      </c>
      <c r="CM41">
        <f>CL41+'Grid_Incoming'!CM41-'Grid_Requirement'!CM41</f>
        <v/>
      </c>
      <c r="CN41">
        <f>CM41+'Grid_Incoming'!CN41-'Grid_Requirement'!CN41</f>
        <v/>
      </c>
      <c r="CO41">
        <f>CN41+'Grid_Incoming'!CO41-'Grid_Requirement'!CO41</f>
        <v/>
      </c>
      <c r="CP41">
        <f>CO41+'Grid_Incoming'!CP41-'Grid_Requirement'!CP41</f>
        <v/>
      </c>
      <c r="CQ41">
        <f>CP41+'Grid_Incoming'!CQ41-'Grid_Requirement'!CQ41</f>
        <v/>
      </c>
      <c r="CR41">
        <f>CQ41+'Grid_Incoming'!CR41-'Grid_Requirement'!CR41</f>
        <v/>
      </c>
      <c r="CS41">
        <f>CR41+'Grid_Incoming'!CS41-'Grid_Requirement'!CS41</f>
        <v/>
      </c>
      <c r="CT41">
        <f>CS41+'Grid_Incoming'!CT41-'Grid_Requirement'!CT41</f>
        <v/>
      </c>
      <c r="CU41">
        <f>CT41+'Grid_Incoming'!CU41-'Grid_Requirement'!CU41</f>
        <v/>
      </c>
      <c r="CV41">
        <f>CU41+'Grid_Incoming'!CV41-'Grid_Requirement'!CV41</f>
        <v/>
      </c>
      <c r="CW41">
        <f>CV41+'Grid_Incoming'!CW41-'Grid_Requirement'!CW41</f>
        <v/>
      </c>
      <c r="CX41">
        <f>CW41+'Grid_Incoming'!CX41-'Grid_Requirement'!CX41</f>
        <v/>
      </c>
      <c r="CY41">
        <f>CX41+'Grid_Incoming'!CY41-'Grid_Requirement'!CY41</f>
        <v/>
      </c>
      <c r="CZ41">
        <f>CY41+'Grid_Incoming'!CZ41-'Grid_Requirement'!CZ41</f>
        <v/>
      </c>
      <c r="DA41">
        <f>CZ41+'Grid_Incoming'!DA41-'Grid_Requirement'!DA41</f>
        <v/>
      </c>
    </row>
    <row r="42">
      <c r="A42" t="inlineStr">
        <is>
          <t>CHEM-1280</t>
        </is>
      </c>
      <c r="B42">
        <f>IFERROR(INDEX(T_OpeningStock[Opening_Qty],MATCH($A42,T_OpeningStock[Part Name],0)),0)+'Grid_Incoming'!B42-'Grid_Requirement'!B42</f>
        <v/>
      </c>
      <c r="C42">
        <f>B42+'Grid_Incoming'!C42-'Grid_Requirement'!C42</f>
        <v/>
      </c>
      <c r="D42">
        <f>C42+'Grid_Incoming'!D42-'Grid_Requirement'!D42</f>
        <v/>
      </c>
      <c r="E42">
        <f>D42+'Grid_Incoming'!E42-'Grid_Requirement'!E42</f>
        <v/>
      </c>
      <c r="F42">
        <f>E42+'Grid_Incoming'!F42-'Grid_Requirement'!F42</f>
        <v/>
      </c>
      <c r="G42">
        <f>F42+'Grid_Incoming'!G42-'Grid_Requirement'!G42</f>
        <v/>
      </c>
      <c r="H42">
        <f>G42+'Grid_Incoming'!H42-'Grid_Requirement'!H42</f>
        <v/>
      </c>
      <c r="I42">
        <f>H42+'Grid_Incoming'!I42-'Grid_Requirement'!I42</f>
        <v/>
      </c>
      <c r="J42">
        <f>I42+'Grid_Incoming'!J42-'Grid_Requirement'!J42</f>
        <v/>
      </c>
      <c r="K42">
        <f>J42+'Grid_Incoming'!K42-'Grid_Requirement'!K42</f>
        <v/>
      </c>
      <c r="L42">
        <f>K42+'Grid_Incoming'!L42-'Grid_Requirement'!L42</f>
        <v/>
      </c>
      <c r="M42">
        <f>L42+'Grid_Incoming'!M42-'Grid_Requirement'!M42</f>
        <v/>
      </c>
      <c r="N42">
        <f>M42+'Grid_Incoming'!N42-'Grid_Requirement'!N42</f>
        <v/>
      </c>
      <c r="O42">
        <f>N42+'Grid_Incoming'!O42-'Grid_Requirement'!O42</f>
        <v/>
      </c>
      <c r="P42">
        <f>O42+'Grid_Incoming'!P42-'Grid_Requirement'!P42</f>
        <v/>
      </c>
      <c r="Q42">
        <f>P42+'Grid_Incoming'!Q42-'Grid_Requirement'!Q42</f>
        <v/>
      </c>
      <c r="R42">
        <f>Q42+'Grid_Incoming'!R42-'Grid_Requirement'!R42</f>
        <v/>
      </c>
      <c r="S42">
        <f>R42+'Grid_Incoming'!S42-'Grid_Requirement'!S42</f>
        <v/>
      </c>
      <c r="T42">
        <f>S42+'Grid_Incoming'!T42-'Grid_Requirement'!T42</f>
        <v/>
      </c>
      <c r="U42">
        <f>T42+'Grid_Incoming'!U42-'Grid_Requirement'!U42</f>
        <v/>
      </c>
      <c r="V42">
        <f>U42+'Grid_Incoming'!V42-'Grid_Requirement'!V42</f>
        <v/>
      </c>
      <c r="W42">
        <f>V42+'Grid_Incoming'!W42-'Grid_Requirement'!W42</f>
        <v/>
      </c>
      <c r="X42">
        <f>W42+'Grid_Incoming'!X42-'Grid_Requirement'!X42</f>
        <v/>
      </c>
      <c r="Y42">
        <f>X42+'Grid_Incoming'!Y42-'Grid_Requirement'!Y42</f>
        <v/>
      </c>
      <c r="Z42">
        <f>Y42+'Grid_Incoming'!Z42-'Grid_Requirement'!Z42</f>
        <v/>
      </c>
      <c r="AA42">
        <f>Z42+'Grid_Incoming'!AA42-'Grid_Requirement'!AA42</f>
        <v/>
      </c>
      <c r="AB42">
        <f>AA42+'Grid_Incoming'!AB42-'Grid_Requirement'!AB42</f>
        <v/>
      </c>
      <c r="AC42">
        <f>AB42+'Grid_Incoming'!AC42-'Grid_Requirement'!AC42</f>
        <v/>
      </c>
      <c r="AD42">
        <f>AC42+'Grid_Incoming'!AD42-'Grid_Requirement'!AD42</f>
        <v/>
      </c>
      <c r="AE42">
        <f>AD42+'Grid_Incoming'!AE42-'Grid_Requirement'!AE42</f>
        <v/>
      </c>
      <c r="AF42">
        <f>AE42+'Grid_Incoming'!AF42-'Grid_Requirement'!AF42</f>
        <v/>
      </c>
      <c r="AG42">
        <f>AF42+'Grid_Incoming'!AG42-'Grid_Requirement'!AG42</f>
        <v/>
      </c>
      <c r="AH42">
        <f>AG42+'Grid_Incoming'!AH42-'Grid_Requirement'!AH42</f>
        <v/>
      </c>
      <c r="AI42">
        <f>AH42+'Grid_Incoming'!AI42-'Grid_Requirement'!AI42</f>
        <v/>
      </c>
      <c r="AJ42">
        <f>AI42+'Grid_Incoming'!AJ42-'Grid_Requirement'!AJ42</f>
        <v/>
      </c>
      <c r="AK42">
        <f>AJ42+'Grid_Incoming'!AK42-'Grid_Requirement'!AK42</f>
        <v/>
      </c>
      <c r="AL42">
        <f>AK42+'Grid_Incoming'!AL42-'Grid_Requirement'!AL42</f>
        <v/>
      </c>
      <c r="AM42">
        <f>AL42+'Grid_Incoming'!AM42-'Grid_Requirement'!AM42</f>
        <v/>
      </c>
      <c r="AN42">
        <f>AM42+'Grid_Incoming'!AN42-'Grid_Requirement'!AN42</f>
        <v/>
      </c>
      <c r="AO42">
        <f>AN42+'Grid_Incoming'!AO42-'Grid_Requirement'!AO42</f>
        <v/>
      </c>
      <c r="AP42">
        <f>AO42+'Grid_Incoming'!AP42-'Grid_Requirement'!AP42</f>
        <v/>
      </c>
      <c r="AQ42">
        <f>AP42+'Grid_Incoming'!AQ42-'Grid_Requirement'!AQ42</f>
        <v/>
      </c>
      <c r="AR42">
        <f>AQ42+'Grid_Incoming'!AR42-'Grid_Requirement'!AR42</f>
        <v/>
      </c>
      <c r="AS42">
        <f>AR42+'Grid_Incoming'!AS42-'Grid_Requirement'!AS42</f>
        <v/>
      </c>
      <c r="AT42">
        <f>AS42+'Grid_Incoming'!AT42-'Grid_Requirement'!AT42</f>
        <v/>
      </c>
      <c r="AU42">
        <f>AT42+'Grid_Incoming'!AU42-'Grid_Requirement'!AU42</f>
        <v/>
      </c>
      <c r="AV42">
        <f>AU42+'Grid_Incoming'!AV42-'Grid_Requirement'!AV42</f>
        <v/>
      </c>
      <c r="AW42">
        <f>AV42+'Grid_Incoming'!AW42-'Grid_Requirement'!AW42</f>
        <v/>
      </c>
      <c r="AX42">
        <f>AW42+'Grid_Incoming'!AX42-'Grid_Requirement'!AX42</f>
        <v/>
      </c>
      <c r="AY42">
        <f>AX42+'Grid_Incoming'!AY42-'Grid_Requirement'!AY42</f>
        <v/>
      </c>
      <c r="AZ42">
        <f>AY42+'Grid_Incoming'!AZ42-'Grid_Requirement'!AZ42</f>
        <v/>
      </c>
      <c r="BA42">
        <f>AZ42+'Grid_Incoming'!BA42-'Grid_Requirement'!BA42</f>
        <v/>
      </c>
      <c r="BB42">
        <f>BA42+'Grid_Incoming'!BB42-'Grid_Requirement'!BB42</f>
        <v/>
      </c>
      <c r="BC42">
        <f>BB42+'Grid_Incoming'!BC42-'Grid_Requirement'!BC42</f>
        <v/>
      </c>
      <c r="BD42">
        <f>BC42+'Grid_Incoming'!BD42-'Grid_Requirement'!BD42</f>
        <v/>
      </c>
      <c r="BE42">
        <f>BD42+'Grid_Incoming'!BE42-'Grid_Requirement'!BE42</f>
        <v/>
      </c>
      <c r="BF42">
        <f>BE42+'Grid_Incoming'!BF42-'Grid_Requirement'!BF42</f>
        <v/>
      </c>
      <c r="BG42">
        <f>BF42+'Grid_Incoming'!BG42-'Grid_Requirement'!BG42</f>
        <v/>
      </c>
      <c r="BH42">
        <f>BG42+'Grid_Incoming'!BH42-'Grid_Requirement'!BH42</f>
        <v/>
      </c>
      <c r="BI42">
        <f>BH42+'Grid_Incoming'!BI42-'Grid_Requirement'!BI42</f>
        <v/>
      </c>
      <c r="BJ42">
        <f>BI42+'Grid_Incoming'!BJ42-'Grid_Requirement'!BJ42</f>
        <v/>
      </c>
      <c r="BK42">
        <f>BJ42+'Grid_Incoming'!BK42-'Grid_Requirement'!BK42</f>
        <v/>
      </c>
      <c r="BL42">
        <f>BK42+'Grid_Incoming'!BL42-'Grid_Requirement'!BL42</f>
        <v/>
      </c>
      <c r="BM42">
        <f>BL42+'Grid_Incoming'!BM42-'Grid_Requirement'!BM42</f>
        <v/>
      </c>
      <c r="BN42">
        <f>BM42+'Grid_Incoming'!BN42-'Grid_Requirement'!BN42</f>
        <v/>
      </c>
      <c r="BO42">
        <f>BN42+'Grid_Incoming'!BO42-'Grid_Requirement'!BO42</f>
        <v/>
      </c>
      <c r="BP42">
        <f>BO42+'Grid_Incoming'!BP42-'Grid_Requirement'!BP42</f>
        <v/>
      </c>
      <c r="BQ42">
        <f>BP42+'Grid_Incoming'!BQ42-'Grid_Requirement'!BQ42</f>
        <v/>
      </c>
      <c r="BR42">
        <f>BQ42+'Grid_Incoming'!BR42-'Grid_Requirement'!BR42</f>
        <v/>
      </c>
      <c r="BS42">
        <f>BR42+'Grid_Incoming'!BS42-'Grid_Requirement'!BS42</f>
        <v/>
      </c>
      <c r="BT42">
        <f>BS42+'Grid_Incoming'!BT42-'Grid_Requirement'!BT42</f>
        <v/>
      </c>
      <c r="BU42">
        <f>BT42+'Grid_Incoming'!BU42-'Grid_Requirement'!BU42</f>
        <v/>
      </c>
      <c r="BV42">
        <f>BU42+'Grid_Incoming'!BV42-'Grid_Requirement'!BV42</f>
        <v/>
      </c>
      <c r="BW42">
        <f>BV42+'Grid_Incoming'!BW42-'Grid_Requirement'!BW42</f>
        <v/>
      </c>
      <c r="BX42">
        <f>BW42+'Grid_Incoming'!BX42-'Grid_Requirement'!BX42</f>
        <v/>
      </c>
      <c r="BY42">
        <f>BX42+'Grid_Incoming'!BY42-'Grid_Requirement'!BY42</f>
        <v/>
      </c>
      <c r="BZ42">
        <f>BY42+'Grid_Incoming'!BZ42-'Grid_Requirement'!BZ42</f>
        <v/>
      </c>
      <c r="CA42">
        <f>BZ42+'Grid_Incoming'!CA42-'Grid_Requirement'!CA42</f>
        <v/>
      </c>
      <c r="CB42">
        <f>CA42+'Grid_Incoming'!CB42-'Grid_Requirement'!CB42</f>
        <v/>
      </c>
      <c r="CC42">
        <f>CB42+'Grid_Incoming'!CC42-'Grid_Requirement'!CC42</f>
        <v/>
      </c>
      <c r="CD42">
        <f>CC42+'Grid_Incoming'!CD42-'Grid_Requirement'!CD42</f>
        <v/>
      </c>
      <c r="CE42">
        <f>CD42+'Grid_Incoming'!CE42-'Grid_Requirement'!CE42</f>
        <v/>
      </c>
      <c r="CF42">
        <f>CE42+'Grid_Incoming'!CF42-'Grid_Requirement'!CF42</f>
        <v/>
      </c>
      <c r="CG42">
        <f>CF42+'Grid_Incoming'!CG42-'Grid_Requirement'!CG42</f>
        <v/>
      </c>
      <c r="CH42">
        <f>CG42+'Grid_Incoming'!CH42-'Grid_Requirement'!CH42</f>
        <v/>
      </c>
      <c r="CI42">
        <f>CH42+'Grid_Incoming'!CI42-'Grid_Requirement'!CI42</f>
        <v/>
      </c>
      <c r="CJ42">
        <f>CI42+'Grid_Incoming'!CJ42-'Grid_Requirement'!CJ42</f>
        <v/>
      </c>
      <c r="CK42">
        <f>CJ42+'Grid_Incoming'!CK42-'Grid_Requirement'!CK42</f>
        <v/>
      </c>
      <c r="CL42">
        <f>CK42+'Grid_Incoming'!CL42-'Grid_Requirement'!CL42</f>
        <v/>
      </c>
      <c r="CM42">
        <f>CL42+'Grid_Incoming'!CM42-'Grid_Requirement'!CM42</f>
        <v/>
      </c>
      <c r="CN42">
        <f>CM42+'Grid_Incoming'!CN42-'Grid_Requirement'!CN42</f>
        <v/>
      </c>
      <c r="CO42">
        <f>CN42+'Grid_Incoming'!CO42-'Grid_Requirement'!CO42</f>
        <v/>
      </c>
      <c r="CP42">
        <f>CO42+'Grid_Incoming'!CP42-'Grid_Requirement'!CP42</f>
        <v/>
      </c>
      <c r="CQ42">
        <f>CP42+'Grid_Incoming'!CQ42-'Grid_Requirement'!CQ42</f>
        <v/>
      </c>
      <c r="CR42">
        <f>CQ42+'Grid_Incoming'!CR42-'Grid_Requirement'!CR42</f>
        <v/>
      </c>
      <c r="CS42">
        <f>CR42+'Grid_Incoming'!CS42-'Grid_Requirement'!CS42</f>
        <v/>
      </c>
      <c r="CT42">
        <f>CS42+'Grid_Incoming'!CT42-'Grid_Requirement'!CT42</f>
        <v/>
      </c>
      <c r="CU42">
        <f>CT42+'Grid_Incoming'!CU42-'Grid_Requirement'!CU42</f>
        <v/>
      </c>
      <c r="CV42">
        <f>CU42+'Grid_Incoming'!CV42-'Grid_Requirement'!CV42</f>
        <v/>
      </c>
      <c r="CW42">
        <f>CV42+'Grid_Incoming'!CW42-'Grid_Requirement'!CW42</f>
        <v/>
      </c>
      <c r="CX42">
        <f>CW42+'Grid_Incoming'!CX42-'Grid_Requirement'!CX42</f>
        <v/>
      </c>
      <c r="CY42">
        <f>CX42+'Grid_Incoming'!CY42-'Grid_Requirement'!CY42</f>
        <v/>
      </c>
      <c r="CZ42">
        <f>CY42+'Grid_Incoming'!CZ42-'Grid_Requirement'!CZ42</f>
        <v/>
      </c>
      <c r="DA42">
        <f>CZ42+'Grid_Incoming'!DA42-'Grid_Requirement'!DA42</f>
        <v/>
      </c>
    </row>
    <row r="43">
      <c r="A43" t="inlineStr">
        <is>
          <t>CHEM-1570</t>
        </is>
      </c>
      <c r="B43">
        <f>IFERROR(INDEX(T_OpeningStock[Opening_Qty],MATCH($A43,T_OpeningStock[Part Name],0)),0)+'Grid_Incoming'!B43-'Grid_Requirement'!B43</f>
        <v/>
      </c>
      <c r="C43">
        <f>B43+'Grid_Incoming'!C43-'Grid_Requirement'!C43</f>
        <v/>
      </c>
      <c r="D43">
        <f>C43+'Grid_Incoming'!D43-'Grid_Requirement'!D43</f>
        <v/>
      </c>
      <c r="E43">
        <f>D43+'Grid_Incoming'!E43-'Grid_Requirement'!E43</f>
        <v/>
      </c>
      <c r="F43">
        <f>E43+'Grid_Incoming'!F43-'Grid_Requirement'!F43</f>
        <v/>
      </c>
      <c r="G43">
        <f>F43+'Grid_Incoming'!G43-'Grid_Requirement'!G43</f>
        <v/>
      </c>
      <c r="H43">
        <f>G43+'Grid_Incoming'!H43-'Grid_Requirement'!H43</f>
        <v/>
      </c>
      <c r="I43">
        <f>H43+'Grid_Incoming'!I43-'Grid_Requirement'!I43</f>
        <v/>
      </c>
      <c r="J43">
        <f>I43+'Grid_Incoming'!J43-'Grid_Requirement'!J43</f>
        <v/>
      </c>
      <c r="K43">
        <f>J43+'Grid_Incoming'!K43-'Grid_Requirement'!K43</f>
        <v/>
      </c>
      <c r="L43">
        <f>K43+'Grid_Incoming'!L43-'Grid_Requirement'!L43</f>
        <v/>
      </c>
      <c r="M43">
        <f>L43+'Grid_Incoming'!M43-'Grid_Requirement'!M43</f>
        <v/>
      </c>
      <c r="N43">
        <f>M43+'Grid_Incoming'!N43-'Grid_Requirement'!N43</f>
        <v/>
      </c>
      <c r="O43">
        <f>N43+'Grid_Incoming'!O43-'Grid_Requirement'!O43</f>
        <v/>
      </c>
      <c r="P43">
        <f>O43+'Grid_Incoming'!P43-'Grid_Requirement'!P43</f>
        <v/>
      </c>
      <c r="Q43">
        <f>P43+'Grid_Incoming'!Q43-'Grid_Requirement'!Q43</f>
        <v/>
      </c>
      <c r="R43">
        <f>Q43+'Grid_Incoming'!R43-'Grid_Requirement'!R43</f>
        <v/>
      </c>
      <c r="S43">
        <f>R43+'Grid_Incoming'!S43-'Grid_Requirement'!S43</f>
        <v/>
      </c>
      <c r="T43">
        <f>S43+'Grid_Incoming'!T43-'Grid_Requirement'!T43</f>
        <v/>
      </c>
      <c r="U43">
        <f>T43+'Grid_Incoming'!U43-'Grid_Requirement'!U43</f>
        <v/>
      </c>
      <c r="V43">
        <f>U43+'Grid_Incoming'!V43-'Grid_Requirement'!V43</f>
        <v/>
      </c>
      <c r="W43">
        <f>V43+'Grid_Incoming'!W43-'Grid_Requirement'!W43</f>
        <v/>
      </c>
      <c r="X43">
        <f>W43+'Grid_Incoming'!X43-'Grid_Requirement'!X43</f>
        <v/>
      </c>
      <c r="Y43">
        <f>X43+'Grid_Incoming'!Y43-'Grid_Requirement'!Y43</f>
        <v/>
      </c>
      <c r="Z43">
        <f>Y43+'Grid_Incoming'!Z43-'Grid_Requirement'!Z43</f>
        <v/>
      </c>
      <c r="AA43">
        <f>Z43+'Grid_Incoming'!AA43-'Grid_Requirement'!AA43</f>
        <v/>
      </c>
      <c r="AB43">
        <f>AA43+'Grid_Incoming'!AB43-'Grid_Requirement'!AB43</f>
        <v/>
      </c>
      <c r="AC43">
        <f>AB43+'Grid_Incoming'!AC43-'Grid_Requirement'!AC43</f>
        <v/>
      </c>
      <c r="AD43">
        <f>AC43+'Grid_Incoming'!AD43-'Grid_Requirement'!AD43</f>
        <v/>
      </c>
      <c r="AE43">
        <f>AD43+'Grid_Incoming'!AE43-'Grid_Requirement'!AE43</f>
        <v/>
      </c>
      <c r="AF43">
        <f>AE43+'Grid_Incoming'!AF43-'Grid_Requirement'!AF43</f>
        <v/>
      </c>
      <c r="AG43">
        <f>AF43+'Grid_Incoming'!AG43-'Grid_Requirement'!AG43</f>
        <v/>
      </c>
      <c r="AH43">
        <f>AG43+'Grid_Incoming'!AH43-'Grid_Requirement'!AH43</f>
        <v/>
      </c>
      <c r="AI43">
        <f>AH43+'Grid_Incoming'!AI43-'Grid_Requirement'!AI43</f>
        <v/>
      </c>
      <c r="AJ43">
        <f>AI43+'Grid_Incoming'!AJ43-'Grid_Requirement'!AJ43</f>
        <v/>
      </c>
      <c r="AK43">
        <f>AJ43+'Grid_Incoming'!AK43-'Grid_Requirement'!AK43</f>
        <v/>
      </c>
      <c r="AL43">
        <f>AK43+'Grid_Incoming'!AL43-'Grid_Requirement'!AL43</f>
        <v/>
      </c>
      <c r="AM43">
        <f>AL43+'Grid_Incoming'!AM43-'Grid_Requirement'!AM43</f>
        <v/>
      </c>
      <c r="AN43">
        <f>AM43+'Grid_Incoming'!AN43-'Grid_Requirement'!AN43</f>
        <v/>
      </c>
      <c r="AO43">
        <f>AN43+'Grid_Incoming'!AO43-'Grid_Requirement'!AO43</f>
        <v/>
      </c>
      <c r="AP43">
        <f>AO43+'Grid_Incoming'!AP43-'Grid_Requirement'!AP43</f>
        <v/>
      </c>
      <c r="AQ43">
        <f>AP43+'Grid_Incoming'!AQ43-'Grid_Requirement'!AQ43</f>
        <v/>
      </c>
      <c r="AR43">
        <f>AQ43+'Grid_Incoming'!AR43-'Grid_Requirement'!AR43</f>
        <v/>
      </c>
      <c r="AS43">
        <f>AR43+'Grid_Incoming'!AS43-'Grid_Requirement'!AS43</f>
        <v/>
      </c>
      <c r="AT43">
        <f>AS43+'Grid_Incoming'!AT43-'Grid_Requirement'!AT43</f>
        <v/>
      </c>
      <c r="AU43">
        <f>AT43+'Grid_Incoming'!AU43-'Grid_Requirement'!AU43</f>
        <v/>
      </c>
      <c r="AV43">
        <f>AU43+'Grid_Incoming'!AV43-'Grid_Requirement'!AV43</f>
        <v/>
      </c>
      <c r="AW43">
        <f>AV43+'Grid_Incoming'!AW43-'Grid_Requirement'!AW43</f>
        <v/>
      </c>
      <c r="AX43">
        <f>AW43+'Grid_Incoming'!AX43-'Grid_Requirement'!AX43</f>
        <v/>
      </c>
      <c r="AY43">
        <f>AX43+'Grid_Incoming'!AY43-'Grid_Requirement'!AY43</f>
        <v/>
      </c>
      <c r="AZ43">
        <f>AY43+'Grid_Incoming'!AZ43-'Grid_Requirement'!AZ43</f>
        <v/>
      </c>
      <c r="BA43">
        <f>AZ43+'Grid_Incoming'!BA43-'Grid_Requirement'!BA43</f>
        <v/>
      </c>
      <c r="BB43">
        <f>BA43+'Grid_Incoming'!BB43-'Grid_Requirement'!BB43</f>
        <v/>
      </c>
      <c r="BC43">
        <f>BB43+'Grid_Incoming'!BC43-'Grid_Requirement'!BC43</f>
        <v/>
      </c>
      <c r="BD43">
        <f>BC43+'Grid_Incoming'!BD43-'Grid_Requirement'!BD43</f>
        <v/>
      </c>
      <c r="BE43">
        <f>BD43+'Grid_Incoming'!BE43-'Grid_Requirement'!BE43</f>
        <v/>
      </c>
      <c r="BF43">
        <f>BE43+'Grid_Incoming'!BF43-'Grid_Requirement'!BF43</f>
        <v/>
      </c>
      <c r="BG43">
        <f>BF43+'Grid_Incoming'!BG43-'Grid_Requirement'!BG43</f>
        <v/>
      </c>
      <c r="BH43">
        <f>BG43+'Grid_Incoming'!BH43-'Grid_Requirement'!BH43</f>
        <v/>
      </c>
      <c r="BI43">
        <f>BH43+'Grid_Incoming'!BI43-'Grid_Requirement'!BI43</f>
        <v/>
      </c>
      <c r="BJ43">
        <f>BI43+'Grid_Incoming'!BJ43-'Grid_Requirement'!BJ43</f>
        <v/>
      </c>
      <c r="BK43">
        <f>BJ43+'Grid_Incoming'!BK43-'Grid_Requirement'!BK43</f>
        <v/>
      </c>
      <c r="BL43">
        <f>BK43+'Grid_Incoming'!BL43-'Grid_Requirement'!BL43</f>
        <v/>
      </c>
      <c r="BM43">
        <f>BL43+'Grid_Incoming'!BM43-'Grid_Requirement'!BM43</f>
        <v/>
      </c>
      <c r="BN43">
        <f>BM43+'Grid_Incoming'!BN43-'Grid_Requirement'!BN43</f>
        <v/>
      </c>
      <c r="BO43">
        <f>BN43+'Grid_Incoming'!BO43-'Grid_Requirement'!BO43</f>
        <v/>
      </c>
      <c r="BP43">
        <f>BO43+'Grid_Incoming'!BP43-'Grid_Requirement'!BP43</f>
        <v/>
      </c>
      <c r="BQ43">
        <f>BP43+'Grid_Incoming'!BQ43-'Grid_Requirement'!BQ43</f>
        <v/>
      </c>
      <c r="BR43">
        <f>BQ43+'Grid_Incoming'!BR43-'Grid_Requirement'!BR43</f>
        <v/>
      </c>
      <c r="BS43">
        <f>BR43+'Grid_Incoming'!BS43-'Grid_Requirement'!BS43</f>
        <v/>
      </c>
      <c r="BT43">
        <f>BS43+'Grid_Incoming'!BT43-'Grid_Requirement'!BT43</f>
        <v/>
      </c>
      <c r="BU43">
        <f>BT43+'Grid_Incoming'!BU43-'Grid_Requirement'!BU43</f>
        <v/>
      </c>
      <c r="BV43">
        <f>BU43+'Grid_Incoming'!BV43-'Grid_Requirement'!BV43</f>
        <v/>
      </c>
      <c r="BW43">
        <f>BV43+'Grid_Incoming'!BW43-'Grid_Requirement'!BW43</f>
        <v/>
      </c>
      <c r="BX43">
        <f>BW43+'Grid_Incoming'!BX43-'Grid_Requirement'!BX43</f>
        <v/>
      </c>
      <c r="BY43">
        <f>BX43+'Grid_Incoming'!BY43-'Grid_Requirement'!BY43</f>
        <v/>
      </c>
      <c r="BZ43">
        <f>BY43+'Grid_Incoming'!BZ43-'Grid_Requirement'!BZ43</f>
        <v/>
      </c>
      <c r="CA43">
        <f>BZ43+'Grid_Incoming'!CA43-'Grid_Requirement'!CA43</f>
        <v/>
      </c>
      <c r="CB43">
        <f>CA43+'Grid_Incoming'!CB43-'Grid_Requirement'!CB43</f>
        <v/>
      </c>
      <c r="CC43">
        <f>CB43+'Grid_Incoming'!CC43-'Grid_Requirement'!CC43</f>
        <v/>
      </c>
      <c r="CD43">
        <f>CC43+'Grid_Incoming'!CD43-'Grid_Requirement'!CD43</f>
        <v/>
      </c>
      <c r="CE43">
        <f>CD43+'Grid_Incoming'!CE43-'Grid_Requirement'!CE43</f>
        <v/>
      </c>
      <c r="CF43">
        <f>CE43+'Grid_Incoming'!CF43-'Grid_Requirement'!CF43</f>
        <v/>
      </c>
      <c r="CG43">
        <f>CF43+'Grid_Incoming'!CG43-'Grid_Requirement'!CG43</f>
        <v/>
      </c>
      <c r="CH43">
        <f>CG43+'Grid_Incoming'!CH43-'Grid_Requirement'!CH43</f>
        <v/>
      </c>
      <c r="CI43">
        <f>CH43+'Grid_Incoming'!CI43-'Grid_Requirement'!CI43</f>
        <v/>
      </c>
      <c r="CJ43">
        <f>CI43+'Grid_Incoming'!CJ43-'Grid_Requirement'!CJ43</f>
        <v/>
      </c>
      <c r="CK43">
        <f>CJ43+'Grid_Incoming'!CK43-'Grid_Requirement'!CK43</f>
        <v/>
      </c>
      <c r="CL43">
        <f>CK43+'Grid_Incoming'!CL43-'Grid_Requirement'!CL43</f>
        <v/>
      </c>
      <c r="CM43">
        <f>CL43+'Grid_Incoming'!CM43-'Grid_Requirement'!CM43</f>
        <v/>
      </c>
      <c r="CN43">
        <f>CM43+'Grid_Incoming'!CN43-'Grid_Requirement'!CN43</f>
        <v/>
      </c>
      <c r="CO43">
        <f>CN43+'Grid_Incoming'!CO43-'Grid_Requirement'!CO43</f>
        <v/>
      </c>
      <c r="CP43">
        <f>CO43+'Grid_Incoming'!CP43-'Grid_Requirement'!CP43</f>
        <v/>
      </c>
      <c r="CQ43">
        <f>CP43+'Grid_Incoming'!CQ43-'Grid_Requirement'!CQ43</f>
        <v/>
      </c>
      <c r="CR43">
        <f>CQ43+'Grid_Incoming'!CR43-'Grid_Requirement'!CR43</f>
        <v/>
      </c>
      <c r="CS43">
        <f>CR43+'Grid_Incoming'!CS43-'Grid_Requirement'!CS43</f>
        <v/>
      </c>
      <c r="CT43">
        <f>CS43+'Grid_Incoming'!CT43-'Grid_Requirement'!CT43</f>
        <v/>
      </c>
      <c r="CU43">
        <f>CT43+'Grid_Incoming'!CU43-'Grid_Requirement'!CU43</f>
        <v/>
      </c>
      <c r="CV43">
        <f>CU43+'Grid_Incoming'!CV43-'Grid_Requirement'!CV43</f>
        <v/>
      </c>
      <c r="CW43">
        <f>CV43+'Grid_Incoming'!CW43-'Grid_Requirement'!CW43</f>
        <v/>
      </c>
      <c r="CX43">
        <f>CW43+'Grid_Incoming'!CX43-'Grid_Requirement'!CX43</f>
        <v/>
      </c>
      <c r="CY43">
        <f>CX43+'Grid_Incoming'!CY43-'Grid_Requirement'!CY43</f>
        <v/>
      </c>
      <c r="CZ43">
        <f>CY43+'Grid_Incoming'!CZ43-'Grid_Requirement'!CZ43</f>
        <v/>
      </c>
      <c r="DA43">
        <f>CZ43+'Grid_Incoming'!DA43-'Grid_Requirement'!DA43</f>
        <v/>
      </c>
    </row>
    <row r="44">
      <c r="A44" t="inlineStr">
        <is>
          <t>CHEM-1450</t>
        </is>
      </c>
      <c r="B44">
        <f>IFERROR(INDEX(T_OpeningStock[Opening_Qty],MATCH($A44,T_OpeningStock[Part Name],0)),0)+'Grid_Incoming'!B44-'Grid_Requirement'!B44</f>
        <v/>
      </c>
      <c r="C44">
        <f>B44+'Grid_Incoming'!C44-'Grid_Requirement'!C44</f>
        <v/>
      </c>
      <c r="D44">
        <f>C44+'Grid_Incoming'!D44-'Grid_Requirement'!D44</f>
        <v/>
      </c>
      <c r="E44">
        <f>D44+'Grid_Incoming'!E44-'Grid_Requirement'!E44</f>
        <v/>
      </c>
      <c r="F44">
        <f>E44+'Grid_Incoming'!F44-'Grid_Requirement'!F44</f>
        <v/>
      </c>
      <c r="G44">
        <f>F44+'Grid_Incoming'!G44-'Grid_Requirement'!G44</f>
        <v/>
      </c>
      <c r="H44">
        <f>G44+'Grid_Incoming'!H44-'Grid_Requirement'!H44</f>
        <v/>
      </c>
      <c r="I44">
        <f>H44+'Grid_Incoming'!I44-'Grid_Requirement'!I44</f>
        <v/>
      </c>
      <c r="J44">
        <f>I44+'Grid_Incoming'!J44-'Grid_Requirement'!J44</f>
        <v/>
      </c>
      <c r="K44">
        <f>J44+'Grid_Incoming'!K44-'Grid_Requirement'!K44</f>
        <v/>
      </c>
      <c r="L44">
        <f>K44+'Grid_Incoming'!L44-'Grid_Requirement'!L44</f>
        <v/>
      </c>
      <c r="M44">
        <f>L44+'Grid_Incoming'!M44-'Grid_Requirement'!M44</f>
        <v/>
      </c>
      <c r="N44">
        <f>M44+'Grid_Incoming'!N44-'Grid_Requirement'!N44</f>
        <v/>
      </c>
      <c r="O44">
        <f>N44+'Grid_Incoming'!O44-'Grid_Requirement'!O44</f>
        <v/>
      </c>
      <c r="P44">
        <f>O44+'Grid_Incoming'!P44-'Grid_Requirement'!P44</f>
        <v/>
      </c>
      <c r="Q44">
        <f>P44+'Grid_Incoming'!Q44-'Grid_Requirement'!Q44</f>
        <v/>
      </c>
      <c r="R44">
        <f>Q44+'Grid_Incoming'!R44-'Grid_Requirement'!R44</f>
        <v/>
      </c>
      <c r="S44">
        <f>R44+'Grid_Incoming'!S44-'Grid_Requirement'!S44</f>
        <v/>
      </c>
      <c r="T44">
        <f>S44+'Grid_Incoming'!T44-'Grid_Requirement'!T44</f>
        <v/>
      </c>
      <c r="U44">
        <f>T44+'Grid_Incoming'!U44-'Grid_Requirement'!U44</f>
        <v/>
      </c>
      <c r="V44">
        <f>U44+'Grid_Incoming'!V44-'Grid_Requirement'!V44</f>
        <v/>
      </c>
      <c r="W44">
        <f>V44+'Grid_Incoming'!W44-'Grid_Requirement'!W44</f>
        <v/>
      </c>
      <c r="X44">
        <f>W44+'Grid_Incoming'!X44-'Grid_Requirement'!X44</f>
        <v/>
      </c>
      <c r="Y44">
        <f>X44+'Grid_Incoming'!Y44-'Grid_Requirement'!Y44</f>
        <v/>
      </c>
      <c r="Z44">
        <f>Y44+'Grid_Incoming'!Z44-'Grid_Requirement'!Z44</f>
        <v/>
      </c>
      <c r="AA44">
        <f>Z44+'Grid_Incoming'!AA44-'Grid_Requirement'!AA44</f>
        <v/>
      </c>
      <c r="AB44">
        <f>AA44+'Grid_Incoming'!AB44-'Grid_Requirement'!AB44</f>
        <v/>
      </c>
      <c r="AC44">
        <f>AB44+'Grid_Incoming'!AC44-'Grid_Requirement'!AC44</f>
        <v/>
      </c>
      <c r="AD44">
        <f>AC44+'Grid_Incoming'!AD44-'Grid_Requirement'!AD44</f>
        <v/>
      </c>
      <c r="AE44">
        <f>AD44+'Grid_Incoming'!AE44-'Grid_Requirement'!AE44</f>
        <v/>
      </c>
      <c r="AF44">
        <f>AE44+'Grid_Incoming'!AF44-'Grid_Requirement'!AF44</f>
        <v/>
      </c>
      <c r="AG44">
        <f>AF44+'Grid_Incoming'!AG44-'Grid_Requirement'!AG44</f>
        <v/>
      </c>
      <c r="AH44">
        <f>AG44+'Grid_Incoming'!AH44-'Grid_Requirement'!AH44</f>
        <v/>
      </c>
      <c r="AI44">
        <f>AH44+'Grid_Incoming'!AI44-'Grid_Requirement'!AI44</f>
        <v/>
      </c>
      <c r="AJ44">
        <f>AI44+'Grid_Incoming'!AJ44-'Grid_Requirement'!AJ44</f>
        <v/>
      </c>
      <c r="AK44">
        <f>AJ44+'Grid_Incoming'!AK44-'Grid_Requirement'!AK44</f>
        <v/>
      </c>
      <c r="AL44">
        <f>AK44+'Grid_Incoming'!AL44-'Grid_Requirement'!AL44</f>
        <v/>
      </c>
      <c r="AM44">
        <f>AL44+'Grid_Incoming'!AM44-'Grid_Requirement'!AM44</f>
        <v/>
      </c>
      <c r="AN44">
        <f>AM44+'Grid_Incoming'!AN44-'Grid_Requirement'!AN44</f>
        <v/>
      </c>
      <c r="AO44">
        <f>AN44+'Grid_Incoming'!AO44-'Grid_Requirement'!AO44</f>
        <v/>
      </c>
      <c r="AP44">
        <f>AO44+'Grid_Incoming'!AP44-'Grid_Requirement'!AP44</f>
        <v/>
      </c>
      <c r="AQ44">
        <f>AP44+'Grid_Incoming'!AQ44-'Grid_Requirement'!AQ44</f>
        <v/>
      </c>
      <c r="AR44">
        <f>AQ44+'Grid_Incoming'!AR44-'Grid_Requirement'!AR44</f>
        <v/>
      </c>
      <c r="AS44">
        <f>AR44+'Grid_Incoming'!AS44-'Grid_Requirement'!AS44</f>
        <v/>
      </c>
      <c r="AT44">
        <f>AS44+'Grid_Incoming'!AT44-'Grid_Requirement'!AT44</f>
        <v/>
      </c>
      <c r="AU44">
        <f>AT44+'Grid_Incoming'!AU44-'Grid_Requirement'!AU44</f>
        <v/>
      </c>
      <c r="AV44">
        <f>AU44+'Grid_Incoming'!AV44-'Grid_Requirement'!AV44</f>
        <v/>
      </c>
      <c r="AW44">
        <f>AV44+'Grid_Incoming'!AW44-'Grid_Requirement'!AW44</f>
        <v/>
      </c>
      <c r="AX44">
        <f>AW44+'Grid_Incoming'!AX44-'Grid_Requirement'!AX44</f>
        <v/>
      </c>
      <c r="AY44">
        <f>AX44+'Grid_Incoming'!AY44-'Grid_Requirement'!AY44</f>
        <v/>
      </c>
      <c r="AZ44">
        <f>AY44+'Grid_Incoming'!AZ44-'Grid_Requirement'!AZ44</f>
        <v/>
      </c>
      <c r="BA44">
        <f>AZ44+'Grid_Incoming'!BA44-'Grid_Requirement'!BA44</f>
        <v/>
      </c>
      <c r="BB44">
        <f>BA44+'Grid_Incoming'!BB44-'Grid_Requirement'!BB44</f>
        <v/>
      </c>
      <c r="BC44">
        <f>BB44+'Grid_Incoming'!BC44-'Grid_Requirement'!BC44</f>
        <v/>
      </c>
      <c r="BD44">
        <f>BC44+'Grid_Incoming'!BD44-'Grid_Requirement'!BD44</f>
        <v/>
      </c>
      <c r="BE44">
        <f>BD44+'Grid_Incoming'!BE44-'Grid_Requirement'!BE44</f>
        <v/>
      </c>
      <c r="BF44">
        <f>BE44+'Grid_Incoming'!BF44-'Grid_Requirement'!BF44</f>
        <v/>
      </c>
      <c r="BG44">
        <f>BF44+'Grid_Incoming'!BG44-'Grid_Requirement'!BG44</f>
        <v/>
      </c>
      <c r="BH44">
        <f>BG44+'Grid_Incoming'!BH44-'Grid_Requirement'!BH44</f>
        <v/>
      </c>
      <c r="BI44">
        <f>BH44+'Grid_Incoming'!BI44-'Grid_Requirement'!BI44</f>
        <v/>
      </c>
      <c r="BJ44">
        <f>BI44+'Grid_Incoming'!BJ44-'Grid_Requirement'!BJ44</f>
        <v/>
      </c>
      <c r="BK44">
        <f>BJ44+'Grid_Incoming'!BK44-'Grid_Requirement'!BK44</f>
        <v/>
      </c>
      <c r="BL44">
        <f>BK44+'Grid_Incoming'!BL44-'Grid_Requirement'!BL44</f>
        <v/>
      </c>
      <c r="BM44">
        <f>BL44+'Grid_Incoming'!BM44-'Grid_Requirement'!BM44</f>
        <v/>
      </c>
      <c r="BN44">
        <f>BM44+'Grid_Incoming'!BN44-'Grid_Requirement'!BN44</f>
        <v/>
      </c>
      <c r="BO44">
        <f>BN44+'Grid_Incoming'!BO44-'Grid_Requirement'!BO44</f>
        <v/>
      </c>
      <c r="BP44">
        <f>BO44+'Grid_Incoming'!BP44-'Grid_Requirement'!BP44</f>
        <v/>
      </c>
      <c r="BQ44">
        <f>BP44+'Grid_Incoming'!BQ44-'Grid_Requirement'!BQ44</f>
        <v/>
      </c>
      <c r="BR44">
        <f>BQ44+'Grid_Incoming'!BR44-'Grid_Requirement'!BR44</f>
        <v/>
      </c>
      <c r="BS44">
        <f>BR44+'Grid_Incoming'!BS44-'Grid_Requirement'!BS44</f>
        <v/>
      </c>
      <c r="BT44">
        <f>BS44+'Grid_Incoming'!BT44-'Grid_Requirement'!BT44</f>
        <v/>
      </c>
      <c r="BU44">
        <f>BT44+'Grid_Incoming'!BU44-'Grid_Requirement'!BU44</f>
        <v/>
      </c>
      <c r="BV44">
        <f>BU44+'Grid_Incoming'!BV44-'Grid_Requirement'!BV44</f>
        <v/>
      </c>
      <c r="BW44">
        <f>BV44+'Grid_Incoming'!BW44-'Grid_Requirement'!BW44</f>
        <v/>
      </c>
      <c r="BX44">
        <f>BW44+'Grid_Incoming'!BX44-'Grid_Requirement'!BX44</f>
        <v/>
      </c>
      <c r="BY44">
        <f>BX44+'Grid_Incoming'!BY44-'Grid_Requirement'!BY44</f>
        <v/>
      </c>
      <c r="BZ44">
        <f>BY44+'Grid_Incoming'!BZ44-'Grid_Requirement'!BZ44</f>
        <v/>
      </c>
      <c r="CA44">
        <f>BZ44+'Grid_Incoming'!CA44-'Grid_Requirement'!CA44</f>
        <v/>
      </c>
      <c r="CB44">
        <f>CA44+'Grid_Incoming'!CB44-'Grid_Requirement'!CB44</f>
        <v/>
      </c>
      <c r="CC44">
        <f>CB44+'Grid_Incoming'!CC44-'Grid_Requirement'!CC44</f>
        <v/>
      </c>
      <c r="CD44">
        <f>CC44+'Grid_Incoming'!CD44-'Grid_Requirement'!CD44</f>
        <v/>
      </c>
      <c r="CE44">
        <f>CD44+'Grid_Incoming'!CE44-'Grid_Requirement'!CE44</f>
        <v/>
      </c>
      <c r="CF44">
        <f>CE44+'Grid_Incoming'!CF44-'Grid_Requirement'!CF44</f>
        <v/>
      </c>
      <c r="CG44">
        <f>CF44+'Grid_Incoming'!CG44-'Grid_Requirement'!CG44</f>
        <v/>
      </c>
      <c r="CH44">
        <f>CG44+'Grid_Incoming'!CH44-'Grid_Requirement'!CH44</f>
        <v/>
      </c>
      <c r="CI44">
        <f>CH44+'Grid_Incoming'!CI44-'Grid_Requirement'!CI44</f>
        <v/>
      </c>
      <c r="CJ44">
        <f>CI44+'Grid_Incoming'!CJ44-'Grid_Requirement'!CJ44</f>
        <v/>
      </c>
      <c r="CK44">
        <f>CJ44+'Grid_Incoming'!CK44-'Grid_Requirement'!CK44</f>
        <v/>
      </c>
      <c r="CL44">
        <f>CK44+'Grid_Incoming'!CL44-'Grid_Requirement'!CL44</f>
        <v/>
      </c>
      <c r="CM44">
        <f>CL44+'Grid_Incoming'!CM44-'Grid_Requirement'!CM44</f>
        <v/>
      </c>
      <c r="CN44">
        <f>CM44+'Grid_Incoming'!CN44-'Grid_Requirement'!CN44</f>
        <v/>
      </c>
      <c r="CO44">
        <f>CN44+'Grid_Incoming'!CO44-'Grid_Requirement'!CO44</f>
        <v/>
      </c>
      <c r="CP44">
        <f>CO44+'Grid_Incoming'!CP44-'Grid_Requirement'!CP44</f>
        <v/>
      </c>
      <c r="CQ44">
        <f>CP44+'Grid_Incoming'!CQ44-'Grid_Requirement'!CQ44</f>
        <v/>
      </c>
      <c r="CR44">
        <f>CQ44+'Grid_Incoming'!CR44-'Grid_Requirement'!CR44</f>
        <v/>
      </c>
      <c r="CS44">
        <f>CR44+'Grid_Incoming'!CS44-'Grid_Requirement'!CS44</f>
        <v/>
      </c>
      <c r="CT44">
        <f>CS44+'Grid_Incoming'!CT44-'Grid_Requirement'!CT44</f>
        <v/>
      </c>
      <c r="CU44">
        <f>CT44+'Grid_Incoming'!CU44-'Grid_Requirement'!CU44</f>
        <v/>
      </c>
      <c r="CV44">
        <f>CU44+'Grid_Incoming'!CV44-'Grid_Requirement'!CV44</f>
        <v/>
      </c>
      <c r="CW44">
        <f>CV44+'Grid_Incoming'!CW44-'Grid_Requirement'!CW44</f>
        <v/>
      </c>
      <c r="CX44">
        <f>CW44+'Grid_Incoming'!CX44-'Grid_Requirement'!CX44</f>
        <v/>
      </c>
      <c r="CY44">
        <f>CX44+'Grid_Incoming'!CY44-'Grid_Requirement'!CY44</f>
        <v/>
      </c>
      <c r="CZ44">
        <f>CY44+'Grid_Incoming'!CZ44-'Grid_Requirement'!CZ44</f>
        <v/>
      </c>
      <c r="DA44">
        <f>CZ44+'Grid_Incoming'!DA44-'Grid_Requirement'!DA44</f>
        <v/>
      </c>
    </row>
    <row r="45">
      <c r="A45" t="inlineStr">
        <is>
          <t>CHEM-1770</t>
        </is>
      </c>
      <c r="B45">
        <f>IFERROR(INDEX(T_OpeningStock[Opening_Qty],MATCH($A45,T_OpeningStock[Part Name],0)),0)+'Grid_Incoming'!B45-'Grid_Requirement'!B45</f>
        <v/>
      </c>
      <c r="C45">
        <f>B45+'Grid_Incoming'!C45-'Grid_Requirement'!C45</f>
        <v/>
      </c>
      <c r="D45">
        <f>C45+'Grid_Incoming'!D45-'Grid_Requirement'!D45</f>
        <v/>
      </c>
      <c r="E45">
        <f>D45+'Grid_Incoming'!E45-'Grid_Requirement'!E45</f>
        <v/>
      </c>
      <c r="F45">
        <f>E45+'Grid_Incoming'!F45-'Grid_Requirement'!F45</f>
        <v/>
      </c>
      <c r="G45">
        <f>F45+'Grid_Incoming'!G45-'Grid_Requirement'!G45</f>
        <v/>
      </c>
      <c r="H45">
        <f>G45+'Grid_Incoming'!H45-'Grid_Requirement'!H45</f>
        <v/>
      </c>
      <c r="I45">
        <f>H45+'Grid_Incoming'!I45-'Grid_Requirement'!I45</f>
        <v/>
      </c>
      <c r="J45">
        <f>I45+'Grid_Incoming'!J45-'Grid_Requirement'!J45</f>
        <v/>
      </c>
      <c r="K45">
        <f>J45+'Grid_Incoming'!K45-'Grid_Requirement'!K45</f>
        <v/>
      </c>
      <c r="L45">
        <f>K45+'Grid_Incoming'!L45-'Grid_Requirement'!L45</f>
        <v/>
      </c>
      <c r="M45">
        <f>L45+'Grid_Incoming'!M45-'Grid_Requirement'!M45</f>
        <v/>
      </c>
      <c r="N45">
        <f>M45+'Grid_Incoming'!N45-'Grid_Requirement'!N45</f>
        <v/>
      </c>
      <c r="O45">
        <f>N45+'Grid_Incoming'!O45-'Grid_Requirement'!O45</f>
        <v/>
      </c>
      <c r="P45">
        <f>O45+'Grid_Incoming'!P45-'Grid_Requirement'!P45</f>
        <v/>
      </c>
      <c r="Q45">
        <f>P45+'Grid_Incoming'!Q45-'Grid_Requirement'!Q45</f>
        <v/>
      </c>
      <c r="R45">
        <f>Q45+'Grid_Incoming'!R45-'Grid_Requirement'!R45</f>
        <v/>
      </c>
      <c r="S45">
        <f>R45+'Grid_Incoming'!S45-'Grid_Requirement'!S45</f>
        <v/>
      </c>
      <c r="T45">
        <f>S45+'Grid_Incoming'!T45-'Grid_Requirement'!T45</f>
        <v/>
      </c>
      <c r="U45">
        <f>T45+'Grid_Incoming'!U45-'Grid_Requirement'!U45</f>
        <v/>
      </c>
      <c r="V45">
        <f>U45+'Grid_Incoming'!V45-'Grid_Requirement'!V45</f>
        <v/>
      </c>
      <c r="W45">
        <f>V45+'Grid_Incoming'!W45-'Grid_Requirement'!W45</f>
        <v/>
      </c>
      <c r="X45">
        <f>W45+'Grid_Incoming'!X45-'Grid_Requirement'!X45</f>
        <v/>
      </c>
      <c r="Y45">
        <f>X45+'Grid_Incoming'!Y45-'Grid_Requirement'!Y45</f>
        <v/>
      </c>
      <c r="Z45">
        <f>Y45+'Grid_Incoming'!Z45-'Grid_Requirement'!Z45</f>
        <v/>
      </c>
      <c r="AA45">
        <f>Z45+'Grid_Incoming'!AA45-'Grid_Requirement'!AA45</f>
        <v/>
      </c>
      <c r="AB45">
        <f>AA45+'Grid_Incoming'!AB45-'Grid_Requirement'!AB45</f>
        <v/>
      </c>
      <c r="AC45">
        <f>AB45+'Grid_Incoming'!AC45-'Grid_Requirement'!AC45</f>
        <v/>
      </c>
      <c r="AD45">
        <f>AC45+'Grid_Incoming'!AD45-'Grid_Requirement'!AD45</f>
        <v/>
      </c>
      <c r="AE45">
        <f>AD45+'Grid_Incoming'!AE45-'Grid_Requirement'!AE45</f>
        <v/>
      </c>
      <c r="AF45">
        <f>AE45+'Grid_Incoming'!AF45-'Grid_Requirement'!AF45</f>
        <v/>
      </c>
      <c r="AG45">
        <f>AF45+'Grid_Incoming'!AG45-'Grid_Requirement'!AG45</f>
        <v/>
      </c>
      <c r="AH45">
        <f>AG45+'Grid_Incoming'!AH45-'Grid_Requirement'!AH45</f>
        <v/>
      </c>
      <c r="AI45">
        <f>AH45+'Grid_Incoming'!AI45-'Grid_Requirement'!AI45</f>
        <v/>
      </c>
      <c r="AJ45">
        <f>AI45+'Grid_Incoming'!AJ45-'Grid_Requirement'!AJ45</f>
        <v/>
      </c>
      <c r="AK45">
        <f>AJ45+'Grid_Incoming'!AK45-'Grid_Requirement'!AK45</f>
        <v/>
      </c>
      <c r="AL45">
        <f>AK45+'Grid_Incoming'!AL45-'Grid_Requirement'!AL45</f>
        <v/>
      </c>
      <c r="AM45">
        <f>AL45+'Grid_Incoming'!AM45-'Grid_Requirement'!AM45</f>
        <v/>
      </c>
      <c r="AN45">
        <f>AM45+'Grid_Incoming'!AN45-'Grid_Requirement'!AN45</f>
        <v/>
      </c>
      <c r="AO45">
        <f>AN45+'Grid_Incoming'!AO45-'Grid_Requirement'!AO45</f>
        <v/>
      </c>
      <c r="AP45">
        <f>AO45+'Grid_Incoming'!AP45-'Grid_Requirement'!AP45</f>
        <v/>
      </c>
      <c r="AQ45">
        <f>AP45+'Grid_Incoming'!AQ45-'Grid_Requirement'!AQ45</f>
        <v/>
      </c>
      <c r="AR45">
        <f>AQ45+'Grid_Incoming'!AR45-'Grid_Requirement'!AR45</f>
        <v/>
      </c>
      <c r="AS45">
        <f>AR45+'Grid_Incoming'!AS45-'Grid_Requirement'!AS45</f>
        <v/>
      </c>
      <c r="AT45">
        <f>AS45+'Grid_Incoming'!AT45-'Grid_Requirement'!AT45</f>
        <v/>
      </c>
      <c r="AU45">
        <f>AT45+'Grid_Incoming'!AU45-'Grid_Requirement'!AU45</f>
        <v/>
      </c>
      <c r="AV45">
        <f>AU45+'Grid_Incoming'!AV45-'Grid_Requirement'!AV45</f>
        <v/>
      </c>
      <c r="AW45">
        <f>AV45+'Grid_Incoming'!AW45-'Grid_Requirement'!AW45</f>
        <v/>
      </c>
      <c r="AX45">
        <f>AW45+'Grid_Incoming'!AX45-'Grid_Requirement'!AX45</f>
        <v/>
      </c>
      <c r="AY45">
        <f>AX45+'Grid_Incoming'!AY45-'Grid_Requirement'!AY45</f>
        <v/>
      </c>
      <c r="AZ45">
        <f>AY45+'Grid_Incoming'!AZ45-'Grid_Requirement'!AZ45</f>
        <v/>
      </c>
      <c r="BA45">
        <f>AZ45+'Grid_Incoming'!BA45-'Grid_Requirement'!BA45</f>
        <v/>
      </c>
      <c r="BB45">
        <f>BA45+'Grid_Incoming'!BB45-'Grid_Requirement'!BB45</f>
        <v/>
      </c>
      <c r="BC45">
        <f>BB45+'Grid_Incoming'!BC45-'Grid_Requirement'!BC45</f>
        <v/>
      </c>
      <c r="BD45">
        <f>BC45+'Grid_Incoming'!BD45-'Grid_Requirement'!BD45</f>
        <v/>
      </c>
      <c r="BE45">
        <f>BD45+'Grid_Incoming'!BE45-'Grid_Requirement'!BE45</f>
        <v/>
      </c>
      <c r="BF45">
        <f>BE45+'Grid_Incoming'!BF45-'Grid_Requirement'!BF45</f>
        <v/>
      </c>
      <c r="BG45">
        <f>BF45+'Grid_Incoming'!BG45-'Grid_Requirement'!BG45</f>
        <v/>
      </c>
      <c r="BH45">
        <f>BG45+'Grid_Incoming'!BH45-'Grid_Requirement'!BH45</f>
        <v/>
      </c>
      <c r="BI45">
        <f>BH45+'Grid_Incoming'!BI45-'Grid_Requirement'!BI45</f>
        <v/>
      </c>
      <c r="BJ45">
        <f>BI45+'Grid_Incoming'!BJ45-'Grid_Requirement'!BJ45</f>
        <v/>
      </c>
      <c r="BK45">
        <f>BJ45+'Grid_Incoming'!BK45-'Grid_Requirement'!BK45</f>
        <v/>
      </c>
      <c r="BL45">
        <f>BK45+'Grid_Incoming'!BL45-'Grid_Requirement'!BL45</f>
        <v/>
      </c>
      <c r="BM45">
        <f>BL45+'Grid_Incoming'!BM45-'Grid_Requirement'!BM45</f>
        <v/>
      </c>
      <c r="BN45">
        <f>BM45+'Grid_Incoming'!BN45-'Grid_Requirement'!BN45</f>
        <v/>
      </c>
      <c r="BO45">
        <f>BN45+'Grid_Incoming'!BO45-'Grid_Requirement'!BO45</f>
        <v/>
      </c>
      <c r="BP45">
        <f>BO45+'Grid_Incoming'!BP45-'Grid_Requirement'!BP45</f>
        <v/>
      </c>
      <c r="BQ45">
        <f>BP45+'Grid_Incoming'!BQ45-'Grid_Requirement'!BQ45</f>
        <v/>
      </c>
      <c r="BR45">
        <f>BQ45+'Grid_Incoming'!BR45-'Grid_Requirement'!BR45</f>
        <v/>
      </c>
      <c r="BS45">
        <f>BR45+'Grid_Incoming'!BS45-'Grid_Requirement'!BS45</f>
        <v/>
      </c>
      <c r="BT45">
        <f>BS45+'Grid_Incoming'!BT45-'Grid_Requirement'!BT45</f>
        <v/>
      </c>
      <c r="BU45">
        <f>BT45+'Grid_Incoming'!BU45-'Grid_Requirement'!BU45</f>
        <v/>
      </c>
      <c r="BV45">
        <f>BU45+'Grid_Incoming'!BV45-'Grid_Requirement'!BV45</f>
        <v/>
      </c>
      <c r="BW45">
        <f>BV45+'Grid_Incoming'!BW45-'Grid_Requirement'!BW45</f>
        <v/>
      </c>
      <c r="BX45">
        <f>BW45+'Grid_Incoming'!BX45-'Grid_Requirement'!BX45</f>
        <v/>
      </c>
      <c r="BY45">
        <f>BX45+'Grid_Incoming'!BY45-'Grid_Requirement'!BY45</f>
        <v/>
      </c>
      <c r="BZ45">
        <f>BY45+'Grid_Incoming'!BZ45-'Grid_Requirement'!BZ45</f>
        <v/>
      </c>
      <c r="CA45">
        <f>BZ45+'Grid_Incoming'!CA45-'Grid_Requirement'!CA45</f>
        <v/>
      </c>
      <c r="CB45">
        <f>CA45+'Grid_Incoming'!CB45-'Grid_Requirement'!CB45</f>
        <v/>
      </c>
      <c r="CC45">
        <f>CB45+'Grid_Incoming'!CC45-'Grid_Requirement'!CC45</f>
        <v/>
      </c>
      <c r="CD45">
        <f>CC45+'Grid_Incoming'!CD45-'Grid_Requirement'!CD45</f>
        <v/>
      </c>
      <c r="CE45">
        <f>CD45+'Grid_Incoming'!CE45-'Grid_Requirement'!CE45</f>
        <v/>
      </c>
      <c r="CF45">
        <f>CE45+'Grid_Incoming'!CF45-'Grid_Requirement'!CF45</f>
        <v/>
      </c>
      <c r="CG45">
        <f>CF45+'Grid_Incoming'!CG45-'Grid_Requirement'!CG45</f>
        <v/>
      </c>
      <c r="CH45">
        <f>CG45+'Grid_Incoming'!CH45-'Grid_Requirement'!CH45</f>
        <v/>
      </c>
      <c r="CI45">
        <f>CH45+'Grid_Incoming'!CI45-'Grid_Requirement'!CI45</f>
        <v/>
      </c>
      <c r="CJ45">
        <f>CI45+'Grid_Incoming'!CJ45-'Grid_Requirement'!CJ45</f>
        <v/>
      </c>
      <c r="CK45">
        <f>CJ45+'Grid_Incoming'!CK45-'Grid_Requirement'!CK45</f>
        <v/>
      </c>
      <c r="CL45">
        <f>CK45+'Grid_Incoming'!CL45-'Grid_Requirement'!CL45</f>
        <v/>
      </c>
      <c r="CM45">
        <f>CL45+'Grid_Incoming'!CM45-'Grid_Requirement'!CM45</f>
        <v/>
      </c>
      <c r="CN45">
        <f>CM45+'Grid_Incoming'!CN45-'Grid_Requirement'!CN45</f>
        <v/>
      </c>
      <c r="CO45">
        <f>CN45+'Grid_Incoming'!CO45-'Grid_Requirement'!CO45</f>
        <v/>
      </c>
      <c r="CP45">
        <f>CO45+'Grid_Incoming'!CP45-'Grid_Requirement'!CP45</f>
        <v/>
      </c>
      <c r="CQ45">
        <f>CP45+'Grid_Incoming'!CQ45-'Grid_Requirement'!CQ45</f>
        <v/>
      </c>
      <c r="CR45">
        <f>CQ45+'Grid_Incoming'!CR45-'Grid_Requirement'!CR45</f>
        <v/>
      </c>
      <c r="CS45">
        <f>CR45+'Grid_Incoming'!CS45-'Grid_Requirement'!CS45</f>
        <v/>
      </c>
      <c r="CT45">
        <f>CS45+'Grid_Incoming'!CT45-'Grid_Requirement'!CT45</f>
        <v/>
      </c>
      <c r="CU45">
        <f>CT45+'Grid_Incoming'!CU45-'Grid_Requirement'!CU45</f>
        <v/>
      </c>
      <c r="CV45">
        <f>CU45+'Grid_Incoming'!CV45-'Grid_Requirement'!CV45</f>
        <v/>
      </c>
      <c r="CW45">
        <f>CV45+'Grid_Incoming'!CW45-'Grid_Requirement'!CW45</f>
        <v/>
      </c>
      <c r="CX45">
        <f>CW45+'Grid_Incoming'!CX45-'Grid_Requirement'!CX45</f>
        <v/>
      </c>
      <c r="CY45">
        <f>CX45+'Grid_Incoming'!CY45-'Grid_Requirement'!CY45</f>
        <v/>
      </c>
      <c r="CZ45">
        <f>CY45+'Grid_Incoming'!CZ45-'Grid_Requirement'!CZ45</f>
        <v/>
      </c>
      <c r="DA45">
        <f>CZ45+'Grid_Incoming'!DA45-'Grid_Requirement'!DA45</f>
        <v/>
      </c>
    </row>
    <row r="46">
      <c r="A46" t="inlineStr">
        <is>
          <t>CHEM-1430</t>
        </is>
      </c>
      <c r="B46">
        <f>IFERROR(INDEX(T_OpeningStock[Opening_Qty],MATCH($A46,T_OpeningStock[Part Name],0)),0)+'Grid_Incoming'!B46-'Grid_Requirement'!B46</f>
        <v/>
      </c>
      <c r="C46">
        <f>B46+'Grid_Incoming'!C46-'Grid_Requirement'!C46</f>
        <v/>
      </c>
      <c r="D46">
        <f>C46+'Grid_Incoming'!D46-'Grid_Requirement'!D46</f>
        <v/>
      </c>
      <c r="E46">
        <f>D46+'Grid_Incoming'!E46-'Grid_Requirement'!E46</f>
        <v/>
      </c>
      <c r="F46">
        <f>E46+'Grid_Incoming'!F46-'Grid_Requirement'!F46</f>
        <v/>
      </c>
      <c r="G46">
        <f>F46+'Grid_Incoming'!G46-'Grid_Requirement'!G46</f>
        <v/>
      </c>
      <c r="H46">
        <f>G46+'Grid_Incoming'!H46-'Grid_Requirement'!H46</f>
        <v/>
      </c>
      <c r="I46">
        <f>H46+'Grid_Incoming'!I46-'Grid_Requirement'!I46</f>
        <v/>
      </c>
      <c r="J46">
        <f>I46+'Grid_Incoming'!J46-'Grid_Requirement'!J46</f>
        <v/>
      </c>
      <c r="K46">
        <f>J46+'Grid_Incoming'!K46-'Grid_Requirement'!K46</f>
        <v/>
      </c>
      <c r="L46">
        <f>K46+'Grid_Incoming'!L46-'Grid_Requirement'!L46</f>
        <v/>
      </c>
      <c r="M46">
        <f>L46+'Grid_Incoming'!M46-'Grid_Requirement'!M46</f>
        <v/>
      </c>
      <c r="N46">
        <f>M46+'Grid_Incoming'!N46-'Grid_Requirement'!N46</f>
        <v/>
      </c>
      <c r="O46">
        <f>N46+'Grid_Incoming'!O46-'Grid_Requirement'!O46</f>
        <v/>
      </c>
      <c r="P46">
        <f>O46+'Grid_Incoming'!P46-'Grid_Requirement'!P46</f>
        <v/>
      </c>
      <c r="Q46">
        <f>P46+'Grid_Incoming'!Q46-'Grid_Requirement'!Q46</f>
        <v/>
      </c>
      <c r="R46">
        <f>Q46+'Grid_Incoming'!R46-'Grid_Requirement'!R46</f>
        <v/>
      </c>
      <c r="S46">
        <f>R46+'Grid_Incoming'!S46-'Grid_Requirement'!S46</f>
        <v/>
      </c>
      <c r="T46">
        <f>S46+'Grid_Incoming'!T46-'Grid_Requirement'!T46</f>
        <v/>
      </c>
      <c r="U46">
        <f>T46+'Grid_Incoming'!U46-'Grid_Requirement'!U46</f>
        <v/>
      </c>
      <c r="V46">
        <f>U46+'Grid_Incoming'!V46-'Grid_Requirement'!V46</f>
        <v/>
      </c>
      <c r="W46">
        <f>V46+'Grid_Incoming'!W46-'Grid_Requirement'!W46</f>
        <v/>
      </c>
      <c r="X46">
        <f>W46+'Grid_Incoming'!X46-'Grid_Requirement'!X46</f>
        <v/>
      </c>
      <c r="Y46">
        <f>X46+'Grid_Incoming'!Y46-'Grid_Requirement'!Y46</f>
        <v/>
      </c>
      <c r="Z46">
        <f>Y46+'Grid_Incoming'!Z46-'Grid_Requirement'!Z46</f>
        <v/>
      </c>
      <c r="AA46">
        <f>Z46+'Grid_Incoming'!AA46-'Grid_Requirement'!AA46</f>
        <v/>
      </c>
      <c r="AB46">
        <f>AA46+'Grid_Incoming'!AB46-'Grid_Requirement'!AB46</f>
        <v/>
      </c>
      <c r="AC46">
        <f>AB46+'Grid_Incoming'!AC46-'Grid_Requirement'!AC46</f>
        <v/>
      </c>
      <c r="AD46">
        <f>AC46+'Grid_Incoming'!AD46-'Grid_Requirement'!AD46</f>
        <v/>
      </c>
      <c r="AE46">
        <f>AD46+'Grid_Incoming'!AE46-'Grid_Requirement'!AE46</f>
        <v/>
      </c>
      <c r="AF46">
        <f>AE46+'Grid_Incoming'!AF46-'Grid_Requirement'!AF46</f>
        <v/>
      </c>
      <c r="AG46">
        <f>AF46+'Grid_Incoming'!AG46-'Grid_Requirement'!AG46</f>
        <v/>
      </c>
      <c r="AH46">
        <f>AG46+'Grid_Incoming'!AH46-'Grid_Requirement'!AH46</f>
        <v/>
      </c>
      <c r="AI46">
        <f>AH46+'Grid_Incoming'!AI46-'Grid_Requirement'!AI46</f>
        <v/>
      </c>
      <c r="AJ46">
        <f>AI46+'Grid_Incoming'!AJ46-'Grid_Requirement'!AJ46</f>
        <v/>
      </c>
      <c r="AK46">
        <f>AJ46+'Grid_Incoming'!AK46-'Grid_Requirement'!AK46</f>
        <v/>
      </c>
      <c r="AL46">
        <f>AK46+'Grid_Incoming'!AL46-'Grid_Requirement'!AL46</f>
        <v/>
      </c>
      <c r="AM46">
        <f>AL46+'Grid_Incoming'!AM46-'Grid_Requirement'!AM46</f>
        <v/>
      </c>
      <c r="AN46">
        <f>AM46+'Grid_Incoming'!AN46-'Grid_Requirement'!AN46</f>
        <v/>
      </c>
      <c r="AO46">
        <f>AN46+'Grid_Incoming'!AO46-'Grid_Requirement'!AO46</f>
        <v/>
      </c>
      <c r="AP46">
        <f>AO46+'Grid_Incoming'!AP46-'Grid_Requirement'!AP46</f>
        <v/>
      </c>
      <c r="AQ46">
        <f>AP46+'Grid_Incoming'!AQ46-'Grid_Requirement'!AQ46</f>
        <v/>
      </c>
      <c r="AR46">
        <f>AQ46+'Grid_Incoming'!AR46-'Grid_Requirement'!AR46</f>
        <v/>
      </c>
      <c r="AS46">
        <f>AR46+'Grid_Incoming'!AS46-'Grid_Requirement'!AS46</f>
        <v/>
      </c>
      <c r="AT46">
        <f>AS46+'Grid_Incoming'!AT46-'Grid_Requirement'!AT46</f>
        <v/>
      </c>
      <c r="AU46">
        <f>AT46+'Grid_Incoming'!AU46-'Grid_Requirement'!AU46</f>
        <v/>
      </c>
      <c r="AV46">
        <f>AU46+'Grid_Incoming'!AV46-'Grid_Requirement'!AV46</f>
        <v/>
      </c>
      <c r="AW46">
        <f>AV46+'Grid_Incoming'!AW46-'Grid_Requirement'!AW46</f>
        <v/>
      </c>
      <c r="AX46">
        <f>AW46+'Grid_Incoming'!AX46-'Grid_Requirement'!AX46</f>
        <v/>
      </c>
      <c r="AY46">
        <f>AX46+'Grid_Incoming'!AY46-'Grid_Requirement'!AY46</f>
        <v/>
      </c>
      <c r="AZ46">
        <f>AY46+'Grid_Incoming'!AZ46-'Grid_Requirement'!AZ46</f>
        <v/>
      </c>
      <c r="BA46">
        <f>AZ46+'Grid_Incoming'!BA46-'Grid_Requirement'!BA46</f>
        <v/>
      </c>
      <c r="BB46">
        <f>BA46+'Grid_Incoming'!BB46-'Grid_Requirement'!BB46</f>
        <v/>
      </c>
      <c r="BC46">
        <f>BB46+'Grid_Incoming'!BC46-'Grid_Requirement'!BC46</f>
        <v/>
      </c>
      <c r="BD46">
        <f>BC46+'Grid_Incoming'!BD46-'Grid_Requirement'!BD46</f>
        <v/>
      </c>
      <c r="BE46">
        <f>BD46+'Grid_Incoming'!BE46-'Grid_Requirement'!BE46</f>
        <v/>
      </c>
      <c r="BF46">
        <f>BE46+'Grid_Incoming'!BF46-'Grid_Requirement'!BF46</f>
        <v/>
      </c>
      <c r="BG46">
        <f>BF46+'Grid_Incoming'!BG46-'Grid_Requirement'!BG46</f>
        <v/>
      </c>
      <c r="BH46">
        <f>BG46+'Grid_Incoming'!BH46-'Grid_Requirement'!BH46</f>
        <v/>
      </c>
      <c r="BI46">
        <f>BH46+'Grid_Incoming'!BI46-'Grid_Requirement'!BI46</f>
        <v/>
      </c>
      <c r="BJ46">
        <f>BI46+'Grid_Incoming'!BJ46-'Grid_Requirement'!BJ46</f>
        <v/>
      </c>
      <c r="BK46">
        <f>BJ46+'Grid_Incoming'!BK46-'Grid_Requirement'!BK46</f>
        <v/>
      </c>
      <c r="BL46">
        <f>BK46+'Grid_Incoming'!BL46-'Grid_Requirement'!BL46</f>
        <v/>
      </c>
      <c r="BM46">
        <f>BL46+'Grid_Incoming'!BM46-'Grid_Requirement'!BM46</f>
        <v/>
      </c>
      <c r="BN46">
        <f>BM46+'Grid_Incoming'!BN46-'Grid_Requirement'!BN46</f>
        <v/>
      </c>
      <c r="BO46">
        <f>BN46+'Grid_Incoming'!BO46-'Grid_Requirement'!BO46</f>
        <v/>
      </c>
      <c r="BP46">
        <f>BO46+'Grid_Incoming'!BP46-'Grid_Requirement'!BP46</f>
        <v/>
      </c>
      <c r="BQ46">
        <f>BP46+'Grid_Incoming'!BQ46-'Grid_Requirement'!BQ46</f>
        <v/>
      </c>
      <c r="BR46">
        <f>BQ46+'Grid_Incoming'!BR46-'Grid_Requirement'!BR46</f>
        <v/>
      </c>
      <c r="BS46">
        <f>BR46+'Grid_Incoming'!BS46-'Grid_Requirement'!BS46</f>
        <v/>
      </c>
      <c r="BT46">
        <f>BS46+'Grid_Incoming'!BT46-'Grid_Requirement'!BT46</f>
        <v/>
      </c>
      <c r="BU46">
        <f>BT46+'Grid_Incoming'!BU46-'Grid_Requirement'!BU46</f>
        <v/>
      </c>
      <c r="BV46">
        <f>BU46+'Grid_Incoming'!BV46-'Grid_Requirement'!BV46</f>
        <v/>
      </c>
      <c r="BW46">
        <f>BV46+'Grid_Incoming'!BW46-'Grid_Requirement'!BW46</f>
        <v/>
      </c>
      <c r="BX46">
        <f>BW46+'Grid_Incoming'!BX46-'Grid_Requirement'!BX46</f>
        <v/>
      </c>
      <c r="BY46">
        <f>BX46+'Grid_Incoming'!BY46-'Grid_Requirement'!BY46</f>
        <v/>
      </c>
      <c r="BZ46">
        <f>BY46+'Grid_Incoming'!BZ46-'Grid_Requirement'!BZ46</f>
        <v/>
      </c>
      <c r="CA46">
        <f>BZ46+'Grid_Incoming'!CA46-'Grid_Requirement'!CA46</f>
        <v/>
      </c>
      <c r="CB46">
        <f>CA46+'Grid_Incoming'!CB46-'Grid_Requirement'!CB46</f>
        <v/>
      </c>
      <c r="CC46">
        <f>CB46+'Grid_Incoming'!CC46-'Grid_Requirement'!CC46</f>
        <v/>
      </c>
      <c r="CD46">
        <f>CC46+'Grid_Incoming'!CD46-'Grid_Requirement'!CD46</f>
        <v/>
      </c>
      <c r="CE46">
        <f>CD46+'Grid_Incoming'!CE46-'Grid_Requirement'!CE46</f>
        <v/>
      </c>
      <c r="CF46">
        <f>CE46+'Grid_Incoming'!CF46-'Grid_Requirement'!CF46</f>
        <v/>
      </c>
      <c r="CG46">
        <f>CF46+'Grid_Incoming'!CG46-'Grid_Requirement'!CG46</f>
        <v/>
      </c>
      <c r="CH46">
        <f>CG46+'Grid_Incoming'!CH46-'Grid_Requirement'!CH46</f>
        <v/>
      </c>
      <c r="CI46">
        <f>CH46+'Grid_Incoming'!CI46-'Grid_Requirement'!CI46</f>
        <v/>
      </c>
      <c r="CJ46">
        <f>CI46+'Grid_Incoming'!CJ46-'Grid_Requirement'!CJ46</f>
        <v/>
      </c>
      <c r="CK46">
        <f>CJ46+'Grid_Incoming'!CK46-'Grid_Requirement'!CK46</f>
        <v/>
      </c>
      <c r="CL46">
        <f>CK46+'Grid_Incoming'!CL46-'Grid_Requirement'!CL46</f>
        <v/>
      </c>
      <c r="CM46">
        <f>CL46+'Grid_Incoming'!CM46-'Grid_Requirement'!CM46</f>
        <v/>
      </c>
      <c r="CN46">
        <f>CM46+'Grid_Incoming'!CN46-'Grid_Requirement'!CN46</f>
        <v/>
      </c>
      <c r="CO46">
        <f>CN46+'Grid_Incoming'!CO46-'Grid_Requirement'!CO46</f>
        <v/>
      </c>
      <c r="CP46">
        <f>CO46+'Grid_Incoming'!CP46-'Grid_Requirement'!CP46</f>
        <v/>
      </c>
      <c r="CQ46">
        <f>CP46+'Grid_Incoming'!CQ46-'Grid_Requirement'!CQ46</f>
        <v/>
      </c>
      <c r="CR46">
        <f>CQ46+'Grid_Incoming'!CR46-'Grid_Requirement'!CR46</f>
        <v/>
      </c>
      <c r="CS46">
        <f>CR46+'Grid_Incoming'!CS46-'Grid_Requirement'!CS46</f>
        <v/>
      </c>
      <c r="CT46">
        <f>CS46+'Grid_Incoming'!CT46-'Grid_Requirement'!CT46</f>
        <v/>
      </c>
      <c r="CU46">
        <f>CT46+'Grid_Incoming'!CU46-'Grid_Requirement'!CU46</f>
        <v/>
      </c>
      <c r="CV46">
        <f>CU46+'Grid_Incoming'!CV46-'Grid_Requirement'!CV46</f>
        <v/>
      </c>
      <c r="CW46">
        <f>CV46+'Grid_Incoming'!CW46-'Grid_Requirement'!CW46</f>
        <v/>
      </c>
      <c r="CX46">
        <f>CW46+'Grid_Incoming'!CX46-'Grid_Requirement'!CX46</f>
        <v/>
      </c>
      <c r="CY46">
        <f>CX46+'Grid_Incoming'!CY46-'Grid_Requirement'!CY46</f>
        <v/>
      </c>
      <c r="CZ46">
        <f>CY46+'Grid_Incoming'!CZ46-'Grid_Requirement'!CZ46</f>
        <v/>
      </c>
      <c r="DA46">
        <f>CZ46+'Grid_Incoming'!DA46-'Grid_Requirement'!DA46</f>
        <v/>
      </c>
    </row>
    <row r="47">
      <c r="A47" t="inlineStr">
        <is>
          <t>CHEM-1470</t>
        </is>
      </c>
      <c r="B47">
        <f>IFERROR(INDEX(T_OpeningStock[Opening_Qty],MATCH($A47,T_OpeningStock[Part Name],0)),0)+'Grid_Incoming'!B47-'Grid_Requirement'!B47</f>
        <v/>
      </c>
      <c r="C47">
        <f>B47+'Grid_Incoming'!C47-'Grid_Requirement'!C47</f>
        <v/>
      </c>
      <c r="D47">
        <f>C47+'Grid_Incoming'!D47-'Grid_Requirement'!D47</f>
        <v/>
      </c>
      <c r="E47">
        <f>D47+'Grid_Incoming'!E47-'Grid_Requirement'!E47</f>
        <v/>
      </c>
      <c r="F47">
        <f>E47+'Grid_Incoming'!F47-'Grid_Requirement'!F47</f>
        <v/>
      </c>
      <c r="G47">
        <f>F47+'Grid_Incoming'!G47-'Grid_Requirement'!G47</f>
        <v/>
      </c>
      <c r="H47">
        <f>G47+'Grid_Incoming'!H47-'Grid_Requirement'!H47</f>
        <v/>
      </c>
      <c r="I47">
        <f>H47+'Grid_Incoming'!I47-'Grid_Requirement'!I47</f>
        <v/>
      </c>
      <c r="J47">
        <f>I47+'Grid_Incoming'!J47-'Grid_Requirement'!J47</f>
        <v/>
      </c>
      <c r="K47">
        <f>J47+'Grid_Incoming'!K47-'Grid_Requirement'!K47</f>
        <v/>
      </c>
      <c r="L47">
        <f>K47+'Grid_Incoming'!L47-'Grid_Requirement'!L47</f>
        <v/>
      </c>
      <c r="M47">
        <f>L47+'Grid_Incoming'!M47-'Grid_Requirement'!M47</f>
        <v/>
      </c>
      <c r="N47">
        <f>M47+'Grid_Incoming'!N47-'Grid_Requirement'!N47</f>
        <v/>
      </c>
      <c r="O47">
        <f>N47+'Grid_Incoming'!O47-'Grid_Requirement'!O47</f>
        <v/>
      </c>
      <c r="P47">
        <f>O47+'Grid_Incoming'!P47-'Grid_Requirement'!P47</f>
        <v/>
      </c>
      <c r="Q47">
        <f>P47+'Grid_Incoming'!Q47-'Grid_Requirement'!Q47</f>
        <v/>
      </c>
      <c r="R47">
        <f>Q47+'Grid_Incoming'!R47-'Grid_Requirement'!R47</f>
        <v/>
      </c>
      <c r="S47">
        <f>R47+'Grid_Incoming'!S47-'Grid_Requirement'!S47</f>
        <v/>
      </c>
      <c r="T47">
        <f>S47+'Grid_Incoming'!T47-'Grid_Requirement'!T47</f>
        <v/>
      </c>
      <c r="U47">
        <f>T47+'Grid_Incoming'!U47-'Grid_Requirement'!U47</f>
        <v/>
      </c>
      <c r="V47">
        <f>U47+'Grid_Incoming'!V47-'Grid_Requirement'!V47</f>
        <v/>
      </c>
      <c r="W47">
        <f>V47+'Grid_Incoming'!W47-'Grid_Requirement'!W47</f>
        <v/>
      </c>
      <c r="X47">
        <f>W47+'Grid_Incoming'!X47-'Grid_Requirement'!X47</f>
        <v/>
      </c>
      <c r="Y47">
        <f>X47+'Grid_Incoming'!Y47-'Grid_Requirement'!Y47</f>
        <v/>
      </c>
      <c r="Z47">
        <f>Y47+'Grid_Incoming'!Z47-'Grid_Requirement'!Z47</f>
        <v/>
      </c>
      <c r="AA47">
        <f>Z47+'Grid_Incoming'!AA47-'Grid_Requirement'!AA47</f>
        <v/>
      </c>
      <c r="AB47">
        <f>AA47+'Grid_Incoming'!AB47-'Grid_Requirement'!AB47</f>
        <v/>
      </c>
      <c r="AC47">
        <f>AB47+'Grid_Incoming'!AC47-'Grid_Requirement'!AC47</f>
        <v/>
      </c>
      <c r="AD47">
        <f>AC47+'Grid_Incoming'!AD47-'Grid_Requirement'!AD47</f>
        <v/>
      </c>
      <c r="AE47">
        <f>AD47+'Grid_Incoming'!AE47-'Grid_Requirement'!AE47</f>
        <v/>
      </c>
      <c r="AF47">
        <f>AE47+'Grid_Incoming'!AF47-'Grid_Requirement'!AF47</f>
        <v/>
      </c>
      <c r="AG47">
        <f>AF47+'Grid_Incoming'!AG47-'Grid_Requirement'!AG47</f>
        <v/>
      </c>
      <c r="AH47">
        <f>AG47+'Grid_Incoming'!AH47-'Grid_Requirement'!AH47</f>
        <v/>
      </c>
      <c r="AI47">
        <f>AH47+'Grid_Incoming'!AI47-'Grid_Requirement'!AI47</f>
        <v/>
      </c>
      <c r="AJ47">
        <f>AI47+'Grid_Incoming'!AJ47-'Grid_Requirement'!AJ47</f>
        <v/>
      </c>
      <c r="AK47">
        <f>AJ47+'Grid_Incoming'!AK47-'Grid_Requirement'!AK47</f>
        <v/>
      </c>
      <c r="AL47">
        <f>AK47+'Grid_Incoming'!AL47-'Grid_Requirement'!AL47</f>
        <v/>
      </c>
      <c r="AM47">
        <f>AL47+'Grid_Incoming'!AM47-'Grid_Requirement'!AM47</f>
        <v/>
      </c>
      <c r="AN47">
        <f>AM47+'Grid_Incoming'!AN47-'Grid_Requirement'!AN47</f>
        <v/>
      </c>
      <c r="AO47">
        <f>AN47+'Grid_Incoming'!AO47-'Grid_Requirement'!AO47</f>
        <v/>
      </c>
      <c r="AP47">
        <f>AO47+'Grid_Incoming'!AP47-'Grid_Requirement'!AP47</f>
        <v/>
      </c>
      <c r="AQ47">
        <f>AP47+'Grid_Incoming'!AQ47-'Grid_Requirement'!AQ47</f>
        <v/>
      </c>
      <c r="AR47">
        <f>AQ47+'Grid_Incoming'!AR47-'Grid_Requirement'!AR47</f>
        <v/>
      </c>
      <c r="AS47">
        <f>AR47+'Grid_Incoming'!AS47-'Grid_Requirement'!AS47</f>
        <v/>
      </c>
      <c r="AT47">
        <f>AS47+'Grid_Incoming'!AT47-'Grid_Requirement'!AT47</f>
        <v/>
      </c>
      <c r="AU47">
        <f>AT47+'Grid_Incoming'!AU47-'Grid_Requirement'!AU47</f>
        <v/>
      </c>
      <c r="AV47">
        <f>AU47+'Grid_Incoming'!AV47-'Grid_Requirement'!AV47</f>
        <v/>
      </c>
      <c r="AW47">
        <f>AV47+'Grid_Incoming'!AW47-'Grid_Requirement'!AW47</f>
        <v/>
      </c>
      <c r="AX47">
        <f>AW47+'Grid_Incoming'!AX47-'Grid_Requirement'!AX47</f>
        <v/>
      </c>
      <c r="AY47">
        <f>AX47+'Grid_Incoming'!AY47-'Grid_Requirement'!AY47</f>
        <v/>
      </c>
      <c r="AZ47">
        <f>AY47+'Grid_Incoming'!AZ47-'Grid_Requirement'!AZ47</f>
        <v/>
      </c>
      <c r="BA47">
        <f>AZ47+'Grid_Incoming'!BA47-'Grid_Requirement'!BA47</f>
        <v/>
      </c>
      <c r="BB47">
        <f>BA47+'Grid_Incoming'!BB47-'Grid_Requirement'!BB47</f>
        <v/>
      </c>
      <c r="BC47">
        <f>BB47+'Grid_Incoming'!BC47-'Grid_Requirement'!BC47</f>
        <v/>
      </c>
      <c r="BD47">
        <f>BC47+'Grid_Incoming'!BD47-'Grid_Requirement'!BD47</f>
        <v/>
      </c>
      <c r="BE47">
        <f>BD47+'Grid_Incoming'!BE47-'Grid_Requirement'!BE47</f>
        <v/>
      </c>
      <c r="BF47">
        <f>BE47+'Grid_Incoming'!BF47-'Grid_Requirement'!BF47</f>
        <v/>
      </c>
      <c r="BG47">
        <f>BF47+'Grid_Incoming'!BG47-'Grid_Requirement'!BG47</f>
        <v/>
      </c>
      <c r="BH47">
        <f>BG47+'Grid_Incoming'!BH47-'Grid_Requirement'!BH47</f>
        <v/>
      </c>
      <c r="BI47">
        <f>BH47+'Grid_Incoming'!BI47-'Grid_Requirement'!BI47</f>
        <v/>
      </c>
      <c r="BJ47">
        <f>BI47+'Grid_Incoming'!BJ47-'Grid_Requirement'!BJ47</f>
        <v/>
      </c>
      <c r="BK47">
        <f>BJ47+'Grid_Incoming'!BK47-'Grid_Requirement'!BK47</f>
        <v/>
      </c>
      <c r="BL47">
        <f>BK47+'Grid_Incoming'!BL47-'Grid_Requirement'!BL47</f>
        <v/>
      </c>
      <c r="BM47">
        <f>BL47+'Grid_Incoming'!BM47-'Grid_Requirement'!BM47</f>
        <v/>
      </c>
      <c r="BN47">
        <f>BM47+'Grid_Incoming'!BN47-'Grid_Requirement'!BN47</f>
        <v/>
      </c>
      <c r="BO47">
        <f>BN47+'Grid_Incoming'!BO47-'Grid_Requirement'!BO47</f>
        <v/>
      </c>
      <c r="BP47">
        <f>BO47+'Grid_Incoming'!BP47-'Grid_Requirement'!BP47</f>
        <v/>
      </c>
      <c r="BQ47">
        <f>BP47+'Grid_Incoming'!BQ47-'Grid_Requirement'!BQ47</f>
        <v/>
      </c>
      <c r="BR47">
        <f>BQ47+'Grid_Incoming'!BR47-'Grid_Requirement'!BR47</f>
        <v/>
      </c>
      <c r="BS47">
        <f>BR47+'Grid_Incoming'!BS47-'Grid_Requirement'!BS47</f>
        <v/>
      </c>
      <c r="BT47">
        <f>BS47+'Grid_Incoming'!BT47-'Grid_Requirement'!BT47</f>
        <v/>
      </c>
      <c r="BU47">
        <f>BT47+'Grid_Incoming'!BU47-'Grid_Requirement'!BU47</f>
        <v/>
      </c>
      <c r="BV47">
        <f>BU47+'Grid_Incoming'!BV47-'Grid_Requirement'!BV47</f>
        <v/>
      </c>
      <c r="BW47">
        <f>BV47+'Grid_Incoming'!BW47-'Grid_Requirement'!BW47</f>
        <v/>
      </c>
      <c r="BX47">
        <f>BW47+'Grid_Incoming'!BX47-'Grid_Requirement'!BX47</f>
        <v/>
      </c>
      <c r="BY47">
        <f>BX47+'Grid_Incoming'!BY47-'Grid_Requirement'!BY47</f>
        <v/>
      </c>
      <c r="BZ47">
        <f>BY47+'Grid_Incoming'!BZ47-'Grid_Requirement'!BZ47</f>
        <v/>
      </c>
      <c r="CA47">
        <f>BZ47+'Grid_Incoming'!CA47-'Grid_Requirement'!CA47</f>
        <v/>
      </c>
      <c r="CB47">
        <f>CA47+'Grid_Incoming'!CB47-'Grid_Requirement'!CB47</f>
        <v/>
      </c>
      <c r="CC47">
        <f>CB47+'Grid_Incoming'!CC47-'Grid_Requirement'!CC47</f>
        <v/>
      </c>
      <c r="CD47">
        <f>CC47+'Grid_Incoming'!CD47-'Grid_Requirement'!CD47</f>
        <v/>
      </c>
      <c r="CE47">
        <f>CD47+'Grid_Incoming'!CE47-'Grid_Requirement'!CE47</f>
        <v/>
      </c>
      <c r="CF47">
        <f>CE47+'Grid_Incoming'!CF47-'Grid_Requirement'!CF47</f>
        <v/>
      </c>
      <c r="CG47">
        <f>CF47+'Grid_Incoming'!CG47-'Grid_Requirement'!CG47</f>
        <v/>
      </c>
      <c r="CH47">
        <f>CG47+'Grid_Incoming'!CH47-'Grid_Requirement'!CH47</f>
        <v/>
      </c>
      <c r="CI47">
        <f>CH47+'Grid_Incoming'!CI47-'Grid_Requirement'!CI47</f>
        <v/>
      </c>
      <c r="CJ47">
        <f>CI47+'Grid_Incoming'!CJ47-'Grid_Requirement'!CJ47</f>
        <v/>
      </c>
      <c r="CK47">
        <f>CJ47+'Grid_Incoming'!CK47-'Grid_Requirement'!CK47</f>
        <v/>
      </c>
      <c r="CL47">
        <f>CK47+'Grid_Incoming'!CL47-'Grid_Requirement'!CL47</f>
        <v/>
      </c>
      <c r="CM47">
        <f>CL47+'Grid_Incoming'!CM47-'Grid_Requirement'!CM47</f>
        <v/>
      </c>
      <c r="CN47">
        <f>CM47+'Grid_Incoming'!CN47-'Grid_Requirement'!CN47</f>
        <v/>
      </c>
      <c r="CO47">
        <f>CN47+'Grid_Incoming'!CO47-'Grid_Requirement'!CO47</f>
        <v/>
      </c>
      <c r="CP47">
        <f>CO47+'Grid_Incoming'!CP47-'Grid_Requirement'!CP47</f>
        <v/>
      </c>
      <c r="CQ47">
        <f>CP47+'Grid_Incoming'!CQ47-'Grid_Requirement'!CQ47</f>
        <v/>
      </c>
      <c r="CR47">
        <f>CQ47+'Grid_Incoming'!CR47-'Grid_Requirement'!CR47</f>
        <v/>
      </c>
      <c r="CS47">
        <f>CR47+'Grid_Incoming'!CS47-'Grid_Requirement'!CS47</f>
        <v/>
      </c>
      <c r="CT47">
        <f>CS47+'Grid_Incoming'!CT47-'Grid_Requirement'!CT47</f>
        <v/>
      </c>
      <c r="CU47">
        <f>CT47+'Grid_Incoming'!CU47-'Grid_Requirement'!CU47</f>
        <v/>
      </c>
      <c r="CV47">
        <f>CU47+'Grid_Incoming'!CV47-'Grid_Requirement'!CV47</f>
        <v/>
      </c>
      <c r="CW47">
        <f>CV47+'Grid_Incoming'!CW47-'Grid_Requirement'!CW47</f>
        <v/>
      </c>
      <c r="CX47">
        <f>CW47+'Grid_Incoming'!CX47-'Grid_Requirement'!CX47</f>
        <v/>
      </c>
      <c r="CY47">
        <f>CX47+'Grid_Incoming'!CY47-'Grid_Requirement'!CY47</f>
        <v/>
      </c>
      <c r="CZ47">
        <f>CY47+'Grid_Incoming'!CZ47-'Grid_Requirement'!CZ47</f>
        <v/>
      </c>
      <c r="DA47">
        <f>CZ47+'Grid_Incoming'!DA47-'Grid_Requirement'!DA47</f>
        <v/>
      </c>
    </row>
    <row r="48">
      <c r="A48" t="inlineStr">
        <is>
          <t>CHEM-1010</t>
        </is>
      </c>
      <c r="B48">
        <f>IFERROR(INDEX(T_OpeningStock[Opening_Qty],MATCH($A48,T_OpeningStock[Part Name],0)),0)+'Grid_Incoming'!B48-'Grid_Requirement'!B48</f>
        <v/>
      </c>
      <c r="C48">
        <f>B48+'Grid_Incoming'!C48-'Grid_Requirement'!C48</f>
        <v/>
      </c>
      <c r="D48">
        <f>C48+'Grid_Incoming'!D48-'Grid_Requirement'!D48</f>
        <v/>
      </c>
      <c r="E48">
        <f>D48+'Grid_Incoming'!E48-'Grid_Requirement'!E48</f>
        <v/>
      </c>
      <c r="F48">
        <f>E48+'Grid_Incoming'!F48-'Grid_Requirement'!F48</f>
        <v/>
      </c>
      <c r="G48">
        <f>F48+'Grid_Incoming'!G48-'Grid_Requirement'!G48</f>
        <v/>
      </c>
      <c r="H48">
        <f>G48+'Grid_Incoming'!H48-'Grid_Requirement'!H48</f>
        <v/>
      </c>
      <c r="I48">
        <f>H48+'Grid_Incoming'!I48-'Grid_Requirement'!I48</f>
        <v/>
      </c>
      <c r="J48">
        <f>I48+'Grid_Incoming'!J48-'Grid_Requirement'!J48</f>
        <v/>
      </c>
      <c r="K48">
        <f>J48+'Grid_Incoming'!K48-'Grid_Requirement'!K48</f>
        <v/>
      </c>
      <c r="L48">
        <f>K48+'Grid_Incoming'!L48-'Grid_Requirement'!L48</f>
        <v/>
      </c>
      <c r="M48">
        <f>L48+'Grid_Incoming'!M48-'Grid_Requirement'!M48</f>
        <v/>
      </c>
      <c r="N48">
        <f>M48+'Grid_Incoming'!N48-'Grid_Requirement'!N48</f>
        <v/>
      </c>
      <c r="O48">
        <f>N48+'Grid_Incoming'!O48-'Grid_Requirement'!O48</f>
        <v/>
      </c>
      <c r="P48">
        <f>O48+'Grid_Incoming'!P48-'Grid_Requirement'!P48</f>
        <v/>
      </c>
      <c r="Q48">
        <f>P48+'Grid_Incoming'!Q48-'Grid_Requirement'!Q48</f>
        <v/>
      </c>
      <c r="R48">
        <f>Q48+'Grid_Incoming'!R48-'Grid_Requirement'!R48</f>
        <v/>
      </c>
      <c r="S48">
        <f>R48+'Grid_Incoming'!S48-'Grid_Requirement'!S48</f>
        <v/>
      </c>
      <c r="T48">
        <f>S48+'Grid_Incoming'!T48-'Grid_Requirement'!T48</f>
        <v/>
      </c>
      <c r="U48">
        <f>T48+'Grid_Incoming'!U48-'Grid_Requirement'!U48</f>
        <v/>
      </c>
      <c r="V48">
        <f>U48+'Grid_Incoming'!V48-'Grid_Requirement'!V48</f>
        <v/>
      </c>
      <c r="W48">
        <f>V48+'Grid_Incoming'!W48-'Grid_Requirement'!W48</f>
        <v/>
      </c>
      <c r="X48">
        <f>W48+'Grid_Incoming'!X48-'Grid_Requirement'!X48</f>
        <v/>
      </c>
      <c r="Y48">
        <f>X48+'Grid_Incoming'!Y48-'Grid_Requirement'!Y48</f>
        <v/>
      </c>
      <c r="Z48">
        <f>Y48+'Grid_Incoming'!Z48-'Grid_Requirement'!Z48</f>
        <v/>
      </c>
      <c r="AA48">
        <f>Z48+'Grid_Incoming'!AA48-'Grid_Requirement'!AA48</f>
        <v/>
      </c>
      <c r="AB48">
        <f>AA48+'Grid_Incoming'!AB48-'Grid_Requirement'!AB48</f>
        <v/>
      </c>
      <c r="AC48">
        <f>AB48+'Grid_Incoming'!AC48-'Grid_Requirement'!AC48</f>
        <v/>
      </c>
      <c r="AD48">
        <f>AC48+'Grid_Incoming'!AD48-'Grid_Requirement'!AD48</f>
        <v/>
      </c>
      <c r="AE48">
        <f>AD48+'Grid_Incoming'!AE48-'Grid_Requirement'!AE48</f>
        <v/>
      </c>
      <c r="AF48">
        <f>AE48+'Grid_Incoming'!AF48-'Grid_Requirement'!AF48</f>
        <v/>
      </c>
      <c r="AG48">
        <f>AF48+'Grid_Incoming'!AG48-'Grid_Requirement'!AG48</f>
        <v/>
      </c>
      <c r="AH48">
        <f>AG48+'Grid_Incoming'!AH48-'Grid_Requirement'!AH48</f>
        <v/>
      </c>
      <c r="AI48">
        <f>AH48+'Grid_Incoming'!AI48-'Grid_Requirement'!AI48</f>
        <v/>
      </c>
      <c r="AJ48">
        <f>AI48+'Grid_Incoming'!AJ48-'Grid_Requirement'!AJ48</f>
        <v/>
      </c>
      <c r="AK48">
        <f>AJ48+'Grid_Incoming'!AK48-'Grid_Requirement'!AK48</f>
        <v/>
      </c>
      <c r="AL48">
        <f>AK48+'Grid_Incoming'!AL48-'Grid_Requirement'!AL48</f>
        <v/>
      </c>
      <c r="AM48">
        <f>AL48+'Grid_Incoming'!AM48-'Grid_Requirement'!AM48</f>
        <v/>
      </c>
      <c r="AN48">
        <f>AM48+'Grid_Incoming'!AN48-'Grid_Requirement'!AN48</f>
        <v/>
      </c>
      <c r="AO48">
        <f>AN48+'Grid_Incoming'!AO48-'Grid_Requirement'!AO48</f>
        <v/>
      </c>
      <c r="AP48">
        <f>AO48+'Grid_Incoming'!AP48-'Grid_Requirement'!AP48</f>
        <v/>
      </c>
      <c r="AQ48">
        <f>AP48+'Grid_Incoming'!AQ48-'Grid_Requirement'!AQ48</f>
        <v/>
      </c>
      <c r="AR48">
        <f>AQ48+'Grid_Incoming'!AR48-'Grid_Requirement'!AR48</f>
        <v/>
      </c>
      <c r="AS48">
        <f>AR48+'Grid_Incoming'!AS48-'Grid_Requirement'!AS48</f>
        <v/>
      </c>
      <c r="AT48">
        <f>AS48+'Grid_Incoming'!AT48-'Grid_Requirement'!AT48</f>
        <v/>
      </c>
      <c r="AU48">
        <f>AT48+'Grid_Incoming'!AU48-'Grid_Requirement'!AU48</f>
        <v/>
      </c>
      <c r="AV48">
        <f>AU48+'Grid_Incoming'!AV48-'Grid_Requirement'!AV48</f>
        <v/>
      </c>
      <c r="AW48">
        <f>AV48+'Grid_Incoming'!AW48-'Grid_Requirement'!AW48</f>
        <v/>
      </c>
      <c r="AX48">
        <f>AW48+'Grid_Incoming'!AX48-'Grid_Requirement'!AX48</f>
        <v/>
      </c>
      <c r="AY48">
        <f>AX48+'Grid_Incoming'!AY48-'Grid_Requirement'!AY48</f>
        <v/>
      </c>
      <c r="AZ48">
        <f>AY48+'Grid_Incoming'!AZ48-'Grid_Requirement'!AZ48</f>
        <v/>
      </c>
      <c r="BA48">
        <f>AZ48+'Grid_Incoming'!BA48-'Grid_Requirement'!BA48</f>
        <v/>
      </c>
      <c r="BB48">
        <f>BA48+'Grid_Incoming'!BB48-'Grid_Requirement'!BB48</f>
        <v/>
      </c>
      <c r="BC48">
        <f>BB48+'Grid_Incoming'!BC48-'Grid_Requirement'!BC48</f>
        <v/>
      </c>
      <c r="BD48">
        <f>BC48+'Grid_Incoming'!BD48-'Grid_Requirement'!BD48</f>
        <v/>
      </c>
      <c r="BE48">
        <f>BD48+'Grid_Incoming'!BE48-'Grid_Requirement'!BE48</f>
        <v/>
      </c>
      <c r="BF48">
        <f>BE48+'Grid_Incoming'!BF48-'Grid_Requirement'!BF48</f>
        <v/>
      </c>
      <c r="BG48">
        <f>BF48+'Grid_Incoming'!BG48-'Grid_Requirement'!BG48</f>
        <v/>
      </c>
      <c r="BH48">
        <f>BG48+'Grid_Incoming'!BH48-'Grid_Requirement'!BH48</f>
        <v/>
      </c>
      <c r="BI48">
        <f>BH48+'Grid_Incoming'!BI48-'Grid_Requirement'!BI48</f>
        <v/>
      </c>
      <c r="BJ48">
        <f>BI48+'Grid_Incoming'!BJ48-'Grid_Requirement'!BJ48</f>
        <v/>
      </c>
      <c r="BK48">
        <f>BJ48+'Grid_Incoming'!BK48-'Grid_Requirement'!BK48</f>
        <v/>
      </c>
      <c r="BL48">
        <f>BK48+'Grid_Incoming'!BL48-'Grid_Requirement'!BL48</f>
        <v/>
      </c>
      <c r="BM48">
        <f>BL48+'Grid_Incoming'!BM48-'Grid_Requirement'!BM48</f>
        <v/>
      </c>
      <c r="BN48">
        <f>BM48+'Grid_Incoming'!BN48-'Grid_Requirement'!BN48</f>
        <v/>
      </c>
      <c r="BO48">
        <f>BN48+'Grid_Incoming'!BO48-'Grid_Requirement'!BO48</f>
        <v/>
      </c>
      <c r="BP48">
        <f>BO48+'Grid_Incoming'!BP48-'Grid_Requirement'!BP48</f>
        <v/>
      </c>
      <c r="BQ48">
        <f>BP48+'Grid_Incoming'!BQ48-'Grid_Requirement'!BQ48</f>
        <v/>
      </c>
      <c r="BR48">
        <f>BQ48+'Grid_Incoming'!BR48-'Grid_Requirement'!BR48</f>
        <v/>
      </c>
      <c r="BS48">
        <f>BR48+'Grid_Incoming'!BS48-'Grid_Requirement'!BS48</f>
        <v/>
      </c>
      <c r="BT48">
        <f>BS48+'Grid_Incoming'!BT48-'Grid_Requirement'!BT48</f>
        <v/>
      </c>
      <c r="BU48">
        <f>BT48+'Grid_Incoming'!BU48-'Grid_Requirement'!BU48</f>
        <v/>
      </c>
      <c r="BV48">
        <f>BU48+'Grid_Incoming'!BV48-'Grid_Requirement'!BV48</f>
        <v/>
      </c>
      <c r="BW48">
        <f>BV48+'Grid_Incoming'!BW48-'Grid_Requirement'!BW48</f>
        <v/>
      </c>
      <c r="BX48">
        <f>BW48+'Grid_Incoming'!BX48-'Grid_Requirement'!BX48</f>
        <v/>
      </c>
      <c r="BY48">
        <f>BX48+'Grid_Incoming'!BY48-'Grid_Requirement'!BY48</f>
        <v/>
      </c>
      <c r="BZ48">
        <f>BY48+'Grid_Incoming'!BZ48-'Grid_Requirement'!BZ48</f>
        <v/>
      </c>
      <c r="CA48">
        <f>BZ48+'Grid_Incoming'!CA48-'Grid_Requirement'!CA48</f>
        <v/>
      </c>
      <c r="CB48">
        <f>CA48+'Grid_Incoming'!CB48-'Grid_Requirement'!CB48</f>
        <v/>
      </c>
      <c r="CC48">
        <f>CB48+'Grid_Incoming'!CC48-'Grid_Requirement'!CC48</f>
        <v/>
      </c>
      <c r="CD48">
        <f>CC48+'Grid_Incoming'!CD48-'Grid_Requirement'!CD48</f>
        <v/>
      </c>
      <c r="CE48">
        <f>CD48+'Grid_Incoming'!CE48-'Grid_Requirement'!CE48</f>
        <v/>
      </c>
      <c r="CF48">
        <f>CE48+'Grid_Incoming'!CF48-'Grid_Requirement'!CF48</f>
        <v/>
      </c>
      <c r="CG48">
        <f>CF48+'Grid_Incoming'!CG48-'Grid_Requirement'!CG48</f>
        <v/>
      </c>
      <c r="CH48">
        <f>CG48+'Grid_Incoming'!CH48-'Grid_Requirement'!CH48</f>
        <v/>
      </c>
      <c r="CI48">
        <f>CH48+'Grid_Incoming'!CI48-'Grid_Requirement'!CI48</f>
        <v/>
      </c>
      <c r="CJ48">
        <f>CI48+'Grid_Incoming'!CJ48-'Grid_Requirement'!CJ48</f>
        <v/>
      </c>
      <c r="CK48">
        <f>CJ48+'Grid_Incoming'!CK48-'Grid_Requirement'!CK48</f>
        <v/>
      </c>
      <c r="CL48">
        <f>CK48+'Grid_Incoming'!CL48-'Grid_Requirement'!CL48</f>
        <v/>
      </c>
      <c r="CM48">
        <f>CL48+'Grid_Incoming'!CM48-'Grid_Requirement'!CM48</f>
        <v/>
      </c>
      <c r="CN48">
        <f>CM48+'Grid_Incoming'!CN48-'Grid_Requirement'!CN48</f>
        <v/>
      </c>
      <c r="CO48">
        <f>CN48+'Grid_Incoming'!CO48-'Grid_Requirement'!CO48</f>
        <v/>
      </c>
      <c r="CP48">
        <f>CO48+'Grid_Incoming'!CP48-'Grid_Requirement'!CP48</f>
        <v/>
      </c>
      <c r="CQ48">
        <f>CP48+'Grid_Incoming'!CQ48-'Grid_Requirement'!CQ48</f>
        <v/>
      </c>
      <c r="CR48">
        <f>CQ48+'Grid_Incoming'!CR48-'Grid_Requirement'!CR48</f>
        <v/>
      </c>
      <c r="CS48">
        <f>CR48+'Grid_Incoming'!CS48-'Grid_Requirement'!CS48</f>
        <v/>
      </c>
      <c r="CT48">
        <f>CS48+'Grid_Incoming'!CT48-'Grid_Requirement'!CT48</f>
        <v/>
      </c>
      <c r="CU48">
        <f>CT48+'Grid_Incoming'!CU48-'Grid_Requirement'!CU48</f>
        <v/>
      </c>
      <c r="CV48">
        <f>CU48+'Grid_Incoming'!CV48-'Grid_Requirement'!CV48</f>
        <v/>
      </c>
      <c r="CW48">
        <f>CV48+'Grid_Incoming'!CW48-'Grid_Requirement'!CW48</f>
        <v/>
      </c>
      <c r="CX48">
        <f>CW48+'Grid_Incoming'!CX48-'Grid_Requirement'!CX48</f>
        <v/>
      </c>
      <c r="CY48">
        <f>CX48+'Grid_Incoming'!CY48-'Grid_Requirement'!CY48</f>
        <v/>
      </c>
      <c r="CZ48">
        <f>CY48+'Grid_Incoming'!CZ48-'Grid_Requirement'!CZ48</f>
        <v/>
      </c>
      <c r="DA48">
        <f>CZ48+'Grid_Incoming'!DA48-'Grid_Requirement'!DA48</f>
        <v/>
      </c>
    </row>
    <row r="49">
      <c r="A49" t="inlineStr">
        <is>
          <t>CHEM-1760</t>
        </is>
      </c>
      <c r="B49">
        <f>IFERROR(INDEX(T_OpeningStock[Opening_Qty],MATCH($A49,T_OpeningStock[Part Name],0)),0)+'Grid_Incoming'!B49-'Grid_Requirement'!B49</f>
        <v/>
      </c>
      <c r="C49">
        <f>B49+'Grid_Incoming'!C49-'Grid_Requirement'!C49</f>
        <v/>
      </c>
      <c r="D49">
        <f>C49+'Grid_Incoming'!D49-'Grid_Requirement'!D49</f>
        <v/>
      </c>
      <c r="E49">
        <f>D49+'Grid_Incoming'!E49-'Grid_Requirement'!E49</f>
        <v/>
      </c>
      <c r="F49">
        <f>E49+'Grid_Incoming'!F49-'Grid_Requirement'!F49</f>
        <v/>
      </c>
      <c r="G49">
        <f>F49+'Grid_Incoming'!G49-'Grid_Requirement'!G49</f>
        <v/>
      </c>
      <c r="H49">
        <f>G49+'Grid_Incoming'!H49-'Grid_Requirement'!H49</f>
        <v/>
      </c>
      <c r="I49">
        <f>H49+'Grid_Incoming'!I49-'Grid_Requirement'!I49</f>
        <v/>
      </c>
      <c r="J49">
        <f>I49+'Grid_Incoming'!J49-'Grid_Requirement'!J49</f>
        <v/>
      </c>
      <c r="K49">
        <f>J49+'Grid_Incoming'!K49-'Grid_Requirement'!K49</f>
        <v/>
      </c>
      <c r="L49">
        <f>K49+'Grid_Incoming'!L49-'Grid_Requirement'!L49</f>
        <v/>
      </c>
      <c r="M49">
        <f>L49+'Grid_Incoming'!M49-'Grid_Requirement'!M49</f>
        <v/>
      </c>
      <c r="N49">
        <f>M49+'Grid_Incoming'!N49-'Grid_Requirement'!N49</f>
        <v/>
      </c>
      <c r="O49">
        <f>N49+'Grid_Incoming'!O49-'Grid_Requirement'!O49</f>
        <v/>
      </c>
      <c r="P49">
        <f>O49+'Grid_Incoming'!P49-'Grid_Requirement'!P49</f>
        <v/>
      </c>
      <c r="Q49">
        <f>P49+'Grid_Incoming'!Q49-'Grid_Requirement'!Q49</f>
        <v/>
      </c>
      <c r="R49">
        <f>Q49+'Grid_Incoming'!R49-'Grid_Requirement'!R49</f>
        <v/>
      </c>
      <c r="S49">
        <f>R49+'Grid_Incoming'!S49-'Grid_Requirement'!S49</f>
        <v/>
      </c>
      <c r="T49">
        <f>S49+'Grid_Incoming'!T49-'Grid_Requirement'!T49</f>
        <v/>
      </c>
      <c r="U49">
        <f>T49+'Grid_Incoming'!U49-'Grid_Requirement'!U49</f>
        <v/>
      </c>
      <c r="V49">
        <f>U49+'Grid_Incoming'!V49-'Grid_Requirement'!V49</f>
        <v/>
      </c>
      <c r="W49">
        <f>V49+'Grid_Incoming'!W49-'Grid_Requirement'!W49</f>
        <v/>
      </c>
      <c r="X49">
        <f>W49+'Grid_Incoming'!X49-'Grid_Requirement'!X49</f>
        <v/>
      </c>
      <c r="Y49">
        <f>X49+'Grid_Incoming'!Y49-'Grid_Requirement'!Y49</f>
        <v/>
      </c>
      <c r="Z49">
        <f>Y49+'Grid_Incoming'!Z49-'Grid_Requirement'!Z49</f>
        <v/>
      </c>
      <c r="AA49">
        <f>Z49+'Grid_Incoming'!AA49-'Grid_Requirement'!AA49</f>
        <v/>
      </c>
      <c r="AB49">
        <f>AA49+'Grid_Incoming'!AB49-'Grid_Requirement'!AB49</f>
        <v/>
      </c>
      <c r="AC49">
        <f>AB49+'Grid_Incoming'!AC49-'Grid_Requirement'!AC49</f>
        <v/>
      </c>
      <c r="AD49">
        <f>AC49+'Grid_Incoming'!AD49-'Grid_Requirement'!AD49</f>
        <v/>
      </c>
      <c r="AE49">
        <f>AD49+'Grid_Incoming'!AE49-'Grid_Requirement'!AE49</f>
        <v/>
      </c>
      <c r="AF49">
        <f>AE49+'Grid_Incoming'!AF49-'Grid_Requirement'!AF49</f>
        <v/>
      </c>
      <c r="AG49">
        <f>AF49+'Grid_Incoming'!AG49-'Grid_Requirement'!AG49</f>
        <v/>
      </c>
      <c r="AH49">
        <f>AG49+'Grid_Incoming'!AH49-'Grid_Requirement'!AH49</f>
        <v/>
      </c>
      <c r="AI49">
        <f>AH49+'Grid_Incoming'!AI49-'Grid_Requirement'!AI49</f>
        <v/>
      </c>
      <c r="AJ49">
        <f>AI49+'Grid_Incoming'!AJ49-'Grid_Requirement'!AJ49</f>
        <v/>
      </c>
      <c r="AK49">
        <f>AJ49+'Grid_Incoming'!AK49-'Grid_Requirement'!AK49</f>
        <v/>
      </c>
      <c r="AL49">
        <f>AK49+'Grid_Incoming'!AL49-'Grid_Requirement'!AL49</f>
        <v/>
      </c>
      <c r="AM49">
        <f>AL49+'Grid_Incoming'!AM49-'Grid_Requirement'!AM49</f>
        <v/>
      </c>
      <c r="AN49">
        <f>AM49+'Grid_Incoming'!AN49-'Grid_Requirement'!AN49</f>
        <v/>
      </c>
      <c r="AO49">
        <f>AN49+'Grid_Incoming'!AO49-'Grid_Requirement'!AO49</f>
        <v/>
      </c>
      <c r="AP49">
        <f>AO49+'Grid_Incoming'!AP49-'Grid_Requirement'!AP49</f>
        <v/>
      </c>
      <c r="AQ49">
        <f>AP49+'Grid_Incoming'!AQ49-'Grid_Requirement'!AQ49</f>
        <v/>
      </c>
      <c r="AR49">
        <f>AQ49+'Grid_Incoming'!AR49-'Grid_Requirement'!AR49</f>
        <v/>
      </c>
      <c r="AS49">
        <f>AR49+'Grid_Incoming'!AS49-'Grid_Requirement'!AS49</f>
        <v/>
      </c>
      <c r="AT49">
        <f>AS49+'Grid_Incoming'!AT49-'Grid_Requirement'!AT49</f>
        <v/>
      </c>
      <c r="AU49">
        <f>AT49+'Grid_Incoming'!AU49-'Grid_Requirement'!AU49</f>
        <v/>
      </c>
      <c r="AV49">
        <f>AU49+'Grid_Incoming'!AV49-'Grid_Requirement'!AV49</f>
        <v/>
      </c>
      <c r="AW49">
        <f>AV49+'Grid_Incoming'!AW49-'Grid_Requirement'!AW49</f>
        <v/>
      </c>
      <c r="AX49">
        <f>AW49+'Grid_Incoming'!AX49-'Grid_Requirement'!AX49</f>
        <v/>
      </c>
      <c r="AY49">
        <f>AX49+'Grid_Incoming'!AY49-'Grid_Requirement'!AY49</f>
        <v/>
      </c>
      <c r="AZ49">
        <f>AY49+'Grid_Incoming'!AZ49-'Grid_Requirement'!AZ49</f>
        <v/>
      </c>
      <c r="BA49">
        <f>AZ49+'Grid_Incoming'!BA49-'Grid_Requirement'!BA49</f>
        <v/>
      </c>
      <c r="BB49">
        <f>BA49+'Grid_Incoming'!BB49-'Grid_Requirement'!BB49</f>
        <v/>
      </c>
      <c r="BC49">
        <f>BB49+'Grid_Incoming'!BC49-'Grid_Requirement'!BC49</f>
        <v/>
      </c>
      <c r="BD49">
        <f>BC49+'Grid_Incoming'!BD49-'Grid_Requirement'!BD49</f>
        <v/>
      </c>
      <c r="BE49">
        <f>BD49+'Grid_Incoming'!BE49-'Grid_Requirement'!BE49</f>
        <v/>
      </c>
      <c r="BF49">
        <f>BE49+'Grid_Incoming'!BF49-'Grid_Requirement'!BF49</f>
        <v/>
      </c>
      <c r="BG49">
        <f>BF49+'Grid_Incoming'!BG49-'Grid_Requirement'!BG49</f>
        <v/>
      </c>
      <c r="BH49">
        <f>BG49+'Grid_Incoming'!BH49-'Grid_Requirement'!BH49</f>
        <v/>
      </c>
      <c r="BI49">
        <f>BH49+'Grid_Incoming'!BI49-'Grid_Requirement'!BI49</f>
        <v/>
      </c>
      <c r="BJ49">
        <f>BI49+'Grid_Incoming'!BJ49-'Grid_Requirement'!BJ49</f>
        <v/>
      </c>
      <c r="BK49">
        <f>BJ49+'Grid_Incoming'!BK49-'Grid_Requirement'!BK49</f>
        <v/>
      </c>
      <c r="BL49">
        <f>BK49+'Grid_Incoming'!BL49-'Grid_Requirement'!BL49</f>
        <v/>
      </c>
      <c r="BM49">
        <f>BL49+'Grid_Incoming'!BM49-'Grid_Requirement'!BM49</f>
        <v/>
      </c>
      <c r="BN49">
        <f>BM49+'Grid_Incoming'!BN49-'Grid_Requirement'!BN49</f>
        <v/>
      </c>
      <c r="BO49">
        <f>BN49+'Grid_Incoming'!BO49-'Grid_Requirement'!BO49</f>
        <v/>
      </c>
      <c r="BP49">
        <f>BO49+'Grid_Incoming'!BP49-'Grid_Requirement'!BP49</f>
        <v/>
      </c>
      <c r="BQ49">
        <f>BP49+'Grid_Incoming'!BQ49-'Grid_Requirement'!BQ49</f>
        <v/>
      </c>
      <c r="BR49">
        <f>BQ49+'Grid_Incoming'!BR49-'Grid_Requirement'!BR49</f>
        <v/>
      </c>
      <c r="BS49">
        <f>BR49+'Grid_Incoming'!BS49-'Grid_Requirement'!BS49</f>
        <v/>
      </c>
      <c r="BT49">
        <f>BS49+'Grid_Incoming'!BT49-'Grid_Requirement'!BT49</f>
        <v/>
      </c>
      <c r="BU49">
        <f>BT49+'Grid_Incoming'!BU49-'Grid_Requirement'!BU49</f>
        <v/>
      </c>
      <c r="BV49">
        <f>BU49+'Grid_Incoming'!BV49-'Grid_Requirement'!BV49</f>
        <v/>
      </c>
      <c r="BW49">
        <f>BV49+'Grid_Incoming'!BW49-'Grid_Requirement'!BW49</f>
        <v/>
      </c>
      <c r="BX49">
        <f>BW49+'Grid_Incoming'!BX49-'Grid_Requirement'!BX49</f>
        <v/>
      </c>
      <c r="BY49">
        <f>BX49+'Grid_Incoming'!BY49-'Grid_Requirement'!BY49</f>
        <v/>
      </c>
      <c r="BZ49">
        <f>BY49+'Grid_Incoming'!BZ49-'Grid_Requirement'!BZ49</f>
        <v/>
      </c>
      <c r="CA49">
        <f>BZ49+'Grid_Incoming'!CA49-'Grid_Requirement'!CA49</f>
        <v/>
      </c>
      <c r="CB49">
        <f>CA49+'Grid_Incoming'!CB49-'Grid_Requirement'!CB49</f>
        <v/>
      </c>
      <c r="CC49">
        <f>CB49+'Grid_Incoming'!CC49-'Grid_Requirement'!CC49</f>
        <v/>
      </c>
      <c r="CD49">
        <f>CC49+'Grid_Incoming'!CD49-'Grid_Requirement'!CD49</f>
        <v/>
      </c>
      <c r="CE49">
        <f>CD49+'Grid_Incoming'!CE49-'Grid_Requirement'!CE49</f>
        <v/>
      </c>
      <c r="CF49">
        <f>CE49+'Grid_Incoming'!CF49-'Grid_Requirement'!CF49</f>
        <v/>
      </c>
      <c r="CG49">
        <f>CF49+'Grid_Incoming'!CG49-'Grid_Requirement'!CG49</f>
        <v/>
      </c>
      <c r="CH49">
        <f>CG49+'Grid_Incoming'!CH49-'Grid_Requirement'!CH49</f>
        <v/>
      </c>
      <c r="CI49">
        <f>CH49+'Grid_Incoming'!CI49-'Grid_Requirement'!CI49</f>
        <v/>
      </c>
      <c r="CJ49">
        <f>CI49+'Grid_Incoming'!CJ49-'Grid_Requirement'!CJ49</f>
        <v/>
      </c>
      <c r="CK49">
        <f>CJ49+'Grid_Incoming'!CK49-'Grid_Requirement'!CK49</f>
        <v/>
      </c>
      <c r="CL49">
        <f>CK49+'Grid_Incoming'!CL49-'Grid_Requirement'!CL49</f>
        <v/>
      </c>
      <c r="CM49">
        <f>CL49+'Grid_Incoming'!CM49-'Grid_Requirement'!CM49</f>
        <v/>
      </c>
      <c r="CN49">
        <f>CM49+'Grid_Incoming'!CN49-'Grid_Requirement'!CN49</f>
        <v/>
      </c>
      <c r="CO49">
        <f>CN49+'Grid_Incoming'!CO49-'Grid_Requirement'!CO49</f>
        <v/>
      </c>
      <c r="CP49">
        <f>CO49+'Grid_Incoming'!CP49-'Grid_Requirement'!CP49</f>
        <v/>
      </c>
      <c r="CQ49">
        <f>CP49+'Grid_Incoming'!CQ49-'Grid_Requirement'!CQ49</f>
        <v/>
      </c>
      <c r="CR49">
        <f>CQ49+'Grid_Incoming'!CR49-'Grid_Requirement'!CR49</f>
        <v/>
      </c>
      <c r="CS49">
        <f>CR49+'Grid_Incoming'!CS49-'Grid_Requirement'!CS49</f>
        <v/>
      </c>
      <c r="CT49">
        <f>CS49+'Grid_Incoming'!CT49-'Grid_Requirement'!CT49</f>
        <v/>
      </c>
      <c r="CU49">
        <f>CT49+'Grid_Incoming'!CU49-'Grid_Requirement'!CU49</f>
        <v/>
      </c>
      <c r="CV49">
        <f>CU49+'Grid_Incoming'!CV49-'Grid_Requirement'!CV49</f>
        <v/>
      </c>
      <c r="CW49">
        <f>CV49+'Grid_Incoming'!CW49-'Grid_Requirement'!CW49</f>
        <v/>
      </c>
      <c r="CX49">
        <f>CW49+'Grid_Incoming'!CX49-'Grid_Requirement'!CX49</f>
        <v/>
      </c>
      <c r="CY49">
        <f>CX49+'Grid_Incoming'!CY49-'Grid_Requirement'!CY49</f>
        <v/>
      </c>
      <c r="CZ49">
        <f>CY49+'Grid_Incoming'!CZ49-'Grid_Requirement'!CZ49</f>
        <v/>
      </c>
      <c r="DA49">
        <f>CZ49+'Grid_Incoming'!DA49-'Grid_Requirement'!DA49</f>
        <v/>
      </c>
    </row>
    <row r="50">
      <c r="A50" t="inlineStr">
        <is>
          <t>CHEM-1700</t>
        </is>
      </c>
      <c r="B50">
        <f>IFERROR(INDEX(T_OpeningStock[Opening_Qty],MATCH($A50,T_OpeningStock[Part Name],0)),0)+'Grid_Incoming'!B50-'Grid_Requirement'!B50</f>
        <v/>
      </c>
      <c r="C50">
        <f>B50+'Grid_Incoming'!C50-'Grid_Requirement'!C50</f>
        <v/>
      </c>
      <c r="D50">
        <f>C50+'Grid_Incoming'!D50-'Grid_Requirement'!D50</f>
        <v/>
      </c>
      <c r="E50">
        <f>D50+'Grid_Incoming'!E50-'Grid_Requirement'!E50</f>
        <v/>
      </c>
      <c r="F50">
        <f>E50+'Grid_Incoming'!F50-'Grid_Requirement'!F50</f>
        <v/>
      </c>
      <c r="G50">
        <f>F50+'Grid_Incoming'!G50-'Grid_Requirement'!G50</f>
        <v/>
      </c>
      <c r="H50">
        <f>G50+'Grid_Incoming'!H50-'Grid_Requirement'!H50</f>
        <v/>
      </c>
      <c r="I50">
        <f>H50+'Grid_Incoming'!I50-'Grid_Requirement'!I50</f>
        <v/>
      </c>
      <c r="J50">
        <f>I50+'Grid_Incoming'!J50-'Grid_Requirement'!J50</f>
        <v/>
      </c>
      <c r="K50">
        <f>J50+'Grid_Incoming'!K50-'Grid_Requirement'!K50</f>
        <v/>
      </c>
      <c r="L50">
        <f>K50+'Grid_Incoming'!L50-'Grid_Requirement'!L50</f>
        <v/>
      </c>
      <c r="M50">
        <f>L50+'Grid_Incoming'!M50-'Grid_Requirement'!M50</f>
        <v/>
      </c>
      <c r="N50">
        <f>M50+'Grid_Incoming'!N50-'Grid_Requirement'!N50</f>
        <v/>
      </c>
      <c r="O50">
        <f>N50+'Grid_Incoming'!O50-'Grid_Requirement'!O50</f>
        <v/>
      </c>
      <c r="P50">
        <f>O50+'Grid_Incoming'!P50-'Grid_Requirement'!P50</f>
        <v/>
      </c>
      <c r="Q50">
        <f>P50+'Grid_Incoming'!Q50-'Grid_Requirement'!Q50</f>
        <v/>
      </c>
      <c r="R50">
        <f>Q50+'Grid_Incoming'!R50-'Grid_Requirement'!R50</f>
        <v/>
      </c>
      <c r="S50">
        <f>R50+'Grid_Incoming'!S50-'Grid_Requirement'!S50</f>
        <v/>
      </c>
      <c r="T50">
        <f>S50+'Grid_Incoming'!T50-'Grid_Requirement'!T50</f>
        <v/>
      </c>
      <c r="U50">
        <f>T50+'Grid_Incoming'!U50-'Grid_Requirement'!U50</f>
        <v/>
      </c>
      <c r="V50">
        <f>U50+'Grid_Incoming'!V50-'Grid_Requirement'!V50</f>
        <v/>
      </c>
      <c r="W50">
        <f>V50+'Grid_Incoming'!W50-'Grid_Requirement'!W50</f>
        <v/>
      </c>
      <c r="X50">
        <f>W50+'Grid_Incoming'!X50-'Grid_Requirement'!X50</f>
        <v/>
      </c>
      <c r="Y50">
        <f>X50+'Grid_Incoming'!Y50-'Grid_Requirement'!Y50</f>
        <v/>
      </c>
      <c r="Z50">
        <f>Y50+'Grid_Incoming'!Z50-'Grid_Requirement'!Z50</f>
        <v/>
      </c>
      <c r="AA50">
        <f>Z50+'Grid_Incoming'!AA50-'Grid_Requirement'!AA50</f>
        <v/>
      </c>
      <c r="AB50">
        <f>AA50+'Grid_Incoming'!AB50-'Grid_Requirement'!AB50</f>
        <v/>
      </c>
      <c r="AC50">
        <f>AB50+'Grid_Incoming'!AC50-'Grid_Requirement'!AC50</f>
        <v/>
      </c>
      <c r="AD50">
        <f>AC50+'Grid_Incoming'!AD50-'Grid_Requirement'!AD50</f>
        <v/>
      </c>
      <c r="AE50">
        <f>AD50+'Grid_Incoming'!AE50-'Grid_Requirement'!AE50</f>
        <v/>
      </c>
      <c r="AF50">
        <f>AE50+'Grid_Incoming'!AF50-'Grid_Requirement'!AF50</f>
        <v/>
      </c>
      <c r="AG50">
        <f>AF50+'Grid_Incoming'!AG50-'Grid_Requirement'!AG50</f>
        <v/>
      </c>
      <c r="AH50">
        <f>AG50+'Grid_Incoming'!AH50-'Grid_Requirement'!AH50</f>
        <v/>
      </c>
      <c r="AI50">
        <f>AH50+'Grid_Incoming'!AI50-'Grid_Requirement'!AI50</f>
        <v/>
      </c>
      <c r="AJ50">
        <f>AI50+'Grid_Incoming'!AJ50-'Grid_Requirement'!AJ50</f>
        <v/>
      </c>
      <c r="AK50">
        <f>AJ50+'Grid_Incoming'!AK50-'Grid_Requirement'!AK50</f>
        <v/>
      </c>
      <c r="AL50">
        <f>AK50+'Grid_Incoming'!AL50-'Grid_Requirement'!AL50</f>
        <v/>
      </c>
      <c r="AM50">
        <f>AL50+'Grid_Incoming'!AM50-'Grid_Requirement'!AM50</f>
        <v/>
      </c>
      <c r="AN50">
        <f>AM50+'Grid_Incoming'!AN50-'Grid_Requirement'!AN50</f>
        <v/>
      </c>
      <c r="AO50">
        <f>AN50+'Grid_Incoming'!AO50-'Grid_Requirement'!AO50</f>
        <v/>
      </c>
      <c r="AP50">
        <f>AO50+'Grid_Incoming'!AP50-'Grid_Requirement'!AP50</f>
        <v/>
      </c>
      <c r="AQ50">
        <f>AP50+'Grid_Incoming'!AQ50-'Grid_Requirement'!AQ50</f>
        <v/>
      </c>
      <c r="AR50">
        <f>AQ50+'Grid_Incoming'!AR50-'Grid_Requirement'!AR50</f>
        <v/>
      </c>
      <c r="AS50">
        <f>AR50+'Grid_Incoming'!AS50-'Grid_Requirement'!AS50</f>
        <v/>
      </c>
      <c r="AT50">
        <f>AS50+'Grid_Incoming'!AT50-'Grid_Requirement'!AT50</f>
        <v/>
      </c>
      <c r="AU50">
        <f>AT50+'Grid_Incoming'!AU50-'Grid_Requirement'!AU50</f>
        <v/>
      </c>
      <c r="AV50">
        <f>AU50+'Grid_Incoming'!AV50-'Grid_Requirement'!AV50</f>
        <v/>
      </c>
      <c r="AW50">
        <f>AV50+'Grid_Incoming'!AW50-'Grid_Requirement'!AW50</f>
        <v/>
      </c>
      <c r="AX50">
        <f>AW50+'Grid_Incoming'!AX50-'Grid_Requirement'!AX50</f>
        <v/>
      </c>
      <c r="AY50">
        <f>AX50+'Grid_Incoming'!AY50-'Grid_Requirement'!AY50</f>
        <v/>
      </c>
      <c r="AZ50">
        <f>AY50+'Grid_Incoming'!AZ50-'Grid_Requirement'!AZ50</f>
        <v/>
      </c>
      <c r="BA50">
        <f>AZ50+'Grid_Incoming'!BA50-'Grid_Requirement'!BA50</f>
        <v/>
      </c>
      <c r="BB50">
        <f>BA50+'Grid_Incoming'!BB50-'Grid_Requirement'!BB50</f>
        <v/>
      </c>
      <c r="BC50">
        <f>BB50+'Grid_Incoming'!BC50-'Grid_Requirement'!BC50</f>
        <v/>
      </c>
      <c r="BD50">
        <f>BC50+'Grid_Incoming'!BD50-'Grid_Requirement'!BD50</f>
        <v/>
      </c>
      <c r="BE50">
        <f>BD50+'Grid_Incoming'!BE50-'Grid_Requirement'!BE50</f>
        <v/>
      </c>
      <c r="BF50">
        <f>BE50+'Grid_Incoming'!BF50-'Grid_Requirement'!BF50</f>
        <v/>
      </c>
      <c r="BG50">
        <f>BF50+'Grid_Incoming'!BG50-'Grid_Requirement'!BG50</f>
        <v/>
      </c>
      <c r="BH50">
        <f>BG50+'Grid_Incoming'!BH50-'Grid_Requirement'!BH50</f>
        <v/>
      </c>
      <c r="BI50">
        <f>BH50+'Grid_Incoming'!BI50-'Grid_Requirement'!BI50</f>
        <v/>
      </c>
      <c r="BJ50">
        <f>BI50+'Grid_Incoming'!BJ50-'Grid_Requirement'!BJ50</f>
        <v/>
      </c>
      <c r="BK50">
        <f>BJ50+'Grid_Incoming'!BK50-'Grid_Requirement'!BK50</f>
        <v/>
      </c>
      <c r="BL50">
        <f>BK50+'Grid_Incoming'!BL50-'Grid_Requirement'!BL50</f>
        <v/>
      </c>
      <c r="BM50">
        <f>BL50+'Grid_Incoming'!BM50-'Grid_Requirement'!BM50</f>
        <v/>
      </c>
      <c r="BN50">
        <f>BM50+'Grid_Incoming'!BN50-'Grid_Requirement'!BN50</f>
        <v/>
      </c>
      <c r="BO50">
        <f>BN50+'Grid_Incoming'!BO50-'Grid_Requirement'!BO50</f>
        <v/>
      </c>
      <c r="BP50">
        <f>BO50+'Grid_Incoming'!BP50-'Grid_Requirement'!BP50</f>
        <v/>
      </c>
      <c r="BQ50">
        <f>BP50+'Grid_Incoming'!BQ50-'Grid_Requirement'!BQ50</f>
        <v/>
      </c>
      <c r="BR50">
        <f>BQ50+'Grid_Incoming'!BR50-'Grid_Requirement'!BR50</f>
        <v/>
      </c>
      <c r="BS50">
        <f>BR50+'Grid_Incoming'!BS50-'Grid_Requirement'!BS50</f>
        <v/>
      </c>
      <c r="BT50">
        <f>BS50+'Grid_Incoming'!BT50-'Grid_Requirement'!BT50</f>
        <v/>
      </c>
      <c r="BU50">
        <f>BT50+'Grid_Incoming'!BU50-'Grid_Requirement'!BU50</f>
        <v/>
      </c>
      <c r="BV50">
        <f>BU50+'Grid_Incoming'!BV50-'Grid_Requirement'!BV50</f>
        <v/>
      </c>
      <c r="BW50">
        <f>BV50+'Grid_Incoming'!BW50-'Grid_Requirement'!BW50</f>
        <v/>
      </c>
      <c r="BX50">
        <f>BW50+'Grid_Incoming'!BX50-'Grid_Requirement'!BX50</f>
        <v/>
      </c>
      <c r="BY50">
        <f>BX50+'Grid_Incoming'!BY50-'Grid_Requirement'!BY50</f>
        <v/>
      </c>
      <c r="BZ50">
        <f>BY50+'Grid_Incoming'!BZ50-'Grid_Requirement'!BZ50</f>
        <v/>
      </c>
      <c r="CA50">
        <f>BZ50+'Grid_Incoming'!CA50-'Grid_Requirement'!CA50</f>
        <v/>
      </c>
      <c r="CB50">
        <f>CA50+'Grid_Incoming'!CB50-'Grid_Requirement'!CB50</f>
        <v/>
      </c>
      <c r="CC50">
        <f>CB50+'Grid_Incoming'!CC50-'Grid_Requirement'!CC50</f>
        <v/>
      </c>
      <c r="CD50">
        <f>CC50+'Grid_Incoming'!CD50-'Grid_Requirement'!CD50</f>
        <v/>
      </c>
      <c r="CE50">
        <f>CD50+'Grid_Incoming'!CE50-'Grid_Requirement'!CE50</f>
        <v/>
      </c>
      <c r="CF50">
        <f>CE50+'Grid_Incoming'!CF50-'Grid_Requirement'!CF50</f>
        <v/>
      </c>
      <c r="CG50">
        <f>CF50+'Grid_Incoming'!CG50-'Grid_Requirement'!CG50</f>
        <v/>
      </c>
      <c r="CH50">
        <f>CG50+'Grid_Incoming'!CH50-'Grid_Requirement'!CH50</f>
        <v/>
      </c>
      <c r="CI50">
        <f>CH50+'Grid_Incoming'!CI50-'Grid_Requirement'!CI50</f>
        <v/>
      </c>
      <c r="CJ50">
        <f>CI50+'Grid_Incoming'!CJ50-'Grid_Requirement'!CJ50</f>
        <v/>
      </c>
      <c r="CK50">
        <f>CJ50+'Grid_Incoming'!CK50-'Grid_Requirement'!CK50</f>
        <v/>
      </c>
      <c r="CL50">
        <f>CK50+'Grid_Incoming'!CL50-'Grid_Requirement'!CL50</f>
        <v/>
      </c>
      <c r="CM50">
        <f>CL50+'Grid_Incoming'!CM50-'Grid_Requirement'!CM50</f>
        <v/>
      </c>
      <c r="CN50">
        <f>CM50+'Grid_Incoming'!CN50-'Grid_Requirement'!CN50</f>
        <v/>
      </c>
      <c r="CO50">
        <f>CN50+'Grid_Incoming'!CO50-'Grid_Requirement'!CO50</f>
        <v/>
      </c>
      <c r="CP50">
        <f>CO50+'Grid_Incoming'!CP50-'Grid_Requirement'!CP50</f>
        <v/>
      </c>
      <c r="CQ50">
        <f>CP50+'Grid_Incoming'!CQ50-'Grid_Requirement'!CQ50</f>
        <v/>
      </c>
      <c r="CR50">
        <f>CQ50+'Grid_Incoming'!CR50-'Grid_Requirement'!CR50</f>
        <v/>
      </c>
      <c r="CS50">
        <f>CR50+'Grid_Incoming'!CS50-'Grid_Requirement'!CS50</f>
        <v/>
      </c>
      <c r="CT50">
        <f>CS50+'Grid_Incoming'!CT50-'Grid_Requirement'!CT50</f>
        <v/>
      </c>
      <c r="CU50">
        <f>CT50+'Grid_Incoming'!CU50-'Grid_Requirement'!CU50</f>
        <v/>
      </c>
      <c r="CV50">
        <f>CU50+'Grid_Incoming'!CV50-'Grid_Requirement'!CV50</f>
        <v/>
      </c>
      <c r="CW50">
        <f>CV50+'Grid_Incoming'!CW50-'Grid_Requirement'!CW50</f>
        <v/>
      </c>
      <c r="CX50">
        <f>CW50+'Grid_Incoming'!CX50-'Grid_Requirement'!CX50</f>
        <v/>
      </c>
      <c r="CY50">
        <f>CX50+'Grid_Incoming'!CY50-'Grid_Requirement'!CY50</f>
        <v/>
      </c>
      <c r="CZ50">
        <f>CY50+'Grid_Incoming'!CZ50-'Grid_Requirement'!CZ50</f>
        <v/>
      </c>
      <c r="DA50">
        <f>CZ50+'Grid_Incoming'!DA50-'Grid_Requirement'!DA50</f>
        <v/>
      </c>
    </row>
    <row r="51">
      <c r="A51" t="inlineStr">
        <is>
          <t>CHEM-1850</t>
        </is>
      </c>
      <c r="B51">
        <f>IFERROR(INDEX(T_OpeningStock[Opening_Qty],MATCH($A51,T_OpeningStock[Part Name],0)),0)+'Grid_Incoming'!B51-'Grid_Requirement'!B51</f>
        <v/>
      </c>
      <c r="C51">
        <f>B51+'Grid_Incoming'!C51-'Grid_Requirement'!C51</f>
        <v/>
      </c>
      <c r="D51">
        <f>C51+'Grid_Incoming'!D51-'Grid_Requirement'!D51</f>
        <v/>
      </c>
      <c r="E51">
        <f>D51+'Grid_Incoming'!E51-'Grid_Requirement'!E51</f>
        <v/>
      </c>
      <c r="F51">
        <f>E51+'Grid_Incoming'!F51-'Grid_Requirement'!F51</f>
        <v/>
      </c>
      <c r="G51">
        <f>F51+'Grid_Incoming'!G51-'Grid_Requirement'!G51</f>
        <v/>
      </c>
      <c r="H51">
        <f>G51+'Grid_Incoming'!H51-'Grid_Requirement'!H51</f>
        <v/>
      </c>
      <c r="I51">
        <f>H51+'Grid_Incoming'!I51-'Grid_Requirement'!I51</f>
        <v/>
      </c>
      <c r="J51">
        <f>I51+'Grid_Incoming'!J51-'Grid_Requirement'!J51</f>
        <v/>
      </c>
      <c r="K51">
        <f>J51+'Grid_Incoming'!K51-'Grid_Requirement'!K51</f>
        <v/>
      </c>
      <c r="L51">
        <f>K51+'Grid_Incoming'!L51-'Grid_Requirement'!L51</f>
        <v/>
      </c>
      <c r="M51">
        <f>L51+'Grid_Incoming'!M51-'Grid_Requirement'!M51</f>
        <v/>
      </c>
      <c r="N51">
        <f>M51+'Grid_Incoming'!N51-'Grid_Requirement'!N51</f>
        <v/>
      </c>
      <c r="O51">
        <f>N51+'Grid_Incoming'!O51-'Grid_Requirement'!O51</f>
        <v/>
      </c>
      <c r="P51">
        <f>O51+'Grid_Incoming'!P51-'Grid_Requirement'!P51</f>
        <v/>
      </c>
      <c r="Q51">
        <f>P51+'Grid_Incoming'!Q51-'Grid_Requirement'!Q51</f>
        <v/>
      </c>
      <c r="R51">
        <f>Q51+'Grid_Incoming'!R51-'Grid_Requirement'!R51</f>
        <v/>
      </c>
      <c r="S51">
        <f>R51+'Grid_Incoming'!S51-'Grid_Requirement'!S51</f>
        <v/>
      </c>
      <c r="T51">
        <f>S51+'Grid_Incoming'!T51-'Grid_Requirement'!T51</f>
        <v/>
      </c>
      <c r="U51">
        <f>T51+'Grid_Incoming'!U51-'Grid_Requirement'!U51</f>
        <v/>
      </c>
      <c r="V51">
        <f>U51+'Grid_Incoming'!V51-'Grid_Requirement'!V51</f>
        <v/>
      </c>
      <c r="W51">
        <f>V51+'Grid_Incoming'!W51-'Grid_Requirement'!W51</f>
        <v/>
      </c>
      <c r="X51">
        <f>W51+'Grid_Incoming'!X51-'Grid_Requirement'!X51</f>
        <v/>
      </c>
      <c r="Y51">
        <f>X51+'Grid_Incoming'!Y51-'Grid_Requirement'!Y51</f>
        <v/>
      </c>
      <c r="Z51">
        <f>Y51+'Grid_Incoming'!Z51-'Grid_Requirement'!Z51</f>
        <v/>
      </c>
      <c r="AA51">
        <f>Z51+'Grid_Incoming'!AA51-'Grid_Requirement'!AA51</f>
        <v/>
      </c>
      <c r="AB51">
        <f>AA51+'Grid_Incoming'!AB51-'Grid_Requirement'!AB51</f>
        <v/>
      </c>
      <c r="AC51">
        <f>AB51+'Grid_Incoming'!AC51-'Grid_Requirement'!AC51</f>
        <v/>
      </c>
      <c r="AD51">
        <f>AC51+'Grid_Incoming'!AD51-'Grid_Requirement'!AD51</f>
        <v/>
      </c>
      <c r="AE51">
        <f>AD51+'Grid_Incoming'!AE51-'Grid_Requirement'!AE51</f>
        <v/>
      </c>
      <c r="AF51">
        <f>AE51+'Grid_Incoming'!AF51-'Grid_Requirement'!AF51</f>
        <v/>
      </c>
      <c r="AG51">
        <f>AF51+'Grid_Incoming'!AG51-'Grid_Requirement'!AG51</f>
        <v/>
      </c>
      <c r="AH51">
        <f>AG51+'Grid_Incoming'!AH51-'Grid_Requirement'!AH51</f>
        <v/>
      </c>
      <c r="AI51">
        <f>AH51+'Grid_Incoming'!AI51-'Grid_Requirement'!AI51</f>
        <v/>
      </c>
      <c r="AJ51">
        <f>AI51+'Grid_Incoming'!AJ51-'Grid_Requirement'!AJ51</f>
        <v/>
      </c>
      <c r="AK51">
        <f>AJ51+'Grid_Incoming'!AK51-'Grid_Requirement'!AK51</f>
        <v/>
      </c>
      <c r="AL51">
        <f>AK51+'Grid_Incoming'!AL51-'Grid_Requirement'!AL51</f>
        <v/>
      </c>
      <c r="AM51">
        <f>AL51+'Grid_Incoming'!AM51-'Grid_Requirement'!AM51</f>
        <v/>
      </c>
      <c r="AN51">
        <f>AM51+'Grid_Incoming'!AN51-'Grid_Requirement'!AN51</f>
        <v/>
      </c>
      <c r="AO51">
        <f>AN51+'Grid_Incoming'!AO51-'Grid_Requirement'!AO51</f>
        <v/>
      </c>
      <c r="AP51">
        <f>AO51+'Grid_Incoming'!AP51-'Grid_Requirement'!AP51</f>
        <v/>
      </c>
      <c r="AQ51">
        <f>AP51+'Grid_Incoming'!AQ51-'Grid_Requirement'!AQ51</f>
        <v/>
      </c>
      <c r="AR51">
        <f>AQ51+'Grid_Incoming'!AR51-'Grid_Requirement'!AR51</f>
        <v/>
      </c>
      <c r="AS51">
        <f>AR51+'Grid_Incoming'!AS51-'Grid_Requirement'!AS51</f>
        <v/>
      </c>
      <c r="AT51">
        <f>AS51+'Grid_Incoming'!AT51-'Grid_Requirement'!AT51</f>
        <v/>
      </c>
      <c r="AU51">
        <f>AT51+'Grid_Incoming'!AU51-'Grid_Requirement'!AU51</f>
        <v/>
      </c>
      <c r="AV51">
        <f>AU51+'Grid_Incoming'!AV51-'Grid_Requirement'!AV51</f>
        <v/>
      </c>
      <c r="AW51">
        <f>AV51+'Grid_Incoming'!AW51-'Grid_Requirement'!AW51</f>
        <v/>
      </c>
      <c r="AX51">
        <f>AW51+'Grid_Incoming'!AX51-'Grid_Requirement'!AX51</f>
        <v/>
      </c>
      <c r="AY51">
        <f>AX51+'Grid_Incoming'!AY51-'Grid_Requirement'!AY51</f>
        <v/>
      </c>
      <c r="AZ51">
        <f>AY51+'Grid_Incoming'!AZ51-'Grid_Requirement'!AZ51</f>
        <v/>
      </c>
      <c r="BA51">
        <f>AZ51+'Grid_Incoming'!BA51-'Grid_Requirement'!BA51</f>
        <v/>
      </c>
      <c r="BB51">
        <f>BA51+'Grid_Incoming'!BB51-'Grid_Requirement'!BB51</f>
        <v/>
      </c>
      <c r="BC51">
        <f>BB51+'Grid_Incoming'!BC51-'Grid_Requirement'!BC51</f>
        <v/>
      </c>
      <c r="BD51">
        <f>BC51+'Grid_Incoming'!BD51-'Grid_Requirement'!BD51</f>
        <v/>
      </c>
      <c r="BE51">
        <f>BD51+'Grid_Incoming'!BE51-'Grid_Requirement'!BE51</f>
        <v/>
      </c>
      <c r="BF51">
        <f>BE51+'Grid_Incoming'!BF51-'Grid_Requirement'!BF51</f>
        <v/>
      </c>
      <c r="BG51">
        <f>BF51+'Grid_Incoming'!BG51-'Grid_Requirement'!BG51</f>
        <v/>
      </c>
      <c r="BH51">
        <f>BG51+'Grid_Incoming'!BH51-'Grid_Requirement'!BH51</f>
        <v/>
      </c>
      <c r="BI51">
        <f>BH51+'Grid_Incoming'!BI51-'Grid_Requirement'!BI51</f>
        <v/>
      </c>
      <c r="BJ51">
        <f>BI51+'Grid_Incoming'!BJ51-'Grid_Requirement'!BJ51</f>
        <v/>
      </c>
      <c r="BK51">
        <f>BJ51+'Grid_Incoming'!BK51-'Grid_Requirement'!BK51</f>
        <v/>
      </c>
      <c r="BL51">
        <f>BK51+'Grid_Incoming'!BL51-'Grid_Requirement'!BL51</f>
        <v/>
      </c>
      <c r="BM51">
        <f>BL51+'Grid_Incoming'!BM51-'Grid_Requirement'!BM51</f>
        <v/>
      </c>
      <c r="BN51">
        <f>BM51+'Grid_Incoming'!BN51-'Grid_Requirement'!BN51</f>
        <v/>
      </c>
      <c r="BO51">
        <f>BN51+'Grid_Incoming'!BO51-'Grid_Requirement'!BO51</f>
        <v/>
      </c>
      <c r="BP51">
        <f>BO51+'Grid_Incoming'!BP51-'Grid_Requirement'!BP51</f>
        <v/>
      </c>
      <c r="BQ51">
        <f>BP51+'Grid_Incoming'!BQ51-'Grid_Requirement'!BQ51</f>
        <v/>
      </c>
      <c r="BR51">
        <f>BQ51+'Grid_Incoming'!BR51-'Grid_Requirement'!BR51</f>
        <v/>
      </c>
      <c r="BS51">
        <f>BR51+'Grid_Incoming'!BS51-'Grid_Requirement'!BS51</f>
        <v/>
      </c>
      <c r="BT51">
        <f>BS51+'Grid_Incoming'!BT51-'Grid_Requirement'!BT51</f>
        <v/>
      </c>
      <c r="BU51">
        <f>BT51+'Grid_Incoming'!BU51-'Grid_Requirement'!BU51</f>
        <v/>
      </c>
      <c r="BV51">
        <f>BU51+'Grid_Incoming'!BV51-'Grid_Requirement'!BV51</f>
        <v/>
      </c>
      <c r="BW51">
        <f>BV51+'Grid_Incoming'!BW51-'Grid_Requirement'!BW51</f>
        <v/>
      </c>
      <c r="BX51">
        <f>BW51+'Grid_Incoming'!BX51-'Grid_Requirement'!BX51</f>
        <v/>
      </c>
      <c r="BY51">
        <f>BX51+'Grid_Incoming'!BY51-'Grid_Requirement'!BY51</f>
        <v/>
      </c>
      <c r="BZ51">
        <f>BY51+'Grid_Incoming'!BZ51-'Grid_Requirement'!BZ51</f>
        <v/>
      </c>
      <c r="CA51">
        <f>BZ51+'Grid_Incoming'!CA51-'Grid_Requirement'!CA51</f>
        <v/>
      </c>
      <c r="CB51">
        <f>CA51+'Grid_Incoming'!CB51-'Grid_Requirement'!CB51</f>
        <v/>
      </c>
      <c r="CC51">
        <f>CB51+'Grid_Incoming'!CC51-'Grid_Requirement'!CC51</f>
        <v/>
      </c>
      <c r="CD51">
        <f>CC51+'Grid_Incoming'!CD51-'Grid_Requirement'!CD51</f>
        <v/>
      </c>
      <c r="CE51">
        <f>CD51+'Grid_Incoming'!CE51-'Grid_Requirement'!CE51</f>
        <v/>
      </c>
      <c r="CF51">
        <f>CE51+'Grid_Incoming'!CF51-'Grid_Requirement'!CF51</f>
        <v/>
      </c>
      <c r="CG51">
        <f>CF51+'Grid_Incoming'!CG51-'Grid_Requirement'!CG51</f>
        <v/>
      </c>
      <c r="CH51">
        <f>CG51+'Grid_Incoming'!CH51-'Grid_Requirement'!CH51</f>
        <v/>
      </c>
      <c r="CI51">
        <f>CH51+'Grid_Incoming'!CI51-'Grid_Requirement'!CI51</f>
        <v/>
      </c>
      <c r="CJ51">
        <f>CI51+'Grid_Incoming'!CJ51-'Grid_Requirement'!CJ51</f>
        <v/>
      </c>
      <c r="CK51">
        <f>CJ51+'Grid_Incoming'!CK51-'Grid_Requirement'!CK51</f>
        <v/>
      </c>
      <c r="CL51">
        <f>CK51+'Grid_Incoming'!CL51-'Grid_Requirement'!CL51</f>
        <v/>
      </c>
      <c r="CM51">
        <f>CL51+'Grid_Incoming'!CM51-'Grid_Requirement'!CM51</f>
        <v/>
      </c>
      <c r="CN51">
        <f>CM51+'Grid_Incoming'!CN51-'Grid_Requirement'!CN51</f>
        <v/>
      </c>
      <c r="CO51">
        <f>CN51+'Grid_Incoming'!CO51-'Grid_Requirement'!CO51</f>
        <v/>
      </c>
      <c r="CP51">
        <f>CO51+'Grid_Incoming'!CP51-'Grid_Requirement'!CP51</f>
        <v/>
      </c>
      <c r="CQ51">
        <f>CP51+'Grid_Incoming'!CQ51-'Grid_Requirement'!CQ51</f>
        <v/>
      </c>
      <c r="CR51">
        <f>CQ51+'Grid_Incoming'!CR51-'Grid_Requirement'!CR51</f>
        <v/>
      </c>
      <c r="CS51">
        <f>CR51+'Grid_Incoming'!CS51-'Grid_Requirement'!CS51</f>
        <v/>
      </c>
      <c r="CT51">
        <f>CS51+'Grid_Incoming'!CT51-'Grid_Requirement'!CT51</f>
        <v/>
      </c>
      <c r="CU51">
        <f>CT51+'Grid_Incoming'!CU51-'Grid_Requirement'!CU51</f>
        <v/>
      </c>
      <c r="CV51">
        <f>CU51+'Grid_Incoming'!CV51-'Grid_Requirement'!CV51</f>
        <v/>
      </c>
      <c r="CW51">
        <f>CV51+'Grid_Incoming'!CW51-'Grid_Requirement'!CW51</f>
        <v/>
      </c>
      <c r="CX51">
        <f>CW51+'Grid_Incoming'!CX51-'Grid_Requirement'!CX51</f>
        <v/>
      </c>
      <c r="CY51">
        <f>CX51+'Grid_Incoming'!CY51-'Grid_Requirement'!CY51</f>
        <v/>
      </c>
      <c r="CZ51">
        <f>CY51+'Grid_Incoming'!CZ51-'Grid_Requirement'!CZ51</f>
        <v/>
      </c>
      <c r="DA51">
        <f>CZ51+'Grid_Incoming'!DA51-'Grid_Requirement'!DA51</f>
        <v/>
      </c>
    </row>
    <row r="52">
      <c r="A52" t="inlineStr">
        <is>
          <t>Original Towel</t>
        </is>
      </c>
      <c r="B52">
        <f>IFERROR(INDEX(T_OpeningStock[Opening_Qty],MATCH($A52,T_OpeningStock[Part Name],0)),0)+'Grid_Incoming'!B52-'Grid_Requirement'!B52</f>
        <v/>
      </c>
      <c r="C52">
        <f>B52+'Grid_Incoming'!C52-'Grid_Requirement'!C52</f>
        <v/>
      </c>
      <c r="D52">
        <f>C52+'Grid_Incoming'!D52-'Grid_Requirement'!D52</f>
        <v/>
      </c>
      <c r="E52">
        <f>D52+'Grid_Incoming'!E52-'Grid_Requirement'!E52</f>
        <v/>
      </c>
      <c r="F52">
        <f>E52+'Grid_Incoming'!F52-'Grid_Requirement'!F52</f>
        <v/>
      </c>
      <c r="G52">
        <f>F52+'Grid_Incoming'!G52-'Grid_Requirement'!G52</f>
        <v/>
      </c>
      <c r="H52">
        <f>G52+'Grid_Incoming'!H52-'Grid_Requirement'!H52</f>
        <v/>
      </c>
      <c r="I52">
        <f>H52+'Grid_Incoming'!I52-'Grid_Requirement'!I52</f>
        <v/>
      </c>
      <c r="J52">
        <f>I52+'Grid_Incoming'!J52-'Grid_Requirement'!J52</f>
        <v/>
      </c>
      <c r="K52">
        <f>J52+'Grid_Incoming'!K52-'Grid_Requirement'!K52</f>
        <v/>
      </c>
      <c r="L52">
        <f>K52+'Grid_Incoming'!L52-'Grid_Requirement'!L52</f>
        <v/>
      </c>
      <c r="M52">
        <f>L52+'Grid_Incoming'!M52-'Grid_Requirement'!M52</f>
        <v/>
      </c>
      <c r="N52">
        <f>M52+'Grid_Incoming'!N52-'Grid_Requirement'!N52</f>
        <v/>
      </c>
      <c r="O52">
        <f>N52+'Grid_Incoming'!O52-'Grid_Requirement'!O52</f>
        <v/>
      </c>
      <c r="P52">
        <f>O52+'Grid_Incoming'!P52-'Grid_Requirement'!P52</f>
        <v/>
      </c>
      <c r="Q52">
        <f>P52+'Grid_Incoming'!Q52-'Grid_Requirement'!Q52</f>
        <v/>
      </c>
      <c r="R52">
        <f>Q52+'Grid_Incoming'!R52-'Grid_Requirement'!R52</f>
        <v/>
      </c>
      <c r="S52">
        <f>R52+'Grid_Incoming'!S52-'Grid_Requirement'!S52</f>
        <v/>
      </c>
      <c r="T52">
        <f>S52+'Grid_Incoming'!T52-'Grid_Requirement'!T52</f>
        <v/>
      </c>
      <c r="U52">
        <f>T52+'Grid_Incoming'!U52-'Grid_Requirement'!U52</f>
        <v/>
      </c>
      <c r="V52">
        <f>U52+'Grid_Incoming'!V52-'Grid_Requirement'!V52</f>
        <v/>
      </c>
      <c r="W52">
        <f>V52+'Grid_Incoming'!W52-'Grid_Requirement'!W52</f>
        <v/>
      </c>
      <c r="X52">
        <f>W52+'Grid_Incoming'!X52-'Grid_Requirement'!X52</f>
        <v/>
      </c>
      <c r="Y52">
        <f>X52+'Grid_Incoming'!Y52-'Grid_Requirement'!Y52</f>
        <v/>
      </c>
      <c r="Z52">
        <f>Y52+'Grid_Incoming'!Z52-'Grid_Requirement'!Z52</f>
        <v/>
      </c>
      <c r="AA52">
        <f>Z52+'Grid_Incoming'!AA52-'Grid_Requirement'!AA52</f>
        <v/>
      </c>
      <c r="AB52">
        <f>AA52+'Grid_Incoming'!AB52-'Grid_Requirement'!AB52</f>
        <v/>
      </c>
      <c r="AC52">
        <f>AB52+'Grid_Incoming'!AC52-'Grid_Requirement'!AC52</f>
        <v/>
      </c>
      <c r="AD52">
        <f>AC52+'Grid_Incoming'!AD52-'Grid_Requirement'!AD52</f>
        <v/>
      </c>
      <c r="AE52">
        <f>AD52+'Grid_Incoming'!AE52-'Grid_Requirement'!AE52</f>
        <v/>
      </c>
      <c r="AF52">
        <f>AE52+'Grid_Incoming'!AF52-'Grid_Requirement'!AF52</f>
        <v/>
      </c>
      <c r="AG52">
        <f>AF52+'Grid_Incoming'!AG52-'Grid_Requirement'!AG52</f>
        <v/>
      </c>
      <c r="AH52">
        <f>AG52+'Grid_Incoming'!AH52-'Grid_Requirement'!AH52</f>
        <v/>
      </c>
      <c r="AI52">
        <f>AH52+'Grid_Incoming'!AI52-'Grid_Requirement'!AI52</f>
        <v/>
      </c>
      <c r="AJ52">
        <f>AI52+'Grid_Incoming'!AJ52-'Grid_Requirement'!AJ52</f>
        <v/>
      </c>
      <c r="AK52">
        <f>AJ52+'Grid_Incoming'!AK52-'Grid_Requirement'!AK52</f>
        <v/>
      </c>
      <c r="AL52">
        <f>AK52+'Grid_Incoming'!AL52-'Grid_Requirement'!AL52</f>
        <v/>
      </c>
      <c r="AM52">
        <f>AL52+'Grid_Incoming'!AM52-'Grid_Requirement'!AM52</f>
        <v/>
      </c>
      <c r="AN52">
        <f>AM52+'Grid_Incoming'!AN52-'Grid_Requirement'!AN52</f>
        <v/>
      </c>
      <c r="AO52">
        <f>AN52+'Grid_Incoming'!AO52-'Grid_Requirement'!AO52</f>
        <v/>
      </c>
      <c r="AP52">
        <f>AO52+'Grid_Incoming'!AP52-'Grid_Requirement'!AP52</f>
        <v/>
      </c>
      <c r="AQ52">
        <f>AP52+'Grid_Incoming'!AQ52-'Grid_Requirement'!AQ52</f>
        <v/>
      </c>
      <c r="AR52">
        <f>AQ52+'Grid_Incoming'!AR52-'Grid_Requirement'!AR52</f>
        <v/>
      </c>
      <c r="AS52">
        <f>AR52+'Grid_Incoming'!AS52-'Grid_Requirement'!AS52</f>
        <v/>
      </c>
      <c r="AT52">
        <f>AS52+'Grid_Incoming'!AT52-'Grid_Requirement'!AT52</f>
        <v/>
      </c>
      <c r="AU52">
        <f>AT52+'Grid_Incoming'!AU52-'Grid_Requirement'!AU52</f>
        <v/>
      </c>
      <c r="AV52">
        <f>AU52+'Grid_Incoming'!AV52-'Grid_Requirement'!AV52</f>
        <v/>
      </c>
      <c r="AW52">
        <f>AV52+'Grid_Incoming'!AW52-'Grid_Requirement'!AW52</f>
        <v/>
      </c>
      <c r="AX52">
        <f>AW52+'Grid_Incoming'!AX52-'Grid_Requirement'!AX52</f>
        <v/>
      </c>
      <c r="AY52">
        <f>AX52+'Grid_Incoming'!AY52-'Grid_Requirement'!AY52</f>
        <v/>
      </c>
      <c r="AZ52">
        <f>AY52+'Grid_Incoming'!AZ52-'Grid_Requirement'!AZ52</f>
        <v/>
      </c>
      <c r="BA52">
        <f>AZ52+'Grid_Incoming'!BA52-'Grid_Requirement'!BA52</f>
        <v/>
      </c>
      <c r="BB52">
        <f>BA52+'Grid_Incoming'!BB52-'Grid_Requirement'!BB52</f>
        <v/>
      </c>
      <c r="BC52">
        <f>BB52+'Grid_Incoming'!BC52-'Grid_Requirement'!BC52</f>
        <v/>
      </c>
      <c r="BD52">
        <f>BC52+'Grid_Incoming'!BD52-'Grid_Requirement'!BD52</f>
        <v/>
      </c>
      <c r="BE52">
        <f>BD52+'Grid_Incoming'!BE52-'Grid_Requirement'!BE52</f>
        <v/>
      </c>
      <c r="BF52">
        <f>BE52+'Grid_Incoming'!BF52-'Grid_Requirement'!BF52</f>
        <v/>
      </c>
      <c r="BG52">
        <f>BF52+'Grid_Incoming'!BG52-'Grid_Requirement'!BG52</f>
        <v/>
      </c>
      <c r="BH52">
        <f>BG52+'Grid_Incoming'!BH52-'Grid_Requirement'!BH52</f>
        <v/>
      </c>
      <c r="BI52">
        <f>BH52+'Grid_Incoming'!BI52-'Grid_Requirement'!BI52</f>
        <v/>
      </c>
      <c r="BJ52">
        <f>BI52+'Grid_Incoming'!BJ52-'Grid_Requirement'!BJ52</f>
        <v/>
      </c>
      <c r="BK52">
        <f>BJ52+'Grid_Incoming'!BK52-'Grid_Requirement'!BK52</f>
        <v/>
      </c>
      <c r="BL52">
        <f>BK52+'Grid_Incoming'!BL52-'Grid_Requirement'!BL52</f>
        <v/>
      </c>
      <c r="BM52">
        <f>BL52+'Grid_Incoming'!BM52-'Grid_Requirement'!BM52</f>
        <v/>
      </c>
      <c r="BN52">
        <f>BM52+'Grid_Incoming'!BN52-'Grid_Requirement'!BN52</f>
        <v/>
      </c>
      <c r="BO52">
        <f>BN52+'Grid_Incoming'!BO52-'Grid_Requirement'!BO52</f>
        <v/>
      </c>
      <c r="BP52">
        <f>BO52+'Grid_Incoming'!BP52-'Grid_Requirement'!BP52</f>
        <v/>
      </c>
      <c r="BQ52">
        <f>BP52+'Grid_Incoming'!BQ52-'Grid_Requirement'!BQ52</f>
        <v/>
      </c>
      <c r="BR52">
        <f>BQ52+'Grid_Incoming'!BR52-'Grid_Requirement'!BR52</f>
        <v/>
      </c>
      <c r="BS52">
        <f>BR52+'Grid_Incoming'!BS52-'Grid_Requirement'!BS52</f>
        <v/>
      </c>
      <c r="BT52">
        <f>BS52+'Grid_Incoming'!BT52-'Grid_Requirement'!BT52</f>
        <v/>
      </c>
      <c r="BU52">
        <f>BT52+'Grid_Incoming'!BU52-'Grid_Requirement'!BU52</f>
        <v/>
      </c>
      <c r="BV52">
        <f>BU52+'Grid_Incoming'!BV52-'Grid_Requirement'!BV52</f>
        <v/>
      </c>
      <c r="BW52">
        <f>BV52+'Grid_Incoming'!BW52-'Grid_Requirement'!BW52</f>
        <v/>
      </c>
      <c r="BX52">
        <f>BW52+'Grid_Incoming'!BX52-'Grid_Requirement'!BX52</f>
        <v/>
      </c>
      <c r="BY52">
        <f>BX52+'Grid_Incoming'!BY52-'Grid_Requirement'!BY52</f>
        <v/>
      </c>
      <c r="BZ52">
        <f>BY52+'Grid_Incoming'!BZ52-'Grid_Requirement'!BZ52</f>
        <v/>
      </c>
      <c r="CA52">
        <f>BZ52+'Grid_Incoming'!CA52-'Grid_Requirement'!CA52</f>
        <v/>
      </c>
      <c r="CB52">
        <f>CA52+'Grid_Incoming'!CB52-'Grid_Requirement'!CB52</f>
        <v/>
      </c>
      <c r="CC52">
        <f>CB52+'Grid_Incoming'!CC52-'Grid_Requirement'!CC52</f>
        <v/>
      </c>
      <c r="CD52">
        <f>CC52+'Grid_Incoming'!CD52-'Grid_Requirement'!CD52</f>
        <v/>
      </c>
      <c r="CE52">
        <f>CD52+'Grid_Incoming'!CE52-'Grid_Requirement'!CE52</f>
        <v/>
      </c>
      <c r="CF52">
        <f>CE52+'Grid_Incoming'!CF52-'Grid_Requirement'!CF52</f>
        <v/>
      </c>
      <c r="CG52">
        <f>CF52+'Grid_Incoming'!CG52-'Grid_Requirement'!CG52</f>
        <v/>
      </c>
      <c r="CH52">
        <f>CG52+'Grid_Incoming'!CH52-'Grid_Requirement'!CH52</f>
        <v/>
      </c>
      <c r="CI52">
        <f>CH52+'Grid_Incoming'!CI52-'Grid_Requirement'!CI52</f>
        <v/>
      </c>
      <c r="CJ52">
        <f>CI52+'Grid_Incoming'!CJ52-'Grid_Requirement'!CJ52</f>
        <v/>
      </c>
      <c r="CK52">
        <f>CJ52+'Grid_Incoming'!CK52-'Grid_Requirement'!CK52</f>
        <v/>
      </c>
      <c r="CL52">
        <f>CK52+'Grid_Incoming'!CL52-'Grid_Requirement'!CL52</f>
        <v/>
      </c>
      <c r="CM52">
        <f>CL52+'Grid_Incoming'!CM52-'Grid_Requirement'!CM52</f>
        <v/>
      </c>
      <c r="CN52">
        <f>CM52+'Grid_Incoming'!CN52-'Grid_Requirement'!CN52</f>
        <v/>
      </c>
      <c r="CO52">
        <f>CN52+'Grid_Incoming'!CO52-'Grid_Requirement'!CO52</f>
        <v/>
      </c>
      <c r="CP52">
        <f>CO52+'Grid_Incoming'!CP52-'Grid_Requirement'!CP52</f>
        <v/>
      </c>
      <c r="CQ52">
        <f>CP52+'Grid_Incoming'!CQ52-'Grid_Requirement'!CQ52</f>
        <v/>
      </c>
      <c r="CR52">
        <f>CQ52+'Grid_Incoming'!CR52-'Grid_Requirement'!CR52</f>
        <v/>
      </c>
      <c r="CS52">
        <f>CR52+'Grid_Incoming'!CS52-'Grid_Requirement'!CS52</f>
        <v/>
      </c>
      <c r="CT52">
        <f>CS52+'Grid_Incoming'!CT52-'Grid_Requirement'!CT52</f>
        <v/>
      </c>
      <c r="CU52">
        <f>CT52+'Grid_Incoming'!CU52-'Grid_Requirement'!CU52</f>
        <v/>
      </c>
      <c r="CV52">
        <f>CU52+'Grid_Incoming'!CV52-'Grid_Requirement'!CV52</f>
        <v/>
      </c>
      <c r="CW52">
        <f>CV52+'Grid_Incoming'!CW52-'Grid_Requirement'!CW52</f>
        <v/>
      </c>
      <c r="CX52">
        <f>CW52+'Grid_Incoming'!CX52-'Grid_Requirement'!CX52</f>
        <v/>
      </c>
      <c r="CY52">
        <f>CX52+'Grid_Incoming'!CY52-'Grid_Requirement'!CY52</f>
        <v/>
      </c>
      <c r="CZ52">
        <f>CY52+'Grid_Incoming'!CZ52-'Grid_Requirement'!CZ52</f>
        <v/>
      </c>
      <c r="DA52">
        <f>CZ52+'Grid_Incoming'!DA52-'Grid_Requirement'!DA52</f>
        <v/>
      </c>
    </row>
    <row r="53">
      <c r="A53" t="inlineStr">
        <is>
          <t>Ester Film</t>
        </is>
      </c>
      <c r="B53">
        <f>IFERROR(INDEX(T_OpeningStock[Opening_Qty],MATCH($A53,T_OpeningStock[Part Name],0)),0)+'Grid_Incoming'!B53-'Grid_Requirement'!B53</f>
        <v/>
      </c>
      <c r="C53">
        <f>B53+'Grid_Incoming'!C53-'Grid_Requirement'!C53</f>
        <v/>
      </c>
      <c r="D53">
        <f>C53+'Grid_Incoming'!D53-'Grid_Requirement'!D53</f>
        <v/>
      </c>
      <c r="E53">
        <f>D53+'Grid_Incoming'!E53-'Grid_Requirement'!E53</f>
        <v/>
      </c>
      <c r="F53">
        <f>E53+'Grid_Incoming'!F53-'Grid_Requirement'!F53</f>
        <v/>
      </c>
      <c r="G53">
        <f>F53+'Grid_Incoming'!G53-'Grid_Requirement'!G53</f>
        <v/>
      </c>
      <c r="H53">
        <f>G53+'Grid_Incoming'!H53-'Grid_Requirement'!H53</f>
        <v/>
      </c>
      <c r="I53">
        <f>H53+'Grid_Incoming'!I53-'Grid_Requirement'!I53</f>
        <v/>
      </c>
      <c r="J53">
        <f>I53+'Grid_Incoming'!J53-'Grid_Requirement'!J53</f>
        <v/>
      </c>
      <c r="K53">
        <f>J53+'Grid_Incoming'!K53-'Grid_Requirement'!K53</f>
        <v/>
      </c>
      <c r="L53">
        <f>K53+'Grid_Incoming'!L53-'Grid_Requirement'!L53</f>
        <v/>
      </c>
      <c r="M53">
        <f>L53+'Grid_Incoming'!M53-'Grid_Requirement'!M53</f>
        <v/>
      </c>
      <c r="N53">
        <f>M53+'Grid_Incoming'!N53-'Grid_Requirement'!N53</f>
        <v/>
      </c>
      <c r="O53">
        <f>N53+'Grid_Incoming'!O53-'Grid_Requirement'!O53</f>
        <v/>
      </c>
      <c r="P53">
        <f>O53+'Grid_Incoming'!P53-'Grid_Requirement'!P53</f>
        <v/>
      </c>
      <c r="Q53">
        <f>P53+'Grid_Incoming'!Q53-'Grid_Requirement'!Q53</f>
        <v/>
      </c>
      <c r="R53">
        <f>Q53+'Grid_Incoming'!R53-'Grid_Requirement'!R53</f>
        <v/>
      </c>
      <c r="S53">
        <f>R53+'Grid_Incoming'!S53-'Grid_Requirement'!S53</f>
        <v/>
      </c>
      <c r="T53">
        <f>S53+'Grid_Incoming'!T53-'Grid_Requirement'!T53</f>
        <v/>
      </c>
      <c r="U53">
        <f>T53+'Grid_Incoming'!U53-'Grid_Requirement'!U53</f>
        <v/>
      </c>
      <c r="V53">
        <f>U53+'Grid_Incoming'!V53-'Grid_Requirement'!V53</f>
        <v/>
      </c>
      <c r="W53">
        <f>V53+'Grid_Incoming'!W53-'Grid_Requirement'!W53</f>
        <v/>
      </c>
      <c r="X53">
        <f>W53+'Grid_Incoming'!X53-'Grid_Requirement'!X53</f>
        <v/>
      </c>
      <c r="Y53">
        <f>X53+'Grid_Incoming'!Y53-'Grid_Requirement'!Y53</f>
        <v/>
      </c>
      <c r="Z53">
        <f>Y53+'Grid_Incoming'!Z53-'Grid_Requirement'!Z53</f>
        <v/>
      </c>
      <c r="AA53">
        <f>Z53+'Grid_Incoming'!AA53-'Grid_Requirement'!AA53</f>
        <v/>
      </c>
      <c r="AB53">
        <f>AA53+'Grid_Incoming'!AB53-'Grid_Requirement'!AB53</f>
        <v/>
      </c>
      <c r="AC53">
        <f>AB53+'Grid_Incoming'!AC53-'Grid_Requirement'!AC53</f>
        <v/>
      </c>
      <c r="AD53">
        <f>AC53+'Grid_Incoming'!AD53-'Grid_Requirement'!AD53</f>
        <v/>
      </c>
      <c r="AE53">
        <f>AD53+'Grid_Incoming'!AE53-'Grid_Requirement'!AE53</f>
        <v/>
      </c>
      <c r="AF53">
        <f>AE53+'Grid_Incoming'!AF53-'Grid_Requirement'!AF53</f>
        <v/>
      </c>
      <c r="AG53">
        <f>AF53+'Grid_Incoming'!AG53-'Grid_Requirement'!AG53</f>
        <v/>
      </c>
      <c r="AH53">
        <f>AG53+'Grid_Incoming'!AH53-'Grid_Requirement'!AH53</f>
        <v/>
      </c>
      <c r="AI53">
        <f>AH53+'Grid_Incoming'!AI53-'Grid_Requirement'!AI53</f>
        <v/>
      </c>
      <c r="AJ53">
        <f>AI53+'Grid_Incoming'!AJ53-'Grid_Requirement'!AJ53</f>
        <v/>
      </c>
      <c r="AK53">
        <f>AJ53+'Grid_Incoming'!AK53-'Grid_Requirement'!AK53</f>
        <v/>
      </c>
      <c r="AL53">
        <f>AK53+'Grid_Incoming'!AL53-'Grid_Requirement'!AL53</f>
        <v/>
      </c>
      <c r="AM53">
        <f>AL53+'Grid_Incoming'!AM53-'Grid_Requirement'!AM53</f>
        <v/>
      </c>
      <c r="AN53">
        <f>AM53+'Grid_Incoming'!AN53-'Grid_Requirement'!AN53</f>
        <v/>
      </c>
      <c r="AO53">
        <f>AN53+'Grid_Incoming'!AO53-'Grid_Requirement'!AO53</f>
        <v/>
      </c>
      <c r="AP53">
        <f>AO53+'Grid_Incoming'!AP53-'Grid_Requirement'!AP53</f>
        <v/>
      </c>
      <c r="AQ53">
        <f>AP53+'Grid_Incoming'!AQ53-'Grid_Requirement'!AQ53</f>
        <v/>
      </c>
      <c r="AR53">
        <f>AQ53+'Grid_Incoming'!AR53-'Grid_Requirement'!AR53</f>
        <v/>
      </c>
      <c r="AS53">
        <f>AR53+'Grid_Incoming'!AS53-'Grid_Requirement'!AS53</f>
        <v/>
      </c>
      <c r="AT53">
        <f>AS53+'Grid_Incoming'!AT53-'Grid_Requirement'!AT53</f>
        <v/>
      </c>
      <c r="AU53">
        <f>AT53+'Grid_Incoming'!AU53-'Grid_Requirement'!AU53</f>
        <v/>
      </c>
      <c r="AV53">
        <f>AU53+'Grid_Incoming'!AV53-'Grid_Requirement'!AV53</f>
        <v/>
      </c>
      <c r="AW53">
        <f>AV53+'Grid_Incoming'!AW53-'Grid_Requirement'!AW53</f>
        <v/>
      </c>
      <c r="AX53">
        <f>AW53+'Grid_Incoming'!AX53-'Grid_Requirement'!AX53</f>
        <v/>
      </c>
      <c r="AY53">
        <f>AX53+'Grid_Incoming'!AY53-'Grid_Requirement'!AY53</f>
        <v/>
      </c>
      <c r="AZ53">
        <f>AY53+'Grid_Incoming'!AZ53-'Grid_Requirement'!AZ53</f>
        <v/>
      </c>
      <c r="BA53">
        <f>AZ53+'Grid_Incoming'!BA53-'Grid_Requirement'!BA53</f>
        <v/>
      </c>
      <c r="BB53">
        <f>BA53+'Grid_Incoming'!BB53-'Grid_Requirement'!BB53</f>
        <v/>
      </c>
      <c r="BC53">
        <f>BB53+'Grid_Incoming'!BC53-'Grid_Requirement'!BC53</f>
        <v/>
      </c>
      <c r="BD53">
        <f>BC53+'Grid_Incoming'!BD53-'Grid_Requirement'!BD53</f>
        <v/>
      </c>
      <c r="BE53">
        <f>BD53+'Grid_Incoming'!BE53-'Grid_Requirement'!BE53</f>
        <v/>
      </c>
      <c r="BF53">
        <f>BE53+'Grid_Incoming'!BF53-'Grid_Requirement'!BF53</f>
        <v/>
      </c>
      <c r="BG53">
        <f>BF53+'Grid_Incoming'!BG53-'Grid_Requirement'!BG53</f>
        <v/>
      </c>
      <c r="BH53">
        <f>BG53+'Grid_Incoming'!BH53-'Grid_Requirement'!BH53</f>
        <v/>
      </c>
      <c r="BI53">
        <f>BH53+'Grid_Incoming'!BI53-'Grid_Requirement'!BI53</f>
        <v/>
      </c>
      <c r="BJ53">
        <f>BI53+'Grid_Incoming'!BJ53-'Grid_Requirement'!BJ53</f>
        <v/>
      </c>
      <c r="BK53">
        <f>BJ53+'Grid_Incoming'!BK53-'Grid_Requirement'!BK53</f>
        <v/>
      </c>
      <c r="BL53">
        <f>BK53+'Grid_Incoming'!BL53-'Grid_Requirement'!BL53</f>
        <v/>
      </c>
      <c r="BM53">
        <f>BL53+'Grid_Incoming'!BM53-'Grid_Requirement'!BM53</f>
        <v/>
      </c>
      <c r="BN53">
        <f>BM53+'Grid_Incoming'!BN53-'Grid_Requirement'!BN53</f>
        <v/>
      </c>
      <c r="BO53">
        <f>BN53+'Grid_Incoming'!BO53-'Grid_Requirement'!BO53</f>
        <v/>
      </c>
      <c r="BP53">
        <f>BO53+'Grid_Incoming'!BP53-'Grid_Requirement'!BP53</f>
        <v/>
      </c>
      <c r="BQ53">
        <f>BP53+'Grid_Incoming'!BQ53-'Grid_Requirement'!BQ53</f>
        <v/>
      </c>
      <c r="BR53">
        <f>BQ53+'Grid_Incoming'!BR53-'Grid_Requirement'!BR53</f>
        <v/>
      </c>
      <c r="BS53">
        <f>BR53+'Grid_Incoming'!BS53-'Grid_Requirement'!BS53</f>
        <v/>
      </c>
      <c r="BT53">
        <f>BS53+'Grid_Incoming'!BT53-'Grid_Requirement'!BT53</f>
        <v/>
      </c>
      <c r="BU53">
        <f>BT53+'Grid_Incoming'!BU53-'Grid_Requirement'!BU53</f>
        <v/>
      </c>
      <c r="BV53">
        <f>BU53+'Grid_Incoming'!BV53-'Grid_Requirement'!BV53</f>
        <v/>
      </c>
      <c r="BW53">
        <f>BV53+'Grid_Incoming'!BW53-'Grid_Requirement'!BW53</f>
        <v/>
      </c>
      <c r="BX53">
        <f>BW53+'Grid_Incoming'!BX53-'Grid_Requirement'!BX53</f>
        <v/>
      </c>
      <c r="BY53">
        <f>BX53+'Grid_Incoming'!BY53-'Grid_Requirement'!BY53</f>
        <v/>
      </c>
      <c r="BZ53">
        <f>BY53+'Grid_Incoming'!BZ53-'Grid_Requirement'!BZ53</f>
        <v/>
      </c>
      <c r="CA53">
        <f>BZ53+'Grid_Incoming'!CA53-'Grid_Requirement'!CA53</f>
        <v/>
      </c>
      <c r="CB53">
        <f>CA53+'Grid_Incoming'!CB53-'Grid_Requirement'!CB53</f>
        <v/>
      </c>
      <c r="CC53">
        <f>CB53+'Grid_Incoming'!CC53-'Grid_Requirement'!CC53</f>
        <v/>
      </c>
      <c r="CD53">
        <f>CC53+'Grid_Incoming'!CD53-'Grid_Requirement'!CD53</f>
        <v/>
      </c>
      <c r="CE53">
        <f>CD53+'Grid_Incoming'!CE53-'Grid_Requirement'!CE53</f>
        <v/>
      </c>
      <c r="CF53">
        <f>CE53+'Grid_Incoming'!CF53-'Grid_Requirement'!CF53</f>
        <v/>
      </c>
      <c r="CG53">
        <f>CF53+'Grid_Incoming'!CG53-'Grid_Requirement'!CG53</f>
        <v/>
      </c>
      <c r="CH53">
        <f>CG53+'Grid_Incoming'!CH53-'Grid_Requirement'!CH53</f>
        <v/>
      </c>
      <c r="CI53">
        <f>CH53+'Grid_Incoming'!CI53-'Grid_Requirement'!CI53</f>
        <v/>
      </c>
      <c r="CJ53">
        <f>CI53+'Grid_Incoming'!CJ53-'Grid_Requirement'!CJ53</f>
        <v/>
      </c>
      <c r="CK53">
        <f>CJ53+'Grid_Incoming'!CK53-'Grid_Requirement'!CK53</f>
        <v/>
      </c>
      <c r="CL53">
        <f>CK53+'Grid_Incoming'!CL53-'Grid_Requirement'!CL53</f>
        <v/>
      </c>
      <c r="CM53">
        <f>CL53+'Grid_Incoming'!CM53-'Grid_Requirement'!CM53</f>
        <v/>
      </c>
      <c r="CN53">
        <f>CM53+'Grid_Incoming'!CN53-'Grid_Requirement'!CN53</f>
        <v/>
      </c>
      <c r="CO53">
        <f>CN53+'Grid_Incoming'!CO53-'Grid_Requirement'!CO53</f>
        <v/>
      </c>
      <c r="CP53">
        <f>CO53+'Grid_Incoming'!CP53-'Grid_Requirement'!CP53</f>
        <v/>
      </c>
      <c r="CQ53">
        <f>CP53+'Grid_Incoming'!CQ53-'Grid_Requirement'!CQ53</f>
        <v/>
      </c>
      <c r="CR53">
        <f>CQ53+'Grid_Incoming'!CR53-'Grid_Requirement'!CR53</f>
        <v/>
      </c>
      <c r="CS53">
        <f>CR53+'Grid_Incoming'!CS53-'Grid_Requirement'!CS53</f>
        <v/>
      </c>
      <c r="CT53">
        <f>CS53+'Grid_Incoming'!CT53-'Grid_Requirement'!CT53</f>
        <v/>
      </c>
      <c r="CU53">
        <f>CT53+'Grid_Incoming'!CU53-'Grid_Requirement'!CU53</f>
        <v/>
      </c>
      <c r="CV53">
        <f>CU53+'Grid_Incoming'!CV53-'Grid_Requirement'!CV53</f>
        <v/>
      </c>
      <c r="CW53">
        <f>CV53+'Grid_Incoming'!CW53-'Grid_Requirement'!CW53</f>
        <v/>
      </c>
      <c r="CX53">
        <f>CW53+'Grid_Incoming'!CX53-'Grid_Requirement'!CX53</f>
        <v/>
      </c>
      <c r="CY53">
        <f>CX53+'Grid_Incoming'!CY53-'Grid_Requirement'!CY53</f>
        <v/>
      </c>
      <c r="CZ53">
        <f>CY53+'Grid_Incoming'!CZ53-'Grid_Requirement'!CZ53</f>
        <v/>
      </c>
      <c r="DA53">
        <f>CZ53+'Grid_Incoming'!DA53-'Grid_Requirement'!DA53</f>
        <v/>
      </c>
    </row>
    <row r="54">
      <c r="A54" t="inlineStr">
        <is>
          <t>PP Film</t>
        </is>
      </c>
      <c r="B54">
        <f>IFERROR(INDEX(T_OpeningStock[Opening_Qty],MATCH($A54,T_OpeningStock[Part Name],0)),0)+'Grid_Incoming'!B54-'Grid_Requirement'!B54</f>
        <v/>
      </c>
      <c r="C54">
        <f>B54+'Grid_Incoming'!C54-'Grid_Requirement'!C54</f>
        <v/>
      </c>
      <c r="D54">
        <f>C54+'Grid_Incoming'!D54-'Grid_Requirement'!D54</f>
        <v/>
      </c>
      <c r="E54">
        <f>D54+'Grid_Incoming'!E54-'Grid_Requirement'!E54</f>
        <v/>
      </c>
      <c r="F54">
        <f>E54+'Grid_Incoming'!F54-'Grid_Requirement'!F54</f>
        <v/>
      </c>
      <c r="G54">
        <f>F54+'Grid_Incoming'!G54-'Grid_Requirement'!G54</f>
        <v/>
      </c>
      <c r="H54">
        <f>G54+'Grid_Incoming'!H54-'Grid_Requirement'!H54</f>
        <v/>
      </c>
      <c r="I54">
        <f>H54+'Grid_Incoming'!I54-'Grid_Requirement'!I54</f>
        <v/>
      </c>
      <c r="J54">
        <f>I54+'Grid_Incoming'!J54-'Grid_Requirement'!J54</f>
        <v/>
      </c>
      <c r="K54">
        <f>J54+'Grid_Incoming'!K54-'Grid_Requirement'!K54</f>
        <v/>
      </c>
      <c r="L54">
        <f>K54+'Grid_Incoming'!L54-'Grid_Requirement'!L54</f>
        <v/>
      </c>
      <c r="M54">
        <f>L54+'Grid_Incoming'!M54-'Grid_Requirement'!M54</f>
        <v/>
      </c>
      <c r="N54">
        <f>M54+'Grid_Incoming'!N54-'Grid_Requirement'!N54</f>
        <v/>
      </c>
      <c r="O54">
        <f>N54+'Grid_Incoming'!O54-'Grid_Requirement'!O54</f>
        <v/>
      </c>
      <c r="P54">
        <f>O54+'Grid_Incoming'!P54-'Grid_Requirement'!P54</f>
        <v/>
      </c>
      <c r="Q54">
        <f>P54+'Grid_Incoming'!Q54-'Grid_Requirement'!Q54</f>
        <v/>
      </c>
      <c r="R54">
        <f>Q54+'Grid_Incoming'!R54-'Grid_Requirement'!R54</f>
        <v/>
      </c>
      <c r="S54">
        <f>R54+'Grid_Incoming'!S54-'Grid_Requirement'!S54</f>
        <v/>
      </c>
      <c r="T54">
        <f>S54+'Grid_Incoming'!T54-'Grid_Requirement'!T54</f>
        <v/>
      </c>
      <c r="U54">
        <f>T54+'Grid_Incoming'!U54-'Grid_Requirement'!U54</f>
        <v/>
      </c>
      <c r="V54">
        <f>U54+'Grid_Incoming'!V54-'Grid_Requirement'!V54</f>
        <v/>
      </c>
      <c r="W54">
        <f>V54+'Grid_Incoming'!W54-'Grid_Requirement'!W54</f>
        <v/>
      </c>
      <c r="X54">
        <f>W54+'Grid_Incoming'!X54-'Grid_Requirement'!X54</f>
        <v/>
      </c>
      <c r="Y54">
        <f>X54+'Grid_Incoming'!Y54-'Grid_Requirement'!Y54</f>
        <v/>
      </c>
      <c r="Z54">
        <f>Y54+'Grid_Incoming'!Z54-'Grid_Requirement'!Z54</f>
        <v/>
      </c>
      <c r="AA54">
        <f>Z54+'Grid_Incoming'!AA54-'Grid_Requirement'!AA54</f>
        <v/>
      </c>
      <c r="AB54">
        <f>AA54+'Grid_Incoming'!AB54-'Grid_Requirement'!AB54</f>
        <v/>
      </c>
      <c r="AC54">
        <f>AB54+'Grid_Incoming'!AC54-'Grid_Requirement'!AC54</f>
        <v/>
      </c>
      <c r="AD54">
        <f>AC54+'Grid_Incoming'!AD54-'Grid_Requirement'!AD54</f>
        <v/>
      </c>
      <c r="AE54">
        <f>AD54+'Grid_Incoming'!AE54-'Grid_Requirement'!AE54</f>
        <v/>
      </c>
      <c r="AF54">
        <f>AE54+'Grid_Incoming'!AF54-'Grid_Requirement'!AF54</f>
        <v/>
      </c>
      <c r="AG54">
        <f>AF54+'Grid_Incoming'!AG54-'Grid_Requirement'!AG54</f>
        <v/>
      </c>
      <c r="AH54">
        <f>AG54+'Grid_Incoming'!AH54-'Grid_Requirement'!AH54</f>
        <v/>
      </c>
      <c r="AI54">
        <f>AH54+'Grid_Incoming'!AI54-'Grid_Requirement'!AI54</f>
        <v/>
      </c>
      <c r="AJ54">
        <f>AI54+'Grid_Incoming'!AJ54-'Grid_Requirement'!AJ54</f>
        <v/>
      </c>
      <c r="AK54">
        <f>AJ54+'Grid_Incoming'!AK54-'Grid_Requirement'!AK54</f>
        <v/>
      </c>
      <c r="AL54">
        <f>AK54+'Grid_Incoming'!AL54-'Grid_Requirement'!AL54</f>
        <v/>
      </c>
      <c r="AM54">
        <f>AL54+'Grid_Incoming'!AM54-'Grid_Requirement'!AM54</f>
        <v/>
      </c>
      <c r="AN54">
        <f>AM54+'Grid_Incoming'!AN54-'Grid_Requirement'!AN54</f>
        <v/>
      </c>
      <c r="AO54">
        <f>AN54+'Grid_Incoming'!AO54-'Grid_Requirement'!AO54</f>
        <v/>
      </c>
      <c r="AP54">
        <f>AO54+'Grid_Incoming'!AP54-'Grid_Requirement'!AP54</f>
        <v/>
      </c>
      <c r="AQ54">
        <f>AP54+'Grid_Incoming'!AQ54-'Grid_Requirement'!AQ54</f>
        <v/>
      </c>
      <c r="AR54">
        <f>AQ54+'Grid_Incoming'!AR54-'Grid_Requirement'!AR54</f>
        <v/>
      </c>
      <c r="AS54">
        <f>AR54+'Grid_Incoming'!AS54-'Grid_Requirement'!AS54</f>
        <v/>
      </c>
      <c r="AT54">
        <f>AS54+'Grid_Incoming'!AT54-'Grid_Requirement'!AT54</f>
        <v/>
      </c>
      <c r="AU54">
        <f>AT54+'Grid_Incoming'!AU54-'Grid_Requirement'!AU54</f>
        <v/>
      </c>
      <c r="AV54">
        <f>AU54+'Grid_Incoming'!AV54-'Grid_Requirement'!AV54</f>
        <v/>
      </c>
      <c r="AW54">
        <f>AV54+'Grid_Incoming'!AW54-'Grid_Requirement'!AW54</f>
        <v/>
      </c>
      <c r="AX54">
        <f>AW54+'Grid_Incoming'!AX54-'Grid_Requirement'!AX54</f>
        <v/>
      </c>
      <c r="AY54">
        <f>AX54+'Grid_Incoming'!AY54-'Grid_Requirement'!AY54</f>
        <v/>
      </c>
      <c r="AZ54">
        <f>AY54+'Grid_Incoming'!AZ54-'Grid_Requirement'!AZ54</f>
        <v/>
      </c>
      <c r="BA54">
        <f>AZ54+'Grid_Incoming'!BA54-'Grid_Requirement'!BA54</f>
        <v/>
      </c>
      <c r="BB54">
        <f>BA54+'Grid_Incoming'!BB54-'Grid_Requirement'!BB54</f>
        <v/>
      </c>
      <c r="BC54">
        <f>BB54+'Grid_Incoming'!BC54-'Grid_Requirement'!BC54</f>
        <v/>
      </c>
      <c r="BD54">
        <f>BC54+'Grid_Incoming'!BD54-'Grid_Requirement'!BD54</f>
        <v/>
      </c>
      <c r="BE54">
        <f>BD54+'Grid_Incoming'!BE54-'Grid_Requirement'!BE54</f>
        <v/>
      </c>
      <c r="BF54">
        <f>BE54+'Grid_Incoming'!BF54-'Grid_Requirement'!BF54</f>
        <v/>
      </c>
      <c r="BG54">
        <f>BF54+'Grid_Incoming'!BG54-'Grid_Requirement'!BG54</f>
        <v/>
      </c>
      <c r="BH54">
        <f>BG54+'Grid_Incoming'!BH54-'Grid_Requirement'!BH54</f>
        <v/>
      </c>
      <c r="BI54">
        <f>BH54+'Grid_Incoming'!BI54-'Grid_Requirement'!BI54</f>
        <v/>
      </c>
      <c r="BJ54">
        <f>BI54+'Grid_Incoming'!BJ54-'Grid_Requirement'!BJ54</f>
        <v/>
      </c>
      <c r="BK54">
        <f>BJ54+'Grid_Incoming'!BK54-'Grid_Requirement'!BK54</f>
        <v/>
      </c>
      <c r="BL54">
        <f>BK54+'Grid_Incoming'!BL54-'Grid_Requirement'!BL54</f>
        <v/>
      </c>
      <c r="BM54">
        <f>BL54+'Grid_Incoming'!BM54-'Grid_Requirement'!BM54</f>
        <v/>
      </c>
      <c r="BN54">
        <f>BM54+'Grid_Incoming'!BN54-'Grid_Requirement'!BN54</f>
        <v/>
      </c>
      <c r="BO54">
        <f>BN54+'Grid_Incoming'!BO54-'Grid_Requirement'!BO54</f>
        <v/>
      </c>
      <c r="BP54">
        <f>BO54+'Grid_Incoming'!BP54-'Grid_Requirement'!BP54</f>
        <v/>
      </c>
      <c r="BQ54">
        <f>BP54+'Grid_Incoming'!BQ54-'Grid_Requirement'!BQ54</f>
        <v/>
      </c>
      <c r="BR54">
        <f>BQ54+'Grid_Incoming'!BR54-'Grid_Requirement'!BR54</f>
        <v/>
      </c>
      <c r="BS54">
        <f>BR54+'Grid_Incoming'!BS54-'Grid_Requirement'!BS54</f>
        <v/>
      </c>
      <c r="BT54">
        <f>BS54+'Grid_Incoming'!BT54-'Grid_Requirement'!BT54</f>
        <v/>
      </c>
      <c r="BU54">
        <f>BT54+'Grid_Incoming'!BU54-'Grid_Requirement'!BU54</f>
        <v/>
      </c>
      <c r="BV54">
        <f>BU54+'Grid_Incoming'!BV54-'Grid_Requirement'!BV54</f>
        <v/>
      </c>
      <c r="BW54">
        <f>BV54+'Grid_Incoming'!BW54-'Grid_Requirement'!BW54</f>
        <v/>
      </c>
      <c r="BX54">
        <f>BW54+'Grid_Incoming'!BX54-'Grid_Requirement'!BX54</f>
        <v/>
      </c>
      <c r="BY54">
        <f>BX54+'Grid_Incoming'!BY54-'Grid_Requirement'!BY54</f>
        <v/>
      </c>
      <c r="BZ54">
        <f>BY54+'Grid_Incoming'!BZ54-'Grid_Requirement'!BZ54</f>
        <v/>
      </c>
      <c r="CA54">
        <f>BZ54+'Grid_Incoming'!CA54-'Grid_Requirement'!CA54</f>
        <v/>
      </c>
      <c r="CB54">
        <f>CA54+'Grid_Incoming'!CB54-'Grid_Requirement'!CB54</f>
        <v/>
      </c>
      <c r="CC54">
        <f>CB54+'Grid_Incoming'!CC54-'Grid_Requirement'!CC54</f>
        <v/>
      </c>
      <c r="CD54">
        <f>CC54+'Grid_Incoming'!CD54-'Grid_Requirement'!CD54</f>
        <v/>
      </c>
      <c r="CE54">
        <f>CD54+'Grid_Incoming'!CE54-'Grid_Requirement'!CE54</f>
        <v/>
      </c>
      <c r="CF54">
        <f>CE54+'Grid_Incoming'!CF54-'Grid_Requirement'!CF54</f>
        <v/>
      </c>
      <c r="CG54">
        <f>CF54+'Grid_Incoming'!CG54-'Grid_Requirement'!CG54</f>
        <v/>
      </c>
      <c r="CH54">
        <f>CG54+'Grid_Incoming'!CH54-'Grid_Requirement'!CH54</f>
        <v/>
      </c>
      <c r="CI54">
        <f>CH54+'Grid_Incoming'!CI54-'Grid_Requirement'!CI54</f>
        <v/>
      </c>
      <c r="CJ54">
        <f>CI54+'Grid_Incoming'!CJ54-'Grid_Requirement'!CJ54</f>
        <v/>
      </c>
      <c r="CK54">
        <f>CJ54+'Grid_Incoming'!CK54-'Grid_Requirement'!CK54</f>
        <v/>
      </c>
      <c r="CL54">
        <f>CK54+'Grid_Incoming'!CL54-'Grid_Requirement'!CL54</f>
        <v/>
      </c>
      <c r="CM54">
        <f>CL54+'Grid_Incoming'!CM54-'Grid_Requirement'!CM54</f>
        <v/>
      </c>
      <c r="CN54">
        <f>CM54+'Grid_Incoming'!CN54-'Grid_Requirement'!CN54</f>
        <v/>
      </c>
      <c r="CO54">
        <f>CN54+'Grid_Incoming'!CO54-'Grid_Requirement'!CO54</f>
        <v/>
      </c>
      <c r="CP54">
        <f>CO54+'Grid_Incoming'!CP54-'Grid_Requirement'!CP54</f>
        <v/>
      </c>
      <c r="CQ54">
        <f>CP54+'Grid_Incoming'!CQ54-'Grid_Requirement'!CQ54</f>
        <v/>
      </c>
      <c r="CR54">
        <f>CQ54+'Grid_Incoming'!CR54-'Grid_Requirement'!CR54</f>
        <v/>
      </c>
      <c r="CS54">
        <f>CR54+'Grid_Incoming'!CS54-'Grid_Requirement'!CS54</f>
        <v/>
      </c>
      <c r="CT54">
        <f>CS54+'Grid_Incoming'!CT54-'Grid_Requirement'!CT54</f>
        <v/>
      </c>
      <c r="CU54">
        <f>CT54+'Grid_Incoming'!CU54-'Grid_Requirement'!CU54</f>
        <v/>
      </c>
      <c r="CV54">
        <f>CU54+'Grid_Incoming'!CV54-'Grid_Requirement'!CV54</f>
        <v/>
      </c>
      <c r="CW54">
        <f>CV54+'Grid_Incoming'!CW54-'Grid_Requirement'!CW54</f>
        <v/>
      </c>
      <c r="CX54">
        <f>CW54+'Grid_Incoming'!CX54-'Grid_Requirement'!CX54</f>
        <v/>
      </c>
      <c r="CY54">
        <f>CX54+'Grid_Incoming'!CY54-'Grid_Requirement'!CY54</f>
        <v/>
      </c>
      <c r="CZ54">
        <f>CY54+'Grid_Incoming'!CZ54-'Grid_Requirement'!CZ54</f>
        <v/>
      </c>
      <c r="DA54">
        <f>CZ54+'Grid_Incoming'!DA54-'Grid_Requirement'!DA54</f>
        <v/>
      </c>
    </row>
    <row r="55">
      <c r="A55" t="inlineStr">
        <is>
          <t>CHEM-1560</t>
        </is>
      </c>
      <c r="B55">
        <f>IFERROR(INDEX(T_OpeningStock[Opening_Qty],MATCH($A55,T_OpeningStock[Part Name],0)),0)+'Grid_Incoming'!B55-'Grid_Requirement'!B55</f>
        <v/>
      </c>
      <c r="C55">
        <f>B55+'Grid_Incoming'!C55-'Grid_Requirement'!C55</f>
        <v/>
      </c>
      <c r="D55">
        <f>C55+'Grid_Incoming'!D55-'Grid_Requirement'!D55</f>
        <v/>
      </c>
      <c r="E55">
        <f>D55+'Grid_Incoming'!E55-'Grid_Requirement'!E55</f>
        <v/>
      </c>
      <c r="F55">
        <f>E55+'Grid_Incoming'!F55-'Grid_Requirement'!F55</f>
        <v/>
      </c>
      <c r="G55">
        <f>F55+'Grid_Incoming'!G55-'Grid_Requirement'!G55</f>
        <v/>
      </c>
      <c r="H55">
        <f>G55+'Grid_Incoming'!H55-'Grid_Requirement'!H55</f>
        <v/>
      </c>
      <c r="I55">
        <f>H55+'Grid_Incoming'!I55-'Grid_Requirement'!I55</f>
        <v/>
      </c>
      <c r="J55">
        <f>I55+'Grid_Incoming'!J55-'Grid_Requirement'!J55</f>
        <v/>
      </c>
      <c r="K55">
        <f>J55+'Grid_Incoming'!K55-'Grid_Requirement'!K55</f>
        <v/>
      </c>
      <c r="L55">
        <f>K55+'Grid_Incoming'!L55-'Grid_Requirement'!L55</f>
        <v/>
      </c>
      <c r="M55">
        <f>L55+'Grid_Incoming'!M55-'Grid_Requirement'!M55</f>
        <v/>
      </c>
      <c r="N55">
        <f>M55+'Grid_Incoming'!N55-'Grid_Requirement'!N55</f>
        <v/>
      </c>
      <c r="O55">
        <f>N55+'Grid_Incoming'!O55-'Grid_Requirement'!O55</f>
        <v/>
      </c>
      <c r="P55">
        <f>O55+'Grid_Incoming'!P55-'Grid_Requirement'!P55</f>
        <v/>
      </c>
      <c r="Q55">
        <f>P55+'Grid_Incoming'!Q55-'Grid_Requirement'!Q55</f>
        <v/>
      </c>
      <c r="R55">
        <f>Q55+'Grid_Incoming'!R55-'Grid_Requirement'!R55</f>
        <v/>
      </c>
      <c r="S55">
        <f>R55+'Grid_Incoming'!S55-'Grid_Requirement'!S55</f>
        <v/>
      </c>
      <c r="T55">
        <f>S55+'Grid_Incoming'!T55-'Grid_Requirement'!T55</f>
        <v/>
      </c>
      <c r="U55">
        <f>T55+'Grid_Incoming'!U55-'Grid_Requirement'!U55</f>
        <v/>
      </c>
      <c r="V55">
        <f>U55+'Grid_Incoming'!V55-'Grid_Requirement'!V55</f>
        <v/>
      </c>
      <c r="W55">
        <f>V55+'Grid_Incoming'!W55-'Grid_Requirement'!W55</f>
        <v/>
      </c>
      <c r="X55">
        <f>W55+'Grid_Incoming'!X55-'Grid_Requirement'!X55</f>
        <v/>
      </c>
      <c r="Y55">
        <f>X55+'Grid_Incoming'!Y55-'Grid_Requirement'!Y55</f>
        <v/>
      </c>
      <c r="Z55">
        <f>Y55+'Grid_Incoming'!Z55-'Grid_Requirement'!Z55</f>
        <v/>
      </c>
      <c r="AA55">
        <f>Z55+'Grid_Incoming'!AA55-'Grid_Requirement'!AA55</f>
        <v/>
      </c>
      <c r="AB55">
        <f>AA55+'Grid_Incoming'!AB55-'Grid_Requirement'!AB55</f>
        <v/>
      </c>
      <c r="AC55">
        <f>AB55+'Grid_Incoming'!AC55-'Grid_Requirement'!AC55</f>
        <v/>
      </c>
      <c r="AD55">
        <f>AC55+'Grid_Incoming'!AD55-'Grid_Requirement'!AD55</f>
        <v/>
      </c>
      <c r="AE55">
        <f>AD55+'Grid_Incoming'!AE55-'Grid_Requirement'!AE55</f>
        <v/>
      </c>
      <c r="AF55">
        <f>AE55+'Grid_Incoming'!AF55-'Grid_Requirement'!AF55</f>
        <v/>
      </c>
      <c r="AG55">
        <f>AF55+'Grid_Incoming'!AG55-'Grid_Requirement'!AG55</f>
        <v/>
      </c>
      <c r="AH55">
        <f>AG55+'Grid_Incoming'!AH55-'Grid_Requirement'!AH55</f>
        <v/>
      </c>
      <c r="AI55">
        <f>AH55+'Grid_Incoming'!AI55-'Grid_Requirement'!AI55</f>
        <v/>
      </c>
      <c r="AJ55">
        <f>AI55+'Grid_Incoming'!AJ55-'Grid_Requirement'!AJ55</f>
        <v/>
      </c>
      <c r="AK55">
        <f>AJ55+'Grid_Incoming'!AK55-'Grid_Requirement'!AK55</f>
        <v/>
      </c>
      <c r="AL55">
        <f>AK55+'Grid_Incoming'!AL55-'Grid_Requirement'!AL55</f>
        <v/>
      </c>
      <c r="AM55">
        <f>AL55+'Grid_Incoming'!AM55-'Grid_Requirement'!AM55</f>
        <v/>
      </c>
      <c r="AN55">
        <f>AM55+'Grid_Incoming'!AN55-'Grid_Requirement'!AN55</f>
        <v/>
      </c>
      <c r="AO55">
        <f>AN55+'Grid_Incoming'!AO55-'Grid_Requirement'!AO55</f>
        <v/>
      </c>
      <c r="AP55">
        <f>AO55+'Grid_Incoming'!AP55-'Grid_Requirement'!AP55</f>
        <v/>
      </c>
      <c r="AQ55">
        <f>AP55+'Grid_Incoming'!AQ55-'Grid_Requirement'!AQ55</f>
        <v/>
      </c>
      <c r="AR55">
        <f>AQ55+'Grid_Incoming'!AR55-'Grid_Requirement'!AR55</f>
        <v/>
      </c>
      <c r="AS55">
        <f>AR55+'Grid_Incoming'!AS55-'Grid_Requirement'!AS55</f>
        <v/>
      </c>
      <c r="AT55">
        <f>AS55+'Grid_Incoming'!AT55-'Grid_Requirement'!AT55</f>
        <v/>
      </c>
      <c r="AU55">
        <f>AT55+'Grid_Incoming'!AU55-'Grid_Requirement'!AU55</f>
        <v/>
      </c>
      <c r="AV55">
        <f>AU55+'Grid_Incoming'!AV55-'Grid_Requirement'!AV55</f>
        <v/>
      </c>
      <c r="AW55">
        <f>AV55+'Grid_Incoming'!AW55-'Grid_Requirement'!AW55</f>
        <v/>
      </c>
      <c r="AX55">
        <f>AW55+'Grid_Incoming'!AX55-'Grid_Requirement'!AX55</f>
        <v/>
      </c>
      <c r="AY55">
        <f>AX55+'Grid_Incoming'!AY55-'Grid_Requirement'!AY55</f>
        <v/>
      </c>
      <c r="AZ55">
        <f>AY55+'Grid_Incoming'!AZ55-'Grid_Requirement'!AZ55</f>
        <v/>
      </c>
      <c r="BA55">
        <f>AZ55+'Grid_Incoming'!BA55-'Grid_Requirement'!BA55</f>
        <v/>
      </c>
      <c r="BB55">
        <f>BA55+'Grid_Incoming'!BB55-'Grid_Requirement'!BB55</f>
        <v/>
      </c>
      <c r="BC55">
        <f>BB55+'Grid_Incoming'!BC55-'Grid_Requirement'!BC55</f>
        <v/>
      </c>
      <c r="BD55">
        <f>BC55+'Grid_Incoming'!BD55-'Grid_Requirement'!BD55</f>
        <v/>
      </c>
      <c r="BE55">
        <f>BD55+'Grid_Incoming'!BE55-'Grid_Requirement'!BE55</f>
        <v/>
      </c>
      <c r="BF55">
        <f>BE55+'Grid_Incoming'!BF55-'Grid_Requirement'!BF55</f>
        <v/>
      </c>
      <c r="BG55">
        <f>BF55+'Grid_Incoming'!BG55-'Grid_Requirement'!BG55</f>
        <v/>
      </c>
      <c r="BH55">
        <f>BG55+'Grid_Incoming'!BH55-'Grid_Requirement'!BH55</f>
        <v/>
      </c>
      <c r="BI55">
        <f>BH55+'Grid_Incoming'!BI55-'Grid_Requirement'!BI55</f>
        <v/>
      </c>
      <c r="BJ55">
        <f>BI55+'Grid_Incoming'!BJ55-'Grid_Requirement'!BJ55</f>
        <v/>
      </c>
      <c r="BK55">
        <f>BJ55+'Grid_Incoming'!BK55-'Grid_Requirement'!BK55</f>
        <v/>
      </c>
      <c r="BL55">
        <f>BK55+'Grid_Incoming'!BL55-'Grid_Requirement'!BL55</f>
        <v/>
      </c>
      <c r="BM55">
        <f>BL55+'Grid_Incoming'!BM55-'Grid_Requirement'!BM55</f>
        <v/>
      </c>
      <c r="BN55">
        <f>BM55+'Grid_Incoming'!BN55-'Grid_Requirement'!BN55</f>
        <v/>
      </c>
      <c r="BO55">
        <f>BN55+'Grid_Incoming'!BO55-'Grid_Requirement'!BO55</f>
        <v/>
      </c>
      <c r="BP55">
        <f>BO55+'Grid_Incoming'!BP55-'Grid_Requirement'!BP55</f>
        <v/>
      </c>
      <c r="BQ55">
        <f>BP55+'Grid_Incoming'!BQ55-'Grid_Requirement'!BQ55</f>
        <v/>
      </c>
      <c r="BR55">
        <f>BQ55+'Grid_Incoming'!BR55-'Grid_Requirement'!BR55</f>
        <v/>
      </c>
      <c r="BS55">
        <f>BR55+'Grid_Incoming'!BS55-'Grid_Requirement'!BS55</f>
        <v/>
      </c>
      <c r="BT55">
        <f>BS55+'Grid_Incoming'!BT55-'Grid_Requirement'!BT55</f>
        <v/>
      </c>
      <c r="BU55">
        <f>BT55+'Grid_Incoming'!BU55-'Grid_Requirement'!BU55</f>
        <v/>
      </c>
      <c r="BV55">
        <f>BU55+'Grid_Incoming'!BV55-'Grid_Requirement'!BV55</f>
        <v/>
      </c>
      <c r="BW55">
        <f>BV55+'Grid_Incoming'!BW55-'Grid_Requirement'!BW55</f>
        <v/>
      </c>
      <c r="BX55">
        <f>BW55+'Grid_Incoming'!BX55-'Grid_Requirement'!BX55</f>
        <v/>
      </c>
      <c r="BY55">
        <f>BX55+'Grid_Incoming'!BY55-'Grid_Requirement'!BY55</f>
        <v/>
      </c>
      <c r="BZ55">
        <f>BY55+'Grid_Incoming'!BZ55-'Grid_Requirement'!BZ55</f>
        <v/>
      </c>
      <c r="CA55">
        <f>BZ55+'Grid_Incoming'!CA55-'Grid_Requirement'!CA55</f>
        <v/>
      </c>
      <c r="CB55">
        <f>CA55+'Grid_Incoming'!CB55-'Grid_Requirement'!CB55</f>
        <v/>
      </c>
      <c r="CC55">
        <f>CB55+'Grid_Incoming'!CC55-'Grid_Requirement'!CC55</f>
        <v/>
      </c>
      <c r="CD55">
        <f>CC55+'Grid_Incoming'!CD55-'Grid_Requirement'!CD55</f>
        <v/>
      </c>
      <c r="CE55">
        <f>CD55+'Grid_Incoming'!CE55-'Grid_Requirement'!CE55</f>
        <v/>
      </c>
      <c r="CF55">
        <f>CE55+'Grid_Incoming'!CF55-'Grid_Requirement'!CF55</f>
        <v/>
      </c>
      <c r="CG55">
        <f>CF55+'Grid_Incoming'!CG55-'Grid_Requirement'!CG55</f>
        <v/>
      </c>
      <c r="CH55">
        <f>CG55+'Grid_Incoming'!CH55-'Grid_Requirement'!CH55</f>
        <v/>
      </c>
      <c r="CI55">
        <f>CH55+'Grid_Incoming'!CI55-'Grid_Requirement'!CI55</f>
        <v/>
      </c>
      <c r="CJ55">
        <f>CI55+'Grid_Incoming'!CJ55-'Grid_Requirement'!CJ55</f>
        <v/>
      </c>
      <c r="CK55">
        <f>CJ55+'Grid_Incoming'!CK55-'Grid_Requirement'!CK55</f>
        <v/>
      </c>
      <c r="CL55">
        <f>CK55+'Grid_Incoming'!CL55-'Grid_Requirement'!CL55</f>
        <v/>
      </c>
      <c r="CM55">
        <f>CL55+'Grid_Incoming'!CM55-'Grid_Requirement'!CM55</f>
        <v/>
      </c>
      <c r="CN55">
        <f>CM55+'Grid_Incoming'!CN55-'Grid_Requirement'!CN55</f>
        <v/>
      </c>
      <c r="CO55">
        <f>CN55+'Grid_Incoming'!CO55-'Grid_Requirement'!CO55</f>
        <v/>
      </c>
      <c r="CP55">
        <f>CO55+'Grid_Incoming'!CP55-'Grid_Requirement'!CP55</f>
        <v/>
      </c>
      <c r="CQ55">
        <f>CP55+'Grid_Incoming'!CQ55-'Grid_Requirement'!CQ55</f>
        <v/>
      </c>
      <c r="CR55">
        <f>CQ55+'Grid_Incoming'!CR55-'Grid_Requirement'!CR55</f>
        <v/>
      </c>
      <c r="CS55">
        <f>CR55+'Grid_Incoming'!CS55-'Grid_Requirement'!CS55</f>
        <v/>
      </c>
      <c r="CT55">
        <f>CS55+'Grid_Incoming'!CT55-'Grid_Requirement'!CT55</f>
        <v/>
      </c>
      <c r="CU55">
        <f>CT55+'Grid_Incoming'!CU55-'Grid_Requirement'!CU55</f>
        <v/>
      </c>
      <c r="CV55">
        <f>CU55+'Grid_Incoming'!CV55-'Grid_Requirement'!CV55</f>
        <v/>
      </c>
      <c r="CW55">
        <f>CV55+'Grid_Incoming'!CW55-'Grid_Requirement'!CW55</f>
        <v/>
      </c>
      <c r="CX55">
        <f>CW55+'Grid_Incoming'!CX55-'Grid_Requirement'!CX55</f>
        <v/>
      </c>
      <c r="CY55">
        <f>CX55+'Grid_Incoming'!CY55-'Grid_Requirement'!CY55</f>
        <v/>
      </c>
      <c r="CZ55">
        <f>CY55+'Grid_Incoming'!CZ55-'Grid_Requirement'!CZ55</f>
        <v/>
      </c>
      <c r="DA55">
        <f>CZ55+'Grid_Incoming'!DA55-'Grid_Requirement'!DA55</f>
        <v/>
      </c>
    </row>
    <row r="56">
      <c r="A56" t="inlineStr">
        <is>
          <t>CHEM-1690</t>
        </is>
      </c>
      <c r="B56">
        <f>IFERROR(INDEX(T_OpeningStock[Opening_Qty],MATCH($A56,T_OpeningStock[Part Name],0)),0)+'Grid_Incoming'!B56-'Grid_Requirement'!B56</f>
        <v/>
      </c>
      <c r="C56">
        <f>B56+'Grid_Incoming'!C56-'Grid_Requirement'!C56</f>
        <v/>
      </c>
      <c r="D56">
        <f>C56+'Grid_Incoming'!D56-'Grid_Requirement'!D56</f>
        <v/>
      </c>
      <c r="E56">
        <f>D56+'Grid_Incoming'!E56-'Grid_Requirement'!E56</f>
        <v/>
      </c>
      <c r="F56">
        <f>E56+'Grid_Incoming'!F56-'Grid_Requirement'!F56</f>
        <v/>
      </c>
      <c r="G56">
        <f>F56+'Grid_Incoming'!G56-'Grid_Requirement'!G56</f>
        <v/>
      </c>
      <c r="H56">
        <f>G56+'Grid_Incoming'!H56-'Grid_Requirement'!H56</f>
        <v/>
      </c>
      <c r="I56">
        <f>H56+'Grid_Incoming'!I56-'Grid_Requirement'!I56</f>
        <v/>
      </c>
      <c r="J56">
        <f>I56+'Grid_Incoming'!J56-'Grid_Requirement'!J56</f>
        <v/>
      </c>
      <c r="K56">
        <f>J56+'Grid_Incoming'!K56-'Grid_Requirement'!K56</f>
        <v/>
      </c>
      <c r="L56">
        <f>K56+'Grid_Incoming'!L56-'Grid_Requirement'!L56</f>
        <v/>
      </c>
      <c r="M56">
        <f>L56+'Grid_Incoming'!M56-'Grid_Requirement'!M56</f>
        <v/>
      </c>
      <c r="N56">
        <f>M56+'Grid_Incoming'!N56-'Grid_Requirement'!N56</f>
        <v/>
      </c>
      <c r="O56">
        <f>N56+'Grid_Incoming'!O56-'Grid_Requirement'!O56</f>
        <v/>
      </c>
      <c r="P56">
        <f>O56+'Grid_Incoming'!P56-'Grid_Requirement'!P56</f>
        <v/>
      </c>
      <c r="Q56">
        <f>P56+'Grid_Incoming'!Q56-'Grid_Requirement'!Q56</f>
        <v/>
      </c>
      <c r="R56">
        <f>Q56+'Grid_Incoming'!R56-'Grid_Requirement'!R56</f>
        <v/>
      </c>
      <c r="S56">
        <f>R56+'Grid_Incoming'!S56-'Grid_Requirement'!S56</f>
        <v/>
      </c>
      <c r="T56">
        <f>S56+'Grid_Incoming'!T56-'Grid_Requirement'!T56</f>
        <v/>
      </c>
      <c r="U56">
        <f>T56+'Grid_Incoming'!U56-'Grid_Requirement'!U56</f>
        <v/>
      </c>
      <c r="V56">
        <f>U56+'Grid_Incoming'!V56-'Grid_Requirement'!V56</f>
        <v/>
      </c>
      <c r="W56">
        <f>V56+'Grid_Incoming'!W56-'Grid_Requirement'!W56</f>
        <v/>
      </c>
      <c r="X56">
        <f>W56+'Grid_Incoming'!X56-'Grid_Requirement'!X56</f>
        <v/>
      </c>
      <c r="Y56">
        <f>X56+'Grid_Incoming'!Y56-'Grid_Requirement'!Y56</f>
        <v/>
      </c>
      <c r="Z56">
        <f>Y56+'Grid_Incoming'!Z56-'Grid_Requirement'!Z56</f>
        <v/>
      </c>
      <c r="AA56">
        <f>Z56+'Grid_Incoming'!AA56-'Grid_Requirement'!AA56</f>
        <v/>
      </c>
      <c r="AB56">
        <f>AA56+'Grid_Incoming'!AB56-'Grid_Requirement'!AB56</f>
        <v/>
      </c>
      <c r="AC56">
        <f>AB56+'Grid_Incoming'!AC56-'Grid_Requirement'!AC56</f>
        <v/>
      </c>
      <c r="AD56">
        <f>AC56+'Grid_Incoming'!AD56-'Grid_Requirement'!AD56</f>
        <v/>
      </c>
      <c r="AE56">
        <f>AD56+'Grid_Incoming'!AE56-'Grid_Requirement'!AE56</f>
        <v/>
      </c>
      <c r="AF56">
        <f>AE56+'Grid_Incoming'!AF56-'Grid_Requirement'!AF56</f>
        <v/>
      </c>
      <c r="AG56">
        <f>AF56+'Grid_Incoming'!AG56-'Grid_Requirement'!AG56</f>
        <v/>
      </c>
      <c r="AH56">
        <f>AG56+'Grid_Incoming'!AH56-'Grid_Requirement'!AH56</f>
        <v/>
      </c>
      <c r="AI56">
        <f>AH56+'Grid_Incoming'!AI56-'Grid_Requirement'!AI56</f>
        <v/>
      </c>
      <c r="AJ56">
        <f>AI56+'Grid_Incoming'!AJ56-'Grid_Requirement'!AJ56</f>
        <v/>
      </c>
      <c r="AK56">
        <f>AJ56+'Grid_Incoming'!AK56-'Grid_Requirement'!AK56</f>
        <v/>
      </c>
      <c r="AL56">
        <f>AK56+'Grid_Incoming'!AL56-'Grid_Requirement'!AL56</f>
        <v/>
      </c>
      <c r="AM56">
        <f>AL56+'Grid_Incoming'!AM56-'Grid_Requirement'!AM56</f>
        <v/>
      </c>
      <c r="AN56">
        <f>AM56+'Grid_Incoming'!AN56-'Grid_Requirement'!AN56</f>
        <v/>
      </c>
      <c r="AO56">
        <f>AN56+'Grid_Incoming'!AO56-'Grid_Requirement'!AO56</f>
        <v/>
      </c>
      <c r="AP56">
        <f>AO56+'Grid_Incoming'!AP56-'Grid_Requirement'!AP56</f>
        <v/>
      </c>
      <c r="AQ56">
        <f>AP56+'Grid_Incoming'!AQ56-'Grid_Requirement'!AQ56</f>
        <v/>
      </c>
      <c r="AR56">
        <f>AQ56+'Grid_Incoming'!AR56-'Grid_Requirement'!AR56</f>
        <v/>
      </c>
      <c r="AS56">
        <f>AR56+'Grid_Incoming'!AS56-'Grid_Requirement'!AS56</f>
        <v/>
      </c>
      <c r="AT56">
        <f>AS56+'Grid_Incoming'!AT56-'Grid_Requirement'!AT56</f>
        <v/>
      </c>
      <c r="AU56">
        <f>AT56+'Grid_Incoming'!AU56-'Grid_Requirement'!AU56</f>
        <v/>
      </c>
      <c r="AV56">
        <f>AU56+'Grid_Incoming'!AV56-'Grid_Requirement'!AV56</f>
        <v/>
      </c>
      <c r="AW56">
        <f>AV56+'Grid_Incoming'!AW56-'Grid_Requirement'!AW56</f>
        <v/>
      </c>
      <c r="AX56">
        <f>AW56+'Grid_Incoming'!AX56-'Grid_Requirement'!AX56</f>
        <v/>
      </c>
      <c r="AY56">
        <f>AX56+'Grid_Incoming'!AY56-'Grid_Requirement'!AY56</f>
        <v/>
      </c>
      <c r="AZ56">
        <f>AY56+'Grid_Incoming'!AZ56-'Grid_Requirement'!AZ56</f>
        <v/>
      </c>
      <c r="BA56">
        <f>AZ56+'Grid_Incoming'!BA56-'Grid_Requirement'!BA56</f>
        <v/>
      </c>
      <c r="BB56">
        <f>BA56+'Grid_Incoming'!BB56-'Grid_Requirement'!BB56</f>
        <v/>
      </c>
      <c r="BC56">
        <f>BB56+'Grid_Incoming'!BC56-'Grid_Requirement'!BC56</f>
        <v/>
      </c>
      <c r="BD56">
        <f>BC56+'Grid_Incoming'!BD56-'Grid_Requirement'!BD56</f>
        <v/>
      </c>
      <c r="BE56">
        <f>BD56+'Grid_Incoming'!BE56-'Grid_Requirement'!BE56</f>
        <v/>
      </c>
      <c r="BF56">
        <f>BE56+'Grid_Incoming'!BF56-'Grid_Requirement'!BF56</f>
        <v/>
      </c>
      <c r="BG56">
        <f>BF56+'Grid_Incoming'!BG56-'Grid_Requirement'!BG56</f>
        <v/>
      </c>
      <c r="BH56">
        <f>BG56+'Grid_Incoming'!BH56-'Grid_Requirement'!BH56</f>
        <v/>
      </c>
      <c r="BI56">
        <f>BH56+'Grid_Incoming'!BI56-'Grid_Requirement'!BI56</f>
        <v/>
      </c>
      <c r="BJ56">
        <f>BI56+'Grid_Incoming'!BJ56-'Grid_Requirement'!BJ56</f>
        <v/>
      </c>
      <c r="BK56">
        <f>BJ56+'Grid_Incoming'!BK56-'Grid_Requirement'!BK56</f>
        <v/>
      </c>
      <c r="BL56">
        <f>BK56+'Grid_Incoming'!BL56-'Grid_Requirement'!BL56</f>
        <v/>
      </c>
      <c r="BM56">
        <f>BL56+'Grid_Incoming'!BM56-'Grid_Requirement'!BM56</f>
        <v/>
      </c>
      <c r="BN56">
        <f>BM56+'Grid_Incoming'!BN56-'Grid_Requirement'!BN56</f>
        <v/>
      </c>
      <c r="BO56">
        <f>BN56+'Grid_Incoming'!BO56-'Grid_Requirement'!BO56</f>
        <v/>
      </c>
      <c r="BP56">
        <f>BO56+'Grid_Incoming'!BP56-'Grid_Requirement'!BP56</f>
        <v/>
      </c>
      <c r="BQ56">
        <f>BP56+'Grid_Incoming'!BQ56-'Grid_Requirement'!BQ56</f>
        <v/>
      </c>
      <c r="BR56">
        <f>BQ56+'Grid_Incoming'!BR56-'Grid_Requirement'!BR56</f>
        <v/>
      </c>
      <c r="BS56">
        <f>BR56+'Grid_Incoming'!BS56-'Grid_Requirement'!BS56</f>
        <v/>
      </c>
      <c r="BT56">
        <f>BS56+'Grid_Incoming'!BT56-'Grid_Requirement'!BT56</f>
        <v/>
      </c>
      <c r="BU56">
        <f>BT56+'Grid_Incoming'!BU56-'Grid_Requirement'!BU56</f>
        <v/>
      </c>
      <c r="BV56">
        <f>BU56+'Grid_Incoming'!BV56-'Grid_Requirement'!BV56</f>
        <v/>
      </c>
      <c r="BW56">
        <f>BV56+'Grid_Incoming'!BW56-'Grid_Requirement'!BW56</f>
        <v/>
      </c>
      <c r="BX56">
        <f>BW56+'Grid_Incoming'!BX56-'Grid_Requirement'!BX56</f>
        <v/>
      </c>
      <c r="BY56">
        <f>BX56+'Grid_Incoming'!BY56-'Grid_Requirement'!BY56</f>
        <v/>
      </c>
      <c r="BZ56">
        <f>BY56+'Grid_Incoming'!BZ56-'Grid_Requirement'!BZ56</f>
        <v/>
      </c>
      <c r="CA56">
        <f>BZ56+'Grid_Incoming'!CA56-'Grid_Requirement'!CA56</f>
        <v/>
      </c>
      <c r="CB56">
        <f>CA56+'Grid_Incoming'!CB56-'Grid_Requirement'!CB56</f>
        <v/>
      </c>
      <c r="CC56">
        <f>CB56+'Grid_Incoming'!CC56-'Grid_Requirement'!CC56</f>
        <v/>
      </c>
      <c r="CD56">
        <f>CC56+'Grid_Incoming'!CD56-'Grid_Requirement'!CD56</f>
        <v/>
      </c>
      <c r="CE56">
        <f>CD56+'Grid_Incoming'!CE56-'Grid_Requirement'!CE56</f>
        <v/>
      </c>
      <c r="CF56">
        <f>CE56+'Grid_Incoming'!CF56-'Grid_Requirement'!CF56</f>
        <v/>
      </c>
      <c r="CG56">
        <f>CF56+'Grid_Incoming'!CG56-'Grid_Requirement'!CG56</f>
        <v/>
      </c>
      <c r="CH56">
        <f>CG56+'Grid_Incoming'!CH56-'Grid_Requirement'!CH56</f>
        <v/>
      </c>
      <c r="CI56">
        <f>CH56+'Grid_Incoming'!CI56-'Grid_Requirement'!CI56</f>
        <v/>
      </c>
      <c r="CJ56">
        <f>CI56+'Grid_Incoming'!CJ56-'Grid_Requirement'!CJ56</f>
        <v/>
      </c>
      <c r="CK56">
        <f>CJ56+'Grid_Incoming'!CK56-'Grid_Requirement'!CK56</f>
        <v/>
      </c>
      <c r="CL56">
        <f>CK56+'Grid_Incoming'!CL56-'Grid_Requirement'!CL56</f>
        <v/>
      </c>
      <c r="CM56">
        <f>CL56+'Grid_Incoming'!CM56-'Grid_Requirement'!CM56</f>
        <v/>
      </c>
      <c r="CN56">
        <f>CM56+'Grid_Incoming'!CN56-'Grid_Requirement'!CN56</f>
        <v/>
      </c>
      <c r="CO56">
        <f>CN56+'Grid_Incoming'!CO56-'Grid_Requirement'!CO56</f>
        <v/>
      </c>
      <c r="CP56">
        <f>CO56+'Grid_Incoming'!CP56-'Grid_Requirement'!CP56</f>
        <v/>
      </c>
      <c r="CQ56">
        <f>CP56+'Grid_Incoming'!CQ56-'Grid_Requirement'!CQ56</f>
        <v/>
      </c>
      <c r="CR56">
        <f>CQ56+'Grid_Incoming'!CR56-'Grid_Requirement'!CR56</f>
        <v/>
      </c>
      <c r="CS56">
        <f>CR56+'Grid_Incoming'!CS56-'Grid_Requirement'!CS56</f>
        <v/>
      </c>
      <c r="CT56">
        <f>CS56+'Grid_Incoming'!CT56-'Grid_Requirement'!CT56</f>
        <v/>
      </c>
      <c r="CU56">
        <f>CT56+'Grid_Incoming'!CU56-'Grid_Requirement'!CU56</f>
        <v/>
      </c>
      <c r="CV56">
        <f>CU56+'Grid_Incoming'!CV56-'Grid_Requirement'!CV56</f>
        <v/>
      </c>
      <c r="CW56">
        <f>CV56+'Grid_Incoming'!CW56-'Grid_Requirement'!CW56</f>
        <v/>
      </c>
      <c r="CX56">
        <f>CW56+'Grid_Incoming'!CX56-'Grid_Requirement'!CX56</f>
        <v/>
      </c>
      <c r="CY56">
        <f>CX56+'Grid_Incoming'!CY56-'Grid_Requirement'!CY56</f>
        <v/>
      </c>
      <c r="CZ56">
        <f>CY56+'Grid_Incoming'!CZ56-'Grid_Requirement'!CZ56</f>
        <v/>
      </c>
      <c r="DA56">
        <f>CZ56+'Grid_Incoming'!DA56-'Grid_Requirement'!DA56</f>
        <v/>
      </c>
    </row>
    <row r="57">
      <c r="A57" t="inlineStr">
        <is>
          <t>CHEM-1720</t>
        </is>
      </c>
      <c r="B57">
        <f>IFERROR(INDEX(T_OpeningStock[Opening_Qty],MATCH($A57,T_OpeningStock[Part Name],0)),0)+'Grid_Incoming'!B57-'Grid_Requirement'!B57</f>
        <v/>
      </c>
      <c r="C57">
        <f>B57+'Grid_Incoming'!C57-'Grid_Requirement'!C57</f>
        <v/>
      </c>
      <c r="D57">
        <f>C57+'Grid_Incoming'!D57-'Grid_Requirement'!D57</f>
        <v/>
      </c>
      <c r="E57">
        <f>D57+'Grid_Incoming'!E57-'Grid_Requirement'!E57</f>
        <v/>
      </c>
      <c r="F57">
        <f>E57+'Grid_Incoming'!F57-'Grid_Requirement'!F57</f>
        <v/>
      </c>
      <c r="G57">
        <f>F57+'Grid_Incoming'!G57-'Grid_Requirement'!G57</f>
        <v/>
      </c>
      <c r="H57">
        <f>G57+'Grid_Incoming'!H57-'Grid_Requirement'!H57</f>
        <v/>
      </c>
      <c r="I57">
        <f>H57+'Grid_Incoming'!I57-'Grid_Requirement'!I57</f>
        <v/>
      </c>
      <c r="J57">
        <f>I57+'Grid_Incoming'!J57-'Grid_Requirement'!J57</f>
        <v/>
      </c>
      <c r="K57">
        <f>J57+'Grid_Incoming'!K57-'Grid_Requirement'!K57</f>
        <v/>
      </c>
      <c r="L57">
        <f>K57+'Grid_Incoming'!L57-'Grid_Requirement'!L57</f>
        <v/>
      </c>
      <c r="M57">
        <f>L57+'Grid_Incoming'!M57-'Grid_Requirement'!M57</f>
        <v/>
      </c>
      <c r="N57">
        <f>M57+'Grid_Incoming'!N57-'Grid_Requirement'!N57</f>
        <v/>
      </c>
      <c r="O57">
        <f>N57+'Grid_Incoming'!O57-'Grid_Requirement'!O57</f>
        <v/>
      </c>
      <c r="P57">
        <f>O57+'Grid_Incoming'!P57-'Grid_Requirement'!P57</f>
        <v/>
      </c>
      <c r="Q57">
        <f>P57+'Grid_Incoming'!Q57-'Grid_Requirement'!Q57</f>
        <v/>
      </c>
      <c r="R57">
        <f>Q57+'Grid_Incoming'!R57-'Grid_Requirement'!R57</f>
        <v/>
      </c>
      <c r="S57">
        <f>R57+'Grid_Incoming'!S57-'Grid_Requirement'!S57</f>
        <v/>
      </c>
      <c r="T57">
        <f>S57+'Grid_Incoming'!T57-'Grid_Requirement'!T57</f>
        <v/>
      </c>
      <c r="U57">
        <f>T57+'Grid_Incoming'!U57-'Grid_Requirement'!U57</f>
        <v/>
      </c>
      <c r="V57">
        <f>U57+'Grid_Incoming'!V57-'Grid_Requirement'!V57</f>
        <v/>
      </c>
      <c r="W57">
        <f>V57+'Grid_Incoming'!W57-'Grid_Requirement'!W57</f>
        <v/>
      </c>
      <c r="X57">
        <f>W57+'Grid_Incoming'!X57-'Grid_Requirement'!X57</f>
        <v/>
      </c>
      <c r="Y57">
        <f>X57+'Grid_Incoming'!Y57-'Grid_Requirement'!Y57</f>
        <v/>
      </c>
      <c r="Z57">
        <f>Y57+'Grid_Incoming'!Z57-'Grid_Requirement'!Z57</f>
        <v/>
      </c>
      <c r="AA57">
        <f>Z57+'Grid_Incoming'!AA57-'Grid_Requirement'!AA57</f>
        <v/>
      </c>
      <c r="AB57">
        <f>AA57+'Grid_Incoming'!AB57-'Grid_Requirement'!AB57</f>
        <v/>
      </c>
      <c r="AC57">
        <f>AB57+'Grid_Incoming'!AC57-'Grid_Requirement'!AC57</f>
        <v/>
      </c>
      <c r="AD57">
        <f>AC57+'Grid_Incoming'!AD57-'Grid_Requirement'!AD57</f>
        <v/>
      </c>
      <c r="AE57">
        <f>AD57+'Grid_Incoming'!AE57-'Grid_Requirement'!AE57</f>
        <v/>
      </c>
      <c r="AF57">
        <f>AE57+'Grid_Incoming'!AF57-'Grid_Requirement'!AF57</f>
        <v/>
      </c>
      <c r="AG57">
        <f>AF57+'Grid_Incoming'!AG57-'Grid_Requirement'!AG57</f>
        <v/>
      </c>
      <c r="AH57">
        <f>AG57+'Grid_Incoming'!AH57-'Grid_Requirement'!AH57</f>
        <v/>
      </c>
      <c r="AI57">
        <f>AH57+'Grid_Incoming'!AI57-'Grid_Requirement'!AI57</f>
        <v/>
      </c>
      <c r="AJ57">
        <f>AI57+'Grid_Incoming'!AJ57-'Grid_Requirement'!AJ57</f>
        <v/>
      </c>
      <c r="AK57">
        <f>AJ57+'Grid_Incoming'!AK57-'Grid_Requirement'!AK57</f>
        <v/>
      </c>
      <c r="AL57">
        <f>AK57+'Grid_Incoming'!AL57-'Grid_Requirement'!AL57</f>
        <v/>
      </c>
      <c r="AM57">
        <f>AL57+'Grid_Incoming'!AM57-'Grid_Requirement'!AM57</f>
        <v/>
      </c>
      <c r="AN57">
        <f>AM57+'Grid_Incoming'!AN57-'Grid_Requirement'!AN57</f>
        <v/>
      </c>
      <c r="AO57">
        <f>AN57+'Grid_Incoming'!AO57-'Grid_Requirement'!AO57</f>
        <v/>
      </c>
      <c r="AP57">
        <f>AO57+'Grid_Incoming'!AP57-'Grid_Requirement'!AP57</f>
        <v/>
      </c>
      <c r="AQ57">
        <f>AP57+'Grid_Incoming'!AQ57-'Grid_Requirement'!AQ57</f>
        <v/>
      </c>
      <c r="AR57">
        <f>AQ57+'Grid_Incoming'!AR57-'Grid_Requirement'!AR57</f>
        <v/>
      </c>
      <c r="AS57">
        <f>AR57+'Grid_Incoming'!AS57-'Grid_Requirement'!AS57</f>
        <v/>
      </c>
      <c r="AT57">
        <f>AS57+'Grid_Incoming'!AT57-'Grid_Requirement'!AT57</f>
        <v/>
      </c>
      <c r="AU57">
        <f>AT57+'Grid_Incoming'!AU57-'Grid_Requirement'!AU57</f>
        <v/>
      </c>
      <c r="AV57">
        <f>AU57+'Grid_Incoming'!AV57-'Grid_Requirement'!AV57</f>
        <v/>
      </c>
      <c r="AW57">
        <f>AV57+'Grid_Incoming'!AW57-'Grid_Requirement'!AW57</f>
        <v/>
      </c>
      <c r="AX57">
        <f>AW57+'Grid_Incoming'!AX57-'Grid_Requirement'!AX57</f>
        <v/>
      </c>
      <c r="AY57">
        <f>AX57+'Grid_Incoming'!AY57-'Grid_Requirement'!AY57</f>
        <v/>
      </c>
      <c r="AZ57">
        <f>AY57+'Grid_Incoming'!AZ57-'Grid_Requirement'!AZ57</f>
        <v/>
      </c>
      <c r="BA57">
        <f>AZ57+'Grid_Incoming'!BA57-'Grid_Requirement'!BA57</f>
        <v/>
      </c>
      <c r="BB57">
        <f>BA57+'Grid_Incoming'!BB57-'Grid_Requirement'!BB57</f>
        <v/>
      </c>
      <c r="BC57">
        <f>BB57+'Grid_Incoming'!BC57-'Grid_Requirement'!BC57</f>
        <v/>
      </c>
      <c r="BD57">
        <f>BC57+'Grid_Incoming'!BD57-'Grid_Requirement'!BD57</f>
        <v/>
      </c>
      <c r="BE57">
        <f>BD57+'Grid_Incoming'!BE57-'Grid_Requirement'!BE57</f>
        <v/>
      </c>
      <c r="BF57">
        <f>BE57+'Grid_Incoming'!BF57-'Grid_Requirement'!BF57</f>
        <v/>
      </c>
      <c r="BG57">
        <f>BF57+'Grid_Incoming'!BG57-'Grid_Requirement'!BG57</f>
        <v/>
      </c>
      <c r="BH57">
        <f>BG57+'Grid_Incoming'!BH57-'Grid_Requirement'!BH57</f>
        <v/>
      </c>
      <c r="BI57">
        <f>BH57+'Grid_Incoming'!BI57-'Grid_Requirement'!BI57</f>
        <v/>
      </c>
      <c r="BJ57">
        <f>BI57+'Grid_Incoming'!BJ57-'Grid_Requirement'!BJ57</f>
        <v/>
      </c>
      <c r="BK57">
        <f>BJ57+'Grid_Incoming'!BK57-'Grid_Requirement'!BK57</f>
        <v/>
      </c>
      <c r="BL57">
        <f>BK57+'Grid_Incoming'!BL57-'Grid_Requirement'!BL57</f>
        <v/>
      </c>
      <c r="BM57">
        <f>BL57+'Grid_Incoming'!BM57-'Grid_Requirement'!BM57</f>
        <v/>
      </c>
      <c r="BN57">
        <f>BM57+'Grid_Incoming'!BN57-'Grid_Requirement'!BN57</f>
        <v/>
      </c>
      <c r="BO57">
        <f>BN57+'Grid_Incoming'!BO57-'Grid_Requirement'!BO57</f>
        <v/>
      </c>
      <c r="BP57">
        <f>BO57+'Grid_Incoming'!BP57-'Grid_Requirement'!BP57</f>
        <v/>
      </c>
      <c r="BQ57">
        <f>BP57+'Grid_Incoming'!BQ57-'Grid_Requirement'!BQ57</f>
        <v/>
      </c>
      <c r="BR57">
        <f>BQ57+'Grid_Incoming'!BR57-'Grid_Requirement'!BR57</f>
        <v/>
      </c>
      <c r="BS57">
        <f>BR57+'Grid_Incoming'!BS57-'Grid_Requirement'!BS57</f>
        <v/>
      </c>
      <c r="BT57">
        <f>BS57+'Grid_Incoming'!BT57-'Grid_Requirement'!BT57</f>
        <v/>
      </c>
      <c r="BU57">
        <f>BT57+'Grid_Incoming'!BU57-'Grid_Requirement'!BU57</f>
        <v/>
      </c>
      <c r="BV57">
        <f>BU57+'Grid_Incoming'!BV57-'Grid_Requirement'!BV57</f>
        <v/>
      </c>
      <c r="BW57">
        <f>BV57+'Grid_Incoming'!BW57-'Grid_Requirement'!BW57</f>
        <v/>
      </c>
      <c r="BX57">
        <f>BW57+'Grid_Incoming'!BX57-'Grid_Requirement'!BX57</f>
        <v/>
      </c>
      <c r="BY57">
        <f>BX57+'Grid_Incoming'!BY57-'Grid_Requirement'!BY57</f>
        <v/>
      </c>
      <c r="BZ57">
        <f>BY57+'Grid_Incoming'!BZ57-'Grid_Requirement'!BZ57</f>
        <v/>
      </c>
      <c r="CA57">
        <f>BZ57+'Grid_Incoming'!CA57-'Grid_Requirement'!CA57</f>
        <v/>
      </c>
      <c r="CB57">
        <f>CA57+'Grid_Incoming'!CB57-'Grid_Requirement'!CB57</f>
        <v/>
      </c>
      <c r="CC57">
        <f>CB57+'Grid_Incoming'!CC57-'Grid_Requirement'!CC57</f>
        <v/>
      </c>
      <c r="CD57">
        <f>CC57+'Grid_Incoming'!CD57-'Grid_Requirement'!CD57</f>
        <v/>
      </c>
      <c r="CE57">
        <f>CD57+'Grid_Incoming'!CE57-'Grid_Requirement'!CE57</f>
        <v/>
      </c>
      <c r="CF57">
        <f>CE57+'Grid_Incoming'!CF57-'Grid_Requirement'!CF57</f>
        <v/>
      </c>
      <c r="CG57">
        <f>CF57+'Grid_Incoming'!CG57-'Grid_Requirement'!CG57</f>
        <v/>
      </c>
      <c r="CH57">
        <f>CG57+'Grid_Incoming'!CH57-'Grid_Requirement'!CH57</f>
        <v/>
      </c>
      <c r="CI57">
        <f>CH57+'Grid_Incoming'!CI57-'Grid_Requirement'!CI57</f>
        <v/>
      </c>
      <c r="CJ57">
        <f>CI57+'Grid_Incoming'!CJ57-'Grid_Requirement'!CJ57</f>
        <v/>
      </c>
      <c r="CK57">
        <f>CJ57+'Grid_Incoming'!CK57-'Grid_Requirement'!CK57</f>
        <v/>
      </c>
      <c r="CL57">
        <f>CK57+'Grid_Incoming'!CL57-'Grid_Requirement'!CL57</f>
        <v/>
      </c>
      <c r="CM57">
        <f>CL57+'Grid_Incoming'!CM57-'Grid_Requirement'!CM57</f>
        <v/>
      </c>
      <c r="CN57">
        <f>CM57+'Grid_Incoming'!CN57-'Grid_Requirement'!CN57</f>
        <v/>
      </c>
      <c r="CO57">
        <f>CN57+'Grid_Incoming'!CO57-'Grid_Requirement'!CO57</f>
        <v/>
      </c>
      <c r="CP57">
        <f>CO57+'Grid_Incoming'!CP57-'Grid_Requirement'!CP57</f>
        <v/>
      </c>
      <c r="CQ57">
        <f>CP57+'Grid_Incoming'!CQ57-'Grid_Requirement'!CQ57</f>
        <v/>
      </c>
      <c r="CR57">
        <f>CQ57+'Grid_Incoming'!CR57-'Grid_Requirement'!CR57</f>
        <v/>
      </c>
      <c r="CS57">
        <f>CR57+'Grid_Incoming'!CS57-'Grid_Requirement'!CS57</f>
        <v/>
      </c>
      <c r="CT57">
        <f>CS57+'Grid_Incoming'!CT57-'Grid_Requirement'!CT57</f>
        <v/>
      </c>
      <c r="CU57">
        <f>CT57+'Grid_Incoming'!CU57-'Grid_Requirement'!CU57</f>
        <v/>
      </c>
      <c r="CV57">
        <f>CU57+'Grid_Incoming'!CV57-'Grid_Requirement'!CV57</f>
        <v/>
      </c>
      <c r="CW57">
        <f>CV57+'Grid_Incoming'!CW57-'Grid_Requirement'!CW57</f>
        <v/>
      </c>
      <c r="CX57">
        <f>CW57+'Grid_Incoming'!CX57-'Grid_Requirement'!CX57</f>
        <v/>
      </c>
      <c r="CY57">
        <f>CX57+'Grid_Incoming'!CY57-'Grid_Requirement'!CY57</f>
        <v/>
      </c>
      <c r="CZ57">
        <f>CY57+'Grid_Incoming'!CZ57-'Grid_Requirement'!CZ57</f>
        <v/>
      </c>
      <c r="DA57">
        <f>CZ57+'Grid_Incoming'!DA57-'Grid_Requirement'!DA57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Self_Qty</t>
        </is>
      </c>
    </row>
    <row r="2">
      <c r="A2" t="inlineStr">
        <is>
          <t>(ダミー行、削除不可)</t>
        </is>
      </c>
      <c r="B2" s="24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6" t="inlineStr">
        <is>
          <t>Part Name</t>
        </is>
      </c>
      <c r="B1" s="6" t="inlineStr">
        <is>
          <t>Date</t>
        </is>
      </c>
      <c r="C1" s="6" t="inlineStr">
        <is>
          <t>WeekIndex</t>
        </is>
      </c>
      <c r="D1" s="6" t="inlineStr">
        <is>
          <t>TTAF_Qty</t>
        </is>
      </c>
    </row>
    <row r="2">
      <c r="A2" t="inlineStr">
        <is>
          <t>(ダミー行、削除不可)</t>
        </is>
      </c>
      <c r="B2" s="24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2026-08-05T13:30:04Z</dcterms:created>
  <dcterms:modified xsi:type="dcterms:W3CDTF">2026-08-05T13:30:08Z</dcterms:modified>
</cp:coreProperties>
</file>